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Search" sheetId="1" r:id="rId4"/>
    <sheet state="visible" name="Pokemon Search" sheetId="2" r:id="rId5"/>
    <sheet state="visible" name="Trainer Translations" sheetId="3" r:id="rId6"/>
    <sheet state="visible" name="Warn Settings" sheetId="4" r:id="rId7"/>
    <sheet state="visible" name="Tower Pokemon" sheetId="5" r:id="rId8"/>
    <sheet state="visible" name="Tower Trainers" sheetId="6" r:id="rId9"/>
    <sheet state="hidden" name="Pokedex" sheetId="7" r:id="rId10"/>
    <sheet state="hidden" name="Charts" sheetId="8" r:id="rId11"/>
    <sheet state="hidden" name="Moves" sheetId="9" r:id="rId12"/>
    <sheet state="hidden" name="Aliases" sheetId="10" r:id="rId13"/>
    <sheet state="visible" name="Set Odds" sheetId="11" r:id="rId14"/>
    <sheet state="visible" name="Component Odds" sheetId="12" r:id="rId15"/>
  </sheets>
  <definedNames>
    <definedName name="NatureChart">Charts!$A$2:$F$26</definedName>
    <definedName name="WarnHighItems">'Warn Settings'!$D$3:$D$27</definedName>
    <definedName name="DexData">Pokedex!$B$2:$P$526</definedName>
    <definedName name="TypeChart">Charts!$A$31:$U$51</definedName>
    <definedName name="MoveData">Moves!$B$2:$AZ$828</definedName>
    <definedName name="WarnMidItems">'Warn Settings'!$C$3:$C$27</definedName>
    <definedName name="WarnMidMoves">'Warn Settings'!$A$3:$A$27</definedName>
    <definedName name="TowerPool">'Tower Pokemon'!$B$2:$AK$1067</definedName>
    <definedName name="TowerTrainers">'Tower Trainers'!$A$2:$J$2004</definedName>
    <definedName name="WarnHighMoves">'Warn Settings'!$B$3:$B$27</definedName>
  </definedNames>
  <calcPr/>
</workbook>
</file>

<file path=xl/sharedStrings.xml><?xml version="1.0" encoding="utf-8"?>
<sst xmlns="http://schemas.openxmlformats.org/spreadsheetml/2006/main" count="35371" uniqueCount="6521">
  <si>
    <t>BDSP Battle Tower – Trainer Team Search</t>
  </si>
  <si>
    <t>Trainer Name:</t>
  </si>
  <si>
    <t>auston</t>
  </si>
  <si>
    <r>
      <rPr>
        <rFont val="Arial"/>
        <sz val="10.0"/>
      </rPr>
      <t xml:space="preserve">Part of the </t>
    </r>
    <r>
      <rPr>
        <rFont val="Arial"/>
        <color rgb="FF1155CC"/>
        <sz val="10.0"/>
        <u/>
      </rPr>
      <t>Inundata Sheets</t>
    </r>
    <r>
      <rPr>
        <rFont val="Arial"/>
        <sz val="10.0"/>
      </rPr>
      <t xml:space="preserve"> collection
Layout 2022 by SadisticMystic</t>
    </r>
  </si>
  <si>
    <t>BDSP Battle Tower – Pokemon Set Finder</t>
  </si>
  <si>
    <t>Species Name:</t>
  </si>
  <si>
    <t>heatran</t>
  </si>
  <si>
    <t>Set</t>
  </si>
  <si>
    <t>Type</t>
  </si>
  <si>
    <t>Item</t>
  </si>
  <si>
    <t>Move 1</t>
  </si>
  <si>
    <t>PP</t>
  </si>
  <si>
    <t>Move 2</t>
  </si>
  <si>
    <t>Move 3</t>
  </si>
  <si>
    <t>Move 4</t>
  </si>
  <si>
    <t>Nature</t>
  </si>
  <si>
    <t>Ability</t>
  </si>
  <si>
    <t>EV – (H/A/B/C/D/S) – IV</t>
  </si>
  <si>
    <t>Speed</t>
  </si>
  <si>
    <t>HP</t>
  </si>
  <si>
    <t>Atk</t>
  </si>
  <si>
    <t>Def</t>
  </si>
  <si>
    <t>SpA</t>
  </si>
  <si>
    <t>SpD</t>
  </si>
  <si>
    <t>Who Uses That Set?</t>
  </si>
  <si>
    <t>As a lead:</t>
  </si>
  <si>
    <t>Anywhere on team:</t>
  </si>
  <si>
    <t>scizor-6</t>
  </si>
  <si>
    <t>&amp;</t>
  </si>
  <si>
    <t>13 teams found</t>
  </si>
  <si>
    <t>Singles or Doubles?</t>
  </si>
  <si>
    <t>Set (1-7, M, or Boss):</t>
  </si>
  <si>
    <t>master</t>
  </si>
  <si>
    <t>EN</t>
  </si>
  <si>
    <t>JP</t>
  </si>
  <si>
    <t>DE</t>
  </si>
  <si>
    <t>ES</t>
  </si>
  <si>
    <t>FR</t>
  </si>
  <si>
    <t>IT</t>
  </si>
  <si>
    <t>KR</t>
  </si>
  <si>
    <t>CS</t>
  </si>
  <si>
    <t>CT</t>
  </si>
  <si>
    <t>Lloyd</t>
  </si>
  <si>
    <t>イチロウタ</t>
  </si>
  <si>
    <t>Ansgar</t>
  </si>
  <si>
    <t>Yupanki</t>
  </si>
  <si>
    <t>Yvon</t>
  </si>
  <si>
    <t>일로</t>
  </si>
  <si>
    <t>一郎太</t>
  </si>
  <si>
    <t>Ben</t>
  </si>
  <si>
    <t>ジロウマル</t>
  </si>
  <si>
    <t>Kouji</t>
  </si>
  <si>
    <t>Ramunxo</t>
  </si>
  <si>
    <t>Sandro</t>
  </si>
  <si>
    <t>양환</t>
  </si>
  <si>
    <t>次郎丸</t>
  </si>
  <si>
    <t>Ezekiel</t>
  </si>
  <si>
    <t>サブロウタ</t>
  </si>
  <si>
    <t>Peter</t>
  </si>
  <si>
    <t>Marco</t>
  </si>
  <si>
    <t>Maxwell</t>
  </si>
  <si>
    <t>Masino</t>
  </si>
  <si>
    <t>양태</t>
  </si>
  <si>
    <t>三郎太</t>
  </si>
  <si>
    <t>Elory</t>
  </si>
  <si>
    <t>ユー</t>
  </si>
  <si>
    <t>Magda</t>
  </si>
  <si>
    <t>Betty</t>
  </si>
  <si>
    <t>Elodie</t>
  </si>
  <si>
    <t>Elda</t>
  </si>
  <si>
    <t>유</t>
  </si>
  <si>
    <t>优妤</t>
  </si>
  <si>
    <t>優妤</t>
  </si>
  <si>
    <t>Jenny</t>
  </si>
  <si>
    <t>イブ</t>
  </si>
  <si>
    <t>Adriana</t>
  </si>
  <si>
    <t>Zeltia</t>
  </si>
  <si>
    <t>Axelle</t>
  </si>
  <si>
    <t>Alida</t>
  </si>
  <si>
    <t>이브</t>
  </si>
  <si>
    <t>依芙</t>
  </si>
  <si>
    <t>Arianna</t>
  </si>
  <si>
    <t>ミユ</t>
  </si>
  <si>
    <t>Becky</t>
  </si>
  <si>
    <t>Ariadna</t>
  </si>
  <si>
    <t>Selina</t>
  </si>
  <si>
    <t>미유</t>
  </si>
  <si>
    <t>心羽</t>
  </si>
  <si>
    <t>Chaz</t>
  </si>
  <si>
    <t>ラー</t>
  </si>
  <si>
    <t>Gerhard</t>
  </si>
  <si>
    <t>Biel</t>
  </si>
  <si>
    <t>Arnold</t>
  </si>
  <si>
    <t>Cecco</t>
  </si>
  <si>
    <t>라이</t>
  </si>
  <si>
    <t>拉尔</t>
  </si>
  <si>
    <t>拉爾</t>
  </si>
  <si>
    <t>Everett</t>
  </si>
  <si>
    <t>マカオ</t>
  </si>
  <si>
    <t>Goran</t>
  </si>
  <si>
    <t>Egoitz</t>
  </si>
  <si>
    <t>Dillan</t>
  </si>
  <si>
    <t>오문</t>
  </si>
  <si>
    <t>马凯</t>
  </si>
  <si>
    <t>馬凱</t>
  </si>
  <si>
    <t>Lamont</t>
  </si>
  <si>
    <t>エリオット</t>
  </si>
  <si>
    <t>Zoran</t>
  </si>
  <si>
    <t>Dihue</t>
  </si>
  <si>
    <t>Trevor</t>
  </si>
  <si>
    <t>엘리옷</t>
  </si>
  <si>
    <t>艾利奥</t>
  </si>
  <si>
    <t>艾利奧</t>
  </si>
  <si>
    <t>Glorya</t>
  </si>
  <si>
    <t>シモーヌ</t>
  </si>
  <si>
    <t>Chrissy</t>
  </si>
  <si>
    <t>Goretti</t>
  </si>
  <si>
    <t>Lamia</t>
  </si>
  <si>
    <t>Gigliola</t>
  </si>
  <si>
    <t>시몬느</t>
  </si>
  <si>
    <t>席梦尼</t>
  </si>
  <si>
    <t>席夢尼</t>
  </si>
  <si>
    <t>Toni</t>
  </si>
  <si>
    <t>ガクコ</t>
  </si>
  <si>
    <t>Cira</t>
  </si>
  <si>
    <t>Lou-Ann</t>
  </si>
  <si>
    <t>Teodora</t>
  </si>
  <si>
    <t>효정</t>
  </si>
  <si>
    <t>妍欣</t>
  </si>
  <si>
    <t>Cecilia</t>
  </si>
  <si>
    <t>セザンヌ</t>
  </si>
  <si>
    <t>Daliah</t>
  </si>
  <si>
    <t>Léonie</t>
  </si>
  <si>
    <t>Cecile</t>
  </si>
  <si>
    <t>세잔느</t>
  </si>
  <si>
    <t>苏姗娜</t>
  </si>
  <si>
    <t>蘇姍娜</t>
  </si>
  <si>
    <t>Milton</t>
  </si>
  <si>
    <t>タスケ</t>
  </si>
  <si>
    <t>Danilo</t>
  </si>
  <si>
    <t>Musko</t>
  </si>
  <si>
    <t>Roland</t>
  </si>
  <si>
    <t>Mirco</t>
  </si>
  <si>
    <t>태조</t>
  </si>
  <si>
    <t>俊辅</t>
  </si>
  <si>
    <t>俊輔</t>
  </si>
  <si>
    <t>Cortez</t>
  </si>
  <si>
    <t>コスケ</t>
  </si>
  <si>
    <t>Xavier</t>
  </si>
  <si>
    <t>Garindo</t>
  </si>
  <si>
    <t>Darrius</t>
  </si>
  <si>
    <t>Gregory</t>
  </si>
  <si>
    <t>호조</t>
  </si>
  <si>
    <t>彦辅</t>
  </si>
  <si>
    <t>彥輔</t>
  </si>
  <si>
    <t>Jaden</t>
  </si>
  <si>
    <t>ショウスケ</t>
  </si>
  <si>
    <t>Jacques</t>
  </si>
  <si>
    <t>Jarawy</t>
  </si>
  <si>
    <t>Josse</t>
  </si>
  <si>
    <t>Brizio</t>
  </si>
  <si>
    <t>유조</t>
  </si>
  <si>
    <t>修辅</t>
  </si>
  <si>
    <t>修輔</t>
  </si>
  <si>
    <t>Camille</t>
  </si>
  <si>
    <t>キラリ</t>
  </si>
  <si>
    <t>Elisabeth</t>
  </si>
  <si>
    <t>Desira</t>
  </si>
  <si>
    <t>Désirée</t>
  </si>
  <si>
    <t>Deborah</t>
  </si>
  <si>
    <t>여진</t>
  </si>
  <si>
    <t>绮罗里</t>
  </si>
  <si>
    <t>綺羅里</t>
  </si>
  <si>
    <t>Tiana</t>
  </si>
  <si>
    <t>カヨ</t>
  </si>
  <si>
    <t>Cosima</t>
  </si>
  <si>
    <t>Mati</t>
  </si>
  <si>
    <t>Maëlys</t>
  </si>
  <si>
    <t>은서</t>
  </si>
  <si>
    <t>佳代</t>
  </si>
  <si>
    <t>Marina</t>
  </si>
  <si>
    <t>ホタル</t>
  </si>
  <si>
    <t>Pandora</t>
  </si>
  <si>
    <t>Tirsa</t>
  </si>
  <si>
    <t>Tatiana</t>
  </si>
  <si>
    <t>Giselda</t>
  </si>
  <si>
    <t>명화</t>
  </si>
  <si>
    <t>萤儿</t>
  </si>
  <si>
    <t>螢兒</t>
  </si>
  <si>
    <t>Nestor</t>
  </si>
  <si>
    <t>マツノシン</t>
  </si>
  <si>
    <t>Egon</t>
  </si>
  <si>
    <t>Néstor</t>
  </si>
  <si>
    <t>Alan</t>
  </si>
  <si>
    <t>Nico</t>
  </si>
  <si>
    <t>후신</t>
  </si>
  <si>
    <t>柏樟</t>
  </si>
  <si>
    <t>Houston</t>
  </si>
  <si>
    <t>ノーマン</t>
  </si>
  <si>
    <t>Donald</t>
  </si>
  <si>
    <t>Imanol</t>
  </si>
  <si>
    <t>Alexi</t>
  </si>
  <si>
    <t>Nunzio</t>
  </si>
  <si>
    <t>노먼</t>
  </si>
  <si>
    <t>诺曼</t>
  </si>
  <si>
    <t>諾曼</t>
  </si>
  <si>
    <t>Clark</t>
  </si>
  <si>
    <t>ジージー</t>
  </si>
  <si>
    <t>Zlatko</t>
  </si>
  <si>
    <t>Caetano</t>
  </si>
  <si>
    <t>André</t>
  </si>
  <si>
    <t>지지</t>
  </si>
  <si>
    <t>吉吉</t>
  </si>
  <si>
    <t>Esther</t>
  </si>
  <si>
    <t>バルト</t>
  </si>
  <si>
    <t>Dora</t>
  </si>
  <si>
    <t>Ester</t>
  </si>
  <si>
    <t>Ambre</t>
  </si>
  <si>
    <t>발트</t>
  </si>
  <si>
    <t>木森</t>
  </si>
  <si>
    <t>Nichole</t>
  </si>
  <si>
    <t>スジコ</t>
  </si>
  <si>
    <t>Aisha</t>
  </si>
  <si>
    <t>Cándida</t>
  </si>
  <si>
    <t>Nicky</t>
  </si>
  <si>
    <t>Candida</t>
  </si>
  <si>
    <t>근희</t>
  </si>
  <si>
    <t>须子</t>
  </si>
  <si>
    <t>須子</t>
  </si>
  <si>
    <t>Martha</t>
  </si>
  <si>
    <t>アケマツ</t>
  </si>
  <si>
    <t>Zenobia</t>
  </si>
  <si>
    <t>Marta</t>
  </si>
  <si>
    <t>Carla</t>
  </si>
  <si>
    <t>Malina</t>
  </si>
  <si>
    <t>명송</t>
  </si>
  <si>
    <t>常青</t>
  </si>
  <si>
    <t>Vernon</t>
  </si>
  <si>
    <t>マスジ</t>
  </si>
  <si>
    <t>Franko</t>
  </si>
  <si>
    <t>Mandi</t>
  </si>
  <si>
    <t>Henri</t>
  </si>
  <si>
    <t>Valente</t>
  </si>
  <si>
    <t>준이</t>
  </si>
  <si>
    <t>敬渝</t>
  </si>
  <si>
    <t>Clifton</t>
  </si>
  <si>
    <t>シオノジョ</t>
  </si>
  <si>
    <t>Anatol</t>
  </si>
  <si>
    <t>Augual</t>
  </si>
  <si>
    <t>Amadou</t>
  </si>
  <si>
    <t>Cliff</t>
  </si>
  <si>
    <t>소서</t>
  </si>
  <si>
    <t>伟渝</t>
  </si>
  <si>
    <t>偉渝</t>
  </si>
  <si>
    <t>Rick</t>
  </si>
  <si>
    <t>カイコウ</t>
  </si>
  <si>
    <t>Serge</t>
  </si>
  <si>
    <t>Roque</t>
  </si>
  <si>
    <t>Magnus</t>
  </si>
  <si>
    <t>Rinaldo</t>
  </si>
  <si>
    <t>해황</t>
  </si>
  <si>
    <t>淇渝</t>
  </si>
  <si>
    <t>Ellen</t>
  </si>
  <si>
    <t>オタマ</t>
  </si>
  <si>
    <t>Amelia</t>
  </si>
  <si>
    <t>Úrsula</t>
  </si>
  <si>
    <t>Margot</t>
  </si>
  <si>
    <t>Vanda</t>
  </si>
  <si>
    <t>옥석</t>
  </si>
  <si>
    <t>小钰</t>
  </si>
  <si>
    <t>小鈺</t>
  </si>
  <si>
    <t>Aimee</t>
  </si>
  <si>
    <t>オカネ</t>
  </si>
  <si>
    <t>Ingrid</t>
  </si>
  <si>
    <t>Ainara</t>
  </si>
  <si>
    <t>Agnès</t>
  </si>
  <si>
    <t>Brenda</t>
  </si>
  <si>
    <t>강근</t>
  </si>
  <si>
    <t>小蒨</t>
  </si>
  <si>
    <t>Tyra</t>
  </si>
  <si>
    <t>オトミ</t>
  </si>
  <si>
    <t>Belinda</t>
  </si>
  <si>
    <t>Pía</t>
  </si>
  <si>
    <t>Mélissa</t>
  </si>
  <si>
    <t>Tosca</t>
  </si>
  <si>
    <t>은미</t>
  </si>
  <si>
    <t>小美</t>
  </si>
  <si>
    <t>ジンゾウ</t>
  </si>
  <si>
    <t>Reik</t>
  </si>
  <si>
    <t>Arnaldo</t>
  </si>
  <si>
    <t>Antton</t>
  </si>
  <si>
    <t>Mauro</t>
  </si>
  <si>
    <t>신장</t>
  </si>
  <si>
    <t>迅作</t>
  </si>
  <si>
    <t>Marcel</t>
  </si>
  <si>
    <t>ヨウゾウ</t>
  </si>
  <si>
    <t>Otwin</t>
  </si>
  <si>
    <t>Marcelo</t>
  </si>
  <si>
    <t>Geffrey</t>
  </si>
  <si>
    <t>Morano</t>
  </si>
  <si>
    <t>양정</t>
  </si>
  <si>
    <t>阳凿</t>
  </si>
  <si>
    <t>陽鑿</t>
  </si>
  <si>
    <t>Irvin</t>
  </si>
  <si>
    <t>ヤスミン</t>
  </si>
  <si>
    <t>Darren</t>
  </si>
  <si>
    <t>Genaro</t>
  </si>
  <si>
    <t>Gino</t>
  </si>
  <si>
    <t>안민</t>
  </si>
  <si>
    <t>夜明</t>
  </si>
  <si>
    <t>Elena</t>
  </si>
  <si>
    <t>コウメ</t>
  </si>
  <si>
    <t>Klara</t>
  </si>
  <si>
    <t>Isa</t>
  </si>
  <si>
    <t>Cheryll</t>
  </si>
  <si>
    <t>Claire</t>
  </si>
  <si>
    <t>수정</t>
  </si>
  <si>
    <t>小莓</t>
  </si>
  <si>
    <t>Viv</t>
  </si>
  <si>
    <t>コタケ</t>
  </si>
  <si>
    <t>Inken</t>
  </si>
  <si>
    <t>Virgi</t>
  </si>
  <si>
    <t>Amande</t>
  </si>
  <si>
    <t>Natalie</t>
  </si>
  <si>
    <t>무호</t>
  </si>
  <si>
    <t>小筑</t>
  </si>
  <si>
    <t>Selena</t>
  </si>
  <si>
    <t>コマツ</t>
  </si>
  <si>
    <t>Cleo</t>
  </si>
  <si>
    <t>Celina</t>
  </si>
  <si>
    <t>Sofia</t>
  </si>
  <si>
    <t>Selene</t>
  </si>
  <si>
    <t>소송</t>
  </si>
  <si>
    <t>小忪</t>
  </si>
  <si>
    <t>Tate</t>
  </si>
  <si>
    <t>トモチカ</t>
  </si>
  <si>
    <t>Balduin</t>
  </si>
  <si>
    <t>Todor</t>
  </si>
  <si>
    <t>Gildas</t>
  </si>
  <si>
    <t>Michele</t>
  </si>
  <si>
    <t>지근</t>
  </si>
  <si>
    <t>智千</t>
  </si>
  <si>
    <t>Brooks</t>
  </si>
  <si>
    <t>カネツグ</t>
  </si>
  <si>
    <t>Vadim</t>
  </si>
  <si>
    <t>Bartolomé</t>
  </si>
  <si>
    <t>Mikel</t>
  </si>
  <si>
    <t>Glenn</t>
  </si>
  <si>
    <t>가열</t>
  </si>
  <si>
    <t>兼续</t>
  </si>
  <si>
    <t>兼續</t>
  </si>
  <si>
    <t>Dusty</t>
  </si>
  <si>
    <t>アツモリ</t>
  </si>
  <si>
    <t>Wilfred</t>
  </si>
  <si>
    <t>Denis</t>
  </si>
  <si>
    <t>Séverin</t>
  </si>
  <si>
    <t>Evaldo</t>
  </si>
  <si>
    <t>숙성</t>
  </si>
  <si>
    <t>敦盛</t>
  </si>
  <si>
    <t>Brandy</t>
  </si>
  <si>
    <t>ネネ</t>
  </si>
  <si>
    <t>Maribel</t>
  </si>
  <si>
    <t>Ángeles</t>
  </si>
  <si>
    <t>Elsa</t>
  </si>
  <si>
    <t>Attilia</t>
  </si>
  <si>
    <t>라나</t>
  </si>
  <si>
    <t>宁宁</t>
  </si>
  <si>
    <t>寧寧</t>
  </si>
  <si>
    <t>Marie</t>
  </si>
  <si>
    <t>キキ</t>
  </si>
  <si>
    <t>Magore</t>
  </si>
  <si>
    <t>Yasmine</t>
  </si>
  <si>
    <t>Marica</t>
  </si>
  <si>
    <t>키키</t>
  </si>
  <si>
    <t>琪琪</t>
  </si>
  <si>
    <t>Imani</t>
  </si>
  <si>
    <t>ヤヤ</t>
  </si>
  <si>
    <t>Else</t>
  </si>
  <si>
    <t>Itziar</t>
  </si>
  <si>
    <t>Regina</t>
  </si>
  <si>
    <t>야야</t>
  </si>
  <si>
    <t>亚亚</t>
  </si>
  <si>
    <t>亞亞</t>
  </si>
  <si>
    <t>Darin</t>
  </si>
  <si>
    <t>モトキ</t>
  </si>
  <si>
    <t>Edwin</t>
  </si>
  <si>
    <t>Edgardo</t>
  </si>
  <si>
    <t>Martin</t>
  </si>
  <si>
    <t>Cesare</t>
  </si>
  <si>
    <t>기수</t>
  </si>
  <si>
    <t>元树</t>
  </si>
  <si>
    <t>元樹</t>
  </si>
  <si>
    <t>Duane</t>
  </si>
  <si>
    <t>フロイト</t>
  </si>
  <si>
    <t>Wiglaf</t>
  </si>
  <si>
    <t>Timoteo</t>
  </si>
  <si>
    <t>Giusepe</t>
  </si>
  <si>
    <t>Cirino</t>
  </si>
  <si>
    <t>프로이트</t>
  </si>
  <si>
    <t>弗洛伊</t>
  </si>
  <si>
    <t>Gerard</t>
  </si>
  <si>
    <t>ランマル</t>
  </si>
  <si>
    <t>Wasili</t>
  </si>
  <si>
    <t>Jesús</t>
  </si>
  <si>
    <t>Robbie</t>
  </si>
  <si>
    <t>난환</t>
  </si>
  <si>
    <t>兰丸</t>
  </si>
  <si>
    <t>蘭丸</t>
  </si>
  <si>
    <t>Carissa</t>
  </si>
  <si>
    <t>フサ</t>
  </si>
  <si>
    <t>Ilse</t>
  </si>
  <si>
    <t>Carol</t>
  </si>
  <si>
    <t>Colleen</t>
  </si>
  <si>
    <t>총수</t>
  </si>
  <si>
    <t>葡陶</t>
  </si>
  <si>
    <t>Cassie</t>
  </si>
  <si>
    <t>カキエ</t>
  </si>
  <si>
    <t>Isabel</t>
  </si>
  <si>
    <t>Luna</t>
  </si>
  <si>
    <t>서혜</t>
  </si>
  <si>
    <t>凯洁</t>
  </si>
  <si>
    <t>凱潔</t>
  </si>
  <si>
    <t>Alexia</t>
  </si>
  <si>
    <t>タエ</t>
  </si>
  <si>
    <t>Gisa</t>
  </si>
  <si>
    <t>Alina</t>
  </si>
  <si>
    <t>Elisa</t>
  </si>
  <si>
    <t>Alana</t>
  </si>
  <si>
    <t>다애</t>
  </si>
  <si>
    <t>多蕙</t>
  </si>
  <si>
    <t>Fred</t>
  </si>
  <si>
    <t>サムソン</t>
  </si>
  <si>
    <t>Berti</t>
  </si>
  <si>
    <t>Fredi</t>
  </si>
  <si>
    <t>Trystan</t>
  </si>
  <si>
    <t>Evidio</t>
  </si>
  <si>
    <t>삼손</t>
  </si>
  <si>
    <t>桑松</t>
  </si>
  <si>
    <t>Kenyon</t>
  </si>
  <si>
    <t>ヨシヒト</t>
  </si>
  <si>
    <t>Romeo</t>
  </si>
  <si>
    <t>Akutain</t>
  </si>
  <si>
    <t>Vincien</t>
  </si>
  <si>
    <t>Brian</t>
  </si>
  <si>
    <t>의인</t>
  </si>
  <si>
    <t>义仁</t>
  </si>
  <si>
    <t>義仁</t>
  </si>
  <si>
    <t>Jaleel</t>
  </si>
  <si>
    <t>ヒデヨシ</t>
  </si>
  <si>
    <t>Orlando</t>
  </si>
  <si>
    <t>Jesuso</t>
  </si>
  <si>
    <t>Ximun</t>
  </si>
  <si>
    <t>수길</t>
  </si>
  <si>
    <t>秀吉</t>
  </si>
  <si>
    <t>Colt</t>
  </si>
  <si>
    <t>カナメ</t>
  </si>
  <si>
    <t>Ringo</t>
  </si>
  <si>
    <t>Alfi</t>
  </si>
  <si>
    <t>Alban</t>
  </si>
  <si>
    <t>Orazio</t>
  </si>
  <si>
    <t>요원</t>
  </si>
  <si>
    <t>鹿目</t>
  </si>
  <si>
    <t>Trever</t>
  </si>
  <si>
    <t>キザム</t>
  </si>
  <si>
    <t>Rudi</t>
  </si>
  <si>
    <t>Sato</t>
  </si>
  <si>
    <t>Vivien</t>
  </si>
  <si>
    <t>각인</t>
  </si>
  <si>
    <t>刻武</t>
  </si>
  <si>
    <t>Will</t>
  </si>
  <si>
    <t>ニコライ</t>
  </si>
  <si>
    <t>Wolf</t>
  </si>
  <si>
    <t>Nikolai</t>
  </si>
  <si>
    <t>Wilfrid</t>
  </si>
  <si>
    <t>니콜라이</t>
  </si>
  <si>
    <t>尼可莱</t>
  </si>
  <si>
    <t>尼可萊</t>
  </si>
  <si>
    <t>Lillian</t>
  </si>
  <si>
    <t>モモジ</t>
  </si>
  <si>
    <t>Gisela</t>
  </si>
  <si>
    <t>Luisa</t>
  </si>
  <si>
    <t>Violeta</t>
  </si>
  <si>
    <t>도아</t>
  </si>
  <si>
    <t>桃儿</t>
  </si>
  <si>
    <t>桃兒</t>
  </si>
  <si>
    <t>Ruth</t>
  </si>
  <si>
    <t>チヨジ</t>
  </si>
  <si>
    <t>Clara</t>
  </si>
  <si>
    <t>Maia</t>
  </si>
  <si>
    <t>지연</t>
  </si>
  <si>
    <t>秋儿</t>
  </si>
  <si>
    <t>秋兒</t>
  </si>
  <si>
    <t>Janelle</t>
  </si>
  <si>
    <t>アンジ</t>
  </si>
  <si>
    <t>Edita</t>
  </si>
  <si>
    <t>Izaskun</t>
  </si>
  <si>
    <t>Aida</t>
  </si>
  <si>
    <t>암시</t>
  </si>
  <si>
    <t>杏儿</t>
  </si>
  <si>
    <t>杏兒</t>
  </si>
  <si>
    <t>Bennett</t>
  </si>
  <si>
    <t>ムネタツ</t>
  </si>
  <si>
    <t>Bjarne</t>
  </si>
  <si>
    <t>Beltrán</t>
  </si>
  <si>
    <t>Yanni</t>
  </si>
  <si>
    <t>Bennet</t>
  </si>
  <si>
    <t>동립</t>
  </si>
  <si>
    <t>宗辰</t>
  </si>
  <si>
    <t>Braxton</t>
  </si>
  <si>
    <t>ユメスケ</t>
  </si>
  <si>
    <t>Ruppert</t>
  </si>
  <si>
    <t>Eloy</t>
  </si>
  <si>
    <t>Avraham</t>
  </si>
  <si>
    <t>Brandon</t>
  </si>
  <si>
    <t>몽룡</t>
  </si>
  <si>
    <t>梦助</t>
  </si>
  <si>
    <t>夢助</t>
  </si>
  <si>
    <t>Winston</t>
  </si>
  <si>
    <t>イアン</t>
  </si>
  <si>
    <t>Wigand</t>
  </si>
  <si>
    <t>Barnard</t>
  </si>
  <si>
    <t>Brad</t>
  </si>
  <si>
    <t>이안</t>
  </si>
  <si>
    <t>伊昂</t>
  </si>
  <si>
    <t>コウジー</t>
  </si>
  <si>
    <t>Roberto</t>
  </si>
  <si>
    <t>Héctor</t>
  </si>
  <si>
    <t>Bixente</t>
  </si>
  <si>
    <t>고진</t>
  </si>
  <si>
    <t>高治</t>
  </si>
  <si>
    <t>Jamison</t>
  </si>
  <si>
    <t>フミノリ</t>
  </si>
  <si>
    <t>Silas</t>
  </si>
  <si>
    <t>Isero</t>
  </si>
  <si>
    <t>Douglas</t>
  </si>
  <si>
    <t>문덕</t>
  </si>
  <si>
    <t>文德</t>
  </si>
  <si>
    <t>Davis</t>
  </si>
  <si>
    <t>タダノスケ</t>
  </si>
  <si>
    <t>Viggo</t>
  </si>
  <si>
    <t>Braulio</t>
  </si>
  <si>
    <t>Dramane</t>
  </si>
  <si>
    <t>Bernard</t>
  </si>
  <si>
    <t>유종</t>
  </si>
  <si>
    <t>忠丞</t>
  </si>
  <si>
    <t>Mikaela</t>
  </si>
  <si>
    <t>ハルノ</t>
  </si>
  <si>
    <t>Irene</t>
  </si>
  <si>
    <t>Mairoa</t>
  </si>
  <si>
    <t>Enora</t>
  </si>
  <si>
    <t>Micaela</t>
  </si>
  <si>
    <t>보민</t>
  </si>
  <si>
    <t>春乃</t>
  </si>
  <si>
    <t>Sharon</t>
  </si>
  <si>
    <t>フユノ</t>
  </si>
  <si>
    <t>Ella</t>
  </si>
  <si>
    <t>Soraya</t>
  </si>
  <si>
    <t>Barbara</t>
  </si>
  <si>
    <t>겨울이</t>
  </si>
  <si>
    <t>冬乃</t>
  </si>
  <si>
    <t>Mia</t>
  </si>
  <si>
    <t>アキノ</t>
  </si>
  <si>
    <t>Marga</t>
  </si>
  <si>
    <t>Montse</t>
  </si>
  <si>
    <t>Norah</t>
  </si>
  <si>
    <t>가을이</t>
  </si>
  <si>
    <t>秋乃</t>
  </si>
  <si>
    <t>シマー</t>
  </si>
  <si>
    <t>Bárbara</t>
  </si>
  <si>
    <t>Alix</t>
  </si>
  <si>
    <t>시만</t>
  </si>
  <si>
    <t>星沫</t>
  </si>
  <si>
    <t>Stacy</t>
  </si>
  <si>
    <t>カタセ</t>
  </si>
  <si>
    <t>Evi</t>
  </si>
  <si>
    <t>Saskia</t>
  </si>
  <si>
    <t>Catia</t>
  </si>
  <si>
    <t>한세</t>
  </si>
  <si>
    <t>片濑</t>
  </si>
  <si>
    <t>片瀨</t>
  </si>
  <si>
    <t>Alena</t>
  </si>
  <si>
    <t>ブロンディ</t>
  </si>
  <si>
    <t>Estelle</t>
  </si>
  <si>
    <t>Aída</t>
  </si>
  <si>
    <t>Alyssa</t>
  </si>
  <si>
    <t>Antonia</t>
  </si>
  <si>
    <t>브론디</t>
  </si>
  <si>
    <t>布萝蒂</t>
  </si>
  <si>
    <t>布蘿蒂</t>
  </si>
  <si>
    <t>Sadie</t>
  </si>
  <si>
    <t>エリサ</t>
  </si>
  <si>
    <t>Gutta</t>
  </si>
  <si>
    <t>Jaidi</t>
  </si>
  <si>
    <t>Solange</t>
  </si>
  <si>
    <t>Ave</t>
  </si>
  <si>
    <t>에리사</t>
  </si>
  <si>
    <t>艾莉莎</t>
  </si>
  <si>
    <t>Kierra</t>
  </si>
  <si>
    <t>ハマヨ</t>
  </si>
  <si>
    <t>Erin</t>
  </si>
  <si>
    <t>Maguma</t>
  </si>
  <si>
    <t>Elina</t>
  </si>
  <si>
    <t>Karin</t>
  </si>
  <si>
    <t>하만</t>
  </si>
  <si>
    <t>滨代</t>
  </si>
  <si>
    <t>濱代</t>
  </si>
  <si>
    <t>Nikki</t>
  </si>
  <si>
    <t>ミミヨ</t>
  </si>
  <si>
    <t>Thea</t>
  </si>
  <si>
    <t>Yoli</t>
  </si>
  <si>
    <t>Lucile</t>
  </si>
  <si>
    <t>Novella</t>
  </si>
  <si>
    <t>미연</t>
  </si>
  <si>
    <t>美实代</t>
  </si>
  <si>
    <t>美實代</t>
  </si>
  <si>
    <t>Herbert</t>
  </si>
  <si>
    <t>コロク</t>
  </si>
  <si>
    <t>Hilario</t>
  </si>
  <si>
    <t>Elias</t>
  </si>
  <si>
    <t>Elviano</t>
  </si>
  <si>
    <t>소절</t>
  </si>
  <si>
    <t>洛克</t>
  </si>
  <si>
    <t>Jimmie</t>
  </si>
  <si>
    <t>マグミ</t>
  </si>
  <si>
    <t>Ray</t>
  </si>
  <si>
    <t>Octavio</t>
  </si>
  <si>
    <t>Siléas</t>
  </si>
  <si>
    <t>매그</t>
  </si>
  <si>
    <t>镕岩</t>
  </si>
  <si>
    <t>鎔岩</t>
  </si>
  <si>
    <t>Shayla</t>
  </si>
  <si>
    <t>カゲカツ</t>
  </si>
  <si>
    <t>Veronika</t>
  </si>
  <si>
    <t>Yurena</t>
  </si>
  <si>
    <t>Perrine</t>
  </si>
  <si>
    <t>Lucilla</t>
  </si>
  <si>
    <t>영승</t>
  </si>
  <si>
    <t>佳玥</t>
  </si>
  <si>
    <t>Tierra</t>
  </si>
  <si>
    <t>エツコ</t>
  </si>
  <si>
    <t>Alice</t>
  </si>
  <si>
    <t>Nora</t>
  </si>
  <si>
    <t>Marika</t>
  </si>
  <si>
    <t>혜영</t>
  </si>
  <si>
    <t>悅子</t>
  </si>
  <si>
    <t>Elise</t>
  </si>
  <si>
    <t>ニキータ</t>
  </si>
  <si>
    <t>Delia</t>
  </si>
  <si>
    <t>Gabby</t>
  </si>
  <si>
    <t>Elisea</t>
  </si>
  <si>
    <t>니키타</t>
  </si>
  <si>
    <t>妮季塔</t>
  </si>
  <si>
    <t>Kerry</t>
  </si>
  <si>
    <t>ボン</t>
  </si>
  <si>
    <t>Piet</t>
  </si>
  <si>
    <t>Leni</t>
  </si>
  <si>
    <t>Duncan</t>
  </si>
  <si>
    <t>봉</t>
  </si>
  <si>
    <t>伯恩</t>
  </si>
  <si>
    <t>Reuben</t>
  </si>
  <si>
    <t>クリストフ</t>
  </si>
  <si>
    <t>Helmut</t>
  </si>
  <si>
    <t>Ahuago</t>
  </si>
  <si>
    <t>Donovan</t>
  </si>
  <si>
    <t>Ruben</t>
  </si>
  <si>
    <t>크리스토퍼</t>
  </si>
  <si>
    <t>克里斯多福</t>
  </si>
  <si>
    <t>Madison</t>
  </si>
  <si>
    <t>ロブ</t>
  </si>
  <si>
    <t>Benno</t>
  </si>
  <si>
    <t>Marcelino</t>
  </si>
  <si>
    <t>Jamel</t>
  </si>
  <si>
    <t>Malco</t>
  </si>
  <si>
    <t>로브</t>
  </si>
  <si>
    <t>罗伯</t>
  </si>
  <si>
    <t>羅伯</t>
  </si>
  <si>
    <t>Don</t>
  </si>
  <si>
    <t>チヨノフ</t>
  </si>
  <si>
    <t>Nepomuk</t>
  </si>
  <si>
    <t>Erlo</t>
  </si>
  <si>
    <t>Elliott</t>
  </si>
  <si>
    <t>Manlio</t>
  </si>
  <si>
    <t>천부</t>
  </si>
  <si>
    <t>恒岳</t>
  </si>
  <si>
    <t>恆岳</t>
  </si>
  <si>
    <t>カルロッタ</t>
  </si>
  <si>
    <t>Dinah</t>
  </si>
  <si>
    <t>Aintza</t>
  </si>
  <si>
    <t>Séréna</t>
  </si>
  <si>
    <t>카르롯타</t>
  </si>
  <si>
    <t>卡罗塔</t>
  </si>
  <si>
    <t>卡羅塔</t>
  </si>
  <si>
    <t>イツカ</t>
  </si>
  <si>
    <t>Dolly</t>
  </si>
  <si>
    <t>Olana</t>
  </si>
  <si>
    <t>Romina</t>
  </si>
  <si>
    <t>일화</t>
  </si>
  <si>
    <t>伊姿卡</t>
  </si>
  <si>
    <t>Liliana</t>
  </si>
  <si>
    <t>カロリーヌ</t>
  </si>
  <si>
    <t>Laia</t>
  </si>
  <si>
    <t>Maritxu</t>
  </si>
  <si>
    <t>캐롤라인</t>
  </si>
  <si>
    <t>卡洛琳</t>
  </si>
  <si>
    <t>Keon</t>
  </si>
  <si>
    <t>ケイスケ</t>
  </si>
  <si>
    <t>Ezra</t>
  </si>
  <si>
    <t>Sébastien</t>
  </si>
  <si>
    <t>Raniero</t>
  </si>
  <si>
    <t>경진</t>
  </si>
  <si>
    <t>慧辅</t>
  </si>
  <si>
    <t>慧輔</t>
  </si>
  <si>
    <t>Jovan</t>
  </si>
  <si>
    <t>シンデン</t>
  </si>
  <si>
    <t>Horacio</t>
  </si>
  <si>
    <t>Pantxoa</t>
  </si>
  <si>
    <t>Toshi</t>
  </si>
  <si>
    <t>신전</t>
  </si>
  <si>
    <t>迅电</t>
  </si>
  <si>
    <t>迅電</t>
  </si>
  <si>
    <t>Kade</t>
  </si>
  <si>
    <t>エミール</t>
  </si>
  <si>
    <t>Laurenz</t>
  </si>
  <si>
    <t>Sancho</t>
  </si>
  <si>
    <t>Samson</t>
  </si>
  <si>
    <t>Kenneth</t>
  </si>
  <si>
    <t>에밀</t>
  </si>
  <si>
    <t>厄米尔</t>
  </si>
  <si>
    <t>厄米爾</t>
  </si>
  <si>
    <t>Antwan</t>
  </si>
  <si>
    <t>ビクトル</t>
  </si>
  <si>
    <t>Dave</t>
  </si>
  <si>
    <t>Antú</t>
  </si>
  <si>
    <t>Ephraïm</t>
  </si>
  <si>
    <t>Pierino</t>
  </si>
  <si>
    <t>빅토르</t>
  </si>
  <si>
    <t>维克托</t>
  </si>
  <si>
    <t>維克托</t>
  </si>
  <si>
    <t>Sheldon</t>
  </si>
  <si>
    <t>カザン</t>
  </si>
  <si>
    <t>Mischa</t>
  </si>
  <si>
    <t>Cris</t>
  </si>
  <si>
    <t>Eudes</t>
  </si>
  <si>
    <t>Steven</t>
  </si>
  <si>
    <t>카잔</t>
  </si>
  <si>
    <t>卡桑</t>
  </si>
  <si>
    <t>クラウド</t>
  </si>
  <si>
    <t>Vaclav</t>
  </si>
  <si>
    <t>Klebber</t>
  </si>
  <si>
    <t>Matte</t>
  </si>
  <si>
    <t>클라우드</t>
  </si>
  <si>
    <t>克劳德</t>
  </si>
  <si>
    <t>克勞德</t>
  </si>
  <si>
    <t>Pierce</t>
  </si>
  <si>
    <t>ガンノスケ</t>
  </si>
  <si>
    <t>Egidius</t>
  </si>
  <si>
    <t>Pascual</t>
  </si>
  <si>
    <t>Lambert</t>
  </si>
  <si>
    <t>Nicolas</t>
  </si>
  <si>
    <t>관조</t>
  </si>
  <si>
    <t>雁之助</t>
  </si>
  <si>
    <t>Shawna</t>
  </si>
  <si>
    <t>ミスヅ</t>
  </si>
  <si>
    <t>Emilia</t>
  </si>
  <si>
    <t>Alexa</t>
  </si>
  <si>
    <t>Pascale</t>
  </si>
  <si>
    <t>Fedora</t>
  </si>
  <si>
    <t>여울</t>
  </si>
  <si>
    <t>美津</t>
  </si>
  <si>
    <t>Annie</t>
  </si>
  <si>
    <t>キクチヨ</t>
  </si>
  <si>
    <t>Eloise</t>
  </si>
  <si>
    <t>Aiza</t>
  </si>
  <si>
    <t>Chantal</t>
  </si>
  <si>
    <t>구희</t>
  </si>
  <si>
    <t>娇菊</t>
  </si>
  <si>
    <t>嬌菊</t>
  </si>
  <si>
    <t>Rose</t>
  </si>
  <si>
    <t>マイア</t>
  </si>
  <si>
    <t>Fabiola</t>
  </si>
  <si>
    <t>Roser</t>
  </si>
  <si>
    <t>Assia</t>
  </si>
  <si>
    <t>Rosa</t>
  </si>
  <si>
    <t>마이어</t>
  </si>
  <si>
    <t>麦亚</t>
  </si>
  <si>
    <t>麥亞</t>
  </si>
  <si>
    <t>Rory</t>
  </si>
  <si>
    <t>ロベール</t>
  </si>
  <si>
    <t>Gustl</t>
  </si>
  <si>
    <t>Azano</t>
  </si>
  <si>
    <t>Kenji</t>
  </si>
  <si>
    <t>Hans</t>
  </si>
  <si>
    <t>로베르트</t>
  </si>
  <si>
    <t>罗伯尔</t>
  </si>
  <si>
    <t>羅伯爾</t>
  </si>
  <si>
    <t>Codey</t>
  </si>
  <si>
    <t>アーノルド</t>
  </si>
  <si>
    <t>Angelo</t>
  </si>
  <si>
    <t>Oidor</t>
  </si>
  <si>
    <t>Léo-Pol</t>
  </si>
  <si>
    <t>Carmelo</t>
  </si>
  <si>
    <t>아놀드</t>
  </si>
  <si>
    <t>安诺得</t>
  </si>
  <si>
    <t>安諾得</t>
  </si>
  <si>
    <t>Sammy</t>
  </si>
  <si>
    <t>モウリュウ</t>
  </si>
  <si>
    <t>Aitor</t>
  </si>
  <si>
    <t>Loni</t>
  </si>
  <si>
    <t>Placido</t>
  </si>
  <si>
    <t>맹룡</t>
  </si>
  <si>
    <t>猛龙</t>
  </si>
  <si>
    <t>猛龍</t>
  </si>
  <si>
    <t>Valeria</t>
  </si>
  <si>
    <t>マイヅル</t>
  </si>
  <si>
    <t>Valérie</t>
  </si>
  <si>
    <t>Valerie</t>
  </si>
  <si>
    <t>무학</t>
  </si>
  <si>
    <t>舞鹤</t>
  </si>
  <si>
    <t>舞鶴</t>
  </si>
  <si>
    <t>Shanice</t>
  </si>
  <si>
    <t>トラコ</t>
  </si>
  <si>
    <t>Patricia</t>
  </si>
  <si>
    <t>Angèle</t>
  </si>
  <si>
    <t>Yanina</t>
  </si>
  <si>
    <t>연호</t>
  </si>
  <si>
    <t>琥子</t>
  </si>
  <si>
    <t>Callie</t>
  </si>
  <si>
    <t>アタミ</t>
  </si>
  <si>
    <t>Hildrun</t>
  </si>
  <si>
    <t>Chusa</t>
  </si>
  <si>
    <t>Kerstin</t>
  </si>
  <si>
    <t>열해</t>
  </si>
  <si>
    <t>热海</t>
  </si>
  <si>
    <t>熱海</t>
  </si>
  <si>
    <t>Cordell</t>
  </si>
  <si>
    <t>ジクウ</t>
  </si>
  <si>
    <t>Lorenzo</t>
  </si>
  <si>
    <t>Eguzki</t>
  </si>
  <si>
    <t>Henry</t>
  </si>
  <si>
    <t>Randi</t>
  </si>
  <si>
    <t>시공</t>
  </si>
  <si>
    <t>行空</t>
  </si>
  <si>
    <t>Kaden</t>
  </si>
  <si>
    <t>サイエン</t>
  </si>
  <si>
    <t>Wayne</t>
  </si>
  <si>
    <t>Leandro</t>
  </si>
  <si>
    <t>Othmane</t>
  </si>
  <si>
    <t>Vasco</t>
  </si>
  <si>
    <t>재연</t>
  </si>
  <si>
    <t>西远</t>
  </si>
  <si>
    <t>西遠</t>
  </si>
  <si>
    <t>Devin</t>
  </si>
  <si>
    <t>バーバレラ</t>
  </si>
  <si>
    <t>Alma</t>
  </si>
  <si>
    <t>Davinia</t>
  </si>
  <si>
    <t>바바렐라</t>
  </si>
  <si>
    <t>芭芭瑞拉</t>
  </si>
  <si>
    <t>Karissa</t>
  </si>
  <si>
    <t>ネリミ</t>
  </si>
  <si>
    <t>Finja</t>
  </si>
  <si>
    <t>Clarisa</t>
  </si>
  <si>
    <t>Fostine</t>
  </si>
  <si>
    <t>Clarina</t>
  </si>
  <si>
    <t>연신</t>
  </si>
  <si>
    <t>奈里美</t>
  </si>
  <si>
    <t>Kolby</t>
  </si>
  <si>
    <t>ジンパチ</t>
  </si>
  <si>
    <t>Renato</t>
  </si>
  <si>
    <t>Victor</t>
  </si>
  <si>
    <t>Ramon</t>
  </si>
  <si>
    <t>인파</t>
  </si>
  <si>
    <t>阵八</t>
  </si>
  <si>
    <t>陣八</t>
  </si>
  <si>
    <t>Jonas</t>
  </si>
  <si>
    <t>キンヤ</t>
  </si>
  <si>
    <t>Pekka</t>
  </si>
  <si>
    <t>Jonás</t>
  </si>
  <si>
    <t>Peio</t>
  </si>
  <si>
    <t>Ugo</t>
  </si>
  <si>
    <t>근역</t>
  </si>
  <si>
    <t>钦也</t>
  </si>
  <si>
    <t>欽也</t>
  </si>
  <si>
    <t>Eva</t>
  </si>
  <si>
    <t>イクナ</t>
  </si>
  <si>
    <t>Freya</t>
  </si>
  <si>
    <t>Anissa</t>
  </si>
  <si>
    <t>Evelina</t>
  </si>
  <si>
    <t>선혜</t>
  </si>
  <si>
    <t>郁娜</t>
  </si>
  <si>
    <t>Melinda</t>
  </si>
  <si>
    <t>トメ</t>
  </si>
  <si>
    <t>Gina</t>
  </si>
  <si>
    <t>Garance</t>
  </si>
  <si>
    <t>유림</t>
  </si>
  <si>
    <t>都美</t>
  </si>
  <si>
    <t>Vaughn</t>
  </si>
  <si>
    <t>トミイチ</t>
  </si>
  <si>
    <t>Gustav</t>
  </si>
  <si>
    <t>Ciro</t>
  </si>
  <si>
    <t>Rached</t>
  </si>
  <si>
    <t>Lars</t>
  </si>
  <si>
    <t>부일</t>
  </si>
  <si>
    <t>富市</t>
  </si>
  <si>
    <t>Irving</t>
  </si>
  <si>
    <t>ハルト</t>
  </si>
  <si>
    <t>Ottokar</t>
  </si>
  <si>
    <t>Ramiro</t>
  </si>
  <si>
    <t>Salvo</t>
  </si>
  <si>
    <t>하르트</t>
  </si>
  <si>
    <t>春人</t>
  </si>
  <si>
    <t>Gene</t>
  </si>
  <si>
    <t>シャクソン</t>
  </si>
  <si>
    <t>Timon</t>
  </si>
  <si>
    <t>Tirso</t>
  </si>
  <si>
    <t>Léopold</t>
  </si>
  <si>
    <t>Germano</t>
  </si>
  <si>
    <t>잭슨</t>
  </si>
  <si>
    <t>世尊</t>
  </si>
  <si>
    <t>Lorena</t>
  </si>
  <si>
    <t>サカメ</t>
  </si>
  <si>
    <t>Ginevra</t>
  </si>
  <si>
    <t>Krysten</t>
  </si>
  <si>
    <t>판목</t>
  </si>
  <si>
    <t>茶玫</t>
  </si>
  <si>
    <t>Pamela</t>
  </si>
  <si>
    <t>サンダンス</t>
  </si>
  <si>
    <t>Loris</t>
  </si>
  <si>
    <t>Tifaine</t>
  </si>
  <si>
    <t>선댄스</t>
  </si>
  <si>
    <t>日舞</t>
  </si>
  <si>
    <t>Daniela</t>
  </si>
  <si>
    <t>モンシロ</t>
  </si>
  <si>
    <t>Fatima</t>
  </si>
  <si>
    <t>Amparo</t>
  </si>
  <si>
    <t>Armella</t>
  </si>
  <si>
    <t>Rosie</t>
  </si>
  <si>
    <t>문백</t>
  </si>
  <si>
    <t>纹蝶</t>
  </si>
  <si>
    <t>紋蝶</t>
  </si>
  <si>
    <t>Santos</t>
  </si>
  <si>
    <t>ハヤット</t>
  </si>
  <si>
    <t>Sinisa</t>
  </si>
  <si>
    <t>Pierrot</t>
  </si>
  <si>
    <t>Sabino</t>
  </si>
  <si>
    <t>하얏트</t>
  </si>
  <si>
    <t>海特</t>
  </si>
  <si>
    <t>Cruz</t>
  </si>
  <si>
    <t>グラマン</t>
  </si>
  <si>
    <t>Leander</t>
  </si>
  <si>
    <t>Tonino</t>
  </si>
  <si>
    <t>Hugolin</t>
  </si>
  <si>
    <t>Alceste</t>
  </si>
  <si>
    <t>그러먼</t>
  </si>
  <si>
    <t>格拉曼</t>
  </si>
  <si>
    <t>Leslie</t>
  </si>
  <si>
    <t>シュンスケ</t>
  </si>
  <si>
    <t>Laslo</t>
  </si>
  <si>
    <t>Anto</t>
  </si>
  <si>
    <t>Anthony</t>
  </si>
  <si>
    <t>윤조</t>
  </si>
  <si>
    <t>俊介</t>
  </si>
  <si>
    <t>Kate</t>
  </si>
  <si>
    <t>ラメ</t>
  </si>
  <si>
    <t>Edwina</t>
  </si>
  <si>
    <t>Albia</t>
  </si>
  <si>
    <t>Katy</t>
  </si>
  <si>
    <t>람</t>
  </si>
  <si>
    <t>兰玫</t>
  </si>
  <si>
    <t>蘭玫</t>
  </si>
  <si>
    <t>Chelsie</t>
  </si>
  <si>
    <t>パンコール</t>
  </si>
  <si>
    <t>Camilla</t>
  </si>
  <si>
    <t>Federica</t>
  </si>
  <si>
    <t>판코르</t>
  </si>
  <si>
    <t>斑蔻</t>
  </si>
  <si>
    <t>Brianne</t>
  </si>
  <si>
    <t>カメ</t>
  </si>
  <si>
    <t>Donna</t>
  </si>
  <si>
    <t>Reira</t>
  </si>
  <si>
    <t>사구</t>
  </si>
  <si>
    <t>卡玫</t>
  </si>
  <si>
    <t>Jasper</t>
  </si>
  <si>
    <t>カッペイ</t>
  </si>
  <si>
    <t>Franz</t>
  </si>
  <si>
    <t>Ernesto</t>
  </si>
  <si>
    <t>Pietro</t>
  </si>
  <si>
    <t>승평</t>
  </si>
  <si>
    <t>胜平</t>
  </si>
  <si>
    <t>勝平</t>
  </si>
  <si>
    <t>Kolton</t>
  </si>
  <si>
    <t>ナンペイ</t>
  </si>
  <si>
    <t>Rupert</t>
  </si>
  <si>
    <t>Koldo</t>
  </si>
  <si>
    <t>Tiberio</t>
  </si>
  <si>
    <t>남평</t>
  </si>
  <si>
    <t>楠平</t>
  </si>
  <si>
    <t>Stewart</t>
  </si>
  <si>
    <t>キンペイ</t>
  </si>
  <si>
    <t>Ian</t>
  </si>
  <si>
    <t>Madon</t>
  </si>
  <si>
    <t>Louison</t>
  </si>
  <si>
    <t>Davion</t>
  </si>
  <si>
    <t>금평</t>
  </si>
  <si>
    <t>金平</t>
  </si>
  <si>
    <t>Melody</t>
  </si>
  <si>
    <t>ロロ</t>
  </si>
  <si>
    <t>Gianna</t>
  </si>
  <si>
    <t>Mélodi</t>
  </si>
  <si>
    <t>Lison</t>
  </si>
  <si>
    <t>Adele</t>
  </si>
  <si>
    <t>로로</t>
  </si>
  <si>
    <t>珞珞</t>
  </si>
  <si>
    <t>Aliyah</t>
  </si>
  <si>
    <t>タタミ</t>
  </si>
  <si>
    <t>Nila</t>
  </si>
  <si>
    <t>Alaia</t>
  </si>
  <si>
    <t>Aurora</t>
  </si>
  <si>
    <t>Itala</t>
  </si>
  <si>
    <t>다미</t>
  </si>
  <si>
    <t>多多米</t>
  </si>
  <si>
    <t>Tina</t>
  </si>
  <si>
    <t>ダミー</t>
  </si>
  <si>
    <t>Daisy</t>
  </si>
  <si>
    <t>Léticia</t>
  </si>
  <si>
    <t>더미</t>
  </si>
  <si>
    <t>达美</t>
  </si>
  <si>
    <t>達美</t>
  </si>
  <si>
    <t>キンサク</t>
  </si>
  <si>
    <t>Eckart</t>
  </si>
  <si>
    <t>Benito</t>
  </si>
  <si>
    <t>Diego</t>
  </si>
  <si>
    <t>금작</t>
  </si>
  <si>
    <t>勤育</t>
  </si>
  <si>
    <t>Pierre</t>
  </si>
  <si>
    <t>ジュンサク</t>
  </si>
  <si>
    <t>Heini</t>
  </si>
  <si>
    <t>Pelayo</t>
  </si>
  <si>
    <t>Luis</t>
  </si>
  <si>
    <t>Elmo</t>
  </si>
  <si>
    <t>순작</t>
  </si>
  <si>
    <t>淳育</t>
  </si>
  <si>
    <t>Lester</t>
  </si>
  <si>
    <t>ショウサク</t>
  </si>
  <si>
    <t>Frieder</t>
  </si>
  <si>
    <t>Olio</t>
  </si>
  <si>
    <t>Rénald</t>
  </si>
  <si>
    <t>Ivo</t>
  </si>
  <si>
    <t>창작</t>
  </si>
  <si>
    <t>祥育</t>
  </si>
  <si>
    <t>Sonia</t>
  </si>
  <si>
    <t>ココナ</t>
  </si>
  <si>
    <t>Nelli</t>
  </si>
  <si>
    <t>Selva</t>
  </si>
  <si>
    <t>Mélodie</t>
  </si>
  <si>
    <t>Rosy</t>
  </si>
  <si>
    <t>코코나</t>
  </si>
  <si>
    <t>心娜</t>
  </si>
  <si>
    <t>Larissa</t>
  </si>
  <si>
    <t>ユーナ</t>
  </si>
  <si>
    <t>Dörte</t>
  </si>
  <si>
    <t>Larisa</t>
  </si>
  <si>
    <t>Camélia</t>
  </si>
  <si>
    <t>Agata</t>
  </si>
  <si>
    <t>윤아</t>
  </si>
  <si>
    <t>优娜</t>
  </si>
  <si>
    <t>優娜</t>
  </si>
  <si>
    <t>Kylee</t>
  </si>
  <si>
    <t>ヨハンナ</t>
  </si>
  <si>
    <t>Jette</t>
  </si>
  <si>
    <t>Elvira</t>
  </si>
  <si>
    <t>Arianne</t>
  </si>
  <si>
    <t>Darina</t>
  </si>
  <si>
    <t>요한나</t>
  </si>
  <si>
    <t>乔安娜</t>
  </si>
  <si>
    <t>喬安娜</t>
  </si>
  <si>
    <t>Grady</t>
  </si>
  <si>
    <t>スケノシン</t>
  </si>
  <si>
    <t>Rocco</t>
  </si>
  <si>
    <t>Galeno</t>
  </si>
  <si>
    <t>Roméo</t>
  </si>
  <si>
    <t>조신</t>
  </si>
  <si>
    <t>佑野</t>
  </si>
  <si>
    <t>Jackie</t>
  </si>
  <si>
    <t>ブルーノ</t>
  </si>
  <si>
    <t>Randolf</t>
  </si>
  <si>
    <t>Afur</t>
  </si>
  <si>
    <t>Ricardo</t>
  </si>
  <si>
    <t>Arminio</t>
  </si>
  <si>
    <t>브루노</t>
  </si>
  <si>
    <t>布鲁诺</t>
  </si>
  <si>
    <t>布魯諾</t>
  </si>
  <si>
    <t>Donnell</t>
  </si>
  <si>
    <t>サムオ</t>
  </si>
  <si>
    <t>Gunnar</t>
  </si>
  <si>
    <t>Delmiro</t>
  </si>
  <si>
    <t>Ellis</t>
  </si>
  <si>
    <t>삼호</t>
  </si>
  <si>
    <t>沙莫</t>
  </si>
  <si>
    <t>Royce</t>
  </si>
  <si>
    <t>バガン</t>
  </si>
  <si>
    <t>Quirin</t>
  </si>
  <si>
    <t>Rufino</t>
  </si>
  <si>
    <t>Ilias</t>
  </si>
  <si>
    <t>Remigio</t>
  </si>
  <si>
    <t>장원</t>
  </si>
  <si>
    <t>薄光</t>
  </si>
  <si>
    <t>August</t>
  </si>
  <si>
    <t>ステハチ</t>
  </si>
  <si>
    <t>Leif</t>
  </si>
  <si>
    <t>Américo</t>
  </si>
  <si>
    <t>Iñaki</t>
  </si>
  <si>
    <t>Barnie</t>
  </si>
  <si>
    <t>충환</t>
  </si>
  <si>
    <t>拾八</t>
  </si>
  <si>
    <t>拾捌</t>
  </si>
  <si>
    <t>Jerrod</t>
  </si>
  <si>
    <t>ターケーシ</t>
  </si>
  <si>
    <t>Jamatu</t>
  </si>
  <si>
    <t>Yoel</t>
  </si>
  <si>
    <t>Mick</t>
  </si>
  <si>
    <t>무진</t>
  </si>
  <si>
    <t>晓岗</t>
  </si>
  <si>
    <t>曉崗</t>
  </si>
  <si>
    <t>Jesse</t>
  </si>
  <si>
    <t>アダム</t>
  </si>
  <si>
    <t>Marten</t>
  </si>
  <si>
    <t>Narcís</t>
  </si>
  <si>
    <t>Titouan</t>
  </si>
  <si>
    <t>아담</t>
  </si>
  <si>
    <t>亚丹</t>
  </si>
  <si>
    <t>亞丹</t>
  </si>
  <si>
    <t>セリーヌ</t>
  </si>
  <si>
    <t>Aledrik</t>
  </si>
  <si>
    <t>Dalton</t>
  </si>
  <si>
    <t>세린느</t>
  </si>
  <si>
    <t>塞林恩</t>
  </si>
  <si>
    <t>Myron</t>
  </si>
  <si>
    <t>メルバ</t>
  </si>
  <si>
    <t>Ulf</t>
  </si>
  <si>
    <t>Nahoa</t>
  </si>
  <si>
    <t>Rodrigo</t>
  </si>
  <si>
    <t>멜바</t>
  </si>
  <si>
    <t>梅尔芭</t>
  </si>
  <si>
    <t>梅爾芭</t>
  </si>
  <si>
    <t>Herman</t>
  </si>
  <si>
    <t>ブンシ</t>
  </si>
  <si>
    <t>Julio</t>
  </si>
  <si>
    <t>Eitan</t>
  </si>
  <si>
    <t>Tyron</t>
  </si>
  <si>
    <t>문사</t>
  </si>
  <si>
    <t>文西</t>
  </si>
  <si>
    <t>Donnie</t>
  </si>
  <si>
    <t>トモノシン</t>
  </si>
  <si>
    <t>Keno</t>
  </si>
  <si>
    <t>Gozio</t>
  </si>
  <si>
    <t>Viktor</t>
  </si>
  <si>
    <t>우신</t>
  </si>
  <si>
    <t>友绅</t>
  </si>
  <si>
    <t>友紳</t>
  </si>
  <si>
    <t>Jane</t>
  </si>
  <si>
    <t>ポポ</t>
  </si>
  <si>
    <t>Helga</t>
  </si>
  <si>
    <t>Jaiona</t>
  </si>
  <si>
    <t>Diane</t>
  </si>
  <si>
    <t>Alba</t>
  </si>
  <si>
    <t>포포</t>
  </si>
  <si>
    <t>菠菠</t>
  </si>
  <si>
    <t>Natalia</t>
  </si>
  <si>
    <t>アグネス</t>
  </si>
  <si>
    <t>Leonie</t>
  </si>
  <si>
    <t>Josépha</t>
  </si>
  <si>
    <t>아그네스</t>
  </si>
  <si>
    <t>雅格尼丝</t>
  </si>
  <si>
    <t>雅格尼絲</t>
  </si>
  <si>
    <t>Sasha</t>
  </si>
  <si>
    <t>マエ</t>
  </si>
  <si>
    <t>Alva</t>
  </si>
  <si>
    <t>Leonor</t>
  </si>
  <si>
    <t>Anouk</t>
  </si>
  <si>
    <t>Lucia</t>
  </si>
  <si>
    <t>마애</t>
  </si>
  <si>
    <t>麻耶</t>
  </si>
  <si>
    <t>Bradly</t>
  </si>
  <si>
    <t>カスガ</t>
  </si>
  <si>
    <t>Janis</t>
  </si>
  <si>
    <t>Buhué</t>
  </si>
  <si>
    <t>Eneko</t>
  </si>
  <si>
    <t>Braddy</t>
  </si>
  <si>
    <t>카스가</t>
  </si>
  <si>
    <t>春日</t>
  </si>
  <si>
    <t>Cyril</t>
  </si>
  <si>
    <t>ヤンカー</t>
  </si>
  <si>
    <t>Mario</t>
  </si>
  <si>
    <t>Jángel</t>
  </si>
  <si>
    <t>Élie</t>
  </si>
  <si>
    <t>얀커</t>
  </si>
  <si>
    <t>洋加尔</t>
  </si>
  <si>
    <t>洋加爾</t>
  </si>
  <si>
    <t>Darrian</t>
  </si>
  <si>
    <t>モーリス</t>
  </si>
  <si>
    <t>Claas</t>
  </si>
  <si>
    <t>Kasakir</t>
  </si>
  <si>
    <t>Ylan</t>
  </si>
  <si>
    <t>모리스</t>
  </si>
  <si>
    <t>莫里斯</t>
  </si>
  <si>
    <t>Breana</t>
  </si>
  <si>
    <t>キアーラ</t>
  </si>
  <si>
    <t>Arlene</t>
  </si>
  <si>
    <t>Bianca</t>
  </si>
  <si>
    <t>Florine</t>
  </si>
  <si>
    <t>Aurelia</t>
  </si>
  <si>
    <t>키아라</t>
  </si>
  <si>
    <t>琪亚菈</t>
  </si>
  <si>
    <t>琪亞菈</t>
  </si>
  <si>
    <t>Kira</t>
  </si>
  <si>
    <t>ジョディー</t>
  </si>
  <si>
    <t>Hermine</t>
  </si>
  <si>
    <t>Minerva</t>
  </si>
  <si>
    <t>Marzia</t>
  </si>
  <si>
    <t>Fareda</t>
  </si>
  <si>
    <t>조디</t>
  </si>
  <si>
    <t>裘蒂</t>
  </si>
  <si>
    <t>Macy</t>
  </si>
  <si>
    <t>クレハ</t>
  </si>
  <si>
    <t>Nawel</t>
  </si>
  <si>
    <t>Moira</t>
  </si>
  <si>
    <t>쿠레하</t>
  </si>
  <si>
    <t>红叶</t>
  </si>
  <si>
    <t>紅葉</t>
  </si>
  <si>
    <t>Erich</t>
  </si>
  <si>
    <t>ガン</t>
  </si>
  <si>
    <t>Horatio</t>
  </si>
  <si>
    <t>Edmundo</t>
  </si>
  <si>
    <t>Tomas</t>
  </si>
  <si>
    <t>강군</t>
  </si>
  <si>
    <t>阿冠</t>
  </si>
  <si>
    <t>Garett</t>
  </si>
  <si>
    <t>コトノナカ</t>
  </si>
  <si>
    <t>Ville</t>
  </si>
  <si>
    <t>Lapának</t>
  </si>
  <si>
    <t>Macéo</t>
  </si>
  <si>
    <t>호중</t>
  </si>
  <si>
    <t>克多诺</t>
  </si>
  <si>
    <t>克多諾</t>
  </si>
  <si>
    <t>Rhett</t>
  </si>
  <si>
    <t>ハーマン</t>
  </si>
  <si>
    <t>Milos</t>
  </si>
  <si>
    <t>Lao</t>
  </si>
  <si>
    <t>Jessime</t>
  </si>
  <si>
    <t>허먼</t>
  </si>
  <si>
    <t>哈曼</t>
  </si>
  <si>
    <t>Codie</t>
  </si>
  <si>
    <t>シュンデイ</t>
  </si>
  <si>
    <t>Ronny</t>
  </si>
  <si>
    <t>Celso</t>
  </si>
  <si>
    <t>쥰데이</t>
  </si>
  <si>
    <t>春泥</t>
  </si>
  <si>
    <t>Harold</t>
  </si>
  <si>
    <t>ヤコフ</t>
  </si>
  <si>
    <t>Sigurd</t>
  </si>
  <si>
    <t>Suawaka</t>
  </si>
  <si>
    <t>Tobias</t>
  </si>
  <si>
    <t>Santino</t>
  </si>
  <si>
    <t>야코프</t>
  </si>
  <si>
    <t>雅各夫</t>
  </si>
  <si>
    <t>Lincoln</t>
  </si>
  <si>
    <t>レオニード</t>
  </si>
  <si>
    <t>Friedel</t>
  </si>
  <si>
    <t>Lázaro</t>
  </si>
  <si>
    <t>João</t>
  </si>
  <si>
    <t>레오니드</t>
  </si>
  <si>
    <t>雷欧尼德</t>
  </si>
  <si>
    <t>雷歐尼德</t>
  </si>
  <si>
    <t>ナヨ</t>
  </si>
  <si>
    <t>Heidrun</t>
  </si>
  <si>
    <t>나요</t>
  </si>
  <si>
    <t>名代</t>
  </si>
  <si>
    <t>Alaina</t>
  </si>
  <si>
    <t>ライマー</t>
  </si>
  <si>
    <t>Erna</t>
  </si>
  <si>
    <t>Aixa</t>
  </si>
  <si>
    <t>Régine</t>
  </si>
  <si>
    <t>Agnese</t>
  </si>
  <si>
    <t>레이머</t>
  </si>
  <si>
    <t>莱玛</t>
  </si>
  <si>
    <t>萊瑪</t>
  </si>
  <si>
    <t>Reese</t>
  </si>
  <si>
    <t>シロー</t>
  </si>
  <si>
    <t>Gerrit</t>
  </si>
  <si>
    <t>Otilio</t>
  </si>
  <si>
    <t>Noël</t>
  </si>
  <si>
    <t>Renzino</t>
  </si>
  <si>
    <t>사랑</t>
  </si>
  <si>
    <t>士郎</t>
  </si>
  <si>
    <t>ゴロー</t>
  </si>
  <si>
    <t>Gerulf</t>
  </si>
  <si>
    <t>Tobías</t>
  </si>
  <si>
    <t>Charly</t>
  </si>
  <si>
    <t>오선</t>
  </si>
  <si>
    <t>吾郎</t>
  </si>
  <si>
    <t>ヒルダ</t>
  </si>
  <si>
    <t>Anjalie</t>
  </si>
  <si>
    <t>Dorotea</t>
  </si>
  <si>
    <t>Cerise</t>
  </si>
  <si>
    <t>Bettina</t>
  </si>
  <si>
    <t>힐다</t>
  </si>
  <si>
    <t>希尔妲</t>
  </si>
  <si>
    <t>希爾妲</t>
  </si>
  <si>
    <t>McKenna</t>
  </si>
  <si>
    <t>カネコ</t>
  </si>
  <si>
    <t>Beatrix</t>
  </si>
  <si>
    <t>Maitena</t>
  </si>
  <si>
    <t>Diana</t>
  </si>
  <si>
    <t>금자</t>
  </si>
  <si>
    <t>金子</t>
  </si>
  <si>
    <t>Vance</t>
  </si>
  <si>
    <t>ベン</t>
  </si>
  <si>
    <t>Dan</t>
  </si>
  <si>
    <t>Paulino</t>
  </si>
  <si>
    <t>Alvin</t>
  </si>
  <si>
    <t>Vince</t>
  </si>
  <si>
    <t>벤</t>
  </si>
  <si>
    <t>阿勉</t>
  </si>
  <si>
    <t>Floyd</t>
  </si>
  <si>
    <t>ガク</t>
  </si>
  <si>
    <t>Kirik</t>
  </si>
  <si>
    <t>Jan</t>
  </si>
  <si>
    <t>낙천</t>
  </si>
  <si>
    <t>阿学</t>
  </si>
  <si>
    <t>阿學</t>
  </si>
  <si>
    <t>Allyson</t>
  </si>
  <si>
    <t>ジャニス</t>
  </si>
  <si>
    <t>Babette</t>
  </si>
  <si>
    <t>Yadira</t>
  </si>
  <si>
    <t>Tess</t>
  </si>
  <si>
    <t>Cesira</t>
  </si>
  <si>
    <t>재니스</t>
  </si>
  <si>
    <t>贾妮斯</t>
  </si>
  <si>
    <t>賈妮斯</t>
  </si>
  <si>
    <t>Ciara</t>
  </si>
  <si>
    <t>ハルネ</t>
  </si>
  <si>
    <t>Asta</t>
  </si>
  <si>
    <t>Edurne</t>
  </si>
  <si>
    <t>Lara</t>
  </si>
  <si>
    <t>Sveva</t>
  </si>
  <si>
    <t>하리</t>
  </si>
  <si>
    <t>春音</t>
  </si>
  <si>
    <t>Quinten</t>
  </si>
  <si>
    <t>ゲラン</t>
  </si>
  <si>
    <t>Götz</t>
  </si>
  <si>
    <t>Kaneni</t>
  </si>
  <si>
    <t>Albéric</t>
  </si>
  <si>
    <t>Quentin</t>
  </si>
  <si>
    <t>겔랑</t>
  </si>
  <si>
    <t>盖朗</t>
  </si>
  <si>
    <t>蓋朗</t>
  </si>
  <si>
    <t>Elmer</t>
  </si>
  <si>
    <t>サキョウ</t>
  </si>
  <si>
    <t>Tamas</t>
  </si>
  <si>
    <t>Ataúlfo</t>
  </si>
  <si>
    <t>Aldo</t>
  </si>
  <si>
    <t>좌경</t>
  </si>
  <si>
    <t>少京</t>
  </si>
  <si>
    <t>Kali</t>
  </si>
  <si>
    <t>オトギ</t>
  </si>
  <si>
    <t>Katia</t>
  </si>
  <si>
    <t>Gloria</t>
  </si>
  <si>
    <t>Kaly</t>
  </si>
  <si>
    <t>오토기</t>
  </si>
  <si>
    <t>绪姬</t>
  </si>
  <si>
    <t>緒姬</t>
  </si>
  <si>
    <t>Christy</t>
  </si>
  <si>
    <t>パシモン</t>
  </si>
  <si>
    <t>Aurelie</t>
  </si>
  <si>
    <t>Olaya</t>
  </si>
  <si>
    <t>Juliana</t>
  </si>
  <si>
    <t>Sorina</t>
  </si>
  <si>
    <t>펄시몬</t>
  </si>
  <si>
    <t>帕西檬</t>
  </si>
  <si>
    <t>Aric</t>
  </si>
  <si>
    <t>カルロ</t>
  </si>
  <si>
    <t>Jeremy</t>
  </si>
  <si>
    <t>Ángel</t>
  </si>
  <si>
    <t>카를로</t>
  </si>
  <si>
    <t>卡洛</t>
  </si>
  <si>
    <t>Daulton</t>
  </si>
  <si>
    <t>サマノスケ</t>
  </si>
  <si>
    <t>Stefano</t>
  </si>
  <si>
    <t>Josema</t>
  </si>
  <si>
    <t>Timothy</t>
  </si>
  <si>
    <t>Abramo</t>
  </si>
  <si>
    <t>우조</t>
  </si>
  <si>
    <t>夏介</t>
  </si>
  <si>
    <t>Elisha</t>
  </si>
  <si>
    <t>カゲツナ</t>
  </si>
  <si>
    <t>Radek</t>
  </si>
  <si>
    <t>Nesto</t>
  </si>
  <si>
    <t>Hocine</t>
  </si>
  <si>
    <t>Elpidio</t>
  </si>
  <si>
    <t>강영</t>
  </si>
  <si>
    <t>景纲</t>
  </si>
  <si>
    <t>景綱</t>
  </si>
  <si>
    <t>Josef</t>
  </si>
  <si>
    <t>フェデリコ</t>
  </si>
  <si>
    <t>Nikita</t>
  </si>
  <si>
    <t>Dolfo</t>
  </si>
  <si>
    <t>Joffrey</t>
  </si>
  <si>
    <t>페데리코</t>
  </si>
  <si>
    <t>费德利哥</t>
  </si>
  <si>
    <t>費德利哥</t>
  </si>
  <si>
    <t>ファウスト</t>
  </si>
  <si>
    <t>Franka</t>
  </si>
  <si>
    <t>Julieta</t>
  </si>
  <si>
    <t>Malorie</t>
  </si>
  <si>
    <t>파우스트</t>
  </si>
  <si>
    <t>芙诗特</t>
  </si>
  <si>
    <t>芙詩特</t>
  </si>
  <si>
    <t>Tracy</t>
  </si>
  <si>
    <t>チェルニー</t>
  </si>
  <si>
    <t>Felisa</t>
  </si>
  <si>
    <t>Alicia</t>
  </si>
  <si>
    <t>체르니</t>
  </si>
  <si>
    <t>雀尔妮</t>
  </si>
  <si>
    <t>雀兒妮</t>
  </si>
  <si>
    <t>Kari</t>
  </si>
  <si>
    <t>トコヨ</t>
  </si>
  <si>
    <t>Maren</t>
  </si>
  <si>
    <t>Eugenia</t>
  </si>
  <si>
    <t>Brigit</t>
  </si>
  <si>
    <t>Assunta</t>
  </si>
  <si>
    <t>상아</t>
  </si>
  <si>
    <t>仙净</t>
  </si>
  <si>
    <t>仙淨</t>
  </si>
  <si>
    <t>Kyla</t>
  </si>
  <si>
    <t>ニュー</t>
  </si>
  <si>
    <t>Himor</t>
  </si>
  <si>
    <t>Ivonne</t>
  </si>
  <si>
    <t>뉴</t>
  </si>
  <si>
    <t>妞妞</t>
  </si>
  <si>
    <t>コロンタ</t>
  </si>
  <si>
    <t>Cayo</t>
  </si>
  <si>
    <t>Amand</t>
  </si>
  <si>
    <t>Dankan</t>
  </si>
  <si>
    <t>콜론타이</t>
  </si>
  <si>
    <t>古路路</t>
  </si>
  <si>
    <t>Rico</t>
  </si>
  <si>
    <t>シリュウ</t>
  </si>
  <si>
    <t>Dean</t>
  </si>
  <si>
    <t>Rafael</t>
  </si>
  <si>
    <t>Hilaire</t>
  </si>
  <si>
    <t>승룡</t>
  </si>
  <si>
    <t>芝龙</t>
  </si>
  <si>
    <t>芝龍</t>
  </si>
  <si>
    <t>Bronson</t>
  </si>
  <si>
    <t>レイヤ</t>
  </si>
  <si>
    <t>Bosco</t>
  </si>
  <si>
    <t>Atemoc</t>
  </si>
  <si>
    <t>Briac</t>
  </si>
  <si>
    <t>레이아</t>
  </si>
  <si>
    <t>睿亚</t>
  </si>
  <si>
    <t>睿亞</t>
  </si>
  <si>
    <t>Camden</t>
  </si>
  <si>
    <t>デリー</t>
  </si>
  <si>
    <t>Meinolf</t>
  </si>
  <si>
    <t>Oriol</t>
  </si>
  <si>
    <t>Abdel</t>
  </si>
  <si>
    <t>테리</t>
  </si>
  <si>
    <t>得利</t>
  </si>
  <si>
    <t>Rocky</t>
  </si>
  <si>
    <t>アブラハム</t>
  </si>
  <si>
    <t>Mats</t>
  </si>
  <si>
    <t>Nihigio</t>
  </si>
  <si>
    <t>Godfroy</t>
  </si>
  <si>
    <t>Remondo</t>
  </si>
  <si>
    <t>아브라함</t>
  </si>
  <si>
    <t>亚布海姆</t>
  </si>
  <si>
    <t>亞布海姆</t>
  </si>
  <si>
    <t>Trace</t>
  </si>
  <si>
    <t>ヒナオ</t>
  </si>
  <si>
    <t>Dorian</t>
  </si>
  <si>
    <t>Ukasi</t>
  </si>
  <si>
    <t>Grégoire</t>
  </si>
  <si>
    <t>Trenton</t>
  </si>
  <si>
    <t>일유</t>
  </si>
  <si>
    <t>阳瑞</t>
  </si>
  <si>
    <t>陽瑞</t>
  </si>
  <si>
    <t>Jim</t>
  </si>
  <si>
    <t>ユリウス</t>
  </si>
  <si>
    <t>Jaromir</t>
  </si>
  <si>
    <t>Joel</t>
  </si>
  <si>
    <t>율리우스</t>
  </si>
  <si>
    <t>尤里乌斯</t>
  </si>
  <si>
    <t>尤里烏斯</t>
  </si>
  <si>
    <t>Josh</t>
  </si>
  <si>
    <t>ジョルジュ</t>
  </si>
  <si>
    <t>Bengt</t>
  </si>
  <si>
    <t>Casio</t>
  </si>
  <si>
    <t>Hermann</t>
  </si>
  <si>
    <t>조르죠</t>
  </si>
  <si>
    <t>约尔治</t>
  </si>
  <si>
    <t>約爾治</t>
  </si>
  <si>
    <t>Tayler</t>
  </si>
  <si>
    <t>マルオ</t>
  </si>
  <si>
    <t>Zuber</t>
  </si>
  <si>
    <t>Tácito</t>
  </si>
  <si>
    <t>Gérémy</t>
  </si>
  <si>
    <t>Tibaldo</t>
  </si>
  <si>
    <t>동환</t>
  </si>
  <si>
    <t>玛珞</t>
  </si>
  <si>
    <t>瑪珞</t>
  </si>
  <si>
    <t>Tory</t>
  </si>
  <si>
    <t>マル</t>
  </si>
  <si>
    <t>Jörg</t>
  </si>
  <si>
    <t>Teseo</t>
  </si>
  <si>
    <t>Meo</t>
  </si>
  <si>
    <t>환</t>
  </si>
  <si>
    <t>玛璐</t>
  </si>
  <si>
    <t>瑪璐</t>
  </si>
  <si>
    <t>Skylar</t>
  </si>
  <si>
    <t>ボレロ</t>
  </si>
  <si>
    <t>Mariana</t>
  </si>
  <si>
    <t>Pili</t>
  </si>
  <si>
    <t>Claudine</t>
  </si>
  <si>
    <t>Iolanda</t>
  </si>
  <si>
    <t>볼레아</t>
  </si>
  <si>
    <t>波丽路</t>
  </si>
  <si>
    <t>波麗路</t>
  </si>
  <si>
    <t>Paula</t>
  </si>
  <si>
    <t>タイザン</t>
  </si>
  <si>
    <t>Janine</t>
  </si>
  <si>
    <t>Éliane</t>
  </si>
  <si>
    <t>Paolina</t>
  </si>
  <si>
    <t>태산</t>
  </si>
  <si>
    <t>塔珊</t>
  </si>
  <si>
    <t>グレゴリー</t>
  </si>
  <si>
    <t>Anders</t>
  </si>
  <si>
    <t>Aiman</t>
  </si>
  <si>
    <t>Filippo</t>
  </si>
  <si>
    <t>그레고리</t>
  </si>
  <si>
    <t>格雷力</t>
  </si>
  <si>
    <t>Hugh</t>
  </si>
  <si>
    <t>セス</t>
  </si>
  <si>
    <t>Ode</t>
  </si>
  <si>
    <t>Benji</t>
  </si>
  <si>
    <t>Fritz</t>
  </si>
  <si>
    <t>Ignazio</t>
  </si>
  <si>
    <t>세트</t>
  </si>
  <si>
    <t>赛司</t>
  </si>
  <si>
    <t>賽司</t>
  </si>
  <si>
    <t>Jessy</t>
  </si>
  <si>
    <t>ジモン</t>
  </si>
  <si>
    <t>Jacinto</t>
  </si>
  <si>
    <t>Honoré</t>
  </si>
  <si>
    <t>Joyce</t>
  </si>
  <si>
    <t>시몬</t>
  </si>
  <si>
    <t>第蒙</t>
  </si>
  <si>
    <t>Stetson</t>
  </si>
  <si>
    <t>アマデオ</t>
  </si>
  <si>
    <t>Quintus</t>
  </si>
  <si>
    <t>Sebas</t>
  </si>
  <si>
    <t>Mimoun</t>
  </si>
  <si>
    <t>아마데오</t>
  </si>
  <si>
    <t>阿玛迪欧</t>
  </si>
  <si>
    <t>阿瑪迪歐</t>
  </si>
  <si>
    <t>オミト</t>
  </si>
  <si>
    <t>Odo</t>
  </si>
  <si>
    <t>Agustín</t>
  </si>
  <si>
    <t>Aurian</t>
  </si>
  <si>
    <t>제오</t>
  </si>
  <si>
    <t>臣人</t>
  </si>
  <si>
    <t>Rex</t>
  </si>
  <si>
    <t>タシマヤ</t>
  </si>
  <si>
    <t>Kilian</t>
  </si>
  <si>
    <t>Mirko</t>
  </si>
  <si>
    <t>전도</t>
  </si>
  <si>
    <t>田岛</t>
  </si>
  <si>
    <t>田島</t>
  </si>
  <si>
    <t>Quincy</t>
  </si>
  <si>
    <t>ワラジ</t>
  </si>
  <si>
    <t>Rembert</t>
  </si>
  <si>
    <t>Adelino</t>
  </si>
  <si>
    <t>Sylvio</t>
  </si>
  <si>
    <t>Florian</t>
  </si>
  <si>
    <t>초혜</t>
  </si>
  <si>
    <t>裴乾</t>
  </si>
  <si>
    <t>Emmett</t>
  </si>
  <si>
    <t>オンリ</t>
  </si>
  <si>
    <t>Rutger</t>
  </si>
  <si>
    <t>Eladio</t>
  </si>
  <si>
    <t>Loucas</t>
  </si>
  <si>
    <t>연리</t>
  </si>
  <si>
    <t>红利</t>
  </si>
  <si>
    <t>紅利</t>
  </si>
  <si>
    <t>Justyn</t>
  </si>
  <si>
    <t>コレヤス</t>
  </si>
  <si>
    <t>Steve</t>
  </si>
  <si>
    <t>Jasón</t>
  </si>
  <si>
    <t>Jano</t>
  </si>
  <si>
    <t>시안</t>
  </si>
  <si>
    <t>惟康</t>
  </si>
  <si>
    <t>Leland</t>
  </si>
  <si>
    <t>サンスケ</t>
  </si>
  <si>
    <t>Jeff</t>
  </si>
  <si>
    <t>Latif</t>
  </si>
  <si>
    <t>찬소</t>
  </si>
  <si>
    <t>阳介</t>
  </si>
  <si>
    <t>陽介</t>
  </si>
  <si>
    <t>Serena</t>
  </si>
  <si>
    <t>コトチヨ</t>
  </si>
  <si>
    <t>Maria</t>
  </si>
  <si>
    <t>Karelle</t>
  </si>
  <si>
    <t>Selenia</t>
  </si>
  <si>
    <t>지유</t>
  </si>
  <si>
    <t>琴蝶</t>
  </si>
  <si>
    <t>Kyra</t>
  </si>
  <si>
    <t>マリーナ</t>
  </si>
  <si>
    <t>Matilda</t>
  </si>
  <si>
    <t>Gabinia</t>
  </si>
  <si>
    <t>Morena</t>
  </si>
  <si>
    <t>마리나</t>
  </si>
  <si>
    <t>玛丽娜</t>
  </si>
  <si>
    <t>瑪麗娜</t>
  </si>
  <si>
    <t>Markell</t>
  </si>
  <si>
    <t>ワホ</t>
  </si>
  <si>
    <t>Teo</t>
  </si>
  <si>
    <t>Mohamed</t>
  </si>
  <si>
    <t>Flavio</t>
  </si>
  <si>
    <t>여포</t>
  </si>
  <si>
    <t>涡河</t>
  </si>
  <si>
    <t>渦河</t>
  </si>
  <si>
    <t>Marquez</t>
  </si>
  <si>
    <t>リョウセイ</t>
  </si>
  <si>
    <t>Gabriel</t>
  </si>
  <si>
    <t>Gabino</t>
  </si>
  <si>
    <t>Noam</t>
  </si>
  <si>
    <t>용성</t>
  </si>
  <si>
    <t>龙星</t>
  </si>
  <si>
    <t>龍星</t>
  </si>
  <si>
    <t>Maranda</t>
  </si>
  <si>
    <t>モポ</t>
  </si>
  <si>
    <t>Leila</t>
  </si>
  <si>
    <t>Nayla</t>
  </si>
  <si>
    <t>Miranda</t>
  </si>
  <si>
    <t>모포</t>
  </si>
  <si>
    <t>莫玻</t>
  </si>
  <si>
    <t>Claudia</t>
  </si>
  <si>
    <t>フランシス</t>
  </si>
  <si>
    <t>Grazia</t>
  </si>
  <si>
    <t>Rosalía</t>
  </si>
  <si>
    <t>Molly</t>
  </si>
  <si>
    <t>프란시스</t>
  </si>
  <si>
    <t>芙兰西丝</t>
  </si>
  <si>
    <t>芙蘭西絲</t>
  </si>
  <si>
    <t>Ted</t>
  </si>
  <si>
    <t>オニーロク</t>
  </si>
  <si>
    <t>Alwin</t>
  </si>
  <si>
    <t>Tauco</t>
  </si>
  <si>
    <t>형록</t>
  </si>
  <si>
    <t>倪禄</t>
  </si>
  <si>
    <t>倪祿</t>
  </si>
  <si>
    <t>Cecil</t>
  </si>
  <si>
    <t>ゴウジン</t>
  </si>
  <si>
    <t>Fredrik</t>
  </si>
  <si>
    <t>Rufo</t>
  </si>
  <si>
    <t>Erick</t>
  </si>
  <si>
    <t>호인</t>
  </si>
  <si>
    <t>后津</t>
  </si>
  <si>
    <t>アラキ</t>
  </si>
  <si>
    <t>Zulima</t>
  </si>
  <si>
    <t>Kiliane</t>
  </si>
  <si>
    <t>Celine</t>
  </si>
  <si>
    <t>신기</t>
  </si>
  <si>
    <t>荒木</t>
  </si>
  <si>
    <t>Carley</t>
  </si>
  <si>
    <t>ヤト</t>
  </si>
  <si>
    <t>Dácil</t>
  </si>
  <si>
    <t>Matilde</t>
  </si>
  <si>
    <t>Sandrella</t>
  </si>
  <si>
    <t>국호</t>
  </si>
  <si>
    <t>雪朵</t>
  </si>
  <si>
    <t>Kellen</t>
  </si>
  <si>
    <t>ボブ</t>
  </si>
  <si>
    <t>Ante</t>
  </si>
  <si>
    <t>Soren</t>
  </si>
  <si>
    <t>Matt</t>
  </si>
  <si>
    <t>밥</t>
  </si>
  <si>
    <t>鲍伯</t>
  </si>
  <si>
    <t>鮑伯</t>
  </si>
  <si>
    <t>Alton</t>
  </si>
  <si>
    <t>ボブヒコ</t>
  </si>
  <si>
    <t>Calvin</t>
  </si>
  <si>
    <t>Arewa</t>
  </si>
  <si>
    <t>Alessio</t>
  </si>
  <si>
    <t>Donato</t>
  </si>
  <si>
    <t>밥히크</t>
  </si>
  <si>
    <t>伯布希</t>
  </si>
  <si>
    <t>コマ</t>
  </si>
  <si>
    <t>Lakora</t>
  </si>
  <si>
    <t>Gaétane</t>
  </si>
  <si>
    <t>Nanda</t>
  </si>
  <si>
    <t>고려</t>
  </si>
  <si>
    <t>柯玛</t>
  </si>
  <si>
    <t>柯瑪</t>
  </si>
  <si>
    <t>Sophie</t>
  </si>
  <si>
    <t>テキサス</t>
  </si>
  <si>
    <t>Ilona</t>
  </si>
  <si>
    <t>Suemi</t>
  </si>
  <si>
    <t>Daliane</t>
  </si>
  <si>
    <t>텍사스</t>
  </si>
  <si>
    <t>忒奇瑟</t>
  </si>
  <si>
    <t>Blair</t>
  </si>
  <si>
    <t>アドロック</t>
  </si>
  <si>
    <t>Tankred</t>
  </si>
  <si>
    <t>Valerio</t>
  </si>
  <si>
    <t>Dario</t>
  </si>
  <si>
    <t>에드록</t>
  </si>
  <si>
    <t>亚多鲁</t>
  </si>
  <si>
    <t>亞多魯</t>
  </si>
  <si>
    <t>Harvey</t>
  </si>
  <si>
    <t>フトシ</t>
  </si>
  <si>
    <t>Noel</t>
  </si>
  <si>
    <t>Homero</t>
  </si>
  <si>
    <t>Walther</t>
  </si>
  <si>
    <t>Gastòn</t>
  </si>
  <si>
    <t>태사</t>
  </si>
  <si>
    <t>太志</t>
  </si>
  <si>
    <t>Emilee</t>
  </si>
  <si>
    <t>コウガ</t>
  </si>
  <si>
    <t>Edith</t>
  </si>
  <si>
    <t>Cuar</t>
  </si>
  <si>
    <t>Mayana</t>
  </si>
  <si>
    <t>Greta</t>
  </si>
  <si>
    <t>황하</t>
  </si>
  <si>
    <t>果雅</t>
  </si>
  <si>
    <t>Tiffani</t>
  </si>
  <si>
    <t>ヒノエ</t>
  </si>
  <si>
    <t>Sole</t>
  </si>
  <si>
    <t>Wanda</t>
  </si>
  <si>
    <t>Melissa</t>
  </si>
  <si>
    <t>영혜</t>
  </si>
  <si>
    <t>比乃惠</t>
  </si>
  <si>
    <t>サブ</t>
  </si>
  <si>
    <t>Liam</t>
  </si>
  <si>
    <t>Enzo</t>
  </si>
  <si>
    <t>Deniel</t>
  </si>
  <si>
    <t>사부</t>
  </si>
  <si>
    <t>萨布</t>
  </si>
  <si>
    <t>薩布</t>
  </si>
  <si>
    <t>Lionel</t>
  </si>
  <si>
    <t>ナユタ</t>
  </si>
  <si>
    <t>Matteo</t>
  </si>
  <si>
    <t>David</t>
  </si>
  <si>
    <t>Arno</t>
  </si>
  <si>
    <t>나유타</t>
  </si>
  <si>
    <t>那由多</t>
  </si>
  <si>
    <t>ファナ</t>
  </si>
  <si>
    <t>Cornelia</t>
  </si>
  <si>
    <t>Irena</t>
  </si>
  <si>
    <t>파나르</t>
  </si>
  <si>
    <t>珐娜</t>
  </si>
  <si>
    <t>琺娜</t>
  </si>
  <si>
    <t>Abbey</t>
  </si>
  <si>
    <t>ヘルガ</t>
  </si>
  <si>
    <t>Jolanda</t>
  </si>
  <si>
    <t>Ayaya</t>
  </si>
  <si>
    <t>Abigail</t>
  </si>
  <si>
    <t>Megan</t>
  </si>
  <si>
    <t>벨가</t>
  </si>
  <si>
    <t>赫尔佳</t>
  </si>
  <si>
    <t>赫爾佳</t>
  </si>
  <si>
    <t>Dallin</t>
  </si>
  <si>
    <t>アントン</t>
  </si>
  <si>
    <t>Laurin</t>
  </si>
  <si>
    <t>Delfín</t>
  </si>
  <si>
    <t>Fortuné</t>
  </si>
  <si>
    <t>안톤</t>
  </si>
  <si>
    <t>安东</t>
  </si>
  <si>
    <t>安東</t>
  </si>
  <si>
    <t>Jayden</t>
  </si>
  <si>
    <t>ゴヨウマツ</t>
  </si>
  <si>
    <t>Anwar</t>
  </si>
  <si>
    <t>Justino</t>
  </si>
  <si>
    <t>Giorgio</t>
  </si>
  <si>
    <t>오송</t>
  </si>
  <si>
    <t>五叶松</t>
  </si>
  <si>
    <t>五葉松</t>
  </si>
  <si>
    <t>Cortney</t>
  </si>
  <si>
    <t>スケキヨ</t>
  </si>
  <si>
    <t>Milo</t>
  </si>
  <si>
    <t>Aran</t>
  </si>
  <si>
    <t>Maiténa</t>
  </si>
  <si>
    <t>소기</t>
  </si>
  <si>
    <t>思晴</t>
  </si>
  <si>
    <t>コツル</t>
  </si>
  <si>
    <t>Johanna</t>
  </si>
  <si>
    <t>Caetana</t>
  </si>
  <si>
    <t>Gaiane</t>
  </si>
  <si>
    <t>호학</t>
  </si>
  <si>
    <t>小鹤</t>
  </si>
  <si>
    <t>小鶴</t>
  </si>
  <si>
    <t>Denver</t>
  </si>
  <si>
    <t>ビリー</t>
  </si>
  <si>
    <t>Lennart</t>
  </si>
  <si>
    <t>Dante</t>
  </si>
  <si>
    <t>Valéri</t>
  </si>
  <si>
    <t>빌리</t>
  </si>
  <si>
    <t>比利</t>
  </si>
  <si>
    <t>Rusty</t>
  </si>
  <si>
    <t>トゥビェン</t>
  </si>
  <si>
    <t>Rogelio</t>
  </si>
  <si>
    <t>Maturin</t>
  </si>
  <si>
    <t>토우비엔</t>
  </si>
  <si>
    <t>杜本</t>
  </si>
  <si>
    <t>Darcy</t>
  </si>
  <si>
    <t>ゼンコ</t>
  </si>
  <si>
    <t>Lene</t>
  </si>
  <si>
    <t>Talía</t>
  </si>
  <si>
    <t>Odeline</t>
  </si>
  <si>
    <t>선영</t>
  </si>
  <si>
    <t>芊河</t>
  </si>
  <si>
    <t>Joy</t>
  </si>
  <si>
    <t>ケーニッヒ</t>
  </si>
  <si>
    <t>Gwen</t>
  </si>
  <si>
    <t>Naraya</t>
  </si>
  <si>
    <t>Eugénie</t>
  </si>
  <si>
    <t>Iva</t>
  </si>
  <si>
    <t>쾨니히</t>
  </si>
  <si>
    <t>克妮格</t>
  </si>
  <si>
    <t>Alonso</t>
  </si>
  <si>
    <t>ゼノン</t>
  </si>
  <si>
    <t>Wanja</t>
  </si>
  <si>
    <t>Anatole</t>
  </si>
  <si>
    <t>제논</t>
  </si>
  <si>
    <t>泽诺</t>
  </si>
  <si>
    <t>澤諾</t>
  </si>
  <si>
    <t>Hernan</t>
  </si>
  <si>
    <t>セフィーロ</t>
  </si>
  <si>
    <t>Ingmar</t>
  </si>
  <si>
    <t>Hernán</t>
  </si>
  <si>
    <t>Bertold</t>
  </si>
  <si>
    <t>세피로</t>
  </si>
  <si>
    <t>赛飞罗</t>
  </si>
  <si>
    <t>賽飛羅</t>
  </si>
  <si>
    <t>Benny</t>
  </si>
  <si>
    <t>エンマ</t>
  </si>
  <si>
    <t>Elian</t>
  </si>
  <si>
    <t>Tino</t>
  </si>
  <si>
    <t>Firmin</t>
  </si>
  <si>
    <t>에마</t>
  </si>
  <si>
    <t>严磨</t>
  </si>
  <si>
    <t>嚴磨</t>
  </si>
  <si>
    <t>Daron</t>
  </si>
  <si>
    <t>タケトラ</t>
  </si>
  <si>
    <t>Ramón</t>
  </si>
  <si>
    <t>Alfonse</t>
  </si>
  <si>
    <t>죽호</t>
  </si>
  <si>
    <t>武虎</t>
  </si>
  <si>
    <t>Sylvia</t>
  </si>
  <si>
    <t>ヒメ</t>
  </si>
  <si>
    <t>Gudrun</t>
  </si>
  <si>
    <t>Silveria</t>
  </si>
  <si>
    <t>Sylvie</t>
  </si>
  <si>
    <t>공주</t>
  </si>
  <si>
    <t>沂玫</t>
  </si>
  <si>
    <t>Kristy</t>
  </si>
  <si>
    <t>スケ</t>
  </si>
  <si>
    <t>Bärbel</t>
  </si>
  <si>
    <t>Thais</t>
  </si>
  <si>
    <t>Doriana</t>
  </si>
  <si>
    <t>조조</t>
  </si>
  <si>
    <t>斯琦</t>
  </si>
  <si>
    <t>斯綺</t>
  </si>
  <si>
    <t>カンベエ</t>
  </si>
  <si>
    <t>Mattes</t>
  </si>
  <si>
    <t>Jaime</t>
  </si>
  <si>
    <t>신부</t>
  </si>
  <si>
    <t>宽平</t>
  </si>
  <si>
    <t>寬平</t>
  </si>
  <si>
    <t>Antony</t>
  </si>
  <si>
    <t>ペドロ</t>
  </si>
  <si>
    <t>Beppo</t>
  </si>
  <si>
    <t>Antonio</t>
  </si>
  <si>
    <t>Rufus</t>
  </si>
  <si>
    <t>페드로</t>
  </si>
  <si>
    <t>佩多罗</t>
  </si>
  <si>
    <t>佩多羅</t>
  </si>
  <si>
    <t>Mayra</t>
  </si>
  <si>
    <t>ヤン</t>
  </si>
  <si>
    <t>Bella</t>
  </si>
  <si>
    <t>Bea</t>
  </si>
  <si>
    <t>Xavière</t>
  </si>
  <si>
    <t>Michela</t>
  </si>
  <si>
    <t>얀</t>
  </si>
  <si>
    <t>鸯恩</t>
  </si>
  <si>
    <t>鴦恩</t>
  </si>
  <si>
    <t>Kailey</t>
  </si>
  <si>
    <t>テフコ</t>
  </si>
  <si>
    <t>Gerda</t>
  </si>
  <si>
    <t>Isaline</t>
  </si>
  <si>
    <t>Cindy</t>
  </si>
  <si>
    <t>테프코</t>
  </si>
  <si>
    <t>蝶舞</t>
  </si>
  <si>
    <t>Clyde</t>
  </si>
  <si>
    <t>ノール</t>
  </si>
  <si>
    <t>Herwig</t>
  </si>
  <si>
    <t>Cecilio</t>
  </si>
  <si>
    <t>Sabri</t>
  </si>
  <si>
    <t>Tosco</t>
  </si>
  <si>
    <t>노르</t>
  </si>
  <si>
    <t>诺卢</t>
  </si>
  <si>
    <t>諾盧</t>
  </si>
  <si>
    <t>Gunner</t>
  </si>
  <si>
    <t>チョウキチ</t>
  </si>
  <si>
    <t>Tarek</t>
  </si>
  <si>
    <t>Ginés</t>
  </si>
  <si>
    <t>Gwendal</t>
  </si>
  <si>
    <t>Gustavo</t>
  </si>
  <si>
    <t>장길</t>
  </si>
  <si>
    <t>长吉</t>
  </si>
  <si>
    <t>長吉</t>
  </si>
  <si>
    <t>ノノミ</t>
  </si>
  <si>
    <t>Isolde</t>
  </si>
  <si>
    <t>Carmela</t>
  </si>
  <si>
    <t>Rozenn</t>
  </si>
  <si>
    <t>노노</t>
  </si>
  <si>
    <t>野野美</t>
  </si>
  <si>
    <t>ヒコ</t>
  </si>
  <si>
    <t>Karola</t>
  </si>
  <si>
    <t>Amaya</t>
  </si>
  <si>
    <t>Cathy</t>
  </si>
  <si>
    <t>Mariele</t>
  </si>
  <si>
    <t>희주</t>
  </si>
  <si>
    <t>喜可</t>
  </si>
  <si>
    <t>Kelby</t>
  </si>
  <si>
    <t>アントニオ</t>
  </si>
  <si>
    <t>Gilbert</t>
  </si>
  <si>
    <t>Kaled</t>
  </si>
  <si>
    <t>Ronan</t>
  </si>
  <si>
    <t>안토니오</t>
  </si>
  <si>
    <t>安东尼奥</t>
  </si>
  <si>
    <t>安東尼奧</t>
  </si>
  <si>
    <t>Kevon</t>
  </si>
  <si>
    <t>イケル</t>
  </si>
  <si>
    <t>Phil</t>
  </si>
  <si>
    <t>Perseo</t>
  </si>
  <si>
    <t>Guillem</t>
  </si>
  <si>
    <t>이케르</t>
  </si>
  <si>
    <t>有行</t>
  </si>
  <si>
    <t>Kaila</t>
  </si>
  <si>
    <t>コスズ</t>
  </si>
  <si>
    <t>Annelie</t>
  </si>
  <si>
    <t>Judith</t>
  </si>
  <si>
    <t>호령</t>
  </si>
  <si>
    <t>凯玲</t>
  </si>
  <si>
    <t>凱玲</t>
  </si>
  <si>
    <t>サンレー</t>
  </si>
  <si>
    <t>Beata</t>
  </si>
  <si>
    <t>Krystee</t>
  </si>
  <si>
    <t>Noemi</t>
  </si>
  <si>
    <t>선레이</t>
  </si>
  <si>
    <t>双蕾</t>
  </si>
  <si>
    <t>雙蕾</t>
  </si>
  <si>
    <t>Barrett</t>
  </si>
  <si>
    <t>ホーミー</t>
  </si>
  <si>
    <t>Andrei</t>
  </si>
  <si>
    <t>Nando</t>
  </si>
  <si>
    <t>Brieuc</t>
  </si>
  <si>
    <t>호미</t>
  </si>
  <si>
    <t>荷米</t>
  </si>
  <si>
    <t>Jess</t>
  </si>
  <si>
    <t>ヒデジ</t>
  </si>
  <si>
    <t>Bernd</t>
  </si>
  <si>
    <t>Oto</t>
  </si>
  <si>
    <t>Guirec</t>
  </si>
  <si>
    <t>수사</t>
  </si>
  <si>
    <t>秀治</t>
  </si>
  <si>
    <t>ジャネット</t>
  </si>
  <si>
    <t>Leticia</t>
  </si>
  <si>
    <t>Marjolaine</t>
  </si>
  <si>
    <t>Dalidà</t>
  </si>
  <si>
    <t>자넷</t>
  </si>
  <si>
    <t>珍妮特</t>
  </si>
  <si>
    <t>Josie</t>
  </si>
  <si>
    <t>ダユー</t>
  </si>
  <si>
    <t>Ivanka</t>
  </si>
  <si>
    <t>Ofelia</t>
  </si>
  <si>
    <t>Léna</t>
  </si>
  <si>
    <t>Irina</t>
  </si>
  <si>
    <t>다유우</t>
  </si>
  <si>
    <t>玳玉</t>
  </si>
  <si>
    <t>Demetri</t>
  </si>
  <si>
    <t>ジャイルズ</t>
  </si>
  <si>
    <t>Erasmus</t>
  </si>
  <si>
    <t>Dimitri</t>
  </si>
  <si>
    <t>자일스</t>
  </si>
  <si>
    <t>契勒斯</t>
  </si>
  <si>
    <t>Lyle</t>
  </si>
  <si>
    <t>ジェローム</t>
  </si>
  <si>
    <t>Wim</t>
  </si>
  <si>
    <t>Leonel</t>
  </si>
  <si>
    <t>Amalric</t>
  </si>
  <si>
    <t>Galdino</t>
  </si>
  <si>
    <t>제롬</t>
  </si>
  <si>
    <t>杰路姆</t>
  </si>
  <si>
    <t>傑路姆</t>
  </si>
  <si>
    <t>Kristi</t>
  </si>
  <si>
    <t>エーミー</t>
  </si>
  <si>
    <t>Jessica</t>
  </si>
  <si>
    <t>Cara</t>
  </si>
  <si>
    <t>Edeline</t>
  </si>
  <si>
    <t>에이미</t>
  </si>
  <si>
    <t>爱蜜</t>
  </si>
  <si>
    <t>愛蜜</t>
  </si>
  <si>
    <t>ソフィー</t>
  </si>
  <si>
    <t>Adèle</t>
  </si>
  <si>
    <t>Martina</t>
  </si>
  <si>
    <t>소피</t>
  </si>
  <si>
    <t>苏菲</t>
  </si>
  <si>
    <t>蘇菲</t>
  </si>
  <si>
    <t>Auston</t>
  </si>
  <si>
    <t>サクゾウ</t>
  </si>
  <si>
    <t>Etienne</t>
  </si>
  <si>
    <t>Abelino</t>
  </si>
  <si>
    <t>Evrard</t>
  </si>
  <si>
    <t>작장</t>
  </si>
  <si>
    <t>朔三</t>
  </si>
  <si>
    <t>Coby</t>
  </si>
  <si>
    <t>キング</t>
  </si>
  <si>
    <t>Finn</t>
  </si>
  <si>
    <t>Broco</t>
  </si>
  <si>
    <t>Guy</t>
  </si>
  <si>
    <t>Gali</t>
  </si>
  <si>
    <t>킹</t>
  </si>
  <si>
    <t>金运</t>
  </si>
  <si>
    <t>金運</t>
  </si>
  <si>
    <t>Sidney</t>
  </si>
  <si>
    <t>ピピン</t>
  </si>
  <si>
    <t>Ariel</t>
  </si>
  <si>
    <t>Ainhoa</t>
  </si>
  <si>
    <t>Yasmina</t>
  </si>
  <si>
    <t>Viola</t>
  </si>
  <si>
    <t>피핀</t>
  </si>
  <si>
    <t>萍萍</t>
  </si>
  <si>
    <t>Elaine</t>
  </si>
  <si>
    <t>スゲコ</t>
  </si>
  <si>
    <t>Käthe</t>
  </si>
  <si>
    <t>Palmira</t>
  </si>
  <si>
    <t>Jodelle</t>
  </si>
  <si>
    <t>Ketty</t>
  </si>
  <si>
    <t>관진</t>
  </si>
  <si>
    <t>月歌</t>
  </si>
  <si>
    <t>Sherman</t>
  </si>
  <si>
    <t>トウベエ</t>
  </si>
  <si>
    <t>Abel</t>
  </si>
  <si>
    <t>Alfonso</t>
  </si>
  <si>
    <t>Baldric</t>
  </si>
  <si>
    <t>주혜</t>
  </si>
  <si>
    <t>飞跃</t>
  </si>
  <si>
    <t>飛躍</t>
  </si>
  <si>
    <t>Ryne</t>
  </si>
  <si>
    <t>モモタロウ</t>
  </si>
  <si>
    <t>Gaizko</t>
  </si>
  <si>
    <t>Panta</t>
  </si>
  <si>
    <t>도태랑</t>
  </si>
  <si>
    <t>桃太郎</t>
  </si>
  <si>
    <t>Turner</t>
  </si>
  <si>
    <t>ナスオ</t>
  </si>
  <si>
    <t>Kyrill</t>
  </si>
  <si>
    <t>Robert</t>
  </si>
  <si>
    <t>Gunther</t>
  </si>
  <si>
    <t>성웅</t>
  </si>
  <si>
    <t>那须</t>
  </si>
  <si>
    <t>那須</t>
  </si>
  <si>
    <t>Bryon</t>
  </si>
  <si>
    <t>タダオミ</t>
  </si>
  <si>
    <t>Dietmar</t>
  </si>
  <si>
    <t>Boris</t>
  </si>
  <si>
    <t>Cassien</t>
  </si>
  <si>
    <t>충남</t>
  </si>
  <si>
    <t>忠兴</t>
  </si>
  <si>
    <t>忠興</t>
  </si>
  <si>
    <t>Cain</t>
  </si>
  <si>
    <t>ニック</t>
  </si>
  <si>
    <t>Matti</t>
  </si>
  <si>
    <t>Crispín</t>
  </si>
  <si>
    <t>Barnabé</t>
  </si>
  <si>
    <t>Ismaele</t>
  </si>
  <si>
    <t>닉</t>
  </si>
  <si>
    <t>尼克</t>
  </si>
  <si>
    <t>Kegan</t>
  </si>
  <si>
    <t>ラジカント</t>
  </si>
  <si>
    <t>Vito</t>
  </si>
  <si>
    <t>Abdul</t>
  </si>
  <si>
    <t>Meddy</t>
  </si>
  <si>
    <t>라지칸트</t>
  </si>
  <si>
    <t>拉吉康</t>
  </si>
  <si>
    <t>ドンタ</t>
  </si>
  <si>
    <t>Jerry</t>
  </si>
  <si>
    <t>Adelio</t>
  </si>
  <si>
    <t>Bryce</t>
  </si>
  <si>
    <t>Albert</t>
  </si>
  <si>
    <t>존닥</t>
  </si>
  <si>
    <t>桐太</t>
  </si>
  <si>
    <t>Andreas</t>
  </si>
  <si>
    <t>モーロッソ</t>
  </si>
  <si>
    <t>Fidelio</t>
  </si>
  <si>
    <t>Isidro</t>
  </si>
  <si>
    <t>Abele</t>
  </si>
  <si>
    <t>모롯소</t>
  </si>
  <si>
    <t>摩洛梭</t>
  </si>
  <si>
    <t>Jaylin</t>
  </si>
  <si>
    <t>ネンペイ</t>
  </si>
  <si>
    <t>Jean</t>
  </si>
  <si>
    <t>Jare</t>
  </si>
  <si>
    <t>Emilio</t>
  </si>
  <si>
    <t>염평</t>
  </si>
  <si>
    <t>练博</t>
  </si>
  <si>
    <t>練博</t>
  </si>
  <si>
    <t>Titus</t>
  </si>
  <si>
    <t>イワベエ</t>
  </si>
  <si>
    <t>Ephraim</t>
  </si>
  <si>
    <t>Tito</t>
  </si>
  <si>
    <t>Janot</t>
  </si>
  <si>
    <t>안암</t>
  </si>
  <si>
    <t>岩培</t>
  </si>
  <si>
    <t>Tyrell</t>
  </si>
  <si>
    <t>パクサ</t>
  </si>
  <si>
    <t>Thies</t>
  </si>
  <si>
    <t>Romario</t>
  </si>
  <si>
    <t>Kelyan</t>
  </si>
  <si>
    <t>Eufemio</t>
  </si>
  <si>
    <t>박사</t>
  </si>
  <si>
    <t>帕克夏</t>
  </si>
  <si>
    <t>Dalvin</t>
  </si>
  <si>
    <t>ゲンゴロウ</t>
  </si>
  <si>
    <t>Desiderio</t>
  </si>
  <si>
    <t>Rayhan</t>
  </si>
  <si>
    <t>원오</t>
  </si>
  <si>
    <t>源五郎</t>
  </si>
  <si>
    <t>Edmund</t>
  </si>
  <si>
    <t>タカジーン</t>
  </si>
  <si>
    <t>Holm</t>
  </si>
  <si>
    <t>Edmondo</t>
  </si>
  <si>
    <t>고신</t>
  </si>
  <si>
    <t>鹰人</t>
  </si>
  <si>
    <t>鷹人</t>
  </si>
  <si>
    <t>Kelton</t>
  </si>
  <si>
    <t>ムック</t>
  </si>
  <si>
    <t>Manuel</t>
  </si>
  <si>
    <t>묵크</t>
  </si>
  <si>
    <t>穆轲</t>
  </si>
  <si>
    <t>穆軻</t>
  </si>
  <si>
    <t>Brant</t>
  </si>
  <si>
    <t>アマポーラ</t>
  </si>
  <si>
    <t>Tassilo</t>
  </si>
  <si>
    <t>Dari</t>
  </si>
  <si>
    <t>Odran</t>
  </si>
  <si>
    <t>아마폴라</t>
  </si>
  <si>
    <t>阿玛波拉</t>
  </si>
  <si>
    <t>阿瑪波拉</t>
  </si>
  <si>
    <t>Aidan</t>
  </si>
  <si>
    <t>シーゲル</t>
  </si>
  <si>
    <t>Heiner</t>
  </si>
  <si>
    <t>Unai</t>
  </si>
  <si>
    <t>Luc</t>
  </si>
  <si>
    <t>Davide</t>
  </si>
  <si>
    <t>시겔</t>
  </si>
  <si>
    <t>席格</t>
  </si>
  <si>
    <t>Carlo</t>
  </si>
  <si>
    <t>レポマン</t>
  </si>
  <si>
    <t>Kéziah</t>
  </si>
  <si>
    <t>Carmine</t>
  </si>
  <si>
    <t>리포맨</t>
  </si>
  <si>
    <t>雷波曼</t>
  </si>
  <si>
    <t>Jarred</t>
  </si>
  <si>
    <t>ナンコウ</t>
  </si>
  <si>
    <t>Malwin</t>
  </si>
  <si>
    <t>Loren</t>
  </si>
  <si>
    <t>Raymon</t>
  </si>
  <si>
    <t>Romano</t>
  </si>
  <si>
    <t>남고</t>
  </si>
  <si>
    <t>南航</t>
  </si>
  <si>
    <t>Jerrell</t>
  </si>
  <si>
    <t>ネモ</t>
  </si>
  <si>
    <t>Vico</t>
  </si>
  <si>
    <t>Yoni</t>
  </si>
  <si>
    <t>Lénaïc</t>
  </si>
  <si>
    <t>네모</t>
  </si>
  <si>
    <t>涅墨</t>
  </si>
  <si>
    <t>Kennedy</t>
  </si>
  <si>
    <t>タネシゲ</t>
  </si>
  <si>
    <t>Kenzo</t>
  </si>
  <si>
    <t>Otto</t>
  </si>
  <si>
    <t>중주</t>
  </si>
  <si>
    <t>种茂</t>
  </si>
  <si>
    <t>種茂</t>
  </si>
  <si>
    <t>トドメキ</t>
  </si>
  <si>
    <t>Nicolaj</t>
  </si>
  <si>
    <t>Hermes</t>
  </si>
  <si>
    <t>Léontin</t>
  </si>
  <si>
    <t>Anselmo</t>
  </si>
  <si>
    <t>기지</t>
  </si>
  <si>
    <t>百本木</t>
  </si>
  <si>
    <t>Layne</t>
  </si>
  <si>
    <t>ムネアゲ</t>
  </si>
  <si>
    <t>Louis</t>
  </si>
  <si>
    <t>Lucio</t>
  </si>
  <si>
    <t>Malcom</t>
  </si>
  <si>
    <t>동상</t>
  </si>
  <si>
    <t>建宏</t>
  </si>
  <si>
    <t>River</t>
  </si>
  <si>
    <t>タマノシン</t>
  </si>
  <si>
    <t>Hannu</t>
  </si>
  <si>
    <t>Plácido</t>
  </si>
  <si>
    <t>Vicente</t>
  </si>
  <si>
    <t>옥진</t>
  </si>
  <si>
    <t>裘绅</t>
  </si>
  <si>
    <t>裘紳</t>
  </si>
  <si>
    <t>Kendel</t>
  </si>
  <si>
    <t>ペル</t>
  </si>
  <si>
    <t>Claudio</t>
  </si>
  <si>
    <t>Kendal</t>
  </si>
  <si>
    <t>펠</t>
  </si>
  <si>
    <t>佩尔</t>
  </si>
  <si>
    <t>佩爾</t>
  </si>
  <si>
    <t>Kenton</t>
  </si>
  <si>
    <t>スタンリー</t>
  </si>
  <si>
    <t>Vitus</t>
  </si>
  <si>
    <t>Kevin</t>
  </si>
  <si>
    <t>Chad</t>
  </si>
  <si>
    <t>스텐리</t>
  </si>
  <si>
    <t>史丹利</t>
  </si>
  <si>
    <t>Tavon</t>
  </si>
  <si>
    <t>タンジュウ</t>
  </si>
  <si>
    <t>Tore</t>
  </si>
  <si>
    <t>Ulises</t>
  </si>
  <si>
    <t>Paolo</t>
  </si>
  <si>
    <t>Tazio</t>
  </si>
  <si>
    <t>단중</t>
  </si>
  <si>
    <t>丹朱</t>
  </si>
  <si>
    <t>Chester</t>
  </si>
  <si>
    <t>ヘル</t>
  </si>
  <si>
    <t>Heinz</t>
  </si>
  <si>
    <t>Felipe</t>
  </si>
  <si>
    <t>Terence</t>
  </si>
  <si>
    <t>헬</t>
  </si>
  <si>
    <t>郝乐</t>
  </si>
  <si>
    <t>郝樂</t>
  </si>
  <si>
    <t>Codi</t>
  </si>
  <si>
    <t>トメゾウ</t>
  </si>
  <si>
    <t>Mathieu</t>
  </si>
  <si>
    <t>Rolph</t>
  </si>
  <si>
    <t>Cino</t>
  </si>
  <si>
    <t>유장</t>
  </si>
  <si>
    <t>嵋仲</t>
  </si>
  <si>
    <t>Allie</t>
  </si>
  <si>
    <t>ババール</t>
  </si>
  <si>
    <t>Alija</t>
  </si>
  <si>
    <t>Aldara</t>
  </si>
  <si>
    <t>Erica</t>
  </si>
  <si>
    <t>바바르</t>
  </si>
  <si>
    <t>芭芭儿</t>
  </si>
  <si>
    <t>芭芭兒</t>
  </si>
  <si>
    <t>カケス</t>
  </si>
  <si>
    <t>Agnete</t>
  </si>
  <si>
    <t>Ágata</t>
  </si>
  <si>
    <t>Christa</t>
  </si>
  <si>
    <t>Fabiana</t>
  </si>
  <si>
    <t>어치</t>
  </si>
  <si>
    <t>松鸦</t>
  </si>
  <si>
    <t>松鴉</t>
  </si>
  <si>
    <t>カネモリ</t>
  </si>
  <si>
    <t>Lissa</t>
  </si>
  <si>
    <t>금성</t>
  </si>
  <si>
    <t>佳丽美</t>
  </si>
  <si>
    <t>佳麗美</t>
  </si>
  <si>
    <t>Madelyn</t>
  </si>
  <si>
    <t>ナミダ</t>
  </si>
  <si>
    <t>Cordula</t>
  </si>
  <si>
    <t>Marilar</t>
  </si>
  <si>
    <t>Joannie</t>
  </si>
  <si>
    <t>Ilenia</t>
  </si>
  <si>
    <t>루우</t>
  </si>
  <si>
    <t>花雨</t>
  </si>
  <si>
    <t>Jaclyn</t>
  </si>
  <si>
    <t>シオミツ</t>
  </si>
  <si>
    <t>Alexis</t>
  </si>
  <si>
    <t>Yolanda</t>
  </si>
  <si>
    <t>Laora</t>
  </si>
  <si>
    <t>Enrica</t>
  </si>
  <si>
    <t>조만</t>
  </si>
  <si>
    <t>光汐</t>
  </si>
  <si>
    <t>Noelle</t>
  </si>
  <si>
    <t>ヨシモリ</t>
  </si>
  <si>
    <t>Chiara</t>
  </si>
  <si>
    <t>Noelia</t>
  </si>
  <si>
    <t>Lora</t>
  </si>
  <si>
    <t>Raffy</t>
  </si>
  <si>
    <t>길림</t>
  </si>
  <si>
    <t>芳森</t>
  </si>
  <si>
    <t>Haylee</t>
  </si>
  <si>
    <t>カオルコ</t>
  </si>
  <si>
    <t>Gabi</t>
  </si>
  <si>
    <t>Larita</t>
  </si>
  <si>
    <t>Agathe</t>
  </si>
  <si>
    <t>Kayley</t>
  </si>
  <si>
    <t>훈미</t>
  </si>
  <si>
    <t>香馨</t>
  </si>
  <si>
    <t>Nadia</t>
  </si>
  <si>
    <t>クルブシ</t>
  </si>
  <si>
    <t>Ariane</t>
  </si>
  <si>
    <t>Véra</t>
  </si>
  <si>
    <t>앵클</t>
  </si>
  <si>
    <t>舒瑚</t>
  </si>
  <si>
    <t>Yvette</t>
  </si>
  <si>
    <t>パオ</t>
  </si>
  <si>
    <t>Lizzy</t>
  </si>
  <si>
    <t>Sora</t>
  </si>
  <si>
    <t>Paloma</t>
  </si>
  <si>
    <t>파오</t>
  </si>
  <si>
    <t>苞儿</t>
  </si>
  <si>
    <t>苞兒</t>
  </si>
  <si>
    <t>Tasha</t>
  </si>
  <si>
    <t>タマエ</t>
  </si>
  <si>
    <t>Ursel</t>
  </si>
  <si>
    <t>Tere</t>
  </si>
  <si>
    <t>규혜</t>
  </si>
  <si>
    <t>玉叶</t>
  </si>
  <si>
    <t>玉葉</t>
  </si>
  <si>
    <t>Cheryl</t>
  </si>
  <si>
    <t>モミ</t>
  </si>
  <si>
    <t>Raissa</t>
  </si>
  <si>
    <t>Malta</t>
  </si>
  <si>
    <t>Sara</t>
  </si>
  <si>
    <t>Demetra</t>
  </si>
  <si>
    <t>모미</t>
  </si>
  <si>
    <t>芽米</t>
  </si>
  <si>
    <t>Mira</t>
  </si>
  <si>
    <t>ミル</t>
  </si>
  <si>
    <t>Orisa</t>
  </si>
  <si>
    <t>Maiza</t>
  </si>
  <si>
    <t>Maïté</t>
  </si>
  <si>
    <t>미루</t>
  </si>
  <si>
    <t>麦儿</t>
  </si>
  <si>
    <t>麥兒</t>
  </si>
  <si>
    <t>Riley</t>
  </si>
  <si>
    <t>ゲン</t>
  </si>
  <si>
    <t>Urs</t>
  </si>
  <si>
    <t>Quinoa</t>
  </si>
  <si>
    <t>Armand</t>
  </si>
  <si>
    <t>Marisio</t>
  </si>
  <si>
    <t>현이</t>
  </si>
  <si>
    <t>亚玄</t>
  </si>
  <si>
    <t>亞玄</t>
  </si>
  <si>
    <t>Marley</t>
  </si>
  <si>
    <t>マイ</t>
  </si>
  <si>
    <t>Charlie</t>
  </si>
  <si>
    <t>Sémola</t>
  </si>
  <si>
    <t>Viviane</t>
  </si>
  <si>
    <t>Risetta</t>
  </si>
  <si>
    <t>미정</t>
  </si>
  <si>
    <t>米依</t>
  </si>
  <si>
    <t>Buck</t>
  </si>
  <si>
    <t>バク</t>
  </si>
  <si>
    <t>Avenaro</t>
  </si>
  <si>
    <t>Bulgur</t>
  </si>
  <si>
    <t>Cornil</t>
  </si>
  <si>
    <t>Chicco</t>
  </si>
  <si>
    <t>맥</t>
  </si>
  <si>
    <t>麦可</t>
  </si>
  <si>
    <t>麥可</t>
  </si>
  <si>
    <t>Palmer</t>
  </si>
  <si>
    <t>クロツグ</t>
  </si>
  <si>
    <t>Jericor</t>
  </si>
  <si>
    <t>Koner</t>
  </si>
  <si>
    <t>종수</t>
  </si>
  <si>
    <t>桄榔</t>
  </si>
  <si>
    <t>Barry</t>
  </si>
  <si>
    <t>ジュン</t>
  </si>
  <si>
    <t>Israel</t>
  </si>
  <si>
    <t>René</t>
  </si>
  <si>
    <t>용식</t>
  </si>
  <si>
    <t>阿馴</t>
  </si>
  <si>
    <t>Cyrus</t>
  </si>
  <si>
    <t>アカギ</t>
  </si>
  <si>
    <t>Zyrus</t>
  </si>
  <si>
    <t>Helio</t>
  </si>
  <si>
    <t>Hélio</t>
  </si>
  <si>
    <t>태홍</t>
  </si>
  <si>
    <t>赤日</t>
  </si>
  <si>
    <t>Mars</t>
  </si>
  <si>
    <t>マーズ</t>
  </si>
  <si>
    <t>Venus</t>
  </si>
  <si>
    <t>Martes</t>
  </si>
  <si>
    <t>마스</t>
  </si>
  <si>
    <t>伙星</t>
  </si>
  <si>
    <t>夥星</t>
  </si>
  <si>
    <t>Jupiter</t>
  </si>
  <si>
    <t>ジュピター</t>
  </si>
  <si>
    <t>Ceres</t>
  </si>
  <si>
    <t>Giovia</t>
  </si>
  <si>
    <t>주피터</t>
  </si>
  <si>
    <t>岁星</t>
  </si>
  <si>
    <t>歲星</t>
  </si>
  <si>
    <t>Saturn</t>
  </si>
  <si>
    <t>サターン</t>
  </si>
  <si>
    <t>Saturno</t>
  </si>
  <si>
    <t>Saturne</t>
  </si>
  <si>
    <t>새턴</t>
  </si>
  <si>
    <t>镇星</t>
  </si>
  <si>
    <t>鎮星</t>
  </si>
  <si>
    <t>Roark</t>
  </si>
  <si>
    <t>ヒョウタ</t>
  </si>
  <si>
    <t>Veit</t>
  </si>
  <si>
    <t>Roco</t>
  </si>
  <si>
    <t>Pierrick</t>
  </si>
  <si>
    <t>Pedro</t>
  </si>
  <si>
    <t>강석</t>
  </si>
  <si>
    <t>瓢太</t>
  </si>
  <si>
    <t>Gardenia</t>
  </si>
  <si>
    <t>ナタネ</t>
  </si>
  <si>
    <t>Silvana</t>
  </si>
  <si>
    <t>Flo</t>
  </si>
  <si>
    <t>유채</t>
  </si>
  <si>
    <t>菜种</t>
  </si>
  <si>
    <t>菜種</t>
  </si>
  <si>
    <t>Wake</t>
  </si>
  <si>
    <t>マキシ</t>
  </si>
  <si>
    <t>Marinus</t>
  </si>
  <si>
    <t>Mananti</t>
  </si>
  <si>
    <t>Lovis</t>
  </si>
  <si>
    <t>Omar</t>
  </si>
  <si>
    <t>맥실러</t>
  </si>
  <si>
    <t>吉宪</t>
  </si>
  <si>
    <t>吉憲</t>
  </si>
  <si>
    <t>Maylene</t>
  </si>
  <si>
    <t>スモモ</t>
  </si>
  <si>
    <t>Hilda</t>
  </si>
  <si>
    <t>Brega</t>
  </si>
  <si>
    <t>Mélina</t>
  </si>
  <si>
    <t>자두</t>
  </si>
  <si>
    <t>阿李</t>
  </si>
  <si>
    <t>Fantina</t>
  </si>
  <si>
    <t>メリッサ</t>
  </si>
  <si>
    <t>Lamina</t>
  </si>
  <si>
    <t>Kiméra</t>
  </si>
  <si>
    <t>Fannie</t>
  </si>
  <si>
    <t>멜리사</t>
  </si>
  <si>
    <t>梅丽莎</t>
  </si>
  <si>
    <t>梅麗莎</t>
  </si>
  <si>
    <t>Candice</t>
  </si>
  <si>
    <t>スズナ</t>
  </si>
  <si>
    <t>Frida</t>
  </si>
  <si>
    <t>Inverna</t>
  </si>
  <si>
    <t>Gladys</t>
  </si>
  <si>
    <t>무청</t>
  </si>
  <si>
    <t>小菘</t>
  </si>
  <si>
    <t>Byron</t>
  </si>
  <si>
    <t>トウガン</t>
  </si>
  <si>
    <t>Adam</t>
  </si>
  <si>
    <t>Acerón</t>
  </si>
  <si>
    <t>Charles</t>
  </si>
  <si>
    <t>Ferruccio</t>
  </si>
  <si>
    <t>동관</t>
  </si>
  <si>
    <t>东瓜</t>
  </si>
  <si>
    <t>東瓜</t>
  </si>
  <si>
    <t>Volkner</t>
  </si>
  <si>
    <t>デンジ</t>
  </si>
  <si>
    <t>Lectro</t>
  </si>
  <si>
    <t>Tanguy</t>
  </si>
  <si>
    <t>Corrado</t>
  </si>
  <si>
    <t>전진</t>
  </si>
  <si>
    <t>电次</t>
  </si>
  <si>
    <t>電次</t>
  </si>
  <si>
    <t>Aaron</t>
  </si>
  <si>
    <t>リョウ</t>
  </si>
  <si>
    <t>Herbaro</t>
  </si>
  <si>
    <t>Alecrán</t>
  </si>
  <si>
    <t>충호</t>
  </si>
  <si>
    <t>阿柳</t>
  </si>
  <si>
    <t>Bertha</t>
  </si>
  <si>
    <t>キクノ</t>
  </si>
  <si>
    <t>Teresa</t>
  </si>
  <si>
    <t>Gaia</t>
  </si>
  <si>
    <t>Terry</t>
  </si>
  <si>
    <t>Terrie</t>
  </si>
  <si>
    <t>들국화</t>
  </si>
  <si>
    <t>菊野</t>
  </si>
  <si>
    <t>Flint</t>
  </si>
  <si>
    <t>オーバ</t>
  </si>
  <si>
    <t>Ignaz</t>
  </si>
  <si>
    <t>Fausto</t>
  </si>
  <si>
    <t>Adrien</t>
  </si>
  <si>
    <t>Vulcano</t>
  </si>
  <si>
    <t>대엽</t>
  </si>
  <si>
    <t>大叶</t>
  </si>
  <si>
    <t>大葉</t>
  </si>
  <si>
    <t>Lucian</t>
  </si>
  <si>
    <t>ゴヨウ</t>
  </si>
  <si>
    <t>Delos</t>
  </si>
  <si>
    <t>Luciano</t>
  </si>
  <si>
    <t>오엽</t>
  </si>
  <si>
    <t>悟松</t>
  </si>
  <si>
    <t>Cynthia</t>
  </si>
  <si>
    <t>シロナ</t>
  </si>
  <si>
    <t>Cintia</t>
  </si>
  <si>
    <t>난천</t>
  </si>
  <si>
    <t>竹兰</t>
  </si>
  <si>
    <t>竹蘭</t>
  </si>
  <si>
    <t>MOVES</t>
  </si>
  <si>
    <t>ITEMS</t>
  </si>
  <si>
    <t>Low Warning</t>
  </si>
  <si>
    <t>High Warning</t>
  </si>
  <si>
    <t>Fake Out</t>
  </si>
  <si>
    <t>Fissure</t>
  </si>
  <si>
    <t>Focus Sash</t>
  </si>
  <si>
    <t>Quick Claw</t>
  </si>
  <si>
    <t>Protect</t>
  </si>
  <si>
    <t>Horn Drill</t>
  </si>
  <si>
    <t>King's Rock</t>
  </si>
  <si>
    <t>Focus Band</t>
  </si>
  <si>
    <t>Detect</t>
  </si>
  <si>
    <t>Guillotine</t>
  </si>
  <si>
    <t>Razor Fang</t>
  </si>
  <si>
    <t>Bright Powder</t>
  </si>
  <si>
    <t>Endure</t>
  </si>
  <si>
    <t>Sheer Cold</t>
  </si>
  <si>
    <t>Custap Berry</t>
  </si>
  <si>
    <t>Lax Incense</t>
  </si>
  <si>
    <t>King's Shield</t>
  </si>
  <si>
    <t>Minimize</t>
  </si>
  <si>
    <t>Spiky Shield</t>
  </si>
  <si>
    <t>Double Team</t>
  </si>
  <si>
    <t>Baneful Bunker</t>
  </si>
  <si>
    <t>Swagger</t>
  </si>
  <si>
    <t>Mat Block</t>
  </si>
  <si>
    <t>Confuse Ray</t>
  </si>
  <si>
    <t>Taunt</t>
  </si>
  <si>
    <t>Self-Destruct</t>
  </si>
  <si>
    <t>Explosion</t>
  </si>
  <si>
    <t>Obstruct</t>
  </si>
  <si>
    <t>#</t>
  </si>
  <si>
    <t>Species</t>
  </si>
  <si>
    <t>Move</t>
  </si>
  <si>
    <t>HP IV</t>
  </si>
  <si>
    <t>Atk IV</t>
  </si>
  <si>
    <t>Def IV</t>
  </si>
  <si>
    <t>SpA IV</t>
  </si>
  <si>
    <t>SpD IV</t>
  </si>
  <si>
    <t>Spe IV</t>
  </si>
  <si>
    <t>HP EV</t>
  </si>
  <si>
    <t>Atk EV</t>
  </si>
  <si>
    <t>Def EV</t>
  </si>
  <si>
    <t>SpA EV</t>
  </si>
  <si>
    <t>SpD EV</t>
  </si>
  <si>
    <t>Spe EV</t>
  </si>
  <si>
    <t>Atk Nature</t>
  </si>
  <si>
    <t>Def Nature</t>
  </si>
  <si>
    <t>SpA Nature</t>
  </si>
  <si>
    <t>SpD Nature</t>
  </si>
  <si>
    <t>Spe Nature</t>
  </si>
  <si>
    <t>AT</t>
  </si>
  <si>
    <t>DF</t>
  </si>
  <si>
    <t>SA</t>
  </si>
  <si>
    <t>SD</t>
  </si>
  <si>
    <t>SP</t>
  </si>
  <si>
    <t>Types</t>
  </si>
  <si>
    <t>Gender</t>
  </si>
  <si>
    <t>Master?</t>
  </si>
  <si>
    <t>Bulbasaur-1</t>
  </si>
  <si>
    <t>Bulbasaur</t>
  </si>
  <si>
    <t>Adamant</t>
  </si>
  <si>
    <t>Razor Leaf</t>
  </si>
  <si>
    <t>Take Down</t>
  </si>
  <si>
    <t>Sleep Powder</t>
  </si>
  <si>
    <t>Leech Seed</t>
  </si>
  <si>
    <t>Overgrow</t>
  </si>
  <si>
    <t>Charmander-1</t>
  </si>
  <si>
    <t>Charmander</t>
  </si>
  <si>
    <t>Scope Lens</t>
  </si>
  <si>
    <t>Fire Fang</t>
  </si>
  <si>
    <t>Brick Break</t>
  </si>
  <si>
    <t>Smokescreen</t>
  </si>
  <si>
    <t>Scary Face</t>
  </si>
  <si>
    <t>Blaze</t>
  </si>
  <si>
    <t>Squirtle-1</t>
  </si>
  <si>
    <t>Squirtle</t>
  </si>
  <si>
    <t>Aqua Tail</t>
  </si>
  <si>
    <t>Bite</t>
  </si>
  <si>
    <t>Withdraw</t>
  </si>
  <si>
    <t>Torrent</t>
  </si>
  <si>
    <t>Chikorita-1</t>
  </si>
  <si>
    <t>Chikorita</t>
  </si>
  <si>
    <t>Body Slam</t>
  </si>
  <si>
    <t>Bullet Seed</t>
  </si>
  <si>
    <t>Growl</t>
  </si>
  <si>
    <t>Light Screen</t>
  </si>
  <si>
    <t>Cyndaquil-1</t>
  </si>
  <si>
    <t>Cyndaquil</t>
  </si>
  <si>
    <t>Docile</t>
  </si>
  <si>
    <t>Flame Wheel</t>
  </si>
  <si>
    <t>Swift</t>
  </si>
  <si>
    <t>Quick Attack</t>
  </si>
  <si>
    <t>Totodile-1</t>
  </si>
  <si>
    <t>Totodile</t>
  </si>
  <si>
    <t>Bashful</t>
  </si>
  <si>
    <t>Slash</t>
  </si>
  <si>
    <t>Water Pulse</t>
  </si>
  <si>
    <t>Screech</t>
  </si>
  <si>
    <t>Treecko-1</t>
  </si>
  <si>
    <t>Treecko</t>
  </si>
  <si>
    <t>Quirky</t>
  </si>
  <si>
    <t>Big Root</t>
  </si>
  <si>
    <t>Mega Drain</t>
  </si>
  <si>
    <t>Aerial Ace</t>
  </si>
  <si>
    <t>Flash</t>
  </si>
  <si>
    <t>Torchic-1</t>
  </si>
  <si>
    <t>Torchic</t>
  </si>
  <si>
    <t>Shuca Berry</t>
  </si>
  <si>
    <t>Flame Charge</t>
  </si>
  <si>
    <t>Sand Attack</t>
  </si>
  <si>
    <t>Mudkip-1</t>
  </si>
  <si>
    <t>Mudkip</t>
  </si>
  <si>
    <t>Rindo Berry</t>
  </si>
  <si>
    <t>Endeavor</t>
  </si>
  <si>
    <t>Rock Slide</t>
  </si>
  <si>
    <t>Dig</t>
  </si>
  <si>
    <t>Turtwig-1</t>
  </si>
  <si>
    <t>Turtwig</t>
  </si>
  <si>
    <t>Brave</t>
  </si>
  <si>
    <t>Occa Berry</t>
  </si>
  <si>
    <t>Grass Knot</t>
  </si>
  <si>
    <t>Curse</t>
  </si>
  <si>
    <t>Chimchar-1</t>
  </si>
  <si>
    <t>Chimchar</t>
  </si>
  <si>
    <t>Timid</t>
  </si>
  <si>
    <t>Sitrus Berry</t>
  </si>
  <si>
    <t>Fire Spin</t>
  </si>
  <si>
    <t>Nasty Plot</t>
  </si>
  <si>
    <t>Piplup-1</t>
  </si>
  <si>
    <t>Piplup</t>
  </si>
  <si>
    <t>Lax</t>
  </si>
  <si>
    <t>Wacan Berry</t>
  </si>
  <si>
    <t>Bubble Beam</t>
  </si>
  <si>
    <t>Peck</t>
  </si>
  <si>
    <t>Mist</t>
  </si>
  <si>
    <t>Kricketot-1</t>
  </si>
  <si>
    <t>Kricketot</t>
  </si>
  <si>
    <t>Impish</t>
  </si>
  <si>
    <t>Sticky Barb</t>
  </si>
  <si>
    <t>Struggle Bug</t>
  </si>
  <si>
    <t>Bug Bite</t>
  </si>
  <si>
    <t>Pound</t>
  </si>
  <si>
    <t>Shed Skin</t>
  </si>
  <si>
    <t>Happiny-1</t>
  </si>
  <si>
    <t>Happiny</t>
  </si>
  <si>
    <t>Modest</t>
  </si>
  <si>
    <t>Lucky Punch</t>
  </si>
  <si>
    <t>Sweet Kiss</t>
  </si>
  <si>
    <t>Psychic</t>
  </si>
  <si>
    <t>Flamethrower</t>
  </si>
  <si>
    <t>Shadow Ball</t>
  </si>
  <si>
    <t>Serene Grace</t>
  </si>
  <si>
    <t>Burmy-1</t>
  </si>
  <si>
    <t>Burmy</t>
  </si>
  <si>
    <t>Choice Scarf</t>
  </si>
  <si>
    <t>String Shot</t>
  </si>
  <si>
    <t>---</t>
  </si>
  <si>
    <t>Shedinja-1</t>
  </si>
  <si>
    <t>Shedinja</t>
  </si>
  <si>
    <t>Shadow Sneak</t>
  </si>
  <si>
    <t>X-Scissor</t>
  </si>
  <si>
    <t>Wonder Guard</t>
  </si>
  <si>
    <t>Starly-1</t>
  </si>
  <si>
    <t>Starly</t>
  </si>
  <si>
    <t>Sharp Beak</t>
  </si>
  <si>
    <t>Wing Attack</t>
  </si>
  <si>
    <t>Keen Eye</t>
  </si>
  <si>
    <t>Combee-1</t>
  </si>
  <si>
    <t>Combee</t>
  </si>
  <si>
    <t>Sweet Scent</t>
  </si>
  <si>
    <t>Gust</t>
  </si>
  <si>
    <t>Honey Gather</t>
  </si>
  <si>
    <t>Bidoof-1</t>
  </si>
  <si>
    <t>Bidoof</t>
  </si>
  <si>
    <t>Leftovers</t>
  </si>
  <si>
    <t>Headbutt</t>
  </si>
  <si>
    <t>Pluck</t>
  </si>
  <si>
    <t>Yawn</t>
  </si>
  <si>
    <t>Simple</t>
  </si>
  <si>
    <t>Shinx-1</t>
  </si>
  <si>
    <t>Shinx</t>
  </si>
  <si>
    <t>Jolly</t>
  </si>
  <si>
    <t>Spark</t>
  </si>
  <si>
    <t>Roar</t>
  </si>
  <si>
    <t>Leer</t>
  </si>
  <si>
    <t>Intimidate</t>
  </si>
  <si>
    <t>Cherubi-1</t>
  </si>
  <si>
    <t>Cherubi</t>
  </si>
  <si>
    <t>Magical Leaf</t>
  </si>
  <si>
    <t>Sunny Day</t>
  </si>
  <si>
    <t>Chlorophyll</t>
  </si>
  <si>
    <t>Budew-1</t>
  </si>
  <si>
    <t>Budew</t>
  </si>
  <si>
    <t>Giga Drain</t>
  </si>
  <si>
    <t>Stun Spore</t>
  </si>
  <si>
    <t>Worry Seed</t>
  </si>
  <si>
    <t>Growth</t>
  </si>
  <si>
    <t>Poison Point</t>
  </si>
  <si>
    <t>Chimecho-1</t>
  </si>
  <si>
    <t>Chimecho</t>
  </si>
  <si>
    <t>Grip Claw</t>
  </si>
  <si>
    <t>Extrasensory</t>
  </si>
  <si>
    <t>Uproar</t>
  </si>
  <si>
    <t>Levitate</t>
  </si>
  <si>
    <t>Riolu-1</t>
  </si>
  <si>
    <t>Riolu</t>
  </si>
  <si>
    <t>Force Palm</t>
  </si>
  <si>
    <t>Counter</t>
  </si>
  <si>
    <t>Copycat</t>
  </si>
  <si>
    <t>Prankster</t>
  </si>
  <si>
    <t>Bonsly-1</t>
  </si>
  <si>
    <t>Bonsly</t>
  </si>
  <si>
    <t>Careful</t>
  </si>
  <si>
    <t>Passho Berry</t>
  </si>
  <si>
    <t>Fake Tears</t>
  </si>
  <si>
    <t>Rock Throw</t>
  </si>
  <si>
    <t>Low Kick</t>
  </si>
  <si>
    <t>Sturdy</t>
  </si>
  <si>
    <t>Shuppet-1</t>
  </si>
  <si>
    <t>Shuppet</t>
  </si>
  <si>
    <t>Rawst Berry</t>
  </si>
  <si>
    <t>Will-O-Wisp</t>
  </si>
  <si>
    <t>Grudge</t>
  </si>
  <si>
    <t>Knock Off</t>
  </si>
  <si>
    <t>Insomnia</t>
  </si>
  <si>
    <t>Duskull-1</t>
  </si>
  <si>
    <t>Duskull</t>
  </si>
  <si>
    <t>Spell Tag</t>
  </si>
  <si>
    <t>Disable</t>
  </si>
  <si>
    <t>Vulpix-1</t>
  </si>
  <si>
    <t>Vulpix</t>
  </si>
  <si>
    <t>Drought</t>
  </si>
  <si>
    <t>Pikachu-1</t>
  </si>
  <si>
    <t>Pikachu</t>
  </si>
  <si>
    <t>Light Ball</t>
  </si>
  <si>
    <t>Iron Tail</t>
  </si>
  <si>
    <t>Lightning Rod</t>
  </si>
  <si>
    <t>Sandshrew-1</t>
  </si>
  <si>
    <t>Sandshrew</t>
  </si>
  <si>
    <t>Soft Sand</t>
  </si>
  <si>
    <t>Rock Tomb</t>
  </si>
  <si>
    <t>Sandstorm</t>
  </si>
  <si>
    <t>Sand Rush</t>
  </si>
  <si>
    <t>Geodude-1</t>
  </si>
  <si>
    <t>Geodude</t>
  </si>
  <si>
    <t>Bulldoze</t>
  </si>
  <si>
    <t>Rock Blast</t>
  </si>
  <si>
    <t>Strength</t>
  </si>
  <si>
    <t>Dratini-1</t>
  </si>
  <si>
    <t>Dratini</t>
  </si>
  <si>
    <t>Persim Berry</t>
  </si>
  <si>
    <t>Outrage</t>
  </si>
  <si>
    <t>Thunder Wave</t>
  </si>
  <si>
    <t>Dragon Dance</t>
  </si>
  <si>
    <t>Snubbull-1</t>
  </si>
  <si>
    <t>Snubbull</t>
  </si>
  <si>
    <t>Charm</t>
  </si>
  <si>
    <t>Remoraid-1</t>
  </si>
  <si>
    <t>Remoraid</t>
  </si>
  <si>
    <t>Petaya Berry</t>
  </si>
  <si>
    <t>Aurora Beam</t>
  </si>
  <si>
    <t>Psybeam</t>
  </si>
  <si>
    <t>Sniper</t>
  </si>
  <si>
    <t>Larvitar-1</t>
  </si>
  <si>
    <t>Larvitar</t>
  </si>
  <si>
    <t>Thrash</t>
  </si>
  <si>
    <t>Guts</t>
  </si>
  <si>
    <t>Baltoy-1</t>
  </si>
  <si>
    <t>Baltoy</t>
  </si>
  <si>
    <t>Twisted Spoon</t>
  </si>
  <si>
    <t>Ancient Power</t>
  </si>
  <si>
    <t>Mud-Slap</t>
  </si>
  <si>
    <t>Snorunt-1</t>
  </si>
  <si>
    <t>Snorunt</t>
  </si>
  <si>
    <t>Icy Wind</t>
  </si>
  <si>
    <t>Moody</t>
  </si>
  <si>
    <t>Bagon-1</t>
  </si>
  <si>
    <t>Bagon</t>
  </si>
  <si>
    <t>Naughty</t>
  </si>
  <si>
    <t>Liechi Berry</t>
  </si>
  <si>
    <t>Dragon Breath</t>
  </si>
  <si>
    <t>Rock Head</t>
  </si>
  <si>
    <t>Bronzor-1</t>
  </si>
  <si>
    <t>Bronzor</t>
  </si>
  <si>
    <t>Hardy</t>
  </si>
  <si>
    <t>Confusion</t>
  </si>
  <si>
    <t>Hypnosis</t>
  </si>
  <si>
    <t>Gyro Ball</t>
  </si>
  <si>
    <t>Gible-1</t>
  </si>
  <si>
    <t>Gible</t>
  </si>
  <si>
    <t>Dragon Claw</t>
  </si>
  <si>
    <t>Sand Tomb</t>
  </si>
  <si>
    <t>Rough Skin</t>
  </si>
  <si>
    <t>Croagunk-1</t>
  </si>
  <si>
    <t>Croagunk</t>
  </si>
  <si>
    <t>Black Sludge</t>
  </si>
  <si>
    <t>Poison Jab</t>
  </si>
  <si>
    <t>Poison Touch</t>
  </si>
  <si>
    <t>Venonat-1</t>
  </si>
  <si>
    <t>Venonat</t>
  </si>
  <si>
    <t>Relaxed</t>
  </si>
  <si>
    <t>Supersonic</t>
  </si>
  <si>
    <t>Skill Swap</t>
  </si>
  <si>
    <t>Compound Eyes</t>
  </si>
  <si>
    <t>Machop-1</t>
  </si>
  <si>
    <t>Machop</t>
  </si>
  <si>
    <t>Seismic Toss</t>
  </si>
  <si>
    <t>Revenge</t>
  </si>
  <si>
    <t>No Guard</t>
  </si>
  <si>
    <t>Smoochum-1</t>
  </si>
  <si>
    <t>Smoochum</t>
  </si>
  <si>
    <t>Sing</t>
  </si>
  <si>
    <t>Ice Beam</t>
  </si>
  <si>
    <t>Oblivious</t>
  </si>
  <si>
    <t>Carvanha-1</t>
  </si>
  <si>
    <t>Carvanha</t>
  </si>
  <si>
    <t>Quiet</t>
  </si>
  <si>
    <t>Shell Bell</t>
  </si>
  <si>
    <t>Numel-1</t>
  </si>
  <si>
    <t>Numel</t>
  </si>
  <si>
    <t>Ember</t>
  </si>
  <si>
    <t>Earth Power</t>
  </si>
  <si>
    <t>Corphish-1</t>
  </si>
  <si>
    <t>Corphish</t>
  </si>
  <si>
    <t>Mystic Water</t>
  </si>
  <si>
    <t>Crabhammer</t>
  </si>
  <si>
    <t>Adaptability</t>
  </si>
  <si>
    <t>Doduo-1</t>
  </si>
  <si>
    <t>Doduo</t>
  </si>
  <si>
    <t>Fury Attack</t>
  </si>
  <si>
    <t>Rest</t>
  </si>
  <si>
    <t>Early Bird</t>
  </si>
  <si>
    <t>Swablu-1</t>
  </si>
  <si>
    <t>Swablu</t>
  </si>
  <si>
    <t>Lonely</t>
  </si>
  <si>
    <t>Mental Herb</t>
  </si>
  <si>
    <t>Dream Eater</t>
  </si>
  <si>
    <t>Attract</t>
  </si>
  <si>
    <t>Cloud Nine</t>
  </si>
  <si>
    <t>Glameow-1</t>
  </si>
  <si>
    <t>Glameow</t>
  </si>
  <si>
    <t>Fury Swipes</t>
  </si>
  <si>
    <t>Limber</t>
  </si>
  <si>
    <t>Bulbasaur-2</t>
  </si>
  <si>
    <t>Toxic</t>
  </si>
  <si>
    <t>Synthesis</t>
  </si>
  <si>
    <t>Charmander-2</t>
  </si>
  <si>
    <t>Inferno</t>
  </si>
  <si>
    <t>Squirtle-2</t>
  </si>
  <si>
    <t>Brine</t>
  </si>
  <si>
    <t>Chikorita-2</t>
  </si>
  <si>
    <t>Bold</t>
  </si>
  <si>
    <t>Reflect</t>
  </si>
  <si>
    <t>Poison Powder</t>
  </si>
  <si>
    <t>Cyndaquil-2</t>
  </si>
  <si>
    <t>Lava Plume</t>
  </si>
  <si>
    <t>Rollout</t>
  </si>
  <si>
    <t>Totodile-2</t>
  </si>
  <si>
    <t>Waterfall</t>
  </si>
  <si>
    <t>Treecko-2</t>
  </si>
  <si>
    <t>Torchic-2</t>
  </si>
  <si>
    <t>Feather Dance</t>
  </si>
  <si>
    <t>Mudkip-2</t>
  </si>
  <si>
    <t>Avalanche</t>
  </si>
  <si>
    <t>Turtwig-2</t>
  </si>
  <si>
    <t>Chimchar-2</t>
  </si>
  <si>
    <t>Acrobatics</t>
  </si>
  <si>
    <t>Bulk Up</t>
  </si>
  <si>
    <t>Piplup-2</t>
  </si>
  <si>
    <t>Scald</t>
  </si>
  <si>
    <t>Kricketot-2</t>
  </si>
  <si>
    <t>Happiny-2</t>
  </si>
  <si>
    <t>Burmy-2</t>
  </si>
  <si>
    <t>Shedinja-2</t>
  </si>
  <si>
    <t>Choice Band</t>
  </si>
  <si>
    <t>Shadow Claw</t>
  </si>
  <si>
    <t>Metal Claw</t>
  </si>
  <si>
    <t>Starly-2</t>
  </si>
  <si>
    <t>Muscle Band</t>
  </si>
  <si>
    <t>Thief</t>
  </si>
  <si>
    <t>Reckless</t>
  </si>
  <si>
    <t>Combee-2</t>
  </si>
  <si>
    <t>Bidoof-2</t>
  </si>
  <si>
    <t>Metronome</t>
  </si>
  <si>
    <t>Defense Curl</t>
  </si>
  <si>
    <t>Shinx-2</t>
  </si>
  <si>
    <t>Cherubi-2</t>
  </si>
  <si>
    <t>Budew-2</t>
  </si>
  <si>
    <t>Chimecho-2</t>
  </si>
  <si>
    <t>Wrap</t>
  </si>
  <si>
    <t>Astonish</t>
  </si>
  <si>
    <t>Riolu-2</t>
  </si>
  <si>
    <t>Bonsly-2</t>
  </si>
  <si>
    <t>Shuppet-2</t>
  </si>
  <si>
    <t>Duskull-2</t>
  </si>
  <si>
    <t>Vulpix-2</t>
  </si>
  <si>
    <t>Pikachu-2</t>
  </si>
  <si>
    <t>Sandshrew-2</t>
  </si>
  <si>
    <t>Geodude-2</t>
  </si>
  <si>
    <t>Dratini-2</t>
  </si>
  <si>
    <t>Snubbull-2</t>
  </si>
  <si>
    <t>Remoraid-2</t>
  </si>
  <si>
    <t>Larvitar-2</t>
  </si>
  <si>
    <t>Baltoy-2</t>
  </si>
  <si>
    <t>Snorunt-2</t>
  </si>
  <si>
    <t>Bagon-2</t>
  </si>
  <si>
    <t>Bronzor-2</t>
  </si>
  <si>
    <t>Gible-2</t>
  </si>
  <si>
    <t>Croagunk-2</t>
  </si>
  <si>
    <t>Venonat-2</t>
  </si>
  <si>
    <t>Machop-2</t>
  </si>
  <si>
    <t>Smoochum-2</t>
  </si>
  <si>
    <t>Carvanha-2</t>
  </si>
  <si>
    <t>Numel-2</t>
  </si>
  <si>
    <t>Corphish-2</t>
  </si>
  <si>
    <t>Doduo-2</t>
  </si>
  <si>
    <t>Swablu-2</t>
  </si>
  <si>
    <t>Glameow-2</t>
  </si>
  <si>
    <t>Mime Jr.-1</t>
  </si>
  <si>
    <t>Mime Jr.</t>
  </si>
  <si>
    <t>Soundproof</t>
  </si>
  <si>
    <t>Slowpoke-1</t>
  </si>
  <si>
    <t>Slowpoke</t>
  </si>
  <si>
    <t>Oddish-1</t>
  </si>
  <si>
    <t>Oddish</t>
  </si>
  <si>
    <t>Pecha Berry</t>
  </si>
  <si>
    <t>Acid</t>
  </si>
  <si>
    <t>Moonlight</t>
  </si>
  <si>
    <t>Psyduck-1</t>
  </si>
  <si>
    <t>Psyduck</t>
  </si>
  <si>
    <t>Hasty</t>
  </si>
  <si>
    <t>Cubone-1</t>
  </si>
  <si>
    <t>Cubone</t>
  </si>
  <si>
    <t>Bonemerang</t>
  </si>
  <si>
    <t>Battle Armor</t>
  </si>
  <si>
    <t>Goldeen-1</t>
  </si>
  <si>
    <t>Goldeen</t>
  </si>
  <si>
    <t>Agility</t>
  </si>
  <si>
    <t>Natu-1</t>
  </si>
  <si>
    <t>Natu</t>
  </si>
  <si>
    <t>Night Shade</t>
  </si>
  <si>
    <t>Future Sight</t>
  </si>
  <si>
    <t>Magic Bounce</t>
  </si>
  <si>
    <t>Clefairy-1</t>
  </si>
  <si>
    <t>Clefairy</t>
  </si>
  <si>
    <t>Moonblast</t>
  </si>
  <si>
    <t>Encore</t>
  </si>
  <si>
    <t>Magic Guard</t>
  </si>
  <si>
    <t>Magnemite-1</t>
  </si>
  <si>
    <t>Magnemite</t>
  </si>
  <si>
    <t>Shock Wave</t>
  </si>
  <si>
    <t>Metal Sound</t>
  </si>
  <si>
    <t>Seel-1</t>
  </si>
  <si>
    <t>Seel</t>
  </si>
  <si>
    <t>Aspear Berry</t>
  </si>
  <si>
    <t>Dive</t>
  </si>
  <si>
    <t>Surf</t>
  </si>
  <si>
    <t>Thick Fat</t>
  </si>
  <si>
    <t>Grimer-1</t>
  </si>
  <si>
    <t>Grimer</t>
  </si>
  <si>
    <t>Sludge</t>
  </si>
  <si>
    <t>Acid Armor</t>
  </si>
  <si>
    <t>Stench</t>
  </si>
  <si>
    <t>Krabby-1</t>
  </si>
  <si>
    <t>Krabby</t>
  </si>
  <si>
    <t>Mud Shot</t>
  </si>
  <si>
    <t>Flail</t>
  </si>
  <si>
    <t>Hyper Cutter</t>
  </si>
  <si>
    <t>Exeggcute-1</t>
  </si>
  <si>
    <t>Exeggcute</t>
  </si>
  <si>
    <t>Eevee-1</t>
  </si>
  <si>
    <t>Eevee</t>
  </si>
  <si>
    <t>Salac Berry</t>
  </si>
  <si>
    <t>Shellos-1</t>
  </si>
  <si>
    <t>Shellos</t>
  </si>
  <si>
    <t>Harden</t>
  </si>
  <si>
    <t>Rain Dance</t>
  </si>
  <si>
    <t>Storm Drain</t>
  </si>
  <si>
    <t>Drowzee-1</t>
  </si>
  <si>
    <t>Drowzee</t>
  </si>
  <si>
    <t>Stunky-1</t>
  </si>
  <si>
    <t>Stunky</t>
  </si>
  <si>
    <t>Poison Barb</t>
  </si>
  <si>
    <t>Poison Gas</t>
  </si>
  <si>
    <t>Aftermath</t>
  </si>
  <si>
    <t>Voltorb-1</t>
  </si>
  <si>
    <t>Voltorb</t>
  </si>
  <si>
    <t>Chinchou-1</t>
  </si>
  <si>
    <t>Chinchou</t>
  </si>
  <si>
    <t>Volt Absorb</t>
  </si>
  <si>
    <t>Teddiursa-1</t>
  </si>
  <si>
    <t>Teddiursa</t>
  </si>
  <si>
    <t>Chesto Berry</t>
  </si>
  <si>
    <t>Lick</t>
  </si>
  <si>
    <t>Pickup</t>
  </si>
  <si>
    <t>Delibird-1</t>
  </si>
  <si>
    <t>Delibird</t>
  </si>
  <si>
    <t>Never-Melt Ice</t>
  </si>
  <si>
    <t>Present</t>
  </si>
  <si>
    <t>Hail</t>
  </si>
  <si>
    <t>Vital Spirit</t>
  </si>
  <si>
    <t>Houndour-1</t>
  </si>
  <si>
    <t>Houndour</t>
  </si>
  <si>
    <t>Charcoal</t>
  </si>
  <si>
    <t>Crunch</t>
  </si>
  <si>
    <t>Flash Fire</t>
  </si>
  <si>
    <t>Phanpy-1</t>
  </si>
  <si>
    <t>Phanpy</t>
  </si>
  <si>
    <t>Aron-1</t>
  </si>
  <si>
    <t>Aron</t>
  </si>
  <si>
    <t>Metal Coat</t>
  </si>
  <si>
    <t>Spoink-1</t>
  </si>
  <si>
    <t>Spoink</t>
  </si>
  <si>
    <t>Bounce</t>
  </si>
  <si>
    <t>Magic Coat</t>
  </si>
  <si>
    <t>Luvdisc-1</t>
  </si>
  <si>
    <t>Luvdisc</t>
  </si>
  <si>
    <t>Swift Swim</t>
  </si>
  <si>
    <t>Buizel-1</t>
  </si>
  <si>
    <t>Buizel</t>
  </si>
  <si>
    <t>Aqua Jet</t>
  </si>
  <si>
    <t>Hippopotas-1</t>
  </si>
  <si>
    <t>Hippopotas</t>
  </si>
  <si>
    <t>Sand Stream</t>
  </si>
  <si>
    <t>Skorupi-1</t>
  </si>
  <si>
    <t>Skorupi</t>
  </si>
  <si>
    <t>Payapa Berry</t>
  </si>
  <si>
    <t>Poison Sting</t>
  </si>
  <si>
    <t>Toxic Spikes</t>
  </si>
  <si>
    <t>Finneon-1</t>
  </si>
  <si>
    <t>Finneon</t>
  </si>
  <si>
    <t>Wave Incense</t>
  </si>
  <si>
    <t>Aqua Ring</t>
  </si>
  <si>
    <t>Snover-1</t>
  </si>
  <si>
    <t>Snover</t>
  </si>
  <si>
    <t>Icy Rock</t>
  </si>
  <si>
    <t>Blizzard</t>
  </si>
  <si>
    <t>Ice Shard</t>
  </si>
  <si>
    <t>Snow Warning</t>
  </si>
  <si>
    <t>Tentacool-1</t>
  </si>
  <si>
    <t>Tentacool</t>
  </si>
  <si>
    <t>Sludge Bomb</t>
  </si>
  <si>
    <t>Liquid Ooze</t>
  </si>
  <si>
    <t>Cacnea-1</t>
  </si>
  <si>
    <t>Cacnea</t>
  </si>
  <si>
    <t>Pin Missile</t>
  </si>
  <si>
    <t>Payback</t>
  </si>
  <si>
    <t>Cotton Spore</t>
  </si>
  <si>
    <t>Water Absorb</t>
  </si>
  <si>
    <t>Koffing-1</t>
  </si>
  <si>
    <t>Koffing</t>
  </si>
  <si>
    <t>Torment</t>
  </si>
  <si>
    <t>Haze</t>
  </si>
  <si>
    <t>Staryu-1</t>
  </si>
  <si>
    <t>Staryu</t>
  </si>
  <si>
    <t>Illuminate</t>
  </si>
  <si>
    <t>Skiploom-1</t>
  </si>
  <si>
    <t>Skiploom</t>
  </si>
  <si>
    <t>Lombre-1</t>
  </si>
  <si>
    <t>Lombre</t>
  </si>
  <si>
    <t>Yache Berry</t>
  </si>
  <si>
    <t>Absorb</t>
  </si>
  <si>
    <t>Nuzleaf-1</t>
  </si>
  <si>
    <t>Nuzleaf</t>
  </si>
  <si>
    <t>Vibrava-1</t>
  </si>
  <si>
    <t>Vibrava</t>
  </si>
  <si>
    <t>Cheri Berry</t>
  </si>
  <si>
    <t>Staravia-1</t>
  </si>
  <si>
    <t>Staravia</t>
  </si>
  <si>
    <t>Charti Berry</t>
  </si>
  <si>
    <t>Whirlwind</t>
  </si>
  <si>
    <t>Rhyhorn-1</t>
  </si>
  <si>
    <t>Rhyhorn</t>
  </si>
  <si>
    <t>Clamperl-1</t>
  </si>
  <si>
    <t>Clamperl</t>
  </si>
  <si>
    <t>Deep Sea Scale</t>
  </si>
  <si>
    <t>Iron Defense</t>
  </si>
  <si>
    <t>Shell Armor</t>
  </si>
  <si>
    <t>Mantyke-1</t>
  </si>
  <si>
    <t>Mantyke</t>
  </si>
  <si>
    <t>Air Slash</t>
  </si>
  <si>
    <t>Drifloon-1</t>
  </si>
  <si>
    <t>Drifloon</t>
  </si>
  <si>
    <t>Pidgeotto-1</t>
  </si>
  <si>
    <t>Pidgeotto</t>
  </si>
  <si>
    <t>White Herb</t>
  </si>
  <si>
    <t>Big Pecks</t>
  </si>
  <si>
    <t>Growlithe-1</t>
  </si>
  <si>
    <t>Growlithe</t>
  </si>
  <si>
    <t>Cranidos-1</t>
  </si>
  <si>
    <t>Cranidos</t>
  </si>
  <si>
    <t>Mold Breaker</t>
  </si>
  <si>
    <t>Shieldon-1</t>
  </si>
  <si>
    <t>Shieldon</t>
  </si>
  <si>
    <t>Sassy</t>
  </si>
  <si>
    <t>Buneary-1</t>
  </si>
  <si>
    <t>Buneary</t>
  </si>
  <si>
    <t>Black Belt</t>
  </si>
  <si>
    <t>Splash</t>
  </si>
  <si>
    <t>Farfetch'd-1</t>
  </si>
  <si>
    <t>Farfetch'd</t>
  </si>
  <si>
    <t>Leek</t>
  </si>
  <si>
    <t>Swords Dance</t>
  </si>
  <si>
    <t>Defiant</t>
  </si>
  <si>
    <t>Omanyte-1</t>
  </si>
  <si>
    <t>Omanyte</t>
  </si>
  <si>
    <t>Water Gun</t>
  </si>
  <si>
    <t>Tickle</t>
  </si>
  <si>
    <t>Kabuto-1</t>
  </si>
  <si>
    <t>Kabuto</t>
  </si>
  <si>
    <t>Lileep-1</t>
  </si>
  <si>
    <t>Lileep</t>
  </si>
  <si>
    <t>Ingrain</t>
  </si>
  <si>
    <t>Anorith-1</t>
  </si>
  <si>
    <t>Anorith</t>
  </si>
  <si>
    <t>Fury Cutter</t>
  </si>
  <si>
    <t>Aipom-1</t>
  </si>
  <si>
    <t>Aipom</t>
  </si>
  <si>
    <t>Silk Scarf</t>
  </si>
  <si>
    <t>Baton Pass</t>
  </si>
  <si>
    <t>Skill Link</t>
  </si>
  <si>
    <t>Elekid-1</t>
  </si>
  <si>
    <t>Elekid</t>
  </si>
  <si>
    <t>Naive</t>
  </si>
  <si>
    <t>Thunder Punch</t>
  </si>
  <si>
    <t>Static</t>
  </si>
  <si>
    <t>Loudred-1</t>
  </si>
  <si>
    <t>Loudred</t>
  </si>
  <si>
    <t>Hyper Voice</t>
  </si>
  <si>
    <t>Howl</t>
  </si>
  <si>
    <t>Scrappy</t>
  </si>
  <si>
    <t>Spinda-1</t>
  </si>
  <si>
    <t>Spinda</t>
  </si>
  <si>
    <t>Teeter Dance</t>
  </si>
  <si>
    <t>Own Tempo</t>
  </si>
  <si>
    <t>Luxio-1</t>
  </si>
  <si>
    <t>Luxio</t>
  </si>
  <si>
    <t>Magnet</t>
  </si>
  <si>
    <t>Nidorina-1</t>
  </si>
  <si>
    <t>Nidorina</t>
  </si>
  <si>
    <t>Double Kick</t>
  </si>
  <si>
    <t>Flatter</t>
  </si>
  <si>
    <t>Nidorino-1</t>
  </si>
  <si>
    <t>Nidorino</t>
  </si>
  <si>
    <t>Flaaffy-1</t>
  </si>
  <si>
    <t>Flaaffy</t>
  </si>
  <si>
    <t>Mild</t>
  </si>
  <si>
    <t>Magby-1</t>
  </si>
  <si>
    <t>Magby</t>
  </si>
  <si>
    <t>Fire Punch</t>
  </si>
  <si>
    <t>Smog</t>
  </si>
  <si>
    <t>Flame Body</t>
  </si>
  <si>
    <t>Nosepass-1</t>
  </si>
  <si>
    <t>Nosepass</t>
  </si>
  <si>
    <t>Hard Stone</t>
  </si>
  <si>
    <t>Corsola-1</t>
  </si>
  <si>
    <t>Corsola</t>
  </si>
  <si>
    <t>Mirror Coat</t>
  </si>
  <si>
    <t>Natural Cure</t>
  </si>
  <si>
    <t>Delcatty-1</t>
  </si>
  <si>
    <t>Delcatty</t>
  </si>
  <si>
    <t>Cute Charm</t>
  </si>
  <si>
    <t>Sableye-1</t>
  </si>
  <si>
    <t>Sableye</t>
  </si>
  <si>
    <t>Black Glasses</t>
  </si>
  <si>
    <t>Mawile-1</t>
  </si>
  <si>
    <t>Mawile</t>
  </si>
  <si>
    <t>Kricketune-1</t>
  </si>
  <si>
    <t>Kricketune</t>
  </si>
  <si>
    <t>Sticky Web</t>
  </si>
  <si>
    <t>Swarm</t>
  </si>
  <si>
    <t>Butterfree-1</t>
  </si>
  <si>
    <t>Butterfree</t>
  </si>
  <si>
    <t>Quiver Dance</t>
  </si>
  <si>
    <t>Substitute</t>
  </si>
  <si>
    <t>Bug Buzz</t>
  </si>
  <si>
    <t>Beedrill-1</t>
  </si>
  <si>
    <t>Beedrill</t>
  </si>
  <si>
    <t>Fell Stinger</t>
  </si>
  <si>
    <t>Poliwhirl-1</t>
  </si>
  <si>
    <t>Poliwhirl</t>
  </si>
  <si>
    <t>Onix-1</t>
  </si>
  <si>
    <t>Onix</t>
  </si>
  <si>
    <t>Bind</t>
  </si>
  <si>
    <t>Lickitung-1</t>
  </si>
  <si>
    <t>Lickitung</t>
  </si>
  <si>
    <t>Slam</t>
  </si>
  <si>
    <t>Beautifly-1</t>
  </si>
  <si>
    <t>Beautifly</t>
  </si>
  <si>
    <t>Dustox-1</t>
  </si>
  <si>
    <t>Dustox</t>
  </si>
  <si>
    <t>Silver Powder</t>
  </si>
  <si>
    <t>Shield Dust</t>
  </si>
  <si>
    <t>Weepinbell-1</t>
  </si>
  <si>
    <t>Weepinbell</t>
  </si>
  <si>
    <t>Aguav Berry</t>
  </si>
  <si>
    <t>Gluttony</t>
  </si>
  <si>
    <t>Graveler-1</t>
  </si>
  <si>
    <t>Graveler</t>
  </si>
  <si>
    <t>Ledian-1</t>
  </si>
  <si>
    <t>Ledian</t>
  </si>
  <si>
    <t>Ariados-1</t>
  </si>
  <si>
    <t>Ariados</t>
  </si>
  <si>
    <t>Toxic Thread</t>
  </si>
  <si>
    <t>Yanma-1</t>
  </si>
  <si>
    <t>Yanma</t>
  </si>
  <si>
    <t>Speed Boost</t>
  </si>
  <si>
    <t>Munchlax-1</t>
  </si>
  <si>
    <t>Munchlax</t>
  </si>
  <si>
    <t>Figy Berry</t>
  </si>
  <si>
    <t>Recycle</t>
  </si>
  <si>
    <t>Stockpile</t>
  </si>
  <si>
    <t>Gloom-1</t>
  </si>
  <si>
    <t>Gloom</t>
  </si>
  <si>
    <t>Petal Dance</t>
  </si>
  <si>
    <t>Porygon-1</t>
  </si>
  <si>
    <t>Porygon</t>
  </si>
  <si>
    <t>Tri Attack</t>
  </si>
  <si>
    <t>Download</t>
  </si>
  <si>
    <t>Kadabra-1</t>
  </si>
  <si>
    <t>Kadabra</t>
  </si>
  <si>
    <t>Role Play</t>
  </si>
  <si>
    <t>Inner Focus</t>
  </si>
  <si>
    <t>Volbeat-1</t>
  </si>
  <si>
    <t>Volbeat</t>
  </si>
  <si>
    <t>Helping Hand</t>
  </si>
  <si>
    <t>Illumise-1</t>
  </si>
  <si>
    <t>Illumise</t>
  </si>
  <si>
    <t>Wish</t>
  </si>
  <si>
    <t>Tinted Lens</t>
  </si>
  <si>
    <t>Roselia-1</t>
  </si>
  <si>
    <t>Roselia</t>
  </si>
  <si>
    <t>Wailmer-1</t>
  </si>
  <si>
    <t>Wailmer</t>
  </si>
  <si>
    <t>Whirlpool</t>
  </si>
  <si>
    <t>Parasect-1</t>
  </si>
  <si>
    <t>Parasect</t>
  </si>
  <si>
    <t>Rash</t>
  </si>
  <si>
    <t>Spore</t>
  </si>
  <si>
    <t>Effect Spore</t>
  </si>
  <si>
    <t>Machoke-1</t>
  </si>
  <si>
    <t>Machoke</t>
  </si>
  <si>
    <t>Facade</t>
  </si>
  <si>
    <t>Haunter-1</t>
  </si>
  <si>
    <t>Haunter</t>
  </si>
  <si>
    <t>Shadow Punch</t>
  </si>
  <si>
    <t>Spite</t>
  </si>
  <si>
    <t>Togetic-1</t>
  </si>
  <si>
    <t>Togetic</t>
  </si>
  <si>
    <t>Dazzling Gleam</t>
  </si>
  <si>
    <t>Follow Me</t>
  </si>
  <si>
    <t>Murkrow-1</t>
  </si>
  <si>
    <t>Murkrow</t>
  </si>
  <si>
    <t>Dark Pulse</t>
  </si>
  <si>
    <t>Fly</t>
  </si>
  <si>
    <t>Wobbuffet-1</t>
  </si>
  <si>
    <t>Wobbuffet</t>
  </si>
  <si>
    <t>Safeguard</t>
  </si>
  <si>
    <t>Shadow Tag</t>
  </si>
  <si>
    <t>Plusle-1</t>
  </si>
  <si>
    <t>Plusle</t>
  </si>
  <si>
    <t>Plus</t>
  </si>
  <si>
    <t>Minun-1</t>
  </si>
  <si>
    <t>Minun</t>
  </si>
  <si>
    <t>Minus</t>
  </si>
  <si>
    <t>Pachirisu-1</t>
  </si>
  <si>
    <t>Pachirisu</t>
  </si>
  <si>
    <t>Discharge</t>
  </si>
  <si>
    <t>Nuzzle</t>
  </si>
  <si>
    <t>Ponyta-1</t>
  </si>
  <si>
    <t>Ponyta</t>
  </si>
  <si>
    <t>Tail Whip</t>
  </si>
  <si>
    <t>Azumarill-1</t>
  </si>
  <si>
    <t>Azumarill</t>
  </si>
  <si>
    <t>Play Rough</t>
  </si>
  <si>
    <t>Huge Power</t>
  </si>
  <si>
    <t>Ivysaur-1</t>
  </si>
  <si>
    <t>Ivysaur</t>
  </si>
  <si>
    <t>Gentle</t>
  </si>
  <si>
    <t>Charmeleon-1</t>
  </si>
  <si>
    <t>Charmeleon</t>
  </si>
  <si>
    <t>Wartortle-1</t>
  </si>
  <si>
    <t>Wartortle</t>
  </si>
  <si>
    <t>Rapid Spin</t>
  </si>
  <si>
    <t>Bayleef-1</t>
  </si>
  <si>
    <t>Bayleef</t>
  </si>
  <si>
    <t>Quilava-1</t>
  </si>
  <si>
    <t>Quilava</t>
  </si>
  <si>
    <t>Croconaw-1</t>
  </si>
  <si>
    <t>Croconaw</t>
  </si>
  <si>
    <t>Grovyle-1</t>
  </si>
  <si>
    <t>Grovyle</t>
  </si>
  <si>
    <t>Combusken-1</t>
  </si>
  <si>
    <t>Combusken</t>
  </si>
  <si>
    <t>Marshtomp-1</t>
  </si>
  <si>
    <t>Marshtomp</t>
  </si>
  <si>
    <t>Grotle-1</t>
  </si>
  <si>
    <t>Grotle</t>
  </si>
  <si>
    <t>Monferno-1</t>
  </si>
  <si>
    <t>Monferno</t>
  </si>
  <si>
    <t>Coba Berry</t>
  </si>
  <si>
    <t>Mach Punch</t>
  </si>
  <si>
    <t>Feint</t>
  </si>
  <si>
    <t>U-turn</t>
  </si>
  <si>
    <t>Prinplup-1</t>
  </si>
  <si>
    <t>Prinplup</t>
  </si>
  <si>
    <t>Sudowoodo-1</t>
  </si>
  <si>
    <t>Sudowoodo</t>
  </si>
  <si>
    <t>Double-Edge</t>
  </si>
  <si>
    <t>Block</t>
  </si>
  <si>
    <t>Magcargo-1</t>
  </si>
  <si>
    <t>Magcargo</t>
  </si>
  <si>
    <t>Pupitar-1</t>
  </si>
  <si>
    <t>Pupitar</t>
  </si>
  <si>
    <t>Sealeo-1</t>
  </si>
  <si>
    <t>Sealeo</t>
  </si>
  <si>
    <t>Snore</t>
  </si>
  <si>
    <t>Ice Body</t>
  </si>
  <si>
    <t>Bibarel-1</t>
  </si>
  <si>
    <t>Bibarel</t>
  </si>
  <si>
    <t>Gabite-1</t>
  </si>
  <si>
    <t>Gabite</t>
  </si>
  <si>
    <t>Chatot-1</t>
  </si>
  <si>
    <t>Chatot</t>
  </si>
  <si>
    <t>Chatter</t>
  </si>
  <si>
    <t>Raticate-1</t>
  </si>
  <si>
    <t>Raticate</t>
  </si>
  <si>
    <t>Super Fang</t>
  </si>
  <si>
    <t>Masquerain-1</t>
  </si>
  <si>
    <t>Masquerain</t>
  </si>
  <si>
    <t>Hydro Pump</t>
  </si>
  <si>
    <t>Furret-1</t>
  </si>
  <si>
    <t>Furret</t>
  </si>
  <si>
    <t>Serious</t>
  </si>
  <si>
    <t>Dunsparce-1</t>
  </si>
  <si>
    <t>Dunsparce</t>
  </si>
  <si>
    <t>Glare</t>
  </si>
  <si>
    <t>Cherrim-1</t>
  </si>
  <si>
    <t>Cherrim</t>
  </si>
  <si>
    <t>Miracle Seed</t>
  </si>
  <si>
    <t>Weather Ball</t>
  </si>
  <si>
    <t>Flower Gift</t>
  </si>
  <si>
    <t>Dragonair-1</t>
  </si>
  <si>
    <t>Dragonair</t>
  </si>
  <si>
    <t>Mightyena-1</t>
  </si>
  <si>
    <t>Mightyena</t>
  </si>
  <si>
    <t>Poison Fang</t>
  </si>
  <si>
    <t>Linoone-1</t>
  </si>
  <si>
    <t>Linoone</t>
  </si>
  <si>
    <t>Extreme Speed</t>
  </si>
  <si>
    <t>Covet</t>
  </si>
  <si>
    <t>Castform-1</t>
  </si>
  <si>
    <t>Castform</t>
  </si>
  <si>
    <t>Forecast</t>
  </si>
  <si>
    <t>Shelgon-1</t>
  </si>
  <si>
    <t>Shelgon</t>
  </si>
  <si>
    <t>Overcoat</t>
  </si>
  <si>
    <t>Metang-1</t>
  </si>
  <si>
    <t>Metang</t>
  </si>
  <si>
    <t>Clear Body</t>
  </si>
  <si>
    <t>Wormadam-Plant-1</t>
  </si>
  <si>
    <t>Wormadam-Plant</t>
  </si>
  <si>
    <t>Mothim-1</t>
  </si>
  <si>
    <t>Mothim</t>
  </si>
  <si>
    <t>Wigglytuff-1</t>
  </si>
  <si>
    <t>Wigglytuff</t>
  </si>
  <si>
    <t>Competitive</t>
  </si>
  <si>
    <t>Sunflora-1</t>
  </si>
  <si>
    <t>Sunflora</t>
  </si>
  <si>
    <t>Solar Power</t>
  </si>
  <si>
    <t>Chimecho-3</t>
  </si>
  <si>
    <t>Heal Bell</t>
  </si>
  <si>
    <t>Gligar-1</t>
  </si>
  <si>
    <t>Gligar</t>
  </si>
  <si>
    <t>Qwilfish-1</t>
  </si>
  <si>
    <t>Qwilfish</t>
  </si>
  <si>
    <t>Spikes</t>
  </si>
  <si>
    <t>Sneasel-1</t>
  </si>
  <si>
    <t>Sneasel</t>
  </si>
  <si>
    <t>Ice Punch</t>
  </si>
  <si>
    <t>Throat Chop</t>
  </si>
  <si>
    <t>Pickpocket</t>
  </si>
  <si>
    <t>Swellow-1</t>
  </si>
  <si>
    <t>Swellow</t>
  </si>
  <si>
    <t>Flame Orb</t>
  </si>
  <si>
    <t>Pelipper-1</t>
  </si>
  <si>
    <t>Pelipper</t>
  </si>
  <si>
    <t>Swallow</t>
  </si>
  <si>
    <t>Drizzle</t>
  </si>
  <si>
    <t>Lairon-1</t>
  </si>
  <si>
    <t>Lairon</t>
  </si>
  <si>
    <t>Tangela-1</t>
  </si>
  <si>
    <t>Tangela</t>
  </si>
  <si>
    <t>Regenerator</t>
  </si>
  <si>
    <t>Misdreavus-1</t>
  </si>
  <si>
    <t>Misdreavus</t>
  </si>
  <si>
    <t>Pain Split</t>
  </si>
  <si>
    <t>Arbok-1</t>
  </si>
  <si>
    <t>Arbok</t>
  </si>
  <si>
    <t>Persian-1</t>
  </si>
  <si>
    <t>Persian</t>
  </si>
  <si>
    <t>Technician</t>
  </si>
  <si>
    <t>Seadra-1</t>
  </si>
  <si>
    <t>Seadra</t>
  </si>
  <si>
    <t>Vigoroth-1</t>
  </si>
  <si>
    <t>Vigoroth</t>
  </si>
  <si>
    <t>Lunatone-1</t>
  </si>
  <si>
    <t>Lunatone</t>
  </si>
  <si>
    <t>Cosmic Power</t>
  </si>
  <si>
    <t>Solrock-1</t>
  </si>
  <si>
    <t>Solrock</t>
  </si>
  <si>
    <t>Kecleon-1</t>
  </si>
  <si>
    <t>Kecleon</t>
  </si>
  <si>
    <t>Color Change</t>
  </si>
  <si>
    <t>Milotic-1</t>
  </si>
  <si>
    <t>Milotic</t>
  </si>
  <si>
    <t>Dragon Pulse</t>
  </si>
  <si>
    <t>Recover</t>
  </si>
  <si>
    <t>Marvel Scale</t>
  </si>
  <si>
    <t>Palmer only (Set 3 boss)</t>
  </si>
  <si>
    <t>Rhyperior-1</t>
  </si>
  <si>
    <t>Rhyperior</t>
  </si>
  <si>
    <t>Expert Belt</t>
  </si>
  <si>
    <t>Rock Wrecker</t>
  </si>
  <si>
    <t>Thunderbolt</t>
  </si>
  <si>
    <t>Solid Rock</t>
  </si>
  <si>
    <t>Dragonite-1</t>
  </si>
  <si>
    <t>Dragonite</t>
  </si>
  <si>
    <t>Wide Lens</t>
  </si>
  <si>
    <t>Dragon Rush</t>
  </si>
  <si>
    <t>Stone Edge</t>
  </si>
  <si>
    <t>Multiscale</t>
  </si>
  <si>
    <t>Rotom-1</t>
  </si>
  <si>
    <t>Rotom</t>
  </si>
  <si>
    <t>Fearow-1</t>
  </si>
  <si>
    <t>Fearow</t>
  </si>
  <si>
    <t>Drill Peck</t>
  </si>
  <si>
    <t>Roost</t>
  </si>
  <si>
    <t>Noctowl-1</t>
  </si>
  <si>
    <t>Noctowl</t>
  </si>
  <si>
    <t>Sandslash-1</t>
  </si>
  <si>
    <t>Sandslash</t>
  </si>
  <si>
    <t>Crush Claw</t>
  </si>
  <si>
    <t>Earthquake</t>
  </si>
  <si>
    <t>Venomoth-1</t>
  </si>
  <si>
    <t>Venomoth</t>
  </si>
  <si>
    <t>Chansey-1</t>
  </si>
  <si>
    <t>Chansey</t>
  </si>
  <si>
    <t>Soft-Boiled</t>
  </si>
  <si>
    <t>Seaking-1</t>
  </si>
  <si>
    <t>Seaking</t>
  </si>
  <si>
    <t>Jumpluff-1</t>
  </si>
  <si>
    <t>Jumpluff</t>
  </si>
  <si>
    <t>Psych Up</t>
  </si>
  <si>
    <t>Piloswine-1</t>
  </si>
  <si>
    <t>Piloswine</t>
  </si>
  <si>
    <t>Purugly-1</t>
  </si>
  <si>
    <t>Purugly</t>
  </si>
  <si>
    <t>Carnivine-1</t>
  </si>
  <si>
    <t>Carnivine</t>
  </si>
  <si>
    <t>Rose Incense</t>
  </si>
  <si>
    <t>Power Whip</t>
  </si>
  <si>
    <t>Golbat-1</t>
  </si>
  <si>
    <t>Golbat</t>
  </si>
  <si>
    <t>Steel Wing</t>
  </si>
  <si>
    <t>Primeape-1</t>
  </si>
  <si>
    <t>Primeape</t>
  </si>
  <si>
    <t>Cross Chop</t>
  </si>
  <si>
    <t>Stomping Tantrum</t>
  </si>
  <si>
    <t>Hitmonlee-1</t>
  </si>
  <si>
    <t>Hitmonlee</t>
  </si>
  <si>
    <t>Blaze Kick</t>
  </si>
  <si>
    <t>Close Combat</t>
  </si>
  <si>
    <t>Focus Energy</t>
  </si>
  <si>
    <t>Hitmonchan-1</t>
  </si>
  <si>
    <t>Hitmonchan</t>
  </si>
  <si>
    <t>Iron Fist</t>
  </si>
  <si>
    <t>Girafarig-1</t>
  </si>
  <si>
    <t>Girafarig</t>
  </si>
  <si>
    <t>Sap Sipper</t>
  </si>
  <si>
    <t>Hitmontop-1</t>
  </si>
  <si>
    <t>Hitmontop</t>
  </si>
  <si>
    <t>Triple Kick</t>
  </si>
  <si>
    <t>Banette-1</t>
  </si>
  <si>
    <t>Banette</t>
  </si>
  <si>
    <t>Cursed Body</t>
  </si>
  <si>
    <t>Dusclops-1</t>
  </si>
  <si>
    <t>Dusclops</t>
  </si>
  <si>
    <t>Pressure</t>
  </si>
  <si>
    <t>Ninjask-1</t>
  </si>
  <si>
    <t>Ninjask</t>
  </si>
  <si>
    <t>Zangoose-1</t>
  </si>
  <si>
    <t>Zangoose</t>
  </si>
  <si>
    <t>Toxic Boost</t>
  </si>
  <si>
    <t>Seviper-1</t>
  </si>
  <si>
    <t>Seviper</t>
  </si>
  <si>
    <t>Poison Tail</t>
  </si>
  <si>
    <t>Dodrio-1</t>
  </si>
  <si>
    <t>Dodrio</t>
  </si>
  <si>
    <t>Sleep Talk</t>
  </si>
  <si>
    <t>Sharpedo-1</t>
  </si>
  <si>
    <t>Sharpedo</t>
  </si>
  <si>
    <t>Camerupt-1</t>
  </si>
  <si>
    <t>Camerupt</t>
  </si>
  <si>
    <t>Eruption</t>
  </si>
  <si>
    <t>Tropius-1</t>
  </si>
  <si>
    <t>Tropius</t>
  </si>
  <si>
    <t>Lumineon-1</t>
  </si>
  <si>
    <t>Lumineon</t>
  </si>
  <si>
    <t>Magneton-1</t>
  </si>
  <si>
    <t>Magneton</t>
  </si>
  <si>
    <t>Choice Specs</t>
  </si>
  <si>
    <t>Volt Switch</t>
  </si>
  <si>
    <t>Flash Cannon</t>
  </si>
  <si>
    <t>Mantine-1</t>
  </si>
  <si>
    <t>Mantine</t>
  </si>
  <si>
    <t>Stantler-1</t>
  </si>
  <si>
    <t>Stantler</t>
  </si>
  <si>
    <t>Stomp</t>
  </si>
  <si>
    <t>Swalot-1</t>
  </si>
  <si>
    <t>Swalot</t>
  </si>
  <si>
    <t>Sticky Hold</t>
  </si>
  <si>
    <t>Crawdaunt-1</t>
  </si>
  <si>
    <t>Crawdaunt</t>
  </si>
  <si>
    <t>Superpower</t>
  </si>
  <si>
    <t>Pidgeot-1</t>
  </si>
  <si>
    <t>Pidgeot</t>
  </si>
  <si>
    <t>Brave Bird</t>
  </si>
  <si>
    <t>Xatu-1</t>
  </si>
  <si>
    <t>Xatu</t>
  </si>
  <si>
    <t>Torkoal-1</t>
  </si>
  <si>
    <t>Torkoal</t>
  </si>
  <si>
    <t>Stealth Rock</t>
  </si>
  <si>
    <t>Grumpig-1</t>
  </si>
  <si>
    <t>Grumpig</t>
  </si>
  <si>
    <t>Clefable-1</t>
  </si>
  <si>
    <t>Clefable</t>
  </si>
  <si>
    <t>Life Orb</t>
  </si>
  <si>
    <t>Kingler-1</t>
  </si>
  <si>
    <t>Kingler</t>
  </si>
  <si>
    <t>Cacturne-1</t>
  </si>
  <si>
    <t>Cacturne</t>
  </si>
  <si>
    <t>Seed Bomb</t>
  </si>
  <si>
    <t>Sucker Punch</t>
  </si>
  <si>
    <t>Bellossom-1</t>
  </si>
  <si>
    <t>Bellossom</t>
  </si>
  <si>
    <t>Power Herb</t>
  </si>
  <si>
    <t>Solar Beam</t>
  </si>
  <si>
    <t>Octillery-1</t>
  </si>
  <si>
    <t>Octillery</t>
  </si>
  <si>
    <t>Octazooka</t>
  </si>
  <si>
    <t>Huntail-1</t>
  </si>
  <si>
    <t>Huntail</t>
  </si>
  <si>
    <t>Gorebyss-1</t>
  </si>
  <si>
    <t>Gorebyss</t>
  </si>
  <si>
    <t>Shell Smash</t>
  </si>
  <si>
    <t>Relicanth-1</t>
  </si>
  <si>
    <t>Relicanth</t>
  </si>
  <si>
    <t>Amnesia</t>
  </si>
  <si>
    <t>Electabuzz-1</t>
  </si>
  <si>
    <t>Electabuzz</t>
  </si>
  <si>
    <t>Magmar-1</t>
  </si>
  <si>
    <t>Magmar</t>
  </si>
  <si>
    <t>Omastar-1</t>
  </si>
  <si>
    <t>Omastar</t>
  </si>
  <si>
    <t>Kabutops-1</t>
  </si>
  <si>
    <t>Kabutops</t>
  </si>
  <si>
    <t>Night Slash</t>
  </si>
  <si>
    <t>Scyther-1</t>
  </si>
  <si>
    <t>Scyther</t>
  </si>
  <si>
    <t>Cloyster-1</t>
  </si>
  <si>
    <t>Cloyster</t>
  </si>
  <si>
    <t>Icicle Spear</t>
  </si>
  <si>
    <t>Razor Shell</t>
  </si>
  <si>
    <t>Venusaur-1</t>
  </si>
  <si>
    <t>Venusaur</t>
  </si>
  <si>
    <t>Skull Bash</t>
  </si>
  <si>
    <t>Charizard-1</t>
  </si>
  <si>
    <t>Charizard</t>
  </si>
  <si>
    <t>Focus Blast</t>
  </si>
  <si>
    <t>Blastoise-1</t>
  </si>
  <si>
    <t>Blastoise</t>
  </si>
  <si>
    <t>Iron Ball</t>
  </si>
  <si>
    <t>Focus Punch</t>
  </si>
  <si>
    <t>Meganium-1</t>
  </si>
  <si>
    <t>Meganium</t>
  </si>
  <si>
    <t>Calm</t>
  </si>
  <si>
    <t>Typhlosion-1</t>
  </si>
  <si>
    <t>Typhlosion</t>
  </si>
  <si>
    <t>Fire Blast</t>
  </si>
  <si>
    <t>Feraligatr-1</t>
  </si>
  <si>
    <t>Feraligatr</t>
  </si>
  <si>
    <t>Ice Fang</t>
  </si>
  <si>
    <t>Sceptile-1</t>
  </si>
  <si>
    <t>Sceptile</t>
  </si>
  <si>
    <t>Blaziken-1</t>
  </si>
  <si>
    <t>Blaziken</t>
  </si>
  <si>
    <t>Flare Blitz</t>
  </si>
  <si>
    <t>Swampert-1</t>
  </si>
  <si>
    <t>Swampert</t>
  </si>
  <si>
    <t>Muddy Water</t>
  </si>
  <si>
    <t>Torterra-1</t>
  </si>
  <si>
    <t>Torterra</t>
  </si>
  <si>
    <t>Heat Rock</t>
  </si>
  <si>
    <t>Infernape-1</t>
  </si>
  <si>
    <t>Infernape</t>
  </si>
  <si>
    <t>Overheat</t>
  </si>
  <si>
    <t>Empoleon-1</t>
  </si>
  <si>
    <t>Empoleon</t>
  </si>
  <si>
    <t>Dugtrio-1</t>
  </si>
  <si>
    <t>Dugtrio</t>
  </si>
  <si>
    <t>Arena Trap</t>
  </si>
  <si>
    <t>Marowak-1</t>
  </si>
  <si>
    <t>Marowak</t>
  </si>
  <si>
    <t>Thick Club</t>
  </si>
  <si>
    <t>Iron Head</t>
  </si>
  <si>
    <t>Medicham-1</t>
  </si>
  <si>
    <t>Medicham</t>
  </si>
  <si>
    <t>High Jump Kick</t>
  </si>
  <si>
    <t>Pure Power</t>
  </si>
  <si>
    <t>Quagsire-1</t>
  </si>
  <si>
    <t>Quagsire</t>
  </si>
  <si>
    <t>Granbull-1</t>
  </si>
  <si>
    <t>Granbull</t>
  </si>
  <si>
    <t>Razor Claw</t>
  </si>
  <si>
    <t>Giga Impact</t>
  </si>
  <si>
    <t>Jynx-1</t>
  </si>
  <si>
    <t>Jynx</t>
  </si>
  <si>
    <t>Mean Look</t>
  </si>
  <si>
    <t>Perish Song</t>
  </si>
  <si>
    <t>Lovely Kiss</t>
  </si>
  <si>
    <t>Dry Skin</t>
  </si>
  <si>
    <t>Mr. Mime-1</t>
  </si>
  <si>
    <t>Mr. Mime</t>
  </si>
  <si>
    <t>Mimic</t>
  </si>
  <si>
    <t>Filter</t>
  </si>
  <si>
    <t>Lanturn-1</t>
  </si>
  <si>
    <t>Lanturn</t>
  </si>
  <si>
    <t>Breloom-1</t>
  </si>
  <si>
    <t>Breloom</t>
  </si>
  <si>
    <t>Toxic Orb</t>
  </si>
  <si>
    <t>Low Sweep</t>
  </si>
  <si>
    <t>Poison Heal</t>
  </si>
  <si>
    <t>Forretress-1</t>
  </si>
  <si>
    <t>Forretress</t>
  </si>
  <si>
    <t>Skarmory-1</t>
  </si>
  <si>
    <t>Skarmory</t>
  </si>
  <si>
    <t>Absol-1</t>
  </si>
  <si>
    <t>Absol</t>
  </si>
  <si>
    <t>Whiscash-1</t>
  </si>
  <si>
    <t>Whiscash</t>
  </si>
  <si>
    <t>Hydration</t>
  </si>
  <si>
    <t>Hariyama-1</t>
  </si>
  <si>
    <t>Hariyama</t>
  </si>
  <si>
    <t>Vespiquen-1</t>
  </si>
  <si>
    <t>Vespiquen</t>
  </si>
  <si>
    <t>Attack Order</t>
  </si>
  <si>
    <t>Defend Order</t>
  </si>
  <si>
    <t>Raichu-1</t>
  </si>
  <si>
    <t>Raichu</t>
  </si>
  <si>
    <t>Dewgong-1</t>
  </si>
  <si>
    <t>Dewgong</t>
  </si>
  <si>
    <t>Manectric-1</t>
  </si>
  <si>
    <t>Manectric</t>
  </si>
  <si>
    <t>Staraptor-1</t>
  </si>
  <si>
    <t>Staraptor</t>
  </si>
  <si>
    <t>Gastrodon-1</t>
  </si>
  <si>
    <t>Gastrodon</t>
  </si>
  <si>
    <t>Skuntank-1</t>
  </si>
  <si>
    <t>Skuntank</t>
  </si>
  <si>
    <t>Vileplume-1</t>
  </si>
  <si>
    <t>Vileplume</t>
  </si>
  <si>
    <t>Victreebel-1</t>
  </si>
  <si>
    <t>Victreebel</t>
  </si>
  <si>
    <t>Leaf Blade</t>
  </si>
  <si>
    <t>Leech Life</t>
  </si>
  <si>
    <t>Strength Sap</t>
  </si>
  <si>
    <t>Electrode-1</t>
  </si>
  <si>
    <t>Electrode</t>
  </si>
  <si>
    <t>Ludicolo-1</t>
  </si>
  <si>
    <t>Ludicolo</t>
  </si>
  <si>
    <t>Drain Punch</t>
  </si>
  <si>
    <t>Shiftry-1</t>
  </si>
  <si>
    <t>Shiftry</t>
  </si>
  <si>
    <t>Exploud-1</t>
  </si>
  <si>
    <t>Exploud</t>
  </si>
  <si>
    <t>Boomburst</t>
  </si>
  <si>
    <t>Glalie-1</t>
  </si>
  <si>
    <t>Glalie</t>
  </si>
  <si>
    <t>Frost Breath</t>
  </si>
  <si>
    <t>Lopunny-1</t>
  </si>
  <si>
    <t>Lopunny</t>
  </si>
  <si>
    <t>Froslass-1</t>
  </si>
  <si>
    <t>Froslass</t>
  </si>
  <si>
    <t>Ambipom-1</t>
  </si>
  <si>
    <t>Ambipom</t>
  </si>
  <si>
    <t>Double Hit</t>
  </si>
  <si>
    <t>Hypno-1</t>
  </si>
  <si>
    <t>Hypno</t>
  </si>
  <si>
    <t>Zen Headbutt</t>
  </si>
  <si>
    <t>Golem-1</t>
  </si>
  <si>
    <t>Golem</t>
  </si>
  <si>
    <t>Rhydon-1</t>
  </si>
  <si>
    <t>Rhydon</t>
  </si>
  <si>
    <t>Wise Glasses</t>
  </si>
  <si>
    <t>Slowbro-1</t>
  </si>
  <si>
    <t>Slowbro</t>
  </si>
  <si>
    <t>Calm Mind</t>
  </si>
  <si>
    <t>Slack Off</t>
  </si>
  <si>
    <t>Weezing-1</t>
  </si>
  <si>
    <t>Weezing</t>
  </si>
  <si>
    <t>Kangaskhan-1</t>
  </si>
  <si>
    <t>Kangaskhan</t>
  </si>
  <si>
    <t>Tauros-1</t>
  </si>
  <si>
    <t>Tauros</t>
  </si>
  <si>
    <t>Lum Berry</t>
  </si>
  <si>
    <t>Alakazam-1</t>
  </si>
  <si>
    <t>Alakazam</t>
  </si>
  <si>
    <t>Psyshock</t>
  </si>
  <si>
    <t>Energy Ball</t>
  </si>
  <si>
    <t>Slowking-1</t>
  </si>
  <si>
    <t>Slowking</t>
  </si>
  <si>
    <t>Trick Room</t>
  </si>
  <si>
    <t>Miltank-1</t>
  </si>
  <si>
    <t>Miltank</t>
  </si>
  <si>
    <t>Milk Drink</t>
  </si>
  <si>
    <t>Altaria-1</t>
  </si>
  <si>
    <t>Altaria</t>
  </si>
  <si>
    <t>Toxicroak-1</t>
  </si>
  <si>
    <t>Toxicroak</t>
  </si>
  <si>
    <t>Abomasnow-1</t>
  </si>
  <si>
    <t>Abomasnow</t>
  </si>
  <si>
    <t>Nidoqueen-1</t>
  </si>
  <si>
    <t>Nidoqueen</t>
  </si>
  <si>
    <t>Sheer Force</t>
  </si>
  <si>
    <t>Nidoking-1</t>
  </si>
  <si>
    <t>Nidoking</t>
  </si>
  <si>
    <t>Cradily-1</t>
  </si>
  <si>
    <t>Cradily</t>
  </si>
  <si>
    <t>Armaldo-1</t>
  </si>
  <si>
    <t>Armaldo</t>
  </si>
  <si>
    <t>Bastiodon-1</t>
  </si>
  <si>
    <t>Bastiodon</t>
  </si>
  <si>
    <t>Metal Burst</t>
  </si>
  <si>
    <t>Floatzel-1</t>
  </si>
  <si>
    <t>Floatzel</t>
  </si>
  <si>
    <t>Mismagius-1</t>
  </si>
  <si>
    <t>Mismagius</t>
  </si>
  <si>
    <t>Colbur Berry</t>
  </si>
  <si>
    <t>Drifblim-1</t>
  </si>
  <si>
    <t>Drifblim</t>
  </si>
  <si>
    <t>Charge Beam</t>
  </si>
  <si>
    <t>Unburden</t>
  </si>
  <si>
    <t>Golduck-1</t>
  </si>
  <si>
    <t>Golduck</t>
  </si>
  <si>
    <t>Poliwrath-1</t>
  </si>
  <si>
    <t>Poliwrath</t>
  </si>
  <si>
    <t>Mind Reader</t>
  </si>
  <si>
    <t>Rapidash-1</t>
  </si>
  <si>
    <t>Rapidash</t>
  </si>
  <si>
    <t>Muk-1</t>
  </si>
  <si>
    <t>Muk</t>
  </si>
  <si>
    <t>Gengar-1</t>
  </si>
  <si>
    <t>Gengar</t>
  </si>
  <si>
    <t>Ampharos-1</t>
  </si>
  <si>
    <t>Ampharos</t>
  </si>
  <si>
    <t>Fling</t>
  </si>
  <si>
    <t>Politoed-1</t>
  </si>
  <si>
    <t>Politoed</t>
  </si>
  <si>
    <t>Pinsir-1</t>
  </si>
  <si>
    <t>Pinsir</t>
  </si>
  <si>
    <t>Scizor-1</t>
  </si>
  <si>
    <t>Scizor</t>
  </si>
  <si>
    <t>Bullet Punch</t>
  </si>
  <si>
    <t>Heracross-1</t>
  </si>
  <si>
    <t>Heracross</t>
  </si>
  <si>
    <t>Megahorn</t>
  </si>
  <si>
    <t>Moxie</t>
  </si>
  <si>
    <t>Ursaring-1</t>
  </si>
  <si>
    <t>Ursaring</t>
  </si>
  <si>
    <t>Houndoom-1</t>
  </si>
  <si>
    <t>Houndoom</t>
  </si>
  <si>
    <t>Thunder Fang</t>
  </si>
  <si>
    <t>Donphan-1</t>
  </si>
  <si>
    <t>Donphan</t>
  </si>
  <si>
    <t>Wailord-1</t>
  </si>
  <si>
    <t>Wailord</t>
  </si>
  <si>
    <t>Claydol-1</t>
  </si>
  <si>
    <t>Claydol</t>
  </si>
  <si>
    <t>Rock Polish</t>
  </si>
  <si>
    <t>Rampardos-1</t>
  </si>
  <si>
    <t>Rampardos</t>
  </si>
  <si>
    <t>Head Smash</t>
  </si>
  <si>
    <t>Bronzong-1</t>
  </si>
  <si>
    <t>Bronzong</t>
  </si>
  <si>
    <t>Drapion-1</t>
  </si>
  <si>
    <t>Drapion</t>
  </si>
  <si>
    <t>Acupressure</t>
  </si>
  <si>
    <t>Cross Poison</t>
  </si>
  <si>
    <t>Luxray-1</t>
  </si>
  <si>
    <t>Luxray</t>
  </si>
  <si>
    <t>Charge</t>
  </si>
  <si>
    <t>Ninetales-1</t>
  </si>
  <si>
    <t>Ninetales</t>
  </si>
  <si>
    <t>Machamp-1</t>
  </si>
  <si>
    <t>Machamp</t>
  </si>
  <si>
    <t>Dynamic Punch</t>
  </si>
  <si>
    <t>Shuckle-1</t>
  </si>
  <si>
    <t>Shuckle</t>
  </si>
  <si>
    <t>Power Split</t>
  </si>
  <si>
    <t>Roserade-1</t>
  </si>
  <si>
    <t>Roserade</t>
  </si>
  <si>
    <t>Honchkrow-1</t>
  </si>
  <si>
    <t>Honchkrow</t>
  </si>
  <si>
    <t>Sky Attack</t>
  </si>
  <si>
    <t>Super Luck</t>
  </si>
  <si>
    <t>Steelix-1</t>
  </si>
  <si>
    <t>Steelix</t>
  </si>
  <si>
    <t>Weavile-1</t>
  </si>
  <si>
    <t>Weavile</t>
  </si>
  <si>
    <t>Gliscor-1</t>
  </si>
  <si>
    <t>Gliscor</t>
  </si>
  <si>
    <t>Tentacruel-1</t>
  </si>
  <si>
    <t>Tentacruel</t>
  </si>
  <si>
    <t>Aerodactyl-1</t>
  </si>
  <si>
    <t>Aerodactyl</t>
  </si>
  <si>
    <t>Porygon2-1</t>
  </si>
  <si>
    <t>Porygon2</t>
  </si>
  <si>
    <t>Magnet Rise</t>
  </si>
  <si>
    <t>Conversion</t>
  </si>
  <si>
    <t>Analytic</t>
  </si>
  <si>
    <t>Lickilicky-1</t>
  </si>
  <si>
    <t>Lickilicky</t>
  </si>
  <si>
    <t>Belly Drum</t>
  </si>
  <si>
    <t>Yanmega-1</t>
  </si>
  <si>
    <t>Yanmega</t>
  </si>
  <si>
    <t>Gardevoir-1</t>
  </si>
  <si>
    <t>Gardevoir</t>
  </si>
  <si>
    <t>Synchronize</t>
  </si>
  <si>
    <t>Gallade-1</t>
  </si>
  <si>
    <t>Gallade</t>
  </si>
  <si>
    <t>Psycho Cut</t>
  </si>
  <si>
    <t>Justified</t>
  </si>
  <si>
    <t>Exeggutor-1</t>
  </si>
  <si>
    <t>Exeggutor</t>
  </si>
  <si>
    <t>Starmie-1</t>
  </si>
  <si>
    <t>Starmie</t>
  </si>
  <si>
    <t>Flygon-1</t>
  </si>
  <si>
    <t>Flygon</t>
  </si>
  <si>
    <t>Vaporeon-1</t>
  </si>
  <si>
    <t>Vaporeon</t>
  </si>
  <si>
    <t>Jolteon-1</t>
  </si>
  <si>
    <t>Jolteon</t>
  </si>
  <si>
    <t>Flareon-1</t>
  </si>
  <si>
    <t>Flareon</t>
  </si>
  <si>
    <t>Espeon-1</t>
  </si>
  <si>
    <t>Espeon</t>
  </si>
  <si>
    <t>Umbreon-1</t>
  </si>
  <si>
    <t>Umbreon</t>
  </si>
  <si>
    <t>Leafeon-1</t>
  </si>
  <si>
    <t>Leafeon</t>
  </si>
  <si>
    <t>Glaceon-1</t>
  </si>
  <si>
    <t>Glaceon</t>
  </si>
  <si>
    <t>Last Resort</t>
  </si>
  <si>
    <t>Lucario-1</t>
  </si>
  <si>
    <t>Lucario</t>
  </si>
  <si>
    <t>Aura Sphere</t>
  </si>
  <si>
    <t>Hippowdon-1</t>
  </si>
  <si>
    <t>Hippowdon</t>
  </si>
  <si>
    <t>Probopass-1</t>
  </si>
  <si>
    <t>Probopass</t>
  </si>
  <si>
    <t>Rock Incense</t>
  </si>
  <si>
    <t>Lock-On</t>
  </si>
  <si>
    <t>Dusknoir-1</t>
  </si>
  <si>
    <t>Dusknoir</t>
  </si>
  <si>
    <t>Ganlon Berry</t>
  </si>
  <si>
    <t>Aggron-1</t>
  </si>
  <si>
    <t>Aggron</t>
  </si>
  <si>
    <t>Chople Berry</t>
  </si>
  <si>
    <t>Walrein-1</t>
  </si>
  <si>
    <t>Walrein</t>
  </si>
  <si>
    <t>Mamoswine-1</t>
  </si>
  <si>
    <t>Mamoswine</t>
  </si>
  <si>
    <t>Snow Cloak</t>
  </si>
  <si>
    <t>Lapras-1</t>
  </si>
  <si>
    <t>Lapras</t>
  </si>
  <si>
    <t>Crobat-1</t>
  </si>
  <si>
    <t>Crobat</t>
  </si>
  <si>
    <t>Magnezone-1</t>
  </si>
  <si>
    <t>Magnezone</t>
  </si>
  <si>
    <t>Rhyperior-2</t>
  </si>
  <si>
    <t>Tangrowth-1</t>
  </si>
  <si>
    <t>Tangrowth</t>
  </si>
  <si>
    <t>Porygon-Z-1</t>
  </si>
  <si>
    <t>Porygon-Z</t>
  </si>
  <si>
    <t>Gyarados-1</t>
  </si>
  <si>
    <t>Gyarados</t>
  </si>
  <si>
    <t>Snorlax-1</t>
  </si>
  <si>
    <t>Snorlax</t>
  </si>
  <si>
    <t>Immunity</t>
  </si>
  <si>
    <t>Kingdra-1</t>
  </si>
  <si>
    <t>Kingdra</t>
  </si>
  <si>
    <t>Blissey-1</t>
  </si>
  <si>
    <t>Blissey</t>
  </si>
  <si>
    <t>Milotic-2</t>
  </si>
  <si>
    <t>Electivire-1</t>
  </si>
  <si>
    <t>Electivire</t>
  </si>
  <si>
    <t>Motor Drive</t>
  </si>
  <si>
    <t>Magmortar-1</t>
  </si>
  <si>
    <t>Magmortar</t>
  </si>
  <si>
    <t>Belch</t>
  </si>
  <si>
    <t>Togekiss-1</t>
  </si>
  <si>
    <t>Togekiss</t>
  </si>
  <si>
    <t>Hustle</t>
  </si>
  <si>
    <t>Arcanine-1</t>
  </si>
  <si>
    <t>Arcanine</t>
  </si>
  <si>
    <t>Dragonite-2</t>
  </si>
  <si>
    <t>Tyranitar-1</t>
  </si>
  <si>
    <t>Tyranitar</t>
  </si>
  <si>
    <t>Salamence-1</t>
  </si>
  <si>
    <t>Salamence</t>
  </si>
  <si>
    <t>Metagross-1</t>
  </si>
  <si>
    <t>Metagross</t>
  </si>
  <si>
    <t>Meteor Mash</t>
  </si>
  <si>
    <t>Garchomp-1</t>
  </si>
  <si>
    <t>Garchomp</t>
  </si>
  <si>
    <t>Slaking-1</t>
  </si>
  <si>
    <t>Slaking</t>
  </si>
  <si>
    <t>Truant</t>
  </si>
  <si>
    <t>Venusaur-2</t>
  </si>
  <si>
    <t>Charizard-2</t>
  </si>
  <si>
    <t>Blastoise-2</t>
  </si>
  <si>
    <t>Meganium-2</t>
  </si>
  <si>
    <t>Typhlosion-2</t>
  </si>
  <si>
    <t>Reversal</t>
  </si>
  <si>
    <t>Feraligatr-2</t>
  </si>
  <si>
    <t>Sceptile-2</t>
  </si>
  <si>
    <t>Blaziken-2</t>
  </si>
  <si>
    <t>Swampert-2</t>
  </si>
  <si>
    <t>Hammer Arm</t>
  </si>
  <si>
    <t>Torterra-2</t>
  </si>
  <si>
    <t>Leaf Storm</t>
  </si>
  <si>
    <t>Infernape-2</t>
  </si>
  <si>
    <t>Empoleon-2</t>
  </si>
  <si>
    <t>Dugtrio-2</t>
  </si>
  <si>
    <t>Marowak-2</t>
  </si>
  <si>
    <t>Heatran-1</t>
  </si>
  <si>
    <t>Heatran</t>
  </si>
  <si>
    <t>Magma Storm</t>
  </si>
  <si>
    <t>Palmer only* (Set 7 boss)</t>
  </si>
  <si>
    <t>Cresselia-1</t>
  </si>
  <si>
    <t>Cresselia</t>
  </si>
  <si>
    <t>Stored Power</t>
  </si>
  <si>
    <t>Palmer only (Set 7 boss)</t>
  </si>
  <si>
    <t>Regigigas-1</t>
  </si>
  <si>
    <t>Regigigas</t>
  </si>
  <si>
    <t>Crush Grip</t>
  </si>
  <si>
    <t>Slow Start</t>
  </si>
  <si>
    <t>Medicham-2</t>
  </si>
  <si>
    <t>Quagsire-2</t>
  </si>
  <si>
    <t>Unaware</t>
  </si>
  <si>
    <t>Granbull-2</t>
  </si>
  <si>
    <t>Jynx-2</t>
  </si>
  <si>
    <t>Odd Incense</t>
  </si>
  <si>
    <t>Mr. Mime-2</t>
  </si>
  <si>
    <t>Light Clay</t>
  </si>
  <si>
    <t>Lanturn-2</t>
  </si>
  <si>
    <t>Breloom-2</t>
  </si>
  <si>
    <t>Forretress-2</t>
  </si>
  <si>
    <t>Skarmory-2</t>
  </si>
  <si>
    <t>Absol-2</t>
  </si>
  <si>
    <t>Whiscash-2</t>
  </si>
  <si>
    <t>Hariyama-2</t>
  </si>
  <si>
    <t>Vespiquen-2</t>
  </si>
  <si>
    <t>Raichu-2</t>
  </si>
  <si>
    <t>Dewgong-2</t>
  </si>
  <si>
    <t>Manectric-2</t>
  </si>
  <si>
    <t>Staraptor-2</t>
  </si>
  <si>
    <t>Gastrodon-2</t>
  </si>
  <si>
    <t>Skuntank-2</t>
  </si>
  <si>
    <t>Vileplume-2</t>
  </si>
  <si>
    <t>Victreebel-2</t>
  </si>
  <si>
    <t>Electrode-2</t>
  </si>
  <si>
    <t>Hyper Beam</t>
  </si>
  <si>
    <t>Ludicolo-2</t>
  </si>
  <si>
    <t>Rain Dish</t>
  </si>
  <si>
    <t>Shiftry-2</t>
  </si>
  <si>
    <t>Exploud-2</t>
  </si>
  <si>
    <t>Glalie-2</t>
  </si>
  <si>
    <t>Lopunny-2</t>
  </si>
  <si>
    <t>Froslass-2</t>
  </si>
  <si>
    <t>Ambipom-2</t>
  </si>
  <si>
    <t>Hypno-2</t>
  </si>
  <si>
    <t>Golem-2</t>
  </si>
  <si>
    <t>Sand Veil</t>
  </si>
  <si>
    <t>Rhydon-2</t>
  </si>
  <si>
    <t>Smooth Rock</t>
  </si>
  <si>
    <t>Slowbro-2</t>
  </si>
  <si>
    <t>Weezing-2</t>
  </si>
  <si>
    <t>Kangaskhan-2</t>
  </si>
  <si>
    <t>Tauros-2</t>
  </si>
  <si>
    <t>Alakazam-2</t>
  </si>
  <si>
    <t>Slowking-2</t>
  </si>
  <si>
    <t>Miltank-2</t>
  </si>
  <si>
    <t>Altaria-2</t>
  </si>
  <si>
    <t>Draco Meteor</t>
  </si>
  <si>
    <t>Toxicroak-2</t>
  </si>
  <si>
    <t>Abomasnow-2</t>
  </si>
  <si>
    <t>Wood Hammer</t>
  </si>
  <si>
    <t>Nidoqueen-2</t>
  </si>
  <si>
    <t>Nidoking-2</t>
  </si>
  <si>
    <t>Cradily-2</t>
  </si>
  <si>
    <t>Armaldo-2</t>
  </si>
  <si>
    <t>Bastiodon-2</t>
  </si>
  <si>
    <t>Thunder</t>
  </si>
  <si>
    <t>Floatzel-2</t>
  </si>
  <si>
    <t>Mismagius-2</t>
  </si>
  <si>
    <t>Imprison</t>
  </si>
  <si>
    <t>Drifblim-2</t>
  </si>
  <si>
    <t>Apicot Berry</t>
  </si>
  <si>
    <t>Phantom Force</t>
  </si>
  <si>
    <t>Memento</t>
  </si>
  <si>
    <t>Destiny Bond</t>
  </si>
  <si>
    <t>Golduck-2</t>
  </si>
  <si>
    <t>Poliwrath-2</t>
  </si>
  <si>
    <t>Rapidash-2</t>
  </si>
  <si>
    <t>Muk-2</t>
  </si>
  <si>
    <t>Gunk Shot</t>
  </si>
  <si>
    <t>Gengar-2</t>
  </si>
  <si>
    <t>Ampharos-2</t>
  </si>
  <si>
    <t>Politoed-2</t>
  </si>
  <si>
    <t>Pinsir-2</t>
  </si>
  <si>
    <t>Scizor-2</t>
  </si>
  <si>
    <t>Heracross-2</t>
  </si>
  <si>
    <t>Ursaring-2</t>
  </si>
  <si>
    <t>Houndoom-2</t>
  </si>
  <si>
    <t>Donphan-2</t>
  </si>
  <si>
    <t>Wailord-2</t>
  </si>
  <si>
    <t>Water Spout</t>
  </si>
  <si>
    <t>Claydol-2</t>
  </si>
  <si>
    <t>Rampardos-2</t>
  </si>
  <si>
    <t>Bronzong-2</t>
  </si>
  <si>
    <t>Body Press</t>
  </si>
  <si>
    <t>Drapion-2</t>
  </si>
  <si>
    <t>Luxray-2</t>
  </si>
  <si>
    <t>Wild Charge</t>
  </si>
  <si>
    <t>Ninetales-2</t>
  </si>
  <si>
    <t>Machamp-2</t>
  </si>
  <si>
    <t>Shuckle-2</t>
  </si>
  <si>
    <t>Power Trick</t>
  </si>
  <si>
    <t>Roserade-2</t>
  </si>
  <si>
    <t>Honchkrow-2</t>
  </si>
  <si>
    <t>Steelix-2</t>
  </si>
  <si>
    <t>Weavile-2</t>
  </si>
  <si>
    <t>Gliscor-2</t>
  </si>
  <si>
    <t>Tentacruel-2</t>
  </si>
  <si>
    <t>Aerodactyl-2</t>
  </si>
  <si>
    <t>Porygon2-2</t>
  </si>
  <si>
    <t>Lickilicky-2</t>
  </si>
  <si>
    <t>Yanmega-2</t>
  </si>
  <si>
    <t>Gardevoir-2</t>
  </si>
  <si>
    <t>Mystical Fire</t>
  </si>
  <si>
    <t>Gallade-2</t>
  </si>
  <si>
    <t>Kasib Berry</t>
  </si>
  <si>
    <t>Steadfast</t>
  </si>
  <si>
    <t>Exeggutor-2</t>
  </si>
  <si>
    <t>Starmie-2</t>
  </si>
  <si>
    <t>Flygon-2</t>
  </si>
  <si>
    <t>Vaporeon-2</t>
  </si>
  <si>
    <t>Jolteon-2</t>
  </si>
  <si>
    <t>Flareon-2</t>
  </si>
  <si>
    <t>Espeon-2</t>
  </si>
  <si>
    <t>Morning Sun</t>
  </si>
  <si>
    <t>Umbreon-2</t>
  </si>
  <si>
    <t>Foul Play</t>
  </si>
  <si>
    <t>Leafeon-2</t>
  </si>
  <si>
    <t>Shed Shell</t>
  </si>
  <si>
    <t>Glaceon-2</t>
  </si>
  <si>
    <t>Freeze-Dry</t>
  </si>
  <si>
    <t>Lucario-2</t>
  </si>
  <si>
    <t>Vacuum Wave</t>
  </si>
  <si>
    <t>Hippowdon-2</t>
  </si>
  <si>
    <t>Probopass-2</t>
  </si>
  <si>
    <t>Dusknoir-2</t>
  </si>
  <si>
    <t>Aggron-2</t>
  </si>
  <si>
    <t>Walrein-2</t>
  </si>
  <si>
    <t>Mamoswine-2</t>
  </si>
  <si>
    <t>Lapras-2</t>
  </si>
  <si>
    <t>Crobat-2</t>
  </si>
  <si>
    <t>Magnezone-2</t>
  </si>
  <si>
    <t>Rhyperior-3</t>
  </si>
  <si>
    <t>Zoom Lens</t>
  </si>
  <si>
    <t>Tangrowth-2</t>
  </si>
  <si>
    <t>Porygon-Z-2</t>
  </si>
  <si>
    <t>Gyarados-2</t>
  </si>
  <si>
    <t>Snorlax-2</t>
  </si>
  <si>
    <t>Heavy Slam</t>
  </si>
  <si>
    <t>Kingdra-2</t>
  </si>
  <si>
    <t>Hurricane</t>
  </si>
  <si>
    <t>Blissey-2</t>
  </si>
  <si>
    <t>Milotic-3</t>
  </si>
  <si>
    <t>Electivire-2</t>
  </si>
  <si>
    <t>Magmortar-2</t>
  </si>
  <si>
    <t>Wiki Berry</t>
  </si>
  <si>
    <t>Togekiss-2</t>
  </si>
  <si>
    <t>Arcanine-2</t>
  </si>
  <si>
    <t>Dragonite-3</t>
  </si>
  <si>
    <t>Tyranitar-2</t>
  </si>
  <si>
    <t>Salamence-2</t>
  </si>
  <si>
    <t>Metagross-2</t>
  </si>
  <si>
    <t>Garchomp-2</t>
  </si>
  <si>
    <t>Slaking-2</t>
  </si>
  <si>
    <t>Venusaur-3</t>
  </si>
  <si>
    <t>Petal Blizzard</t>
  </si>
  <si>
    <t>Charizard-3</t>
  </si>
  <si>
    <t>Blastoise-3</t>
  </si>
  <si>
    <t>Meganium-3</t>
  </si>
  <si>
    <t>Typhlosion-3</t>
  </si>
  <si>
    <t>Feraligatr-3</t>
  </si>
  <si>
    <t>Sceptile-3</t>
  </si>
  <si>
    <t>Blaziken-3</t>
  </si>
  <si>
    <t>Swampert-3</t>
  </si>
  <si>
    <t>Torterra-3</t>
  </si>
  <si>
    <t>Frenzy Plant</t>
  </si>
  <si>
    <t>Infernape-3</t>
  </si>
  <si>
    <t>Empoleon-3</t>
  </si>
  <si>
    <t>Dugtrio-3</t>
  </si>
  <si>
    <t>Marowak-3</t>
  </si>
  <si>
    <t>Medicham-3</t>
  </si>
  <si>
    <t>Quagsire-3</t>
  </si>
  <si>
    <t>Granbull-3</t>
  </si>
  <si>
    <t>Jynx-3</t>
  </si>
  <si>
    <t>Mr. Mime-3</t>
  </si>
  <si>
    <t>Lanturn-3</t>
  </si>
  <si>
    <t>Breloom-3</t>
  </si>
  <si>
    <t>Forretress-3</t>
  </si>
  <si>
    <t>Skarmory-3</t>
  </si>
  <si>
    <t>Weak Armor</t>
  </si>
  <si>
    <t>Absol-3</t>
  </si>
  <si>
    <t>Whiscash-3</t>
  </si>
  <si>
    <t>Hariyama-3</t>
  </si>
  <si>
    <t>Vespiquen-3</t>
  </si>
  <si>
    <t>Power Gem</t>
  </si>
  <si>
    <t>Raichu-3</t>
  </si>
  <si>
    <t>Dewgong-3</t>
  </si>
  <si>
    <t>Manectric-3</t>
  </si>
  <si>
    <t>Damp Rock</t>
  </si>
  <si>
    <t>Staraptor-3</t>
  </si>
  <si>
    <t>Gastrodon-3</t>
  </si>
  <si>
    <t>Skuntank-3</t>
  </si>
  <si>
    <t>Vileplume-3</t>
  </si>
  <si>
    <t>Victreebel-3</t>
  </si>
  <si>
    <t>Electrode-3</t>
  </si>
  <si>
    <t>Jaboca Berry</t>
  </si>
  <si>
    <t>Ludicolo-3</t>
  </si>
  <si>
    <t>Shiftry-3</t>
  </si>
  <si>
    <t>Exploud-3</t>
  </si>
  <si>
    <t>Glalie-3</t>
  </si>
  <si>
    <t>Lopunny-3</t>
  </si>
  <si>
    <t>Froslass-3</t>
  </si>
  <si>
    <t>Ambipom-3</t>
  </si>
  <si>
    <t>Dual Chop</t>
  </si>
  <si>
    <t>Hypno-3</t>
  </si>
  <si>
    <t>Golem-3</t>
  </si>
  <si>
    <t>Rhydon-3</t>
  </si>
  <si>
    <t>Slowbro-3</t>
  </si>
  <si>
    <t>Weezing-3</t>
  </si>
  <si>
    <t>Kangaskhan-3</t>
  </si>
  <si>
    <t>Tauros-3</t>
  </si>
  <si>
    <t>Alakazam-3</t>
  </si>
  <si>
    <t>Slowking-3</t>
  </si>
  <si>
    <t>Miltank-3</t>
  </si>
  <si>
    <t>Altaria-3</t>
  </si>
  <si>
    <t>Dragon Fang</t>
  </si>
  <si>
    <t>Toxicroak-3</t>
  </si>
  <si>
    <t>Abomasnow-3</t>
  </si>
  <si>
    <t>Nidoqueen-3</t>
  </si>
  <si>
    <t>Nidoking-3</t>
  </si>
  <si>
    <t>Cradily-3</t>
  </si>
  <si>
    <t>Armaldo-3</t>
  </si>
  <si>
    <t>Bastiodon-3</t>
  </si>
  <si>
    <t>Floatzel-3</t>
  </si>
  <si>
    <t>Mismagius-3</t>
  </si>
  <si>
    <t>Drifblim-3</t>
  </si>
  <si>
    <t>Golduck-3</t>
  </si>
  <si>
    <t>Poliwrath-3</t>
  </si>
  <si>
    <t>Rapidash-3</t>
  </si>
  <si>
    <t>Muk-3</t>
  </si>
  <si>
    <t>Gengar-3</t>
  </si>
  <si>
    <t>Ampharos-3</t>
  </si>
  <si>
    <t>Politoed-3</t>
  </si>
  <si>
    <t>Pinsir-3</t>
  </si>
  <si>
    <t>Scizor-3</t>
  </si>
  <si>
    <t>Heracross-3</t>
  </si>
  <si>
    <t>Ursaring-3</t>
  </si>
  <si>
    <t>Houndoom-3</t>
  </si>
  <si>
    <t>Donphan-3</t>
  </si>
  <si>
    <t>Wailord-3</t>
  </si>
  <si>
    <t>Articuno-1</t>
  </si>
  <si>
    <t>Articuno</t>
  </si>
  <si>
    <t>Zapdos-1</t>
  </si>
  <si>
    <t>Zapdos</t>
  </si>
  <si>
    <t>Heat Wave</t>
  </si>
  <si>
    <t>Moltres-1</t>
  </si>
  <si>
    <t>Moltres</t>
  </si>
  <si>
    <t>Raikou-1</t>
  </si>
  <si>
    <t>Raikou</t>
  </si>
  <si>
    <t>Entei-1</t>
  </si>
  <si>
    <t>Entei</t>
  </si>
  <si>
    <t>Snarl</t>
  </si>
  <si>
    <t>Suicune-1</t>
  </si>
  <si>
    <t>Suicune</t>
  </si>
  <si>
    <t>Regirock-1</t>
  </si>
  <si>
    <t>Regirock</t>
  </si>
  <si>
    <t>Regice-1</t>
  </si>
  <si>
    <t>Regice</t>
  </si>
  <si>
    <t>Registeel-1</t>
  </si>
  <si>
    <t>Registeel</t>
  </si>
  <si>
    <t>Latias-1</t>
  </si>
  <si>
    <t>Latias</t>
  </si>
  <si>
    <t>Latios-1</t>
  </si>
  <si>
    <t>Latios</t>
  </si>
  <si>
    <t>Heatran-2</t>
  </si>
  <si>
    <t>Cresselia-2</t>
  </si>
  <si>
    <t>Lunar Dance</t>
  </si>
  <si>
    <t>Regigigas-2</t>
  </si>
  <si>
    <t>Articuno-2</t>
  </si>
  <si>
    <t>Zapdos-2</t>
  </si>
  <si>
    <t>Moltres-2</t>
  </si>
  <si>
    <t>Raikou-2</t>
  </si>
  <si>
    <t>Entei-2</t>
  </si>
  <si>
    <t>Suicune-2</t>
  </si>
  <si>
    <t>Regirock-2</t>
  </si>
  <si>
    <t>Regice-2</t>
  </si>
  <si>
    <t>Registeel-2</t>
  </si>
  <si>
    <t>Latias-2</t>
  </si>
  <si>
    <t>Latios-2</t>
  </si>
  <si>
    <t>Heatran-3</t>
  </si>
  <si>
    <t>Cresselia-3</t>
  </si>
  <si>
    <t>Regigigas-3</t>
  </si>
  <si>
    <t>Articuno-3</t>
  </si>
  <si>
    <t>Zapdos-3</t>
  </si>
  <si>
    <t>Moltres-3</t>
  </si>
  <si>
    <t>Raikou-3</t>
  </si>
  <si>
    <t>Entei-3</t>
  </si>
  <si>
    <t>Suicune-3</t>
  </si>
  <si>
    <t>Regirock-3</t>
  </si>
  <si>
    <t>Regice-3</t>
  </si>
  <si>
    <t>Registeel-3</t>
  </si>
  <si>
    <t>Latias-3</t>
  </si>
  <si>
    <t>Latios-3</t>
  </si>
  <si>
    <t>Haban Berry</t>
  </si>
  <si>
    <t>Luster Purge</t>
  </si>
  <si>
    <t>Heatran-4</t>
  </si>
  <si>
    <t>Cresselia-4</t>
  </si>
  <si>
    <t>Regigigas-4</t>
  </si>
  <si>
    <t>Articuno-4</t>
  </si>
  <si>
    <t>Zapdos-4</t>
  </si>
  <si>
    <t>Moltres-4</t>
  </si>
  <si>
    <t>Raikou-4</t>
  </si>
  <si>
    <t>Entei-4</t>
  </si>
  <si>
    <t>Suicune-4</t>
  </si>
  <si>
    <t>Regirock-4</t>
  </si>
  <si>
    <t>Regice-4</t>
  </si>
  <si>
    <t>Registeel-4</t>
  </si>
  <si>
    <t>Latias-4</t>
  </si>
  <si>
    <t>Mist Ball</t>
  </si>
  <si>
    <t>Latios-4</t>
  </si>
  <si>
    <t>Heatran-5</t>
  </si>
  <si>
    <t>Cresselia-5</t>
  </si>
  <si>
    <t>Regigigas-5</t>
  </si>
  <si>
    <t>Mamoswine-3</t>
  </si>
  <si>
    <t>Dragonite-4</t>
  </si>
  <si>
    <t>Togekiss-3</t>
  </si>
  <si>
    <t>Garchomp-3</t>
  </si>
  <si>
    <t>Gyarados-3</t>
  </si>
  <si>
    <t>Arcanine-3</t>
  </si>
  <si>
    <t>Scizor-4</t>
  </si>
  <si>
    <t>Salamence-3</t>
  </si>
  <si>
    <t>Metagross-3</t>
  </si>
  <si>
    <t>Rotom-Wash-1</t>
  </si>
  <si>
    <t>Rotom-Wash</t>
  </si>
  <si>
    <t>Breloom-4</t>
  </si>
  <si>
    <t>Zapdos-5</t>
  </si>
  <si>
    <t>Gengar-4</t>
  </si>
  <si>
    <t>Sludge Wave</t>
  </si>
  <si>
    <t>Magnezone-3</t>
  </si>
  <si>
    <t>Tyranitar-3</t>
  </si>
  <si>
    <t>Latios-5</t>
  </si>
  <si>
    <t>Ninetales-3</t>
  </si>
  <si>
    <t>Hex</t>
  </si>
  <si>
    <t>Ninetales-4</t>
  </si>
  <si>
    <t>Venusaur-4</t>
  </si>
  <si>
    <t>Shiftry-4</t>
  </si>
  <si>
    <t>Pelipper-2</t>
  </si>
  <si>
    <t>Pelipper-3</t>
  </si>
  <si>
    <t>Kingdra-3</t>
  </si>
  <si>
    <t>Relicanth-2</t>
  </si>
  <si>
    <t>Zapdos-6</t>
  </si>
  <si>
    <t>Gardevoir-3</t>
  </si>
  <si>
    <t>Skarmory-4</t>
  </si>
  <si>
    <t>Cloyster-2</t>
  </si>
  <si>
    <t>Espeon-3</t>
  </si>
  <si>
    <t>Cloyster-3</t>
  </si>
  <si>
    <t>Blaziken-4</t>
  </si>
  <si>
    <t>Clefable-2</t>
  </si>
  <si>
    <t>Garchomp-4</t>
  </si>
  <si>
    <t>Gastrodon-4</t>
  </si>
  <si>
    <t>Sand Force</t>
  </si>
  <si>
    <t>Dugtrio-4</t>
  </si>
  <si>
    <t>Walrein-3</t>
  </si>
  <si>
    <t>Mamoswine-4</t>
  </si>
  <si>
    <t>Froslass-4</t>
  </si>
  <si>
    <t>Aurora Veil</t>
  </si>
  <si>
    <t>Ninetales-5</t>
  </si>
  <si>
    <t>Venusaur-5</t>
  </si>
  <si>
    <t>Charizard-4</t>
  </si>
  <si>
    <t>Garchomp-5</t>
  </si>
  <si>
    <t>Politoed-4</t>
  </si>
  <si>
    <t>Kingdra-4</t>
  </si>
  <si>
    <t>Zapdos-7</t>
  </si>
  <si>
    <t>Scizor-5</t>
  </si>
  <si>
    <t>Hitmontop-2</t>
  </si>
  <si>
    <t>Wide Guard</t>
  </si>
  <si>
    <t>Quick Guard</t>
  </si>
  <si>
    <t>Alakazam-4</t>
  </si>
  <si>
    <t>Gardevoir-4</t>
  </si>
  <si>
    <t>Telepathy</t>
  </si>
  <si>
    <t>Garchomp-6</t>
  </si>
  <si>
    <t>Abomasnow-4</t>
  </si>
  <si>
    <t>Bronzong-3</t>
  </si>
  <si>
    <t>Rhyperior-4</t>
  </si>
  <si>
    <t>Rotom-Wash-2</t>
  </si>
  <si>
    <t>Bellossom-2</t>
  </si>
  <si>
    <t>After You</t>
  </si>
  <si>
    <t>Torkoal-2</t>
  </si>
  <si>
    <t>Lapras-3</t>
  </si>
  <si>
    <t>Cresselia-6</t>
  </si>
  <si>
    <t>Suicune-5</t>
  </si>
  <si>
    <t>Tailwind</t>
  </si>
  <si>
    <t>Garchomp-7</t>
  </si>
  <si>
    <t>Togekiss-4</t>
  </si>
  <si>
    <t>Tyranitar-4</t>
  </si>
  <si>
    <t>Ambipom-4</t>
  </si>
  <si>
    <t>Claydol-3</t>
  </si>
  <si>
    <t>Rampardos-3</t>
  </si>
  <si>
    <t>Drapion-3</t>
  </si>
  <si>
    <t>Ninetales-6</t>
  </si>
  <si>
    <t>Machamp-3</t>
  </si>
  <si>
    <t>Honchkrow-3</t>
  </si>
  <si>
    <t>Steelix-3</t>
  </si>
  <si>
    <t>Weavile-3</t>
  </si>
  <si>
    <t>Gliscor-3</t>
  </si>
  <si>
    <t>Aerodactyl-3</t>
  </si>
  <si>
    <t>Lickilicky-3</t>
  </si>
  <si>
    <t>Gardevoir-5</t>
  </si>
  <si>
    <t>Exeggutor-3</t>
  </si>
  <si>
    <t>Harvest</t>
  </si>
  <si>
    <t>Starmie-3</t>
  </si>
  <si>
    <t>Flygon-3</t>
  </si>
  <si>
    <t>Vaporeon-3</t>
  </si>
  <si>
    <t>Jolteon-3</t>
  </si>
  <si>
    <t>Umbreon-3</t>
  </si>
  <si>
    <t>Leafeon-3</t>
  </si>
  <si>
    <t>Lucario-3</t>
  </si>
  <si>
    <t>Hippowdon-3</t>
  </si>
  <si>
    <t>Probopass-3</t>
  </si>
  <si>
    <t>Mamoswine-5</t>
  </si>
  <si>
    <t>Lapras-4</t>
  </si>
  <si>
    <t>Rhyperior-5</t>
  </si>
  <si>
    <t>Tangrowth-3</t>
  </si>
  <si>
    <t>Porygon-Z-3</t>
  </si>
  <si>
    <t>Gyarados-4</t>
  </si>
  <si>
    <t>Snorlax-3</t>
  </si>
  <si>
    <t>Blissey-3</t>
  </si>
  <si>
    <t>Milotic-4</t>
  </si>
  <si>
    <t>Electivire-3</t>
  </si>
  <si>
    <t>Magmortar-3</t>
  </si>
  <si>
    <t>Togekiss-5</t>
  </si>
  <si>
    <t>Arcanine-4</t>
  </si>
  <si>
    <t>Dragonite-5</t>
  </si>
  <si>
    <t>Tyranitar-5</t>
  </si>
  <si>
    <t>Salamence-4</t>
  </si>
  <si>
    <t>Metagross-4</t>
  </si>
  <si>
    <t>Garchomp-8</t>
  </si>
  <si>
    <t>Slaking-3</t>
  </si>
  <si>
    <t>Venusaur-6</t>
  </si>
  <si>
    <t>Charizard-5</t>
  </si>
  <si>
    <t>Typhlosion-4</t>
  </si>
  <si>
    <t>Feraligatr-4</t>
  </si>
  <si>
    <t>Blaziken-5</t>
  </si>
  <si>
    <t>Swampert-4</t>
  </si>
  <si>
    <t>Damp</t>
  </si>
  <si>
    <t>Infernape-4</t>
  </si>
  <si>
    <t>Medicham-4</t>
  </si>
  <si>
    <t>Quagsire-4</t>
  </si>
  <si>
    <t>Lanturn-4</t>
  </si>
  <si>
    <t>Breloom-5</t>
  </si>
  <si>
    <t>Staraptor-4</t>
  </si>
  <si>
    <t>Final Gambit</t>
  </si>
  <si>
    <t>Gastrodon-5</t>
  </si>
  <si>
    <t>Weezing-4</t>
  </si>
  <si>
    <t>Alakazam-5</t>
  </si>
  <si>
    <t>Miltank-4</t>
  </si>
  <si>
    <t>Abomasnow-5</t>
  </si>
  <si>
    <t>Nidoqueen-4</t>
  </si>
  <si>
    <t>Nidoking-4</t>
  </si>
  <si>
    <t>Cradily-4</t>
  </si>
  <si>
    <t>Drifblim-4</t>
  </si>
  <si>
    <t>Gengar-5</t>
  </si>
  <si>
    <t>Politoed-5</t>
  </si>
  <si>
    <t>Scizor-6</t>
  </si>
  <si>
    <t>Heracross-4</t>
  </si>
  <si>
    <t>Articuno-5</t>
  </si>
  <si>
    <t>Zapdos-8</t>
  </si>
  <si>
    <t>Moltres-5</t>
  </si>
  <si>
    <t>Raikou-5</t>
  </si>
  <si>
    <t>Entei-5</t>
  </si>
  <si>
    <t>Sacred Fire</t>
  </si>
  <si>
    <t>Suicune-6</t>
  </si>
  <si>
    <t>Regirock-5</t>
  </si>
  <si>
    <t>Regice-5</t>
  </si>
  <si>
    <t>Registeel-5</t>
  </si>
  <si>
    <t>Latias-5</t>
  </si>
  <si>
    <t>Latios-6</t>
  </si>
  <si>
    <t>Heatran-6</t>
  </si>
  <si>
    <t>Cresselia-7</t>
  </si>
  <si>
    <t>Regigigas-6</t>
  </si>
  <si>
    <t>Abomasnow-6</t>
  </si>
  <si>
    <t>Aerodactyl-4</t>
  </si>
  <si>
    <t>Unnerve</t>
  </si>
  <si>
    <t>Roark only (Single 1 boss)</t>
  </si>
  <si>
    <t>Slowbro-4</t>
  </si>
  <si>
    <t>Tyranitar-6</t>
  </si>
  <si>
    <t>Tyranitar-7</t>
  </si>
  <si>
    <t>Roark only* (Single 1 boss)</t>
  </si>
  <si>
    <t>Salamence-5</t>
  </si>
  <si>
    <t>Rampardos-4</t>
  </si>
  <si>
    <t>Lunatone-2</t>
  </si>
  <si>
    <t>Torkoal-3</t>
  </si>
  <si>
    <t>Rampardos-5</t>
  </si>
  <si>
    <t>Tyranitar-8</t>
  </si>
  <si>
    <t>Roark only (Double 1 boss)</t>
  </si>
  <si>
    <t>Scizor-7</t>
  </si>
  <si>
    <t>Byron only (Double 1 boss)</t>
  </si>
  <si>
    <t>Rampardos-6</t>
  </si>
  <si>
    <t>Bastiodon-4</t>
  </si>
  <si>
    <t>Rampardos-7</t>
  </si>
  <si>
    <t>Bronzong-4</t>
  </si>
  <si>
    <t>Tyranitar-9</t>
  </si>
  <si>
    <t>Bastiodon-5</t>
  </si>
  <si>
    <t>Aerodactyl-5</t>
  </si>
  <si>
    <t>Metagross-5</t>
  </si>
  <si>
    <t>Tyranitar-10</t>
  </si>
  <si>
    <t>Heatran-7</t>
  </si>
  <si>
    <t>Breloom-6</t>
  </si>
  <si>
    <t>Gardenia only (Single 2 boss)</t>
  </si>
  <si>
    <t>Cradily-5</t>
  </si>
  <si>
    <t>Gardenia only* (Single 2 boss)</t>
  </si>
  <si>
    <t>Roserade-3</t>
  </si>
  <si>
    <t>Rotom-Mow-1</t>
  </si>
  <si>
    <t>Rotom-Mow</t>
  </si>
  <si>
    <t>Milotic-5</t>
  </si>
  <si>
    <t>Roserade-4</t>
  </si>
  <si>
    <t>Ninetales-7</t>
  </si>
  <si>
    <t>Rotom-Mow-2</t>
  </si>
  <si>
    <t>Trick</t>
  </si>
  <si>
    <t>Venusaur-7</t>
  </si>
  <si>
    <t>Alakazam-6</t>
  </si>
  <si>
    <t>Mira only (Double 2 boss)</t>
  </si>
  <si>
    <t>Umbreon-4</t>
  </si>
  <si>
    <t>Cheryl only (Double 2 boss)</t>
  </si>
  <si>
    <t>Gengar-6</t>
  </si>
  <si>
    <t>Blissey-4</t>
  </si>
  <si>
    <t>Zapdos-9</t>
  </si>
  <si>
    <t>Blissey-5</t>
  </si>
  <si>
    <t>Alakazam-7</t>
  </si>
  <si>
    <t>Porygon-Z-4</t>
  </si>
  <si>
    <t>Gardevoir-6</t>
  </si>
  <si>
    <t>Latios-7</t>
  </si>
  <si>
    <t>Zapdos-10</t>
  </si>
  <si>
    <t>Porygon-Z-5</t>
  </si>
  <si>
    <t>Breloom-7</t>
  </si>
  <si>
    <t>Maylene only (Single 3 boss)</t>
  </si>
  <si>
    <t>Blaziken-6</t>
  </si>
  <si>
    <t>Empoleon-4</t>
  </si>
  <si>
    <t>Hitmontop-3</t>
  </si>
  <si>
    <t>Dragonite-6</t>
  </si>
  <si>
    <t>Lucario-4</t>
  </si>
  <si>
    <t>Infernape-5</t>
  </si>
  <si>
    <t>Gallade-3</t>
  </si>
  <si>
    <t>Lucario-5</t>
  </si>
  <si>
    <t>Shiftry-5</t>
  </si>
  <si>
    <t>Gardenia only (Double 3 boss)</t>
  </si>
  <si>
    <t>Sableye-2</t>
  </si>
  <si>
    <t>Fantina only (Double 3 boss)</t>
  </si>
  <si>
    <t>Breloom-8</t>
  </si>
  <si>
    <t>Gengar-7</t>
  </si>
  <si>
    <t>Venusaur-8</t>
  </si>
  <si>
    <t>Sableye-3</t>
  </si>
  <si>
    <t>Roserade-5</t>
  </si>
  <si>
    <t>Gengar-8</t>
  </si>
  <si>
    <t>Tangrowth-4</t>
  </si>
  <si>
    <t>Dusknoir-3</t>
  </si>
  <si>
    <t>Torterra-4</t>
  </si>
  <si>
    <t>Banette-2</t>
  </si>
  <si>
    <t>Swampert-5</t>
  </si>
  <si>
    <t>Wake only (Single 4 boss)</t>
  </si>
  <si>
    <t>Suicune-7</t>
  </si>
  <si>
    <t>Floatzel-4</t>
  </si>
  <si>
    <t>Water Veil</t>
  </si>
  <si>
    <t>Politoed-6</t>
  </si>
  <si>
    <t>Armaldo-4</t>
  </si>
  <si>
    <t>Ludicolo-4</t>
  </si>
  <si>
    <t>Pelipper-4</t>
  </si>
  <si>
    <t>Scizor-8</t>
  </si>
  <si>
    <t>Kingdra-5</t>
  </si>
  <si>
    <t>Nidoking-5</t>
  </si>
  <si>
    <t>Jupiter only (Double 4 boss)</t>
  </si>
  <si>
    <t>Absol-4</t>
  </si>
  <si>
    <t>Saturn only (Double 4 boss)</t>
  </si>
  <si>
    <t>Skuntank-4</t>
  </si>
  <si>
    <t>Sableye-4</t>
  </si>
  <si>
    <t>Gengar-9</t>
  </si>
  <si>
    <t>Skuntank-5</t>
  </si>
  <si>
    <t>Toxicroak-4</t>
  </si>
  <si>
    <t>Sharpedo-2</t>
  </si>
  <si>
    <t>Crobat-3</t>
  </si>
  <si>
    <t>Sharpedo-3</t>
  </si>
  <si>
    <t>Toxicroak-5</t>
  </si>
  <si>
    <t>Tyranitar-11</t>
  </si>
  <si>
    <t>Shedinja-3</t>
  </si>
  <si>
    <t>Fantina only (Single 5 boss)</t>
  </si>
  <si>
    <t>Dusknoir-4</t>
  </si>
  <si>
    <t>Mago Berry</t>
  </si>
  <si>
    <t>Mismagius-4</t>
  </si>
  <si>
    <t>Dusknoir-5</t>
  </si>
  <si>
    <t>Crawdaunt-2</t>
  </si>
  <si>
    <t>Gengar-10</t>
  </si>
  <si>
    <t>Sableye-5</t>
  </si>
  <si>
    <t>Spiritomb-1</t>
  </si>
  <si>
    <t>Spiritomb</t>
  </si>
  <si>
    <t>Infiltrator</t>
  </si>
  <si>
    <t>Dragonite-7</t>
  </si>
  <si>
    <t>Hitmontop-4</t>
  </si>
  <si>
    <t>Maylene only (Double 5 boss)</t>
  </si>
  <si>
    <t>Abomasnow-7</t>
  </si>
  <si>
    <t>Candice only (Double 5 boss)</t>
  </si>
  <si>
    <t>Lucario-6</t>
  </si>
  <si>
    <t>Froslass-5</t>
  </si>
  <si>
    <t>Hitmontop-5</t>
  </si>
  <si>
    <t>Abomasnow-8</t>
  </si>
  <si>
    <t>Lucario-7</t>
  </si>
  <si>
    <t>Articuno-6</t>
  </si>
  <si>
    <t>Hitmontop-6</t>
  </si>
  <si>
    <t>Weavile-4</t>
  </si>
  <si>
    <t>Blaziken-7</t>
  </si>
  <si>
    <t>Abomasnow-9</t>
  </si>
  <si>
    <t>Moltres-6</t>
  </si>
  <si>
    <t>Byron only (Single 6 boss)</t>
  </si>
  <si>
    <t>Metagross-6</t>
  </si>
  <si>
    <t>Bastiodon-6</t>
  </si>
  <si>
    <t>Scizor-9</t>
  </si>
  <si>
    <t>Pelipper-5</t>
  </si>
  <si>
    <t>Aggron-3</t>
  </si>
  <si>
    <t>Metagross-7</t>
  </si>
  <si>
    <t>Scizor-10</t>
  </si>
  <si>
    <t>Heatran-8</t>
  </si>
  <si>
    <t>Salamence-6</t>
  </si>
  <si>
    <t>Riley only (Double 6 boss)</t>
  </si>
  <si>
    <t>Arcanine-5</t>
  </si>
  <si>
    <t>Marley only (Double 6 boss)</t>
  </si>
  <si>
    <t>Lucario-8</t>
  </si>
  <si>
    <t>Aerodactyl-6</t>
  </si>
  <si>
    <t>Salamence-7</t>
  </si>
  <si>
    <t>Arcanine-6</t>
  </si>
  <si>
    <t>Metagross-8</t>
  </si>
  <si>
    <t>Starmie-4</t>
  </si>
  <si>
    <t>Lucario-9</t>
  </si>
  <si>
    <t>Arcanine-7</t>
  </si>
  <si>
    <t>Garchomp-9</t>
  </si>
  <si>
    <t>Aerodactyl-7</t>
  </si>
  <si>
    <t>Abomasnow-10</t>
  </si>
  <si>
    <t>Candice only (Single 7 boss)</t>
  </si>
  <si>
    <t>Regice-6</t>
  </si>
  <si>
    <t>Cloyster-4</t>
  </si>
  <si>
    <t>Heatran-9</t>
  </si>
  <si>
    <t>Mamoswine-6</t>
  </si>
  <si>
    <t>Glaceon-3</t>
  </si>
  <si>
    <t>Lapras-5</t>
  </si>
  <si>
    <t>Mamoswine-7</t>
  </si>
  <si>
    <t>Venusaur-9</t>
  </si>
  <si>
    <t>Cresselia-8</t>
  </si>
  <si>
    <t>Buck only (Double 7 boss)</t>
  </si>
  <si>
    <t>Rhyperior-6</t>
  </si>
  <si>
    <t>Bertha only (Double 7 boss)</t>
  </si>
  <si>
    <t>Claydol-4</t>
  </si>
  <si>
    <t>Steelix-4</t>
  </si>
  <si>
    <t>Regirock-6</t>
  </si>
  <si>
    <t>Hippowdon-4</t>
  </si>
  <si>
    <t>Iapapa Berry</t>
  </si>
  <si>
    <t>Claydol-5</t>
  </si>
  <si>
    <t>Rhyperior-7</t>
  </si>
  <si>
    <t>Claydol-6</t>
  </si>
  <si>
    <t>Donphan-4</t>
  </si>
  <si>
    <t>Cresselia-9</t>
  </si>
  <si>
    <t>Rhyperior-8</t>
  </si>
  <si>
    <t>Rotom-Wash-3</t>
  </si>
  <si>
    <t>Volkner only (Single 8 boss)</t>
  </si>
  <si>
    <t>Magnezone-4</t>
  </si>
  <si>
    <t>Luxray-3</t>
  </si>
  <si>
    <t>Zapdos-11</t>
  </si>
  <si>
    <t>Gyarados-5</t>
  </si>
  <si>
    <t>Electivire-4</t>
  </si>
  <si>
    <t>Zapdos-12</t>
  </si>
  <si>
    <t>Rotom-Heat-1</t>
  </si>
  <si>
    <t>Rotom-Heat</t>
  </si>
  <si>
    <t>Swampert-6</t>
  </si>
  <si>
    <t>Blaziken-8</t>
  </si>
  <si>
    <t>Flint only (Double 8 boss)</t>
  </si>
  <si>
    <t>Rotom-Wash-4</t>
  </si>
  <si>
    <t>Volkner only (Double 8 boss)</t>
  </si>
  <si>
    <t>Magmortar-4</t>
  </si>
  <si>
    <t>Electivire-5</t>
  </si>
  <si>
    <t>Rotom-Heat-2</t>
  </si>
  <si>
    <t>Electivire-6</t>
  </si>
  <si>
    <t>Magmortar-5</t>
  </si>
  <si>
    <t>Zapdos-13</t>
  </si>
  <si>
    <t>Infernape-6</t>
  </si>
  <si>
    <t>Luxray-4</t>
  </si>
  <si>
    <t>Baby-Doll Eyes</t>
  </si>
  <si>
    <t>Entei-6</t>
  </si>
  <si>
    <t>Zapdos-14</t>
  </si>
  <si>
    <t>Lucario-10</t>
  </si>
  <si>
    <t>Cynthia only (Single 9 boss)</t>
  </si>
  <si>
    <t>Togekiss-6</t>
  </si>
  <si>
    <t>Garchomp-10</t>
  </si>
  <si>
    <t>Togekiss-7</t>
  </si>
  <si>
    <t>Milotic-6</t>
  </si>
  <si>
    <t>Garchomp-11</t>
  </si>
  <si>
    <t>Gastrodon-6</t>
  </si>
  <si>
    <t>Lucario-11</t>
  </si>
  <si>
    <t>Garchomp-12</t>
  </si>
  <si>
    <t>Raichu-4</t>
  </si>
  <si>
    <t>Mars only (Double 9 boss)</t>
  </si>
  <si>
    <t>Gyarados-6</t>
  </si>
  <si>
    <t>Cyrus only (Double 9 boss)</t>
  </si>
  <si>
    <t>Bronzong-5</t>
  </si>
  <si>
    <t>Salamence-8</t>
  </si>
  <si>
    <t>Espeon-4</t>
  </si>
  <si>
    <t>Weavile-5</t>
  </si>
  <si>
    <t>Togekiss-8</t>
  </si>
  <si>
    <t>Entei-7</t>
  </si>
  <si>
    <t>Crobat-4</t>
  </si>
  <si>
    <t>Rotom-Heat-3</t>
  </si>
  <si>
    <t>Purugly-2</t>
  </si>
  <si>
    <t>Gyarados-7</t>
  </si>
  <si>
    <t>Dragonite-8</t>
  </si>
  <si>
    <t>Palmer only (Single 10 boss)</t>
  </si>
  <si>
    <t>Heatran-10</t>
  </si>
  <si>
    <t>Cresselia-10</t>
  </si>
  <si>
    <t>Regigigas-7</t>
  </si>
  <si>
    <t>Dragonite-9</t>
  </si>
  <si>
    <t>Milotic-7</t>
  </si>
  <si>
    <t>Heatran-11</t>
  </si>
  <si>
    <t>Rhyperior-9</t>
  </si>
  <si>
    <t>Dragonite-10</t>
  </si>
  <si>
    <t>Empoleon-5</t>
  </si>
  <si>
    <t>Barry only (Double 10 boss)</t>
  </si>
  <si>
    <t>Rhyperior-10</t>
  </si>
  <si>
    <t>Palmer only (Double 10 boss)</t>
  </si>
  <si>
    <t>Staraptor-5</t>
  </si>
  <si>
    <t>Heatran-12</t>
  </si>
  <si>
    <t>Heracross-5</t>
  </si>
  <si>
    <t>Dragonite-11</t>
  </si>
  <si>
    <t>Infernape-7</t>
  </si>
  <si>
    <t>Cresselia-11</t>
  </si>
  <si>
    <t>Torterra-5</t>
  </si>
  <si>
    <t>Milotic-8</t>
  </si>
  <si>
    <t>Snorlax-4</t>
  </si>
  <si>
    <t>Heatran-13</t>
  </si>
  <si>
    <t>name</t>
  </si>
  <si>
    <t>class</t>
  </si>
  <si>
    <t>name2</t>
  </si>
  <si>
    <t>class2</t>
  </si>
  <si>
    <t>tier</t>
  </si>
  <si>
    <t>slot 1</t>
  </si>
  <si>
    <t>slot 2</t>
  </si>
  <si>
    <t>slot 3</t>
  </si>
  <si>
    <t>slot 4</t>
  </si>
  <si>
    <t>Youngster</t>
  </si>
  <si>
    <t>Singles Set 1</t>
  </si>
  <si>
    <t>2x S7, 2x SM, 2x D7, 5x DM</t>
  </si>
  <si>
    <t>4x SM, 4x DM</t>
  </si>
  <si>
    <t>3x S1, 1x S2, 3x D1, 1x D2</t>
  </si>
  <si>
    <t>2x S5, 1x S6, 2x D5, 1x D6</t>
  </si>
  <si>
    <t>2x S3, 1x S4, 2x D3, 1x D4</t>
  </si>
  <si>
    <t>4x SM, 8x DM</t>
  </si>
  <si>
    <t>2x S2, 1x S3, 2x D2, 1x D3</t>
  </si>
  <si>
    <t>4x S4, 1x S5, 2x D4, 1x D5</t>
  </si>
  <si>
    <t>Lass</t>
  </si>
  <si>
    <t>3x SM, 4x DM</t>
  </si>
  <si>
    <t>2x S7, 1x SM, 2x D7, 5x DM</t>
  </si>
  <si>
    <t>2x S7, 2x SM, 2x D7, 9x DM</t>
  </si>
  <si>
    <t>2x S3, 2x D3, 1x D4</t>
  </si>
  <si>
    <t>2x S7, 1x SM, 1x D7, 3x DM</t>
  </si>
  <si>
    <t>School Kid (M)</t>
  </si>
  <si>
    <t>2x S3, 2x S4, 2x D3, 1x D4</t>
  </si>
  <si>
    <t>3x S1, 1x S2, 2x D1, 1x D2</t>
  </si>
  <si>
    <t>1x S5, 1x S6, 2x D5, 1x D6</t>
  </si>
  <si>
    <t>2x S1, 1x S2, 3x D1, 1x D2</t>
  </si>
  <si>
    <t>1x S5, 2x D4, 1x D5</t>
  </si>
  <si>
    <t>1x S2, 1x S3, 2x D2, 1x D3</t>
  </si>
  <si>
    <t>School Kid (F)</t>
  </si>
  <si>
    <t>3x DM10 Boss</t>
  </si>
  <si>
    <t>1x S4, 1x S5, 1x D4, 1x D5</t>
  </si>
  <si>
    <t>2x S2, 1x S3, 1x D2, 1x D3</t>
  </si>
  <si>
    <t>1x S7, 1x SM, 1x D7, 6x DM</t>
  </si>
  <si>
    <t>2x S6, 1x S7, 2x D6, 1x D7</t>
  </si>
  <si>
    <t>3x DM7 Boss</t>
  </si>
  <si>
    <t>Rich Boy</t>
  </si>
  <si>
    <t>4x SM, 9x DM</t>
  </si>
  <si>
    <t>3x S4, 1x S5, 2x D4, 1x D5</t>
  </si>
  <si>
    <t>4x SM, 6x DM</t>
  </si>
  <si>
    <t>Lady</t>
  </si>
  <si>
    <t>3x SM6 Boss, 3x DM1 Boss</t>
  </si>
  <si>
    <t>1x S3, 3x S4, 2x D3, 1x D4</t>
  </si>
  <si>
    <t>3x SM7 Boss, 2x DM5 Boss</t>
  </si>
  <si>
    <t>3x S3, 2x S4, 2x D3, 1x D4</t>
  </si>
  <si>
    <t>Camper</t>
  </si>
  <si>
    <t>2x S7, 1x SM, 2x D7, 3x DM</t>
  </si>
  <si>
    <t>1x S6, 1x S7, 1x D6, 1x D7</t>
  </si>
  <si>
    <t>Picnicker</t>
  </si>
  <si>
    <t>3x DM2 Boss</t>
  </si>
  <si>
    <t>4x SM, 7x DM</t>
  </si>
  <si>
    <t>1x S7, 2x SM, 1x D7, 3x DM</t>
  </si>
  <si>
    <t>2x S6, 1x S7, 1x D6, 1x D7</t>
  </si>
  <si>
    <t>Tuber (M)</t>
  </si>
  <si>
    <t>1x S7, 2x SM, 2x D7, 5x DM</t>
  </si>
  <si>
    <t>4x SM, 3x DM</t>
  </si>
  <si>
    <t>3x S5, 1x S6, 2x D5, 1x D6</t>
  </si>
  <si>
    <t>Tuber (F)</t>
  </si>
  <si>
    <t>2x S7, 2x SM, 2x D7, 7x DM</t>
  </si>
  <si>
    <t>3x SM9 Boss</t>
  </si>
  <si>
    <t>3x DM9 Boss</t>
  </si>
  <si>
    <t>Guitarist</t>
  </si>
  <si>
    <t>1x S5, 1x S6, 1x D5, 1x D6</t>
  </si>
  <si>
    <t>Idol</t>
  </si>
  <si>
    <t>1x S2, 1x S3, 1x D2, 1x D3</t>
  </si>
  <si>
    <t>4x SM, 5x DM</t>
  </si>
  <si>
    <t>2x S7, 2x SM, 2x D7, 4x DM</t>
  </si>
  <si>
    <t>1x S3, 1x S4, 2x D3, 1x D4</t>
  </si>
  <si>
    <t>2x S4, 1x S5, 2x D4, 1x D5</t>
  </si>
  <si>
    <t>2x S5, 1x S6, 2x SM, 2x D5, 1x D6, 2x DM</t>
  </si>
  <si>
    <t>Singles Set 2</t>
  </si>
  <si>
    <t>4x SM, 11x DM</t>
  </si>
  <si>
    <t>2x S7, 2x SM, 2x D7, 8x DM</t>
  </si>
  <si>
    <t>3x SM5 Boss, 2x DM3 Boss</t>
  </si>
  <si>
    <t>3x DM8 Boss</t>
  </si>
  <si>
    <t>3x SM2 Boss, 3x DM3 Boss</t>
  </si>
  <si>
    <t>2x S5, 1x S6, 1x D5, 1x D6</t>
  </si>
  <si>
    <t>3x SM, 8x DM</t>
  </si>
  <si>
    <t>2x S3, 3x S4, 2x D3, 1x D4</t>
  </si>
  <si>
    <t>2x S4, 1x S5, 1x S6, 2x SM, 2x D5, 1x D6, 2x DM</t>
  </si>
  <si>
    <t>Pokefan (M)</t>
  </si>
  <si>
    <t>2x S7, 2x SM, 1x D7, 5x DM</t>
  </si>
  <si>
    <t>2x S7, 2x SM, 2x D7, 11x DM</t>
  </si>
  <si>
    <t>Pokefan (F)</t>
  </si>
  <si>
    <t>2x S1, 1x S2, 2x D1, 1x D2</t>
  </si>
  <si>
    <t>Waiter</t>
  </si>
  <si>
    <t>2x S7, 2x SM, 2x D7, 3x DM</t>
  </si>
  <si>
    <t>Waitress</t>
  </si>
  <si>
    <t>2x S4, 1x S5, 1x D4, 1x D5</t>
  </si>
  <si>
    <t>Bug Catcher</t>
  </si>
  <si>
    <t>2x S6, 1x S7, 5x D6, 1x D7</t>
  </si>
  <si>
    <t>Ninja Boy</t>
  </si>
  <si>
    <t>3x DM4 Boss</t>
  </si>
  <si>
    <t>Poke Kid (F)</t>
  </si>
  <si>
    <t>1x S6, 1x S7, 2x D6, 1x D7</t>
  </si>
  <si>
    <t>2x S3, 6x S4, 1x D3, 1x D4</t>
  </si>
  <si>
    <t>Fisherman</t>
  </si>
  <si>
    <t>2x S3, 1x S4, 1x D3, 1x D4</t>
  </si>
  <si>
    <t>Ruin Maniac</t>
  </si>
  <si>
    <t>2x S7, 1x SM, 2x D7, 6x DM</t>
  </si>
  <si>
    <t>Collector</t>
  </si>
  <si>
    <t>4x SM, 10x DM</t>
  </si>
  <si>
    <t>Parasol Lady</t>
  </si>
  <si>
    <t>Beauty</t>
  </si>
  <si>
    <t>1x S3, 2x S4, 1x D3, 1x D4</t>
  </si>
  <si>
    <t>1x S4, 1x S5, 2x D4, 1x D5</t>
  </si>
  <si>
    <t>Aroma Lady</t>
  </si>
  <si>
    <t>1x S7, 2x SM, 2x D7, 7x DM</t>
  </si>
  <si>
    <t>Singles Set 3</t>
  </si>
  <si>
    <t>3x DM6 Boss</t>
  </si>
  <si>
    <t>3x SM3 Boss, 3x DM5 Boss</t>
  </si>
  <si>
    <t>2x S7, 1x SM, 1x D7, 5x DM</t>
  </si>
  <si>
    <t>1x S5, 2x SM, 1x D4, 1x D5, 4x DM</t>
  </si>
  <si>
    <t>2x S5, 1x S6, 2x SM, 2x D5, 1x D6, 4x DM</t>
  </si>
  <si>
    <t>Bird Keeper</t>
  </si>
  <si>
    <t>3x SM, 6x DM</t>
  </si>
  <si>
    <t>3x S3 Boss, 3x S7 Boss, 3x SM10 Boss, 3x DM10 Boss</t>
  </si>
  <si>
    <t>Sailor</t>
  </si>
  <si>
    <t>1x S3, 2x S4, 2x D3, 1x D4</t>
  </si>
  <si>
    <t>Hiker</t>
  </si>
  <si>
    <t>Jogger</t>
  </si>
  <si>
    <t>3x SM1 Boss, 3x DM1 Boss</t>
  </si>
  <si>
    <t>1x S3, 3x S4, 1x D3, 1x D4</t>
  </si>
  <si>
    <t>Worker</t>
  </si>
  <si>
    <t>Rancher</t>
  </si>
  <si>
    <t>Cowgirl</t>
  </si>
  <si>
    <t>2x S3, 1x D3, 1x D4</t>
  </si>
  <si>
    <t>Cameraman</t>
  </si>
  <si>
    <t>Reporter</t>
  </si>
  <si>
    <t>2x S7, 1x SM, 2x D7, 7x DM</t>
  </si>
  <si>
    <t>Cyclist (M)</t>
  </si>
  <si>
    <t>Cyclist (F)</t>
  </si>
  <si>
    <t>Veteran</t>
  </si>
  <si>
    <t>Singles Set 4</t>
  </si>
  <si>
    <t>Scientist</t>
  </si>
  <si>
    <t>Pokemon Breeder (M)</t>
  </si>
  <si>
    <t>Pokemon Breeder (F)</t>
  </si>
  <si>
    <t>Clown</t>
  </si>
  <si>
    <t>2x S3, 4x S4, 2x D3, 1x D4</t>
  </si>
  <si>
    <t>Roughneck</t>
  </si>
  <si>
    <t>3x SM8 Boss, 3x DM8 Boss</t>
  </si>
  <si>
    <t>3x SM4 Boss</t>
  </si>
  <si>
    <t>Ace Trainer (M)</t>
  </si>
  <si>
    <t>Socialite</t>
  </si>
  <si>
    <t>Battle Girl</t>
  </si>
  <si>
    <t>Gentleman</t>
  </si>
  <si>
    <t>Pokemon Ranger (M)</t>
  </si>
  <si>
    <t>Singles Set 5</t>
  </si>
  <si>
    <t>Dragon Tamer (F)</t>
  </si>
  <si>
    <t>Dragon Tamer (M)</t>
  </si>
  <si>
    <t>Ace Trainer (F)</t>
  </si>
  <si>
    <t>Pokemon Ranger (F)</t>
  </si>
  <si>
    <t>Singles Set 6</t>
  </si>
  <si>
    <t>Poke Kid</t>
  </si>
  <si>
    <t>PI</t>
  </si>
  <si>
    <t>Policeman</t>
  </si>
  <si>
    <t>Singles Set 7</t>
  </si>
  <si>
    <t>Dragon Tamer</t>
  </si>
  <si>
    <t>Singles Master</t>
  </si>
  <si>
    <t>Cyclist</t>
  </si>
  <si>
    <t>Tower Tycoon</t>
  </si>
  <si>
    <t>Singles Set 3 Boss</t>
  </si>
  <si>
    <t>Singles Set 7 Boss</t>
  </si>
  <si>
    <t>Gym Leader</t>
  </si>
  <si>
    <t>Singles Master Rank 1 Boss</t>
  </si>
  <si>
    <t>Singles Master Rank 2 Boss</t>
  </si>
  <si>
    <t>Singles Master Rank 3 Boss</t>
  </si>
  <si>
    <t>Singles Master Rank 4 Boss</t>
  </si>
  <si>
    <t>Singles Master Rank 5 Boss</t>
  </si>
  <si>
    <t>Singles Master Rank 6 Boss</t>
  </si>
  <si>
    <t>Singles Master Rank 7 Boss</t>
  </si>
  <si>
    <t>Singles Master Rank 8 Boss</t>
  </si>
  <si>
    <t>Champion</t>
  </si>
  <si>
    <t>Singles Master Rank 9 Boss</t>
  </si>
  <si>
    <t>Singles Master Rank 10 Boss</t>
  </si>
  <si>
    <t>Doubles Set 1</t>
  </si>
  <si>
    <t>Doubles Set 2</t>
  </si>
  <si>
    <t>Doubles Set 3</t>
  </si>
  <si>
    <t>Doubles Set 4</t>
  </si>
  <si>
    <t>Doubles Set 5</t>
  </si>
  <si>
    <t>Doubles Set 6</t>
  </si>
  <si>
    <t>Doubles Set 7</t>
  </si>
  <si>
    <t>Doubles Master</t>
  </si>
  <si>
    <t>Doubles Master Rank 1 Boss</t>
  </si>
  <si>
    <t>Pokemon Trainer</t>
  </si>
  <si>
    <t>Doubles Master Rank 2 Boss</t>
  </si>
  <si>
    <t>Doubles Master Rank 3 Boss</t>
  </si>
  <si>
    <t>Team Galactic</t>
  </si>
  <si>
    <t>Doubles Master Rank 4 Boss</t>
  </si>
  <si>
    <t>Doubles Master Rank 5 Boss</t>
  </si>
  <si>
    <t>Doubles Master Rank 6 Boss</t>
  </si>
  <si>
    <t>Elite Four</t>
  </si>
  <si>
    <t>Doubles Master Rank 7 Boss</t>
  </si>
  <si>
    <t>Doubles Master Rank 8 Boss</t>
  </si>
  <si>
    <t>Doubles Master Rank 9 Boss</t>
  </si>
  <si>
    <t>Doubles Master Rank 10 Boss</t>
  </si>
  <si>
    <t>Name</t>
  </si>
  <si>
    <t>Generation</t>
  </si>
  <si>
    <t>Type1</t>
  </si>
  <si>
    <t>Type2</t>
  </si>
  <si>
    <t>Attack</t>
  </si>
  <si>
    <t>Defense</t>
  </si>
  <si>
    <t>G1Special</t>
  </si>
  <si>
    <t>SpecialA</t>
  </si>
  <si>
    <t>SpecialD</t>
  </si>
  <si>
    <t>Ability1</t>
  </si>
  <si>
    <t>Ability2</t>
  </si>
  <si>
    <t>Ability3</t>
  </si>
  <si>
    <t>Weight</t>
  </si>
  <si>
    <t>Grass</t>
  </si>
  <si>
    <t>Poison</t>
  </si>
  <si>
    <t>Fire</t>
  </si>
  <si>
    <t>Flying</t>
  </si>
  <si>
    <t>Water</t>
  </si>
  <si>
    <t>Caterpie</t>
  </si>
  <si>
    <t>Bug</t>
  </si>
  <si>
    <t>Run Away</t>
  </si>
  <si>
    <t>Metapod</t>
  </si>
  <si>
    <t>Weedle</t>
  </si>
  <si>
    <t>Kakuna</t>
  </si>
  <si>
    <t>Pidgey</t>
  </si>
  <si>
    <t>Normal</t>
  </si>
  <si>
    <t>Tangled Feet</t>
  </si>
  <si>
    <t>Rattata</t>
  </si>
  <si>
    <t>Spearow</t>
  </si>
  <si>
    <t>Ekans</t>
  </si>
  <si>
    <t>Electric</t>
  </si>
  <si>
    <t>Ground</t>
  </si>
  <si>
    <t>NidoranF</t>
  </si>
  <si>
    <t>Rivalry</t>
  </si>
  <si>
    <t>NidoranM</t>
  </si>
  <si>
    <t>Friend Guard</t>
  </si>
  <si>
    <t>Jigglypuff</t>
  </si>
  <si>
    <t>Frisk</t>
  </si>
  <si>
    <t>Zubat</t>
  </si>
  <si>
    <t>Paras</t>
  </si>
  <si>
    <t>Wonder Skin</t>
  </si>
  <si>
    <t>Diglett</t>
  </si>
  <si>
    <t>Meowth</t>
  </si>
  <si>
    <t>Mankey</t>
  </si>
  <si>
    <t>Fighting</t>
  </si>
  <si>
    <t>Anger Point</t>
  </si>
  <si>
    <t>Poliwag</t>
  </si>
  <si>
    <t>Abra</t>
  </si>
  <si>
    <t>Bellsprout</t>
  </si>
  <si>
    <t>Rock</t>
  </si>
  <si>
    <t>Magnet Pull</t>
  </si>
  <si>
    <t>Ice</t>
  </si>
  <si>
    <t>Shellder</t>
  </si>
  <si>
    <t>Gastly</t>
  </si>
  <si>
    <t>Ghost</t>
  </si>
  <si>
    <t>Forewarn</t>
  </si>
  <si>
    <t>Healer</t>
  </si>
  <si>
    <t>Leaf Guard</t>
  </si>
  <si>
    <t>Horsea</t>
  </si>
  <si>
    <t>Magikarp</t>
  </si>
  <si>
    <t>Rattled</t>
  </si>
  <si>
    <t>Ditto</t>
  </si>
  <si>
    <t>Imposter</t>
  </si>
  <si>
    <t>Anticipation</t>
  </si>
  <si>
    <t>Quick Feet</t>
  </si>
  <si>
    <t>Dragon</t>
  </si>
  <si>
    <t>Mewtwo</t>
  </si>
  <si>
    <t>Mew</t>
  </si>
  <si>
    <t>Sentret</t>
  </si>
  <si>
    <t>Hoothoot</t>
  </si>
  <si>
    <t>Ledyba</t>
  </si>
  <si>
    <t>Spinarak</t>
  </si>
  <si>
    <t>Pichu</t>
  </si>
  <si>
    <t>Cleffa</t>
  </si>
  <si>
    <t>Igglybuff</t>
  </si>
  <si>
    <t>Togepi</t>
  </si>
  <si>
    <t>Mareep</t>
  </si>
  <si>
    <t>Marill</t>
  </si>
  <si>
    <t>Hoppip</t>
  </si>
  <si>
    <t>Sunkern</t>
  </si>
  <si>
    <t>Wooper</t>
  </si>
  <si>
    <t>Dark</t>
  </si>
  <si>
    <t>Unown</t>
  </si>
  <si>
    <t>Pineco</t>
  </si>
  <si>
    <t>Steel</t>
  </si>
  <si>
    <t>Light Metal</t>
  </si>
  <si>
    <t>Contrary</t>
  </si>
  <si>
    <t>Slugma</t>
  </si>
  <si>
    <t>Magma Armor</t>
  </si>
  <si>
    <t>Swinub</t>
  </si>
  <si>
    <t>Suction Cups</t>
  </si>
  <si>
    <t>Smeargle</t>
  </si>
  <si>
    <t>Tyrogue</t>
  </si>
  <si>
    <t>Lugia</t>
  </si>
  <si>
    <t>Ho-Oh</t>
  </si>
  <si>
    <t>Celebi</t>
  </si>
  <si>
    <t>Poochyena</t>
  </si>
  <si>
    <t>Zigzagoon</t>
  </si>
  <si>
    <t>Wurmple</t>
  </si>
  <si>
    <t>Silcoon</t>
  </si>
  <si>
    <t>Cascoon</t>
  </si>
  <si>
    <t>Lotad</t>
  </si>
  <si>
    <t>Seedot</t>
  </si>
  <si>
    <t>Taillow</t>
  </si>
  <si>
    <t>Wingull</t>
  </si>
  <si>
    <t>Ralts</t>
  </si>
  <si>
    <t>Kirlia</t>
  </si>
  <si>
    <t>Surskit</t>
  </si>
  <si>
    <t>Shroomish</t>
  </si>
  <si>
    <t>Slakoth</t>
  </si>
  <si>
    <t>Nincada</t>
  </si>
  <si>
    <t>Whismur</t>
  </si>
  <si>
    <t>Makuhita</t>
  </si>
  <si>
    <t>Azurill</t>
  </si>
  <si>
    <t>Skitty</t>
  </si>
  <si>
    <t>Normalize</t>
  </si>
  <si>
    <t>Stall</t>
  </si>
  <si>
    <t>Heavy Metal</t>
  </si>
  <si>
    <t>Meditite</t>
  </si>
  <si>
    <t>Electrike</t>
  </si>
  <si>
    <t>Gulpin</t>
  </si>
  <si>
    <t>White Smoke</t>
  </si>
  <si>
    <t>Trapinch</t>
  </si>
  <si>
    <t>Barboach</t>
  </si>
  <si>
    <t>Feebas</t>
  </si>
  <si>
    <t>Castform-Sunny</t>
  </si>
  <si>
    <t>Castform-Rainy</t>
  </si>
  <si>
    <t>Castform-Snowy</t>
  </si>
  <si>
    <t>Protean</t>
  </si>
  <si>
    <t>Wynaut</t>
  </si>
  <si>
    <t>Spheal</t>
  </si>
  <si>
    <t>Beldum</t>
  </si>
  <si>
    <t>Kyogre</t>
  </si>
  <si>
    <t>Groudon</t>
  </si>
  <si>
    <t>Rayquaza</t>
  </si>
  <si>
    <t>Air Lock</t>
  </si>
  <si>
    <t>Jirachi</t>
  </si>
  <si>
    <t>Deoxys</t>
  </si>
  <si>
    <t>Deoxys-Attack</t>
  </si>
  <si>
    <t>Deoxys-Defense</t>
  </si>
  <si>
    <t>Deoxys-Speed</t>
  </si>
  <si>
    <t>Wormadam-Sandy</t>
  </si>
  <si>
    <t>Wormadam-Trash</t>
  </si>
  <si>
    <t>Flare Boost</t>
  </si>
  <si>
    <t>Klutz</t>
  </si>
  <si>
    <t>Chingling</t>
  </si>
  <si>
    <t>Heatproof</t>
  </si>
  <si>
    <t>Rotom-Frost</t>
  </si>
  <si>
    <t>Rotom-Fan</t>
  </si>
  <si>
    <t>Uxie</t>
  </si>
  <si>
    <t>Mesprit</t>
  </si>
  <si>
    <t>Azelf</t>
  </si>
  <si>
    <t>Dialga</t>
  </si>
  <si>
    <t>Palkia</t>
  </si>
  <si>
    <t>Giratina-Altered</t>
  </si>
  <si>
    <t>Giratina-Origin</t>
  </si>
  <si>
    <t>Phione</t>
  </si>
  <si>
    <t>Manaphy</t>
  </si>
  <si>
    <t>Darkrai</t>
  </si>
  <si>
    <t>Bad Dreams</t>
  </si>
  <si>
    <t>Shaymin-Land</t>
  </si>
  <si>
    <t>Shaymin-Sky</t>
  </si>
  <si>
    <t>Arceus</t>
  </si>
  <si>
    <t>Multitype</t>
  </si>
  <si>
    <t>Arceus-Fighting</t>
  </si>
  <si>
    <t>Arceus-Flying</t>
  </si>
  <si>
    <t>Arceus-Poison</t>
  </si>
  <si>
    <t>Arceus-Ground</t>
  </si>
  <si>
    <t>Arceus-Rock</t>
  </si>
  <si>
    <t>Arceus-Bug</t>
  </si>
  <si>
    <t>Arceus-Ghost</t>
  </si>
  <si>
    <t>Arceus-Steel</t>
  </si>
  <si>
    <t>Arceus-Fire</t>
  </si>
  <si>
    <t>Arceus-Water</t>
  </si>
  <si>
    <t>Arceus-Grass</t>
  </si>
  <si>
    <t>Arceus-Electric</t>
  </si>
  <si>
    <t>Arceus-Psychic</t>
  </si>
  <si>
    <t>Arceus-Ice</t>
  </si>
  <si>
    <t>Arceus-Dragon</t>
  </si>
  <si>
    <t>Arceus-Dark</t>
  </si>
  <si>
    <t>Arceus-Fairy</t>
  </si>
  <si>
    <t>Fairy</t>
  </si>
  <si>
    <t>Spe</t>
  </si>
  <si>
    <t>D</t>
  </si>
  <si>
    <t>E</t>
  </si>
  <si>
    <t>F</t>
  </si>
  <si>
    <t>N</t>
  </si>
  <si>
    <t>I</t>
  </si>
  <si>
    <t>G</t>
  </si>
  <si>
    <t>T</t>
  </si>
  <si>
    <t>Y</t>
  </si>
  <si>
    <t>P</t>
  </si>
  <si>
    <t>A</t>
  </si>
  <si>
    <t>C</t>
  </si>
  <si>
    <t>K</t>
  </si>
  <si>
    <t>Freeze</t>
  </si>
  <si>
    <t>Press</t>
  </si>
  <si>
    <t>Enabled</t>
  </si>
  <si>
    <t>Group</t>
  </si>
  <si>
    <t>Category</t>
  </si>
  <si>
    <t>Power</t>
  </si>
  <si>
    <t>Acc</t>
  </si>
  <si>
    <t>Priority</t>
  </si>
  <si>
    <t>Hit Min</t>
  </si>
  <si>
    <t>Max</t>
  </si>
  <si>
    <t>Inflict</t>
  </si>
  <si>
    <t>Turn Min</t>
  </si>
  <si>
    <t>Crit Rate</t>
  </si>
  <si>
    <t>Flinch %</t>
  </si>
  <si>
    <t>AI Effect</t>
  </si>
  <si>
    <t>Drain %</t>
  </si>
  <si>
    <t>Heal %</t>
  </si>
  <si>
    <t>Target</t>
  </si>
  <si>
    <t>stat1</t>
  </si>
  <si>
    <t>stat1 +-</t>
  </si>
  <si>
    <t>stat1 %</t>
  </si>
  <si>
    <t>stat2</t>
  </si>
  <si>
    <t>stat2 +-</t>
  </si>
  <si>
    <t>stat2 %</t>
  </si>
  <si>
    <t>stat3</t>
  </si>
  <si>
    <t>stat3 +-</t>
  </si>
  <si>
    <t>stat3 %</t>
  </si>
  <si>
    <t>Contact</t>
  </si>
  <si>
    <t>Recharge</t>
  </si>
  <si>
    <t>Protectable</t>
  </si>
  <si>
    <t>Bounceable</t>
  </si>
  <si>
    <t>Snatchable</t>
  </si>
  <si>
    <t>Mirrorable</t>
  </si>
  <si>
    <t>FistBased</t>
  </si>
  <si>
    <t>SoundBased</t>
  </si>
  <si>
    <t>GravityFail</t>
  </si>
  <si>
    <t>ThawSelf</t>
  </si>
  <si>
    <t>FarTarget</t>
  </si>
  <si>
    <t>HealBased</t>
  </si>
  <si>
    <t>SubPierce</t>
  </si>
  <si>
    <t>SkyFail</t>
  </si>
  <si>
    <t>TeamAnimate</t>
  </si>
  <si>
    <t>DanceBased</t>
  </si>
  <si>
    <t>Metronomeable</t>
  </si>
  <si>
    <t>Contest effect</t>
  </si>
  <si>
    <t>Status</t>
  </si>
  <si>
    <t>Stat changes</t>
  </si>
  <si>
    <t>Target types</t>
  </si>
  <si>
    <t>Move Effects</t>
  </si>
  <si>
    <t>Physical</t>
  </si>
  <si>
    <t>AnyExceptSelf</t>
  </si>
  <si>
    <t>Karate Chop</t>
  </si>
  <si>
    <t>AllyOrSelf</t>
  </si>
  <si>
    <t>sleep</t>
  </si>
  <si>
    <t>Double Slap</t>
  </si>
  <si>
    <t>Ally</t>
  </si>
  <si>
    <t>poison chance</t>
  </si>
  <si>
    <t>Comet Punch</t>
  </si>
  <si>
    <t>Opponent</t>
  </si>
  <si>
    <t>hp drain</t>
  </si>
  <si>
    <t>Mega Punch</t>
  </si>
  <si>
    <t>AllAdjacent</t>
  </si>
  <si>
    <t>burn chance</t>
  </si>
  <si>
    <t>Pay Day</t>
  </si>
  <si>
    <t>AllAdjacentOpponents</t>
  </si>
  <si>
    <t>freeze chance</t>
  </si>
  <si>
    <t>Burn 10%</t>
  </si>
  <si>
    <t>AllAllies</t>
  </si>
  <si>
    <t>paralyze chance</t>
  </si>
  <si>
    <t>Freeze 10%</t>
  </si>
  <si>
    <t>Self</t>
  </si>
  <si>
    <t>user faints</t>
  </si>
  <si>
    <t>Paralyze 10%</t>
  </si>
  <si>
    <t>All</t>
  </si>
  <si>
    <t>fail if target awake; hp drain</t>
  </si>
  <si>
    <t>Scratch</t>
  </si>
  <si>
    <t>RandomOpponent</t>
  </si>
  <si>
    <t>mirror move</t>
  </si>
  <si>
    <t>Vise Grip</t>
  </si>
  <si>
    <t>Move groups</t>
  </si>
  <si>
    <t>SideAll</t>
  </si>
  <si>
    <t>atk +1</t>
  </si>
  <si>
    <t>Damage only</t>
  </si>
  <si>
    <t>SideOpponent</t>
  </si>
  <si>
    <t>def +1</t>
  </si>
  <si>
    <t>Razor Wind</t>
  </si>
  <si>
    <t>Special</t>
  </si>
  <si>
    <t>Status only</t>
  </si>
  <si>
    <t>SideSelf</t>
  </si>
  <si>
    <t>eva +1</t>
  </si>
  <si>
    <t>Favorable stat change</t>
  </si>
  <si>
    <t>never miss</t>
  </si>
  <si>
    <t>Cut</t>
  </si>
  <si>
    <t>Recovery only</t>
  </si>
  <si>
    <t>atk -1</t>
  </si>
  <si>
    <t>Damage + status</t>
  </si>
  <si>
    <t>Move categories</t>
  </si>
  <si>
    <t>def -1</t>
  </si>
  <si>
    <t>Target stat change</t>
  </si>
  <si>
    <t>speed -1</t>
  </si>
  <si>
    <t>Damage + target stat change</t>
  </si>
  <si>
    <t>acc -1</t>
  </si>
  <si>
    <t>Damage + user stat change</t>
  </si>
  <si>
    <t>eva -1</t>
  </si>
  <si>
    <t>TempTrap 100%</t>
  </si>
  <si>
    <t>Damage + drain HP</t>
  </si>
  <si>
    <t>haze</t>
  </si>
  <si>
    <t>OHKO</t>
  </si>
  <si>
    <t>Move types</t>
  </si>
  <si>
    <t>bide</t>
  </si>
  <si>
    <t>Vine Whip</t>
  </si>
  <si>
    <t>Field effect</t>
  </si>
  <si>
    <t>rampage (random target, multiple turns, confuse at end)</t>
  </si>
  <si>
    <t>One-sided field effect</t>
  </si>
  <si>
    <t>force switch</t>
  </si>
  <si>
    <t>Force switch</t>
  </si>
  <si>
    <t>2-5 hits</t>
  </si>
  <si>
    <t>Mega Kick</t>
  </si>
  <si>
    <t>conversion</t>
  </si>
  <si>
    <t>Jump Kick</t>
  </si>
  <si>
    <t>flinch chance</t>
  </si>
  <si>
    <t>Rolling Kick</t>
  </si>
  <si>
    <t>Inflictions</t>
  </si>
  <si>
    <t>recover</t>
  </si>
  <si>
    <t>toxic</t>
  </si>
  <si>
    <t>paralyzed</t>
  </si>
  <si>
    <t>coins appear</t>
  </si>
  <si>
    <t>Horn Attack</t>
  </si>
  <si>
    <t>asleep</t>
  </si>
  <si>
    <t>light screen</t>
  </si>
  <si>
    <t>frozen</t>
  </si>
  <si>
    <t>tri attack</t>
  </si>
  <si>
    <t>burned</t>
  </si>
  <si>
    <t>rest</t>
  </si>
  <si>
    <t>Tackle</t>
  </si>
  <si>
    <t>poisoned</t>
  </si>
  <si>
    <t>Paralyze 30%</t>
  </si>
  <si>
    <t>confused</t>
  </si>
  <si>
    <t>razor wind</t>
  </si>
  <si>
    <t>attracted</t>
  </si>
  <si>
    <t>50% hp</t>
  </si>
  <si>
    <t>bound</t>
  </si>
  <si>
    <t>fixed 40 damage</t>
  </si>
  <si>
    <t>nightmare</t>
  </si>
  <si>
    <t>temp trap</t>
  </si>
  <si>
    <t>ghost curse</t>
  </si>
  <si>
    <t>critical +1</t>
  </si>
  <si>
    <t>taunt</t>
  </si>
  <si>
    <t>two hits</t>
  </si>
  <si>
    <t>Poison 30%</t>
  </si>
  <si>
    <t>torment</t>
  </si>
  <si>
    <t>crash if miss</t>
  </si>
  <si>
    <t>Twineedle</t>
  </si>
  <si>
    <t>Poison 20%</t>
  </si>
  <si>
    <t>disable</t>
  </si>
  <si>
    <t>mist</t>
  </si>
  <si>
    <t>drowsy</t>
  </si>
  <si>
    <t>focus energy</t>
  </si>
  <si>
    <t>heal block</t>
  </si>
  <si>
    <t>1/4 recoil</t>
  </si>
  <si>
    <t>gastro acid</t>
  </si>
  <si>
    <t>confuse</t>
  </si>
  <si>
    <t>identified</t>
  </si>
  <si>
    <t>atk +2</t>
  </si>
  <si>
    <t>leech seed</t>
  </si>
  <si>
    <t>def +2</t>
  </si>
  <si>
    <t>Sleep</t>
  </si>
  <si>
    <t>embargo</t>
  </si>
  <si>
    <t>spe +2</t>
  </si>
  <si>
    <t>Confuse</t>
  </si>
  <si>
    <t>perish song</t>
  </si>
  <si>
    <t>spa +2</t>
  </si>
  <si>
    <t>Sonic Boom</t>
  </si>
  <si>
    <t>ingrain</t>
  </si>
  <si>
    <t>spd +2</t>
  </si>
  <si>
    <t>can't escape</t>
  </si>
  <si>
    <t>transform</t>
  </si>
  <si>
    <t>encore</t>
  </si>
  <si>
    <t>atk -2</t>
  </si>
  <si>
    <t>throat chop</t>
  </si>
  <si>
    <t>def -2</t>
  </si>
  <si>
    <t>roosted</t>
  </si>
  <si>
    <t>spe -2</t>
  </si>
  <si>
    <t>rampaging</t>
  </si>
  <si>
    <t>spa -2</t>
  </si>
  <si>
    <t>charging</t>
  </si>
  <si>
    <t>spd -2</t>
  </si>
  <si>
    <t>choice locked</t>
  </si>
  <si>
    <t>reflect</t>
  </si>
  <si>
    <t>toxic accuracy boost</t>
  </si>
  <si>
    <t>poison</t>
  </si>
  <si>
    <t>lock-on accuracy boost</t>
  </si>
  <si>
    <t>paralyze</t>
  </si>
  <si>
    <t>magnet rise</t>
  </si>
  <si>
    <t>atk -1 chance</t>
  </si>
  <si>
    <t>Confuse 10%</t>
  </si>
  <si>
    <t>smacked down</t>
  </si>
  <si>
    <t>def -1 chance</t>
  </si>
  <si>
    <t>telekinesis</t>
  </si>
  <si>
    <t>spe -1 chance</t>
  </si>
  <si>
    <t>held by sky drop</t>
  </si>
  <si>
    <t>spa -1 chance</t>
  </si>
  <si>
    <t>micle berry accuracy boost</t>
  </si>
  <si>
    <t>spd -1 chance</t>
  </si>
  <si>
    <t>aqua ring</t>
  </si>
  <si>
    <t>acc -1 chance</t>
  </si>
  <si>
    <t>electrified</t>
  </si>
  <si>
    <t>charge, critical +1, flinch chance</t>
  </si>
  <si>
    <t>Submission</t>
  </si>
  <si>
    <t>covered in powder</t>
  </si>
  <si>
    <t>confusion chance</t>
  </si>
  <si>
    <t>uproar</t>
  </si>
  <si>
    <t>two hits, poison chance</t>
  </si>
  <si>
    <t>thrashing</t>
  </si>
  <si>
    <t>-priority, never miss</t>
  </si>
  <si>
    <t>laser focus</t>
  </si>
  <si>
    <t>substitute</t>
  </si>
  <si>
    <t>tar shot</t>
  </si>
  <si>
    <t>recharge</t>
  </si>
  <si>
    <t>rage</t>
  </si>
  <si>
    <t>mimic</t>
  </si>
  <si>
    <t>LeechSeed</t>
  </si>
  <si>
    <t>metronome</t>
  </si>
  <si>
    <t>nothing happens</t>
  </si>
  <si>
    <t>fixed damage = level</t>
  </si>
  <si>
    <t>Paralyze</t>
  </si>
  <si>
    <t>psywave</t>
  </si>
  <si>
    <t>counter</t>
  </si>
  <si>
    <t>pain split</t>
  </si>
  <si>
    <t>Dragon Rage</t>
  </si>
  <si>
    <t>usable if and only if user asleep, flinch chance</t>
  </si>
  <si>
    <t>conversion 2</t>
  </si>
  <si>
    <t>Thunder Shock</t>
  </si>
  <si>
    <t>lock on</t>
  </si>
  <si>
    <t>sketch</t>
  </si>
  <si>
    <t>sleep talk</t>
  </si>
  <si>
    <t>destiny bond</t>
  </si>
  <si>
    <t>power increases as own HP decreases</t>
  </si>
  <si>
    <t>spite</t>
  </si>
  <si>
    <t>false swipe</t>
  </si>
  <si>
    <t>heal team status</t>
  </si>
  <si>
    <t>+priority</t>
  </si>
  <si>
    <t>up to 3 hits, accuracy check each time, power increase each time</t>
  </si>
  <si>
    <t>steal item</t>
  </si>
  <si>
    <t>permanent trap</t>
  </si>
  <si>
    <t>Meditate</t>
  </si>
  <si>
    <t>eva +2, minimize</t>
  </si>
  <si>
    <t>curse</t>
  </si>
  <si>
    <t>Rage</t>
  </si>
  <si>
    <t>protect</t>
  </si>
  <si>
    <t>Teleport</t>
  </si>
  <si>
    <t>spikes</t>
  </si>
  <si>
    <t>identify, remove ghost immunities</t>
  </si>
  <si>
    <t>sandstorm</t>
  </si>
  <si>
    <t>endure</t>
  </si>
  <si>
    <t>rollout</t>
  </si>
  <si>
    <t>target atk +2, confuse</t>
  </si>
  <si>
    <t>fury cutter</t>
  </si>
  <si>
    <t>attract</t>
  </si>
  <si>
    <t>return</t>
  </si>
  <si>
    <t>present</t>
  </si>
  <si>
    <t>frustration</t>
  </si>
  <si>
    <t>Barrier</t>
  </si>
  <si>
    <t>safeguard</t>
  </si>
  <si>
    <t>unthaw user, burn chance</t>
  </si>
  <si>
    <t>magnitude power rolls, extra damage vs. dig</t>
  </si>
  <si>
    <t>baton pass</t>
  </si>
  <si>
    <t>pursuit</t>
  </si>
  <si>
    <t>Bide</t>
  </si>
  <si>
    <t>rapid spin</t>
  </si>
  <si>
    <t>fixed 20 damage</t>
  </si>
  <si>
    <t>Mirror Move</t>
  </si>
  <si>
    <t>recovery, more in sun, less in other weather</t>
  </si>
  <si>
    <t>hidden power</t>
  </si>
  <si>
    <t>Egg Bomb</t>
  </si>
  <si>
    <t>rain dance</t>
  </si>
  <si>
    <t>sunny day</t>
  </si>
  <si>
    <t>Poison 40%</t>
  </si>
  <si>
    <t>def +1 chance</t>
  </si>
  <si>
    <t>atk +1 chance</t>
  </si>
  <si>
    <t>Bone Club</t>
  </si>
  <si>
    <t>all +1 chance</t>
  </si>
  <si>
    <t>-50% own HP or fail, atk +12</t>
  </si>
  <si>
    <t>psych up</t>
  </si>
  <si>
    <t>Clamp</t>
  </si>
  <si>
    <t>mirror coat</t>
  </si>
  <si>
    <t>charge, def +1 on charge turn</t>
  </si>
  <si>
    <t>flinch chance, extra damage vs. fly</t>
  </si>
  <si>
    <t>Spike Cannon</t>
  </si>
  <si>
    <t>extra damage vs. dig</t>
  </si>
  <si>
    <t>Constrict</t>
  </si>
  <si>
    <t>future attack</t>
  </si>
  <si>
    <t>extra damage vs. fly</t>
  </si>
  <si>
    <t>Kinesis</t>
  </si>
  <si>
    <t>flinch chance, extra damage vs. minimize</t>
  </si>
  <si>
    <t>charge turn unless in sun, reduced power in other weather</t>
  </si>
  <si>
    <t>paralyze chance, hits vs. fly, never miss in rain, reduced acc in other weather</t>
  </si>
  <si>
    <t>teleport</t>
  </si>
  <si>
    <t>beat up</t>
  </si>
  <si>
    <t>charge, fly on charge turn</t>
  </si>
  <si>
    <t>Barrage</t>
  </si>
  <si>
    <t>def +1, defense curl</t>
  </si>
  <si>
    <t>flinch chance, fail if not first action</t>
  </si>
  <si>
    <t>def +1, spd +1, stockpile</t>
  </si>
  <si>
    <t>Transform</t>
  </si>
  <si>
    <t>spit up</t>
  </si>
  <si>
    <t>Bubble</t>
  </si>
  <si>
    <t>swallow</t>
  </si>
  <si>
    <t>Dizzy Punch</t>
  </si>
  <si>
    <t>Confuse 20%</t>
  </si>
  <si>
    <t>hail</t>
  </si>
  <si>
    <t>target spa +1, confuse</t>
  </si>
  <si>
    <t>Psywave</t>
  </si>
  <si>
    <t>burn</t>
  </si>
  <si>
    <t>atk -2, spa -2, user faints</t>
  </si>
  <si>
    <t>extra power if user brn/psn/par</t>
  </si>
  <si>
    <t>focus punch</t>
  </si>
  <si>
    <t>extra power vs. paralyzed, cures paralysis</t>
  </si>
  <si>
    <t>center of attention</t>
  </si>
  <si>
    <t>nature power</t>
  </si>
  <si>
    <t>spd +1, extra power to elc moves on next action</t>
  </si>
  <si>
    <t>Hyper Fang</t>
  </si>
  <si>
    <t>helping hand</t>
  </si>
  <si>
    <t>Sharpen</t>
  </si>
  <si>
    <t>item swap</t>
  </si>
  <si>
    <t>role play</t>
  </si>
  <si>
    <t>Special 20%</t>
  </si>
  <si>
    <t>wish</t>
  </si>
  <si>
    <t>assist</t>
  </si>
  <si>
    <t>own atk -1, own def -1</t>
  </si>
  <si>
    <t>Struggle</t>
  </si>
  <si>
    <t>magic coat</t>
  </si>
  <si>
    <t>Sketch</t>
  </si>
  <si>
    <t>recycle</t>
  </si>
  <si>
    <t>-priority, extra power if damaged this turn</t>
  </si>
  <si>
    <t>remove screens</t>
  </si>
  <si>
    <t>Spider Web</t>
  </si>
  <si>
    <t>yawn</t>
  </si>
  <si>
    <t>remove item, extra power when that happens</t>
  </si>
  <si>
    <t>Nightmare</t>
  </si>
  <si>
    <t>endeavor</t>
  </si>
  <si>
    <t>power reduces as own HP decreases</t>
  </si>
  <si>
    <t>skill swap</t>
  </si>
  <si>
    <t>imprison</t>
  </si>
  <si>
    <t>refresh</t>
  </si>
  <si>
    <t>Conversion 2</t>
  </si>
  <si>
    <t>grudge</t>
  </si>
  <si>
    <t>Aeroblast</t>
  </si>
  <si>
    <t>snatch</t>
  </si>
  <si>
    <t>weight based power</t>
  </si>
  <si>
    <t>secret power</t>
  </si>
  <si>
    <t>1/3 recoil</t>
  </si>
  <si>
    <t>Powder Snow</t>
  </si>
  <si>
    <t>confuse all</t>
  </si>
  <si>
    <t>burn chance, critical +1</t>
  </si>
  <si>
    <t>mud sport</t>
  </si>
  <si>
    <t>toxic chance</t>
  </si>
  <si>
    <t>Feint Attack</t>
  </si>
  <si>
    <t>weather ball</t>
  </si>
  <si>
    <t>own spa -2</t>
  </si>
  <si>
    <t>atk -1, def -1</t>
  </si>
  <si>
    <t>def +1, spd +1</t>
  </si>
  <si>
    <t>hits vs. fly</t>
  </si>
  <si>
    <t>atk +1, def -1</t>
  </si>
  <si>
    <t>poison chance, critical +1</t>
  </si>
  <si>
    <t>Zap Cannon</t>
  </si>
  <si>
    <t>Paralyze 100%</t>
  </si>
  <si>
    <t>water sport</t>
  </si>
  <si>
    <t>Foresight</t>
  </si>
  <si>
    <t>Identify</t>
  </si>
  <si>
    <t>spa +1, spd +1</t>
  </si>
  <si>
    <t>atk +1, spe +1</t>
  </si>
  <si>
    <t>PerishSong</t>
  </si>
  <si>
    <t>camouflage</t>
  </si>
  <si>
    <t>recovery, lose flying type this turn</t>
  </si>
  <si>
    <t>gravity</t>
  </si>
  <si>
    <t>Bone Rush</t>
  </si>
  <si>
    <t>identify, remove dark immunity</t>
  </si>
  <si>
    <t>extra power vs. slp, cures slp</t>
  </si>
  <si>
    <t>own spe -1</t>
  </si>
  <si>
    <t>gyro ball</t>
  </si>
  <si>
    <t>healing wish</t>
  </si>
  <si>
    <t>brine</t>
  </si>
  <si>
    <t>natural gift</t>
  </si>
  <si>
    <t>+priority, hits vs. protect</t>
  </si>
  <si>
    <t>False Swipe</t>
  </si>
  <si>
    <t>consume target berry</t>
  </si>
  <si>
    <t>tailwind</t>
  </si>
  <si>
    <t>random stat +2</t>
  </si>
  <si>
    <t>metal burst</t>
  </si>
  <si>
    <t>user switches after hitting</t>
  </si>
  <si>
    <t>own def -1, own spd -1</t>
  </si>
  <si>
    <t>extra power if target already moved this turn</t>
  </si>
  <si>
    <t>extra power if target was already damaged this turn</t>
  </si>
  <si>
    <t>fling</t>
  </si>
  <si>
    <t>Return</t>
  </si>
  <si>
    <t>psycho shift</t>
  </si>
  <si>
    <t>trump card</t>
  </si>
  <si>
    <t>Frustration</t>
  </si>
  <si>
    <t>power decreases as target HP decreases</t>
  </si>
  <si>
    <t>power trick</t>
  </si>
  <si>
    <t>Burn 50%</t>
  </si>
  <si>
    <t>Magnitude</t>
  </si>
  <si>
    <t>lucky chant</t>
  </si>
  <si>
    <t>Confuse 100%</t>
  </si>
  <si>
    <t>me first</t>
  </si>
  <si>
    <t>copycat</t>
  </si>
  <si>
    <t>power swap</t>
  </si>
  <si>
    <t>guard swap</t>
  </si>
  <si>
    <t>punishment</t>
  </si>
  <si>
    <t>Pursuit</t>
  </si>
  <si>
    <t>fail unless user has this and other moves, and each of those other moves has been used already</t>
  </si>
  <si>
    <t>worry seed</t>
  </si>
  <si>
    <t>sucker punch</t>
  </si>
  <si>
    <t>toxic spikes</t>
  </si>
  <si>
    <t>heart swap</t>
  </si>
  <si>
    <t>Vital Throw</t>
  </si>
  <si>
    <t>burn chance, 1/3 recoil</t>
  </si>
  <si>
    <t>struggle</t>
  </si>
  <si>
    <t>Hidden Power</t>
  </si>
  <si>
    <t>charge, dive on charge turn</t>
  </si>
  <si>
    <t>charge, dig on charge turn</t>
  </si>
  <si>
    <t>Twister</t>
  </si>
  <si>
    <t>extra damage vs. dive</t>
  </si>
  <si>
    <t>defog</t>
  </si>
  <si>
    <t>trick room</t>
  </si>
  <si>
    <t>freeze chance, never miss in hail</t>
  </si>
  <si>
    <t>temp trap, extra power vs. dive</t>
  </si>
  <si>
    <t>paralyze chance, 1/3 recoil</t>
  </si>
  <si>
    <t>charge, fly on charge turn, paralyze chance</t>
  </si>
  <si>
    <t>captivate</t>
  </si>
  <si>
    <t>stealth rock</t>
  </si>
  <si>
    <t>chatter</t>
  </si>
  <si>
    <t>Rock Smash</t>
  </si>
  <si>
    <t>type changes depending on user item</t>
  </si>
  <si>
    <t>1/2 recoil</t>
  </si>
  <si>
    <t>Beat Up</t>
  </si>
  <si>
    <t>lunar dance</t>
  </si>
  <si>
    <t>spd -2 chance</t>
  </si>
  <si>
    <t>charge, vanish on charge turn</t>
  </si>
  <si>
    <t>burn chance, flinch chance</t>
  </si>
  <si>
    <t>Spit Up</t>
  </si>
  <si>
    <t>freeze chance, flinch chance</t>
  </si>
  <si>
    <t>paralyze chance, flinch chance</t>
  </si>
  <si>
    <t>spa +1 chance</t>
  </si>
  <si>
    <t>atk +1, acc +1</t>
  </si>
  <si>
    <t>wide guard</t>
  </si>
  <si>
    <t>guard split</t>
  </si>
  <si>
    <t>Burn</t>
  </si>
  <si>
    <t>power split</t>
  </si>
  <si>
    <t>wonder room</t>
  </si>
  <si>
    <t>use opponent's def instead of spd</t>
  </si>
  <si>
    <t>extra power vs. poisoned target</t>
  </si>
  <si>
    <t>Smelling Salts</t>
  </si>
  <si>
    <t>spe +2, weight -100kg if successful</t>
  </si>
  <si>
    <t>Nature Power</t>
  </si>
  <si>
    <t>magic room</t>
  </si>
  <si>
    <t>smack down</t>
  </si>
  <si>
    <t>critical +6</t>
  </si>
  <si>
    <t>flame burst</t>
  </si>
  <si>
    <t>spa +1, spd +1, spe +1</t>
  </si>
  <si>
    <t>heavy slam</t>
  </si>
  <si>
    <t>synchronoise</t>
  </si>
  <si>
    <t>Assist</t>
  </si>
  <si>
    <t>electro ball</t>
  </si>
  <si>
    <t>soak</t>
  </si>
  <si>
    <t>spe +1 after damage</t>
  </si>
  <si>
    <t>spd -2 after damage</t>
  </si>
  <si>
    <t>foul play</t>
  </si>
  <si>
    <t>simple beam</t>
  </si>
  <si>
    <t>entrainment</t>
  </si>
  <si>
    <t>Drowsy</t>
  </si>
  <si>
    <t>after you</t>
  </si>
  <si>
    <t>round</t>
  </si>
  <si>
    <t>echoed voice</t>
  </si>
  <si>
    <t>ignore target stat changes</t>
  </si>
  <si>
    <t>remove target stat changes after damage</t>
  </si>
  <si>
    <t>stored power</t>
  </si>
  <si>
    <t>Refresh</t>
  </si>
  <si>
    <t>quick guard</t>
  </si>
  <si>
    <t>ally switch</t>
  </si>
  <si>
    <t>Snatch</t>
  </si>
  <si>
    <t>shell smash</t>
  </si>
  <si>
    <t>Secret Power</t>
  </si>
  <si>
    <t>recover target</t>
  </si>
  <si>
    <t>extra power vs. status</t>
  </si>
  <si>
    <t>Arm Thrust</t>
  </si>
  <si>
    <t>sky drop</t>
  </si>
  <si>
    <t>Camouflage</t>
  </si>
  <si>
    <t>atk +1, spe +2</t>
  </si>
  <si>
    <t>Tail Glow</t>
  </si>
  <si>
    <t>force target to switch after damage</t>
  </si>
  <si>
    <t>incinerate</t>
  </si>
  <si>
    <t>quash</t>
  </si>
  <si>
    <t>atk +1, spa +1, doubled in sun</t>
  </si>
  <si>
    <t>extra power if no item</t>
  </si>
  <si>
    <t>reflect type</t>
  </si>
  <si>
    <t>Mud Sport</t>
  </si>
  <si>
    <t>retaliate</t>
  </si>
  <si>
    <t>Ice Ball</t>
  </si>
  <si>
    <t>final gambit</t>
  </si>
  <si>
    <t>Needle Arm</t>
  </si>
  <si>
    <t>spa +3</t>
  </si>
  <si>
    <t>atk +1, def +1, acc +1</t>
  </si>
  <si>
    <t>bestow</t>
  </si>
  <si>
    <t>Poison 50%</t>
  </si>
  <si>
    <t>water pledge</t>
  </si>
  <si>
    <t>fire pledge</t>
  </si>
  <si>
    <t>Blast Burn</t>
  </si>
  <si>
    <t>grass pledge</t>
  </si>
  <si>
    <t>Hydro Cannon</t>
  </si>
  <si>
    <t>atk +1, spa +1</t>
  </si>
  <si>
    <t>cotton guard</t>
  </si>
  <si>
    <t>sleep chance, transform meloetta</t>
  </si>
  <si>
    <t>glaciate</t>
  </si>
  <si>
    <t>Aromatherapy</t>
  </si>
  <si>
    <t>freeze shock</t>
  </si>
  <si>
    <t>ice burn</t>
  </si>
  <si>
    <t>Air Cutter</t>
  </si>
  <si>
    <t>hurricane</t>
  </si>
  <si>
    <t>own def -1, own spd -1, own spe -1</t>
  </si>
  <si>
    <t>Odor Sleuth</t>
  </si>
  <si>
    <t>fusion flare</t>
  </si>
  <si>
    <t>fusion bolt</t>
  </si>
  <si>
    <t>Silver Wind</t>
  </si>
  <si>
    <t>flying press</t>
  </si>
  <si>
    <t>belch</t>
  </si>
  <si>
    <t>Grass Whistle</t>
  </si>
  <si>
    <t>rototiller</t>
  </si>
  <si>
    <t>sticky web</t>
  </si>
  <si>
    <t>atk +3 after damage if KO</t>
  </si>
  <si>
    <t>trick or treat</t>
  </si>
  <si>
    <t>Signal Beam</t>
  </si>
  <si>
    <t>atk -1, spa -1</t>
  </si>
  <si>
    <t>ion deluge</t>
  </si>
  <si>
    <t>parabolic charge</t>
  </si>
  <si>
    <t>Sky Uppercut</t>
  </si>
  <si>
    <t>atk -1, spa -1, user switches</t>
  </si>
  <si>
    <t>topsy turvy</t>
  </si>
  <si>
    <t>draining kiss</t>
  </si>
  <si>
    <t>crafty shield</t>
  </si>
  <si>
    <t>flower shield</t>
  </si>
  <si>
    <t>grassy terrain</t>
  </si>
  <si>
    <t>misty terrain</t>
  </si>
  <si>
    <t>electrify</t>
  </si>
  <si>
    <t>fairy lock</t>
  </si>
  <si>
    <t>king's shield</t>
  </si>
  <si>
    <t>play nice</t>
  </si>
  <si>
    <t>confide</t>
  </si>
  <si>
    <t>def +2 chance</t>
  </si>
  <si>
    <t>never miss, hit vs. protect</t>
  </si>
  <si>
    <t>+priority, 2-5 hits or fixed 3 hits if ash-greninja</t>
  </si>
  <si>
    <t>Poison 10%</t>
  </si>
  <si>
    <t>spiky shield</t>
  </si>
  <si>
    <t>aromatic mist</t>
  </si>
  <si>
    <t>Volt Tackle</t>
  </si>
  <si>
    <t>venom drench</t>
  </si>
  <si>
    <t>+priority, atk -1</t>
  </si>
  <si>
    <t>Water Sport</t>
  </si>
  <si>
    <t>charge, spa +2, spd +2, spe +2</t>
  </si>
  <si>
    <t>magnetic flux</t>
  </si>
  <si>
    <t>happy hour</t>
  </si>
  <si>
    <t>electric terrain</t>
  </si>
  <si>
    <t>celebrate</t>
  </si>
  <si>
    <t>hold hands</t>
  </si>
  <si>
    <t>Doom Desire</t>
  </si>
  <si>
    <t>thousand arrows</t>
  </si>
  <si>
    <t>Psycho Boost</t>
  </si>
  <si>
    <t>thousand waves</t>
  </si>
  <si>
    <t>atk +1 after damage</t>
  </si>
  <si>
    <t>Gravity</t>
  </si>
  <si>
    <t>forest's curse</t>
  </si>
  <si>
    <t>Miracle Eye</t>
  </si>
  <si>
    <t>mat block</t>
  </si>
  <si>
    <t>Wake-Up Slap</t>
  </si>
  <si>
    <t>powder</t>
  </si>
  <si>
    <t>(petal blizzard/boomburst)</t>
  </si>
  <si>
    <t>freeze-dry</t>
  </si>
  <si>
    <t>Healing Wish</t>
  </si>
  <si>
    <t>disarming voice</t>
  </si>
  <si>
    <t>recovery, more in sandstorm</t>
  </si>
  <si>
    <t>Natural Gift</t>
  </si>
  <si>
    <t>+priority, fail if not first action</t>
  </si>
  <si>
    <t>baneful bunker</t>
  </si>
  <si>
    <t>spirit shackle/anchor shot</t>
  </si>
  <si>
    <t>sparkling aria</t>
  </si>
  <si>
    <t>recovery, more in grassy terrain</t>
  </si>
  <si>
    <t>strength sap</t>
  </si>
  <si>
    <t>spotlight</t>
  </si>
  <si>
    <t>toxic thread</t>
  </si>
  <si>
    <t>critical +3 for all moves until next turn</t>
  </si>
  <si>
    <t>Assurance</t>
  </si>
  <si>
    <t>gear up</t>
  </si>
  <si>
    <t>Embargo</t>
  </si>
  <si>
    <t>mute target</t>
  </si>
  <si>
    <t>pollen puff</t>
  </si>
  <si>
    <t>Psycho Shift</t>
  </si>
  <si>
    <t>psychic terrain</t>
  </si>
  <si>
    <t>Trump Card</t>
  </si>
  <si>
    <t>Heal Block</t>
  </si>
  <si>
    <t>HealBlock</t>
  </si>
  <si>
    <t>fire lash</t>
  </si>
  <si>
    <t>Wring Out</t>
  </si>
  <si>
    <t>burn up</t>
  </si>
  <si>
    <t>speed swap</t>
  </si>
  <si>
    <t>Gastro Acid</t>
  </si>
  <si>
    <t>purify</t>
  </si>
  <si>
    <t>Lucky Chant</t>
  </si>
  <si>
    <t>revelation dance</t>
  </si>
  <si>
    <t>Me First</t>
  </si>
  <si>
    <t>core enforcer</t>
  </si>
  <si>
    <t>instruct</t>
  </si>
  <si>
    <t>Power Swap</t>
  </si>
  <si>
    <t>beak blast</t>
  </si>
  <si>
    <t>Guard Swap</t>
  </si>
  <si>
    <t>clanging scales</t>
  </si>
  <si>
    <t>Punishment</t>
  </si>
  <si>
    <t>brutal swing</t>
  </si>
  <si>
    <t>aurora veil</t>
  </si>
  <si>
    <t>shell trap</t>
  </si>
  <si>
    <t>stomping tantrum</t>
  </si>
  <si>
    <t>spectral thief</t>
  </si>
  <si>
    <t>Heart Swap</t>
  </si>
  <si>
    <t>ignore target ability</t>
  </si>
  <si>
    <t>tearful look</t>
  </si>
  <si>
    <t>reduce HP by 75%</t>
  </si>
  <si>
    <t>all +2</t>
  </si>
  <si>
    <t>genesis supernova</t>
  </si>
  <si>
    <t>use atk if higher than spa, ignore target ability</t>
  </si>
  <si>
    <t>let's snuggle forever</t>
  </si>
  <si>
    <t>remove terrains</t>
  </si>
  <si>
    <t>all +1 after damage</t>
  </si>
  <si>
    <t>mind blown</t>
  </si>
  <si>
    <t>Switcheroo</t>
  </si>
  <si>
    <t>Mud Bomb</t>
  </si>
  <si>
    <t>Mirror Shot</t>
  </si>
  <si>
    <t>Rock Climb</t>
  </si>
  <si>
    <t>Defog</t>
  </si>
  <si>
    <t>Burn 30%</t>
  </si>
  <si>
    <t>Magnet Bomb</t>
  </si>
  <si>
    <t>Captivate</t>
  </si>
  <si>
    <t>Judgment</t>
  </si>
  <si>
    <t>Heal Order</t>
  </si>
  <si>
    <t>Roar of Time</t>
  </si>
  <si>
    <t>Spacial Rend</t>
  </si>
  <si>
    <t>Dark Void</t>
  </si>
  <si>
    <t>Seed Flare</t>
  </si>
  <si>
    <t>Ominous Wind</t>
  </si>
  <si>
    <t>Shadow Force</t>
  </si>
  <si>
    <t>Hone Claws</t>
  </si>
  <si>
    <t>Guard Split</t>
  </si>
  <si>
    <t>Wonder Room</t>
  </si>
  <si>
    <t>Venoshock</t>
  </si>
  <si>
    <t>Autotomize</t>
  </si>
  <si>
    <t>Rage Powder</t>
  </si>
  <si>
    <t>Telekinesis</t>
  </si>
  <si>
    <t>Magic Room</t>
  </si>
  <si>
    <t>Smack Down</t>
  </si>
  <si>
    <t>Special 100%</t>
  </si>
  <si>
    <t>Storm Throw</t>
  </si>
  <si>
    <t>Flame Burst</t>
  </si>
  <si>
    <t>Synchronoise</t>
  </si>
  <si>
    <t>Electro Ball</t>
  </si>
  <si>
    <t>Soak</t>
  </si>
  <si>
    <t>Coil</t>
  </si>
  <si>
    <t>Acid Spray</t>
  </si>
  <si>
    <t>Simple Beam</t>
  </si>
  <si>
    <t>Entrainment</t>
  </si>
  <si>
    <t>Round</t>
  </si>
  <si>
    <t>Echoed Voice</t>
  </si>
  <si>
    <t>Chip Away</t>
  </si>
  <si>
    <t>Clear Smog</t>
  </si>
  <si>
    <t>Ally Switch</t>
  </si>
  <si>
    <t>Heal Pulse</t>
  </si>
  <si>
    <t>Sky Drop</t>
  </si>
  <si>
    <t>Shift Gear</t>
  </si>
  <si>
    <t>Circle Throw</t>
  </si>
  <si>
    <t>Incinerate</t>
  </si>
  <si>
    <t>Quash</t>
  </si>
  <si>
    <t>Reflect Type</t>
  </si>
  <si>
    <t>Retaliate</t>
  </si>
  <si>
    <t>Bestow</t>
  </si>
  <si>
    <t>Burn 100%</t>
  </si>
  <si>
    <t>Water Pledge</t>
  </si>
  <si>
    <t>Fire Pledge</t>
  </si>
  <si>
    <t>Grass Pledge</t>
  </si>
  <si>
    <t>Dragon Tail</t>
  </si>
  <si>
    <t>Work Up</t>
  </si>
  <si>
    <t>Electroweb</t>
  </si>
  <si>
    <t>Drill Run</t>
  </si>
  <si>
    <t>Heart Stamp</t>
  </si>
  <si>
    <t>Horn Leech</t>
  </si>
  <si>
    <t>Sacred Sword</t>
  </si>
  <si>
    <t>Heat Crash</t>
  </si>
  <si>
    <t>Leaf Tornado</t>
  </si>
  <si>
    <t>Steamroller</t>
  </si>
  <si>
    <t>Cotton Guard</t>
  </si>
  <si>
    <t>Night Daze</t>
  </si>
  <si>
    <t>Psystrike</t>
  </si>
  <si>
    <t>Tail Slap</t>
  </si>
  <si>
    <t>Confuse 30%</t>
  </si>
  <si>
    <t>Head Charge</t>
  </si>
  <si>
    <t>Gear Grind</t>
  </si>
  <si>
    <t>Searing Shot</t>
  </si>
  <si>
    <t>Techno Blast</t>
  </si>
  <si>
    <t>Relic Song</t>
  </si>
  <si>
    <t>Sleep 10%</t>
  </si>
  <si>
    <t>Secret Sword</t>
  </si>
  <si>
    <t>Glaciate</t>
  </si>
  <si>
    <t>Bolt Strike</t>
  </si>
  <si>
    <t>Paralyze 20%</t>
  </si>
  <si>
    <t>Blue Flare</t>
  </si>
  <si>
    <t>Burn 20%</t>
  </si>
  <si>
    <t>Fiery Dance</t>
  </si>
  <si>
    <t>Freeze Shock</t>
  </si>
  <si>
    <t>Ice Burn</t>
  </si>
  <si>
    <t>Icicle Crash</t>
  </si>
  <si>
    <t>V-create</t>
  </si>
  <si>
    <t>Fusion Flare</t>
  </si>
  <si>
    <t>Fusion Bolt</t>
  </si>
  <si>
    <t>Flying Press</t>
  </si>
  <si>
    <t>Rototiller</t>
  </si>
  <si>
    <t>Trick-or-Treat</t>
  </si>
  <si>
    <t>Noble Roar</t>
  </si>
  <si>
    <t>Ion Deluge</t>
  </si>
  <si>
    <t>Parabolic Charge</t>
  </si>
  <si>
    <t>Forest’s Curse</t>
  </si>
  <si>
    <t>Disarming Voice</t>
  </si>
  <si>
    <t>Parting Shot</t>
  </si>
  <si>
    <t>Topsy-Turvy</t>
  </si>
  <si>
    <t>Draining Kiss</t>
  </si>
  <si>
    <t>Crafty Shield</t>
  </si>
  <si>
    <t>Flower Shield</t>
  </si>
  <si>
    <t>Grassy Terrain</t>
  </si>
  <si>
    <t>Misty Terrain</t>
  </si>
  <si>
    <t>Electrify</t>
  </si>
  <si>
    <t>Fairy Wind</t>
  </si>
  <si>
    <t>Fairy Lock</t>
  </si>
  <si>
    <t>King’s Shield</t>
  </si>
  <si>
    <t>Play Nice</t>
  </si>
  <si>
    <t>Confide</t>
  </si>
  <si>
    <t>Diamond Storm</t>
  </si>
  <si>
    <t>Steam Eruption</t>
  </si>
  <si>
    <t>Hyperspace Hole</t>
  </si>
  <si>
    <t>Water Shuriken</t>
  </si>
  <si>
    <t>Aromatic Mist</t>
  </si>
  <si>
    <t>Eerie Impulse</t>
  </si>
  <si>
    <t>Venom Drench</t>
  </si>
  <si>
    <t>Powder</t>
  </si>
  <si>
    <t>Geomancy</t>
  </si>
  <si>
    <t>Magnetic Flux</t>
  </si>
  <si>
    <t>Happy Hour</t>
  </si>
  <si>
    <t>Electric Terrain</t>
  </si>
  <si>
    <t>Celebrate</t>
  </si>
  <si>
    <t>Hold Hands</t>
  </si>
  <si>
    <t>Hold Back</t>
  </si>
  <si>
    <t>Infestation</t>
  </si>
  <si>
    <t>Power-Up Punch</t>
  </si>
  <si>
    <t>Oblivion Wing</t>
  </si>
  <si>
    <t>Thousand Arrows</t>
  </si>
  <si>
    <t>Thousand Waves</t>
  </si>
  <si>
    <t>Land’s Wrath</t>
  </si>
  <si>
    <t>Light of Ruin</t>
  </si>
  <si>
    <t>Origin Pulse</t>
  </si>
  <si>
    <t>Precipice Blades</t>
  </si>
  <si>
    <t>Dragon Ascent</t>
  </si>
  <si>
    <t>Hyperspace Fury</t>
  </si>
  <si>
    <t>Breakneck Blitz</t>
  </si>
  <si>
    <t>All-Out Pummeling</t>
  </si>
  <si>
    <t>Supersonic Skystrike</t>
  </si>
  <si>
    <t>Acid Downpour</t>
  </si>
  <si>
    <t>Tectonic Rage</t>
  </si>
  <si>
    <t>Continental Crush</t>
  </si>
  <si>
    <t>Savage Spin-Out</t>
  </si>
  <si>
    <t>Never-Ending Nightmare</t>
  </si>
  <si>
    <t>Corkscrew Crash</t>
  </si>
  <si>
    <t>Inferno Overdrive</t>
  </si>
  <si>
    <t>Hydro Vortex</t>
  </si>
  <si>
    <t>Bloom Doom</t>
  </si>
  <si>
    <t>Gigavolt Havoc</t>
  </si>
  <si>
    <t>Shattered Psyche</t>
  </si>
  <si>
    <t>Subzero Slammer</t>
  </si>
  <si>
    <t>Devastating Drake</t>
  </si>
  <si>
    <t>Black Hole Eclipse</t>
  </si>
  <si>
    <t>Twinkle Tackle</t>
  </si>
  <si>
    <t>Catastropika</t>
  </si>
  <si>
    <t>Shore Up</t>
  </si>
  <si>
    <t>First Impression</t>
  </si>
  <si>
    <t>Spirit Shackle</t>
  </si>
  <si>
    <t>Darkest Lariat</t>
  </si>
  <si>
    <t>Sparkling Aria</t>
  </si>
  <si>
    <t>Ice Hammer</t>
  </si>
  <si>
    <t>Floral Healing</t>
  </si>
  <si>
    <t>High Horsepower</t>
  </si>
  <si>
    <t>Solar Blade</t>
  </si>
  <si>
    <t>Leafage</t>
  </si>
  <si>
    <t>Spotlight</t>
  </si>
  <si>
    <t>Poison 100%</t>
  </si>
  <si>
    <t>Laser Focus</t>
  </si>
  <si>
    <t>Gear Up</t>
  </si>
  <si>
    <t>Mute 100%</t>
  </si>
  <si>
    <t>Pollen Puff</t>
  </si>
  <si>
    <t>Anchor Shot</t>
  </si>
  <si>
    <t>Psychic Terrain</t>
  </si>
  <si>
    <t>Lunge</t>
  </si>
  <si>
    <t>Fire Lash</t>
  </si>
  <si>
    <t>Power Trip</t>
  </si>
  <si>
    <t>Burn Up</t>
  </si>
  <si>
    <t>Speed Swap</t>
  </si>
  <si>
    <t>Smart Strike</t>
  </si>
  <si>
    <t>Purify</t>
  </si>
  <si>
    <t>Revelation Dance</t>
  </si>
  <si>
    <t>Core Enforcer</t>
  </si>
  <si>
    <t>Trop Kick</t>
  </si>
  <si>
    <t>Instruct</t>
  </si>
  <si>
    <t>Beak Blast</t>
  </si>
  <si>
    <t>Clanging Scales</t>
  </si>
  <si>
    <t>Dragon Hammer</t>
  </si>
  <si>
    <t>Brutal Swing</t>
  </si>
  <si>
    <t>Sinister Arrow Raid</t>
  </si>
  <si>
    <t>Malicious Moonsault</t>
  </si>
  <si>
    <t>Oceanic Operetta</t>
  </si>
  <si>
    <t>Guardian of Alola</t>
  </si>
  <si>
    <t>Soul-Stealing 7-Star Strike</t>
  </si>
  <si>
    <t>Stoked Sparksurfer</t>
  </si>
  <si>
    <t>Pulverizing Pancake</t>
  </si>
  <si>
    <t>Extreme Evoboost</t>
  </si>
  <si>
    <t>Genesis Supernova</t>
  </si>
  <si>
    <t>Shell Trap</t>
  </si>
  <si>
    <t>Fleur Cannon</t>
  </si>
  <si>
    <t>Psychic Fangs</t>
  </si>
  <si>
    <t>Shadow Bone</t>
  </si>
  <si>
    <t>Accelerock</t>
  </si>
  <si>
    <t>Liquidation</t>
  </si>
  <si>
    <t>Prismatic Laser</t>
  </si>
  <si>
    <t>Spectral Thief</t>
  </si>
  <si>
    <t>Sunsteel Strike</t>
  </si>
  <si>
    <t>Moongeist Beam</t>
  </si>
  <si>
    <t>Tearful Look</t>
  </si>
  <si>
    <t>Zing Zap</t>
  </si>
  <si>
    <t>Nature’s Madness</t>
  </si>
  <si>
    <t>Multi-Attack</t>
  </si>
  <si>
    <t>10,000,000 Volt Thunderbolt</t>
  </si>
  <si>
    <t>Mind Blown</t>
  </si>
  <si>
    <t>Plasma Fists</t>
  </si>
  <si>
    <t>Photon Geyser</t>
  </si>
  <si>
    <t>Light That Burns the Sky</t>
  </si>
  <si>
    <t>Searing Sunraze Smash</t>
  </si>
  <si>
    <t>Menacing Moonraze Maelstrom</t>
  </si>
  <si>
    <t>Let’s Snuggle Forever</t>
  </si>
  <si>
    <t>Splintered Stormshards</t>
  </si>
  <si>
    <t>Clangorous Soulblaze</t>
  </si>
  <si>
    <t>Zippy Zap</t>
  </si>
  <si>
    <t>Splishy Splash</t>
  </si>
  <si>
    <t>Floaty Fall</t>
  </si>
  <si>
    <t>Pika Papow</t>
  </si>
  <si>
    <t>Bouncy Bubble</t>
  </si>
  <si>
    <t>Buzzy Buzz</t>
  </si>
  <si>
    <t>Sizzly Slide</t>
  </si>
  <si>
    <t>Glitzy Glow</t>
  </si>
  <si>
    <t>Baddy Bad</t>
  </si>
  <si>
    <t>Sappy Seed</t>
  </si>
  <si>
    <t>LeechSeed 100%</t>
  </si>
  <si>
    <t>Freezy Frost</t>
  </si>
  <si>
    <t>Sparkly Swirl</t>
  </si>
  <si>
    <t>Veevee Volley</t>
  </si>
  <si>
    <t>Double Iron Bash</t>
  </si>
  <si>
    <t>Max Guard</t>
  </si>
  <si>
    <t>Dynamax Cannon</t>
  </si>
  <si>
    <t>Snipe Shot</t>
  </si>
  <si>
    <t>Jaw Lock</t>
  </si>
  <si>
    <t>Stuff Cheeks</t>
  </si>
  <si>
    <t>No Retreat</t>
  </si>
  <si>
    <t>Tar Shot</t>
  </si>
  <si>
    <t>Tar 100%</t>
  </si>
  <si>
    <t>Magic Powder</t>
  </si>
  <si>
    <t>Dragon Darts</t>
  </si>
  <si>
    <t>Teatime</t>
  </si>
  <si>
    <t>Octolock</t>
  </si>
  <si>
    <t>Bolt Beak</t>
  </si>
  <si>
    <t>Fishious Rend</t>
  </si>
  <si>
    <t>Court Change</t>
  </si>
  <si>
    <t>Max Flare</t>
  </si>
  <si>
    <t>Max Flutterby</t>
  </si>
  <si>
    <t>Max Lightning</t>
  </si>
  <si>
    <t>Max Strike</t>
  </si>
  <si>
    <t>Max Knuckle</t>
  </si>
  <si>
    <t>Max Phantasm</t>
  </si>
  <si>
    <t>Max Hailstorm</t>
  </si>
  <si>
    <t>Max Ooze</t>
  </si>
  <si>
    <t>Max Geyser</t>
  </si>
  <si>
    <t>Max Airstream</t>
  </si>
  <si>
    <t>Max Starfall</t>
  </si>
  <si>
    <t>Max Wyrmwind</t>
  </si>
  <si>
    <t>Max Mindstorm</t>
  </si>
  <si>
    <t>Max Rockfall</t>
  </si>
  <si>
    <t>Max Quake</t>
  </si>
  <si>
    <t>Max Darkness</t>
  </si>
  <si>
    <t>Max Overgrowth</t>
  </si>
  <si>
    <t>Max Steelspike</t>
  </si>
  <si>
    <t>Clangorous Soul</t>
  </si>
  <si>
    <t>Decorate</t>
  </si>
  <si>
    <t>Drum Beating</t>
  </si>
  <si>
    <t>Snap Trap</t>
  </si>
  <si>
    <t>Pyro Ball</t>
  </si>
  <si>
    <t>Behemoth Blade</t>
  </si>
  <si>
    <t>Behemoth Bash</t>
  </si>
  <si>
    <t>Aura Wheel</t>
  </si>
  <si>
    <t>Breaking Swipe</t>
  </si>
  <si>
    <t>Branch Poke</t>
  </si>
  <si>
    <t>Overdrive</t>
  </si>
  <si>
    <t>Apple Acid</t>
  </si>
  <si>
    <t>Grav Apple</t>
  </si>
  <si>
    <t>Spirit Break</t>
  </si>
  <si>
    <t>Strange Steam</t>
  </si>
  <si>
    <t>Life Dew</t>
  </si>
  <si>
    <t>False Surrender</t>
  </si>
  <si>
    <t>Meteor Assault</t>
  </si>
  <si>
    <t>Eternabeam</t>
  </si>
  <si>
    <t>Steel Beam</t>
  </si>
  <si>
    <t>Expanding Force</t>
  </si>
  <si>
    <t>Steel Roller</t>
  </si>
  <si>
    <t>Scale Shot</t>
  </si>
  <si>
    <t>Meteor Beam</t>
  </si>
  <si>
    <t>Shell Side Arm</t>
  </si>
  <si>
    <t>Misty Explosion</t>
  </si>
  <si>
    <t>Grassy Glide</t>
  </si>
  <si>
    <t>Rising Voltage</t>
  </si>
  <si>
    <t>Terrain Pulse</t>
  </si>
  <si>
    <t>Skitter Smack</t>
  </si>
  <si>
    <t>Burning Jealousy</t>
  </si>
  <si>
    <t>Lash Out</t>
  </si>
  <si>
    <t>Poltergeist</t>
  </si>
  <si>
    <t>Corrosive Gas</t>
  </si>
  <si>
    <t>Coaching</t>
  </si>
  <si>
    <t>Flip Turn</t>
  </si>
  <si>
    <t>Triple Axel</t>
  </si>
  <si>
    <t>Dual Wingbeat</t>
  </si>
  <si>
    <t>Scorching Sands</t>
  </si>
  <si>
    <t>Jungle Healing</t>
  </si>
  <si>
    <t>Wicked Blow</t>
  </si>
  <si>
    <t>Surging Strikes</t>
  </si>
  <si>
    <t>Thunder Cage</t>
  </si>
  <si>
    <t>Dragon Energy</t>
  </si>
  <si>
    <t>Freezing Glare</t>
  </si>
  <si>
    <t>Fiery Wrath</t>
  </si>
  <si>
    <t>Thunderous Kick</t>
  </si>
  <si>
    <t>Glacial Lance</t>
  </si>
  <si>
    <t>Astral Barrage</t>
  </si>
  <si>
    <t>Eerie Spell</t>
  </si>
  <si>
    <t>Pokemon</t>
  </si>
  <si>
    <t>Rotom-He</t>
  </si>
  <si>
    <t>NRM</t>
  </si>
  <si>
    <t>Heat Rotom</t>
  </si>
  <si>
    <t>FTG</t>
  </si>
  <si>
    <t>Rotom-H</t>
  </si>
  <si>
    <t>FLY</t>
  </si>
  <si>
    <t>Rotom-Wa</t>
  </si>
  <si>
    <t>PSN</t>
  </si>
  <si>
    <t>Wash Rotom</t>
  </si>
  <si>
    <t>GRD</t>
  </si>
  <si>
    <t>Rotom-W</t>
  </si>
  <si>
    <t>RCK</t>
  </si>
  <si>
    <t>Rotom-Mo</t>
  </si>
  <si>
    <t>BUG</t>
  </si>
  <si>
    <t>Mow Rotom</t>
  </si>
  <si>
    <t>GHO</t>
  </si>
  <si>
    <t>Rotom-C</t>
  </si>
  <si>
    <t>STL</t>
  </si>
  <si>
    <t>Rotom-Fr</t>
  </si>
  <si>
    <t>FIR</t>
  </si>
  <si>
    <t>Frost Rotom</t>
  </si>
  <si>
    <t>WTR</t>
  </si>
  <si>
    <t>Rotom-F</t>
  </si>
  <si>
    <t>GRS</t>
  </si>
  <si>
    <t>Rotom-Fa</t>
  </si>
  <si>
    <t>ELC</t>
  </si>
  <si>
    <t>Fan Rotom</t>
  </si>
  <si>
    <t>PSY</t>
  </si>
  <si>
    <t>Rotom-S</t>
  </si>
  <si>
    <t>ICE</t>
  </si>
  <si>
    <t>Alolan Rattata</t>
  </si>
  <si>
    <t>Rattata-Alola</t>
  </si>
  <si>
    <t>DRG</t>
  </si>
  <si>
    <t>Rattata-A</t>
  </si>
  <si>
    <t>DRK</t>
  </si>
  <si>
    <t>Alolan Raticate</t>
  </si>
  <si>
    <t>Raticate-Alola</t>
  </si>
  <si>
    <t>FAI</t>
  </si>
  <si>
    <t>Raticate-A</t>
  </si>
  <si>
    <t>Alolan Raichu</t>
  </si>
  <si>
    <t>Raichu-Alola</t>
  </si>
  <si>
    <t>Raichu-A</t>
  </si>
  <si>
    <t>Alolan Sandshrew</t>
  </si>
  <si>
    <t>Sandshrew-Alola</t>
  </si>
  <si>
    <t>Sandshrew-A</t>
  </si>
  <si>
    <t>Alolan Sandslash</t>
  </si>
  <si>
    <t>Sandslash-Alola</t>
  </si>
  <si>
    <t>Sandslash-A</t>
  </si>
  <si>
    <t>Alolan Vulpix</t>
  </si>
  <si>
    <t>Vulpix-Alola</t>
  </si>
  <si>
    <t>Vulpix-A</t>
  </si>
  <si>
    <t>Alolan Ninetales</t>
  </si>
  <si>
    <t>Ninetales-Alola</t>
  </si>
  <si>
    <t>Ninetales-A</t>
  </si>
  <si>
    <t>Alolan Diglett</t>
  </si>
  <si>
    <t>Diglett-Alola</t>
  </si>
  <si>
    <t>Diglett-A</t>
  </si>
  <si>
    <t>Set 1</t>
  </si>
  <si>
    <t>Alolan Dugtrio</t>
  </si>
  <si>
    <t>Dugtrio-Alola</t>
  </si>
  <si>
    <t>Set 2</t>
  </si>
  <si>
    <t>Dugtrio-A</t>
  </si>
  <si>
    <t>Set 3</t>
  </si>
  <si>
    <t>Alolan Meowth</t>
  </si>
  <si>
    <t>Meowth-Alola</t>
  </si>
  <si>
    <t>Set 4</t>
  </si>
  <si>
    <t>Meowth-A</t>
  </si>
  <si>
    <t>Set 5</t>
  </si>
  <si>
    <t>Alolan Persian</t>
  </si>
  <si>
    <t>Persian-Alola</t>
  </si>
  <si>
    <t>Set 6</t>
  </si>
  <si>
    <t>Persian-A</t>
  </si>
  <si>
    <t>Set 7</t>
  </si>
  <si>
    <t>Alolan Geodude</t>
  </si>
  <si>
    <t>Geodude-Alola</t>
  </si>
  <si>
    <t>M</t>
  </si>
  <si>
    <t>Geodude-A</t>
  </si>
  <si>
    <t>Master</t>
  </si>
  <si>
    <t>Alolan Graveler</t>
  </si>
  <si>
    <t>Graveler-Alola</t>
  </si>
  <si>
    <t>Master Class</t>
  </si>
  <si>
    <t>Graveler-A</t>
  </si>
  <si>
    <t>B</t>
  </si>
  <si>
    <t>Alolan Golem</t>
  </si>
  <si>
    <t>Golem-Alola</t>
  </si>
  <si>
    <t>Boss</t>
  </si>
  <si>
    <t>Golem-A</t>
  </si>
  <si>
    <t>Alolan Grimer</t>
  </si>
  <si>
    <t>Grimer-Alola</t>
  </si>
  <si>
    <t>Grimer-A</t>
  </si>
  <si>
    <t>Alolan Muk</t>
  </si>
  <si>
    <t>Muk-Alola</t>
  </si>
  <si>
    <t>Muk-A</t>
  </si>
  <si>
    <t>Alolan Exeggutor</t>
  </si>
  <si>
    <t>Exeggutor-Alola</t>
  </si>
  <si>
    <t>Exeggutor-A</t>
  </si>
  <si>
    <t>Alolan Marowak</t>
  </si>
  <si>
    <t>Marowak-Alola</t>
  </si>
  <si>
    <t>Marowak-A</t>
  </si>
  <si>
    <t>Primal Groudon</t>
  </si>
  <si>
    <t>Groudon-Primal</t>
  </si>
  <si>
    <t>Groudon-P</t>
  </si>
  <si>
    <t>Primal Kyogre</t>
  </si>
  <si>
    <t>Kyogre-Primal</t>
  </si>
  <si>
    <t>Kyogre-P</t>
  </si>
  <si>
    <t>Mega Rayquaza</t>
  </si>
  <si>
    <t>Rayquaza-Mega</t>
  </si>
  <si>
    <t>Rayquaza-M</t>
  </si>
  <si>
    <t>Mega Abomasnow</t>
  </si>
  <si>
    <t>Abomasnow-Mega</t>
  </si>
  <si>
    <t>Abomasnow-M</t>
  </si>
  <si>
    <t>Mega Absol</t>
  </si>
  <si>
    <t>Absol-Mega</t>
  </si>
  <si>
    <t>Absol-M</t>
  </si>
  <si>
    <t>Mega Aerodactyl</t>
  </si>
  <si>
    <t>Aerodactyl-Mega</t>
  </si>
  <si>
    <t>Aerodactyl-M</t>
  </si>
  <si>
    <t>Mega Aggron</t>
  </si>
  <si>
    <t>Aggron-Mega</t>
  </si>
  <si>
    <t>Aggron-M</t>
  </si>
  <si>
    <t>Mega Alakazam</t>
  </si>
  <si>
    <t>Alakazam-Mega</t>
  </si>
  <si>
    <t>Alakazam-M</t>
  </si>
  <si>
    <t>Mega Altaria</t>
  </si>
  <si>
    <t>Altaria-Mega</t>
  </si>
  <si>
    <t>Altaria-M</t>
  </si>
  <si>
    <t>Mega Ampharos</t>
  </si>
  <si>
    <t>Ampharos-Mega</t>
  </si>
  <si>
    <t>Ampharos-M</t>
  </si>
  <si>
    <t>Mega Audino</t>
  </si>
  <si>
    <t>Audino-Mega</t>
  </si>
  <si>
    <t>Audino-M</t>
  </si>
  <si>
    <t>Mega Banette</t>
  </si>
  <si>
    <t>Banette-Mega</t>
  </si>
  <si>
    <t>Banette-M</t>
  </si>
  <si>
    <t>Mega Beedrill</t>
  </si>
  <si>
    <t>Beedrill-Mega</t>
  </si>
  <si>
    <t>Beedrill-M</t>
  </si>
  <si>
    <t>Mega Blastoise</t>
  </si>
  <si>
    <t>Blastoise-Mega</t>
  </si>
  <si>
    <t>Blastoise-M</t>
  </si>
  <si>
    <t>Mega Blaziken</t>
  </si>
  <si>
    <t>Blaziken-Mega</t>
  </si>
  <si>
    <t>Blaziken-M</t>
  </si>
  <si>
    <t>Mega Camerupt</t>
  </si>
  <si>
    <t>Camerupt-Mega</t>
  </si>
  <si>
    <t>Camerupt-M</t>
  </si>
  <si>
    <t>Mega Charizard X</t>
  </si>
  <si>
    <t>Charizard-Mega-X</t>
  </si>
  <si>
    <t>Charizard-MX</t>
  </si>
  <si>
    <t>Mega Charizard Y</t>
  </si>
  <si>
    <t>Charizard-Mega-Y</t>
  </si>
  <si>
    <t>Charizard-MY</t>
  </si>
  <si>
    <t>Mega Diancie</t>
  </si>
  <si>
    <t>Diancie-Mega</t>
  </si>
  <si>
    <t>Diancie-M</t>
  </si>
  <si>
    <t>Mega Gallade</t>
  </si>
  <si>
    <t>Gallade-Mega</t>
  </si>
  <si>
    <t>Gallade-M</t>
  </si>
  <si>
    <t>Mega Garchomp</t>
  </si>
  <si>
    <t>Garchomp-Mega</t>
  </si>
  <si>
    <t>Garchomp-M</t>
  </si>
  <si>
    <t>Mega Gardevoir</t>
  </si>
  <si>
    <t>Gardevoir-Mega</t>
  </si>
  <si>
    <t>Gardevoir-M</t>
  </si>
  <si>
    <t>Mega Gengar</t>
  </si>
  <si>
    <t>Gengar-Mega</t>
  </si>
  <si>
    <t>Gengar-M</t>
  </si>
  <si>
    <t>Mega Glalie</t>
  </si>
  <si>
    <t>Glalie-Mega</t>
  </si>
  <si>
    <t>Glalie-M</t>
  </si>
  <si>
    <t>Mega Gyarados</t>
  </si>
  <si>
    <t>Gyarados-Mega</t>
  </si>
  <si>
    <t>Gyarados-M</t>
  </si>
  <si>
    <t>Mega Heracross</t>
  </si>
  <si>
    <t>Heracross-Mega</t>
  </si>
  <si>
    <t>Heracross-M</t>
  </si>
  <si>
    <t>Mega Houndoom</t>
  </si>
  <si>
    <t>Houndoom-Mega</t>
  </si>
  <si>
    <t>Houndoom-M</t>
  </si>
  <si>
    <t>Mega Kangaskhan</t>
  </si>
  <si>
    <t>Kangaskhan-Mega</t>
  </si>
  <si>
    <t>Kangaskhan-M</t>
  </si>
  <si>
    <t>Mega Latias</t>
  </si>
  <si>
    <t>Latias-Mega</t>
  </si>
  <si>
    <t>Latias-M</t>
  </si>
  <si>
    <t>Mega Latios</t>
  </si>
  <si>
    <t>Latios-Mega</t>
  </si>
  <si>
    <t>Latios-M</t>
  </si>
  <si>
    <t>Mega Lopunny</t>
  </si>
  <si>
    <t>Lopunny-Mega</t>
  </si>
  <si>
    <t>Lopunny-M</t>
  </si>
  <si>
    <t>Mega Lucario</t>
  </si>
  <si>
    <t>Lucario-Mega</t>
  </si>
  <si>
    <t>Lucario-M</t>
  </si>
  <si>
    <t>Mega Manectric</t>
  </si>
  <si>
    <t>Manectric-Mega</t>
  </si>
  <si>
    <t>Manectric-M</t>
  </si>
  <si>
    <t>Mega Mawile</t>
  </si>
  <si>
    <t>Mawile-Mega</t>
  </si>
  <si>
    <t>Mawile-M</t>
  </si>
  <si>
    <t>Mega Medicham</t>
  </si>
  <si>
    <t>Medicham-Mega</t>
  </si>
  <si>
    <t>Medicham-M</t>
  </si>
  <si>
    <t>Mega Metagross</t>
  </si>
  <si>
    <t>Metagross-Mega</t>
  </si>
  <si>
    <t>Metagross-M</t>
  </si>
  <si>
    <t>Mega Mewtwo X</t>
  </si>
  <si>
    <t>Mewtwo-Mega-X</t>
  </si>
  <si>
    <t>Mewtwo-MX</t>
  </si>
  <si>
    <t>Mega Mewtwo Y</t>
  </si>
  <si>
    <t>Mewtwo-Mega-Y</t>
  </si>
  <si>
    <t>Mewtwo-MY</t>
  </si>
  <si>
    <t>Mega Pidgeot</t>
  </si>
  <si>
    <t>Pidgeot-Mega</t>
  </si>
  <si>
    <t>Pidgeot-M</t>
  </si>
  <si>
    <t>Mega Pinsir</t>
  </si>
  <si>
    <t>Pinsir-Mega</t>
  </si>
  <si>
    <t>Pinsir-M</t>
  </si>
  <si>
    <t>Mega Sableye</t>
  </si>
  <si>
    <t>Sableye-Mega</t>
  </si>
  <si>
    <t>Sableye-M</t>
  </si>
  <si>
    <t>Mega Salamence</t>
  </si>
  <si>
    <t>Salamence-Mega</t>
  </si>
  <si>
    <t>Salamence-M</t>
  </si>
  <si>
    <t>Mega Sceptile</t>
  </si>
  <si>
    <t>Sceptile-Mega</t>
  </si>
  <si>
    <t>Sceptile-M</t>
  </si>
  <si>
    <t>Mega Scizor</t>
  </si>
  <si>
    <t>Scizor-Mega</t>
  </si>
  <si>
    <t>Scizor-M</t>
  </si>
  <si>
    <t>Mega Sharpedo</t>
  </si>
  <si>
    <t>Sharpedo-Mega</t>
  </si>
  <si>
    <t>Sharpedo-M</t>
  </si>
  <si>
    <t>Mega Slowbro</t>
  </si>
  <si>
    <t>Slowbro-Mega</t>
  </si>
  <si>
    <t>Slowbro-M</t>
  </si>
  <si>
    <t>Mega Steelix</t>
  </si>
  <si>
    <t>Steelix-Mega</t>
  </si>
  <si>
    <t>Steelix-M</t>
  </si>
  <si>
    <t>Mega Swampert</t>
  </si>
  <si>
    <t>Swampert-Mega</t>
  </si>
  <si>
    <t>Swampert-M</t>
  </si>
  <si>
    <t>Mega Tyranitar</t>
  </si>
  <si>
    <t>Tyranitar-Mega</t>
  </si>
  <si>
    <t>Tyranitar-M</t>
  </si>
  <si>
    <t>Mega Venusaur</t>
  </si>
  <si>
    <t>Venusaur-Mega</t>
  </si>
  <si>
    <t>Venusaur-M</t>
  </si>
  <si>
    <t>Necrozma-Dawn</t>
  </si>
  <si>
    <t>Necrozma-Dawn-Wings</t>
  </si>
  <si>
    <t>Necrozma-DW</t>
  </si>
  <si>
    <t>Necrozma-Dusk</t>
  </si>
  <si>
    <t>Necrozma-Dusk-Mane</t>
  </si>
  <si>
    <t>Necrozma-DM</t>
  </si>
  <si>
    <t>Necrozma-U</t>
  </si>
  <si>
    <t>Necrozma-Ultra</t>
  </si>
  <si>
    <t>Deoxys-N</t>
  </si>
  <si>
    <t>Deoxys-A</t>
  </si>
  <si>
    <t>Deoxys-D</t>
  </si>
  <si>
    <t>Deoxys-S</t>
  </si>
  <si>
    <t>Giratina</t>
  </si>
  <si>
    <t>Giratina-A</t>
  </si>
  <si>
    <t>Giratina-O</t>
  </si>
  <si>
    <t>Shaymin</t>
  </si>
  <si>
    <t>Shaymin-L</t>
  </si>
  <si>
    <t>Shaymin-S</t>
  </si>
  <si>
    <t>Arceus-Normal</t>
  </si>
  <si>
    <t>Meloetta-Aria</t>
  </si>
  <si>
    <t>Meloetta</t>
  </si>
  <si>
    <t>Meloetta-A</t>
  </si>
  <si>
    <t>Meloetta-P</t>
  </si>
  <si>
    <t>Meloetta-Pirouette</t>
  </si>
  <si>
    <t>Tornadus</t>
  </si>
  <si>
    <t>Tornadus-Incarnate</t>
  </si>
  <si>
    <t>Tornadus-I</t>
  </si>
  <si>
    <t>Tornadus-T</t>
  </si>
  <si>
    <t>Tornadus-Therian</t>
  </si>
  <si>
    <t>Thundurus</t>
  </si>
  <si>
    <t>Thundurus-Incarnate</t>
  </si>
  <si>
    <t>Thundurus-I</t>
  </si>
  <si>
    <t>Thundurus-T</t>
  </si>
  <si>
    <t>Thundurus-Therian</t>
  </si>
  <si>
    <t>Landorus</t>
  </si>
  <si>
    <t>Landorus-Incarnate</t>
  </si>
  <si>
    <t>Landorus-I</t>
  </si>
  <si>
    <t>Landorus-T</t>
  </si>
  <si>
    <t>Landorus-Therian</t>
  </si>
  <si>
    <t>Kyurem-N</t>
  </si>
  <si>
    <t>Kyurem</t>
  </si>
  <si>
    <t>Kyurem-W</t>
  </si>
  <si>
    <t>Kyurem-White</t>
  </si>
  <si>
    <t>Kyurem-B</t>
  </si>
  <si>
    <t>Kyurem-Black</t>
  </si>
  <si>
    <t>Zygarde</t>
  </si>
  <si>
    <t>Zygarde-50</t>
  </si>
  <si>
    <t>Zygarde-100</t>
  </si>
  <si>
    <t>Zygarde-Complete</t>
  </si>
  <si>
    <t>Hoopa</t>
  </si>
  <si>
    <t>Hoopa-Confined</t>
  </si>
  <si>
    <t>Hoopa-C</t>
  </si>
  <si>
    <t>Hoopa-U</t>
  </si>
  <si>
    <t>Hoopa-Unbound</t>
  </si>
  <si>
    <t>Silvally-Normal</t>
  </si>
  <si>
    <t>Silvally</t>
  </si>
  <si>
    <t>Wormadam</t>
  </si>
  <si>
    <t>Wormadam-P</t>
  </si>
  <si>
    <t>Wormadam-Grass</t>
  </si>
  <si>
    <t>Wormadam-S</t>
  </si>
  <si>
    <t>Wormadam-Ground</t>
  </si>
  <si>
    <t>Wormadam-T</t>
  </si>
  <si>
    <t>Wormadam-Steel</t>
  </si>
  <si>
    <t>Darmanitan-Z</t>
  </si>
  <si>
    <t>Darmanitan-Zen</t>
  </si>
  <si>
    <t>Ash-Greninja</t>
  </si>
  <si>
    <t>Greninja-Ash</t>
  </si>
  <si>
    <t>Ash Greninja</t>
  </si>
  <si>
    <t>Aegislash</t>
  </si>
  <si>
    <t>Aegislash-Shield</t>
  </si>
  <si>
    <t>Pumpkaboo</t>
  </si>
  <si>
    <t>Pumpkaboo-Average</t>
  </si>
  <si>
    <t>Pumpkaboo-M</t>
  </si>
  <si>
    <t>Pumpkaboo-S</t>
  </si>
  <si>
    <t>Pumpkaboo-Small</t>
  </si>
  <si>
    <t>Pumpkaboo-L</t>
  </si>
  <si>
    <t>Pumpkaboo-Large</t>
  </si>
  <si>
    <t>Pumpkaboo-XL</t>
  </si>
  <si>
    <t>Pumpkaboo-Super</t>
  </si>
  <si>
    <t>Gourgeist</t>
  </si>
  <si>
    <t>Gourgeist-Average</t>
  </si>
  <si>
    <t>Gourgeist-M</t>
  </si>
  <si>
    <t>Gourgeist-S</t>
  </si>
  <si>
    <t>Gourgeist-Small</t>
  </si>
  <si>
    <t>Gourgeist-L</t>
  </si>
  <si>
    <t>Gourgeist-Large</t>
  </si>
  <si>
    <t>Gourgeist-XL</t>
  </si>
  <si>
    <t>Gourgeist-Super</t>
  </si>
  <si>
    <t>Oricorio</t>
  </si>
  <si>
    <t>Oricorio-Baile</t>
  </si>
  <si>
    <t>Oricorio-Fire</t>
  </si>
  <si>
    <t>Oricorio-Electric</t>
  </si>
  <si>
    <t>Oricorio-Pom-Pom</t>
  </si>
  <si>
    <t>Oricorio-Psychic</t>
  </si>
  <si>
    <t>Oricorio-Pa'u</t>
  </si>
  <si>
    <t>Oricorio-Ghost</t>
  </si>
  <si>
    <t>Oricorio-Sensu</t>
  </si>
  <si>
    <t>Lycanroc</t>
  </si>
  <si>
    <t>Lycanroc-Midday</t>
  </si>
  <si>
    <t>Wishiwashi</t>
  </si>
  <si>
    <t>Wishiwashi-School</t>
  </si>
  <si>
    <t>Minior</t>
  </si>
  <si>
    <t>Minior-Meteor</t>
  </si>
  <si>
    <t>Meowstic</t>
  </si>
  <si>
    <t>Meowstic-M</t>
  </si>
  <si>
    <t>Meowstic-Male</t>
  </si>
  <si>
    <t>Meowstic-Female</t>
  </si>
  <si>
    <t>Meowstic-F</t>
  </si>
  <si>
    <t>Indeedee</t>
  </si>
  <si>
    <t>Indeedee-M</t>
  </si>
  <si>
    <t>Indeedee-Male</t>
  </si>
  <si>
    <t>Indeedee-Female</t>
  </si>
  <si>
    <t>Indeedee-F</t>
  </si>
  <si>
    <t>Eiscue</t>
  </si>
  <si>
    <t>Eiscue-Ice</t>
  </si>
  <si>
    <t>Zacian</t>
  </si>
  <si>
    <t>Zacian-Hero</t>
  </si>
  <si>
    <t>Zamazenta</t>
  </si>
  <si>
    <t>Zamazenta-Hero</t>
  </si>
  <si>
    <t>Zacian-C</t>
  </si>
  <si>
    <t>Zacian-Crowned</t>
  </si>
  <si>
    <t>Zamazenta-C</t>
  </si>
  <si>
    <t>Zamazenta-Crowned</t>
  </si>
  <si>
    <t>Meowth-G</t>
  </si>
  <si>
    <t>Meowth-Galar</t>
  </si>
  <si>
    <t>Galarian Meowth</t>
  </si>
  <si>
    <t>Ponyta-G</t>
  </si>
  <si>
    <t>Ponyta-Galar</t>
  </si>
  <si>
    <t>Galarian Ponyta</t>
  </si>
  <si>
    <t>Rapidash-G</t>
  </si>
  <si>
    <t>Rapidash-Galar</t>
  </si>
  <si>
    <t>Galarian Rapidash</t>
  </si>
  <si>
    <t>Farfetch'd-G</t>
  </si>
  <si>
    <t>Farfetch'd-Galar</t>
  </si>
  <si>
    <t>Galarian Farfetch'd</t>
  </si>
  <si>
    <t>Weezing-G</t>
  </si>
  <si>
    <t>Weezing-Galar</t>
  </si>
  <si>
    <t>Galarian Weezing</t>
  </si>
  <si>
    <t>Mr. Mime-G</t>
  </si>
  <si>
    <t>Mr. Mime-Galar</t>
  </si>
  <si>
    <t>Galarian Mr. Mime</t>
  </si>
  <si>
    <t>Corsola-G</t>
  </si>
  <si>
    <t>Corsola-Galar</t>
  </si>
  <si>
    <t>Galarian Corsola</t>
  </si>
  <si>
    <t>Zigzagoon-G</t>
  </si>
  <si>
    <t>Zigzagoon-Galar</t>
  </si>
  <si>
    <t>Galarian Zigzagoon</t>
  </si>
  <si>
    <t>Linoone-G</t>
  </si>
  <si>
    <t>Linoone-Galar</t>
  </si>
  <si>
    <t>Galarian Linoone</t>
  </si>
  <si>
    <t>Darumaka-G</t>
  </si>
  <si>
    <t>Darumaka-Galar</t>
  </si>
  <si>
    <t>Galarian Darumaka</t>
  </si>
  <si>
    <t>Darmanitan-G</t>
  </si>
  <si>
    <t>Darmanitan-Galar</t>
  </si>
  <si>
    <t>Galarian Darmanitan</t>
  </si>
  <si>
    <t>Darmanitan-GZ</t>
  </si>
  <si>
    <t>Darmanitan-Galarzen</t>
  </si>
  <si>
    <t>Yamask-G</t>
  </si>
  <si>
    <t>Yamask-Galar</t>
  </si>
  <si>
    <t>Galarian Yamask</t>
  </si>
  <si>
    <t>Stunfisk-G</t>
  </si>
  <si>
    <t>Stunfisk-Galar</t>
  </si>
  <si>
    <t>Galarian Stunfisk</t>
  </si>
  <si>
    <t>Slowpoke-G</t>
  </si>
  <si>
    <t>Slowpoke-Galar</t>
  </si>
  <si>
    <t>Galarian Slowpoke</t>
  </si>
  <si>
    <t>Slowbro-G</t>
  </si>
  <si>
    <t>Slowbro-Galar</t>
  </si>
  <si>
    <t>Galarian Slowbro</t>
  </si>
  <si>
    <t>Slowking-G</t>
  </si>
  <si>
    <t>Slowking-Galar</t>
  </si>
  <si>
    <t>Galarian Slowking</t>
  </si>
  <si>
    <t>Sirfetch'D</t>
  </si>
  <si>
    <t>Sirfetch'd</t>
  </si>
  <si>
    <t>Articuno-G</t>
  </si>
  <si>
    <t>Articuno-Galar</t>
  </si>
  <si>
    <t>Galarian Articuno</t>
  </si>
  <si>
    <t>Zapdos-G</t>
  </si>
  <si>
    <t>Zapdos-Galar</t>
  </si>
  <si>
    <t>Galarian Zapdos</t>
  </si>
  <si>
    <t>Moltres-G</t>
  </si>
  <si>
    <t>Moltres-Galar</t>
  </si>
  <si>
    <t>Galarian Moltres</t>
  </si>
  <si>
    <t>Set Name</t>
  </si>
  <si>
    <t>Single 1</t>
  </si>
  <si>
    <t>3B</t>
  </si>
  <si>
    <t>7B</t>
  </si>
  <si>
    <t>M1B</t>
  </si>
  <si>
    <t>M2B</t>
  </si>
  <si>
    <t>M3B</t>
  </si>
  <si>
    <t>M4B</t>
  </si>
  <si>
    <t>M5B</t>
  </si>
  <si>
    <t>M6B</t>
  </si>
  <si>
    <t>M7B</t>
  </si>
  <si>
    <t>M8B</t>
  </si>
  <si>
    <t>M9B</t>
  </si>
  <si>
    <t>M10B</t>
  </si>
  <si>
    <t>Double 1</t>
  </si>
  <si>
    <t>M Boss</t>
  </si>
  <si>
    <t>All stats are based on the odds that a randomly chosen Pokemon in Master Class, excluding bosses, will have the relevant trait</t>
  </si>
  <si>
    <t>Singles</t>
  </si>
  <si>
    <t>Doubles</t>
  </si>
  <si>
    <t>Items</t>
  </si>
  <si>
    <t>Abilities</t>
  </si>
  <si>
    <t>Moves</t>
  </si>
  <si>
    <t>Natures</t>
  </si>
  <si>
    <t>Speeds</t>
  </si>
  <si>
    <t>S outrun</t>
  </si>
  <si>
    <t>tie</t>
  </si>
  <si>
    <t>D outrun</t>
  </si>
  <si>
    <t>0-24</t>
  </si>
  <si>
    <t>26-33</t>
  </si>
  <si>
    <t>37-38</t>
  </si>
  <si>
    <t>41-44</t>
  </si>
  <si>
    <t>51-53</t>
  </si>
  <si>
    <t>68-69</t>
  </si>
  <si>
    <t>73-74</t>
  </si>
  <si>
    <t>77-79</t>
  </si>
  <si>
    <t>83-84</t>
  </si>
  <si>
    <t>92-94</t>
  </si>
  <si>
    <t>98-99</t>
  </si>
  <si>
    <t>143-144</t>
  </si>
  <si>
    <t>158-159</t>
  </si>
  <si>
    <t>163-166</t>
  </si>
  <si>
    <t>173-175</t>
  </si>
  <si>
    <t>179-180</t>
  </si>
  <si>
    <t>184-188</t>
  </si>
  <si>
    <t>190-191</t>
  </si>
  <si>
    <t>(empty slot)</t>
  </si>
  <si>
    <t>195-197</t>
  </si>
  <si>
    <t>203-221</t>
  </si>
  <si>
    <t>223-227</t>
  </si>
  <si>
    <t>229-249</t>
  </si>
  <si>
    <t>251+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</si>
</sst>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%"/>
  </numFmts>
  <fonts count="39">
    <font>
      <sz val="10.0"/>
      <color rgb="FF000000"/>
      <name val="Calibri"/>
      <scheme val="minor"/>
    </font>
    <font>
      <sz val="10.0"/>
      <color rgb="FF000000"/>
      <name val="Arial"/>
    </font>
    <font>
      <b/>
      <sz val="11.0"/>
      <color rgb="FF000000"/>
      <name val="Arial"/>
    </font>
    <font/>
    <font>
      <sz val="10.0"/>
      <color theme="1"/>
      <name val="Arial"/>
    </font>
    <font>
      <sz val="18.0"/>
      <color theme="1"/>
      <name val="Arial"/>
    </font>
    <font>
      <sz val="16.0"/>
      <color theme="1"/>
      <name val="Arial"/>
    </font>
    <font>
      <u/>
      <sz val="10.0"/>
      <color rgb="FF0000FF"/>
      <name val="Arial"/>
    </font>
    <font>
      <b/>
      <sz val="11.0"/>
      <color theme="1"/>
      <name val="Arial"/>
    </font>
    <font>
      <sz val="11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  <font>
      <sz val="9.0"/>
      <color rgb="FF000000"/>
      <name val="Arial"/>
    </font>
    <font>
      <sz val="8.0"/>
      <color theme="1"/>
      <name val="&quot;Arial&quot;"/>
    </font>
    <font>
      <b/>
      <sz val="12.0"/>
      <color rgb="FF000000"/>
      <name val="Arial"/>
    </font>
    <font>
      <sz val="8.0"/>
      <color rgb="FF000000"/>
      <name val="&quot;Arial&quot;"/>
    </font>
    <font>
      <sz val="14.0"/>
      <color theme="1"/>
      <name val="Liberation Sans"/>
    </font>
    <font>
      <sz val="14.0"/>
      <color theme="1"/>
      <name val="Arial"/>
    </font>
    <font>
      <b/>
      <sz val="10.0"/>
      <color theme="1"/>
      <name val="Liberation Sans"/>
    </font>
    <font>
      <b/>
      <sz val="8.0"/>
      <color theme="1"/>
      <name val="Liberation Sans"/>
    </font>
    <font>
      <sz val="10.0"/>
      <color theme="1"/>
      <name val="&quot;Arial&quot;"/>
    </font>
    <font>
      <b/>
      <sz val="10.0"/>
      <color rgb="FF000000"/>
      <name val="Liberation Sans"/>
    </font>
    <font>
      <sz val="9.0"/>
      <color rgb="FF000000"/>
      <name val="Liberation Sans"/>
    </font>
    <font>
      <sz val="8.0"/>
      <color rgb="FF000000"/>
      <name val="Liberation Sans"/>
    </font>
    <font>
      <sz val="9.0"/>
      <color theme="1"/>
      <name val="&quot;Arial&quot;"/>
    </font>
    <font>
      <b/>
      <sz val="12.0"/>
      <color rgb="FF000000"/>
      <name val="Liberation Sans"/>
    </font>
    <font>
      <sz val="10.0"/>
      <color rgb="FF000000"/>
      <name val="&quot;Arial&quot;"/>
    </font>
    <font>
      <sz val="10.0"/>
      <color theme="1"/>
      <name val="Liberation Sans"/>
    </font>
    <font>
      <b/>
      <sz val="10.0"/>
      <color rgb="FF000000"/>
      <name val="&quot;Arial&quot;"/>
    </font>
    <font>
      <sz val="8.0"/>
      <color theme="1"/>
      <name val="&quot;Liberation Sans&quot;"/>
    </font>
    <font>
      <sz val="8.0"/>
      <color theme="1"/>
      <name val="IPAGothic"/>
    </font>
    <font>
      <sz val="8.0"/>
      <color theme="1"/>
      <name val="Arial"/>
    </font>
    <font>
      <b/>
      <sz val="10.0"/>
      <color rgb="FF000000"/>
      <name val="Arial"/>
    </font>
    <font>
      <b/>
      <sz val="10.0"/>
      <color rgb="FFFF6633"/>
      <name val="Arial"/>
    </font>
    <font>
      <b/>
      <sz val="10.0"/>
      <color rgb="FFC5000B"/>
      <name val="Arial"/>
    </font>
    <font>
      <color theme="1"/>
      <name val="Calibri"/>
      <scheme val="minor"/>
    </font>
    <font>
      <sz val="11.0"/>
      <color theme="1"/>
      <name val="Cambria"/>
    </font>
    <font>
      <sz val="10.0"/>
      <color rgb="FF000000"/>
      <name val="Sans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99"/>
        <bgColor rgb="FFFFFF99"/>
      </patternFill>
    </fill>
    <fill>
      <patternFill patternType="solid">
        <fgColor rgb="FFE6E6E6"/>
        <bgColor rgb="FFE6E6E6"/>
      </patternFill>
    </fill>
    <fill>
      <patternFill patternType="solid">
        <fgColor rgb="FFCCFFFF"/>
        <bgColor rgb="FFCCFFFF"/>
      </patternFill>
    </fill>
    <fill>
      <patternFill patternType="solid">
        <fgColor rgb="FFCCCCCC"/>
        <bgColor rgb="FFCCCCCC"/>
      </patternFill>
    </fill>
  </fills>
  <borders count="30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/>
      <top style="hair">
        <color rgb="FF000000"/>
      </top>
      <bottom/>
    </border>
    <border>
      <top style="hair">
        <color rgb="FF000000"/>
      </top>
      <bottom/>
    </border>
    <border>
      <right/>
      <top style="hair">
        <color rgb="FF000000"/>
      </top>
      <bottom/>
    </border>
    <border>
      <left/>
      <right/>
      <top style="hair">
        <color rgb="FF000000"/>
      </top>
      <bottom style="hair">
        <color rgb="FF000000"/>
      </bottom>
    </border>
    <border>
      <left/>
      <right/>
      <top style="hair">
        <color rgb="FF000000"/>
      </top>
    </border>
    <border>
      <left/>
      <right/>
      <bottom style="hair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/>
    </border>
    <border>
      <right style="hair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hair">
        <color rgb="FF000000"/>
      </right>
      <top/>
      <bottom/>
    </border>
    <border>
      <left style="hair">
        <color rgb="FF000000"/>
      </left>
      <right style="hair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0"/>
    </xf>
    <xf borderId="2" fillId="3" fontId="2" numFmtId="0" xfId="0" applyAlignment="1" applyBorder="1" applyFill="1" applyFont="1">
      <alignment horizontal="center" shrinkToFit="0" vertical="center" wrapText="0"/>
    </xf>
    <xf borderId="3" fillId="0" fontId="3" numFmtId="0" xfId="0" applyBorder="1" applyFont="1"/>
    <xf borderId="4" fillId="0" fontId="3" numFmtId="0" xfId="0" applyBorder="1" applyFont="1"/>
    <xf borderId="0" fillId="3" fontId="2" numFmtId="0" xfId="0" applyAlignment="1" applyFont="1">
      <alignment horizontal="center" shrinkToFit="0" vertical="center" wrapText="0"/>
    </xf>
    <xf borderId="0" fillId="0" fontId="4" numFmtId="0" xfId="0" applyAlignment="1" applyFont="1">
      <alignment shrinkToFit="0" vertical="center" wrapText="0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right" readingOrder="0" shrinkToFit="0" vertical="center" wrapText="0"/>
    </xf>
    <xf borderId="0" fillId="0" fontId="5" numFmtId="0" xfId="0" applyAlignment="1" applyFont="1">
      <alignment horizontal="right" shrinkToFit="0" vertical="center" wrapText="0"/>
    </xf>
    <xf borderId="5" fillId="4" fontId="6" numFmtId="0" xfId="0" applyAlignment="1" applyBorder="1" applyFill="1" applyFont="1">
      <alignment readingOrder="0" shrinkToFit="0" vertical="center" wrapText="0"/>
    </xf>
    <xf borderId="0" fillId="0" fontId="5" numFmtId="0" xfId="0" applyAlignment="1" applyFont="1">
      <alignment horizontal="center" shrinkToFit="0" vertical="center" wrapText="0"/>
    </xf>
    <xf borderId="0" fillId="0" fontId="4" numFmtId="0" xfId="0" applyAlignment="1" applyFont="1">
      <alignment readingOrder="0" shrinkToFit="0" vertical="center" wrapText="0"/>
    </xf>
    <xf borderId="0" fillId="0" fontId="7" numFmtId="0" xfId="0" applyAlignment="1" applyFont="1">
      <alignment readingOrder="0" shrinkToFit="0" vertical="center" wrapText="0"/>
    </xf>
    <xf borderId="6" fillId="3" fontId="8" numFmtId="0" xfId="0" applyAlignment="1" applyBorder="1" applyFont="1">
      <alignment horizontal="center" shrinkToFit="0" vertical="center" wrapText="0"/>
    </xf>
    <xf borderId="7" fillId="0" fontId="3" numFmtId="0" xfId="0" applyBorder="1" applyFont="1"/>
    <xf borderId="8" fillId="0" fontId="3" numFmtId="0" xfId="0" applyBorder="1" applyFont="1"/>
    <xf borderId="1" fillId="2" fontId="9" numFmtId="0" xfId="0" applyAlignment="1" applyBorder="1" applyFont="1">
      <alignment shrinkToFit="0" vertical="center" wrapText="0"/>
    </xf>
    <xf borderId="0" fillId="0" fontId="8" numFmtId="0" xfId="0" applyAlignment="1" applyFont="1">
      <alignment horizontal="center" shrinkToFit="0" vertical="center" wrapText="0"/>
    </xf>
    <xf borderId="9" fillId="5" fontId="2" numFmtId="0" xfId="0" applyAlignment="1" applyBorder="1" applyFill="1" applyFont="1">
      <alignment horizontal="center" shrinkToFit="0" vertical="center" wrapText="0"/>
    </xf>
    <xf borderId="9" fillId="5" fontId="10" numFmtId="0" xfId="0" applyAlignment="1" applyBorder="1" applyFont="1">
      <alignment horizontal="center" shrinkToFit="0" vertical="center" wrapText="0"/>
    </xf>
    <xf borderId="9" fillId="6" fontId="2" numFmtId="0" xfId="0" applyAlignment="1" applyBorder="1" applyFill="1" applyFont="1">
      <alignment horizontal="center" shrinkToFit="0" vertical="center" wrapText="0"/>
    </xf>
    <xf borderId="0" fillId="0" fontId="11" numFmtId="0" xfId="0" applyAlignment="1" applyFont="1">
      <alignment shrinkToFit="0" vertical="bottom" wrapText="0"/>
    </xf>
    <xf borderId="1" fillId="2" fontId="12" numFmtId="0" xfId="0" applyAlignment="1" applyBorder="1" applyFont="1">
      <alignment horizontal="center" shrinkToFit="0" vertical="center" wrapText="0"/>
    </xf>
    <xf borderId="9" fillId="2" fontId="12" numFmtId="0" xfId="0" applyAlignment="1" applyBorder="1" applyFont="1">
      <alignment horizontal="center" shrinkToFit="0" vertical="center" wrapText="0"/>
    </xf>
    <xf borderId="9" fillId="2" fontId="11" numFmtId="0" xfId="0" applyAlignment="1" applyBorder="1" applyFont="1">
      <alignment horizontal="center" shrinkToFit="0" vertical="center" wrapText="0"/>
    </xf>
    <xf borderId="9" fillId="5" fontId="12" numFmtId="0" xfId="0" applyAlignment="1" applyBorder="1" applyFont="1">
      <alignment horizontal="center" shrinkToFit="0" vertical="center" wrapText="0"/>
    </xf>
    <xf borderId="9" fillId="5" fontId="11" numFmtId="0" xfId="0" applyAlignment="1" applyBorder="1" applyFont="1">
      <alignment horizontal="center" shrinkToFit="0" vertical="center" wrapText="0"/>
    </xf>
    <xf borderId="9" fillId="6" fontId="12" numFmtId="0" xfId="0" applyAlignment="1" applyBorder="1" applyFont="1">
      <alignment horizontal="center" shrinkToFit="0" vertical="center" wrapText="0"/>
    </xf>
    <xf borderId="10" fillId="2" fontId="12" numFmtId="0" xfId="0" applyAlignment="1" applyBorder="1" applyFont="1">
      <alignment horizontal="center" shrinkToFit="0" textRotation="135" vertical="center" wrapText="0"/>
    </xf>
    <xf borderId="11" fillId="0" fontId="3" numFmtId="0" xfId="0" applyBorder="1" applyFont="1"/>
    <xf borderId="0" fillId="0" fontId="13" numFmtId="0" xfId="0" applyAlignment="1" applyFont="1">
      <alignment horizontal="left" vertical="bottom"/>
    </xf>
    <xf borderId="0" fillId="3" fontId="14" numFmtId="0" xfId="0" applyAlignment="1" applyFont="1">
      <alignment horizontal="center" readingOrder="0"/>
    </xf>
    <xf borderId="0" fillId="0" fontId="15" numFmtId="0" xfId="0" applyAlignment="1" applyFont="1">
      <alignment horizontal="left" readingOrder="0" vertical="bottom"/>
    </xf>
    <xf borderId="0" fillId="0" fontId="13" numFmtId="0" xfId="0" applyAlignment="1" applyFont="1">
      <alignment horizontal="right"/>
    </xf>
    <xf borderId="0" fillId="0" fontId="16" numFmtId="0" xfId="0" applyAlignment="1" applyFont="1">
      <alignment horizontal="right" readingOrder="0"/>
    </xf>
    <xf borderId="12" fillId="4" fontId="17" numFmtId="0" xfId="0" applyAlignment="1" applyBorder="1" applyFont="1">
      <alignment horizontal="center" readingOrder="0"/>
    </xf>
    <xf borderId="13" fillId="0" fontId="3" numFmtId="0" xfId="0" applyBorder="1" applyFont="1"/>
    <xf borderId="14" fillId="0" fontId="3" numFmtId="0" xfId="0" applyBorder="1" applyFont="1"/>
    <xf borderId="0" fillId="0" fontId="16" numFmtId="0" xfId="0" applyAlignment="1" applyFont="1">
      <alignment horizontal="center" readingOrder="0"/>
    </xf>
    <xf borderId="0" fillId="0" fontId="13" numFmtId="0" xfId="0" applyAlignment="1" applyFont="1">
      <alignment horizontal="left"/>
    </xf>
    <xf borderId="0" fillId="0" fontId="15" numFmtId="0" xfId="0" applyAlignment="1" applyFont="1">
      <alignment horizontal="right" readingOrder="0" vertical="bottom"/>
    </xf>
    <xf borderId="0" fillId="0" fontId="18" numFmtId="0" xfId="0" applyAlignment="1" applyFont="1">
      <alignment horizontal="center" readingOrder="0"/>
    </xf>
    <xf borderId="0" fillId="5" fontId="18" numFmtId="0" xfId="0" applyAlignment="1" applyFont="1">
      <alignment horizontal="center" readingOrder="0"/>
    </xf>
    <xf borderId="0" fillId="5" fontId="19" numFmtId="0" xfId="0" applyAlignment="1" applyFont="1">
      <alignment horizontal="center" readingOrder="0"/>
    </xf>
    <xf borderId="0" fillId="5" fontId="20" numFmtId="0" xfId="0" applyAlignment="1" applyFont="1">
      <alignment horizontal="center"/>
    </xf>
    <xf borderId="0" fillId="0" fontId="20" numFmtId="0" xfId="0" applyAlignment="1" applyFont="1">
      <alignment horizontal="center"/>
    </xf>
    <xf borderId="0" fillId="6" fontId="21" numFmtId="0" xfId="0" applyAlignment="1" applyFont="1">
      <alignment horizontal="center" readingOrder="0"/>
    </xf>
    <xf borderId="13" fillId="2" fontId="22" numFmtId="0" xfId="0" applyAlignment="1" applyBorder="1" applyFont="1">
      <alignment horizontal="center" readingOrder="0"/>
    </xf>
    <xf borderId="13" fillId="2" fontId="23" numFmtId="0" xfId="0" applyAlignment="1" applyBorder="1" applyFont="1">
      <alignment horizontal="center" readingOrder="0"/>
    </xf>
    <xf borderId="13" fillId="5" fontId="22" numFmtId="0" xfId="0" applyAlignment="1" applyBorder="1" applyFont="1">
      <alignment horizontal="center" readingOrder="0"/>
    </xf>
    <xf borderId="13" fillId="5" fontId="23" numFmtId="0" xfId="0" applyAlignment="1" applyBorder="1" applyFont="1">
      <alignment horizontal="center" readingOrder="0"/>
    </xf>
    <xf borderId="13" fillId="5" fontId="24" numFmtId="0" xfId="0" applyAlignment="1" applyBorder="1" applyFont="1">
      <alignment horizontal="center"/>
    </xf>
    <xf borderId="13" fillId="2" fontId="24" numFmtId="0" xfId="0" applyAlignment="1" applyBorder="1" applyFont="1">
      <alignment horizontal="center"/>
    </xf>
    <xf borderId="13" fillId="6" fontId="22" numFmtId="0" xfId="0" applyAlignment="1" applyBorder="1" applyFont="1">
      <alignment horizontal="center" readingOrder="0"/>
    </xf>
    <xf borderId="0" fillId="3" fontId="25" numFmtId="0" xfId="0" applyAlignment="1" applyFont="1">
      <alignment horizontal="center" readingOrder="0"/>
    </xf>
    <xf borderId="0" fillId="0" fontId="20" numFmtId="0" xfId="0" applyAlignment="1" applyFont="1">
      <alignment horizontal="left" vertical="bottom"/>
    </xf>
    <xf borderId="0" fillId="0" fontId="26" numFmtId="0" xfId="0" applyAlignment="1" applyFont="1">
      <alignment horizontal="right" readingOrder="0" vertical="bottom"/>
    </xf>
    <xf borderId="15" fillId="4" fontId="20" numFmtId="0" xfId="0" applyAlignment="1" applyBorder="1" applyFont="1">
      <alignment horizontal="left"/>
    </xf>
    <xf borderId="0" fillId="0" fontId="26" numFmtId="0" xfId="0" applyAlignment="1" applyFont="1">
      <alignment horizontal="right" readingOrder="0"/>
    </xf>
    <xf borderId="15" fillId="4" fontId="27" numFmtId="0" xfId="0" applyAlignment="1" applyBorder="1" applyFont="1">
      <alignment horizontal="left" readingOrder="0"/>
    </xf>
    <xf borderId="0" fillId="0" fontId="26" numFmtId="0" xfId="0" applyAlignment="1" applyFont="1">
      <alignment horizontal="center" readingOrder="0" vertical="bottom"/>
    </xf>
    <xf borderId="16" fillId="3" fontId="28" numFmtId="0" xfId="0" applyAlignment="1" applyBorder="1" applyFont="1">
      <alignment horizontal="center" readingOrder="0"/>
    </xf>
    <xf borderId="0" fillId="0" fontId="26" numFmtId="0" xfId="0" applyAlignment="1" applyFont="1">
      <alignment horizontal="center" readingOrder="0"/>
    </xf>
    <xf borderId="17" fillId="0" fontId="3" numFmtId="0" xfId="0" applyBorder="1" applyFont="1"/>
    <xf borderId="16" fillId="0" fontId="26" numFmtId="0" xfId="0" applyAlignment="1" applyBorder="1" applyFont="1">
      <alignment horizontal="center" readingOrder="0"/>
    </xf>
    <xf borderId="0" fillId="0" fontId="29" numFmtId="0" xfId="0" applyAlignment="1" applyFont="1">
      <alignment horizontal="left" readingOrder="0"/>
    </xf>
    <xf borderId="0" fillId="0" fontId="30" numFmtId="0" xfId="0" applyAlignment="1" applyFont="1">
      <alignment horizontal="left" readingOrder="0"/>
    </xf>
    <xf borderId="0" fillId="0" fontId="31" numFmtId="0" xfId="0" applyAlignment="1" applyFont="1">
      <alignment horizontal="left" readingOrder="0"/>
    </xf>
    <xf borderId="18" fillId="7" fontId="32" numFmtId="0" xfId="0" applyAlignment="1" applyBorder="1" applyFill="1" applyFont="1">
      <alignment horizontal="center" shrinkToFit="0" vertical="center" wrapText="0"/>
    </xf>
    <xf borderId="19" fillId="0" fontId="3" numFmtId="0" xfId="0" applyBorder="1" applyFont="1"/>
    <xf borderId="20" fillId="0" fontId="3" numFmtId="0" xfId="0" applyBorder="1" applyFont="1"/>
    <xf borderId="21" fillId="7" fontId="33" numFmtId="0" xfId="0" applyAlignment="1" applyBorder="1" applyFont="1">
      <alignment horizontal="center" shrinkToFit="0" vertical="bottom" wrapText="0"/>
    </xf>
    <xf borderId="22" fillId="7" fontId="34" numFmtId="0" xfId="0" applyAlignment="1" applyBorder="1" applyFont="1">
      <alignment horizontal="center" shrinkToFit="0" vertical="bottom" wrapText="0"/>
    </xf>
    <xf borderId="23" fillId="7" fontId="33" numFmtId="0" xfId="0" applyAlignment="1" applyBorder="1" applyFont="1">
      <alignment horizontal="center" shrinkToFit="0" vertical="bottom" wrapText="0"/>
    </xf>
    <xf borderId="23" fillId="7" fontId="34" numFmtId="0" xfId="0" applyAlignment="1" applyBorder="1" applyFont="1">
      <alignment horizontal="center" shrinkToFit="0" vertical="bottom" wrapText="0"/>
    </xf>
    <xf borderId="24" fillId="0" fontId="1" numFmtId="0" xfId="0" applyAlignment="1" applyBorder="1" applyFont="1">
      <alignment horizontal="center" shrinkToFit="0" vertical="bottom" wrapText="0"/>
    </xf>
    <xf borderId="25" fillId="0" fontId="1" numFmtId="0" xfId="0" applyAlignment="1" applyBorder="1" applyFont="1">
      <alignment horizontal="center" shrinkToFit="0" vertical="bottom" wrapText="0"/>
    </xf>
    <xf borderId="26" fillId="0" fontId="1" numFmtId="0" xfId="0" applyAlignment="1" applyBorder="1" applyFont="1">
      <alignment horizontal="center" shrinkToFit="0" vertical="bottom" wrapText="0"/>
    </xf>
    <xf borderId="27" fillId="0" fontId="1" numFmtId="0" xfId="0" applyAlignment="1" applyBorder="1" applyFont="1">
      <alignment horizontal="center" shrinkToFit="0" vertical="bottom" wrapText="0"/>
    </xf>
    <xf borderId="28" fillId="0" fontId="1" numFmtId="0" xfId="0" applyAlignment="1" applyBorder="1" applyFont="1">
      <alignment horizontal="center" shrinkToFit="0" vertical="bottom" wrapText="0"/>
    </xf>
    <xf borderId="29" fillId="0" fontId="1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35" numFmtId="0" xfId="0" applyFont="1"/>
    <xf borderId="0" fillId="0" fontId="1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0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vertical="bottom"/>
    </xf>
    <xf borderId="0" fillId="0" fontId="36" numFmtId="0" xfId="0" applyAlignment="1" applyFont="1">
      <alignment shrinkToFit="0" vertical="bottom" wrapText="0"/>
    </xf>
    <xf borderId="0" fillId="0" fontId="37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38" numFmtId="0" xfId="0" applyAlignment="1" applyFont="1">
      <alignment readingOrder="0"/>
    </xf>
    <xf borderId="0" fillId="0" fontId="35" numFmtId="164" xfId="0" applyFont="1" applyNumberFormat="1"/>
    <xf borderId="0" fillId="0" fontId="32" numFmtId="0" xfId="0" applyAlignment="1" applyFont="1">
      <alignment readingOrder="0" shrinkToFit="0" vertical="bottom" wrapText="0"/>
    </xf>
    <xf borderId="0" fillId="0" fontId="32" numFmtId="164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  <xf borderId="0" fillId="0" fontId="32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14">
    <dxf>
      <font>
        <b/>
        <color rgb="FFC5000B"/>
      </font>
      <fill>
        <patternFill patternType="none"/>
      </fill>
      <border/>
    </dxf>
    <dxf>
      <font>
        <b/>
        <color rgb="FFFF6633"/>
      </font>
      <fill>
        <patternFill patternType="none"/>
      </fill>
      <border/>
    </dxf>
    <dxf>
      <font>
        <b/>
        <color rgb="FF0000FF"/>
        <name val="Arial"/>
      </font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C5000B"/>
      </font>
      <fill>
        <patternFill patternType="solid">
          <fgColor rgb="FFFCE8B2"/>
          <bgColor rgb="FFFCE8B2"/>
        </patternFill>
      </fill>
      <border/>
    </dxf>
    <dxf>
      <font>
        <b/>
        <color rgb="FFFF6633"/>
      </font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>
        <b/>
      </font>
      <fill>
        <patternFill patternType="none"/>
      </fill>
      <border/>
    </dxf>
    <dxf>
      <font>
        <b/>
      </font>
      <fill>
        <patternFill patternType="solid">
          <fgColor rgb="FFFCE8B2"/>
          <bgColor rgb="FFFCE8B2"/>
        </patternFill>
      </fill>
      <border/>
    </dxf>
    <dxf>
      <font>
        <b/>
        <color rgb="FFC53929"/>
      </font>
      <fill>
        <patternFill patternType="none"/>
      </fill>
      <border/>
    </dxf>
    <dxf>
      <font>
        <b/>
        <color rgb="FFF09300"/>
      </font>
      <fill>
        <patternFill patternType="none"/>
      </fill>
      <border/>
    </dxf>
    <dxf>
      <font>
        <b/>
        <color rgb="FFC5000B"/>
        <name val="Arial"/>
      </font>
      <fill>
        <patternFill patternType="none"/>
      </fill>
      <border/>
    </dxf>
    <dxf>
      <font>
        <b/>
        <color rgb="FFFF6633"/>
        <name val="Arial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0</xdr:colOff>
      <xdr:row>1</xdr:row>
      <xdr:rowOff>0</xdr:rowOff>
    </xdr:from>
    <xdr:ext cx="704850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afu8l1-NAAoaqPLQj5pRCisGkiAhI3gYs-aDZJ_Dj8Q/copy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2" width="16.14"/>
    <col customWidth="1" hidden="1" min="3" max="4" width="11.57"/>
    <col customWidth="1" min="5" max="5" width="16.14"/>
    <col customWidth="1" min="6" max="6" width="7.71"/>
    <col customWidth="1" min="7" max="8" width="14.86"/>
    <col customWidth="1" min="9" max="9" width="3.29"/>
    <col customWidth="1" min="10" max="10" width="14.86"/>
    <col customWidth="1" min="11" max="11" width="3.14"/>
    <col customWidth="1" min="12" max="12" width="14.86"/>
    <col customWidth="1" min="13" max="13" width="3.57"/>
    <col customWidth="1" min="14" max="14" width="14.86"/>
    <col customWidth="1" min="15" max="15" width="3.57"/>
    <col customWidth="1" min="16" max="16" width="10.57"/>
    <col customWidth="1" min="17" max="17" width="12.14"/>
    <col customWidth="1" min="18" max="19" width="13.14"/>
    <col customWidth="1" min="20" max="20" width="8.57"/>
    <col customWidth="1" min="21" max="25" width="5.14"/>
    <col customWidth="1" min="26" max="26" width="6.14"/>
  </cols>
  <sheetData>
    <row r="1" ht="15.75" customHeight="1">
      <c r="A1" s="1" t="str">
        <f>PROPER(H2)</f>
        <v>Auston</v>
      </c>
      <c r="B1" s="1"/>
      <c r="C1" s="1"/>
      <c r="D1" s="1"/>
      <c r="E1" s="2" t="s">
        <v>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5"/>
    </row>
    <row r="2" ht="29.25" customHeight="1">
      <c r="A2" s="6">
        <v>0.0</v>
      </c>
      <c r="B2" s="7" t="str">
        <f>'Tower Trainers'!K2006</f>
        <v>815,816,817,818,1837,1838,1861,1907,</v>
      </c>
      <c r="C2" s="7">
        <v>1.0</v>
      </c>
      <c r="D2" s="7"/>
      <c r="E2" s="8"/>
      <c r="F2" s="9" t="s">
        <v>1</v>
      </c>
      <c r="H2" s="10" t="s">
        <v>2</v>
      </c>
      <c r="I2" s="11" t="str">
        <f>"Number of teams: "&amp;'Tower Trainers'!K2005</f>
        <v>Number of teams: 8</v>
      </c>
      <c r="N2" s="12"/>
      <c r="O2" s="12"/>
      <c r="P2" s="12"/>
      <c r="R2" s="13" t="s">
        <v>3</v>
      </c>
      <c r="S2" s="12"/>
      <c r="T2" s="12"/>
      <c r="U2" s="12"/>
      <c r="V2" s="12"/>
      <c r="W2" s="12"/>
      <c r="X2" s="12"/>
      <c r="Y2" s="12"/>
      <c r="Z2" s="12"/>
    </row>
    <row r="3" ht="14.25" customHeight="1">
      <c r="A3" s="1">
        <f>IF(LEN(B$2),FIND(",",B$2),"")</f>
        <v>4</v>
      </c>
      <c r="B3" s="1">
        <v>1.0</v>
      </c>
      <c r="C3" s="1">
        <f>IF(LEN(A3),VALUE(MID(B$2,A2+1,A3-A2-1)),"")</f>
        <v>815</v>
      </c>
      <c r="D3" s="1" t="str">
        <f>IF(LEN(A3),VLOOKUP(C3,TowerTrainers,6),"")</f>
        <v>Singles Master</v>
      </c>
      <c r="E3" s="14" t="str">
        <f>IF(LEN(C3),"Team #"&amp;B3&amp;" - "&amp;D3&amp;" - "&amp;A4&amp; " "&amp;B4&amp;IF(C4=0,""," and "&amp;C4&amp;" "&amp;D4),"")</f>
        <v>Team #1 - Singles Master - PI Auston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6"/>
    </row>
    <row r="4" ht="14.25" customHeight="1">
      <c r="A4" s="7" t="str">
        <f>IF(LEN(C3),VLOOKUP(C3,TowerTrainers,3,0),"")</f>
        <v>PI</v>
      </c>
      <c r="B4" s="17" t="str">
        <f>IF(LEN(C3),VLOOKUP(C3,TowerTrainers,2,0),"")</f>
        <v>Auston</v>
      </c>
      <c r="C4" s="17" t="str">
        <f>IF(LEN(C3),VLOOKUP(C3,TowerTrainers,5,0),"")</f>
        <v/>
      </c>
      <c r="D4" s="17" t="str">
        <f>IF(LEN(C3),VLOOKUP(C3,TowerTrainers,4),"")</f>
        <v/>
      </c>
      <c r="E4" s="18" t="str">
        <f>IF(LEN(E3),"Set","")</f>
        <v>Set</v>
      </c>
      <c r="F4" s="18" t="str">
        <f>IF(LEN(E3),"Type","")</f>
        <v>Type</v>
      </c>
      <c r="G4" s="18" t="str">
        <f>IF(LEN(E3),"Item","")</f>
        <v>Item</v>
      </c>
      <c r="H4" s="19" t="str">
        <f>IF(LEN(E3),"Move 1","")</f>
        <v>Move 1</v>
      </c>
      <c r="I4" s="20" t="str">
        <f>IF(LEN(E3),"PP","")</f>
        <v>PP</v>
      </c>
      <c r="J4" s="19" t="str">
        <f>IF(LEN(E3),"Move 2","")</f>
        <v>Move 2</v>
      </c>
      <c r="K4" s="19"/>
      <c r="L4" s="19" t="str">
        <f>IF(LEN(E3),"Move 3","")</f>
        <v>Move 3</v>
      </c>
      <c r="M4" s="19"/>
      <c r="N4" s="19" t="str">
        <f>IF(LEN(E3),"Move 4","")</f>
        <v>Move 4</v>
      </c>
      <c r="O4" s="19"/>
      <c r="P4" s="18" t="str">
        <f>IF(LEN(E3),"Nature","")</f>
        <v>Nature</v>
      </c>
      <c r="Q4" s="18" t="str">
        <f>IF(LEN(E3),"Ability","")</f>
        <v>Ability</v>
      </c>
      <c r="R4" s="18" t="str">
        <f>IF(LEN(E3),"EV – (H/A/B/C/D/S) – IV","")</f>
        <v>EV – (H/A/B/C/D/S) – IV</v>
      </c>
      <c r="T4" s="21" t="str">
        <f>IF(LEN(E3),"Speed","")</f>
        <v>Speed</v>
      </c>
      <c r="U4" s="18" t="str">
        <f>IF(LEN(E3),"HP","")</f>
        <v>HP</v>
      </c>
      <c r="V4" s="18" t="str">
        <f>IF(LEN(E3),"Atk","")</f>
        <v>Atk</v>
      </c>
      <c r="W4" s="18" t="str">
        <f>IF(LEN(E3),"Def","")</f>
        <v>Def</v>
      </c>
      <c r="X4" s="18" t="str">
        <f>IF(LEN(E3),"SpA","")</f>
        <v>SpA</v>
      </c>
      <c r="Y4" s="18" t="str">
        <f>IF(LEN(E3),"SpD","")</f>
        <v>SpD</v>
      </c>
      <c r="Z4" s="18"/>
    </row>
    <row r="5" ht="14.25" customHeight="1">
      <c r="A5" s="6" t="str">
        <f>IF(A4="","",IF(VLOOKUP(C3,TowerTrainers,7,0)=0,"",VLOOKUP(C3,TowerTrainers,7,0)))</f>
        <v>Nidoking-3</v>
      </c>
      <c r="B5" s="22">
        <f>IF(LEN(A5),VLOOKUP(A5,TowerPool,34,0),"")</f>
        <v>3</v>
      </c>
      <c r="C5" s="1"/>
      <c r="D5" s="23"/>
      <c r="E5" s="24" t="str">
        <f t="shared" ref="E5:E8" si="1">IF(LEN(A5),A5,"")</f>
        <v>Nidoking-3</v>
      </c>
      <c r="F5" s="25" t="str">
        <f>IF(LEN(A5),VLOOKUP(A5,TowerPool,33,0),"")</f>
        <v>PSN/GRD</v>
      </c>
      <c r="G5" s="24" t="str">
        <f>IF(LEN(A5),VLOOKUP(A5,TowerPool,4,0),"")</f>
        <v>Expert Belt</v>
      </c>
      <c r="H5" s="26" t="str">
        <f>IF(LEN(A5),VLOOKUP(A5,TowerPool,5,0),"")</f>
        <v>Earth Power</v>
      </c>
      <c r="I5" s="27">
        <f>IF(LEN(A5),VLOOKUP(H5,MoveData,8,0)*8/5," ")</f>
        <v>16</v>
      </c>
      <c r="J5" s="26" t="str">
        <f>IF(LEN(A5),VLOOKUP(A5,TowerPool,6,0),"")</f>
        <v>Sludge Bomb</v>
      </c>
      <c r="K5" s="27">
        <f>IF(LEN(A5),VLOOKUP(J5,MoveData,8,0)*8/5," ")</f>
        <v>16</v>
      </c>
      <c r="L5" s="26" t="str">
        <f>IF(LEN(A5),VLOOKUP(A5,TowerPool,7,0),"")</f>
        <v>Ice Beam</v>
      </c>
      <c r="M5" s="27">
        <f>IF(LEN(A5),VLOOKUP(L5,MoveData,8,0)*8/5," ")</f>
        <v>16</v>
      </c>
      <c r="N5" s="26" t="str">
        <f>IF(LEN(A5),VLOOKUP(A5,TowerPool,8,0),"")</f>
        <v>Shadow Ball</v>
      </c>
      <c r="O5" s="27">
        <f>IF(LEN(A5),VLOOKUP(N5,MoveData,8,0)*8/5," ")</f>
        <v>24</v>
      </c>
      <c r="P5" s="24" t="str">
        <f>IF(LEN(A5),VLOOKUP(A5,TowerPool,3,0),"")</f>
        <v>Modest</v>
      </c>
      <c r="Q5" s="24" t="str">
        <f>IF(LEN(A5),VLOOKUP(A5,TowerPool,9,0),"")</f>
        <v>Poison Point</v>
      </c>
      <c r="R5" s="25" t="str">
        <f>IF(LEN(A5),TEXTJOIN("/",0,VLOOKUP(A5,TowerPool,16,0),VLOOKUP(A5,TowerPool,17,0),VLOOKUP(A5,TowerPool,18,0),VLOOKUP(A5,TowerPool,19,0),VLOOKUP(A5,TowerPool,20,0),VLOOKUP(A5,TowerPool,21,0)),"")</f>
        <v>252/0/0/252/0/4</v>
      </c>
      <c r="S5" s="25" t="str">
        <f>IF(LEN(A5),TEXTJOIN("/",0,VLOOKUP(A5,TowerPool,10,0),VLOOKUP(A5,TowerPool,11,0),VLOOKUP(A5,TowerPool,12,0),VLOOKUP(A5,TowerPool,13,0),VLOOKUP(A5,TowerPool,14,0),VLOOKUP(A5,TowerPool,15,0)),"")</f>
        <v>31/31/31/31/31/31</v>
      </c>
      <c r="T5" s="28">
        <f>IF(LEN(A5),VLOOKUP(A5,TowerPool,32,0),"")</f>
        <v>106</v>
      </c>
      <c r="U5" s="24">
        <f>IF(LEN(A5),VLOOKUP(A5,TowerPool,27,0),"")</f>
        <v>188</v>
      </c>
      <c r="V5" s="24">
        <f>IF(LEN(A5),VLOOKUP(A5,TowerPool,28,0),"")</f>
        <v>109</v>
      </c>
      <c r="W5" s="24">
        <f>IF(LEN(A5),VLOOKUP(A5,TowerPool,29,0),"")</f>
        <v>97</v>
      </c>
      <c r="X5" s="24">
        <f>IF(LEN(A5),VLOOKUP(A5,TowerPool,30,0),"")</f>
        <v>150</v>
      </c>
      <c r="Y5" s="24">
        <f>IF(LEN(A5),VLOOKUP(A5,TowerPool,31,0),"")</f>
        <v>95</v>
      </c>
      <c r="Z5" s="29" t="str">
        <f>IF(LEFT(D3,9)="Doubles M",B4,"")</f>
        <v/>
      </c>
    </row>
    <row r="6" ht="14.25" customHeight="1">
      <c r="A6" s="1" t="str">
        <f>IF(A4="","",IF(VLOOKUP(C3,TowerTrainers,8,0)=0,"",VLOOKUP(C3,TowerTrainers,8,0)))</f>
        <v>Slowbro-3</v>
      </c>
      <c r="B6" s="22">
        <f>IF(LEN(A6),VLOOKUP(A6,TowerPool,34,0),"")</f>
        <v>3</v>
      </c>
      <c r="C6" s="1"/>
      <c r="D6" s="23"/>
      <c r="E6" s="24" t="str">
        <f t="shared" si="1"/>
        <v>Slowbro-3</v>
      </c>
      <c r="F6" s="25" t="str">
        <f>IF(LEN(A6),VLOOKUP(A6,TowerPool,33,0),"")</f>
        <v>WTR/PSY</v>
      </c>
      <c r="G6" s="24" t="str">
        <f>IF(LEN(A6),VLOOKUP(A6,TowerPool,4,0),"")</f>
        <v>Quick Claw</v>
      </c>
      <c r="H6" s="26" t="str">
        <f>IF(LEN(A6),VLOOKUP(A6,TowerPool,5,0),"")</f>
        <v>Calm Mind</v>
      </c>
      <c r="I6" s="27">
        <f>IF(LEN(A6),VLOOKUP(H6,MoveData,8,0)*8/5," ")</f>
        <v>32</v>
      </c>
      <c r="J6" s="26" t="str">
        <f>IF(LEN(A6),VLOOKUP(A6,TowerPool,6,0),"")</f>
        <v>Psychic</v>
      </c>
      <c r="K6" s="27">
        <f>IF(LEN(A6),VLOOKUP(J6,MoveData,8,0)*8/5," ")</f>
        <v>16</v>
      </c>
      <c r="L6" s="26" t="str">
        <f>IF(LEN(A6),VLOOKUP(A6,TowerPool,7,0),"")</f>
        <v>Shadow Ball</v>
      </c>
      <c r="M6" s="27">
        <f>IF(LEN(A6),VLOOKUP(L6,MoveData,8,0)*8/5," ")</f>
        <v>24</v>
      </c>
      <c r="N6" s="26" t="str">
        <f>IF(LEN(A6),VLOOKUP(A6,TowerPool,8,0),"")</f>
        <v>Flamethrower</v>
      </c>
      <c r="O6" s="27">
        <f>IF(LEN(A6),VLOOKUP(N6,MoveData,8,0)*8/5," ")</f>
        <v>24</v>
      </c>
      <c r="P6" s="24" t="str">
        <f>IF(LEN(A6),VLOOKUP(A6,TowerPool,3,0),"")</f>
        <v>Modest</v>
      </c>
      <c r="Q6" s="24" t="str">
        <f>IF(LEN(A6),VLOOKUP(A6,TowerPool,9,0),"")</f>
        <v>Regenerator</v>
      </c>
      <c r="R6" s="25" t="str">
        <f>IF(LEN(A6),TEXTJOIN("/",0,VLOOKUP(A6,TowerPool,16,0),VLOOKUP(A6,TowerPool,17,0),VLOOKUP(A6,TowerPool,18,0),VLOOKUP(A6,TowerPool,19,0),VLOOKUP(A6,TowerPool,20,0),VLOOKUP(A6,TowerPool,21,0)),"")</f>
        <v>252/0/4/252/0/0</v>
      </c>
      <c r="S6" s="25" t="str">
        <f>IF(LEN(A6),TEXTJOIN("/",0,VLOOKUP(A6,TowerPool,10,0),VLOOKUP(A6,TowerPool,11,0),VLOOKUP(A6,TowerPool,12,0),VLOOKUP(A6,TowerPool,13,0),VLOOKUP(A6,TowerPool,14,0),VLOOKUP(A6,TowerPool,15,0)),"")</f>
        <v>31/31/31/31/31/31</v>
      </c>
      <c r="T6" s="28">
        <f>IF(LEN(A6),VLOOKUP(A6,TowerPool,32,0),"")</f>
        <v>50</v>
      </c>
      <c r="U6" s="24">
        <f>IF(LEN(A6),VLOOKUP(A6,TowerPool,27,0),"")</f>
        <v>202</v>
      </c>
      <c r="V6" s="24">
        <f>IF(LEN(A6),VLOOKUP(A6,TowerPool,28,0),"")</f>
        <v>85</v>
      </c>
      <c r="W6" s="24">
        <f>IF(LEN(A6),VLOOKUP(A6,TowerPool,29,0),"")</f>
        <v>131</v>
      </c>
      <c r="X6" s="24">
        <f>IF(LEN(A6),VLOOKUP(A6,TowerPool,30,0),"")</f>
        <v>167</v>
      </c>
      <c r="Y6" s="24">
        <f>IF(LEN(A6),VLOOKUP(A6,TowerPool,31,0),"")</f>
        <v>100</v>
      </c>
      <c r="Z6" s="30"/>
    </row>
    <row r="7" ht="14.25" customHeight="1">
      <c r="A7" s="1" t="str">
        <f>IF(A4="","",IF(VLOOKUP(C3,TowerTrainers,9,0)=0,"",VLOOKUP(C3,TowerTrainers,9,0)))</f>
        <v>Moltres-2</v>
      </c>
      <c r="B7" s="22">
        <f>IF(LEN(A7),VLOOKUP(A7,TowerPool,34,0),"")</f>
        <v>3</v>
      </c>
      <c r="C7" s="1"/>
      <c r="D7" s="23"/>
      <c r="E7" s="24" t="str">
        <f t="shared" si="1"/>
        <v>Moltres-2</v>
      </c>
      <c r="F7" s="25" t="str">
        <f>IF(LEN(A7),VLOOKUP(A7,TowerPool,33,0),"")</f>
        <v>FIR/FLY</v>
      </c>
      <c r="G7" s="24" t="str">
        <f>IF(LEN(A7),VLOOKUP(A7,TowerPool,4,0),"")</f>
        <v>King's Rock</v>
      </c>
      <c r="H7" s="26" t="str">
        <f>IF(LEN(A7),VLOOKUP(A7,TowerPool,5,0),"")</f>
        <v>Air Slash</v>
      </c>
      <c r="I7" s="27">
        <f>IF(LEN(A7),VLOOKUP(H7,MoveData,8,0)*8/5," ")</f>
        <v>24</v>
      </c>
      <c r="J7" s="26" t="str">
        <f>IF(LEN(A7),VLOOKUP(A7,TowerPool,6,0),"")</f>
        <v>Agility</v>
      </c>
      <c r="K7" s="27">
        <f>IF(LEN(A7),VLOOKUP(J7,MoveData,8,0)*8/5," ")</f>
        <v>48</v>
      </c>
      <c r="L7" s="26" t="str">
        <f>IF(LEN(A7),VLOOKUP(A7,TowerPool,7,0),"")</f>
        <v>Heat Wave</v>
      </c>
      <c r="M7" s="27">
        <f>IF(LEN(A7),VLOOKUP(L7,MoveData,8,0)*8/5," ")</f>
        <v>16</v>
      </c>
      <c r="N7" s="26" t="str">
        <f>IF(LEN(A7),VLOOKUP(A7,TowerPool,8,0),"")</f>
        <v>Will-O-Wisp</v>
      </c>
      <c r="O7" s="27">
        <f>IF(LEN(A7),VLOOKUP(N7,MoveData,8,0)*8/5," ")</f>
        <v>24</v>
      </c>
      <c r="P7" s="24" t="str">
        <f>IF(LEN(A7),VLOOKUP(A7,TowerPool,3,0),"")</f>
        <v>Timid</v>
      </c>
      <c r="Q7" s="24" t="str">
        <f>IF(LEN(A7),VLOOKUP(A7,TowerPool,9,0),"")</f>
        <v>Flame Body</v>
      </c>
      <c r="R7" s="25" t="str">
        <f>IF(LEN(A7),TEXTJOIN("/",0,VLOOKUP(A7,TowerPool,16,0),VLOOKUP(A7,TowerPool,17,0),VLOOKUP(A7,TowerPool,18,0),VLOOKUP(A7,TowerPool,19,0),VLOOKUP(A7,TowerPool,20,0),VLOOKUP(A7,TowerPool,21,0)),"")</f>
        <v>4/0/0/252/0/252</v>
      </c>
      <c r="S7" s="25" t="str">
        <f>IF(LEN(A7),TEXTJOIN("/",0,VLOOKUP(A7,TowerPool,10,0),VLOOKUP(A7,TowerPool,11,0),VLOOKUP(A7,TowerPool,12,0),VLOOKUP(A7,TowerPool,13,0),VLOOKUP(A7,TowerPool,14,0),VLOOKUP(A7,TowerPool,15,0)),"")</f>
        <v>31/31/31/31/31/31</v>
      </c>
      <c r="T7" s="28">
        <f>IF(LEN(A7),VLOOKUP(A7,TowerPool,32,0),"")</f>
        <v>156</v>
      </c>
      <c r="U7" s="24">
        <f>IF(LEN(A7),VLOOKUP(A7,TowerPool,27,0),"")</f>
        <v>166</v>
      </c>
      <c r="V7" s="24">
        <f>IF(LEN(A7),VLOOKUP(A7,TowerPool,28,0),"")</f>
        <v>108</v>
      </c>
      <c r="W7" s="24">
        <f>IF(LEN(A7),VLOOKUP(A7,TowerPool,29,0),"")</f>
        <v>110</v>
      </c>
      <c r="X7" s="24">
        <f>IF(LEN(A7),VLOOKUP(A7,TowerPool,30,0),"")</f>
        <v>177</v>
      </c>
      <c r="Y7" s="24">
        <f>IF(LEN(A7),VLOOKUP(A7,TowerPool,31,0),"")</f>
        <v>105</v>
      </c>
      <c r="Z7" s="29" t="str">
        <f>IF(LEFT(D3,9)="Doubles M",D4,"")</f>
        <v/>
      </c>
    </row>
    <row r="8" ht="14.25" customHeight="1">
      <c r="A8" s="1" t="str">
        <f>IF(A4="","",IF(VLOOKUP(C3,TowerTrainers,10,0)=0,"",VLOOKUP(C3,TowerTrainers,10,0)))</f>
        <v/>
      </c>
      <c r="B8" s="22" t="str">
        <f>IF(LEN(A8),VLOOKUP(A8,TowerPool,34,0),"")</f>
        <v/>
      </c>
      <c r="C8" s="1"/>
      <c r="D8" s="23"/>
      <c r="E8" s="24" t="str">
        <f t="shared" si="1"/>
        <v/>
      </c>
      <c r="F8" s="25" t="str">
        <f>IF(LEN(A8),VLOOKUP(A8,TowerPool,33,0),"")</f>
        <v/>
      </c>
      <c r="G8" s="24" t="str">
        <f>IF(LEN(A8),VLOOKUP(A8,TowerPool,4,0),"")</f>
        <v/>
      </c>
      <c r="H8" s="26" t="str">
        <f>IF(LEN(A8),VLOOKUP(A8,TowerPool,5,0),"")</f>
        <v/>
      </c>
      <c r="I8" s="27" t="str">
        <f>IF(LEN(A8),VLOOKUP(H8,MoveData,8,0)*8/5," ")</f>
        <v> </v>
      </c>
      <c r="J8" s="26" t="str">
        <f>IF(LEN(A8),VLOOKUP(A8,TowerPool,6,0),"")</f>
        <v/>
      </c>
      <c r="K8" s="27" t="str">
        <f>IF(LEN(A8),VLOOKUP(J8,MoveData,8,0)*8/5," ")</f>
        <v> </v>
      </c>
      <c r="L8" s="26" t="str">
        <f>IF(LEN(A8),VLOOKUP(A8,TowerPool,7,0),"")</f>
        <v/>
      </c>
      <c r="M8" s="27" t="str">
        <f>IF(LEN(A8),VLOOKUP(L8,MoveData,8,0)*8/5," ")</f>
        <v> </v>
      </c>
      <c r="N8" s="26" t="str">
        <f>IF(LEN(A8),VLOOKUP(A8,TowerPool,8,0),"")</f>
        <v/>
      </c>
      <c r="O8" s="27" t="str">
        <f>IF(LEN(A8),VLOOKUP(N8,MoveData,8,0)*8/5," ")</f>
        <v> </v>
      </c>
      <c r="P8" s="24" t="str">
        <f>IF(LEN(A8),VLOOKUP(A8,TowerPool,3,0),"")</f>
        <v/>
      </c>
      <c r="Q8" s="24" t="str">
        <f>IF(LEN(A8),VLOOKUP(A8,TowerPool,9,0),"")</f>
        <v/>
      </c>
      <c r="R8" s="25" t="str">
        <f>IF(LEN(A8),TEXTJOIN("/",0,VLOOKUP(A8,TowerPool,16,0),VLOOKUP(A8,TowerPool,17,0),VLOOKUP(A8,TowerPool,18,0),VLOOKUP(A8,TowerPool,19,0),VLOOKUP(A8,TowerPool,20,0),VLOOKUP(A8,TowerPool,21,0)),"")</f>
        <v/>
      </c>
      <c r="S8" s="25" t="str">
        <f>IF(LEN(A8),TEXTJOIN("/",0,VLOOKUP(A8,TowerPool,10,0),VLOOKUP(A8,TowerPool,11,0),VLOOKUP(A8,TowerPool,12,0),VLOOKUP(A8,TowerPool,13,0),VLOOKUP(A8,TowerPool,14,0),VLOOKUP(A8,TowerPool,15,0)),"")</f>
        <v/>
      </c>
      <c r="T8" s="28" t="str">
        <f>IF(LEN(A8),VLOOKUP(A8,TowerPool,32,0),"")</f>
        <v/>
      </c>
      <c r="U8" s="24" t="str">
        <f>IF(LEN(A8),VLOOKUP(A8,TowerPool,27,0),"")</f>
        <v/>
      </c>
      <c r="V8" s="24" t="str">
        <f>IF(LEN(A8),VLOOKUP(A8,TowerPool,28,0),"")</f>
        <v/>
      </c>
      <c r="W8" s="24" t="str">
        <f>IF(LEN(A8),VLOOKUP(A8,TowerPool,29,0),"")</f>
        <v/>
      </c>
      <c r="X8" s="24" t="str">
        <f>IF(LEN(A8),VLOOKUP(A8,TowerPool,30,0),"")</f>
        <v/>
      </c>
      <c r="Y8" s="24" t="str">
        <f>IF(LEN(A8),VLOOKUP(A8,TowerPool,31,0),"")</f>
        <v/>
      </c>
      <c r="Z8" s="30"/>
    </row>
    <row r="9" ht="14.25" customHeight="1">
      <c r="A9" s="1">
        <f>IF(A3="","",IFERROR(FIND(",",B$2,A3+1),""))</f>
        <v>8</v>
      </c>
      <c r="B9" s="1">
        <f>B3+1</f>
        <v>2</v>
      </c>
      <c r="C9" s="1">
        <f>IF(LEN(A9),VALUE(MID(B$2,A3+1,A9-A3-1)),"")</f>
        <v>816</v>
      </c>
      <c r="D9" s="1" t="str">
        <f>IF(LEN(A9),VLOOKUP(C9,TowerTrainers,6),"")</f>
        <v>Singles Master</v>
      </c>
      <c r="E9" s="14" t="str">
        <f>IF(LEN(C9),"Team #"&amp;B9&amp;" - "&amp;D9&amp;" - "&amp;A10&amp; " "&amp;B10&amp;IF(C10=0,""," and "&amp;C10&amp;" "&amp;D10),"")</f>
        <v>Team #2 - Singles Master - PI Auston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6"/>
    </row>
    <row r="10" ht="14.25" customHeight="1">
      <c r="A10" s="7" t="str">
        <f>IF(LEN(C9),VLOOKUP(C9,TowerTrainers,3,0),"")</f>
        <v>PI</v>
      </c>
      <c r="B10" s="17" t="str">
        <f>IF(LEN(C9),VLOOKUP(C9,TowerTrainers,2,0),"")</f>
        <v>Auston</v>
      </c>
      <c r="C10" s="17" t="str">
        <f>IF(LEN(C9),VLOOKUP(C9,TowerTrainers,5,0),"")</f>
        <v/>
      </c>
      <c r="D10" s="17" t="str">
        <f>IF(LEN(C9),VLOOKUP(C9,TowerTrainers,4),"")</f>
        <v/>
      </c>
      <c r="E10" s="18" t="str">
        <f>IF(LEN(E9),"Set","")</f>
        <v>Set</v>
      </c>
      <c r="F10" s="18" t="str">
        <f>IF(LEN(E9),"Type","")</f>
        <v>Type</v>
      </c>
      <c r="G10" s="18" t="str">
        <f>IF(LEN(E9),"Item","")</f>
        <v>Item</v>
      </c>
      <c r="H10" s="19" t="str">
        <f>IF(LEN(E9),"Move 1","")</f>
        <v>Move 1</v>
      </c>
      <c r="I10" s="20" t="str">
        <f>IF(LEN(E9),"PP","")</f>
        <v>PP</v>
      </c>
      <c r="J10" s="19" t="str">
        <f>IF(LEN(E9),"Move 2","")</f>
        <v>Move 2</v>
      </c>
      <c r="K10" s="19"/>
      <c r="L10" s="19" t="str">
        <f>IF(LEN(E9),"Move 3","")</f>
        <v>Move 3</v>
      </c>
      <c r="M10" s="19"/>
      <c r="N10" s="19" t="str">
        <f>IF(LEN(E9),"Move 4","")</f>
        <v>Move 4</v>
      </c>
      <c r="O10" s="19"/>
      <c r="P10" s="18" t="str">
        <f>IF(LEN(E9),"Nature","")</f>
        <v>Nature</v>
      </c>
      <c r="Q10" s="18" t="str">
        <f>IF(LEN(E9),"Ability","")</f>
        <v>Ability</v>
      </c>
      <c r="R10" s="18" t="str">
        <f>IF(LEN(E9),"EV – (H/A/B/C/D/S) – IV","")</f>
        <v>EV – (H/A/B/C/D/S) – IV</v>
      </c>
      <c r="T10" s="21" t="str">
        <f>IF(LEN(E9),"Speed","")</f>
        <v>Speed</v>
      </c>
      <c r="U10" s="18" t="str">
        <f>IF(LEN(E9),"HP","")</f>
        <v>HP</v>
      </c>
      <c r="V10" s="18" t="str">
        <f>IF(LEN(E9),"Atk","")</f>
        <v>Atk</v>
      </c>
      <c r="W10" s="18" t="str">
        <f>IF(LEN(E9),"Def","")</f>
        <v>Def</v>
      </c>
      <c r="X10" s="18" t="str">
        <f>IF(LEN(E9),"SpA","")</f>
        <v>SpA</v>
      </c>
      <c r="Y10" s="18" t="str">
        <f>IF(LEN(E9),"SpD","")</f>
        <v>SpD</v>
      </c>
      <c r="Z10" s="18"/>
    </row>
    <row r="11" ht="14.25" customHeight="1">
      <c r="A11" s="6" t="str">
        <f>IF(A10="","",IF(VLOOKUP(C9,TowerTrainers,7,0)=0,"",VLOOKUP(C9,TowerTrainers,7,0)))</f>
        <v>Rhyperior-3</v>
      </c>
      <c r="B11" s="22">
        <f>IF(LEN(A11),VLOOKUP(A11,TowerPool,34,0),"")</f>
        <v>3</v>
      </c>
      <c r="C11" s="1"/>
      <c r="D11" s="23"/>
      <c r="E11" s="24" t="str">
        <f t="shared" ref="E11:E14" si="2">IF(LEN(A11),A11,"")</f>
        <v>Rhyperior-3</v>
      </c>
      <c r="F11" s="25" t="str">
        <f>IF(LEN(A11),VLOOKUP(A11,TowerPool,33,0),"")</f>
        <v>GRD/RCK</v>
      </c>
      <c r="G11" s="24" t="str">
        <f>IF(LEN(A11),VLOOKUP(A11,TowerPool,4,0),"")</f>
        <v>Zoom Lens</v>
      </c>
      <c r="H11" s="26" t="str">
        <f>IF(LEN(A11),VLOOKUP(A11,TowerPool,5,0),"")</f>
        <v>Stone Edge</v>
      </c>
      <c r="I11" s="27">
        <f>IF(LEN(A11),VLOOKUP(H11,MoveData,8,0)*8/5," ")</f>
        <v>8</v>
      </c>
      <c r="J11" s="26" t="str">
        <f>IF(LEN(A11),VLOOKUP(A11,TowerPool,6,0),"")</f>
        <v>Megahorn</v>
      </c>
      <c r="K11" s="27">
        <f>IF(LEN(A11),VLOOKUP(J11,MoveData,8,0)*8/5," ")</f>
        <v>16</v>
      </c>
      <c r="L11" s="26" t="str">
        <f>IF(LEN(A11),VLOOKUP(A11,TowerPool,7,0),"")</f>
        <v>Dragon Rush</v>
      </c>
      <c r="M11" s="27">
        <f>IF(LEN(A11),VLOOKUP(L11,MoveData,8,0)*8/5," ")</f>
        <v>16</v>
      </c>
      <c r="N11" s="26" t="str">
        <f>IF(LEN(A11),VLOOKUP(A11,TowerPool,8,0),"")</f>
        <v>Avalanche</v>
      </c>
      <c r="O11" s="27">
        <f>IF(LEN(A11),VLOOKUP(N11,MoveData,8,0)*8/5," ")</f>
        <v>16</v>
      </c>
      <c r="P11" s="24" t="str">
        <f>IF(LEN(A11),VLOOKUP(A11,TowerPool,3,0),"")</f>
        <v>Impish</v>
      </c>
      <c r="Q11" s="24" t="str">
        <f>IF(LEN(A11),VLOOKUP(A11,TowerPool,9,0),"")</f>
        <v>Solid Rock</v>
      </c>
      <c r="R11" s="25" t="str">
        <f>IF(LEN(A11),TEXTJOIN("/",0,VLOOKUP(A11,TowerPool,16,0),VLOOKUP(A11,TowerPool,17,0),VLOOKUP(A11,TowerPool,18,0),VLOOKUP(A11,TowerPool,19,0),VLOOKUP(A11,TowerPool,20,0),VLOOKUP(A11,TowerPool,21,0)),"")</f>
        <v>252/4/252/0/0/0</v>
      </c>
      <c r="S11" s="25" t="str">
        <f>IF(LEN(A11),TEXTJOIN("/",0,VLOOKUP(A11,TowerPool,10,0),VLOOKUP(A11,TowerPool,11,0),VLOOKUP(A11,TowerPool,12,0),VLOOKUP(A11,TowerPool,13,0),VLOOKUP(A11,TowerPool,14,0),VLOOKUP(A11,TowerPool,15,0)),"")</f>
        <v>31/31/31/0/31/31</v>
      </c>
      <c r="T11" s="28">
        <f>IF(LEN(A11),VLOOKUP(A11,TowerPool,32,0),"")</f>
        <v>60</v>
      </c>
      <c r="U11" s="24">
        <f>IF(LEN(A11),VLOOKUP(A11,TowerPool,27,0),"")</f>
        <v>222</v>
      </c>
      <c r="V11" s="24">
        <f>IF(LEN(A11),VLOOKUP(A11,TowerPool,28,0),"")</f>
        <v>161</v>
      </c>
      <c r="W11" s="24">
        <f>IF(LEN(A11),VLOOKUP(A11,TowerPool,29,0),"")</f>
        <v>200</v>
      </c>
      <c r="X11" s="24">
        <f>IF(LEN(A11),VLOOKUP(A11,TowerPool,30,0),"")</f>
        <v>54</v>
      </c>
      <c r="Y11" s="24">
        <f>IF(LEN(A11),VLOOKUP(A11,TowerPool,31,0),"")</f>
        <v>75</v>
      </c>
      <c r="Z11" s="29" t="str">
        <f>IF(LEFT(D9,9)="Doubles M",B10,"")</f>
        <v/>
      </c>
    </row>
    <row r="12" ht="14.25" customHeight="1">
      <c r="A12" s="1" t="str">
        <f>IF(A10="","",IF(VLOOKUP(C9,TowerTrainers,8,0)=0,"",VLOOKUP(C9,TowerTrainers,8,0)))</f>
        <v>Medicham-2</v>
      </c>
      <c r="B12" s="22">
        <f>IF(LEN(A12),VLOOKUP(A12,TowerPool,34,0),"")</f>
        <v>3</v>
      </c>
      <c r="C12" s="1"/>
      <c r="D12" s="23"/>
      <c r="E12" s="24" t="str">
        <f t="shared" si="2"/>
        <v>Medicham-2</v>
      </c>
      <c r="F12" s="25" t="str">
        <f>IF(LEN(A12),VLOOKUP(A12,TowerPool,33,0),"")</f>
        <v>FTG/PSY</v>
      </c>
      <c r="G12" s="24" t="str">
        <f>IF(LEN(A12),VLOOKUP(A12,TowerPool,4,0),"")</f>
        <v>Salac Berry</v>
      </c>
      <c r="H12" s="26" t="str">
        <f>IF(LEN(A12),VLOOKUP(A12,TowerPool,5,0),"")</f>
        <v>Endure</v>
      </c>
      <c r="I12" s="27">
        <f>IF(LEN(A12),VLOOKUP(H12,MoveData,8,0)*8/5," ")</f>
        <v>16</v>
      </c>
      <c r="J12" s="26" t="str">
        <f>IF(LEN(A12),VLOOKUP(A12,TowerPool,6,0),"")</f>
        <v>Reversal</v>
      </c>
      <c r="K12" s="27">
        <f>IF(LEN(A12),VLOOKUP(J12,MoveData,8,0)*8/5," ")</f>
        <v>24</v>
      </c>
      <c r="L12" s="26" t="str">
        <f>IF(LEN(A12),VLOOKUP(A12,TowerPool,7,0),"")</f>
        <v>Psycho Cut</v>
      </c>
      <c r="M12" s="27">
        <f>IF(LEN(A12),VLOOKUP(L12,MoveData,8,0)*8/5," ")</f>
        <v>32</v>
      </c>
      <c r="N12" s="26" t="str">
        <f>IF(LEN(A12),VLOOKUP(A12,TowerPool,8,0),"")</f>
        <v>Thunder Punch</v>
      </c>
      <c r="O12" s="27">
        <f>IF(LEN(A12),VLOOKUP(N12,MoveData,8,0)*8/5," ")</f>
        <v>24</v>
      </c>
      <c r="P12" s="24" t="str">
        <f>IF(LEN(A12),VLOOKUP(A12,TowerPool,3,0),"")</f>
        <v>Jolly</v>
      </c>
      <c r="Q12" s="24" t="str">
        <f>IF(LEN(A12),VLOOKUP(A12,TowerPool,9,0),"")</f>
        <v>Pure Power</v>
      </c>
      <c r="R12" s="25" t="str">
        <f>IF(LEN(A12),TEXTJOIN("/",0,VLOOKUP(A12,TowerPool,16,0),VLOOKUP(A12,TowerPool,17,0),VLOOKUP(A12,TowerPool,18,0),VLOOKUP(A12,TowerPool,19,0),VLOOKUP(A12,TowerPool,20,0),VLOOKUP(A12,TowerPool,21,0)),"")</f>
        <v>4/252/0/0/0/252</v>
      </c>
      <c r="S12" s="25" t="str">
        <f>IF(LEN(A12),TEXTJOIN("/",0,VLOOKUP(A12,TowerPool,10,0),VLOOKUP(A12,TowerPool,11,0),VLOOKUP(A12,TowerPool,12,0),VLOOKUP(A12,TowerPool,13,0),VLOOKUP(A12,TowerPool,14,0),VLOOKUP(A12,TowerPool,15,0)),"")</f>
        <v>31/31/31/0/31/31</v>
      </c>
      <c r="T12" s="28">
        <f>IF(LEN(A12),VLOOKUP(A12,TowerPool,32,0),"")</f>
        <v>145</v>
      </c>
      <c r="U12" s="24">
        <f>IF(LEN(A12),VLOOKUP(A12,TowerPool,27,0),"")</f>
        <v>136</v>
      </c>
      <c r="V12" s="24">
        <f>IF(LEN(A12),VLOOKUP(A12,TowerPool,28,0),"")</f>
        <v>112</v>
      </c>
      <c r="W12" s="24">
        <f>IF(LEN(A12),VLOOKUP(A12,TowerPool,29,0),"")</f>
        <v>95</v>
      </c>
      <c r="X12" s="24">
        <f>IF(LEN(A12),VLOOKUP(A12,TowerPool,30,0),"")</f>
        <v>58</v>
      </c>
      <c r="Y12" s="24">
        <f>IF(LEN(A12),VLOOKUP(A12,TowerPool,31,0),"")</f>
        <v>95</v>
      </c>
      <c r="Z12" s="30"/>
    </row>
    <row r="13" ht="14.25" customHeight="1">
      <c r="A13" s="1" t="str">
        <f>IF(A10="","",IF(VLOOKUP(C9,TowerTrainers,9,0)=0,"",VLOOKUP(C9,TowerTrainers,9,0)))</f>
        <v>Electrode-2</v>
      </c>
      <c r="B13" s="22">
        <f>IF(LEN(A13),VLOOKUP(A13,TowerPool,34,0),"")</f>
        <v>3</v>
      </c>
      <c r="C13" s="1"/>
      <c r="D13" s="23"/>
      <c r="E13" s="24" t="str">
        <f t="shared" si="2"/>
        <v>Electrode-2</v>
      </c>
      <c r="F13" s="25" t="str">
        <f>IF(LEN(A13),VLOOKUP(A13,TowerPool,33,0),"")</f>
        <v>ELC</v>
      </c>
      <c r="G13" s="24" t="str">
        <f>IF(LEN(A13),VLOOKUP(A13,TowerPool,4,0),"")</f>
        <v>Shuca Berry</v>
      </c>
      <c r="H13" s="26" t="str">
        <f>IF(LEN(A13),VLOOKUP(A13,TowerPool,5,0),"")</f>
        <v>Magnet Rise</v>
      </c>
      <c r="I13" s="27">
        <f>IF(LEN(A13),VLOOKUP(H13,MoveData,8,0)*8/5," ")</f>
        <v>16</v>
      </c>
      <c r="J13" s="26" t="str">
        <f>IF(LEN(A13),VLOOKUP(A13,TowerPool,6,0),"")</f>
        <v>Charge Beam</v>
      </c>
      <c r="K13" s="27">
        <f>IF(LEN(A13),VLOOKUP(J13,MoveData,8,0)*8/5," ")</f>
        <v>16</v>
      </c>
      <c r="L13" s="26" t="str">
        <f>IF(LEN(A13),VLOOKUP(A13,TowerPool,7,0),"")</f>
        <v>Hyper Beam</v>
      </c>
      <c r="M13" s="27">
        <f>IF(LEN(A13),VLOOKUP(L13,MoveData,8,0)*8/5," ")</f>
        <v>8</v>
      </c>
      <c r="N13" s="26" t="str">
        <f>IF(LEN(A13),VLOOKUP(A13,TowerPool,8,0),"")</f>
        <v>Thunder Wave</v>
      </c>
      <c r="O13" s="27">
        <f>IF(LEN(A13),VLOOKUP(N13,MoveData,8,0)*8/5," ")</f>
        <v>32</v>
      </c>
      <c r="P13" s="24" t="str">
        <f>IF(LEN(A13),VLOOKUP(A13,TowerPool,3,0),"")</f>
        <v>Timid</v>
      </c>
      <c r="Q13" s="24" t="str">
        <f>IF(LEN(A13),VLOOKUP(A13,TowerPool,9,0),"")</f>
        <v>Aftermath</v>
      </c>
      <c r="R13" s="25" t="str">
        <f>IF(LEN(A13),TEXTJOIN("/",0,VLOOKUP(A13,TowerPool,16,0),VLOOKUP(A13,TowerPool,17,0),VLOOKUP(A13,TowerPool,18,0),VLOOKUP(A13,TowerPool,19,0),VLOOKUP(A13,TowerPool,20,0),VLOOKUP(A13,TowerPool,21,0)),"")</f>
        <v>4/0/0/252/0/252</v>
      </c>
      <c r="S13" s="25" t="str">
        <f>IF(LEN(A13),TEXTJOIN("/",0,VLOOKUP(A13,TowerPool,10,0),VLOOKUP(A13,TowerPool,11,0),VLOOKUP(A13,TowerPool,12,0),VLOOKUP(A13,TowerPool,13,0),VLOOKUP(A13,TowerPool,14,0),VLOOKUP(A13,TowerPool,15,0)),"")</f>
        <v>31/0/31/31/31/31</v>
      </c>
      <c r="T13" s="28">
        <f>IF(LEN(A13),VLOOKUP(A13,TowerPool,32,0),"")</f>
        <v>222</v>
      </c>
      <c r="U13" s="24">
        <f>IF(LEN(A13),VLOOKUP(A13,TowerPool,27,0),"")</f>
        <v>136</v>
      </c>
      <c r="V13" s="24">
        <f>IF(LEN(A13),VLOOKUP(A13,TowerPool,28,0),"")</f>
        <v>49</v>
      </c>
      <c r="W13" s="24">
        <f>IF(LEN(A13),VLOOKUP(A13,TowerPool,29,0),"")</f>
        <v>90</v>
      </c>
      <c r="X13" s="24">
        <f>IF(LEN(A13),VLOOKUP(A13,TowerPool,30,0),"")</f>
        <v>132</v>
      </c>
      <c r="Y13" s="24">
        <f>IF(LEN(A13),VLOOKUP(A13,TowerPool,31,0),"")</f>
        <v>100</v>
      </c>
      <c r="Z13" s="29" t="str">
        <f>IF(LEFT(D9,9)="Doubles M",D10,"")</f>
        <v/>
      </c>
    </row>
    <row r="14" ht="14.25" customHeight="1">
      <c r="A14" s="1" t="str">
        <f>IF(A10="","",IF(VLOOKUP(C9,TowerTrainers,10,0)=0,"",VLOOKUP(C9,TowerTrainers,10,0)))</f>
        <v/>
      </c>
      <c r="B14" s="22" t="str">
        <f>IF(LEN(A14),VLOOKUP(A14,TowerPool,34,0),"")</f>
        <v/>
      </c>
      <c r="C14" s="1"/>
      <c r="D14" s="23"/>
      <c r="E14" s="24" t="str">
        <f t="shared" si="2"/>
        <v/>
      </c>
      <c r="F14" s="25" t="str">
        <f>IF(LEN(A14),VLOOKUP(A14,TowerPool,33,0),"")</f>
        <v/>
      </c>
      <c r="G14" s="24" t="str">
        <f>IF(LEN(A14),VLOOKUP(A14,TowerPool,4,0),"")</f>
        <v/>
      </c>
      <c r="H14" s="26" t="str">
        <f>IF(LEN(A14),VLOOKUP(A14,TowerPool,5,0),"")</f>
        <v/>
      </c>
      <c r="I14" s="27" t="str">
        <f>IF(LEN(A14),VLOOKUP(H14,MoveData,8,0)*8/5," ")</f>
        <v> </v>
      </c>
      <c r="J14" s="26" t="str">
        <f>IF(LEN(A14),VLOOKUP(A14,TowerPool,6,0),"")</f>
        <v/>
      </c>
      <c r="K14" s="27" t="str">
        <f>IF(LEN(A14),VLOOKUP(J14,MoveData,8,0)*8/5," ")</f>
        <v> </v>
      </c>
      <c r="L14" s="26" t="str">
        <f>IF(LEN(A14),VLOOKUP(A14,TowerPool,7,0),"")</f>
        <v/>
      </c>
      <c r="M14" s="27" t="str">
        <f>IF(LEN(A14),VLOOKUP(L14,MoveData,8,0)*8/5," ")</f>
        <v> </v>
      </c>
      <c r="N14" s="26" t="str">
        <f>IF(LEN(A14),VLOOKUP(A14,TowerPool,8,0),"")</f>
        <v/>
      </c>
      <c r="O14" s="27" t="str">
        <f>IF(LEN(A14),VLOOKUP(N14,MoveData,8,0)*8/5," ")</f>
        <v> </v>
      </c>
      <c r="P14" s="24" t="str">
        <f>IF(LEN(A14),VLOOKUP(A14,TowerPool,3,0),"")</f>
        <v/>
      </c>
      <c r="Q14" s="24" t="str">
        <f>IF(LEN(A14),VLOOKUP(A14,TowerPool,9,0),"")</f>
        <v/>
      </c>
      <c r="R14" s="25" t="str">
        <f>IF(LEN(A14),TEXTJOIN("/",0,VLOOKUP(A14,TowerPool,16,0),VLOOKUP(A14,TowerPool,17,0),VLOOKUP(A14,TowerPool,18,0),VLOOKUP(A14,TowerPool,19,0),VLOOKUP(A14,TowerPool,20,0),VLOOKUP(A14,TowerPool,21,0)),"")</f>
        <v/>
      </c>
      <c r="S14" s="25" t="str">
        <f>IF(LEN(A14),TEXTJOIN("/",0,VLOOKUP(A14,TowerPool,10,0),VLOOKUP(A14,TowerPool,11,0),VLOOKUP(A14,TowerPool,12,0),VLOOKUP(A14,TowerPool,13,0),VLOOKUP(A14,TowerPool,14,0),VLOOKUP(A14,TowerPool,15,0)),"")</f>
        <v/>
      </c>
      <c r="T14" s="28" t="str">
        <f>IF(LEN(A14),VLOOKUP(A14,TowerPool,32,0),"")</f>
        <v/>
      </c>
      <c r="U14" s="24" t="str">
        <f>IF(LEN(A14),VLOOKUP(A14,TowerPool,27,0),"")</f>
        <v/>
      </c>
      <c r="V14" s="24" t="str">
        <f>IF(LEN(A14),VLOOKUP(A14,TowerPool,28,0),"")</f>
        <v/>
      </c>
      <c r="W14" s="24" t="str">
        <f>IF(LEN(A14),VLOOKUP(A14,TowerPool,29,0),"")</f>
        <v/>
      </c>
      <c r="X14" s="24" t="str">
        <f>IF(LEN(A14),VLOOKUP(A14,TowerPool,30,0),"")</f>
        <v/>
      </c>
      <c r="Y14" s="24" t="str">
        <f>IF(LEN(A14),VLOOKUP(A14,TowerPool,31,0),"")</f>
        <v/>
      </c>
      <c r="Z14" s="30"/>
    </row>
    <row r="15" ht="14.25" customHeight="1">
      <c r="A15" s="1">
        <f>IF(A9="","",IFERROR(FIND(",",B$2,A9+1),""))</f>
        <v>12</v>
      </c>
      <c r="B15" s="1">
        <f>B9+1</f>
        <v>3</v>
      </c>
      <c r="C15" s="1">
        <f>IF(LEN(A15),VALUE(MID(B$2,A9+1,A15-A9-1)),"")</f>
        <v>817</v>
      </c>
      <c r="D15" s="1" t="str">
        <f>IF(LEN(A15),VLOOKUP(C15,TowerTrainers,6),"")</f>
        <v>Singles Master</v>
      </c>
      <c r="E15" s="14" t="str">
        <f>IF(LEN(C15),"Team #"&amp;B15&amp;" - "&amp;D15&amp;" - "&amp;A16&amp; " "&amp;B16&amp;IF(C16=0,""," and "&amp;C16&amp;" "&amp;D16),"")</f>
        <v>Team #3 - Singles Master - PI Auston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6"/>
    </row>
    <row r="16" ht="14.25" customHeight="1">
      <c r="A16" s="7" t="str">
        <f>IF(LEN(C15),VLOOKUP(C15,TowerTrainers,3,0),"")</f>
        <v>PI</v>
      </c>
      <c r="B16" s="17" t="str">
        <f>IF(LEN(C15),VLOOKUP(C15,TowerTrainers,2,0),"")</f>
        <v>Auston</v>
      </c>
      <c r="C16" s="17" t="str">
        <f>IF(LEN(C15),VLOOKUP(C15,TowerTrainers,5,0),"")</f>
        <v/>
      </c>
      <c r="D16" s="17" t="str">
        <f>IF(LEN(C15),VLOOKUP(C15,TowerTrainers,4),"")</f>
        <v/>
      </c>
      <c r="E16" s="18" t="str">
        <f>IF(LEN(E15),"Set","")</f>
        <v>Set</v>
      </c>
      <c r="F16" s="18" t="str">
        <f>IF(LEN(E15),"Type","")</f>
        <v>Type</v>
      </c>
      <c r="G16" s="18" t="str">
        <f>IF(LEN(E15),"Item","")</f>
        <v>Item</v>
      </c>
      <c r="H16" s="19" t="str">
        <f>IF(LEN(E15),"Move 1","")</f>
        <v>Move 1</v>
      </c>
      <c r="I16" s="20" t="str">
        <f>IF(LEN(E15),"PP","")</f>
        <v>PP</v>
      </c>
      <c r="J16" s="19" t="str">
        <f>IF(LEN(E15),"Move 2","")</f>
        <v>Move 2</v>
      </c>
      <c r="K16" s="19"/>
      <c r="L16" s="19" t="str">
        <f>IF(LEN(E15),"Move 3","")</f>
        <v>Move 3</v>
      </c>
      <c r="M16" s="19"/>
      <c r="N16" s="19" t="str">
        <f>IF(LEN(E15),"Move 4","")</f>
        <v>Move 4</v>
      </c>
      <c r="O16" s="19"/>
      <c r="P16" s="18" t="str">
        <f>IF(LEN(E15),"Nature","")</f>
        <v>Nature</v>
      </c>
      <c r="Q16" s="18" t="str">
        <f>IF(LEN(E15),"Ability","")</f>
        <v>Ability</v>
      </c>
      <c r="R16" s="18" t="str">
        <f>IF(LEN(E15),"EV – (H/A/B/C/D/S) – IV","")</f>
        <v>EV – (H/A/B/C/D/S) – IV</v>
      </c>
      <c r="T16" s="21" t="str">
        <f>IF(LEN(E15),"Speed","")</f>
        <v>Speed</v>
      </c>
      <c r="U16" s="18" t="str">
        <f>IF(LEN(E15),"HP","")</f>
        <v>HP</v>
      </c>
      <c r="V16" s="18" t="str">
        <f>IF(LEN(E15),"Atk","")</f>
        <v>Atk</v>
      </c>
      <c r="W16" s="18" t="str">
        <f>IF(LEN(E15),"Def","")</f>
        <v>Def</v>
      </c>
      <c r="X16" s="18" t="str">
        <f>IF(LEN(E15),"SpA","")</f>
        <v>SpA</v>
      </c>
      <c r="Y16" s="18" t="str">
        <f>IF(LEN(E15),"SpD","")</f>
        <v>SpD</v>
      </c>
      <c r="Z16" s="18"/>
    </row>
    <row r="17" ht="14.25" customHeight="1">
      <c r="A17" s="6" t="str">
        <f>IF(A16="","",IF(VLOOKUP(C15,TowerTrainers,7,0)=0,"",VLOOKUP(C15,TowerTrainers,7,0)))</f>
        <v>Drifblim-4</v>
      </c>
      <c r="B17" s="22">
        <f>IF(LEN(A17),VLOOKUP(A17,TowerPool,34,0),"")</f>
        <v>3</v>
      </c>
      <c r="C17" s="1"/>
      <c r="D17" s="23"/>
      <c r="E17" s="24" t="str">
        <f t="shared" ref="E17:E20" si="3">IF(LEN(A17),A17,"")</f>
        <v>Drifblim-4</v>
      </c>
      <c r="F17" s="25" t="str">
        <f>IF(LEN(A17),VLOOKUP(A17,TowerPool,33,0),"")</f>
        <v>GHO/FLY</v>
      </c>
      <c r="G17" s="24" t="str">
        <f>IF(LEN(A17),VLOOKUP(A17,TowerPool,4,0),"")</f>
        <v>Sitrus Berry</v>
      </c>
      <c r="H17" s="26" t="str">
        <f>IF(LEN(A17),VLOOKUP(A17,TowerPool,5,0),"")</f>
        <v>Baton Pass</v>
      </c>
      <c r="I17" s="27">
        <f>IF(LEN(A17),VLOOKUP(H17,MoveData,8,0)*8/5," ")</f>
        <v>64</v>
      </c>
      <c r="J17" s="26" t="str">
        <f>IF(LEN(A17),VLOOKUP(A17,TowerPool,6,0),"")</f>
        <v>Will-O-Wisp</v>
      </c>
      <c r="K17" s="27">
        <f>IF(LEN(A17),VLOOKUP(J17,MoveData,8,0)*8/5," ")</f>
        <v>24</v>
      </c>
      <c r="L17" s="26" t="str">
        <f>IF(LEN(A17),VLOOKUP(A17,TowerPool,7,0),"")</f>
        <v>Strength Sap</v>
      </c>
      <c r="M17" s="27">
        <f>IF(LEN(A17),VLOOKUP(L17,MoveData,8,0)*8/5," ")</f>
        <v>16</v>
      </c>
      <c r="N17" s="26" t="str">
        <f>IF(LEN(A17),VLOOKUP(A17,TowerPool,8,0),"")</f>
        <v>Minimize</v>
      </c>
      <c r="O17" s="27">
        <f>IF(LEN(A17),VLOOKUP(N17,MoveData,8,0)*8/5," ")</f>
        <v>16</v>
      </c>
      <c r="P17" s="24" t="str">
        <f>IF(LEN(A17),VLOOKUP(A17,TowerPool,3,0),"")</f>
        <v>Timid</v>
      </c>
      <c r="Q17" s="24" t="str">
        <f>IF(LEN(A17),VLOOKUP(A17,TowerPool,9,0),"")</f>
        <v>Unburden</v>
      </c>
      <c r="R17" s="25" t="str">
        <f>IF(LEN(A17),TEXTJOIN("/",0,VLOOKUP(A17,TowerPool,16,0),VLOOKUP(A17,TowerPool,17,0),VLOOKUP(A17,TowerPool,18,0),VLOOKUP(A17,TowerPool,19,0),VLOOKUP(A17,TowerPool,20,0),VLOOKUP(A17,TowerPool,21,0)),"")</f>
        <v>252/0/4/0/0/252</v>
      </c>
      <c r="S17" s="25" t="str">
        <f>IF(LEN(A17),TEXTJOIN("/",0,VLOOKUP(A17,TowerPool,10,0),VLOOKUP(A17,TowerPool,11,0),VLOOKUP(A17,TowerPool,12,0),VLOOKUP(A17,TowerPool,13,0),VLOOKUP(A17,TowerPool,14,0),VLOOKUP(A17,TowerPool,15,0)),"")</f>
        <v>31/0/31/31/31/31</v>
      </c>
      <c r="T17" s="28">
        <f>IF(LEN(A17),VLOOKUP(A17,TowerPool,32,0),"")</f>
        <v>145</v>
      </c>
      <c r="U17" s="24">
        <f>IF(LEN(A17),VLOOKUP(A17,TowerPool,27,0),"")</f>
        <v>257</v>
      </c>
      <c r="V17" s="24">
        <f>IF(LEN(A17),VLOOKUP(A17,TowerPool,28,0),"")</f>
        <v>76</v>
      </c>
      <c r="W17" s="24">
        <f>IF(LEN(A17),VLOOKUP(A17,TowerPool,29,0),"")</f>
        <v>65</v>
      </c>
      <c r="X17" s="24">
        <f>IF(LEN(A17),VLOOKUP(A17,TowerPool,30,0),"")</f>
        <v>110</v>
      </c>
      <c r="Y17" s="24">
        <f>IF(LEN(A17),VLOOKUP(A17,TowerPool,31,0),"")</f>
        <v>74</v>
      </c>
      <c r="Z17" s="29" t="str">
        <f>IF(LEFT(D15,9)="Doubles M",B16,"")</f>
        <v/>
      </c>
    </row>
    <row r="18" ht="14.25" customHeight="1">
      <c r="A18" s="1" t="str">
        <f>IF(A16="","",IF(VLOOKUP(C15,TowerTrainers,8,0)=0,"",VLOOKUP(C15,TowerTrainers,8,0)))</f>
        <v>Moltres-5</v>
      </c>
      <c r="B18" s="22">
        <f>IF(LEN(A18),VLOOKUP(A18,TowerPool,34,0),"")</f>
        <v>3</v>
      </c>
      <c r="C18" s="1"/>
      <c r="D18" s="23"/>
      <c r="E18" s="24" t="str">
        <f t="shared" si="3"/>
        <v>Moltres-5</v>
      </c>
      <c r="F18" s="25" t="str">
        <f>IF(LEN(A18),VLOOKUP(A18,TowerPool,33,0),"")</f>
        <v>FIR/FLY</v>
      </c>
      <c r="G18" s="24" t="str">
        <f>IF(LEN(A18),VLOOKUP(A18,TowerPool,4,0),"")</f>
        <v>Lax Incense</v>
      </c>
      <c r="H18" s="26" t="str">
        <f>IF(LEN(A18),VLOOKUP(A18,TowerPool,5,0),"")</f>
        <v>Mystical Fire</v>
      </c>
      <c r="I18" s="27">
        <f>IF(LEN(A18),VLOOKUP(H18,MoveData,8,0)*8/5," ")</f>
        <v>16</v>
      </c>
      <c r="J18" s="26" t="str">
        <f>IF(LEN(A18),VLOOKUP(A18,TowerPool,6,0),"")</f>
        <v>Hurricane</v>
      </c>
      <c r="K18" s="27">
        <f>IF(LEN(A18),VLOOKUP(J18,MoveData,8,0)*8/5," ")</f>
        <v>16</v>
      </c>
      <c r="L18" s="26" t="str">
        <f>IF(LEN(A18),VLOOKUP(A18,TowerPool,7,0),"")</f>
        <v>Will-O-Wisp</v>
      </c>
      <c r="M18" s="27">
        <f>IF(LEN(A18),VLOOKUP(L18,MoveData,8,0)*8/5," ")</f>
        <v>24</v>
      </c>
      <c r="N18" s="26" t="str">
        <f>IF(LEN(A18),VLOOKUP(A18,TowerPool,8,0),"")</f>
        <v>Roost</v>
      </c>
      <c r="O18" s="27">
        <f>IF(LEN(A18),VLOOKUP(N18,MoveData,8,0)*8/5," ")</f>
        <v>16</v>
      </c>
      <c r="P18" s="24" t="str">
        <f>IF(LEN(A18),VLOOKUP(A18,TowerPool,3,0),"")</f>
        <v>Bold</v>
      </c>
      <c r="Q18" s="24" t="str">
        <f>IF(LEN(A18),VLOOKUP(A18,TowerPool,9,0),"")</f>
        <v>Flame Body</v>
      </c>
      <c r="R18" s="25" t="str">
        <f>IF(LEN(A18),TEXTJOIN("/",0,VLOOKUP(A18,TowerPool,16,0),VLOOKUP(A18,TowerPool,17,0),VLOOKUP(A18,TowerPool,18,0),VLOOKUP(A18,TowerPool,19,0),VLOOKUP(A18,TowerPool,20,0),VLOOKUP(A18,TowerPool,21,0)),"")</f>
        <v>252/0/252/4/0/0</v>
      </c>
      <c r="S18" s="25" t="str">
        <f>IF(LEN(A18),TEXTJOIN("/",0,VLOOKUP(A18,TowerPool,10,0),VLOOKUP(A18,TowerPool,11,0),VLOOKUP(A18,TowerPool,12,0),VLOOKUP(A18,TowerPool,13,0),VLOOKUP(A18,TowerPool,14,0),VLOOKUP(A18,TowerPool,15,0)),"")</f>
        <v>31/0/31/31/31/31</v>
      </c>
      <c r="T18" s="28">
        <f>IF(LEN(A18),VLOOKUP(A18,TowerPool,32,0),"")</f>
        <v>110</v>
      </c>
      <c r="U18" s="24">
        <f>IF(LEN(A18),VLOOKUP(A18,TowerPool,27,0),"")</f>
        <v>197</v>
      </c>
      <c r="V18" s="24">
        <f>IF(LEN(A18),VLOOKUP(A18,TowerPool,28,0),"")</f>
        <v>94</v>
      </c>
      <c r="W18" s="24">
        <f>IF(LEN(A18),VLOOKUP(A18,TowerPool,29,0),"")</f>
        <v>156</v>
      </c>
      <c r="X18" s="24">
        <f>IF(LEN(A18),VLOOKUP(A18,TowerPool,30,0),"")</f>
        <v>146</v>
      </c>
      <c r="Y18" s="24">
        <f>IF(LEN(A18),VLOOKUP(A18,TowerPool,31,0),"")</f>
        <v>105</v>
      </c>
      <c r="Z18" s="30"/>
    </row>
    <row r="19" ht="14.25" customHeight="1">
      <c r="A19" s="1" t="str">
        <f>IF(A16="","",IF(VLOOKUP(C15,TowerTrainers,9,0)=0,"",VLOOKUP(C15,TowerTrainers,9,0)))</f>
        <v>Latios-6</v>
      </c>
      <c r="B19" s="22">
        <f>IF(LEN(A19),VLOOKUP(A19,TowerPool,34,0),"")</f>
        <v>3</v>
      </c>
      <c r="C19" s="1"/>
      <c r="D19" s="23"/>
      <c r="E19" s="24" t="str">
        <f t="shared" si="3"/>
        <v>Latios-6</v>
      </c>
      <c r="F19" s="25" t="str">
        <f>IF(LEN(A19),VLOOKUP(A19,TowerPool,33,0),"")</f>
        <v>DRG/PSY</v>
      </c>
      <c r="G19" s="24" t="str">
        <f>IF(LEN(A19),VLOOKUP(A19,TowerPool,4,0),"")</f>
        <v>Choice Specs</v>
      </c>
      <c r="H19" s="26" t="str">
        <f>IF(LEN(A19),VLOOKUP(A19,TowerPool,5,0),"")</f>
        <v>Draco Meteor</v>
      </c>
      <c r="I19" s="27">
        <f>IF(LEN(A19),VLOOKUP(H19,MoveData,8,0)*8/5," ")</f>
        <v>8</v>
      </c>
      <c r="J19" s="26" t="str">
        <f>IF(LEN(A19),VLOOKUP(A19,TowerPool,6,0),"")</f>
        <v>Surf</v>
      </c>
      <c r="K19" s="27">
        <f>IF(LEN(A19),VLOOKUP(J19,MoveData,8,0)*8/5," ")</f>
        <v>24</v>
      </c>
      <c r="L19" s="26" t="str">
        <f>IF(LEN(A19),VLOOKUP(A19,TowerPool,7,0),"")</f>
        <v>Thunderbolt</v>
      </c>
      <c r="M19" s="27">
        <f>IF(LEN(A19),VLOOKUP(L19,MoveData,8,0)*8/5," ")</f>
        <v>24</v>
      </c>
      <c r="N19" s="26" t="str">
        <f>IF(LEN(A19),VLOOKUP(A19,TowerPool,8,0),"")</f>
        <v>Psychic</v>
      </c>
      <c r="O19" s="27">
        <f>IF(LEN(A19),VLOOKUP(N19,MoveData,8,0)*8/5," ")</f>
        <v>16</v>
      </c>
      <c r="P19" s="24" t="str">
        <f>IF(LEN(A19),VLOOKUP(A19,TowerPool,3,0),"")</f>
        <v>Timid</v>
      </c>
      <c r="Q19" s="24" t="str">
        <f>IF(LEN(A19),VLOOKUP(A19,TowerPool,9,0),"")</f>
        <v>Levitate</v>
      </c>
      <c r="R19" s="25" t="str">
        <f>IF(LEN(A19),TEXTJOIN("/",0,VLOOKUP(A19,TowerPool,16,0),VLOOKUP(A19,TowerPool,17,0),VLOOKUP(A19,TowerPool,18,0),VLOOKUP(A19,TowerPool,19,0),VLOOKUP(A19,TowerPool,20,0),VLOOKUP(A19,TowerPool,21,0)),"")</f>
        <v>4/0/0/252/0/252</v>
      </c>
      <c r="S19" s="25" t="str">
        <f>IF(LEN(A19),TEXTJOIN("/",0,VLOOKUP(A19,TowerPool,10,0),VLOOKUP(A19,TowerPool,11,0),VLOOKUP(A19,TowerPool,12,0),VLOOKUP(A19,TowerPool,13,0),VLOOKUP(A19,TowerPool,14,0),VLOOKUP(A19,TowerPool,15,0)),"")</f>
        <v>31/0/31/31/31/31</v>
      </c>
      <c r="T19" s="28">
        <f>IF(LEN(A19),VLOOKUP(A19,TowerPool,32,0),"")</f>
        <v>178</v>
      </c>
      <c r="U19" s="24">
        <f>IF(LEN(A19),VLOOKUP(A19,TowerPool,27,0),"")</f>
        <v>156</v>
      </c>
      <c r="V19" s="24">
        <f>IF(LEN(A19),VLOOKUP(A19,TowerPool,28,0),"")</f>
        <v>85</v>
      </c>
      <c r="W19" s="24">
        <f>IF(LEN(A19),VLOOKUP(A19,TowerPool,29,0),"")</f>
        <v>100</v>
      </c>
      <c r="X19" s="24">
        <f>IF(LEN(A19),VLOOKUP(A19,TowerPool,30,0),"")</f>
        <v>273</v>
      </c>
      <c r="Y19" s="24">
        <f>IF(LEN(A19),VLOOKUP(A19,TowerPool,31,0),"")</f>
        <v>130</v>
      </c>
      <c r="Z19" s="29" t="str">
        <f>IF(LEFT(D15,9)="Doubles M",D16,"")</f>
        <v/>
      </c>
    </row>
    <row r="20" ht="14.25" customHeight="1">
      <c r="A20" s="1" t="str">
        <f>IF(A16="","",IF(VLOOKUP(C15,TowerTrainers,10,0)=0,"",VLOOKUP(C15,TowerTrainers,10,0)))</f>
        <v/>
      </c>
      <c r="B20" s="22" t="str">
        <f>IF(LEN(A20),VLOOKUP(A20,TowerPool,34,0),"")</f>
        <v/>
      </c>
      <c r="C20" s="1"/>
      <c r="D20" s="23"/>
      <c r="E20" s="24" t="str">
        <f t="shared" si="3"/>
        <v/>
      </c>
      <c r="F20" s="25" t="str">
        <f>IF(LEN(A20),VLOOKUP(A20,TowerPool,33,0),"")</f>
        <v/>
      </c>
      <c r="G20" s="24" t="str">
        <f>IF(LEN(A20),VLOOKUP(A20,TowerPool,4,0),"")</f>
        <v/>
      </c>
      <c r="H20" s="26" t="str">
        <f>IF(LEN(A20),VLOOKUP(A20,TowerPool,5,0),"")</f>
        <v/>
      </c>
      <c r="I20" s="27" t="str">
        <f>IF(LEN(A20),VLOOKUP(H20,MoveData,8,0)*8/5," ")</f>
        <v> </v>
      </c>
      <c r="J20" s="26" t="str">
        <f>IF(LEN(A20),VLOOKUP(A20,TowerPool,6,0),"")</f>
        <v/>
      </c>
      <c r="K20" s="27" t="str">
        <f>IF(LEN(A20),VLOOKUP(J20,MoveData,8,0)*8/5," ")</f>
        <v> </v>
      </c>
      <c r="L20" s="26" t="str">
        <f>IF(LEN(A20),VLOOKUP(A20,TowerPool,7,0),"")</f>
        <v/>
      </c>
      <c r="M20" s="27" t="str">
        <f>IF(LEN(A20),VLOOKUP(L20,MoveData,8,0)*8/5," ")</f>
        <v> </v>
      </c>
      <c r="N20" s="26" t="str">
        <f>IF(LEN(A20),VLOOKUP(A20,TowerPool,8,0),"")</f>
        <v/>
      </c>
      <c r="O20" s="27" t="str">
        <f>IF(LEN(A20),VLOOKUP(N20,MoveData,8,0)*8/5," ")</f>
        <v> </v>
      </c>
      <c r="P20" s="24" t="str">
        <f>IF(LEN(A20),VLOOKUP(A20,TowerPool,3,0),"")</f>
        <v/>
      </c>
      <c r="Q20" s="24" t="str">
        <f>IF(LEN(A20),VLOOKUP(A20,TowerPool,9,0),"")</f>
        <v/>
      </c>
      <c r="R20" s="25" t="str">
        <f>IF(LEN(A20),TEXTJOIN("/",0,VLOOKUP(A20,TowerPool,16,0),VLOOKUP(A20,TowerPool,17,0),VLOOKUP(A20,TowerPool,18,0),VLOOKUP(A20,TowerPool,19,0),VLOOKUP(A20,TowerPool,20,0),VLOOKUP(A20,TowerPool,21,0)),"")</f>
        <v/>
      </c>
      <c r="S20" s="25" t="str">
        <f>IF(LEN(A20),TEXTJOIN("/",0,VLOOKUP(A20,TowerPool,10,0),VLOOKUP(A20,TowerPool,11,0),VLOOKUP(A20,TowerPool,12,0),VLOOKUP(A20,TowerPool,13,0),VLOOKUP(A20,TowerPool,14,0),VLOOKUP(A20,TowerPool,15,0)),"")</f>
        <v/>
      </c>
      <c r="T20" s="28" t="str">
        <f>IF(LEN(A20),VLOOKUP(A20,TowerPool,32,0),"")</f>
        <v/>
      </c>
      <c r="U20" s="24" t="str">
        <f>IF(LEN(A20),VLOOKUP(A20,TowerPool,27,0),"")</f>
        <v/>
      </c>
      <c r="V20" s="24" t="str">
        <f>IF(LEN(A20),VLOOKUP(A20,TowerPool,28,0),"")</f>
        <v/>
      </c>
      <c r="W20" s="24" t="str">
        <f>IF(LEN(A20),VLOOKUP(A20,TowerPool,29,0),"")</f>
        <v/>
      </c>
      <c r="X20" s="24" t="str">
        <f>IF(LEN(A20),VLOOKUP(A20,TowerPool,30,0),"")</f>
        <v/>
      </c>
      <c r="Y20" s="24" t="str">
        <f>IF(LEN(A20),VLOOKUP(A20,TowerPool,31,0),"")</f>
        <v/>
      </c>
      <c r="Z20" s="30"/>
    </row>
    <row r="21" ht="14.25" customHeight="1">
      <c r="A21" s="1">
        <f>IF(A15="","",IFERROR(FIND(",",B$2,A15+1),""))</f>
        <v>16</v>
      </c>
      <c r="B21" s="1">
        <f>B15+1</f>
        <v>4</v>
      </c>
      <c r="C21" s="1">
        <f>IF(LEN(A21),VALUE(MID(B$2,A15+1,A21-A15-1)),"")</f>
        <v>818</v>
      </c>
      <c r="D21" s="1" t="str">
        <f>IF(LEN(A21),VLOOKUP(C21,TowerTrainers,6),"")</f>
        <v>Singles Master</v>
      </c>
      <c r="E21" s="14" t="str">
        <f>IF(LEN(C21),"Team #"&amp;B21&amp;" - "&amp;D21&amp;" - "&amp;A22&amp; " "&amp;B22&amp;IF(C22=0,""," and "&amp;C22&amp;" "&amp;D22),"")</f>
        <v>Team #4 - Singles Master - PI Auston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6"/>
    </row>
    <row r="22" ht="14.25" customHeight="1">
      <c r="A22" s="7" t="str">
        <f>IF(LEN(C21),VLOOKUP(C21,TowerTrainers,3,0),"")</f>
        <v>PI</v>
      </c>
      <c r="B22" s="17" t="str">
        <f>IF(LEN(C21),VLOOKUP(C21,TowerTrainers,2,0),"")</f>
        <v>Auston</v>
      </c>
      <c r="C22" s="17" t="str">
        <f>IF(LEN(C21),VLOOKUP(C21,TowerTrainers,5,0),"")</f>
        <v/>
      </c>
      <c r="D22" s="17" t="str">
        <f>IF(LEN(C21),VLOOKUP(C21,TowerTrainers,4),"")</f>
        <v/>
      </c>
      <c r="E22" s="18" t="str">
        <f>IF(LEN(E21),"Set","")</f>
        <v>Set</v>
      </c>
      <c r="F22" s="18" t="str">
        <f>IF(LEN(E21),"Type","")</f>
        <v>Type</v>
      </c>
      <c r="G22" s="18" t="str">
        <f>IF(LEN(E21),"Item","")</f>
        <v>Item</v>
      </c>
      <c r="H22" s="19" t="str">
        <f>IF(LEN(E21),"Move 1","")</f>
        <v>Move 1</v>
      </c>
      <c r="I22" s="20" t="str">
        <f>IF(LEN(E21),"PP","")</f>
        <v>PP</v>
      </c>
      <c r="J22" s="19" t="str">
        <f>IF(LEN(E21),"Move 2","")</f>
        <v>Move 2</v>
      </c>
      <c r="K22" s="19"/>
      <c r="L22" s="19" t="str">
        <f>IF(LEN(E21),"Move 3","")</f>
        <v>Move 3</v>
      </c>
      <c r="M22" s="19"/>
      <c r="N22" s="19" t="str">
        <f>IF(LEN(E21),"Move 4","")</f>
        <v>Move 4</v>
      </c>
      <c r="O22" s="19"/>
      <c r="P22" s="18" t="str">
        <f>IF(LEN(E21),"Nature","")</f>
        <v>Nature</v>
      </c>
      <c r="Q22" s="18" t="str">
        <f>IF(LEN(E21),"Ability","")</f>
        <v>Ability</v>
      </c>
      <c r="R22" s="18" t="str">
        <f>IF(LEN(E21),"EV – (H/A/B/C/D/S) – IV","")</f>
        <v>EV – (H/A/B/C/D/S) – IV</v>
      </c>
      <c r="T22" s="21" t="str">
        <f>IF(LEN(E21),"Speed","")</f>
        <v>Speed</v>
      </c>
      <c r="U22" s="18" t="str">
        <f>IF(LEN(E21),"HP","")</f>
        <v>HP</v>
      </c>
      <c r="V22" s="18" t="str">
        <f>IF(LEN(E21),"Atk","")</f>
        <v>Atk</v>
      </c>
      <c r="W22" s="18" t="str">
        <f>IF(LEN(E21),"Def","")</f>
        <v>Def</v>
      </c>
      <c r="X22" s="18" t="str">
        <f>IF(LEN(E21),"SpA","")</f>
        <v>SpA</v>
      </c>
      <c r="Y22" s="18" t="str">
        <f>IF(LEN(E21),"SpD","")</f>
        <v>SpD</v>
      </c>
      <c r="Z22" s="18"/>
    </row>
    <row r="23" ht="14.25" customHeight="1">
      <c r="A23" s="6" t="str">
        <f>IF(A22="","",IF(VLOOKUP(C21,TowerTrainers,7,0)=0,"",VLOOKUP(C21,TowerTrainers,7,0)))</f>
        <v>Drifblim-4</v>
      </c>
      <c r="B23" s="22">
        <f>IF(LEN(A23),VLOOKUP(A23,TowerPool,34,0),"")</f>
        <v>3</v>
      </c>
      <c r="C23" s="1"/>
      <c r="D23" s="23"/>
      <c r="E23" s="24" t="str">
        <f t="shared" ref="E23:E26" si="4">IF(LEN(A23),A23,"")</f>
        <v>Drifblim-4</v>
      </c>
      <c r="F23" s="25" t="str">
        <f>IF(LEN(A23),VLOOKUP(A23,TowerPool,33,0),"")</f>
        <v>GHO/FLY</v>
      </c>
      <c r="G23" s="24" t="str">
        <f>IF(LEN(A23),VLOOKUP(A23,TowerPool,4,0),"")</f>
        <v>Sitrus Berry</v>
      </c>
      <c r="H23" s="26" t="str">
        <f>IF(LEN(A23),VLOOKUP(A23,TowerPool,5,0),"")</f>
        <v>Baton Pass</v>
      </c>
      <c r="I23" s="27">
        <f>IF(LEN(A23),VLOOKUP(H23,MoveData,8,0)*8/5," ")</f>
        <v>64</v>
      </c>
      <c r="J23" s="26" t="str">
        <f>IF(LEN(A23),VLOOKUP(A23,TowerPool,6,0),"")</f>
        <v>Will-O-Wisp</v>
      </c>
      <c r="K23" s="27">
        <f>IF(LEN(A23),VLOOKUP(J23,MoveData,8,0)*8/5," ")</f>
        <v>24</v>
      </c>
      <c r="L23" s="26" t="str">
        <f>IF(LEN(A23),VLOOKUP(A23,TowerPool,7,0),"")</f>
        <v>Strength Sap</v>
      </c>
      <c r="M23" s="27">
        <f>IF(LEN(A23),VLOOKUP(L23,MoveData,8,0)*8/5," ")</f>
        <v>16</v>
      </c>
      <c r="N23" s="26" t="str">
        <f>IF(LEN(A23),VLOOKUP(A23,TowerPool,8,0),"")</f>
        <v>Minimize</v>
      </c>
      <c r="O23" s="27">
        <f>IF(LEN(A23),VLOOKUP(N23,MoveData,8,0)*8/5," ")</f>
        <v>16</v>
      </c>
      <c r="P23" s="24" t="str">
        <f>IF(LEN(A23),VLOOKUP(A23,TowerPool,3,0),"")</f>
        <v>Timid</v>
      </c>
      <c r="Q23" s="24" t="str">
        <f>IF(LEN(A23),VLOOKUP(A23,TowerPool,9,0),"")</f>
        <v>Unburden</v>
      </c>
      <c r="R23" s="25" t="str">
        <f>IF(LEN(A23),TEXTJOIN("/",0,VLOOKUP(A23,TowerPool,16,0),VLOOKUP(A23,TowerPool,17,0),VLOOKUP(A23,TowerPool,18,0),VLOOKUP(A23,TowerPool,19,0),VLOOKUP(A23,TowerPool,20,0),VLOOKUP(A23,TowerPool,21,0)),"")</f>
        <v>252/0/4/0/0/252</v>
      </c>
      <c r="S23" s="25" t="str">
        <f>IF(LEN(A23),TEXTJOIN("/",0,VLOOKUP(A23,TowerPool,10,0),VLOOKUP(A23,TowerPool,11,0),VLOOKUP(A23,TowerPool,12,0),VLOOKUP(A23,TowerPool,13,0),VLOOKUP(A23,TowerPool,14,0),VLOOKUP(A23,TowerPool,15,0)),"")</f>
        <v>31/0/31/31/31/31</v>
      </c>
      <c r="T23" s="28">
        <f>IF(LEN(A23),VLOOKUP(A23,TowerPool,32,0),"")</f>
        <v>145</v>
      </c>
      <c r="U23" s="24">
        <f>IF(LEN(A23),VLOOKUP(A23,TowerPool,27,0),"")</f>
        <v>257</v>
      </c>
      <c r="V23" s="24">
        <f>IF(LEN(A23),VLOOKUP(A23,TowerPool,28,0),"")</f>
        <v>76</v>
      </c>
      <c r="W23" s="24">
        <f>IF(LEN(A23),VLOOKUP(A23,TowerPool,29,0),"")</f>
        <v>65</v>
      </c>
      <c r="X23" s="24">
        <f>IF(LEN(A23),VLOOKUP(A23,TowerPool,30,0),"")</f>
        <v>110</v>
      </c>
      <c r="Y23" s="24">
        <f>IF(LEN(A23),VLOOKUP(A23,TowerPool,31,0),"")</f>
        <v>74</v>
      </c>
      <c r="Z23" s="29" t="str">
        <f>IF(LEFT(D21,9)="Doubles M",B22,"")</f>
        <v/>
      </c>
    </row>
    <row r="24" ht="15.75" customHeight="1">
      <c r="A24" s="1" t="str">
        <f>IF(A22="","",IF(VLOOKUP(C21,TowerTrainers,8,0)=0,"",VLOOKUP(C21,TowerTrainers,8,0)))</f>
        <v>Garchomp-8</v>
      </c>
      <c r="B24" s="22">
        <f>IF(LEN(A24),VLOOKUP(A24,TowerPool,34,0),"")</f>
        <v>3</v>
      </c>
      <c r="C24" s="1"/>
      <c r="D24" s="23"/>
      <c r="E24" s="24" t="str">
        <f t="shared" si="4"/>
        <v>Garchomp-8</v>
      </c>
      <c r="F24" s="25" t="str">
        <f>IF(LEN(A24),VLOOKUP(A24,TowerPool,33,0),"")</f>
        <v>DRG/GRD</v>
      </c>
      <c r="G24" s="24" t="str">
        <f>IF(LEN(A24),VLOOKUP(A24,TowerPool,4,0),"")</f>
        <v>Focus Sash</v>
      </c>
      <c r="H24" s="26" t="str">
        <f>IF(LEN(A24),VLOOKUP(A24,TowerPool,5,0),"")</f>
        <v>Earthquake</v>
      </c>
      <c r="I24" s="27">
        <f>IF(LEN(A24),VLOOKUP(H24,MoveData,8,0)*8/5," ")</f>
        <v>16</v>
      </c>
      <c r="J24" s="26" t="str">
        <f>IF(LEN(A24),VLOOKUP(A24,TowerPool,6,0),"")</f>
        <v>Outrage</v>
      </c>
      <c r="K24" s="27">
        <f>IF(LEN(A24),VLOOKUP(J24,MoveData,8,0)*8/5," ")</f>
        <v>16</v>
      </c>
      <c r="L24" s="26" t="str">
        <f>IF(LEN(A24),VLOOKUP(A24,TowerPool,7,0),"")</f>
        <v>Rock Tomb</v>
      </c>
      <c r="M24" s="27">
        <f>IF(LEN(A24),VLOOKUP(L24,MoveData,8,0)*8/5," ")</f>
        <v>24</v>
      </c>
      <c r="N24" s="26" t="str">
        <f>IF(LEN(A24),VLOOKUP(A24,TowerPool,8,0),"")</f>
        <v>Swords Dance</v>
      </c>
      <c r="O24" s="27">
        <f>IF(LEN(A24),VLOOKUP(N24,MoveData,8,0)*8/5," ")</f>
        <v>32</v>
      </c>
      <c r="P24" s="24" t="str">
        <f>IF(LEN(A24),VLOOKUP(A24,TowerPool,3,0),"")</f>
        <v>Jolly</v>
      </c>
      <c r="Q24" s="24" t="str">
        <f>IF(LEN(A24),VLOOKUP(A24,TowerPool,9,0),"")</f>
        <v>Rough Skin</v>
      </c>
      <c r="R24" s="25" t="str">
        <f>IF(LEN(A24),TEXTJOIN("/",0,VLOOKUP(A24,TowerPool,16,0),VLOOKUP(A24,TowerPool,17,0),VLOOKUP(A24,TowerPool,18,0),VLOOKUP(A24,TowerPool,19,0),VLOOKUP(A24,TowerPool,20,0),VLOOKUP(A24,TowerPool,21,0)),"")</f>
        <v>4/252/0/0/0/252</v>
      </c>
      <c r="S24" s="25" t="str">
        <f>IF(LEN(A24),TEXTJOIN("/",0,VLOOKUP(A24,TowerPool,10,0),VLOOKUP(A24,TowerPool,11,0),VLOOKUP(A24,TowerPool,12,0),VLOOKUP(A24,TowerPool,13,0),VLOOKUP(A24,TowerPool,14,0),VLOOKUP(A24,TowerPool,15,0)),"")</f>
        <v>31/31/31/0/31/31</v>
      </c>
      <c r="T24" s="28">
        <f>IF(LEN(A24),VLOOKUP(A24,TowerPool,32,0),"")</f>
        <v>169</v>
      </c>
      <c r="U24" s="24">
        <f>IF(LEN(A24),VLOOKUP(A24,TowerPool,27,0),"")</f>
        <v>184</v>
      </c>
      <c r="V24" s="24">
        <f>IF(LEN(A24),VLOOKUP(A24,TowerPool,28,0),"")</f>
        <v>182</v>
      </c>
      <c r="W24" s="24">
        <f>IF(LEN(A24),VLOOKUP(A24,TowerPool,29,0),"")</f>
        <v>115</v>
      </c>
      <c r="X24" s="24">
        <f>IF(LEN(A24),VLOOKUP(A24,TowerPool,30,0),"")</f>
        <v>76</v>
      </c>
      <c r="Y24" s="24">
        <f>IF(LEN(A24),VLOOKUP(A24,TowerPool,31,0),"")</f>
        <v>105</v>
      </c>
      <c r="Z24" s="30"/>
    </row>
    <row r="25" ht="15.75" customHeight="1">
      <c r="A25" s="1" t="str">
        <f>IF(A22="","",IF(VLOOKUP(C21,TowerTrainers,9,0)=0,"",VLOOKUP(C21,TowerTrainers,9,0)))</f>
        <v>Tyranitar-5</v>
      </c>
      <c r="B25" s="22">
        <f>IF(LEN(A25),VLOOKUP(A25,TowerPool,34,0),"")</f>
        <v>3</v>
      </c>
      <c r="C25" s="1"/>
      <c r="D25" s="23"/>
      <c r="E25" s="24" t="str">
        <f t="shared" si="4"/>
        <v>Tyranitar-5</v>
      </c>
      <c r="F25" s="25" t="str">
        <f>IF(LEN(A25),VLOOKUP(A25,TowerPool,33,0),"")</f>
        <v>RCK/DRK</v>
      </c>
      <c r="G25" s="24" t="str">
        <f>IF(LEN(A25),VLOOKUP(A25,TowerPool,4,0),"")</f>
        <v>Lum Berry</v>
      </c>
      <c r="H25" s="26" t="str">
        <f>IF(LEN(A25),VLOOKUP(A25,TowerPool,5,0),"")</f>
        <v>Earthquake</v>
      </c>
      <c r="I25" s="27">
        <f>IF(LEN(A25),VLOOKUP(H25,MoveData,8,0)*8/5," ")</f>
        <v>16</v>
      </c>
      <c r="J25" s="26" t="str">
        <f>IF(LEN(A25),VLOOKUP(A25,TowerPool,6,0),"")</f>
        <v>Stone Edge</v>
      </c>
      <c r="K25" s="27">
        <f>IF(LEN(A25),VLOOKUP(J25,MoveData,8,0)*8/5," ")</f>
        <v>8</v>
      </c>
      <c r="L25" s="26" t="str">
        <f>IF(LEN(A25),VLOOKUP(A25,TowerPool,7,0),"")</f>
        <v>Crunch</v>
      </c>
      <c r="M25" s="27">
        <f>IF(LEN(A25),VLOOKUP(L25,MoveData,8,0)*8/5," ")</f>
        <v>24</v>
      </c>
      <c r="N25" s="26" t="str">
        <f>IF(LEN(A25),VLOOKUP(A25,TowerPool,8,0),"")</f>
        <v>Dragon Dance</v>
      </c>
      <c r="O25" s="27">
        <f>IF(LEN(A25),VLOOKUP(N25,MoveData,8,0)*8/5," ")</f>
        <v>32</v>
      </c>
      <c r="P25" s="24" t="str">
        <f>IF(LEN(A25),VLOOKUP(A25,TowerPool,3,0),"")</f>
        <v>Jolly</v>
      </c>
      <c r="Q25" s="24" t="str">
        <f>IF(LEN(A25),VLOOKUP(A25,TowerPool,9,0),"")</f>
        <v>Sand Stream</v>
      </c>
      <c r="R25" s="25" t="str">
        <f>IF(LEN(A25),TEXTJOIN("/",0,VLOOKUP(A25,TowerPool,16,0),VLOOKUP(A25,TowerPool,17,0),VLOOKUP(A25,TowerPool,18,0),VLOOKUP(A25,TowerPool,19,0),VLOOKUP(A25,TowerPool,20,0),VLOOKUP(A25,TowerPool,21,0)),"")</f>
        <v>4/252/0/0/0/252</v>
      </c>
      <c r="S25" s="25" t="str">
        <f>IF(LEN(A25),TEXTJOIN("/",0,VLOOKUP(A25,TowerPool,10,0),VLOOKUP(A25,TowerPool,11,0),VLOOKUP(A25,TowerPool,12,0),VLOOKUP(A25,TowerPool,13,0),VLOOKUP(A25,TowerPool,14,0),VLOOKUP(A25,TowerPool,15,0)),"")</f>
        <v>31/31/31/0/31/31</v>
      </c>
      <c r="T25" s="28">
        <f>IF(LEN(A25),VLOOKUP(A25,TowerPool,32,0),"")</f>
        <v>124</v>
      </c>
      <c r="U25" s="24">
        <f>IF(LEN(A25),VLOOKUP(A25,TowerPool,27,0),"")</f>
        <v>176</v>
      </c>
      <c r="V25" s="24">
        <f>IF(LEN(A25),VLOOKUP(A25,TowerPool,28,0),"")</f>
        <v>186</v>
      </c>
      <c r="W25" s="24">
        <f>IF(LEN(A25),VLOOKUP(A25,TowerPool,29,0),"")</f>
        <v>130</v>
      </c>
      <c r="X25" s="24">
        <f>IF(LEN(A25),VLOOKUP(A25,TowerPool,30,0),"")</f>
        <v>90</v>
      </c>
      <c r="Y25" s="24">
        <f>IF(LEN(A25),VLOOKUP(A25,TowerPool,31,0),"")</f>
        <v>120</v>
      </c>
      <c r="Z25" s="29" t="str">
        <f>IF(LEFT(D21,9)="Doubles M",D22,"")</f>
        <v/>
      </c>
    </row>
    <row r="26" ht="15.75" customHeight="1">
      <c r="A26" s="1" t="str">
        <f>IF(A22="","",IF(VLOOKUP(C21,TowerTrainers,10,0)=0,"",VLOOKUP(C21,TowerTrainers,10,0)))</f>
        <v/>
      </c>
      <c r="B26" s="22" t="str">
        <f>IF(LEN(A26),VLOOKUP(A26,TowerPool,34,0),"")</f>
        <v/>
      </c>
      <c r="C26" s="1"/>
      <c r="D26" s="23"/>
      <c r="E26" s="24" t="str">
        <f t="shared" si="4"/>
        <v/>
      </c>
      <c r="F26" s="25" t="str">
        <f>IF(LEN(A26),VLOOKUP(A26,TowerPool,33,0),"")</f>
        <v/>
      </c>
      <c r="G26" s="24" t="str">
        <f>IF(LEN(A26),VLOOKUP(A26,TowerPool,4,0),"")</f>
        <v/>
      </c>
      <c r="H26" s="26" t="str">
        <f>IF(LEN(A26),VLOOKUP(A26,TowerPool,5,0),"")</f>
        <v/>
      </c>
      <c r="I26" s="27" t="str">
        <f>IF(LEN(A26),VLOOKUP(H26,MoveData,8,0)*8/5," ")</f>
        <v> </v>
      </c>
      <c r="J26" s="26" t="str">
        <f>IF(LEN(A26),VLOOKUP(A26,TowerPool,6,0),"")</f>
        <v/>
      </c>
      <c r="K26" s="27" t="str">
        <f>IF(LEN(A26),VLOOKUP(J26,MoveData,8,0)*8/5," ")</f>
        <v> </v>
      </c>
      <c r="L26" s="26" t="str">
        <f>IF(LEN(A26),VLOOKUP(A26,TowerPool,7,0),"")</f>
        <v/>
      </c>
      <c r="M26" s="27" t="str">
        <f>IF(LEN(A26),VLOOKUP(L26,MoveData,8,0)*8/5," ")</f>
        <v> </v>
      </c>
      <c r="N26" s="26" t="str">
        <f>IF(LEN(A26),VLOOKUP(A26,TowerPool,8,0),"")</f>
        <v/>
      </c>
      <c r="O26" s="27" t="str">
        <f>IF(LEN(A26),VLOOKUP(N26,MoveData,8,0)*8/5," ")</f>
        <v> </v>
      </c>
      <c r="P26" s="24" t="str">
        <f>IF(LEN(A26),VLOOKUP(A26,TowerPool,3,0),"")</f>
        <v/>
      </c>
      <c r="Q26" s="24" t="str">
        <f>IF(LEN(A26),VLOOKUP(A26,TowerPool,9,0),"")</f>
        <v/>
      </c>
      <c r="R26" s="25" t="str">
        <f>IF(LEN(A26),TEXTJOIN("/",0,VLOOKUP(A26,TowerPool,16,0),VLOOKUP(A26,TowerPool,17,0),VLOOKUP(A26,TowerPool,18,0),VLOOKUP(A26,TowerPool,19,0),VLOOKUP(A26,TowerPool,20,0),VLOOKUP(A26,TowerPool,21,0)),"")</f>
        <v/>
      </c>
      <c r="S26" s="25" t="str">
        <f>IF(LEN(A26),TEXTJOIN("/",0,VLOOKUP(A26,TowerPool,10,0),VLOOKUP(A26,TowerPool,11,0),VLOOKUP(A26,TowerPool,12,0),VLOOKUP(A26,TowerPool,13,0),VLOOKUP(A26,TowerPool,14,0),VLOOKUP(A26,TowerPool,15,0)),"")</f>
        <v/>
      </c>
      <c r="T26" s="28" t="str">
        <f>IF(LEN(A26),VLOOKUP(A26,TowerPool,32,0),"")</f>
        <v/>
      </c>
      <c r="U26" s="24" t="str">
        <f>IF(LEN(A26),VLOOKUP(A26,TowerPool,27,0),"")</f>
        <v/>
      </c>
      <c r="V26" s="24" t="str">
        <f>IF(LEN(A26),VLOOKUP(A26,TowerPool,28,0),"")</f>
        <v/>
      </c>
      <c r="W26" s="24" t="str">
        <f>IF(LEN(A26),VLOOKUP(A26,TowerPool,29,0),"")</f>
        <v/>
      </c>
      <c r="X26" s="24" t="str">
        <f>IF(LEN(A26),VLOOKUP(A26,TowerPool,30,0),"")</f>
        <v/>
      </c>
      <c r="Y26" s="24" t="str">
        <f>IF(LEN(A26),VLOOKUP(A26,TowerPool,31,0),"")</f>
        <v/>
      </c>
      <c r="Z26" s="30"/>
    </row>
    <row r="27" ht="15.75" customHeight="1">
      <c r="A27" s="1">
        <f>IF(A21="","",IFERROR(FIND(",",B$2,A21+1),""))</f>
        <v>21</v>
      </c>
      <c r="B27" s="1">
        <f>B21+1</f>
        <v>5</v>
      </c>
      <c r="C27" s="1">
        <f>IF(LEN(A27),VALUE(MID(B$2,A21+1,A27-A21-1)),"")</f>
        <v>1837</v>
      </c>
      <c r="D27" s="1" t="str">
        <f>IF(LEN(A27),VLOOKUP(C27,TowerTrainers,6),"")</f>
        <v>Doubles Master</v>
      </c>
      <c r="E27" s="14" t="str">
        <f>IF(LEN(C27),"Team #"&amp;B27&amp;" - "&amp;D27&amp;" - "&amp;A28&amp; " "&amp;B28&amp;IF(C28=0,""," and "&amp;C28&amp;" "&amp;D28),"")</f>
        <v>Team #5 - Doubles Master - PI Auston and Roughneck Brant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6"/>
    </row>
    <row r="28" ht="15.75" customHeight="1">
      <c r="A28" s="7" t="str">
        <f>IF(LEN(C27),VLOOKUP(C27,TowerTrainers,3,0),"")</f>
        <v>PI</v>
      </c>
      <c r="B28" s="17" t="str">
        <f>IF(LEN(C27),VLOOKUP(C27,TowerTrainers,2,0),"")</f>
        <v>Auston</v>
      </c>
      <c r="C28" s="17" t="str">
        <f>IF(LEN(C27),VLOOKUP(C27,TowerTrainers,5,0),"")</f>
        <v>Roughneck</v>
      </c>
      <c r="D28" s="17" t="str">
        <f>IF(LEN(C27),VLOOKUP(C27,TowerTrainers,4),"")</f>
        <v>Brant</v>
      </c>
      <c r="E28" s="18" t="str">
        <f>IF(LEN(E27),"Set","")</f>
        <v>Set</v>
      </c>
      <c r="F28" s="18" t="str">
        <f>IF(LEN(E27),"Type","")</f>
        <v>Type</v>
      </c>
      <c r="G28" s="18" t="str">
        <f>IF(LEN(E27),"Item","")</f>
        <v>Item</v>
      </c>
      <c r="H28" s="19" t="str">
        <f>IF(LEN(E27),"Move 1","")</f>
        <v>Move 1</v>
      </c>
      <c r="I28" s="20" t="str">
        <f>IF(LEN(E27),"PP","")</f>
        <v>PP</v>
      </c>
      <c r="J28" s="19" t="str">
        <f>IF(LEN(E27),"Move 2","")</f>
        <v>Move 2</v>
      </c>
      <c r="K28" s="19"/>
      <c r="L28" s="19" t="str">
        <f>IF(LEN(E27),"Move 3","")</f>
        <v>Move 3</v>
      </c>
      <c r="M28" s="19"/>
      <c r="N28" s="19" t="str">
        <f>IF(LEN(E27),"Move 4","")</f>
        <v>Move 4</v>
      </c>
      <c r="O28" s="19"/>
      <c r="P28" s="18" t="str">
        <f>IF(LEN(E27),"Nature","")</f>
        <v>Nature</v>
      </c>
      <c r="Q28" s="18" t="str">
        <f>IF(LEN(E27),"Ability","")</f>
        <v>Ability</v>
      </c>
      <c r="R28" s="18" t="str">
        <f>IF(LEN(E27),"EV – (H/A/B/C/D/S) – IV","")</f>
        <v>EV – (H/A/B/C/D/S) – IV</v>
      </c>
      <c r="T28" s="21" t="str">
        <f>IF(LEN(E27),"Speed","")</f>
        <v>Speed</v>
      </c>
      <c r="U28" s="18" t="str">
        <f>IF(LEN(E27),"HP","")</f>
        <v>HP</v>
      </c>
      <c r="V28" s="18" t="str">
        <f>IF(LEN(E27),"Atk","")</f>
        <v>Atk</v>
      </c>
      <c r="W28" s="18" t="str">
        <f>IF(LEN(E27),"Def","")</f>
        <v>Def</v>
      </c>
      <c r="X28" s="18" t="str">
        <f>IF(LEN(E27),"SpA","")</f>
        <v>SpA</v>
      </c>
      <c r="Y28" s="18" t="str">
        <f>IF(LEN(E27),"SpD","")</f>
        <v>SpD</v>
      </c>
      <c r="Z28" s="18"/>
    </row>
    <row r="29" ht="15.75" customHeight="1">
      <c r="A29" s="6" t="str">
        <f>IF(A28="","",IF(VLOOKUP(C27,TowerTrainers,7,0)=0,"",VLOOKUP(C27,TowerTrainers,7,0)))</f>
        <v>Lopunny-3</v>
      </c>
      <c r="B29" s="22">
        <f>IF(LEN(A29),VLOOKUP(A29,TowerPool,34,0),"")</f>
        <v>3</v>
      </c>
      <c r="C29" s="1"/>
      <c r="D29" s="23"/>
      <c r="E29" s="24" t="str">
        <f t="shared" ref="E29:E32" si="5">IF(LEN(A29),A29,"")</f>
        <v>Lopunny-3</v>
      </c>
      <c r="F29" s="25" t="str">
        <f>IF(LEN(A29),VLOOKUP(A29,TowerPool,33,0),"")</f>
        <v>NRM</v>
      </c>
      <c r="G29" s="24" t="str">
        <f>IF(LEN(A29),VLOOKUP(A29,TowerPool,4,0),"")</f>
        <v>Focus Band</v>
      </c>
      <c r="H29" s="26" t="str">
        <f>IF(LEN(A29),VLOOKUP(A29,TowerPool,5,0),"")</f>
        <v>Mirror Coat</v>
      </c>
      <c r="I29" s="27">
        <f>IF(LEN(A29),VLOOKUP(H29,MoveData,8,0)*8/5," ")</f>
        <v>32</v>
      </c>
      <c r="J29" s="26" t="str">
        <f>IF(LEN(A29),VLOOKUP(A29,TowerPool,6,0),"")</f>
        <v>Cosmic Power</v>
      </c>
      <c r="K29" s="27">
        <f>IF(LEN(A29),VLOOKUP(J29,MoveData,8,0)*8/5," ")</f>
        <v>32</v>
      </c>
      <c r="L29" s="26" t="str">
        <f>IF(LEN(A29),VLOOKUP(A29,TowerPool,7,0),"")</f>
        <v>Charm</v>
      </c>
      <c r="M29" s="27">
        <f>IF(LEN(A29),VLOOKUP(L29,MoveData,8,0)*8/5," ")</f>
        <v>32</v>
      </c>
      <c r="N29" s="26" t="str">
        <f>IF(LEN(A29),VLOOKUP(A29,TowerPool,8,0),"")</f>
        <v>Drain Punch</v>
      </c>
      <c r="O29" s="27">
        <f>IF(LEN(A29),VLOOKUP(N29,MoveData,8,0)*8/5," ")</f>
        <v>16</v>
      </c>
      <c r="P29" s="24" t="str">
        <f>IF(LEN(A29),VLOOKUP(A29,TowerPool,3,0),"")</f>
        <v>Careful</v>
      </c>
      <c r="Q29" s="24" t="str">
        <f>IF(LEN(A29),VLOOKUP(A29,TowerPool,9,0),"")</f>
        <v>Limber</v>
      </c>
      <c r="R29" s="25" t="str">
        <f>IF(LEN(A29),TEXTJOIN("/",0,VLOOKUP(A29,TowerPool,16,0),VLOOKUP(A29,TowerPool,17,0),VLOOKUP(A29,TowerPool,18,0),VLOOKUP(A29,TowerPool,19,0),VLOOKUP(A29,TowerPool,20,0),VLOOKUP(A29,TowerPool,21,0)),"")</f>
        <v>252/0/0/0/252/4</v>
      </c>
      <c r="S29" s="25" t="str">
        <f>IF(LEN(A29),TEXTJOIN("/",0,VLOOKUP(A29,TowerPool,10,0),VLOOKUP(A29,TowerPool,11,0),VLOOKUP(A29,TowerPool,12,0),VLOOKUP(A29,TowerPool,13,0),VLOOKUP(A29,TowerPool,14,0),VLOOKUP(A29,TowerPool,15,0)),"")</f>
        <v>31/31/31/31/31/31</v>
      </c>
      <c r="T29" s="28">
        <f>IF(LEN(A29),VLOOKUP(A29,TowerPool,32,0),"")</f>
        <v>126</v>
      </c>
      <c r="U29" s="24">
        <f>IF(LEN(A29),VLOOKUP(A29,TowerPool,27,0),"")</f>
        <v>172</v>
      </c>
      <c r="V29" s="24">
        <f>IF(LEN(A29),VLOOKUP(A29,TowerPool,28,0),"")</f>
        <v>96</v>
      </c>
      <c r="W29" s="24">
        <f>IF(LEN(A29),VLOOKUP(A29,TowerPool,29,0),"")</f>
        <v>104</v>
      </c>
      <c r="X29" s="24">
        <f>IF(LEN(A29),VLOOKUP(A29,TowerPool,30,0),"")</f>
        <v>66</v>
      </c>
      <c r="Y29" s="24">
        <f>IF(LEN(A29),VLOOKUP(A29,TowerPool,31,0),"")</f>
        <v>162</v>
      </c>
      <c r="Z29" s="29" t="str">
        <f>IF(LEFT(D27,9)="Doubles M",B28,"")</f>
        <v>Auston</v>
      </c>
    </row>
    <row r="30" ht="15.75" customHeight="1">
      <c r="A30" s="1" t="str">
        <f>IF(A28="","",IF(VLOOKUP(C27,TowerTrainers,8,0)=0,"",VLOOKUP(C27,TowerTrainers,8,0)))</f>
        <v>Roserade-2</v>
      </c>
      <c r="B30" s="22">
        <f>IF(LEN(A30),VLOOKUP(A30,TowerPool,34,0),"")</f>
        <v>3</v>
      </c>
      <c r="C30" s="1"/>
      <c r="D30" s="23"/>
      <c r="E30" s="24" t="str">
        <f t="shared" si="5"/>
        <v>Roserade-2</v>
      </c>
      <c r="F30" s="25" t="str">
        <f>IF(LEN(A30),VLOOKUP(A30,TowerPool,33,0),"")</f>
        <v>GRS/PSN</v>
      </c>
      <c r="G30" s="24" t="str">
        <f>IF(LEN(A30),VLOOKUP(A30,TowerPool,4,0),"")</f>
        <v>White Herb</v>
      </c>
      <c r="H30" s="26" t="str">
        <f>IF(LEN(A30),VLOOKUP(A30,TowerPool,5,0),"")</f>
        <v>Leaf Storm</v>
      </c>
      <c r="I30" s="27">
        <f>IF(LEN(A30),VLOOKUP(H30,MoveData,8,0)*8/5," ")</f>
        <v>8</v>
      </c>
      <c r="J30" s="26" t="str">
        <f>IF(LEN(A30),VLOOKUP(A30,TowerPool,6,0),"")</f>
        <v>Sludge Bomb</v>
      </c>
      <c r="K30" s="27">
        <f>IF(LEN(A30),VLOOKUP(J30,MoveData,8,0)*8/5," ")</f>
        <v>16</v>
      </c>
      <c r="L30" s="26" t="str">
        <f>IF(LEN(A30),VLOOKUP(A30,TowerPool,7,0),"")</f>
        <v>Shadow Ball</v>
      </c>
      <c r="M30" s="27">
        <f>IF(LEN(A30),VLOOKUP(L30,MoveData,8,0)*8/5," ")</f>
        <v>24</v>
      </c>
      <c r="N30" s="26" t="str">
        <f>IF(LEN(A30),VLOOKUP(A30,TowerPool,8,0),"")</f>
        <v>Dazzling Gleam</v>
      </c>
      <c r="O30" s="27">
        <f>IF(LEN(A30),VLOOKUP(N30,MoveData,8,0)*8/5," ")</f>
        <v>16</v>
      </c>
      <c r="P30" s="24" t="str">
        <f>IF(LEN(A30),VLOOKUP(A30,TowerPool,3,0),"")</f>
        <v>Timid</v>
      </c>
      <c r="Q30" s="24" t="str">
        <f>IF(LEN(A30),VLOOKUP(A30,TowerPool,9,0),"")</f>
        <v>Poison Point</v>
      </c>
      <c r="R30" s="25" t="str">
        <f>IF(LEN(A30),TEXTJOIN("/",0,VLOOKUP(A30,TowerPool,16,0),VLOOKUP(A30,TowerPool,17,0),VLOOKUP(A30,TowerPool,18,0),VLOOKUP(A30,TowerPool,19,0),VLOOKUP(A30,TowerPool,20,0),VLOOKUP(A30,TowerPool,21,0)),"")</f>
        <v>4/0/0/252/0/252</v>
      </c>
      <c r="S30" s="25" t="str">
        <f>IF(LEN(A30),TEXTJOIN("/",0,VLOOKUP(A30,TowerPool,10,0),VLOOKUP(A30,TowerPool,11,0),VLOOKUP(A30,TowerPool,12,0),VLOOKUP(A30,TowerPool,13,0),VLOOKUP(A30,TowerPool,14,0),VLOOKUP(A30,TowerPool,15,0)),"")</f>
        <v>31/0/31/31/31/31</v>
      </c>
      <c r="T30" s="28">
        <f>IF(LEN(A30),VLOOKUP(A30,TowerPool,32,0),"")</f>
        <v>156</v>
      </c>
      <c r="U30" s="24">
        <f>IF(LEN(A30),VLOOKUP(A30,TowerPool,27,0),"")</f>
        <v>136</v>
      </c>
      <c r="V30" s="24">
        <f>IF(LEN(A30),VLOOKUP(A30,TowerPool,28,0),"")</f>
        <v>67</v>
      </c>
      <c r="W30" s="24">
        <f>IF(LEN(A30),VLOOKUP(A30,TowerPool,29,0),"")</f>
        <v>85</v>
      </c>
      <c r="X30" s="24">
        <f>IF(LEN(A30),VLOOKUP(A30,TowerPool,30,0),"")</f>
        <v>177</v>
      </c>
      <c r="Y30" s="24">
        <f>IF(LEN(A30),VLOOKUP(A30,TowerPool,31,0),"")</f>
        <v>125</v>
      </c>
      <c r="Z30" s="30"/>
    </row>
    <row r="31" ht="15.75" customHeight="1">
      <c r="A31" s="1" t="str">
        <f>IF(A28="","",IF(VLOOKUP(C27,TowerTrainers,9,0)=0,"",VLOOKUP(C27,TowerTrainers,9,0)))</f>
        <v>Scizor-3</v>
      </c>
      <c r="B31" s="22">
        <f>IF(LEN(A31),VLOOKUP(A31,TowerPool,34,0),"")</f>
        <v>3</v>
      </c>
      <c r="C31" s="1"/>
      <c r="D31" s="23"/>
      <c r="E31" s="24" t="str">
        <f t="shared" si="5"/>
        <v>Scizor-3</v>
      </c>
      <c r="F31" s="25" t="str">
        <f>IF(LEN(A31),VLOOKUP(A31,TowerPool,33,0),"")</f>
        <v>BUG/STL</v>
      </c>
      <c r="G31" s="24" t="str">
        <f>IF(LEN(A31),VLOOKUP(A31,TowerPool,4,0),"")</f>
        <v>Occa Berry</v>
      </c>
      <c r="H31" s="26" t="str">
        <f>IF(LEN(A31),VLOOKUP(A31,TowerPool,5,0),"")</f>
        <v>X-Scissor</v>
      </c>
      <c r="I31" s="27">
        <f>IF(LEN(A31),VLOOKUP(H31,MoveData,8,0)*8/5," ")</f>
        <v>24</v>
      </c>
      <c r="J31" s="26" t="str">
        <f>IF(LEN(A31),VLOOKUP(A31,TowerPool,6,0),"")</f>
        <v>Iron Head</v>
      </c>
      <c r="K31" s="27">
        <f>IF(LEN(A31),VLOOKUP(J31,MoveData,8,0)*8/5," ")</f>
        <v>24</v>
      </c>
      <c r="L31" s="26" t="str">
        <f>IF(LEN(A31),VLOOKUP(A31,TowerPool,7,0),"")</f>
        <v>Aerial Ace</v>
      </c>
      <c r="M31" s="27">
        <f>IF(LEN(A31),VLOOKUP(L31,MoveData,8,0)*8/5," ")</f>
        <v>32</v>
      </c>
      <c r="N31" s="26" t="str">
        <f>IF(LEN(A31),VLOOKUP(A31,TowerPool,8,0),"")</f>
        <v>Night Slash</v>
      </c>
      <c r="O31" s="27">
        <f>IF(LEN(A31),VLOOKUP(N31,MoveData,8,0)*8/5," ")</f>
        <v>24</v>
      </c>
      <c r="P31" s="24" t="str">
        <f>IF(LEN(A31),VLOOKUP(A31,TowerPool,3,0),"")</f>
        <v>Adamant</v>
      </c>
      <c r="Q31" s="24" t="str">
        <f>IF(LEN(A31),VLOOKUP(A31,TowerPool,9,0),"")</f>
        <v>Swarm</v>
      </c>
      <c r="R31" s="25" t="str">
        <f>IF(LEN(A31),TEXTJOIN("/",0,VLOOKUP(A31,TowerPool,16,0),VLOOKUP(A31,TowerPool,17,0),VLOOKUP(A31,TowerPool,18,0),VLOOKUP(A31,TowerPool,19,0),VLOOKUP(A31,TowerPool,20,0),VLOOKUP(A31,TowerPool,21,0)),"")</f>
        <v>236/252/20/0/0/0</v>
      </c>
      <c r="S31" s="25" t="str">
        <f>IF(LEN(A31),TEXTJOIN("/",0,VLOOKUP(A31,TowerPool,10,0),VLOOKUP(A31,TowerPool,11,0),VLOOKUP(A31,TowerPool,12,0),VLOOKUP(A31,TowerPool,13,0),VLOOKUP(A31,TowerPool,14,0),VLOOKUP(A31,TowerPool,15,0)),"")</f>
        <v>31/31/31/31/31/31</v>
      </c>
      <c r="T31" s="28">
        <f>IF(LEN(A31),VLOOKUP(A31,TowerPool,32,0),"")</f>
        <v>85</v>
      </c>
      <c r="U31" s="24">
        <f>IF(LEN(A31),VLOOKUP(A31,TowerPool,27,0),"")</f>
        <v>175</v>
      </c>
      <c r="V31" s="24">
        <f>IF(LEN(A31),VLOOKUP(A31,TowerPool,28,0),"")</f>
        <v>200</v>
      </c>
      <c r="W31" s="24">
        <f>IF(LEN(A31),VLOOKUP(A31,TowerPool,29,0),"")</f>
        <v>123</v>
      </c>
      <c r="X31" s="24">
        <f>IF(LEN(A31),VLOOKUP(A31,TowerPool,30,0),"")</f>
        <v>67</v>
      </c>
      <c r="Y31" s="24">
        <f>IF(LEN(A31),VLOOKUP(A31,TowerPool,31,0),"")</f>
        <v>100</v>
      </c>
      <c r="Z31" s="29" t="str">
        <f>IF(LEFT(D27,9)="Doubles M",D28,"")</f>
        <v>Brant</v>
      </c>
    </row>
    <row r="32" ht="15.75" customHeight="1">
      <c r="A32" s="1" t="str">
        <f>IF(A28="","",IF(VLOOKUP(C27,TowerTrainers,10,0)=0,"",VLOOKUP(C27,TowerTrainers,10,0)))</f>
        <v>Skuntank-3</v>
      </c>
      <c r="B32" s="22">
        <f>IF(LEN(A32),VLOOKUP(A32,TowerPool,34,0),"")</f>
        <v>3</v>
      </c>
      <c r="C32" s="1"/>
      <c r="D32" s="23"/>
      <c r="E32" s="24" t="str">
        <f t="shared" si="5"/>
        <v>Skuntank-3</v>
      </c>
      <c r="F32" s="25" t="str">
        <f>IF(LEN(A32),VLOOKUP(A32,TowerPool,33,0),"")</f>
        <v>PSN/DRK</v>
      </c>
      <c r="G32" s="24" t="str">
        <f>IF(LEN(A32),VLOOKUP(A32,TowerPool,4,0),"")</f>
        <v>Shuca Berry</v>
      </c>
      <c r="H32" s="26" t="str">
        <f>IF(LEN(A32),VLOOKUP(A32,TowerPool,5,0),"")</f>
        <v>Night Slash</v>
      </c>
      <c r="I32" s="27">
        <f>IF(LEN(A32),VLOOKUP(H32,MoveData,8,0)*8/5," ")</f>
        <v>24</v>
      </c>
      <c r="J32" s="26" t="str">
        <f>IF(LEN(A32),VLOOKUP(A32,TowerPool,6,0),"")</f>
        <v>Poison Jab</v>
      </c>
      <c r="K32" s="27">
        <f>IF(LEN(A32),VLOOKUP(J32,MoveData,8,0)*8/5," ")</f>
        <v>32</v>
      </c>
      <c r="L32" s="26" t="str">
        <f>IF(LEN(A32),VLOOKUP(A32,TowerPool,7,0),"")</f>
        <v>Explosion</v>
      </c>
      <c r="M32" s="27">
        <f>IF(LEN(A32),VLOOKUP(L32,MoveData,8,0)*8/5," ")</f>
        <v>8</v>
      </c>
      <c r="N32" s="26" t="str">
        <f>IF(LEN(A32),VLOOKUP(A32,TowerPool,8,0),"")</f>
        <v>Flamethrower</v>
      </c>
      <c r="O32" s="27">
        <f>IF(LEN(A32),VLOOKUP(N32,MoveData,8,0)*8/5," ")</f>
        <v>24</v>
      </c>
      <c r="P32" s="24" t="str">
        <f>IF(LEN(A32),VLOOKUP(A32,TowerPool,3,0),"")</f>
        <v>Jolly</v>
      </c>
      <c r="Q32" s="24" t="str">
        <f>IF(LEN(A32),VLOOKUP(A32,TowerPool,9,0),"")</f>
        <v>Aftermath</v>
      </c>
      <c r="R32" s="25" t="str">
        <f>IF(LEN(A32),TEXTJOIN("/",0,VLOOKUP(A32,TowerPool,16,0),VLOOKUP(A32,TowerPool,17,0),VLOOKUP(A32,TowerPool,18,0),VLOOKUP(A32,TowerPool,19,0),VLOOKUP(A32,TowerPool,20,0),VLOOKUP(A32,TowerPool,21,0)),"")</f>
        <v>4/252/0/0/0/252</v>
      </c>
      <c r="S32" s="25" t="str">
        <f>IF(LEN(A32),TEXTJOIN("/",0,VLOOKUP(A32,TowerPool,10,0),VLOOKUP(A32,TowerPool,11,0),VLOOKUP(A32,TowerPool,12,0),VLOOKUP(A32,TowerPool,13,0),VLOOKUP(A32,TowerPool,14,0),VLOOKUP(A32,TowerPool,15,0)),"")</f>
        <v>31/31/31/31/31/31</v>
      </c>
      <c r="T32" s="28">
        <f>IF(LEN(A32),VLOOKUP(A32,TowerPool,32,0),"")</f>
        <v>149</v>
      </c>
      <c r="U32" s="24">
        <f>IF(LEN(A32),VLOOKUP(A32,TowerPool,27,0),"")</f>
        <v>179</v>
      </c>
      <c r="V32" s="24">
        <f>IF(LEN(A32),VLOOKUP(A32,TowerPool,28,0),"")</f>
        <v>145</v>
      </c>
      <c r="W32" s="24">
        <f>IF(LEN(A32),VLOOKUP(A32,TowerPool,29,0),"")</f>
        <v>87</v>
      </c>
      <c r="X32" s="24">
        <f>IF(LEN(A32),VLOOKUP(A32,TowerPool,30,0),"")</f>
        <v>81</v>
      </c>
      <c r="Y32" s="24">
        <f>IF(LEN(A32),VLOOKUP(A32,TowerPool,31,0),"")</f>
        <v>81</v>
      </c>
      <c r="Z32" s="30"/>
    </row>
    <row r="33" ht="15.75" customHeight="1">
      <c r="A33" s="1">
        <f>IF(A27="","",IFERROR(FIND(",",B$2,A27+1),""))</f>
        <v>26</v>
      </c>
      <c r="B33" s="1">
        <f>B27+1</f>
        <v>6</v>
      </c>
      <c r="C33" s="1">
        <f>IF(LEN(A33),VALUE(MID(B$2,A27+1,A33-A27-1)),"")</f>
        <v>1838</v>
      </c>
      <c r="D33" s="1" t="str">
        <f>IF(LEN(A33),VLOOKUP(C33,TowerTrainers,6),"")</f>
        <v>Doubles Master</v>
      </c>
      <c r="E33" s="14" t="str">
        <f>IF(LEN(C33),"Team #"&amp;B33&amp;" - "&amp;D33&amp;" - "&amp;A34&amp; " "&amp;B34&amp;IF(C34=0,""," and "&amp;C34&amp;" "&amp;D34),"")</f>
        <v>Team #6 - Doubles Master - PI Auston and PI Codi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6"/>
    </row>
    <row r="34" ht="15.75" customHeight="1">
      <c r="A34" s="7" t="str">
        <f>IF(LEN(C33),VLOOKUP(C33,TowerTrainers,3,0),"")</f>
        <v>PI</v>
      </c>
      <c r="B34" s="17" t="str">
        <f>IF(LEN(C33),VLOOKUP(C33,TowerTrainers,2,0),"")</f>
        <v>Auston</v>
      </c>
      <c r="C34" s="17" t="str">
        <f>IF(LEN(C33),VLOOKUP(C33,TowerTrainers,5,0),"")</f>
        <v>PI</v>
      </c>
      <c r="D34" s="17" t="str">
        <f>IF(LEN(C33),VLOOKUP(C33,TowerTrainers,4),"")</f>
        <v>Codi</v>
      </c>
      <c r="E34" s="18" t="str">
        <f>IF(LEN(E33),"Set","")</f>
        <v>Set</v>
      </c>
      <c r="F34" s="18" t="str">
        <f>IF(LEN(E33),"Type","")</f>
        <v>Type</v>
      </c>
      <c r="G34" s="18" t="str">
        <f>IF(LEN(E33),"Item","")</f>
        <v>Item</v>
      </c>
      <c r="H34" s="19" t="str">
        <f>IF(LEN(E33),"Move 1","")</f>
        <v>Move 1</v>
      </c>
      <c r="I34" s="20" t="str">
        <f>IF(LEN(E33),"PP","")</f>
        <v>PP</v>
      </c>
      <c r="J34" s="19" t="str">
        <f>IF(LEN(E33),"Move 2","")</f>
        <v>Move 2</v>
      </c>
      <c r="K34" s="19"/>
      <c r="L34" s="19" t="str">
        <f>IF(LEN(E33),"Move 3","")</f>
        <v>Move 3</v>
      </c>
      <c r="M34" s="19"/>
      <c r="N34" s="19" t="str">
        <f>IF(LEN(E33),"Move 4","")</f>
        <v>Move 4</v>
      </c>
      <c r="O34" s="19"/>
      <c r="P34" s="18" t="str">
        <f>IF(LEN(E33),"Nature","")</f>
        <v>Nature</v>
      </c>
      <c r="Q34" s="18" t="str">
        <f>IF(LEN(E33),"Ability","")</f>
        <v>Ability</v>
      </c>
      <c r="R34" s="18" t="str">
        <f>IF(LEN(E33),"EV – (H/A/B/C/D/S) – IV","")</f>
        <v>EV – (H/A/B/C/D/S) – IV</v>
      </c>
      <c r="T34" s="21" t="str">
        <f>IF(LEN(E33),"Speed","")</f>
        <v>Speed</v>
      </c>
      <c r="U34" s="18" t="str">
        <f>IF(LEN(E33),"HP","")</f>
        <v>HP</v>
      </c>
      <c r="V34" s="18" t="str">
        <f>IF(LEN(E33),"Atk","")</f>
        <v>Atk</v>
      </c>
      <c r="W34" s="18" t="str">
        <f>IF(LEN(E33),"Def","")</f>
        <v>Def</v>
      </c>
      <c r="X34" s="18" t="str">
        <f>IF(LEN(E33),"SpA","")</f>
        <v>SpA</v>
      </c>
      <c r="Y34" s="18" t="str">
        <f>IF(LEN(E33),"SpD","")</f>
        <v>SpD</v>
      </c>
      <c r="Z34" s="18"/>
    </row>
    <row r="35" ht="15.75" customHeight="1">
      <c r="A35" s="6" t="str">
        <f>IF(A34="","",IF(VLOOKUP(C33,TowerTrainers,7,0)=0,"",VLOOKUP(C33,TowerTrainers,7,0)))</f>
        <v>Mismagius-2</v>
      </c>
      <c r="B35" s="22">
        <f>IF(LEN(A35),VLOOKUP(A35,TowerPool,34,0),"")</f>
        <v>3</v>
      </c>
      <c r="C35" s="1"/>
      <c r="D35" s="23"/>
      <c r="E35" s="24" t="str">
        <f t="shared" ref="E35:E38" si="6">IF(LEN(A35),A35,"")</f>
        <v>Mismagius-2</v>
      </c>
      <c r="F35" s="25" t="str">
        <f>IF(LEN(A35),VLOOKUP(A35,TowerPool,33,0),"")</f>
        <v>GHO</v>
      </c>
      <c r="G35" s="24" t="str">
        <f>IF(LEN(A35),VLOOKUP(A35,TowerPool,4,0),"")</f>
        <v>Leftovers</v>
      </c>
      <c r="H35" s="26" t="str">
        <f>IF(LEN(A35),VLOOKUP(A35,TowerPool,5,0),"")</f>
        <v>Shadow Ball</v>
      </c>
      <c r="I35" s="27">
        <f>IF(LEN(A35),VLOOKUP(H35,MoveData,8,0)*8/5," ")</f>
        <v>24</v>
      </c>
      <c r="J35" s="26" t="str">
        <f>IF(LEN(A35),VLOOKUP(A35,TowerPool,6,0),"")</f>
        <v>Dark Pulse</v>
      </c>
      <c r="K35" s="27">
        <f>IF(LEN(A35),VLOOKUP(J35,MoveData,8,0)*8/5," ")</f>
        <v>24</v>
      </c>
      <c r="L35" s="26" t="str">
        <f>IF(LEN(A35),VLOOKUP(A35,TowerPool,7,0),"")</f>
        <v>Charge Beam</v>
      </c>
      <c r="M35" s="27">
        <f>IF(LEN(A35),VLOOKUP(L35,MoveData,8,0)*8/5," ")</f>
        <v>16</v>
      </c>
      <c r="N35" s="26" t="str">
        <f>IF(LEN(A35),VLOOKUP(A35,TowerPool,8,0),"")</f>
        <v>Imprison</v>
      </c>
      <c r="O35" s="27">
        <f>IF(LEN(A35),VLOOKUP(N35,MoveData,8,0)*8/5," ")</f>
        <v>16</v>
      </c>
      <c r="P35" s="24" t="str">
        <f>IF(LEN(A35),VLOOKUP(A35,TowerPool,3,0),"")</f>
        <v>Timid</v>
      </c>
      <c r="Q35" s="24" t="str">
        <f>IF(LEN(A35),VLOOKUP(A35,TowerPool,9,0),"")</f>
        <v>Levitate</v>
      </c>
      <c r="R35" s="25" t="str">
        <f>IF(LEN(A35),TEXTJOIN("/",0,VLOOKUP(A35,TowerPool,16,0),VLOOKUP(A35,TowerPool,17,0),VLOOKUP(A35,TowerPool,18,0),VLOOKUP(A35,TowerPool,19,0),VLOOKUP(A35,TowerPool,20,0),VLOOKUP(A35,TowerPool,21,0)),"")</f>
        <v>4/0/0/252/0/252</v>
      </c>
      <c r="S35" s="25" t="str">
        <f>IF(LEN(A35),TEXTJOIN("/",0,VLOOKUP(A35,TowerPool,10,0),VLOOKUP(A35,TowerPool,11,0),VLOOKUP(A35,TowerPool,12,0),VLOOKUP(A35,TowerPool,13,0),VLOOKUP(A35,TowerPool,14,0),VLOOKUP(A35,TowerPool,15,0)),"")</f>
        <v>31/0/31/31/31/31</v>
      </c>
      <c r="T35" s="28">
        <f>IF(LEN(A35),VLOOKUP(A35,TowerPool,32,0),"")</f>
        <v>172</v>
      </c>
      <c r="U35" s="24">
        <f>IF(LEN(A35),VLOOKUP(A35,TowerPool,27,0),"")</f>
        <v>136</v>
      </c>
      <c r="V35" s="24">
        <f>IF(LEN(A35),VLOOKUP(A35,TowerPool,28,0),"")</f>
        <v>58</v>
      </c>
      <c r="W35" s="24">
        <f>IF(LEN(A35),VLOOKUP(A35,TowerPool,29,0),"")</f>
        <v>80</v>
      </c>
      <c r="X35" s="24">
        <f>IF(LEN(A35),VLOOKUP(A35,TowerPool,30,0),"")</f>
        <v>157</v>
      </c>
      <c r="Y35" s="24">
        <f>IF(LEN(A35),VLOOKUP(A35,TowerPool,31,0),"")</f>
        <v>125</v>
      </c>
      <c r="Z35" s="29" t="str">
        <f>IF(LEFT(D33,9)="Doubles M",B34,"")</f>
        <v>Auston</v>
      </c>
    </row>
    <row r="36" ht="15.75" customHeight="1">
      <c r="A36" s="1" t="str">
        <f>IF(A34="","",IF(VLOOKUP(C33,TowerTrainers,8,0)=0,"",VLOOKUP(C33,TowerTrainers,8,0)))</f>
        <v>Feraligatr-3</v>
      </c>
      <c r="B36" s="22">
        <f>IF(LEN(A36),VLOOKUP(A36,TowerPool,34,0),"")</f>
        <v>3</v>
      </c>
      <c r="C36" s="1"/>
      <c r="D36" s="23"/>
      <c r="E36" s="24" t="str">
        <f t="shared" si="6"/>
        <v>Feraligatr-3</v>
      </c>
      <c r="F36" s="25" t="str">
        <f>IF(LEN(A36),VLOOKUP(A36,TowerPool,33,0),"")</f>
        <v>WTR</v>
      </c>
      <c r="G36" s="24" t="str">
        <f>IF(LEN(A36),VLOOKUP(A36,TowerPool,4,0),"")</f>
        <v>Wacan Berry</v>
      </c>
      <c r="H36" s="26" t="str">
        <f>IF(LEN(A36),VLOOKUP(A36,TowerPool,5,0),"")</f>
        <v>Waterfall</v>
      </c>
      <c r="I36" s="27">
        <f>IF(LEN(A36),VLOOKUP(H36,MoveData,8,0)*8/5," ")</f>
        <v>24</v>
      </c>
      <c r="J36" s="26" t="str">
        <f>IF(LEN(A36),VLOOKUP(A36,TowerPool,6,0),"")</f>
        <v>Earthquake</v>
      </c>
      <c r="K36" s="27">
        <f>IF(LEN(A36),VLOOKUP(J36,MoveData,8,0)*8/5," ")</f>
        <v>16</v>
      </c>
      <c r="L36" s="26" t="str">
        <f>IF(LEN(A36),VLOOKUP(A36,TowerPool,7,0),"")</f>
        <v>Ice Fang</v>
      </c>
      <c r="M36" s="27">
        <f>IF(LEN(A36),VLOOKUP(L36,MoveData,8,0)*8/5," ")</f>
        <v>24</v>
      </c>
      <c r="N36" s="26" t="str">
        <f>IF(LEN(A36),VLOOKUP(A36,TowerPool,8,0),"")</f>
        <v>Dragon Dance</v>
      </c>
      <c r="O36" s="27">
        <f>IF(LEN(A36),VLOOKUP(N36,MoveData,8,0)*8/5," ")</f>
        <v>32</v>
      </c>
      <c r="P36" s="24" t="str">
        <f>IF(LEN(A36),VLOOKUP(A36,TowerPool,3,0),"")</f>
        <v>Adamant</v>
      </c>
      <c r="Q36" s="24" t="str">
        <f>IF(LEN(A36),VLOOKUP(A36,TowerPool,9,0),"")</f>
        <v>Torrent</v>
      </c>
      <c r="R36" s="25" t="str">
        <f>IF(LEN(A36),TEXTJOIN("/",0,VLOOKUP(A36,TowerPool,16,0),VLOOKUP(A36,TowerPool,17,0),VLOOKUP(A36,TowerPool,18,0),VLOOKUP(A36,TowerPool,19,0),VLOOKUP(A36,TowerPool,20,0),VLOOKUP(A36,TowerPool,21,0)),"")</f>
        <v>4/252/0/0/0/252</v>
      </c>
      <c r="S36" s="25" t="str">
        <f>IF(LEN(A36),TEXTJOIN("/",0,VLOOKUP(A36,TowerPool,10,0),VLOOKUP(A36,TowerPool,11,0),VLOOKUP(A36,TowerPool,12,0),VLOOKUP(A36,TowerPool,13,0),VLOOKUP(A36,TowerPool,14,0),VLOOKUP(A36,TowerPool,15,0)),"")</f>
        <v>31/31/31/0/31/31</v>
      </c>
      <c r="T36" s="28">
        <f>IF(LEN(A36),VLOOKUP(A36,TowerPool,32,0),"")</f>
        <v>130</v>
      </c>
      <c r="U36" s="24">
        <f>IF(LEN(A36),VLOOKUP(A36,TowerPool,27,0),"")</f>
        <v>161</v>
      </c>
      <c r="V36" s="24">
        <f>IF(LEN(A36),VLOOKUP(A36,TowerPool,28,0),"")</f>
        <v>172</v>
      </c>
      <c r="W36" s="24">
        <f>IF(LEN(A36),VLOOKUP(A36,TowerPool,29,0),"")</f>
        <v>120</v>
      </c>
      <c r="X36" s="24">
        <f>IF(LEN(A36),VLOOKUP(A36,TowerPool,30,0),"")</f>
        <v>75</v>
      </c>
      <c r="Y36" s="24">
        <f>IF(LEN(A36),VLOOKUP(A36,TowerPool,31,0),"")</f>
        <v>103</v>
      </c>
      <c r="Z36" s="30"/>
    </row>
    <row r="37" ht="15.75" customHeight="1">
      <c r="A37" s="1" t="str">
        <f>IF(A34="","",IF(VLOOKUP(C33,TowerTrainers,9,0)=0,"",VLOOKUP(C33,TowerTrainers,9,0)))</f>
        <v>Whiscash-3</v>
      </c>
      <c r="B37" s="22">
        <f>IF(LEN(A37),VLOOKUP(A37,TowerPool,34,0),"")</f>
        <v>3</v>
      </c>
      <c r="C37" s="1"/>
      <c r="D37" s="23"/>
      <c r="E37" s="24" t="str">
        <f t="shared" si="6"/>
        <v>Whiscash-3</v>
      </c>
      <c r="F37" s="25" t="str">
        <f>IF(LEN(A37),VLOOKUP(A37,TowerPool,33,0),"")</f>
        <v>WTR/GRD</v>
      </c>
      <c r="G37" s="24" t="str">
        <f>IF(LEN(A37),VLOOKUP(A37,TowerPool,4,0),"")</f>
        <v>Zoom Lens</v>
      </c>
      <c r="H37" s="26" t="str">
        <f>IF(LEN(A37),VLOOKUP(A37,TowerPool,5,0),"")</f>
        <v>Hydro Pump</v>
      </c>
      <c r="I37" s="27">
        <f>IF(LEN(A37),VLOOKUP(H37,MoveData,8,0)*8/5," ")</f>
        <v>8</v>
      </c>
      <c r="J37" s="26" t="str">
        <f>IF(LEN(A37),VLOOKUP(A37,TowerPool,6,0),"")</f>
        <v>Blizzard</v>
      </c>
      <c r="K37" s="27">
        <f>IF(LEN(A37),VLOOKUP(J37,MoveData,8,0)*8/5," ")</f>
        <v>8</v>
      </c>
      <c r="L37" s="26" t="str">
        <f>IF(LEN(A37),VLOOKUP(A37,TowerPool,7,0),"")</f>
        <v>Fissure</v>
      </c>
      <c r="M37" s="27">
        <f>IF(LEN(A37),VLOOKUP(L37,MoveData,8,0)*8/5," ")</f>
        <v>8</v>
      </c>
      <c r="N37" s="26" t="str">
        <f>IF(LEN(A37),VLOOKUP(A37,TowerPool,8,0),"")</f>
        <v>Future Sight</v>
      </c>
      <c r="O37" s="27">
        <f>IF(LEN(A37),VLOOKUP(N37,MoveData,8,0)*8/5," ")</f>
        <v>16</v>
      </c>
      <c r="P37" s="24" t="str">
        <f>IF(LEN(A37),VLOOKUP(A37,TowerPool,3,0),"")</f>
        <v>Modest</v>
      </c>
      <c r="Q37" s="24" t="str">
        <f>IF(LEN(A37),VLOOKUP(A37,TowerPool,9,0),"")</f>
        <v>Oblivious</v>
      </c>
      <c r="R37" s="25" t="str">
        <f>IF(LEN(A37),TEXTJOIN("/",0,VLOOKUP(A37,TowerPool,16,0),VLOOKUP(A37,TowerPool,17,0),VLOOKUP(A37,TowerPool,18,0),VLOOKUP(A37,TowerPool,19,0),VLOOKUP(A37,TowerPool,20,0),VLOOKUP(A37,TowerPool,21,0)),"")</f>
        <v>252/0/4/252/0/0</v>
      </c>
      <c r="S37" s="25" t="str">
        <f>IF(LEN(A37),TEXTJOIN("/",0,VLOOKUP(A37,TowerPool,10,0),VLOOKUP(A37,TowerPool,11,0),VLOOKUP(A37,TowerPool,12,0),VLOOKUP(A37,TowerPool,13,0),VLOOKUP(A37,TowerPool,14,0),VLOOKUP(A37,TowerPool,15,0)),"")</f>
        <v>31/0/31/31/31/31</v>
      </c>
      <c r="T37" s="28">
        <f>IF(LEN(A37),VLOOKUP(A37,TowerPool,32,0),"")</f>
        <v>80</v>
      </c>
      <c r="U37" s="24">
        <f>IF(LEN(A37),VLOOKUP(A37,TowerPool,27,0),"")</f>
        <v>217</v>
      </c>
      <c r="V37" s="24">
        <f>IF(LEN(A37),VLOOKUP(A37,TowerPool,28,0),"")</f>
        <v>74</v>
      </c>
      <c r="W37" s="24">
        <f>IF(LEN(A37),VLOOKUP(A37,TowerPool,29,0),"")</f>
        <v>94</v>
      </c>
      <c r="X37" s="24">
        <f>IF(LEN(A37),VLOOKUP(A37,TowerPool,30,0),"")</f>
        <v>140</v>
      </c>
      <c r="Y37" s="24">
        <f>IF(LEN(A37),VLOOKUP(A37,TowerPool,31,0),"")</f>
        <v>91</v>
      </c>
      <c r="Z37" s="29" t="str">
        <f>IF(LEFT(D33,9)="Doubles M",D34,"")</f>
        <v>Codi</v>
      </c>
    </row>
    <row r="38" ht="15.75" customHeight="1">
      <c r="A38" s="1" t="str">
        <f>IF(A34="","",IF(VLOOKUP(C33,TowerTrainers,10,0)=0,"",VLOOKUP(C33,TowerTrainers,10,0)))</f>
        <v>Suicune-4</v>
      </c>
      <c r="B38" s="22">
        <f>IF(LEN(A38),VLOOKUP(A38,TowerPool,34,0),"")</f>
        <v>3</v>
      </c>
      <c r="C38" s="1"/>
      <c r="D38" s="23"/>
      <c r="E38" s="24" t="str">
        <f t="shared" si="6"/>
        <v>Suicune-4</v>
      </c>
      <c r="F38" s="25" t="str">
        <f>IF(LEN(A38),VLOOKUP(A38,TowerPool,33,0),"")</f>
        <v>WTR</v>
      </c>
      <c r="G38" s="24" t="str">
        <f>IF(LEN(A38),VLOOKUP(A38,TowerPool,4,0),"")</f>
        <v>Chesto Berry</v>
      </c>
      <c r="H38" s="26" t="str">
        <f>IF(LEN(A38),VLOOKUP(A38,TowerPool,5,0),"")</f>
        <v>Calm Mind</v>
      </c>
      <c r="I38" s="27">
        <f>IF(LEN(A38),VLOOKUP(H38,MoveData,8,0)*8/5," ")</f>
        <v>32</v>
      </c>
      <c r="J38" s="26" t="str">
        <f>IF(LEN(A38),VLOOKUP(A38,TowerPool,6,0),"")</f>
        <v>Rest</v>
      </c>
      <c r="K38" s="27">
        <f>IF(LEN(A38),VLOOKUP(J38,MoveData,8,0)*8/5," ")</f>
        <v>16</v>
      </c>
      <c r="L38" s="26" t="str">
        <f>IF(LEN(A38),VLOOKUP(A38,TowerPool,7,0),"")</f>
        <v>Scald</v>
      </c>
      <c r="M38" s="27">
        <f>IF(LEN(A38),VLOOKUP(L38,MoveData,8,0)*8/5," ")</f>
        <v>24</v>
      </c>
      <c r="N38" s="26" t="str">
        <f>IF(LEN(A38),VLOOKUP(A38,TowerPool,8,0),"")</f>
        <v>Ice Beam</v>
      </c>
      <c r="O38" s="27">
        <f>IF(LEN(A38),VLOOKUP(N38,MoveData,8,0)*8/5," ")</f>
        <v>16</v>
      </c>
      <c r="P38" s="24" t="str">
        <f>IF(LEN(A38),VLOOKUP(A38,TowerPool,3,0),"")</f>
        <v>Bold</v>
      </c>
      <c r="Q38" s="24" t="str">
        <f>IF(LEN(A38),VLOOKUP(A38,TowerPool,9,0),"")</f>
        <v>Pressure</v>
      </c>
      <c r="R38" s="25" t="str">
        <f>IF(LEN(A38),TEXTJOIN("/",0,VLOOKUP(A38,TowerPool,16,0),VLOOKUP(A38,TowerPool,17,0),VLOOKUP(A38,TowerPool,18,0),VLOOKUP(A38,TowerPool,19,0),VLOOKUP(A38,TowerPool,20,0),VLOOKUP(A38,TowerPool,21,0)),"")</f>
        <v>252/0/252/0/0/4</v>
      </c>
      <c r="S38" s="25" t="str">
        <f>IF(LEN(A38),TEXTJOIN("/",0,VLOOKUP(A38,TowerPool,10,0),VLOOKUP(A38,TowerPool,11,0),VLOOKUP(A38,TowerPool,12,0),VLOOKUP(A38,TowerPool,13,0),VLOOKUP(A38,TowerPool,14,0),VLOOKUP(A38,TowerPool,15,0)),"")</f>
        <v>31/31/31/31/31/31</v>
      </c>
      <c r="T38" s="28">
        <f>IF(LEN(A38),VLOOKUP(A38,TowerPool,32,0),"")</f>
        <v>106</v>
      </c>
      <c r="U38" s="24">
        <f>IF(LEN(A38),VLOOKUP(A38,TowerPool,27,0),"")</f>
        <v>207</v>
      </c>
      <c r="V38" s="24">
        <f>IF(LEN(A38),VLOOKUP(A38,TowerPool,28,0),"")</f>
        <v>85</v>
      </c>
      <c r="W38" s="24">
        <f>IF(LEN(A38),VLOOKUP(A38,TowerPool,29,0),"")</f>
        <v>183</v>
      </c>
      <c r="X38" s="24">
        <f>IF(LEN(A38),VLOOKUP(A38,TowerPool,30,0),"")</f>
        <v>110</v>
      </c>
      <c r="Y38" s="24">
        <f>IF(LEN(A38),VLOOKUP(A38,TowerPool,31,0),"")</f>
        <v>135</v>
      </c>
      <c r="Z38" s="30"/>
    </row>
    <row r="39" ht="15.75" customHeight="1">
      <c r="A39" s="1">
        <f>IF(A33="","",IFERROR(FIND(",",B$2,A33+1),""))</f>
        <v>31</v>
      </c>
      <c r="B39" s="1">
        <f>B33+1</f>
        <v>7</v>
      </c>
      <c r="C39" s="1">
        <f>IF(LEN(A39),VALUE(MID(B$2,A33+1,A39-A33-1)),"")</f>
        <v>1861</v>
      </c>
      <c r="D39" s="1" t="str">
        <f>IF(LEN(A39),VLOOKUP(C39,TowerTrainers,6),"")</f>
        <v>Doubles Master</v>
      </c>
      <c r="E39" s="14" t="str">
        <f>IF(LEN(C39),"Team #"&amp;B39&amp;" - "&amp;D39&amp;" - "&amp;A40&amp; " "&amp;B40&amp;IF(C40=0,""," and "&amp;C40&amp;" "&amp;D40),"")</f>
        <v>Team #7 - Doubles Master - Sailor Cain and PI Auston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6"/>
    </row>
    <row r="40" ht="15.75" customHeight="1">
      <c r="A40" s="7" t="str">
        <f>IF(LEN(C39),VLOOKUP(C39,TowerTrainers,3,0),"")</f>
        <v>Sailor</v>
      </c>
      <c r="B40" s="17" t="str">
        <f>IF(LEN(C39),VLOOKUP(C39,TowerTrainers,2,0),"")</f>
        <v>Cain</v>
      </c>
      <c r="C40" s="17" t="str">
        <f>IF(LEN(C39),VLOOKUP(C39,TowerTrainers,5,0),"")</f>
        <v>PI</v>
      </c>
      <c r="D40" s="17" t="str">
        <f>IF(LEN(C39),VLOOKUP(C39,TowerTrainers,4),"")</f>
        <v>Auston</v>
      </c>
      <c r="E40" s="18" t="str">
        <f>IF(LEN(E39),"Set","")</f>
        <v>Set</v>
      </c>
      <c r="F40" s="18" t="str">
        <f>IF(LEN(E39),"Type","")</f>
        <v>Type</v>
      </c>
      <c r="G40" s="18" t="str">
        <f>IF(LEN(E39),"Item","")</f>
        <v>Item</v>
      </c>
      <c r="H40" s="19" t="str">
        <f>IF(LEN(E39),"Move 1","")</f>
        <v>Move 1</v>
      </c>
      <c r="I40" s="20" t="str">
        <f>IF(LEN(E39),"PP","")</f>
        <v>PP</v>
      </c>
      <c r="J40" s="19" t="str">
        <f>IF(LEN(E39),"Move 2","")</f>
        <v>Move 2</v>
      </c>
      <c r="K40" s="19"/>
      <c r="L40" s="19" t="str">
        <f>IF(LEN(E39),"Move 3","")</f>
        <v>Move 3</v>
      </c>
      <c r="M40" s="19"/>
      <c r="N40" s="19" t="str">
        <f>IF(LEN(E39),"Move 4","")</f>
        <v>Move 4</v>
      </c>
      <c r="O40" s="19"/>
      <c r="P40" s="18" t="str">
        <f>IF(LEN(E39),"Nature","")</f>
        <v>Nature</v>
      </c>
      <c r="Q40" s="18" t="str">
        <f>IF(LEN(E39),"Ability","")</f>
        <v>Ability</v>
      </c>
      <c r="R40" s="18" t="str">
        <f>IF(LEN(E39),"EV – (H/A/B/C/D/S) – IV","")</f>
        <v>EV – (H/A/B/C/D/S) – IV</v>
      </c>
      <c r="T40" s="21" t="str">
        <f>IF(LEN(E39),"Speed","")</f>
        <v>Speed</v>
      </c>
      <c r="U40" s="18" t="str">
        <f>IF(LEN(E39),"HP","")</f>
        <v>HP</v>
      </c>
      <c r="V40" s="18" t="str">
        <f>IF(LEN(E39),"Atk","")</f>
        <v>Atk</v>
      </c>
      <c r="W40" s="18" t="str">
        <f>IF(LEN(E39),"Def","")</f>
        <v>Def</v>
      </c>
      <c r="X40" s="18" t="str">
        <f>IF(LEN(E39),"SpA","")</f>
        <v>SpA</v>
      </c>
      <c r="Y40" s="18" t="str">
        <f>IF(LEN(E39),"SpD","")</f>
        <v>SpD</v>
      </c>
      <c r="Z40" s="18"/>
    </row>
    <row r="41" ht="15.75" customHeight="1">
      <c r="A41" s="6" t="str">
        <f>IF(A40="","",IF(VLOOKUP(C39,TowerTrainers,7,0)=0,"",VLOOKUP(C39,TowerTrainers,7,0)))</f>
        <v>Floatzel-3</v>
      </c>
      <c r="B41" s="22">
        <f>IF(LEN(A41),VLOOKUP(A41,TowerPool,34,0),"")</f>
        <v>3</v>
      </c>
      <c r="C41" s="1"/>
      <c r="D41" s="23"/>
      <c r="E41" s="24" t="str">
        <f t="shared" ref="E41:E44" si="7">IF(LEN(A41),A41,"")</f>
        <v>Floatzel-3</v>
      </c>
      <c r="F41" s="25" t="str">
        <f>IF(LEN(A41),VLOOKUP(A41,TowerPool,33,0),"")</f>
        <v>WTR</v>
      </c>
      <c r="G41" s="24" t="str">
        <f>IF(LEN(A41),VLOOKUP(A41,TowerPool,4,0),"")</f>
        <v>Bright Powder</v>
      </c>
      <c r="H41" s="26" t="str">
        <f>IF(LEN(A41),VLOOKUP(A41,TowerPool,5,0),"")</f>
        <v>Waterfall</v>
      </c>
      <c r="I41" s="27">
        <f>IF(LEN(A41),VLOOKUP(H41,MoveData,8,0)*8/5," ")</f>
        <v>24</v>
      </c>
      <c r="J41" s="26" t="str">
        <f>IF(LEN(A41),VLOOKUP(A41,TowerPool,6,0),"")</f>
        <v>Ice Fang</v>
      </c>
      <c r="K41" s="27">
        <f>IF(LEN(A41),VLOOKUP(J41,MoveData,8,0)*8/5," ")</f>
        <v>24</v>
      </c>
      <c r="L41" s="26" t="str">
        <f>IF(LEN(A41),VLOOKUP(A41,TowerPool,7,0),"")</f>
        <v>Crunch</v>
      </c>
      <c r="M41" s="27">
        <f>IF(LEN(A41),VLOOKUP(L41,MoveData,8,0)*8/5," ")</f>
        <v>24</v>
      </c>
      <c r="N41" s="26" t="str">
        <f>IF(LEN(A41),VLOOKUP(A41,TowerPool,8,0),"")</f>
        <v>Rain Dance</v>
      </c>
      <c r="O41" s="27">
        <f>IF(LEN(A41),VLOOKUP(N41,MoveData,8,0)*8/5," ")</f>
        <v>8</v>
      </c>
      <c r="P41" s="24" t="str">
        <f>IF(LEN(A41),VLOOKUP(A41,TowerPool,3,0),"")</f>
        <v>Jolly</v>
      </c>
      <c r="Q41" s="24" t="str">
        <f>IF(LEN(A41),VLOOKUP(A41,TowerPool,9,0),"")</f>
        <v>Swift Swim</v>
      </c>
      <c r="R41" s="25" t="str">
        <f>IF(LEN(A41),TEXTJOIN("/",0,VLOOKUP(A41,TowerPool,16,0),VLOOKUP(A41,TowerPool,17,0),VLOOKUP(A41,TowerPool,18,0),VLOOKUP(A41,TowerPool,19,0),VLOOKUP(A41,TowerPool,20,0),VLOOKUP(A41,TowerPool,21,0)),"")</f>
        <v>4/252/0/0/0/252</v>
      </c>
      <c r="S41" s="25" t="str">
        <f>IF(LEN(A41),TEXTJOIN("/",0,VLOOKUP(A41,TowerPool,10,0),VLOOKUP(A41,TowerPool,11,0),VLOOKUP(A41,TowerPool,12,0),VLOOKUP(A41,TowerPool,13,0),VLOOKUP(A41,TowerPool,14,0),VLOOKUP(A41,TowerPool,15,0)),"")</f>
        <v>31/31/31/31/31/31</v>
      </c>
      <c r="T41" s="28">
        <f>IF(LEN(A41),VLOOKUP(A41,TowerPool,32,0),"")</f>
        <v>183</v>
      </c>
      <c r="U41" s="24">
        <f>IF(LEN(A41),VLOOKUP(A41,TowerPool,27,0),"")</f>
        <v>161</v>
      </c>
      <c r="V41" s="24">
        <f>IF(LEN(A41),VLOOKUP(A41,TowerPool,28,0),"")</f>
        <v>157</v>
      </c>
      <c r="W41" s="24">
        <f>IF(LEN(A41),VLOOKUP(A41,TowerPool,29,0),"")</f>
        <v>75</v>
      </c>
      <c r="X41" s="24">
        <f>IF(LEN(A41),VLOOKUP(A41,TowerPool,30,0),"")</f>
        <v>94</v>
      </c>
      <c r="Y41" s="24">
        <f>IF(LEN(A41),VLOOKUP(A41,TowerPool,31,0),"")</f>
        <v>70</v>
      </c>
      <c r="Z41" s="29" t="str">
        <f>IF(LEFT(D39,9)="Doubles M",B40,"")</f>
        <v>Cain</v>
      </c>
    </row>
    <row r="42" ht="15.75" customHeight="1">
      <c r="A42" s="1" t="str">
        <f>IF(A40="","",IF(VLOOKUP(C39,TowerTrainers,8,0)=0,"",VLOOKUP(C39,TowerTrainers,8,0)))</f>
        <v>Claydol-2</v>
      </c>
      <c r="B42" s="22">
        <f>IF(LEN(A42),VLOOKUP(A42,TowerPool,34,0),"")</f>
        <v>3</v>
      </c>
      <c r="C42" s="1"/>
      <c r="D42" s="23"/>
      <c r="E42" s="24" t="str">
        <f t="shared" si="7"/>
        <v>Claydol-2</v>
      </c>
      <c r="F42" s="25" t="str">
        <f>IF(LEN(A42),VLOOKUP(A42,TowerPool,33,0),"")</f>
        <v>GRD/PSY</v>
      </c>
      <c r="G42" s="24" t="str">
        <f>IF(LEN(A42),VLOOKUP(A42,TowerPool,4,0),"")</f>
        <v>Wise Glasses</v>
      </c>
      <c r="H42" s="26" t="str">
        <f>IF(LEN(A42),VLOOKUP(A42,TowerPool,5,0),"")</f>
        <v>Calm Mind</v>
      </c>
      <c r="I42" s="27">
        <f>IF(LEN(A42),VLOOKUP(H42,MoveData,8,0)*8/5," ")</f>
        <v>32</v>
      </c>
      <c r="J42" s="26" t="str">
        <f>IF(LEN(A42),VLOOKUP(A42,TowerPool,6,0),"")</f>
        <v>Psychic</v>
      </c>
      <c r="K42" s="27">
        <f>IF(LEN(A42),VLOOKUP(J42,MoveData,8,0)*8/5," ")</f>
        <v>16</v>
      </c>
      <c r="L42" s="26" t="str">
        <f>IF(LEN(A42),VLOOKUP(A42,TowerPool,7,0),"")</f>
        <v>Earth Power</v>
      </c>
      <c r="M42" s="27">
        <f>IF(LEN(A42),VLOOKUP(L42,MoveData,8,0)*8/5," ")</f>
        <v>16</v>
      </c>
      <c r="N42" s="26" t="str">
        <f>IF(LEN(A42),VLOOKUP(A42,TowerPool,8,0),"")</f>
        <v>Ice Beam</v>
      </c>
      <c r="O42" s="27">
        <f>IF(LEN(A42),VLOOKUP(N42,MoveData,8,0)*8/5," ")</f>
        <v>16</v>
      </c>
      <c r="P42" s="24" t="str">
        <f>IF(LEN(A42),VLOOKUP(A42,TowerPool,3,0),"")</f>
        <v>Modest</v>
      </c>
      <c r="Q42" s="24" t="str">
        <f>IF(LEN(A42),VLOOKUP(A42,TowerPool,9,0),"")</f>
        <v>Levitate</v>
      </c>
      <c r="R42" s="25" t="str">
        <f>IF(LEN(A42),TEXTJOIN("/",0,VLOOKUP(A42,TowerPool,16,0),VLOOKUP(A42,TowerPool,17,0),VLOOKUP(A42,TowerPool,18,0),VLOOKUP(A42,TowerPool,19,0),VLOOKUP(A42,TowerPool,20,0),VLOOKUP(A42,TowerPool,21,0)),"")</f>
        <v>252/0/4/252/0/0</v>
      </c>
      <c r="S42" s="25" t="str">
        <f>IF(LEN(A42),TEXTJOIN("/",0,VLOOKUP(A42,TowerPool,10,0),VLOOKUP(A42,TowerPool,11,0),VLOOKUP(A42,TowerPool,12,0),VLOOKUP(A42,TowerPool,13,0),VLOOKUP(A42,TowerPool,14,0),VLOOKUP(A42,TowerPool,15,0)),"")</f>
        <v>31/0/31/31/31/31</v>
      </c>
      <c r="T42" s="28">
        <f>IF(LEN(A42),VLOOKUP(A42,TowerPool,32,0),"")</f>
        <v>95</v>
      </c>
      <c r="U42" s="24">
        <f>IF(LEN(A42),VLOOKUP(A42,TowerPool,27,0),"")</f>
        <v>167</v>
      </c>
      <c r="V42" s="24">
        <f>IF(LEN(A42),VLOOKUP(A42,TowerPool,28,0),"")</f>
        <v>67</v>
      </c>
      <c r="W42" s="24">
        <f>IF(LEN(A42),VLOOKUP(A42,TowerPool,29,0),"")</f>
        <v>126</v>
      </c>
      <c r="X42" s="24">
        <f>IF(LEN(A42),VLOOKUP(A42,TowerPool,30,0),"")</f>
        <v>134</v>
      </c>
      <c r="Y42" s="24">
        <f>IF(LEN(A42),VLOOKUP(A42,TowerPool,31,0),"")</f>
        <v>140</v>
      </c>
      <c r="Z42" s="30"/>
    </row>
    <row r="43" ht="15.75" customHeight="1">
      <c r="A43" s="1" t="str">
        <f>IF(A40="","",IF(VLOOKUP(C39,TowerTrainers,9,0)=0,"",VLOOKUP(C39,TowerTrainers,9,0)))</f>
        <v>Armaldo-3</v>
      </c>
      <c r="B43" s="22">
        <f>IF(LEN(A43),VLOOKUP(A43,TowerPool,34,0),"")</f>
        <v>3</v>
      </c>
      <c r="C43" s="1"/>
      <c r="D43" s="23"/>
      <c r="E43" s="24" t="str">
        <f t="shared" si="7"/>
        <v>Armaldo-3</v>
      </c>
      <c r="F43" s="25" t="str">
        <f>IF(LEN(A43),VLOOKUP(A43,TowerPool,33,0),"")</f>
        <v>RCK/BUG</v>
      </c>
      <c r="G43" s="24" t="str">
        <f>IF(LEN(A43),VLOOKUP(A43,TowerPool,4,0),"")</f>
        <v>Focus Band</v>
      </c>
      <c r="H43" s="26" t="str">
        <f>IF(LEN(A43),VLOOKUP(A43,TowerPool,5,0),"")</f>
        <v>Sandstorm</v>
      </c>
      <c r="I43" s="27">
        <f>IF(LEN(A43),VLOOKUP(H43,MoveData,8,0)*8/5," ")</f>
        <v>16</v>
      </c>
      <c r="J43" s="26" t="str">
        <f>IF(LEN(A43),VLOOKUP(A43,TowerPool,6,0),"")</f>
        <v>Brick Break</v>
      </c>
      <c r="K43" s="27">
        <f>IF(LEN(A43),VLOOKUP(J43,MoveData,8,0)*8/5," ")</f>
        <v>24</v>
      </c>
      <c r="L43" s="26" t="str">
        <f>IF(LEN(A43),VLOOKUP(A43,TowerPool,7,0),"")</f>
        <v>Aerial Ace</v>
      </c>
      <c r="M43" s="27">
        <f>IF(LEN(A43),VLOOKUP(L43,MoveData,8,0)*8/5," ")</f>
        <v>32</v>
      </c>
      <c r="N43" s="26" t="str">
        <f>IF(LEN(A43),VLOOKUP(A43,TowerPool,8,0),"")</f>
        <v>Giga Impact</v>
      </c>
      <c r="O43" s="27">
        <f>IF(LEN(A43),VLOOKUP(N43,MoveData,8,0)*8/5," ")</f>
        <v>8</v>
      </c>
      <c r="P43" s="24" t="str">
        <f>IF(LEN(A43),VLOOKUP(A43,TowerPool,3,0),"")</f>
        <v>Brave</v>
      </c>
      <c r="Q43" s="24" t="str">
        <f>IF(LEN(A43),VLOOKUP(A43,TowerPool,9,0),"")</f>
        <v>Battle Armor</v>
      </c>
      <c r="R43" s="25" t="str">
        <f>IF(LEN(A43),TEXTJOIN("/",0,VLOOKUP(A43,TowerPool,16,0),VLOOKUP(A43,TowerPool,17,0),VLOOKUP(A43,TowerPool,18,0),VLOOKUP(A43,TowerPool,19,0),VLOOKUP(A43,TowerPool,20,0),VLOOKUP(A43,TowerPool,21,0)),"")</f>
        <v>252/252/4/0/0/0</v>
      </c>
      <c r="S43" s="25" t="str">
        <f>IF(LEN(A43),TEXTJOIN("/",0,VLOOKUP(A43,TowerPool,10,0),VLOOKUP(A43,TowerPool,11,0),VLOOKUP(A43,TowerPool,12,0),VLOOKUP(A43,TowerPool,13,0),VLOOKUP(A43,TowerPool,14,0),VLOOKUP(A43,TowerPool,15,0)),"")</f>
        <v>31/31/31/31/31/31</v>
      </c>
      <c r="T43" s="28">
        <f>IF(LEN(A43),VLOOKUP(A43,TowerPool,32,0),"")</f>
        <v>58</v>
      </c>
      <c r="U43" s="24">
        <f>IF(LEN(A43),VLOOKUP(A43,TowerPool,27,0),"")</f>
        <v>182</v>
      </c>
      <c r="V43" s="24">
        <f>IF(LEN(A43),VLOOKUP(A43,TowerPool,28,0),"")</f>
        <v>194</v>
      </c>
      <c r="W43" s="24">
        <f>IF(LEN(A43),VLOOKUP(A43,TowerPool,29,0),"")</f>
        <v>121</v>
      </c>
      <c r="X43" s="24">
        <f>IF(LEN(A43),VLOOKUP(A43,TowerPool,30,0),"")</f>
        <v>90</v>
      </c>
      <c r="Y43" s="24">
        <f>IF(LEN(A43),VLOOKUP(A43,TowerPool,31,0),"")</f>
        <v>100</v>
      </c>
      <c r="Z43" s="29" t="str">
        <f>IF(LEFT(D39,9)="Doubles M",D40,"")</f>
        <v>Auston</v>
      </c>
    </row>
    <row r="44" ht="15.75" customHeight="1">
      <c r="A44" s="1" t="str">
        <f>IF(A40="","",IF(VLOOKUP(C39,TowerTrainers,10,0)=0,"",VLOOKUP(C39,TowerTrainers,10,0)))</f>
        <v>Luxray-2</v>
      </c>
      <c r="B44" s="22">
        <f>IF(LEN(A44),VLOOKUP(A44,TowerPool,34,0),"")</f>
        <v>3</v>
      </c>
      <c r="C44" s="1"/>
      <c r="D44" s="23"/>
      <c r="E44" s="24" t="str">
        <f t="shared" si="7"/>
        <v>Luxray-2</v>
      </c>
      <c r="F44" s="25" t="str">
        <f>IF(LEN(A44),VLOOKUP(A44,TowerPool,33,0),"")</f>
        <v>ELC</v>
      </c>
      <c r="G44" s="24" t="str">
        <f>IF(LEN(A44),VLOOKUP(A44,TowerPool,4,0),"")</f>
        <v>Life Orb</v>
      </c>
      <c r="H44" s="26" t="str">
        <f>IF(LEN(A44),VLOOKUP(A44,TowerPool,5,0),"")</f>
        <v>Play Rough</v>
      </c>
      <c r="I44" s="27">
        <f>IF(LEN(A44),VLOOKUP(H44,MoveData,8,0)*8/5," ")</f>
        <v>16</v>
      </c>
      <c r="J44" s="26" t="str">
        <f>IF(LEN(A44),VLOOKUP(A44,TowerPool,6,0),"")</f>
        <v>Quick Attack</v>
      </c>
      <c r="K44" s="27">
        <f>IF(LEN(A44),VLOOKUP(J44,MoveData,8,0)*8/5," ")</f>
        <v>48</v>
      </c>
      <c r="L44" s="26" t="str">
        <f>IF(LEN(A44),VLOOKUP(A44,TowerPool,7,0),"")</f>
        <v>Wild Charge</v>
      </c>
      <c r="M44" s="27">
        <f>IF(LEN(A44),VLOOKUP(L44,MoveData,8,0)*8/5," ")</f>
        <v>24</v>
      </c>
      <c r="N44" s="26" t="str">
        <f>IF(LEN(A44),VLOOKUP(A44,TowerPool,8,0),"")</f>
        <v>Fire Fang</v>
      </c>
      <c r="O44" s="27">
        <f>IF(LEN(A44),VLOOKUP(N44,MoveData,8,0)*8/5," ")</f>
        <v>24</v>
      </c>
      <c r="P44" s="24" t="str">
        <f>IF(LEN(A44),VLOOKUP(A44,TowerPool,3,0),"")</f>
        <v>Adamant</v>
      </c>
      <c r="Q44" s="24" t="str">
        <f>IF(LEN(A44),VLOOKUP(A44,TowerPool,9,0),"")</f>
        <v>Intimidate</v>
      </c>
      <c r="R44" s="25" t="str">
        <f>IF(LEN(A44),TEXTJOIN("/",0,VLOOKUP(A44,TowerPool,16,0),VLOOKUP(A44,TowerPool,17,0),VLOOKUP(A44,TowerPool,18,0),VLOOKUP(A44,TowerPool,19,0),VLOOKUP(A44,TowerPool,20,0),VLOOKUP(A44,TowerPool,21,0)),"")</f>
        <v>108/252/148/0/0/0</v>
      </c>
      <c r="S44" s="25" t="str">
        <f>IF(LEN(A44),TEXTJOIN("/",0,VLOOKUP(A44,TowerPool,10,0),VLOOKUP(A44,TowerPool,11,0),VLOOKUP(A44,TowerPool,12,0),VLOOKUP(A44,TowerPool,13,0),VLOOKUP(A44,TowerPool,14,0),VLOOKUP(A44,TowerPool,15,0)),"")</f>
        <v>31/31/31/31/31/31</v>
      </c>
      <c r="T44" s="28">
        <f>IF(LEN(A44),VLOOKUP(A44,TowerPool,32,0),"")</f>
        <v>90</v>
      </c>
      <c r="U44" s="24">
        <f>IF(LEN(A44),VLOOKUP(A44,TowerPool,27,0),"")</f>
        <v>169</v>
      </c>
      <c r="V44" s="24">
        <f>IF(LEN(A44),VLOOKUP(A44,TowerPool,28,0),"")</f>
        <v>189</v>
      </c>
      <c r="W44" s="24">
        <f>IF(LEN(A44),VLOOKUP(A44,TowerPool,29,0),"")</f>
        <v>118</v>
      </c>
      <c r="X44" s="24">
        <f>IF(LEN(A44),VLOOKUP(A44,TowerPool,30,0),"")</f>
        <v>103</v>
      </c>
      <c r="Y44" s="24">
        <f>IF(LEN(A44),VLOOKUP(A44,TowerPool,31,0),"")</f>
        <v>99</v>
      </c>
      <c r="Z44" s="30"/>
    </row>
    <row r="45" ht="15.75" customHeight="1">
      <c r="A45" s="1">
        <f>IF(A39="","",IFERROR(FIND(",",B$2,A39+1),""))</f>
        <v>36</v>
      </c>
      <c r="B45" s="1">
        <f>B39+1</f>
        <v>8</v>
      </c>
      <c r="C45" s="1">
        <f>IF(LEN(A45),VALUE(MID(B$2,A39+1,A45-A39-1)),"")</f>
        <v>1907</v>
      </c>
      <c r="D45" s="1" t="str">
        <f>IF(LEN(A45),VLOOKUP(C45,TowerTrainers,6),"")</f>
        <v>Doubles Master</v>
      </c>
      <c r="E45" s="14" t="str">
        <f>IF(LEN(C45),"Team #"&amp;B45&amp;" - "&amp;D45&amp;" - "&amp;A46&amp; " "&amp;B46&amp;IF(C46=0,""," and "&amp;C46&amp;" "&amp;D46),"")</f>
        <v>Team #8 - Doubles Master - Gentleman Jerrell and PI Auston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6"/>
    </row>
    <row r="46" ht="15.75" customHeight="1">
      <c r="A46" s="7" t="str">
        <f>IF(LEN(C45),VLOOKUP(C45,TowerTrainers,3,0),"")</f>
        <v>Gentleman</v>
      </c>
      <c r="B46" s="17" t="str">
        <f>IF(LEN(C45),VLOOKUP(C45,TowerTrainers,2,0),"")</f>
        <v>Jerrell</v>
      </c>
      <c r="C46" s="17" t="str">
        <f>IF(LEN(C45),VLOOKUP(C45,TowerTrainers,5,0),"")</f>
        <v>PI</v>
      </c>
      <c r="D46" s="17" t="str">
        <f>IF(LEN(C45),VLOOKUP(C45,TowerTrainers,4),"")</f>
        <v>Auston</v>
      </c>
      <c r="E46" s="18" t="str">
        <f>IF(LEN(E45),"Set","")</f>
        <v>Set</v>
      </c>
      <c r="F46" s="18" t="str">
        <f>IF(LEN(E45),"Type","")</f>
        <v>Type</v>
      </c>
      <c r="G46" s="18" t="str">
        <f>IF(LEN(E45),"Item","")</f>
        <v>Item</v>
      </c>
      <c r="H46" s="19" t="str">
        <f>IF(LEN(E45),"Move 1","")</f>
        <v>Move 1</v>
      </c>
      <c r="I46" s="20" t="str">
        <f>IF(LEN(E45),"PP","")</f>
        <v>PP</v>
      </c>
      <c r="J46" s="19" t="str">
        <f>IF(LEN(E45),"Move 2","")</f>
        <v>Move 2</v>
      </c>
      <c r="K46" s="19"/>
      <c r="L46" s="19" t="str">
        <f>IF(LEN(E45),"Move 3","")</f>
        <v>Move 3</v>
      </c>
      <c r="M46" s="19"/>
      <c r="N46" s="19" t="str">
        <f>IF(LEN(E45),"Move 4","")</f>
        <v>Move 4</v>
      </c>
      <c r="O46" s="19"/>
      <c r="P46" s="18" t="str">
        <f>IF(LEN(E45),"Nature","")</f>
        <v>Nature</v>
      </c>
      <c r="Q46" s="18" t="str">
        <f>IF(LEN(E45),"Ability","")</f>
        <v>Ability</v>
      </c>
      <c r="R46" s="18" t="str">
        <f>IF(LEN(E45),"EV – (H/A/B/C/D/S) – IV","")</f>
        <v>EV – (H/A/B/C/D/S) – IV</v>
      </c>
      <c r="T46" s="21" t="str">
        <f>IF(LEN(E45),"Speed","")</f>
        <v>Speed</v>
      </c>
      <c r="U46" s="18" t="str">
        <f>IF(LEN(E45),"HP","")</f>
        <v>HP</v>
      </c>
      <c r="V46" s="18" t="str">
        <f>IF(LEN(E45),"Atk","")</f>
        <v>Atk</v>
      </c>
      <c r="W46" s="18" t="str">
        <f>IF(LEN(E45),"Def","")</f>
        <v>Def</v>
      </c>
      <c r="X46" s="18" t="str">
        <f>IF(LEN(E45),"SpA","")</f>
        <v>SpA</v>
      </c>
      <c r="Y46" s="18" t="str">
        <f>IF(LEN(E45),"SpD","")</f>
        <v>SpD</v>
      </c>
      <c r="Z46" s="18"/>
    </row>
    <row r="47" ht="15.75" customHeight="1">
      <c r="A47" s="6" t="str">
        <f>IF(A46="","",IF(VLOOKUP(C45,TowerTrainers,7,0)=0,"",VLOOKUP(C45,TowerTrainers,7,0)))</f>
        <v>Espeon-2</v>
      </c>
      <c r="B47" s="22">
        <f>IF(LEN(A47),VLOOKUP(A47,TowerPool,34,0),"")</f>
        <v>3</v>
      </c>
      <c r="C47" s="1"/>
      <c r="D47" s="23"/>
      <c r="E47" s="24" t="str">
        <f t="shared" ref="E47:E50" si="8">IF(LEN(A47),A47,"")</f>
        <v>Espeon-2</v>
      </c>
      <c r="F47" s="25" t="str">
        <f>IF(LEN(A47),VLOOKUP(A47,TowerPool,33,0),"")</f>
        <v>PSY</v>
      </c>
      <c r="G47" s="24" t="str">
        <f>IF(LEN(A47),VLOOKUP(A47,TowerPool,4,0),"")</f>
        <v>Bright Powder</v>
      </c>
      <c r="H47" s="26" t="str">
        <f>IF(LEN(A47),VLOOKUP(A47,TowerPool,5,0),"")</f>
        <v>Reflect</v>
      </c>
      <c r="I47" s="27">
        <f>IF(LEN(A47),VLOOKUP(H47,MoveData,8,0)*8/5," ")</f>
        <v>32</v>
      </c>
      <c r="J47" s="26" t="str">
        <f>IF(LEN(A47),VLOOKUP(A47,TowerPool,6,0),"")</f>
        <v>Shadow Ball</v>
      </c>
      <c r="K47" s="27">
        <f>IF(LEN(A47),VLOOKUP(J47,MoveData,8,0)*8/5," ")</f>
        <v>24</v>
      </c>
      <c r="L47" s="26" t="str">
        <f>IF(LEN(A47),VLOOKUP(A47,TowerPool,7,0),"")</f>
        <v>Psychic</v>
      </c>
      <c r="M47" s="27">
        <f>IF(LEN(A47),VLOOKUP(L47,MoveData,8,0)*8/5," ")</f>
        <v>16</v>
      </c>
      <c r="N47" s="26" t="str">
        <f>IF(LEN(A47),VLOOKUP(A47,TowerPool,8,0),"")</f>
        <v>Morning Sun</v>
      </c>
      <c r="O47" s="27">
        <f>IF(LEN(A47),VLOOKUP(N47,MoveData,8,0)*8/5," ")</f>
        <v>8</v>
      </c>
      <c r="P47" s="24" t="str">
        <f>IF(LEN(A47),VLOOKUP(A47,TowerPool,3,0),"")</f>
        <v>Timid</v>
      </c>
      <c r="Q47" s="24" t="str">
        <f>IF(LEN(A47),VLOOKUP(A47,TowerPool,9,0),"")</f>
        <v>Magic Bounce</v>
      </c>
      <c r="R47" s="25" t="str">
        <f>IF(LEN(A47),TEXTJOIN("/",0,VLOOKUP(A47,TowerPool,16,0),VLOOKUP(A47,TowerPool,17,0),VLOOKUP(A47,TowerPool,18,0),VLOOKUP(A47,TowerPool,19,0),VLOOKUP(A47,TowerPool,20,0),VLOOKUP(A47,TowerPool,21,0)),"")</f>
        <v>4/0/0/252/0/252</v>
      </c>
      <c r="S47" s="25" t="str">
        <f>IF(LEN(A47),TEXTJOIN("/",0,VLOOKUP(A47,TowerPool,10,0),VLOOKUP(A47,TowerPool,11,0),VLOOKUP(A47,TowerPool,12,0),VLOOKUP(A47,TowerPool,13,0),VLOOKUP(A47,TowerPool,14,0),VLOOKUP(A47,TowerPool,15,0)),"")</f>
        <v>31/0/31/31/31/31</v>
      </c>
      <c r="T47" s="28">
        <f>IF(LEN(A47),VLOOKUP(A47,TowerPool,32,0),"")</f>
        <v>178</v>
      </c>
      <c r="U47" s="24">
        <f>IF(LEN(A47),VLOOKUP(A47,TowerPool,27,0),"")</f>
        <v>141</v>
      </c>
      <c r="V47" s="24">
        <f>IF(LEN(A47),VLOOKUP(A47,TowerPool,28,0),"")</f>
        <v>63</v>
      </c>
      <c r="W47" s="24">
        <f>IF(LEN(A47),VLOOKUP(A47,TowerPool,29,0),"")</f>
        <v>80</v>
      </c>
      <c r="X47" s="24">
        <f>IF(LEN(A47),VLOOKUP(A47,TowerPool,30,0),"")</f>
        <v>182</v>
      </c>
      <c r="Y47" s="24">
        <f>IF(LEN(A47),VLOOKUP(A47,TowerPool,31,0),"")</f>
        <v>115</v>
      </c>
      <c r="Z47" s="29" t="str">
        <f>IF(LEFT(D45,9)="Doubles M",B46,"")</f>
        <v>Jerrell</v>
      </c>
    </row>
    <row r="48" ht="15.75" customHeight="1">
      <c r="A48" s="1" t="str">
        <f>IF(A46="","",IF(VLOOKUP(C45,TowerTrainers,8,0)=0,"",VLOOKUP(C45,TowerTrainers,8,0)))</f>
        <v>Quagsire-3</v>
      </c>
      <c r="B48" s="22">
        <f>IF(LEN(A48),VLOOKUP(A48,TowerPool,34,0),"")</f>
        <v>3</v>
      </c>
      <c r="C48" s="1"/>
      <c r="D48" s="23"/>
      <c r="E48" s="24" t="str">
        <f t="shared" si="8"/>
        <v>Quagsire-3</v>
      </c>
      <c r="F48" s="25" t="str">
        <f>IF(LEN(A48),VLOOKUP(A48,TowerPool,33,0),"")</f>
        <v>WTR/GRD</v>
      </c>
      <c r="G48" s="24" t="str">
        <f>IF(LEN(A48),VLOOKUP(A48,TowerPool,4,0),"")</f>
        <v>Quick Claw</v>
      </c>
      <c r="H48" s="26" t="str">
        <f>IF(LEN(A48),VLOOKUP(A48,TowerPool,5,0),"")</f>
        <v>Amnesia</v>
      </c>
      <c r="I48" s="27">
        <f>IF(LEN(A48),VLOOKUP(H48,MoveData,8,0)*8/5," ")</f>
        <v>32</v>
      </c>
      <c r="J48" s="26" t="str">
        <f>IF(LEN(A48),VLOOKUP(A48,TowerPool,6,0),"")</f>
        <v>Scald</v>
      </c>
      <c r="K48" s="27">
        <f>IF(LEN(A48),VLOOKUP(J48,MoveData,8,0)*8/5," ")</f>
        <v>24</v>
      </c>
      <c r="L48" s="26" t="str">
        <f>IF(LEN(A48),VLOOKUP(A48,TowerPool,7,0),"")</f>
        <v>Sludge Bomb</v>
      </c>
      <c r="M48" s="27">
        <f>IF(LEN(A48),VLOOKUP(L48,MoveData,8,0)*8/5," ")</f>
        <v>16</v>
      </c>
      <c r="N48" s="26" t="str">
        <f>IF(LEN(A48),VLOOKUP(A48,TowerPool,8,0),"")</f>
        <v>Recover</v>
      </c>
      <c r="O48" s="27">
        <f>IF(LEN(A48),VLOOKUP(N48,MoveData,8,0)*8/5," ")</f>
        <v>16</v>
      </c>
      <c r="P48" s="24" t="str">
        <f>IF(LEN(A48),VLOOKUP(A48,TowerPool,3,0),"")</f>
        <v>Modest</v>
      </c>
      <c r="Q48" s="24" t="str">
        <f>IF(LEN(A48),VLOOKUP(A48,TowerPool,9,0),"")</f>
        <v>Water Absorb</v>
      </c>
      <c r="R48" s="25" t="str">
        <f>IF(LEN(A48),TEXTJOIN("/",0,VLOOKUP(A48,TowerPool,16,0),VLOOKUP(A48,TowerPool,17,0),VLOOKUP(A48,TowerPool,18,0),VLOOKUP(A48,TowerPool,19,0),VLOOKUP(A48,TowerPool,20,0),VLOOKUP(A48,TowerPool,21,0)),"")</f>
        <v>252/0/4/252/0/0</v>
      </c>
      <c r="S48" s="25" t="str">
        <f>IF(LEN(A48),TEXTJOIN("/",0,VLOOKUP(A48,TowerPool,10,0),VLOOKUP(A48,TowerPool,11,0),VLOOKUP(A48,TowerPool,12,0),VLOOKUP(A48,TowerPool,13,0),VLOOKUP(A48,TowerPool,14,0),VLOOKUP(A48,TowerPool,15,0)),"")</f>
        <v>31/0/31/31/31/31</v>
      </c>
      <c r="T48" s="28">
        <f>IF(LEN(A48),VLOOKUP(A48,TowerPool,32,0),"")</f>
        <v>55</v>
      </c>
      <c r="U48" s="24">
        <f>IF(LEN(A48),VLOOKUP(A48,TowerPool,27,0),"")</f>
        <v>202</v>
      </c>
      <c r="V48" s="24">
        <f>IF(LEN(A48),VLOOKUP(A48,TowerPool,28,0),"")</f>
        <v>81</v>
      </c>
      <c r="W48" s="24">
        <f>IF(LEN(A48),VLOOKUP(A48,TowerPool,29,0),"")</f>
        <v>106</v>
      </c>
      <c r="X48" s="24">
        <f>IF(LEN(A48),VLOOKUP(A48,TowerPool,30,0),"")</f>
        <v>128</v>
      </c>
      <c r="Y48" s="24">
        <f>IF(LEN(A48),VLOOKUP(A48,TowerPool,31,0),"")</f>
        <v>85</v>
      </c>
      <c r="Z48" s="30"/>
    </row>
    <row r="49" ht="15.75" customHeight="1">
      <c r="A49" s="1" t="str">
        <f>IF(A46="","",IF(VLOOKUP(C45,TowerTrainers,9,0)=0,"",VLOOKUP(C45,TowerTrainers,9,0)))</f>
        <v>Suicune-2</v>
      </c>
      <c r="B49" s="22">
        <f>IF(LEN(A49),VLOOKUP(A49,TowerPool,34,0),"")</f>
        <v>3</v>
      </c>
      <c r="C49" s="1"/>
      <c r="D49" s="23"/>
      <c r="E49" s="24" t="str">
        <f t="shared" si="8"/>
        <v>Suicune-2</v>
      </c>
      <c r="F49" s="25" t="str">
        <f>IF(LEN(A49),VLOOKUP(A49,TowerPool,33,0),"")</f>
        <v>WTR</v>
      </c>
      <c r="G49" s="24" t="str">
        <f>IF(LEN(A49),VLOOKUP(A49,TowerPool,4,0),"")</f>
        <v>Wacan Berry</v>
      </c>
      <c r="H49" s="26" t="str">
        <f>IF(LEN(A49),VLOOKUP(A49,TowerPool,5,0),"")</f>
        <v>Rest</v>
      </c>
      <c r="I49" s="27">
        <f>IF(LEN(A49),VLOOKUP(H49,MoveData,8,0)*8/5," ")</f>
        <v>16</v>
      </c>
      <c r="J49" s="26" t="str">
        <f>IF(LEN(A49),VLOOKUP(A49,TowerPool,6,0),"")</f>
        <v>Icy Wind</v>
      </c>
      <c r="K49" s="27">
        <f>IF(LEN(A49),VLOOKUP(J49,MoveData,8,0)*8/5," ")</f>
        <v>24</v>
      </c>
      <c r="L49" s="26" t="str">
        <f>IF(LEN(A49),VLOOKUP(A49,TowerPool,7,0),"")</f>
        <v>Calm Mind</v>
      </c>
      <c r="M49" s="27">
        <f>IF(LEN(A49),VLOOKUP(L49,MoveData,8,0)*8/5," ")</f>
        <v>32</v>
      </c>
      <c r="N49" s="26" t="str">
        <f>IF(LEN(A49),VLOOKUP(A49,TowerPool,8,0),"")</f>
        <v>Scald</v>
      </c>
      <c r="O49" s="27">
        <f>IF(LEN(A49),VLOOKUP(N49,MoveData,8,0)*8/5," ")</f>
        <v>24</v>
      </c>
      <c r="P49" s="24" t="str">
        <f>IF(LEN(A49),VLOOKUP(A49,TowerPool,3,0),"")</f>
        <v>Bold</v>
      </c>
      <c r="Q49" s="24" t="str">
        <f>IF(LEN(A49),VLOOKUP(A49,TowerPool,9,0),"")</f>
        <v>Pressure</v>
      </c>
      <c r="R49" s="25" t="str">
        <f>IF(LEN(A49),TEXTJOIN("/",0,VLOOKUP(A49,TowerPool,16,0),VLOOKUP(A49,TowerPool,17,0),VLOOKUP(A49,TowerPool,18,0),VLOOKUP(A49,TowerPool,19,0),VLOOKUP(A49,TowerPool,20,0),VLOOKUP(A49,TowerPool,21,0)),"")</f>
        <v>252/0/252/0/0/0</v>
      </c>
      <c r="S49" s="25" t="str">
        <f>IF(LEN(A49),TEXTJOIN("/",0,VLOOKUP(A49,TowerPool,10,0),VLOOKUP(A49,TowerPool,11,0),VLOOKUP(A49,TowerPool,12,0),VLOOKUP(A49,TowerPool,13,0),VLOOKUP(A49,TowerPool,14,0),VLOOKUP(A49,TowerPool,15,0)),"")</f>
        <v>31/31/31/31/31/31</v>
      </c>
      <c r="T49" s="28">
        <f>IF(LEN(A49),VLOOKUP(A49,TowerPool,32,0),"")</f>
        <v>105</v>
      </c>
      <c r="U49" s="24">
        <f>IF(LEN(A49),VLOOKUP(A49,TowerPool,27,0),"")</f>
        <v>207</v>
      </c>
      <c r="V49" s="24">
        <f>IF(LEN(A49),VLOOKUP(A49,TowerPool,28,0),"")</f>
        <v>85</v>
      </c>
      <c r="W49" s="24">
        <f>IF(LEN(A49),VLOOKUP(A49,TowerPool,29,0),"")</f>
        <v>183</v>
      </c>
      <c r="X49" s="24">
        <f>IF(LEN(A49),VLOOKUP(A49,TowerPool,30,0),"")</f>
        <v>110</v>
      </c>
      <c r="Y49" s="24">
        <f>IF(LEN(A49),VLOOKUP(A49,TowerPool,31,0),"")</f>
        <v>135</v>
      </c>
      <c r="Z49" s="29" t="str">
        <f>IF(LEFT(D45,9)="Doubles M",D46,"")</f>
        <v>Auston</v>
      </c>
    </row>
    <row r="50" ht="15.75" customHeight="1">
      <c r="A50" s="1" t="str">
        <f>IF(A46="","",IF(VLOOKUP(C45,TowerTrainers,10,0)=0,"",VLOOKUP(C45,TowerTrainers,10,0)))</f>
        <v>Ampharos-3</v>
      </c>
      <c r="B50" s="22">
        <f>IF(LEN(A50),VLOOKUP(A50,TowerPool,34,0),"")</f>
        <v>3</v>
      </c>
      <c r="C50" s="1"/>
      <c r="D50" s="23"/>
      <c r="E50" s="24" t="str">
        <f t="shared" si="8"/>
        <v>Ampharos-3</v>
      </c>
      <c r="F50" s="25" t="str">
        <f>IF(LEN(A50),VLOOKUP(A50,TowerPool,33,0),"")</f>
        <v>ELC</v>
      </c>
      <c r="G50" s="24" t="str">
        <f>IF(LEN(A50),VLOOKUP(A50,TowerPool,4,0),"")</f>
        <v>Chesto Berry</v>
      </c>
      <c r="H50" s="26" t="str">
        <f>IF(LEN(A50),VLOOKUP(A50,TowerPool,5,0),"")</f>
        <v>Thunder Wave</v>
      </c>
      <c r="I50" s="27">
        <f>IF(LEN(A50),VLOOKUP(H50,MoveData,8,0)*8/5," ")</f>
        <v>32</v>
      </c>
      <c r="J50" s="26" t="str">
        <f>IF(LEN(A50),VLOOKUP(A50,TowerPool,6,0),"")</f>
        <v>Charge Beam</v>
      </c>
      <c r="K50" s="27">
        <f>IF(LEN(A50),VLOOKUP(J50,MoveData,8,0)*8/5," ")</f>
        <v>16</v>
      </c>
      <c r="L50" s="26" t="str">
        <f>IF(LEN(A50),VLOOKUP(A50,TowerPool,7,0),"")</f>
        <v>Dragon Pulse</v>
      </c>
      <c r="M50" s="27">
        <f>IF(LEN(A50),VLOOKUP(L50,MoveData,8,0)*8/5," ")</f>
        <v>16</v>
      </c>
      <c r="N50" s="26" t="str">
        <f>IF(LEN(A50),VLOOKUP(A50,TowerPool,8,0),"")</f>
        <v>Rest</v>
      </c>
      <c r="O50" s="27">
        <f>IF(LEN(A50),VLOOKUP(N50,MoveData,8,0)*8/5," ")</f>
        <v>16</v>
      </c>
      <c r="P50" s="24" t="str">
        <f>IF(LEN(A50),VLOOKUP(A50,TowerPool,3,0),"")</f>
        <v>Bold</v>
      </c>
      <c r="Q50" s="24" t="str">
        <f>IF(LEN(A50),VLOOKUP(A50,TowerPool,9,0),"")</f>
        <v>Static</v>
      </c>
      <c r="R50" s="25" t="str">
        <f>IF(LEN(A50),TEXTJOIN("/",0,VLOOKUP(A50,TowerPool,16,0),VLOOKUP(A50,TowerPool,17,0),VLOOKUP(A50,TowerPool,18,0),VLOOKUP(A50,TowerPool,19,0),VLOOKUP(A50,TowerPool,20,0),VLOOKUP(A50,TowerPool,21,0)),"")</f>
        <v>252/0/252/0/4/0</v>
      </c>
      <c r="S50" s="25" t="str">
        <f>IF(LEN(A50),TEXTJOIN("/",0,VLOOKUP(A50,TowerPool,10,0),VLOOKUP(A50,TowerPool,11,0),VLOOKUP(A50,TowerPool,12,0),VLOOKUP(A50,TowerPool,13,0),VLOOKUP(A50,TowerPool,14,0),VLOOKUP(A50,TowerPool,15,0)),"")</f>
        <v>31/31/31/31/31/31</v>
      </c>
      <c r="T50" s="28">
        <f>IF(LEN(A50),VLOOKUP(A50,TowerPool,32,0),"")</f>
        <v>75</v>
      </c>
      <c r="U50" s="24">
        <f>IF(LEN(A50),VLOOKUP(A50,TowerPool,27,0),"")</f>
        <v>197</v>
      </c>
      <c r="V50" s="24">
        <f>IF(LEN(A50),VLOOKUP(A50,TowerPool,28,0),"")</f>
        <v>85</v>
      </c>
      <c r="W50" s="24">
        <f>IF(LEN(A50),VLOOKUP(A50,TowerPool,29,0),"")</f>
        <v>150</v>
      </c>
      <c r="X50" s="24">
        <f>IF(LEN(A50),VLOOKUP(A50,TowerPool,30,0),"")</f>
        <v>135</v>
      </c>
      <c r="Y50" s="24">
        <f>IF(LEN(A50),VLOOKUP(A50,TowerPool,31,0),"")</f>
        <v>111</v>
      </c>
      <c r="Z50" s="30"/>
    </row>
    <row r="51" ht="15.75" customHeight="1">
      <c r="A51" s="1" t="str">
        <f>IF(A45="","",IFERROR(FIND(",",B$2,A45+1),""))</f>
        <v/>
      </c>
      <c r="B51" s="1">
        <f>B45+1</f>
        <v>9</v>
      </c>
      <c r="C51" s="1" t="str">
        <f>IF(LEN(A51),VALUE(MID(B$2,A45+1,A51-A45-1)),"")</f>
        <v/>
      </c>
      <c r="D51" s="1" t="str">
        <f>IF(LEN(A51),VLOOKUP(C51,TowerTrainers,6),"")</f>
        <v/>
      </c>
      <c r="E51" s="14" t="str">
        <f>IF(LEN(C51),"Team #"&amp;B51&amp;" - "&amp;D51&amp;" - "&amp;A52&amp; " "&amp;B52&amp;IF(C52=0,""," and "&amp;C52&amp;" "&amp;D52),"")</f>
        <v/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6"/>
    </row>
    <row r="52" ht="15.75" customHeight="1">
      <c r="A52" s="7" t="str">
        <f>IF(LEN(C51),VLOOKUP(C51,TowerTrainers,3,0),"")</f>
        <v/>
      </c>
      <c r="B52" s="17" t="str">
        <f>IF(LEN(C51),VLOOKUP(C51,TowerTrainers,2,0),"")</f>
        <v/>
      </c>
      <c r="C52" s="17" t="str">
        <f>IF(LEN(C51),VLOOKUP(C51,TowerTrainers,5,0),"")</f>
        <v/>
      </c>
      <c r="D52" s="17" t="str">
        <f>IF(LEN(C51),VLOOKUP(C51,TowerTrainers,4),"")</f>
        <v/>
      </c>
      <c r="E52" s="18" t="str">
        <f>IF(LEN(E51),"Set","")</f>
        <v/>
      </c>
      <c r="F52" s="18" t="str">
        <f>IF(LEN(E51),"Type","")</f>
        <v/>
      </c>
      <c r="G52" s="18" t="str">
        <f>IF(LEN(E51),"Item","")</f>
        <v/>
      </c>
      <c r="H52" s="19" t="str">
        <f>IF(LEN(E51),"Move 1","")</f>
        <v/>
      </c>
      <c r="I52" s="20" t="str">
        <f>IF(LEN(E51),"PP","")</f>
        <v/>
      </c>
      <c r="J52" s="19" t="str">
        <f>IF(LEN(E51),"Move 2","")</f>
        <v/>
      </c>
      <c r="K52" s="19"/>
      <c r="L52" s="19" t="str">
        <f>IF(LEN(E51),"Move 3","")</f>
        <v/>
      </c>
      <c r="M52" s="19"/>
      <c r="N52" s="19" t="str">
        <f>IF(LEN(E51),"Move 4","")</f>
        <v/>
      </c>
      <c r="O52" s="19"/>
      <c r="P52" s="18" t="str">
        <f>IF(LEN(E51),"Nature","")</f>
        <v/>
      </c>
      <c r="Q52" s="18" t="str">
        <f>IF(LEN(E51),"Ability","")</f>
        <v/>
      </c>
      <c r="R52" s="18" t="str">
        <f>IF(LEN(E51),"EV – (H/A/B/C/D/S) – IV","")</f>
        <v/>
      </c>
      <c r="T52" s="21" t="str">
        <f>IF(LEN(E51),"Speed","")</f>
        <v/>
      </c>
      <c r="U52" s="18" t="str">
        <f>IF(LEN(E51),"HP","")</f>
        <v/>
      </c>
      <c r="V52" s="18" t="str">
        <f>IF(LEN(E51),"Atk","")</f>
        <v/>
      </c>
      <c r="W52" s="18" t="str">
        <f>IF(LEN(E51),"Def","")</f>
        <v/>
      </c>
      <c r="X52" s="18" t="str">
        <f>IF(LEN(E51),"SpA","")</f>
        <v/>
      </c>
      <c r="Y52" s="18" t="str">
        <f>IF(LEN(E51),"SpD","")</f>
        <v/>
      </c>
      <c r="Z52" s="18"/>
    </row>
    <row r="53" ht="15.75" customHeight="1">
      <c r="A53" s="6" t="str">
        <f>IF(A52="","",IF(VLOOKUP(C51,TowerTrainers,7,0)=0,"",VLOOKUP(C51,TowerTrainers,7,0)))</f>
        <v/>
      </c>
      <c r="B53" s="22" t="str">
        <f>IF(LEN(A53),VLOOKUP(A53,TowerPool,34,0),"")</f>
        <v/>
      </c>
      <c r="C53" s="1"/>
      <c r="D53" s="23"/>
      <c r="E53" s="24" t="str">
        <f t="shared" ref="E53:E56" si="9">IF(LEN(A53),A53,"")</f>
        <v/>
      </c>
      <c r="F53" s="25" t="str">
        <f>IF(LEN(A53),VLOOKUP(A53,TowerPool,33,0),"")</f>
        <v/>
      </c>
      <c r="G53" s="24" t="str">
        <f>IF(LEN(A53),VLOOKUP(A53,TowerPool,4,0),"")</f>
        <v/>
      </c>
      <c r="H53" s="26" t="str">
        <f>IF(LEN(A53),VLOOKUP(A53,TowerPool,5,0),"")</f>
        <v/>
      </c>
      <c r="I53" s="27" t="str">
        <f>IF(LEN(A53),VLOOKUP(H53,MoveData,8,0)*8/5," ")</f>
        <v> </v>
      </c>
      <c r="J53" s="26" t="str">
        <f>IF(LEN(A53),VLOOKUP(A53,TowerPool,6,0),"")</f>
        <v/>
      </c>
      <c r="K53" s="27" t="str">
        <f>IF(LEN(A53),VLOOKUP(J53,MoveData,8,0)*8/5," ")</f>
        <v> </v>
      </c>
      <c r="L53" s="26" t="str">
        <f>IF(LEN(A53),VLOOKUP(A53,TowerPool,7,0),"")</f>
        <v/>
      </c>
      <c r="M53" s="27" t="str">
        <f>IF(LEN(A53),VLOOKUP(L53,MoveData,8,0)*8/5," ")</f>
        <v> </v>
      </c>
      <c r="N53" s="26" t="str">
        <f>IF(LEN(A53),VLOOKUP(A53,TowerPool,8,0),"")</f>
        <v/>
      </c>
      <c r="O53" s="27" t="str">
        <f>IF(LEN(A53),VLOOKUP(N53,MoveData,8,0)*8/5," ")</f>
        <v> </v>
      </c>
      <c r="P53" s="24" t="str">
        <f>IF(LEN(A53),VLOOKUP(A53,TowerPool,3,0),"")</f>
        <v/>
      </c>
      <c r="Q53" s="24" t="str">
        <f>IF(LEN(A53),VLOOKUP(A53,TowerPool,9,0),"")</f>
        <v/>
      </c>
      <c r="R53" s="25" t="str">
        <f>IF(LEN(A53),TEXTJOIN("/",0,VLOOKUP(A53,TowerPool,16,0),VLOOKUP(A53,TowerPool,17,0),VLOOKUP(A53,TowerPool,18,0),VLOOKUP(A53,TowerPool,19,0),VLOOKUP(A53,TowerPool,20,0),VLOOKUP(A53,TowerPool,21,0)),"")</f>
        <v/>
      </c>
      <c r="S53" s="25" t="str">
        <f>IF(LEN(A53),TEXTJOIN("/",0,VLOOKUP(A53,TowerPool,10,0),VLOOKUP(A53,TowerPool,11,0),VLOOKUP(A53,TowerPool,12,0),VLOOKUP(A53,TowerPool,13,0),VLOOKUP(A53,TowerPool,14,0),VLOOKUP(A53,TowerPool,15,0)),"")</f>
        <v/>
      </c>
      <c r="T53" s="28" t="str">
        <f>IF(LEN(A53),VLOOKUP(A53,TowerPool,32,0),"")</f>
        <v/>
      </c>
      <c r="U53" s="24" t="str">
        <f>IF(LEN(A53),VLOOKUP(A53,TowerPool,27,0),"")</f>
        <v/>
      </c>
      <c r="V53" s="24" t="str">
        <f>IF(LEN(A53),VLOOKUP(A53,TowerPool,28,0),"")</f>
        <v/>
      </c>
      <c r="W53" s="24" t="str">
        <f>IF(LEN(A53),VLOOKUP(A53,TowerPool,29,0),"")</f>
        <v/>
      </c>
      <c r="X53" s="24" t="str">
        <f>IF(LEN(A53),VLOOKUP(A53,TowerPool,30,0),"")</f>
        <v/>
      </c>
      <c r="Y53" s="24" t="str">
        <f>IF(LEN(A53),VLOOKUP(A53,TowerPool,31,0),"")</f>
        <v/>
      </c>
      <c r="Z53" s="29" t="str">
        <f>IF(LEFT(D51,9)="Doubles M",B52,"")</f>
        <v/>
      </c>
    </row>
    <row r="54" ht="15.75" customHeight="1">
      <c r="A54" s="1" t="str">
        <f>IF(A52="","",IF(VLOOKUP(C51,TowerTrainers,8,0)=0,"",VLOOKUP(C51,TowerTrainers,8,0)))</f>
        <v/>
      </c>
      <c r="B54" s="22" t="str">
        <f>IF(LEN(A54),VLOOKUP(A54,TowerPool,34,0),"")</f>
        <v/>
      </c>
      <c r="C54" s="1"/>
      <c r="D54" s="23"/>
      <c r="E54" s="24" t="str">
        <f t="shared" si="9"/>
        <v/>
      </c>
      <c r="F54" s="25" t="str">
        <f>IF(LEN(A54),VLOOKUP(A54,TowerPool,33,0),"")</f>
        <v/>
      </c>
      <c r="G54" s="24" t="str">
        <f>IF(LEN(A54),VLOOKUP(A54,TowerPool,4,0),"")</f>
        <v/>
      </c>
      <c r="H54" s="26" t="str">
        <f>IF(LEN(A54),VLOOKUP(A54,TowerPool,5,0),"")</f>
        <v/>
      </c>
      <c r="I54" s="27" t="str">
        <f>IF(LEN(A54),VLOOKUP(H54,MoveData,8,0)*8/5," ")</f>
        <v> </v>
      </c>
      <c r="J54" s="26" t="str">
        <f>IF(LEN(A54),VLOOKUP(A54,TowerPool,6,0),"")</f>
        <v/>
      </c>
      <c r="K54" s="27" t="str">
        <f>IF(LEN(A54),VLOOKUP(J54,MoveData,8,0)*8/5," ")</f>
        <v> </v>
      </c>
      <c r="L54" s="26" t="str">
        <f>IF(LEN(A54),VLOOKUP(A54,TowerPool,7,0),"")</f>
        <v/>
      </c>
      <c r="M54" s="27" t="str">
        <f>IF(LEN(A54),VLOOKUP(L54,MoveData,8,0)*8/5," ")</f>
        <v> </v>
      </c>
      <c r="N54" s="26" t="str">
        <f>IF(LEN(A54),VLOOKUP(A54,TowerPool,8,0),"")</f>
        <v/>
      </c>
      <c r="O54" s="27" t="str">
        <f>IF(LEN(A54),VLOOKUP(N54,MoveData,8,0)*8/5," ")</f>
        <v> </v>
      </c>
      <c r="P54" s="24" t="str">
        <f>IF(LEN(A54),VLOOKUP(A54,TowerPool,3,0),"")</f>
        <v/>
      </c>
      <c r="Q54" s="24" t="str">
        <f>IF(LEN(A54),VLOOKUP(A54,TowerPool,9,0),"")</f>
        <v/>
      </c>
      <c r="R54" s="25" t="str">
        <f>IF(LEN(A54),TEXTJOIN("/",0,VLOOKUP(A54,TowerPool,16,0),VLOOKUP(A54,TowerPool,17,0),VLOOKUP(A54,TowerPool,18,0),VLOOKUP(A54,TowerPool,19,0),VLOOKUP(A54,TowerPool,20,0),VLOOKUP(A54,TowerPool,21,0)),"")</f>
        <v/>
      </c>
      <c r="S54" s="25" t="str">
        <f>IF(LEN(A54),TEXTJOIN("/",0,VLOOKUP(A54,TowerPool,10,0),VLOOKUP(A54,TowerPool,11,0),VLOOKUP(A54,TowerPool,12,0),VLOOKUP(A54,TowerPool,13,0),VLOOKUP(A54,TowerPool,14,0),VLOOKUP(A54,TowerPool,15,0)),"")</f>
        <v/>
      </c>
      <c r="T54" s="28" t="str">
        <f>IF(LEN(A54),VLOOKUP(A54,TowerPool,32,0),"")</f>
        <v/>
      </c>
      <c r="U54" s="24" t="str">
        <f>IF(LEN(A54),VLOOKUP(A54,TowerPool,27,0),"")</f>
        <v/>
      </c>
      <c r="V54" s="24" t="str">
        <f>IF(LEN(A54),VLOOKUP(A54,TowerPool,28,0),"")</f>
        <v/>
      </c>
      <c r="W54" s="24" t="str">
        <f>IF(LEN(A54),VLOOKUP(A54,TowerPool,29,0),"")</f>
        <v/>
      </c>
      <c r="X54" s="24" t="str">
        <f>IF(LEN(A54),VLOOKUP(A54,TowerPool,30,0),"")</f>
        <v/>
      </c>
      <c r="Y54" s="24" t="str">
        <f>IF(LEN(A54),VLOOKUP(A54,TowerPool,31,0),"")</f>
        <v/>
      </c>
      <c r="Z54" s="30"/>
    </row>
    <row r="55" ht="15.75" customHeight="1">
      <c r="A55" s="1" t="str">
        <f>IF(A52="","",IF(VLOOKUP(C51,TowerTrainers,9,0)=0,"",VLOOKUP(C51,TowerTrainers,9,0)))</f>
        <v/>
      </c>
      <c r="B55" s="22" t="str">
        <f>IF(LEN(A55),VLOOKUP(A55,TowerPool,34,0),"")</f>
        <v/>
      </c>
      <c r="C55" s="1"/>
      <c r="D55" s="23"/>
      <c r="E55" s="24" t="str">
        <f t="shared" si="9"/>
        <v/>
      </c>
      <c r="F55" s="25" t="str">
        <f>IF(LEN(A55),VLOOKUP(A55,TowerPool,33,0),"")</f>
        <v/>
      </c>
      <c r="G55" s="24" t="str">
        <f>IF(LEN(A55),VLOOKUP(A55,TowerPool,4,0),"")</f>
        <v/>
      </c>
      <c r="H55" s="26" t="str">
        <f>IF(LEN(A55),VLOOKUP(A55,TowerPool,5,0),"")</f>
        <v/>
      </c>
      <c r="I55" s="27" t="str">
        <f>IF(LEN(A55),VLOOKUP(H55,MoveData,8,0)*8/5," ")</f>
        <v> </v>
      </c>
      <c r="J55" s="26" t="str">
        <f>IF(LEN(A55),VLOOKUP(A55,TowerPool,6,0),"")</f>
        <v/>
      </c>
      <c r="K55" s="27" t="str">
        <f>IF(LEN(A55),VLOOKUP(J55,MoveData,8,0)*8/5," ")</f>
        <v> </v>
      </c>
      <c r="L55" s="26" t="str">
        <f>IF(LEN(A55),VLOOKUP(A55,TowerPool,7,0),"")</f>
        <v/>
      </c>
      <c r="M55" s="27" t="str">
        <f>IF(LEN(A55),VLOOKUP(L55,MoveData,8,0)*8/5," ")</f>
        <v> </v>
      </c>
      <c r="N55" s="26" t="str">
        <f>IF(LEN(A55),VLOOKUP(A55,TowerPool,8,0),"")</f>
        <v/>
      </c>
      <c r="O55" s="27" t="str">
        <f>IF(LEN(A55),VLOOKUP(N55,MoveData,8,0)*8/5," ")</f>
        <v> </v>
      </c>
      <c r="P55" s="24" t="str">
        <f>IF(LEN(A55),VLOOKUP(A55,TowerPool,3,0),"")</f>
        <v/>
      </c>
      <c r="Q55" s="24" t="str">
        <f>IF(LEN(A55),VLOOKUP(A55,TowerPool,9,0),"")</f>
        <v/>
      </c>
      <c r="R55" s="25" t="str">
        <f>IF(LEN(A55),TEXTJOIN("/",0,VLOOKUP(A55,TowerPool,16,0),VLOOKUP(A55,TowerPool,17,0),VLOOKUP(A55,TowerPool,18,0),VLOOKUP(A55,TowerPool,19,0),VLOOKUP(A55,TowerPool,20,0),VLOOKUP(A55,TowerPool,21,0)),"")</f>
        <v/>
      </c>
      <c r="S55" s="25" t="str">
        <f>IF(LEN(A55),TEXTJOIN("/",0,VLOOKUP(A55,TowerPool,10,0),VLOOKUP(A55,TowerPool,11,0),VLOOKUP(A55,TowerPool,12,0),VLOOKUP(A55,TowerPool,13,0),VLOOKUP(A55,TowerPool,14,0),VLOOKUP(A55,TowerPool,15,0)),"")</f>
        <v/>
      </c>
      <c r="T55" s="28" t="str">
        <f>IF(LEN(A55),VLOOKUP(A55,TowerPool,32,0),"")</f>
        <v/>
      </c>
      <c r="U55" s="24" t="str">
        <f>IF(LEN(A55),VLOOKUP(A55,TowerPool,27,0),"")</f>
        <v/>
      </c>
      <c r="V55" s="24" t="str">
        <f>IF(LEN(A55),VLOOKUP(A55,TowerPool,28,0),"")</f>
        <v/>
      </c>
      <c r="W55" s="24" t="str">
        <f>IF(LEN(A55),VLOOKUP(A55,TowerPool,29,0),"")</f>
        <v/>
      </c>
      <c r="X55" s="24" t="str">
        <f>IF(LEN(A55),VLOOKUP(A55,TowerPool,30,0),"")</f>
        <v/>
      </c>
      <c r="Y55" s="24" t="str">
        <f>IF(LEN(A55),VLOOKUP(A55,TowerPool,31,0),"")</f>
        <v/>
      </c>
      <c r="Z55" s="29" t="str">
        <f>IF(LEFT(D51,9)="Doubles M",D52,"")</f>
        <v/>
      </c>
    </row>
    <row r="56" ht="15.75" customHeight="1">
      <c r="A56" s="1" t="str">
        <f>IF(A52="","",IF(VLOOKUP(C51,TowerTrainers,10,0)=0,"",VLOOKUP(C51,TowerTrainers,10,0)))</f>
        <v/>
      </c>
      <c r="B56" s="22" t="str">
        <f>IF(LEN(A56),VLOOKUP(A56,TowerPool,34,0),"")</f>
        <v/>
      </c>
      <c r="C56" s="1"/>
      <c r="D56" s="23"/>
      <c r="E56" s="24" t="str">
        <f t="shared" si="9"/>
        <v/>
      </c>
      <c r="F56" s="25" t="str">
        <f>IF(LEN(A56),VLOOKUP(A56,TowerPool,33,0),"")</f>
        <v/>
      </c>
      <c r="G56" s="24" t="str">
        <f>IF(LEN(A56),VLOOKUP(A56,TowerPool,4,0),"")</f>
        <v/>
      </c>
      <c r="H56" s="26" t="str">
        <f>IF(LEN(A56),VLOOKUP(A56,TowerPool,5,0),"")</f>
        <v/>
      </c>
      <c r="I56" s="27" t="str">
        <f>IF(LEN(A56),VLOOKUP(H56,MoveData,8,0)*8/5," ")</f>
        <v> </v>
      </c>
      <c r="J56" s="26" t="str">
        <f>IF(LEN(A56),VLOOKUP(A56,TowerPool,6,0),"")</f>
        <v/>
      </c>
      <c r="K56" s="27" t="str">
        <f>IF(LEN(A56),VLOOKUP(J56,MoveData,8,0)*8/5," ")</f>
        <v> </v>
      </c>
      <c r="L56" s="26" t="str">
        <f>IF(LEN(A56),VLOOKUP(A56,TowerPool,7,0),"")</f>
        <v/>
      </c>
      <c r="M56" s="27" t="str">
        <f>IF(LEN(A56),VLOOKUP(L56,MoveData,8,0)*8/5," ")</f>
        <v> </v>
      </c>
      <c r="N56" s="26" t="str">
        <f>IF(LEN(A56),VLOOKUP(A56,TowerPool,8,0),"")</f>
        <v/>
      </c>
      <c r="O56" s="27" t="str">
        <f>IF(LEN(A56),VLOOKUP(N56,MoveData,8,0)*8/5," ")</f>
        <v> </v>
      </c>
      <c r="P56" s="24" t="str">
        <f>IF(LEN(A56),VLOOKUP(A56,TowerPool,3,0),"")</f>
        <v/>
      </c>
      <c r="Q56" s="24" t="str">
        <f>IF(LEN(A56),VLOOKUP(A56,TowerPool,9,0),"")</f>
        <v/>
      </c>
      <c r="R56" s="25" t="str">
        <f>IF(LEN(A56),TEXTJOIN("/",0,VLOOKUP(A56,TowerPool,16,0),VLOOKUP(A56,TowerPool,17,0),VLOOKUP(A56,TowerPool,18,0),VLOOKUP(A56,TowerPool,19,0),VLOOKUP(A56,TowerPool,20,0),VLOOKUP(A56,TowerPool,21,0)),"")</f>
        <v/>
      </c>
      <c r="S56" s="25" t="str">
        <f>IF(LEN(A56),TEXTJOIN("/",0,VLOOKUP(A56,TowerPool,10,0),VLOOKUP(A56,TowerPool,11,0),VLOOKUP(A56,TowerPool,12,0),VLOOKUP(A56,TowerPool,13,0),VLOOKUP(A56,TowerPool,14,0),VLOOKUP(A56,TowerPool,15,0)),"")</f>
        <v/>
      </c>
      <c r="T56" s="28" t="str">
        <f>IF(LEN(A56),VLOOKUP(A56,TowerPool,32,0),"")</f>
        <v/>
      </c>
      <c r="U56" s="24" t="str">
        <f>IF(LEN(A56),VLOOKUP(A56,TowerPool,27,0),"")</f>
        <v/>
      </c>
      <c r="V56" s="24" t="str">
        <f>IF(LEN(A56),VLOOKUP(A56,TowerPool,28,0),"")</f>
        <v/>
      </c>
      <c r="W56" s="24" t="str">
        <f>IF(LEN(A56),VLOOKUP(A56,TowerPool,29,0),"")</f>
        <v/>
      </c>
      <c r="X56" s="24" t="str">
        <f>IF(LEN(A56),VLOOKUP(A56,TowerPool,30,0),"")</f>
        <v/>
      </c>
      <c r="Y56" s="24" t="str">
        <f>IF(LEN(A56),VLOOKUP(A56,TowerPool,31,0),"")</f>
        <v/>
      </c>
      <c r="Z56" s="30"/>
    </row>
    <row r="57" ht="15.75" customHeight="1">
      <c r="A57" s="1" t="str">
        <f>IF(A51="","",IFERROR(FIND(",",B$2,A51+1),""))</f>
        <v/>
      </c>
      <c r="B57" s="1">
        <f>B51+1</f>
        <v>10</v>
      </c>
      <c r="C57" s="1" t="str">
        <f>IF(LEN(A57),VALUE(MID(B$2,A51+1,A57-A51-1)),"")</f>
        <v/>
      </c>
      <c r="D57" s="1" t="str">
        <f>IF(LEN(A57),VLOOKUP(C57,TowerTrainers,6),"")</f>
        <v/>
      </c>
      <c r="E57" s="14" t="str">
        <f>IF(LEN(C57),"Team #"&amp;B57&amp;" - "&amp;D57&amp;" - "&amp;A58&amp; " "&amp;B58&amp;IF(C58=0,""," and "&amp;C58&amp;" "&amp;D58),"")</f>
        <v/>
      </c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6"/>
    </row>
    <row r="58" ht="15.75" customHeight="1">
      <c r="A58" s="7" t="str">
        <f>IF(LEN(C57),VLOOKUP(C57,TowerTrainers,3,0),"")</f>
        <v/>
      </c>
      <c r="B58" s="17" t="str">
        <f>IF(LEN(C57),VLOOKUP(C57,TowerTrainers,2,0),"")</f>
        <v/>
      </c>
      <c r="C58" s="17" t="str">
        <f>IF(LEN(C57),VLOOKUP(C57,TowerTrainers,5,0),"")</f>
        <v/>
      </c>
      <c r="D58" s="17" t="str">
        <f>IF(LEN(C57),VLOOKUP(C57,TowerTrainers,4),"")</f>
        <v/>
      </c>
      <c r="E58" s="18" t="str">
        <f>IF(LEN(E57),"Set","")</f>
        <v/>
      </c>
      <c r="F58" s="18" t="str">
        <f>IF(LEN(E57),"Type","")</f>
        <v/>
      </c>
      <c r="G58" s="18" t="str">
        <f>IF(LEN(E57),"Item","")</f>
        <v/>
      </c>
      <c r="H58" s="19" t="str">
        <f>IF(LEN(E57),"Move 1","")</f>
        <v/>
      </c>
      <c r="I58" s="20" t="str">
        <f>IF(LEN(E57),"PP","")</f>
        <v/>
      </c>
      <c r="J58" s="19" t="str">
        <f>IF(LEN(E57),"Move 2","")</f>
        <v/>
      </c>
      <c r="K58" s="19"/>
      <c r="L58" s="19" t="str">
        <f>IF(LEN(E57),"Move 3","")</f>
        <v/>
      </c>
      <c r="M58" s="19"/>
      <c r="N58" s="19" t="str">
        <f>IF(LEN(E57),"Move 4","")</f>
        <v/>
      </c>
      <c r="O58" s="19"/>
      <c r="P58" s="18" t="str">
        <f>IF(LEN(E57),"Nature","")</f>
        <v/>
      </c>
      <c r="Q58" s="18" t="str">
        <f>IF(LEN(E57),"Ability","")</f>
        <v/>
      </c>
      <c r="R58" s="18" t="str">
        <f>IF(LEN(E57),"EV – (H/A/B/C/D/S) – IV","")</f>
        <v/>
      </c>
      <c r="T58" s="21" t="str">
        <f>IF(LEN(E57),"Speed","")</f>
        <v/>
      </c>
      <c r="U58" s="18" t="str">
        <f>IF(LEN(E57),"HP","")</f>
        <v/>
      </c>
      <c r="V58" s="18" t="str">
        <f>IF(LEN(E57),"Atk","")</f>
        <v/>
      </c>
      <c r="W58" s="18" t="str">
        <f>IF(LEN(E57),"Def","")</f>
        <v/>
      </c>
      <c r="X58" s="18" t="str">
        <f>IF(LEN(E57),"SpA","")</f>
        <v/>
      </c>
      <c r="Y58" s="18" t="str">
        <f>IF(LEN(E57),"SpD","")</f>
        <v/>
      </c>
      <c r="Z58" s="18"/>
    </row>
    <row r="59" ht="15.75" customHeight="1">
      <c r="A59" s="6" t="str">
        <f>IF(A58="","",IF(VLOOKUP(C57,TowerTrainers,7,0)=0,"",VLOOKUP(C57,TowerTrainers,7,0)))</f>
        <v/>
      </c>
      <c r="B59" s="22" t="str">
        <f>IF(LEN(A59),VLOOKUP(A59,TowerPool,34,0),"")</f>
        <v/>
      </c>
      <c r="C59" s="1"/>
      <c r="D59" s="23"/>
      <c r="E59" s="24" t="str">
        <f t="shared" ref="E59:E62" si="10">IF(LEN(A59),A59,"")</f>
        <v/>
      </c>
      <c r="F59" s="25" t="str">
        <f>IF(LEN(A59),VLOOKUP(A59,TowerPool,33,0),"")</f>
        <v/>
      </c>
      <c r="G59" s="24" t="str">
        <f>IF(LEN(A59),VLOOKUP(A59,TowerPool,4,0),"")</f>
        <v/>
      </c>
      <c r="H59" s="26" t="str">
        <f>IF(LEN(A59),VLOOKUP(A59,TowerPool,5,0),"")</f>
        <v/>
      </c>
      <c r="I59" s="27" t="str">
        <f>IF(LEN(A59),VLOOKUP(H59,MoveData,8,0)*8/5," ")</f>
        <v> </v>
      </c>
      <c r="J59" s="26" t="str">
        <f>IF(LEN(A59),VLOOKUP(A59,TowerPool,6,0),"")</f>
        <v/>
      </c>
      <c r="K59" s="27" t="str">
        <f>IF(LEN(A59),VLOOKUP(J59,MoveData,8,0)*8/5," ")</f>
        <v> </v>
      </c>
      <c r="L59" s="26" t="str">
        <f>IF(LEN(A59),VLOOKUP(A59,TowerPool,7,0),"")</f>
        <v/>
      </c>
      <c r="M59" s="27" t="str">
        <f>IF(LEN(A59),VLOOKUP(L59,MoveData,8,0)*8/5," ")</f>
        <v> </v>
      </c>
      <c r="N59" s="26" t="str">
        <f>IF(LEN(A59),VLOOKUP(A59,TowerPool,8,0),"")</f>
        <v/>
      </c>
      <c r="O59" s="27" t="str">
        <f>IF(LEN(A59),VLOOKUP(N59,MoveData,8,0)*8/5," ")</f>
        <v> </v>
      </c>
      <c r="P59" s="24" t="str">
        <f>IF(LEN(A59),VLOOKUP(A59,TowerPool,3,0),"")</f>
        <v/>
      </c>
      <c r="Q59" s="24" t="str">
        <f>IF(LEN(A59),VLOOKUP(A59,TowerPool,9,0),"")</f>
        <v/>
      </c>
      <c r="R59" s="25" t="str">
        <f>IF(LEN(A59),TEXTJOIN("/",0,VLOOKUP(A59,TowerPool,16,0),VLOOKUP(A59,TowerPool,17,0),VLOOKUP(A59,TowerPool,18,0),VLOOKUP(A59,TowerPool,19,0),VLOOKUP(A59,TowerPool,20,0),VLOOKUP(A59,TowerPool,21,0)),"")</f>
        <v/>
      </c>
      <c r="S59" s="25" t="str">
        <f>IF(LEN(A59),TEXTJOIN("/",0,VLOOKUP(A59,TowerPool,10,0),VLOOKUP(A59,TowerPool,11,0),VLOOKUP(A59,TowerPool,12,0),VLOOKUP(A59,TowerPool,13,0),VLOOKUP(A59,TowerPool,14,0),VLOOKUP(A59,TowerPool,15,0)),"")</f>
        <v/>
      </c>
      <c r="T59" s="28" t="str">
        <f>IF(LEN(A59),VLOOKUP(A59,TowerPool,32,0),"")</f>
        <v/>
      </c>
      <c r="U59" s="24" t="str">
        <f>IF(LEN(A59),VLOOKUP(A59,TowerPool,27,0),"")</f>
        <v/>
      </c>
      <c r="V59" s="24" t="str">
        <f>IF(LEN(A59),VLOOKUP(A59,TowerPool,28,0),"")</f>
        <v/>
      </c>
      <c r="W59" s="24" t="str">
        <f>IF(LEN(A59),VLOOKUP(A59,TowerPool,29,0),"")</f>
        <v/>
      </c>
      <c r="X59" s="24" t="str">
        <f>IF(LEN(A59),VLOOKUP(A59,TowerPool,30,0),"")</f>
        <v/>
      </c>
      <c r="Y59" s="24" t="str">
        <f>IF(LEN(A59),VLOOKUP(A59,TowerPool,31,0),"")</f>
        <v/>
      </c>
      <c r="Z59" s="29" t="str">
        <f>IF(LEFT(D57,9)="Doubles M",B58,"")</f>
        <v/>
      </c>
    </row>
    <row r="60" ht="15.75" customHeight="1">
      <c r="A60" s="1" t="str">
        <f>IF(A58="","",IF(VLOOKUP(C57,TowerTrainers,8,0)=0,"",VLOOKUP(C57,TowerTrainers,8,0)))</f>
        <v/>
      </c>
      <c r="B60" s="22" t="str">
        <f>IF(LEN(A60),VLOOKUP(A60,TowerPool,34,0),"")</f>
        <v/>
      </c>
      <c r="C60" s="1"/>
      <c r="D60" s="23"/>
      <c r="E60" s="24" t="str">
        <f t="shared" si="10"/>
        <v/>
      </c>
      <c r="F60" s="25" t="str">
        <f>IF(LEN(A60),VLOOKUP(A60,TowerPool,33,0),"")</f>
        <v/>
      </c>
      <c r="G60" s="24" t="str">
        <f>IF(LEN(A60),VLOOKUP(A60,TowerPool,4,0),"")</f>
        <v/>
      </c>
      <c r="H60" s="26" t="str">
        <f>IF(LEN(A60),VLOOKUP(A60,TowerPool,5,0),"")</f>
        <v/>
      </c>
      <c r="I60" s="27" t="str">
        <f>IF(LEN(A60),VLOOKUP(H60,MoveData,8,0)*8/5," ")</f>
        <v> </v>
      </c>
      <c r="J60" s="26" t="str">
        <f>IF(LEN(A60),VLOOKUP(A60,TowerPool,6,0),"")</f>
        <v/>
      </c>
      <c r="K60" s="27" t="str">
        <f>IF(LEN(A60),VLOOKUP(J60,MoveData,8,0)*8/5," ")</f>
        <v> </v>
      </c>
      <c r="L60" s="26" t="str">
        <f>IF(LEN(A60),VLOOKUP(A60,TowerPool,7,0),"")</f>
        <v/>
      </c>
      <c r="M60" s="27" t="str">
        <f>IF(LEN(A60),VLOOKUP(L60,MoveData,8,0)*8/5," ")</f>
        <v> </v>
      </c>
      <c r="N60" s="26" t="str">
        <f>IF(LEN(A60),VLOOKUP(A60,TowerPool,8,0),"")</f>
        <v/>
      </c>
      <c r="O60" s="27" t="str">
        <f>IF(LEN(A60),VLOOKUP(N60,MoveData,8,0)*8/5," ")</f>
        <v> </v>
      </c>
      <c r="P60" s="24" t="str">
        <f>IF(LEN(A60),VLOOKUP(A60,TowerPool,3,0),"")</f>
        <v/>
      </c>
      <c r="Q60" s="24" t="str">
        <f>IF(LEN(A60),VLOOKUP(A60,TowerPool,9,0),"")</f>
        <v/>
      </c>
      <c r="R60" s="25" t="str">
        <f>IF(LEN(A60),TEXTJOIN("/",0,VLOOKUP(A60,TowerPool,16,0),VLOOKUP(A60,TowerPool,17,0),VLOOKUP(A60,TowerPool,18,0),VLOOKUP(A60,TowerPool,19,0),VLOOKUP(A60,TowerPool,20,0),VLOOKUP(A60,TowerPool,21,0)),"")</f>
        <v/>
      </c>
      <c r="S60" s="25" t="str">
        <f>IF(LEN(A60),TEXTJOIN("/",0,VLOOKUP(A60,TowerPool,10,0),VLOOKUP(A60,TowerPool,11,0),VLOOKUP(A60,TowerPool,12,0),VLOOKUP(A60,TowerPool,13,0),VLOOKUP(A60,TowerPool,14,0),VLOOKUP(A60,TowerPool,15,0)),"")</f>
        <v/>
      </c>
      <c r="T60" s="28" t="str">
        <f>IF(LEN(A60),VLOOKUP(A60,TowerPool,32,0),"")</f>
        <v/>
      </c>
      <c r="U60" s="24" t="str">
        <f>IF(LEN(A60),VLOOKUP(A60,TowerPool,27,0),"")</f>
        <v/>
      </c>
      <c r="V60" s="24" t="str">
        <f>IF(LEN(A60),VLOOKUP(A60,TowerPool,28,0),"")</f>
        <v/>
      </c>
      <c r="W60" s="24" t="str">
        <f>IF(LEN(A60),VLOOKUP(A60,TowerPool,29,0),"")</f>
        <v/>
      </c>
      <c r="X60" s="24" t="str">
        <f>IF(LEN(A60),VLOOKUP(A60,TowerPool,30,0),"")</f>
        <v/>
      </c>
      <c r="Y60" s="24" t="str">
        <f>IF(LEN(A60),VLOOKUP(A60,TowerPool,31,0),"")</f>
        <v/>
      </c>
      <c r="Z60" s="30"/>
    </row>
    <row r="61" ht="15.75" customHeight="1">
      <c r="A61" s="1" t="str">
        <f>IF(A58="","",IF(VLOOKUP(C57,TowerTrainers,9,0)=0,"",VLOOKUP(C57,TowerTrainers,9,0)))</f>
        <v/>
      </c>
      <c r="B61" s="22" t="str">
        <f>IF(LEN(A61),VLOOKUP(A61,TowerPool,34,0),"")</f>
        <v/>
      </c>
      <c r="C61" s="1"/>
      <c r="D61" s="23"/>
      <c r="E61" s="24" t="str">
        <f t="shared" si="10"/>
        <v/>
      </c>
      <c r="F61" s="25" t="str">
        <f>IF(LEN(A61),VLOOKUP(A61,TowerPool,33,0),"")</f>
        <v/>
      </c>
      <c r="G61" s="24" t="str">
        <f>IF(LEN(A61),VLOOKUP(A61,TowerPool,4,0),"")</f>
        <v/>
      </c>
      <c r="H61" s="26" t="str">
        <f>IF(LEN(A61),VLOOKUP(A61,TowerPool,5,0),"")</f>
        <v/>
      </c>
      <c r="I61" s="27" t="str">
        <f>IF(LEN(A61),VLOOKUP(H61,MoveData,8,0)*8/5," ")</f>
        <v> </v>
      </c>
      <c r="J61" s="26" t="str">
        <f>IF(LEN(A61),VLOOKUP(A61,TowerPool,6,0),"")</f>
        <v/>
      </c>
      <c r="K61" s="27" t="str">
        <f>IF(LEN(A61),VLOOKUP(J61,MoveData,8,0)*8/5," ")</f>
        <v> </v>
      </c>
      <c r="L61" s="26" t="str">
        <f>IF(LEN(A61),VLOOKUP(A61,TowerPool,7,0),"")</f>
        <v/>
      </c>
      <c r="M61" s="27" t="str">
        <f>IF(LEN(A61),VLOOKUP(L61,MoveData,8,0)*8/5," ")</f>
        <v> </v>
      </c>
      <c r="N61" s="26" t="str">
        <f>IF(LEN(A61),VLOOKUP(A61,TowerPool,8,0),"")</f>
        <v/>
      </c>
      <c r="O61" s="27" t="str">
        <f>IF(LEN(A61),VLOOKUP(N61,MoveData,8,0)*8/5," ")</f>
        <v> </v>
      </c>
      <c r="P61" s="24" t="str">
        <f>IF(LEN(A61),VLOOKUP(A61,TowerPool,3,0),"")</f>
        <v/>
      </c>
      <c r="Q61" s="24" t="str">
        <f>IF(LEN(A61),VLOOKUP(A61,TowerPool,9,0),"")</f>
        <v/>
      </c>
      <c r="R61" s="25" t="str">
        <f>IF(LEN(A61),TEXTJOIN("/",0,VLOOKUP(A61,TowerPool,16,0),VLOOKUP(A61,TowerPool,17,0),VLOOKUP(A61,TowerPool,18,0),VLOOKUP(A61,TowerPool,19,0),VLOOKUP(A61,TowerPool,20,0),VLOOKUP(A61,TowerPool,21,0)),"")</f>
        <v/>
      </c>
      <c r="S61" s="25" t="str">
        <f>IF(LEN(A61),TEXTJOIN("/",0,VLOOKUP(A61,TowerPool,10,0),VLOOKUP(A61,TowerPool,11,0),VLOOKUP(A61,TowerPool,12,0),VLOOKUP(A61,TowerPool,13,0),VLOOKUP(A61,TowerPool,14,0),VLOOKUP(A61,TowerPool,15,0)),"")</f>
        <v/>
      </c>
      <c r="T61" s="28" t="str">
        <f>IF(LEN(A61),VLOOKUP(A61,TowerPool,32,0),"")</f>
        <v/>
      </c>
      <c r="U61" s="24" t="str">
        <f>IF(LEN(A61),VLOOKUP(A61,TowerPool,27,0),"")</f>
        <v/>
      </c>
      <c r="V61" s="24" t="str">
        <f>IF(LEN(A61),VLOOKUP(A61,TowerPool,28,0),"")</f>
        <v/>
      </c>
      <c r="W61" s="24" t="str">
        <f>IF(LEN(A61),VLOOKUP(A61,TowerPool,29,0),"")</f>
        <v/>
      </c>
      <c r="X61" s="24" t="str">
        <f>IF(LEN(A61),VLOOKUP(A61,TowerPool,30,0),"")</f>
        <v/>
      </c>
      <c r="Y61" s="24" t="str">
        <f>IF(LEN(A61),VLOOKUP(A61,TowerPool,31,0),"")</f>
        <v/>
      </c>
      <c r="Z61" s="29" t="str">
        <f>IF(LEFT(D57,9)="Doubles M",D58,"")</f>
        <v/>
      </c>
    </row>
    <row r="62" ht="15.75" customHeight="1">
      <c r="A62" s="1" t="str">
        <f>IF(A58="","",IF(VLOOKUP(C57,TowerTrainers,10,0)=0,"",VLOOKUP(C57,TowerTrainers,10,0)))</f>
        <v/>
      </c>
      <c r="B62" s="22" t="str">
        <f>IF(LEN(A62),VLOOKUP(A62,TowerPool,34,0),"")</f>
        <v/>
      </c>
      <c r="C62" s="1"/>
      <c r="D62" s="23"/>
      <c r="E62" s="24" t="str">
        <f t="shared" si="10"/>
        <v/>
      </c>
      <c r="F62" s="25" t="str">
        <f>IF(LEN(A62),VLOOKUP(A62,TowerPool,33,0),"")</f>
        <v/>
      </c>
      <c r="G62" s="24" t="str">
        <f>IF(LEN(A62),VLOOKUP(A62,TowerPool,4,0),"")</f>
        <v/>
      </c>
      <c r="H62" s="26" t="str">
        <f>IF(LEN(A62),VLOOKUP(A62,TowerPool,5,0),"")</f>
        <v/>
      </c>
      <c r="I62" s="27" t="str">
        <f>IF(LEN(A62),VLOOKUP(H62,MoveData,8,0)*8/5," ")</f>
        <v> </v>
      </c>
      <c r="J62" s="26" t="str">
        <f>IF(LEN(A62),VLOOKUP(A62,TowerPool,6,0),"")</f>
        <v/>
      </c>
      <c r="K62" s="27" t="str">
        <f>IF(LEN(A62),VLOOKUP(J62,MoveData,8,0)*8/5," ")</f>
        <v> </v>
      </c>
      <c r="L62" s="26" t="str">
        <f>IF(LEN(A62),VLOOKUP(A62,TowerPool,7,0),"")</f>
        <v/>
      </c>
      <c r="M62" s="27" t="str">
        <f>IF(LEN(A62),VLOOKUP(L62,MoveData,8,0)*8/5," ")</f>
        <v> </v>
      </c>
      <c r="N62" s="26" t="str">
        <f>IF(LEN(A62),VLOOKUP(A62,TowerPool,8,0),"")</f>
        <v/>
      </c>
      <c r="O62" s="27" t="str">
        <f>IF(LEN(A62),VLOOKUP(N62,MoveData,8,0)*8/5," ")</f>
        <v> </v>
      </c>
      <c r="P62" s="24" t="str">
        <f>IF(LEN(A62),VLOOKUP(A62,TowerPool,3,0),"")</f>
        <v/>
      </c>
      <c r="Q62" s="24" t="str">
        <f>IF(LEN(A62),VLOOKUP(A62,TowerPool,9,0),"")</f>
        <v/>
      </c>
      <c r="R62" s="25" t="str">
        <f>IF(LEN(A62),TEXTJOIN("/",0,VLOOKUP(A62,TowerPool,16,0),VLOOKUP(A62,TowerPool,17,0),VLOOKUP(A62,TowerPool,18,0),VLOOKUP(A62,TowerPool,19,0),VLOOKUP(A62,TowerPool,20,0),VLOOKUP(A62,TowerPool,21,0)),"")</f>
        <v/>
      </c>
      <c r="S62" s="25" t="str">
        <f>IF(LEN(A62),TEXTJOIN("/",0,VLOOKUP(A62,TowerPool,10,0),VLOOKUP(A62,TowerPool,11,0),VLOOKUP(A62,TowerPool,12,0),VLOOKUP(A62,TowerPool,13,0),VLOOKUP(A62,TowerPool,14,0),VLOOKUP(A62,TowerPool,15,0)),"")</f>
        <v/>
      </c>
      <c r="T62" s="28" t="str">
        <f>IF(LEN(A62),VLOOKUP(A62,TowerPool,32,0),"")</f>
        <v/>
      </c>
      <c r="U62" s="24" t="str">
        <f>IF(LEN(A62),VLOOKUP(A62,TowerPool,27,0),"")</f>
        <v/>
      </c>
      <c r="V62" s="24" t="str">
        <f>IF(LEN(A62),VLOOKUP(A62,TowerPool,28,0),"")</f>
        <v/>
      </c>
      <c r="W62" s="24" t="str">
        <f>IF(LEN(A62),VLOOKUP(A62,TowerPool,29,0),"")</f>
        <v/>
      </c>
      <c r="X62" s="24" t="str">
        <f>IF(LEN(A62),VLOOKUP(A62,TowerPool,30,0),"")</f>
        <v/>
      </c>
      <c r="Y62" s="24" t="str">
        <f>IF(LEN(A62),VLOOKUP(A62,TowerPool,31,0),"")</f>
        <v/>
      </c>
      <c r="Z62" s="30"/>
    </row>
    <row r="63" ht="15.75" customHeight="1">
      <c r="A63" s="1" t="str">
        <f>IF(A57="","",IFERROR(FIND(",",B$2,A57+1),""))</f>
        <v/>
      </c>
      <c r="B63" s="1">
        <f>B57+1</f>
        <v>11</v>
      </c>
      <c r="C63" s="1" t="str">
        <f>IF(LEN(A63),VALUE(MID(B$2,A57+1,A63-A57-1)),"")</f>
        <v/>
      </c>
      <c r="D63" s="1" t="str">
        <f>IF(LEN(A63),VLOOKUP(C63,TowerTrainers,6),"")</f>
        <v/>
      </c>
      <c r="E63" s="14" t="str">
        <f>IF(LEN(C63),"Team #"&amp;B63&amp;" - "&amp;D63&amp;" - "&amp;A64&amp; " "&amp;B64&amp;IF(C64=0,""," and "&amp;C64&amp;" "&amp;D64),"")</f>
        <v/>
      </c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6"/>
    </row>
    <row r="64" ht="15.75" customHeight="1">
      <c r="A64" s="7" t="str">
        <f>IF(LEN(C63),VLOOKUP(C63,TowerTrainers,3,0),"")</f>
        <v/>
      </c>
      <c r="B64" s="17" t="str">
        <f>IF(LEN(C63),VLOOKUP(C63,TowerTrainers,2,0),"")</f>
        <v/>
      </c>
      <c r="C64" s="17" t="str">
        <f>IF(LEN(C63),VLOOKUP(C63,TowerTrainers,5,0),"")</f>
        <v/>
      </c>
      <c r="D64" s="17" t="str">
        <f>IF(LEN(C63),VLOOKUP(C63,TowerTrainers,4),"")</f>
        <v/>
      </c>
      <c r="E64" s="18" t="str">
        <f>IF(LEN(E63),"Set","")</f>
        <v/>
      </c>
      <c r="F64" s="18" t="str">
        <f>IF(LEN(E63),"Type","")</f>
        <v/>
      </c>
      <c r="G64" s="18" t="str">
        <f>IF(LEN(E63),"Item","")</f>
        <v/>
      </c>
      <c r="H64" s="19" t="str">
        <f>IF(LEN(E63),"Move 1","")</f>
        <v/>
      </c>
      <c r="I64" s="20" t="str">
        <f>IF(LEN(E63),"PP","")</f>
        <v/>
      </c>
      <c r="J64" s="19" t="str">
        <f>IF(LEN(E63),"Move 2","")</f>
        <v/>
      </c>
      <c r="K64" s="19"/>
      <c r="L64" s="19" t="str">
        <f>IF(LEN(E63),"Move 3","")</f>
        <v/>
      </c>
      <c r="M64" s="19"/>
      <c r="N64" s="19" t="str">
        <f>IF(LEN(E63),"Move 4","")</f>
        <v/>
      </c>
      <c r="O64" s="19"/>
      <c r="P64" s="18" t="str">
        <f>IF(LEN(E63),"Nature","")</f>
        <v/>
      </c>
      <c r="Q64" s="18" t="str">
        <f>IF(LEN(E63),"Ability","")</f>
        <v/>
      </c>
      <c r="R64" s="18" t="str">
        <f>IF(LEN(E63),"EV – (H/A/B/C/D/S) – IV","")</f>
        <v/>
      </c>
      <c r="T64" s="21" t="str">
        <f>IF(LEN(E63),"Speed","")</f>
        <v/>
      </c>
      <c r="U64" s="18" t="str">
        <f>IF(LEN(E63),"HP","")</f>
        <v/>
      </c>
      <c r="V64" s="18" t="str">
        <f>IF(LEN(E63),"Atk","")</f>
        <v/>
      </c>
      <c r="W64" s="18" t="str">
        <f>IF(LEN(E63),"Def","")</f>
        <v/>
      </c>
      <c r="X64" s="18" t="str">
        <f>IF(LEN(E63),"SpA","")</f>
        <v/>
      </c>
      <c r="Y64" s="18" t="str">
        <f>IF(LEN(E63),"SpD","")</f>
        <v/>
      </c>
      <c r="Z64" s="18"/>
    </row>
    <row r="65" ht="15.75" customHeight="1">
      <c r="A65" s="6" t="str">
        <f>IF(A64="","",IF(VLOOKUP(C63,TowerTrainers,7,0)=0,"",VLOOKUP(C63,TowerTrainers,7,0)))</f>
        <v/>
      </c>
      <c r="B65" s="22" t="str">
        <f>IF(LEN(A65),VLOOKUP(A65,TowerPool,34,0),"")</f>
        <v/>
      </c>
      <c r="C65" s="1"/>
      <c r="D65" s="23"/>
      <c r="E65" s="24" t="str">
        <f t="shared" ref="E65:E68" si="11">IF(LEN(A65),A65,"")</f>
        <v/>
      </c>
      <c r="F65" s="25" t="str">
        <f>IF(LEN(A65),VLOOKUP(A65,TowerPool,33,0),"")</f>
        <v/>
      </c>
      <c r="G65" s="24" t="str">
        <f>IF(LEN(A65),VLOOKUP(A65,TowerPool,4,0),"")</f>
        <v/>
      </c>
      <c r="H65" s="26" t="str">
        <f>IF(LEN(A65),VLOOKUP(A65,TowerPool,5,0),"")</f>
        <v/>
      </c>
      <c r="I65" s="27" t="str">
        <f>IF(LEN(A65),VLOOKUP(H65,MoveData,8,0)*8/5," ")</f>
        <v> </v>
      </c>
      <c r="J65" s="26" t="str">
        <f>IF(LEN(A65),VLOOKUP(A65,TowerPool,6,0),"")</f>
        <v/>
      </c>
      <c r="K65" s="27" t="str">
        <f>IF(LEN(A65),VLOOKUP(J65,MoveData,8,0)*8/5," ")</f>
        <v> </v>
      </c>
      <c r="L65" s="26" t="str">
        <f>IF(LEN(A65),VLOOKUP(A65,TowerPool,7,0),"")</f>
        <v/>
      </c>
      <c r="M65" s="27" t="str">
        <f>IF(LEN(A65),VLOOKUP(L65,MoveData,8,0)*8/5," ")</f>
        <v> </v>
      </c>
      <c r="N65" s="26" t="str">
        <f>IF(LEN(A65),VLOOKUP(A65,TowerPool,8,0),"")</f>
        <v/>
      </c>
      <c r="O65" s="27" t="str">
        <f>IF(LEN(A65),VLOOKUP(N65,MoveData,8,0)*8/5," ")</f>
        <v> </v>
      </c>
      <c r="P65" s="24" t="str">
        <f>IF(LEN(A65),VLOOKUP(A65,TowerPool,3,0),"")</f>
        <v/>
      </c>
      <c r="Q65" s="24" t="str">
        <f>IF(LEN(A65),VLOOKUP(A65,TowerPool,9,0),"")</f>
        <v/>
      </c>
      <c r="R65" s="25" t="str">
        <f>IF(LEN(A65),TEXTJOIN("/",0,VLOOKUP(A65,TowerPool,16,0),VLOOKUP(A65,TowerPool,17,0),VLOOKUP(A65,TowerPool,18,0),VLOOKUP(A65,TowerPool,19,0),VLOOKUP(A65,TowerPool,20,0),VLOOKUP(A65,TowerPool,21,0)),"")</f>
        <v/>
      </c>
      <c r="S65" s="25" t="str">
        <f>IF(LEN(A65),TEXTJOIN("/",0,VLOOKUP(A65,TowerPool,10,0),VLOOKUP(A65,TowerPool,11,0),VLOOKUP(A65,TowerPool,12,0),VLOOKUP(A65,TowerPool,13,0),VLOOKUP(A65,TowerPool,14,0),VLOOKUP(A65,TowerPool,15,0)),"")</f>
        <v/>
      </c>
      <c r="T65" s="28" t="str">
        <f>IF(LEN(A65),VLOOKUP(A65,TowerPool,32,0),"")</f>
        <v/>
      </c>
      <c r="U65" s="24" t="str">
        <f>IF(LEN(A65),VLOOKUP(A65,TowerPool,27,0),"")</f>
        <v/>
      </c>
      <c r="V65" s="24" t="str">
        <f>IF(LEN(A65),VLOOKUP(A65,TowerPool,28,0),"")</f>
        <v/>
      </c>
      <c r="W65" s="24" t="str">
        <f>IF(LEN(A65),VLOOKUP(A65,TowerPool,29,0),"")</f>
        <v/>
      </c>
      <c r="X65" s="24" t="str">
        <f>IF(LEN(A65),VLOOKUP(A65,TowerPool,30,0),"")</f>
        <v/>
      </c>
      <c r="Y65" s="24" t="str">
        <f>IF(LEN(A65),VLOOKUP(A65,TowerPool,31,0),"")</f>
        <v/>
      </c>
      <c r="Z65" s="29" t="str">
        <f>IF(LEFT(D63,9)="Doubles M",B64,"")</f>
        <v/>
      </c>
    </row>
    <row r="66" ht="15.75" customHeight="1">
      <c r="A66" s="1" t="str">
        <f>IF(A64="","",IF(VLOOKUP(C63,TowerTrainers,8,0)=0,"",VLOOKUP(C63,TowerTrainers,8,0)))</f>
        <v/>
      </c>
      <c r="B66" s="22" t="str">
        <f>IF(LEN(A66),VLOOKUP(A66,TowerPool,34,0),"")</f>
        <v/>
      </c>
      <c r="C66" s="1"/>
      <c r="D66" s="23"/>
      <c r="E66" s="24" t="str">
        <f t="shared" si="11"/>
        <v/>
      </c>
      <c r="F66" s="25" t="str">
        <f>IF(LEN(A66),VLOOKUP(A66,TowerPool,33,0),"")</f>
        <v/>
      </c>
      <c r="G66" s="24" t="str">
        <f>IF(LEN(A66),VLOOKUP(A66,TowerPool,4,0),"")</f>
        <v/>
      </c>
      <c r="H66" s="26" t="str">
        <f>IF(LEN(A66),VLOOKUP(A66,TowerPool,5,0),"")</f>
        <v/>
      </c>
      <c r="I66" s="27" t="str">
        <f>IF(LEN(A66),VLOOKUP(H66,MoveData,8,0)*8/5," ")</f>
        <v> </v>
      </c>
      <c r="J66" s="26" t="str">
        <f>IF(LEN(A66),VLOOKUP(A66,TowerPool,6,0),"")</f>
        <v/>
      </c>
      <c r="K66" s="27" t="str">
        <f>IF(LEN(A66),VLOOKUP(J66,MoveData,8,0)*8/5," ")</f>
        <v> </v>
      </c>
      <c r="L66" s="26" t="str">
        <f>IF(LEN(A66),VLOOKUP(A66,TowerPool,7,0),"")</f>
        <v/>
      </c>
      <c r="M66" s="27" t="str">
        <f>IF(LEN(A66),VLOOKUP(L66,MoveData,8,0)*8/5," ")</f>
        <v> </v>
      </c>
      <c r="N66" s="26" t="str">
        <f>IF(LEN(A66),VLOOKUP(A66,TowerPool,8,0),"")</f>
        <v/>
      </c>
      <c r="O66" s="27" t="str">
        <f>IF(LEN(A66),VLOOKUP(N66,MoveData,8,0)*8/5," ")</f>
        <v> </v>
      </c>
      <c r="P66" s="24" t="str">
        <f>IF(LEN(A66),VLOOKUP(A66,TowerPool,3,0),"")</f>
        <v/>
      </c>
      <c r="Q66" s="24" t="str">
        <f>IF(LEN(A66),VLOOKUP(A66,TowerPool,9,0),"")</f>
        <v/>
      </c>
      <c r="R66" s="25" t="str">
        <f>IF(LEN(A66),TEXTJOIN("/",0,VLOOKUP(A66,TowerPool,16,0),VLOOKUP(A66,TowerPool,17,0),VLOOKUP(A66,TowerPool,18,0),VLOOKUP(A66,TowerPool,19,0),VLOOKUP(A66,TowerPool,20,0),VLOOKUP(A66,TowerPool,21,0)),"")</f>
        <v/>
      </c>
      <c r="S66" s="25" t="str">
        <f>IF(LEN(A66),TEXTJOIN("/",0,VLOOKUP(A66,TowerPool,10,0),VLOOKUP(A66,TowerPool,11,0),VLOOKUP(A66,TowerPool,12,0),VLOOKUP(A66,TowerPool,13,0),VLOOKUP(A66,TowerPool,14,0),VLOOKUP(A66,TowerPool,15,0)),"")</f>
        <v/>
      </c>
      <c r="T66" s="28" t="str">
        <f>IF(LEN(A66),VLOOKUP(A66,TowerPool,32,0),"")</f>
        <v/>
      </c>
      <c r="U66" s="24" t="str">
        <f>IF(LEN(A66),VLOOKUP(A66,TowerPool,27,0),"")</f>
        <v/>
      </c>
      <c r="V66" s="24" t="str">
        <f>IF(LEN(A66),VLOOKUP(A66,TowerPool,28,0),"")</f>
        <v/>
      </c>
      <c r="W66" s="24" t="str">
        <f>IF(LEN(A66),VLOOKUP(A66,TowerPool,29,0),"")</f>
        <v/>
      </c>
      <c r="X66" s="24" t="str">
        <f>IF(LEN(A66),VLOOKUP(A66,TowerPool,30,0),"")</f>
        <v/>
      </c>
      <c r="Y66" s="24" t="str">
        <f>IF(LEN(A66),VLOOKUP(A66,TowerPool,31,0),"")</f>
        <v/>
      </c>
      <c r="Z66" s="30"/>
    </row>
    <row r="67" ht="15.75" customHeight="1">
      <c r="A67" s="1" t="str">
        <f>IF(A64="","",IF(VLOOKUP(C63,TowerTrainers,9,0)=0,"",VLOOKUP(C63,TowerTrainers,9,0)))</f>
        <v/>
      </c>
      <c r="B67" s="22" t="str">
        <f>IF(LEN(A67),VLOOKUP(A67,TowerPool,34,0),"")</f>
        <v/>
      </c>
      <c r="C67" s="1"/>
      <c r="D67" s="23"/>
      <c r="E67" s="24" t="str">
        <f t="shared" si="11"/>
        <v/>
      </c>
      <c r="F67" s="25" t="str">
        <f>IF(LEN(A67),VLOOKUP(A67,TowerPool,33,0),"")</f>
        <v/>
      </c>
      <c r="G67" s="24" t="str">
        <f>IF(LEN(A67),VLOOKUP(A67,TowerPool,4,0),"")</f>
        <v/>
      </c>
      <c r="H67" s="26" t="str">
        <f>IF(LEN(A67),VLOOKUP(A67,TowerPool,5,0),"")</f>
        <v/>
      </c>
      <c r="I67" s="27" t="str">
        <f>IF(LEN(A67),VLOOKUP(H67,MoveData,8,0)*8/5," ")</f>
        <v> </v>
      </c>
      <c r="J67" s="26" t="str">
        <f>IF(LEN(A67),VLOOKUP(A67,TowerPool,6,0),"")</f>
        <v/>
      </c>
      <c r="K67" s="27" t="str">
        <f>IF(LEN(A67),VLOOKUP(J67,MoveData,8,0)*8/5," ")</f>
        <v> </v>
      </c>
      <c r="L67" s="26" t="str">
        <f>IF(LEN(A67),VLOOKUP(A67,TowerPool,7,0),"")</f>
        <v/>
      </c>
      <c r="M67" s="27" t="str">
        <f>IF(LEN(A67),VLOOKUP(L67,MoveData,8,0)*8/5," ")</f>
        <v> </v>
      </c>
      <c r="N67" s="26" t="str">
        <f>IF(LEN(A67),VLOOKUP(A67,TowerPool,8,0),"")</f>
        <v/>
      </c>
      <c r="O67" s="27" t="str">
        <f>IF(LEN(A67),VLOOKUP(N67,MoveData,8,0)*8/5," ")</f>
        <v> </v>
      </c>
      <c r="P67" s="24" t="str">
        <f>IF(LEN(A67),VLOOKUP(A67,TowerPool,3,0),"")</f>
        <v/>
      </c>
      <c r="Q67" s="24" t="str">
        <f>IF(LEN(A67),VLOOKUP(A67,TowerPool,9,0),"")</f>
        <v/>
      </c>
      <c r="R67" s="25" t="str">
        <f>IF(LEN(A67),TEXTJOIN("/",0,VLOOKUP(A67,TowerPool,16,0),VLOOKUP(A67,TowerPool,17,0),VLOOKUP(A67,TowerPool,18,0),VLOOKUP(A67,TowerPool,19,0),VLOOKUP(A67,TowerPool,20,0),VLOOKUP(A67,TowerPool,21,0)),"")</f>
        <v/>
      </c>
      <c r="S67" s="25" t="str">
        <f>IF(LEN(A67),TEXTJOIN("/",0,VLOOKUP(A67,TowerPool,10,0),VLOOKUP(A67,TowerPool,11,0),VLOOKUP(A67,TowerPool,12,0),VLOOKUP(A67,TowerPool,13,0),VLOOKUP(A67,TowerPool,14,0),VLOOKUP(A67,TowerPool,15,0)),"")</f>
        <v/>
      </c>
      <c r="T67" s="28" t="str">
        <f>IF(LEN(A67),VLOOKUP(A67,TowerPool,32,0),"")</f>
        <v/>
      </c>
      <c r="U67" s="24" t="str">
        <f>IF(LEN(A67),VLOOKUP(A67,TowerPool,27,0),"")</f>
        <v/>
      </c>
      <c r="V67" s="24" t="str">
        <f>IF(LEN(A67),VLOOKUP(A67,TowerPool,28,0),"")</f>
        <v/>
      </c>
      <c r="W67" s="24" t="str">
        <f>IF(LEN(A67),VLOOKUP(A67,TowerPool,29,0),"")</f>
        <v/>
      </c>
      <c r="X67" s="24" t="str">
        <f>IF(LEN(A67),VLOOKUP(A67,TowerPool,30,0),"")</f>
        <v/>
      </c>
      <c r="Y67" s="24" t="str">
        <f>IF(LEN(A67),VLOOKUP(A67,TowerPool,31,0),"")</f>
        <v/>
      </c>
      <c r="Z67" s="29" t="str">
        <f>IF(LEFT(D63,9)="Doubles M",D64,"")</f>
        <v/>
      </c>
    </row>
    <row r="68" ht="15.75" customHeight="1">
      <c r="A68" s="1" t="str">
        <f>IF(A64="","",IF(VLOOKUP(C63,TowerTrainers,10,0)=0,"",VLOOKUP(C63,TowerTrainers,10,0)))</f>
        <v/>
      </c>
      <c r="B68" s="22" t="str">
        <f>IF(LEN(A68),VLOOKUP(A68,TowerPool,34,0),"")</f>
        <v/>
      </c>
      <c r="C68" s="1"/>
      <c r="D68" s="23"/>
      <c r="E68" s="24" t="str">
        <f t="shared" si="11"/>
        <v/>
      </c>
      <c r="F68" s="25" t="str">
        <f>IF(LEN(A68),VLOOKUP(A68,TowerPool,33,0),"")</f>
        <v/>
      </c>
      <c r="G68" s="24" t="str">
        <f>IF(LEN(A68),VLOOKUP(A68,TowerPool,4,0),"")</f>
        <v/>
      </c>
      <c r="H68" s="26" t="str">
        <f>IF(LEN(A68),VLOOKUP(A68,TowerPool,5,0),"")</f>
        <v/>
      </c>
      <c r="I68" s="27" t="str">
        <f>IF(LEN(A68),VLOOKUP(H68,MoveData,8,0)*8/5," ")</f>
        <v> </v>
      </c>
      <c r="J68" s="26" t="str">
        <f>IF(LEN(A68),VLOOKUP(A68,TowerPool,6,0),"")</f>
        <v/>
      </c>
      <c r="K68" s="27" t="str">
        <f>IF(LEN(A68),VLOOKUP(J68,MoveData,8,0)*8/5," ")</f>
        <v> </v>
      </c>
      <c r="L68" s="26" t="str">
        <f>IF(LEN(A68),VLOOKUP(A68,TowerPool,7,0),"")</f>
        <v/>
      </c>
      <c r="M68" s="27" t="str">
        <f>IF(LEN(A68),VLOOKUP(L68,MoveData,8,0)*8/5," ")</f>
        <v> </v>
      </c>
      <c r="N68" s="26" t="str">
        <f>IF(LEN(A68),VLOOKUP(A68,TowerPool,8,0),"")</f>
        <v/>
      </c>
      <c r="O68" s="27" t="str">
        <f>IF(LEN(A68),VLOOKUP(N68,MoveData,8,0)*8/5," ")</f>
        <v> </v>
      </c>
      <c r="P68" s="24" t="str">
        <f>IF(LEN(A68),VLOOKUP(A68,TowerPool,3,0),"")</f>
        <v/>
      </c>
      <c r="Q68" s="24" t="str">
        <f>IF(LEN(A68),VLOOKUP(A68,TowerPool,9,0),"")</f>
        <v/>
      </c>
      <c r="R68" s="25" t="str">
        <f>IF(LEN(A68),TEXTJOIN("/",0,VLOOKUP(A68,TowerPool,16,0),VLOOKUP(A68,TowerPool,17,0),VLOOKUP(A68,TowerPool,18,0),VLOOKUP(A68,TowerPool,19,0),VLOOKUP(A68,TowerPool,20,0),VLOOKUP(A68,TowerPool,21,0)),"")</f>
        <v/>
      </c>
      <c r="S68" s="25" t="str">
        <f>IF(LEN(A68),TEXTJOIN("/",0,VLOOKUP(A68,TowerPool,10,0),VLOOKUP(A68,TowerPool,11,0),VLOOKUP(A68,TowerPool,12,0),VLOOKUP(A68,TowerPool,13,0),VLOOKUP(A68,TowerPool,14,0),VLOOKUP(A68,TowerPool,15,0)),"")</f>
        <v/>
      </c>
      <c r="T68" s="28" t="str">
        <f>IF(LEN(A68),VLOOKUP(A68,TowerPool,32,0),"")</f>
        <v/>
      </c>
      <c r="U68" s="24" t="str">
        <f>IF(LEN(A68),VLOOKUP(A68,TowerPool,27,0),"")</f>
        <v/>
      </c>
      <c r="V68" s="24" t="str">
        <f>IF(LEN(A68),VLOOKUP(A68,TowerPool,28,0),"")</f>
        <v/>
      </c>
      <c r="W68" s="24" t="str">
        <f>IF(LEN(A68),VLOOKUP(A68,TowerPool,29,0),"")</f>
        <v/>
      </c>
      <c r="X68" s="24" t="str">
        <f>IF(LEN(A68),VLOOKUP(A68,TowerPool,30,0),"")</f>
        <v/>
      </c>
      <c r="Y68" s="24" t="str">
        <f>IF(LEN(A68),VLOOKUP(A68,TowerPool,31,0),"")</f>
        <v/>
      </c>
      <c r="Z68" s="30"/>
    </row>
    <row r="69" ht="15.75" customHeight="1">
      <c r="A69" s="1" t="str">
        <f>IF(A63="","",IFERROR(FIND(",",B$2,A63+1),""))</f>
        <v/>
      </c>
      <c r="B69" s="1">
        <f>B63+1</f>
        <v>12</v>
      </c>
      <c r="C69" s="1" t="str">
        <f>IF(LEN(A69),VALUE(MID(B$2,A63+1,A69-A63-1)),"")</f>
        <v/>
      </c>
      <c r="D69" s="1" t="str">
        <f>IF(LEN(A69),VLOOKUP(C69,TowerTrainers,6),"")</f>
        <v/>
      </c>
      <c r="E69" s="14" t="str">
        <f>IF(LEN(C69),"Team #"&amp;B69&amp;" - "&amp;D69&amp;" - "&amp;A70&amp; " "&amp;B70&amp;IF(C70=0,""," and "&amp;C70&amp;" "&amp;D70),"")</f>
        <v/>
      </c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6"/>
    </row>
    <row r="70" ht="15.75" customHeight="1">
      <c r="A70" s="7" t="str">
        <f>IF(LEN(C69),VLOOKUP(C69,TowerTrainers,3,0),"")</f>
        <v/>
      </c>
      <c r="B70" s="17" t="str">
        <f>IF(LEN(C69),VLOOKUP(C69,TowerTrainers,2,0),"")</f>
        <v/>
      </c>
      <c r="C70" s="17" t="str">
        <f>IF(LEN(C69),VLOOKUP(C69,TowerTrainers,5,0),"")</f>
        <v/>
      </c>
      <c r="D70" s="17" t="str">
        <f>IF(LEN(C69),VLOOKUP(C69,TowerTrainers,4),"")</f>
        <v/>
      </c>
      <c r="E70" s="18" t="str">
        <f>IF(LEN(E69),"Set","")</f>
        <v/>
      </c>
      <c r="F70" s="18" t="str">
        <f>IF(LEN(E69),"Type","")</f>
        <v/>
      </c>
      <c r="G70" s="18" t="str">
        <f>IF(LEN(E69),"Item","")</f>
        <v/>
      </c>
      <c r="H70" s="19" t="str">
        <f>IF(LEN(E69),"Move 1","")</f>
        <v/>
      </c>
      <c r="I70" s="20" t="str">
        <f>IF(LEN(E69),"PP","")</f>
        <v/>
      </c>
      <c r="J70" s="19" t="str">
        <f>IF(LEN(E69),"Move 2","")</f>
        <v/>
      </c>
      <c r="K70" s="19"/>
      <c r="L70" s="19" t="str">
        <f>IF(LEN(E69),"Move 3","")</f>
        <v/>
      </c>
      <c r="M70" s="19"/>
      <c r="N70" s="19" t="str">
        <f>IF(LEN(E69),"Move 4","")</f>
        <v/>
      </c>
      <c r="O70" s="19"/>
      <c r="P70" s="18" t="str">
        <f>IF(LEN(E69),"Nature","")</f>
        <v/>
      </c>
      <c r="Q70" s="18" t="str">
        <f>IF(LEN(E69),"Ability","")</f>
        <v/>
      </c>
      <c r="R70" s="18" t="str">
        <f>IF(LEN(E69),"EV – (H/A/B/C/D/S) – IV","")</f>
        <v/>
      </c>
      <c r="T70" s="21" t="str">
        <f>IF(LEN(E69),"Speed","")</f>
        <v/>
      </c>
      <c r="U70" s="18" t="str">
        <f>IF(LEN(E69),"HP","")</f>
        <v/>
      </c>
      <c r="V70" s="18" t="str">
        <f>IF(LEN(E69),"Atk","")</f>
        <v/>
      </c>
      <c r="W70" s="18" t="str">
        <f>IF(LEN(E69),"Def","")</f>
        <v/>
      </c>
      <c r="X70" s="18" t="str">
        <f>IF(LEN(E69),"SpA","")</f>
        <v/>
      </c>
      <c r="Y70" s="18" t="str">
        <f>IF(LEN(E69),"SpD","")</f>
        <v/>
      </c>
      <c r="Z70" s="18"/>
    </row>
    <row r="71" ht="15.75" customHeight="1">
      <c r="A71" s="6" t="str">
        <f>IF(A70="","",IF(VLOOKUP(C69,TowerTrainers,7,0)=0,"",VLOOKUP(C69,TowerTrainers,7,0)))</f>
        <v/>
      </c>
      <c r="B71" s="22" t="str">
        <f>IF(LEN(A71),VLOOKUP(A71,TowerPool,34,0),"")</f>
        <v/>
      </c>
      <c r="C71" s="1"/>
      <c r="D71" s="23"/>
      <c r="E71" s="24" t="str">
        <f t="shared" ref="E71:E74" si="12">IF(LEN(A71),A71,"")</f>
        <v/>
      </c>
      <c r="F71" s="25" t="str">
        <f>IF(LEN(A71),VLOOKUP(A71,TowerPool,33,0),"")</f>
        <v/>
      </c>
      <c r="G71" s="24" t="str">
        <f>IF(LEN(A71),VLOOKUP(A71,TowerPool,4,0),"")</f>
        <v/>
      </c>
      <c r="H71" s="26" t="str">
        <f>IF(LEN(A71),VLOOKUP(A71,TowerPool,5,0),"")</f>
        <v/>
      </c>
      <c r="I71" s="27" t="str">
        <f>IF(LEN(A71),VLOOKUP(H71,MoveData,8,0)*8/5," ")</f>
        <v> </v>
      </c>
      <c r="J71" s="26" t="str">
        <f>IF(LEN(A71),VLOOKUP(A71,TowerPool,6,0),"")</f>
        <v/>
      </c>
      <c r="K71" s="27" t="str">
        <f>IF(LEN(A71),VLOOKUP(J71,MoveData,8,0)*8/5," ")</f>
        <v> </v>
      </c>
      <c r="L71" s="26" t="str">
        <f>IF(LEN(A71),VLOOKUP(A71,TowerPool,7,0),"")</f>
        <v/>
      </c>
      <c r="M71" s="27" t="str">
        <f>IF(LEN(A71),VLOOKUP(L71,MoveData,8,0)*8/5," ")</f>
        <v> </v>
      </c>
      <c r="N71" s="26" t="str">
        <f>IF(LEN(A71),VLOOKUP(A71,TowerPool,8,0),"")</f>
        <v/>
      </c>
      <c r="O71" s="27" t="str">
        <f>IF(LEN(A71),VLOOKUP(N71,MoveData,8,0)*8/5," ")</f>
        <v> </v>
      </c>
      <c r="P71" s="24" t="str">
        <f>IF(LEN(A71),VLOOKUP(A71,TowerPool,3,0),"")</f>
        <v/>
      </c>
      <c r="Q71" s="24" t="str">
        <f>IF(LEN(A71),VLOOKUP(A71,TowerPool,9,0),"")</f>
        <v/>
      </c>
      <c r="R71" s="25" t="str">
        <f>IF(LEN(A71),TEXTJOIN("/",0,VLOOKUP(A71,TowerPool,16,0),VLOOKUP(A71,TowerPool,17,0),VLOOKUP(A71,TowerPool,18,0),VLOOKUP(A71,TowerPool,19,0),VLOOKUP(A71,TowerPool,20,0),VLOOKUP(A71,TowerPool,21,0)),"")</f>
        <v/>
      </c>
      <c r="S71" s="25" t="str">
        <f>IF(LEN(A71),TEXTJOIN("/",0,VLOOKUP(A71,TowerPool,10,0),VLOOKUP(A71,TowerPool,11,0),VLOOKUP(A71,TowerPool,12,0),VLOOKUP(A71,TowerPool,13,0),VLOOKUP(A71,TowerPool,14,0),VLOOKUP(A71,TowerPool,15,0)),"")</f>
        <v/>
      </c>
      <c r="T71" s="28" t="str">
        <f>IF(LEN(A71),VLOOKUP(A71,TowerPool,32,0),"")</f>
        <v/>
      </c>
      <c r="U71" s="24" t="str">
        <f>IF(LEN(A71),VLOOKUP(A71,TowerPool,27,0),"")</f>
        <v/>
      </c>
      <c r="V71" s="24" t="str">
        <f>IF(LEN(A71),VLOOKUP(A71,TowerPool,28,0),"")</f>
        <v/>
      </c>
      <c r="W71" s="24" t="str">
        <f>IF(LEN(A71),VLOOKUP(A71,TowerPool,29,0),"")</f>
        <v/>
      </c>
      <c r="X71" s="24" t="str">
        <f>IF(LEN(A71),VLOOKUP(A71,TowerPool,30,0),"")</f>
        <v/>
      </c>
      <c r="Y71" s="24" t="str">
        <f>IF(LEN(A71),VLOOKUP(A71,TowerPool,31,0),"")</f>
        <v/>
      </c>
      <c r="Z71" s="29" t="str">
        <f>IF(LEFT(D69,9)="Doubles M",B70,"")</f>
        <v/>
      </c>
    </row>
    <row r="72" ht="15.75" customHeight="1">
      <c r="A72" s="1" t="str">
        <f>IF(A70="","",IF(VLOOKUP(C69,TowerTrainers,8,0)=0,"",VLOOKUP(C69,TowerTrainers,8,0)))</f>
        <v/>
      </c>
      <c r="B72" s="22" t="str">
        <f>IF(LEN(A72),VLOOKUP(A72,TowerPool,34,0),"")</f>
        <v/>
      </c>
      <c r="C72" s="1"/>
      <c r="D72" s="23"/>
      <c r="E72" s="24" t="str">
        <f t="shared" si="12"/>
        <v/>
      </c>
      <c r="F72" s="25" t="str">
        <f>IF(LEN(A72),VLOOKUP(A72,TowerPool,33,0),"")</f>
        <v/>
      </c>
      <c r="G72" s="24" t="str">
        <f>IF(LEN(A72),VLOOKUP(A72,TowerPool,4,0),"")</f>
        <v/>
      </c>
      <c r="H72" s="26" t="str">
        <f>IF(LEN(A72),VLOOKUP(A72,TowerPool,5,0),"")</f>
        <v/>
      </c>
      <c r="I72" s="27" t="str">
        <f>IF(LEN(A72),VLOOKUP(H72,MoveData,8,0)*8/5," ")</f>
        <v> </v>
      </c>
      <c r="J72" s="26" t="str">
        <f>IF(LEN(A72),VLOOKUP(A72,TowerPool,6,0),"")</f>
        <v/>
      </c>
      <c r="K72" s="27" t="str">
        <f>IF(LEN(A72),VLOOKUP(J72,MoveData,8,0)*8/5," ")</f>
        <v> </v>
      </c>
      <c r="L72" s="26" t="str">
        <f>IF(LEN(A72),VLOOKUP(A72,TowerPool,7,0),"")</f>
        <v/>
      </c>
      <c r="M72" s="27" t="str">
        <f>IF(LEN(A72),VLOOKUP(L72,MoveData,8,0)*8/5," ")</f>
        <v> </v>
      </c>
      <c r="N72" s="26" t="str">
        <f>IF(LEN(A72),VLOOKUP(A72,TowerPool,8,0),"")</f>
        <v/>
      </c>
      <c r="O72" s="27" t="str">
        <f>IF(LEN(A72),VLOOKUP(N72,MoveData,8,0)*8/5," ")</f>
        <v> </v>
      </c>
      <c r="P72" s="24" t="str">
        <f>IF(LEN(A72),VLOOKUP(A72,TowerPool,3,0),"")</f>
        <v/>
      </c>
      <c r="Q72" s="24" t="str">
        <f>IF(LEN(A72),VLOOKUP(A72,TowerPool,9,0),"")</f>
        <v/>
      </c>
      <c r="R72" s="25" t="str">
        <f>IF(LEN(A72),TEXTJOIN("/",0,VLOOKUP(A72,TowerPool,16,0),VLOOKUP(A72,TowerPool,17,0),VLOOKUP(A72,TowerPool,18,0),VLOOKUP(A72,TowerPool,19,0),VLOOKUP(A72,TowerPool,20,0),VLOOKUP(A72,TowerPool,21,0)),"")</f>
        <v/>
      </c>
      <c r="S72" s="25" t="str">
        <f>IF(LEN(A72),TEXTJOIN("/",0,VLOOKUP(A72,TowerPool,10,0),VLOOKUP(A72,TowerPool,11,0),VLOOKUP(A72,TowerPool,12,0),VLOOKUP(A72,TowerPool,13,0),VLOOKUP(A72,TowerPool,14,0),VLOOKUP(A72,TowerPool,15,0)),"")</f>
        <v/>
      </c>
      <c r="T72" s="28" t="str">
        <f>IF(LEN(A72),VLOOKUP(A72,TowerPool,32,0),"")</f>
        <v/>
      </c>
      <c r="U72" s="24" t="str">
        <f>IF(LEN(A72),VLOOKUP(A72,TowerPool,27,0),"")</f>
        <v/>
      </c>
      <c r="V72" s="24" t="str">
        <f>IF(LEN(A72),VLOOKUP(A72,TowerPool,28,0),"")</f>
        <v/>
      </c>
      <c r="W72" s="24" t="str">
        <f>IF(LEN(A72),VLOOKUP(A72,TowerPool,29,0),"")</f>
        <v/>
      </c>
      <c r="X72" s="24" t="str">
        <f>IF(LEN(A72),VLOOKUP(A72,TowerPool,30,0),"")</f>
        <v/>
      </c>
      <c r="Y72" s="24" t="str">
        <f>IF(LEN(A72),VLOOKUP(A72,TowerPool,31,0),"")</f>
        <v/>
      </c>
      <c r="Z72" s="30"/>
    </row>
    <row r="73" ht="15.75" customHeight="1">
      <c r="A73" s="1" t="str">
        <f>IF(A70="","",IF(VLOOKUP(C69,TowerTrainers,9,0)=0,"",VLOOKUP(C69,TowerTrainers,9,0)))</f>
        <v/>
      </c>
      <c r="B73" s="22" t="str">
        <f>IF(LEN(A73),VLOOKUP(A73,TowerPool,34,0),"")</f>
        <v/>
      </c>
      <c r="C73" s="1"/>
      <c r="D73" s="23"/>
      <c r="E73" s="24" t="str">
        <f t="shared" si="12"/>
        <v/>
      </c>
      <c r="F73" s="25" t="str">
        <f>IF(LEN(A73),VLOOKUP(A73,TowerPool,33,0),"")</f>
        <v/>
      </c>
      <c r="G73" s="24" t="str">
        <f>IF(LEN(A73),VLOOKUP(A73,TowerPool,4,0),"")</f>
        <v/>
      </c>
      <c r="H73" s="26" t="str">
        <f>IF(LEN(A73),VLOOKUP(A73,TowerPool,5,0),"")</f>
        <v/>
      </c>
      <c r="I73" s="27" t="str">
        <f>IF(LEN(A73),VLOOKUP(H73,MoveData,8,0)*8/5," ")</f>
        <v> </v>
      </c>
      <c r="J73" s="26" t="str">
        <f>IF(LEN(A73),VLOOKUP(A73,TowerPool,6,0),"")</f>
        <v/>
      </c>
      <c r="K73" s="27" t="str">
        <f>IF(LEN(A73),VLOOKUP(J73,MoveData,8,0)*8/5," ")</f>
        <v> </v>
      </c>
      <c r="L73" s="26" t="str">
        <f>IF(LEN(A73),VLOOKUP(A73,TowerPool,7,0),"")</f>
        <v/>
      </c>
      <c r="M73" s="27" t="str">
        <f>IF(LEN(A73),VLOOKUP(L73,MoveData,8,0)*8/5," ")</f>
        <v> </v>
      </c>
      <c r="N73" s="26" t="str">
        <f>IF(LEN(A73),VLOOKUP(A73,TowerPool,8,0),"")</f>
        <v/>
      </c>
      <c r="O73" s="27" t="str">
        <f>IF(LEN(A73),VLOOKUP(N73,MoveData,8,0)*8/5," ")</f>
        <v> </v>
      </c>
      <c r="P73" s="24" t="str">
        <f>IF(LEN(A73),VLOOKUP(A73,TowerPool,3,0),"")</f>
        <v/>
      </c>
      <c r="Q73" s="24" t="str">
        <f>IF(LEN(A73),VLOOKUP(A73,TowerPool,9,0),"")</f>
        <v/>
      </c>
      <c r="R73" s="25" t="str">
        <f>IF(LEN(A73),TEXTJOIN("/",0,VLOOKUP(A73,TowerPool,16,0),VLOOKUP(A73,TowerPool,17,0),VLOOKUP(A73,TowerPool,18,0),VLOOKUP(A73,TowerPool,19,0),VLOOKUP(A73,TowerPool,20,0),VLOOKUP(A73,TowerPool,21,0)),"")</f>
        <v/>
      </c>
      <c r="S73" s="25" t="str">
        <f>IF(LEN(A73),TEXTJOIN("/",0,VLOOKUP(A73,TowerPool,10,0),VLOOKUP(A73,TowerPool,11,0),VLOOKUP(A73,TowerPool,12,0),VLOOKUP(A73,TowerPool,13,0),VLOOKUP(A73,TowerPool,14,0),VLOOKUP(A73,TowerPool,15,0)),"")</f>
        <v/>
      </c>
      <c r="T73" s="28" t="str">
        <f>IF(LEN(A73),VLOOKUP(A73,TowerPool,32,0),"")</f>
        <v/>
      </c>
      <c r="U73" s="24" t="str">
        <f>IF(LEN(A73),VLOOKUP(A73,TowerPool,27,0),"")</f>
        <v/>
      </c>
      <c r="V73" s="24" t="str">
        <f>IF(LEN(A73),VLOOKUP(A73,TowerPool,28,0),"")</f>
        <v/>
      </c>
      <c r="W73" s="24" t="str">
        <f>IF(LEN(A73),VLOOKUP(A73,TowerPool,29,0),"")</f>
        <v/>
      </c>
      <c r="X73" s="24" t="str">
        <f>IF(LEN(A73),VLOOKUP(A73,TowerPool,30,0),"")</f>
        <v/>
      </c>
      <c r="Y73" s="24" t="str">
        <f>IF(LEN(A73),VLOOKUP(A73,TowerPool,31,0),"")</f>
        <v/>
      </c>
      <c r="Z73" s="29" t="str">
        <f>IF(LEFT(D69,9)="Doubles M",D70,"")</f>
        <v/>
      </c>
    </row>
    <row r="74" ht="15.75" customHeight="1">
      <c r="A74" s="1" t="str">
        <f>IF(A70="","",IF(VLOOKUP(C69,TowerTrainers,10,0)=0,"",VLOOKUP(C69,TowerTrainers,10,0)))</f>
        <v/>
      </c>
      <c r="B74" s="22" t="str">
        <f>IF(LEN(A74),VLOOKUP(A74,TowerPool,34,0),"")</f>
        <v/>
      </c>
      <c r="C74" s="1"/>
      <c r="D74" s="23"/>
      <c r="E74" s="24" t="str">
        <f t="shared" si="12"/>
        <v/>
      </c>
      <c r="F74" s="25" t="str">
        <f>IF(LEN(A74),VLOOKUP(A74,TowerPool,33,0),"")</f>
        <v/>
      </c>
      <c r="G74" s="24" t="str">
        <f>IF(LEN(A74),VLOOKUP(A74,TowerPool,4,0),"")</f>
        <v/>
      </c>
      <c r="H74" s="26" t="str">
        <f>IF(LEN(A74),VLOOKUP(A74,TowerPool,5,0),"")</f>
        <v/>
      </c>
      <c r="I74" s="27" t="str">
        <f>IF(LEN(A74),VLOOKUP(H74,MoveData,8,0)*8/5," ")</f>
        <v> </v>
      </c>
      <c r="J74" s="26" t="str">
        <f>IF(LEN(A74),VLOOKUP(A74,TowerPool,6,0),"")</f>
        <v/>
      </c>
      <c r="K74" s="27" t="str">
        <f>IF(LEN(A74),VLOOKUP(J74,MoveData,8,0)*8/5," ")</f>
        <v> </v>
      </c>
      <c r="L74" s="26" t="str">
        <f>IF(LEN(A74),VLOOKUP(A74,TowerPool,7,0),"")</f>
        <v/>
      </c>
      <c r="M74" s="27" t="str">
        <f>IF(LEN(A74),VLOOKUP(L74,MoveData,8,0)*8/5," ")</f>
        <v> </v>
      </c>
      <c r="N74" s="26" t="str">
        <f>IF(LEN(A74),VLOOKUP(A74,TowerPool,8,0),"")</f>
        <v/>
      </c>
      <c r="O74" s="27" t="str">
        <f>IF(LEN(A74),VLOOKUP(N74,MoveData,8,0)*8/5," ")</f>
        <v> </v>
      </c>
      <c r="P74" s="24" t="str">
        <f>IF(LEN(A74),VLOOKUP(A74,TowerPool,3,0),"")</f>
        <v/>
      </c>
      <c r="Q74" s="24" t="str">
        <f>IF(LEN(A74),VLOOKUP(A74,TowerPool,9,0),"")</f>
        <v/>
      </c>
      <c r="R74" s="25" t="str">
        <f>IF(LEN(A74),TEXTJOIN("/",0,VLOOKUP(A74,TowerPool,16,0),VLOOKUP(A74,TowerPool,17,0),VLOOKUP(A74,TowerPool,18,0),VLOOKUP(A74,TowerPool,19,0),VLOOKUP(A74,TowerPool,20,0),VLOOKUP(A74,TowerPool,21,0)),"")</f>
        <v/>
      </c>
      <c r="S74" s="25" t="str">
        <f>IF(LEN(A74),TEXTJOIN("/",0,VLOOKUP(A74,TowerPool,10,0),VLOOKUP(A74,TowerPool,11,0),VLOOKUP(A74,TowerPool,12,0),VLOOKUP(A74,TowerPool,13,0),VLOOKUP(A74,TowerPool,14,0),VLOOKUP(A74,TowerPool,15,0)),"")</f>
        <v/>
      </c>
      <c r="T74" s="28" t="str">
        <f>IF(LEN(A74),VLOOKUP(A74,TowerPool,32,0),"")</f>
        <v/>
      </c>
      <c r="U74" s="24" t="str">
        <f>IF(LEN(A74),VLOOKUP(A74,TowerPool,27,0),"")</f>
        <v/>
      </c>
      <c r="V74" s="24" t="str">
        <f>IF(LEN(A74),VLOOKUP(A74,TowerPool,28,0),"")</f>
        <v/>
      </c>
      <c r="W74" s="24" t="str">
        <f>IF(LEN(A74),VLOOKUP(A74,TowerPool,29,0),"")</f>
        <v/>
      </c>
      <c r="X74" s="24" t="str">
        <f>IF(LEN(A74),VLOOKUP(A74,TowerPool,30,0),"")</f>
        <v/>
      </c>
      <c r="Y74" s="24" t="str">
        <f>IF(LEN(A74),VLOOKUP(A74,TowerPool,31,0),"")</f>
        <v/>
      </c>
      <c r="Z74" s="30"/>
    </row>
    <row r="75" ht="15.75" customHeight="1">
      <c r="A75" s="1" t="str">
        <f>IF(A69="","",IFERROR(FIND(",",B$2,A69+1),""))</f>
        <v/>
      </c>
      <c r="B75" s="1">
        <f>B69+1</f>
        <v>13</v>
      </c>
      <c r="C75" s="1" t="str">
        <f>IF(LEN(A75),VALUE(MID(B$2,A69+1,A75-A69-1)),"")</f>
        <v/>
      </c>
      <c r="D75" s="1" t="str">
        <f>IF(LEN(A75),VLOOKUP(C75,TowerTrainers,6),"")</f>
        <v/>
      </c>
      <c r="E75" s="14" t="str">
        <f>IF(LEN(C75),"Team #"&amp;B75&amp;" - "&amp;D75&amp;" - "&amp;A76&amp; " "&amp;B76&amp;IF(C76=0,""," and "&amp;C76&amp;" "&amp;D76),"")</f>
        <v/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6"/>
    </row>
    <row r="76" ht="15.75" customHeight="1">
      <c r="A76" s="7" t="str">
        <f>IF(LEN(C75),VLOOKUP(C75,TowerTrainers,3,0),"")</f>
        <v/>
      </c>
      <c r="B76" s="17" t="str">
        <f>IF(LEN(C75),VLOOKUP(C75,TowerTrainers,2,0),"")</f>
        <v/>
      </c>
      <c r="C76" s="17" t="str">
        <f>IF(LEN(C75),VLOOKUP(C75,TowerTrainers,5,0),"")</f>
        <v/>
      </c>
      <c r="D76" s="17" t="str">
        <f>IF(LEN(C75),VLOOKUP(C75,TowerTrainers,4),"")</f>
        <v/>
      </c>
      <c r="E76" s="18" t="str">
        <f>IF(LEN(E75),"Set","")</f>
        <v/>
      </c>
      <c r="F76" s="18" t="str">
        <f>IF(LEN(E75),"Type","")</f>
        <v/>
      </c>
      <c r="G76" s="18" t="str">
        <f>IF(LEN(E75),"Item","")</f>
        <v/>
      </c>
      <c r="H76" s="19" t="str">
        <f>IF(LEN(E75),"Move 1","")</f>
        <v/>
      </c>
      <c r="I76" s="20" t="str">
        <f>IF(LEN(E75),"PP","")</f>
        <v/>
      </c>
      <c r="J76" s="19" t="str">
        <f>IF(LEN(E75),"Move 2","")</f>
        <v/>
      </c>
      <c r="K76" s="19"/>
      <c r="L76" s="19" t="str">
        <f>IF(LEN(E75),"Move 3","")</f>
        <v/>
      </c>
      <c r="M76" s="19"/>
      <c r="N76" s="19" t="str">
        <f>IF(LEN(E75),"Move 4","")</f>
        <v/>
      </c>
      <c r="O76" s="19"/>
      <c r="P76" s="18" t="str">
        <f>IF(LEN(E75),"Nature","")</f>
        <v/>
      </c>
      <c r="Q76" s="18" t="str">
        <f>IF(LEN(E75),"Ability","")</f>
        <v/>
      </c>
      <c r="R76" s="18" t="str">
        <f>IF(LEN(E75),"EV – (H/A/B/C/D/S) – IV","")</f>
        <v/>
      </c>
      <c r="T76" s="21" t="str">
        <f>IF(LEN(E75),"Speed","")</f>
        <v/>
      </c>
      <c r="U76" s="18" t="str">
        <f>IF(LEN(E75),"HP","")</f>
        <v/>
      </c>
      <c r="V76" s="18" t="str">
        <f>IF(LEN(E75),"Atk","")</f>
        <v/>
      </c>
      <c r="W76" s="18" t="str">
        <f>IF(LEN(E75),"Def","")</f>
        <v/>
      </c>
      <c r="X76" s="18" t="str">
        <f>IF(LEN(E75),"SpA","")</f>
        <v/>
      </c>
      <c r="Y76" s="18" t="str">
        <f>IF(LEN(E75),"SpD","")</f>
        <v/>
      </c>
      <c r="Z76" s="18"/>
    </row>
    <row r="77" ht="15.75" customHeight="1">
      <c r="A77" s="6" t="str">
        <f>IF(A76="","",IF(VLOOKUP(C75,TowerTrainers,7,0)=0,"",VLOOKUP(C75,TowerTrainers,7,0)))</f>
        <v/>
      </c>
      <c r="B77" s="22" t="str">
        <f>IF(LEN(A77),VLOOKUP(A77,TowerPool,34,0),"")</f>
        <v/>
      </c>
      <c r="C77" s="1"/>
      <c r="D77" s="23"/>
      <c r="E77" s="24" t="str">
        <f t="shared" ref="E77:E80" si="13">IF(LEN(A77),A77,"")</f>
        <v/>
      </c>
      <c r="F77" s="25" t="str">
        <f>IF(LEN(A77),VLOOKUP(A77,TowerPool,33,0),"")</f>
        <v/>
      </c>
      <c r="G77" s="24" t="str">
        <f>IF(LEN(A77),VLOOKUP(A77,TowerPool,4,0),"")</f>
        <v/>
      </c>
      <c r="H77" s="26" t="str">
        <f>IF(LEN(A77),VLOOKUP(A77,TowerPool,5,0),"")</f>
        <v/>
      </c>
      <c r="I77" s="27" t="str">
        <f>IF(LEN(A77),VLOOKUP(H77,MoveData,8,0)*8/5," ")</f>
        <v> </v>
      </c>
      <c r="J77" s="26" t="str">
        <f>IF(LEN(A77),VLOOKUP(A77,TowerPool,6,0),"")</f>
        <v/>
      </c>
      <c r="K77" s="27" t="str">
        <f>IF(LEN(A77),VLOOKUP(J77,MoveData,8,0)*8/5," ")</f>
        <v> </v>
      </c>
      <c r="L77" s="26" t="str">
        <f>IF(LEN(A77),VLOOKUP(A77,TowerPool,7,0),"")</f>
        <v/>
      </c>
      <c r="M77" s="27" t="str">
        <f>IF(LEN(A77),VLOOKUP(L77,MoveData,8,0)*8/5," ")</f>
        <v> </v>
      </c>
      <c r="N77" s="26" t="str">
        <f>IF(LEN(A77),VLOOKUP(A77,TowerPool,8,0),"")</f>
        <v/>
      </c>
      <c r="O77" s="27" t="str">
        <f>IF(LEN(A77),VLOOKUP(N77,MoveData,8,0)*8/5," ")</f>
        <v> </v>
      </c>
      <c r="P77" s="24" t="str">
        <f>IF(LEN(A77),VLOOKUP(A77,TowerPool,3,0),"")</f>
        <v/>
      </c>
      <c r="Q77" s="24" t="str">
        <f>IF(LEN(A77),VLOOKUP(A77,TowerPool,9,0),"")</f>
        <v/>
      </c>
      <c r="R77" s="25" t="str">
        <f>IF(LEN(A77),TEXTJOIN("/",0,VLOOKUP(A77,TowerPool,16,0),VLOOKUP(A77,TowerPool,17,0),VLOOKUP(A77,TowerPool,18,0),VLOOKUP(A77,TowerPool,19,0),VLOOKUP(A77,TowerPool,20,0),VLOOKUP(A77,TowerPool,21,0)),"")</f>
        <v/>
      </c>
      <c r="S77" s="25" t="str">
        <f>IF(LEN(A77),TEXTJOIN("/",0,VLOOKUP(A77,TowerPool,10,0),VLOOKUP(A77,TowerPool,11,0),VLOOKUP(A77,TowerPool,12,0),VLOOKUP(A77,TowerPool,13,0),VLOOKUP(A77,TowerPool,14,0),VLOOKUP(A77,TowerPool,15,0)),"")</f>
        <v/>
      </c>
      <c r="T77" s="28" t="str">
        <f>IF(LEN(A77),VLOOKUP(A77,TowerPool,32,0),"")</f>
        <v/>
      </c>
      <c r="U77" s="24" t="str">
        <f>IF(LEN(A77),VLOOKUP(A77,TowerPool,27,0),"")</f>
        <v/>
      </c>
      <c r="V77" s="24" t="str">
        <f>IF(LEN(A77),VLOOKUP(A77,TowerPool,28,0),"")</f>
        <v/>
      </c>
      <c r="W77" s="24" t="str">
        <f>IF(LEN(A77),VLOOKUP(A77,TowerPool,29,0),"")</f>
        <v/>
      </c>
      <c r="X77" s="24" t="str">
        <f>IF(LEN(A77),VLOOKUP(A77,TowerPool,30,0),"")</f>
        <v/>
      </c>
      <c r="Y77" s="24" t="str">
        <f>IF(LEN(A77),VLOOKUP(A77,TowerPool,31,0),"")</f>
        <v/>
      </c>
      <c r="Z77" s="29" t="str">
        <f>IF(LEFT(D75,9)="Doubles M",B76,"")</f>
        <v/>
      </c>
    </row>
    <row r="78" ht="15.75" customHeight="1">
      <c r="A78" s="1" t="str">
        <f>IF(A76="","",IF(VLOOKUP(C75,TowerTrainers,8,0)=0,"",VLOOKUP(C75,TowerTrainers,8,0)))</f>
        <v/>
      </c>
      <c r="B78" s="22" t="str">
        <f>IF(LEN(A78),VLOOKUP(A78,TowerPool,34,0),"")</f>
        <v/>
      </c>
      <c r="C78" s="1"/>
      <c r="D78" s="23"/>
      <c r="E78" s="24" t="str">
        <f t="shared" si="13"/>
        <v/>
      </c>
      <c r="F78" s="25" t="str">
        <f>IF(LEN(A78),VLOOKUP(A78,TowerPool,33,0),"")</f>
        <v/>
      </c>
      <c r="G78" s="24" t="str">
        <f>IF(LEN(A78),VLOOKUP(A78,TowerPool,4,0),"")</f>
        <v/>
      </c>
      <c r="H78" s="26" t="str">
        <f>IF(LEN(A78),VLOOKUP(A78,TowerPool,5,0),"")</f>
        <v/>
      </c>
      <c r="I78" s="27" t="str">
        <f>IF(LEN(A78),VLOOKUP(H78,MoveData,8,0)*8/5," ")</f>
        <v> </v>
      </c>
      <c r="J78" s="26" t="str">
        <f>IF(LEN(A78),VLOOKUP(A78,TowerPool,6,0),"")</f>
        <v/>
      </c>
      <c r="K78" s="27" t="str">
        <f>IF(LEN(A78),VLOOKUP(J78,MoveData,8,0)*8/5," ")</f>
        <v> </v>
      </c>
      <c r="L78" s="26" t="str">
        <f>IF(LEN(A78),VLOOKUP(A78,TowerPool,7,0),"")</f>
        <v/>
      </c>
      <c r="M78" s="27" t="str">
        <f>IF(LEN(A78),VLOOKUP(L78,MoveData,8,0)*8/5," ")</f>
        <v> </v>
      </c>
      <c r="N78" s="26" t="str">
        <f>IF(LEN(A78),VLOOKUP(A78,TowerPool,8,0),"")</f>
        <v/>
      </c>
      <c r="O78" s="27" t="str">
        <f>IF(LEN(A78),VLOOKUP(N78,MoveData,8,0)*8/5," ")</f>
        <v> </v>
      </c>
      <c r="P78" s="24" t="str">
        <f>IF(LEN(A78),VLOOKUP(A78,TowerPool,3,0),"")</f>
        <v/>
      </c>
      <c r="Q78" s="24" t="str">
        <f>IF(LEN(A78),VLOOKUP(A78,TowerPool,9,0),"")</f>
        <v/>
      </c>
      <c r="R78" s="25" t="str">
        <f>IF(LEN(A78),TEXTJOIN("/",0,VLOOKUP(A78,TowerPool,16,0),VLOOKUP(A78,TowerPool,17,0),VLOOKUP(A78,TowerPool,18,0),VLOOKUP(A78,TowerPool,19,0),VLOOKUP(A78,TowerPool,20,0),VLOOKUP(A78,TowerPool,21,0)),"")</f>
        <v/>
      </c>
      <c r="S78" s="25" t="str">
        <f>IF(LEN(A78),TEXTJOIN("/",0,VLOOKUP(A78,TowerPool,10,0),VLOOKUP(A78,TowerPool,11,0),VLOOKUP(A78,TowerPool,12,0),VLOOKUP(A78,TowerPool,13,0),VLOOKUP(A78,TowerPool,14,0),VLOOKUP(A78,TowerPool,15,0)),"")</f>
        <v/>
      </c>
      <c r="T78" s="28" t="str">
        <f>IF(LEN(A78),VLOOKUP(A78,TowerPool,32,0),"")</f>
        <v/>
      </c>
      <c r="U78" s="24" t="str">
        <f>IF(LEN(A78),VLOOKUP(A78,TowerPool,27,0),"")</f>
        <v/>
      </c>
      <c r="V78" s="24" t="str">
        <f>IF(LEN(A78),VLOOKUP(A78,TowerPool,28,0),"")</f>
        <v/>
      </c>
      <c r="W78" s="24" t="str">
        <f>IF(LEN(A78),VLOOKUP(A78,TowerPool,29,0),"")</f>
        <v/>
      </c>
      <c r="X78" s="24" t="str">
        <f>IF(LEN(A78),VLOOKUP(A78,TowerPool,30,0),"")</f>
        <v/>
      </c>
      <c r="Y78" s="24" t="str">
        <f>IF(LEN(A78),VLOOKUP(A78,TowerPool,31,0),"")</f>
        <v/>
      </c>
      <c r="Z78" s="30"/>
    </row>
    <row r="79" ht="15.75" customHeight="1">
      <c r="A79" s="1" t="str">
        <f>IF(A76="","",IF(VLOOKUP(C75,TowerTrainers,9,0)=0,"",VLOOKUP(C75,TowerTrainers,9,0)))</f>
        <v/>
      </c>
      <c r="B79" s="22" t="str">
        <f>IF(LEN(A79),VLOOKUP(A79,TowerPool,34,0),"")</f>
        <v/>
      </c>
      <c r="C79" s="1"/>
      <c r="D79" s="23"/>
      <c r="E79" s="24" t="str">
        <f t="shared" si="13"/>
        <v/>
      </c>
      <c r="F79" s="25" t="str">
        <f>IF(LEN(A79),VLOOKUP(A79,TowerPool,33,0),"")</f>
        <v/>
      </c>
      <c r="G79" s="24" t="str">
        <f>IF(LEN(A79),VLOOKUP(A79,TowerPool,4,0),"")</f>
        <v/>
      </c>
      <c r="H79" s="26" t="str">
        <f>IF(LEN(A79),VLOOKUP(A79,TowerPool,5,0),"")</f>
        <v/>
      </c>
      <c r="I79" s="27" t="str">
        <f>IF(LEN(A79),VLOOKUP(H79,MoveData,8,0)*8/5," ")</f>
        <v> </v>
      </c>
      <c r="J79" s="26" t="str">
        <f>IF(LEN(A79),VLOOKUP(A79,TowerPool,6,0),"")</f>
        <v/>
      </c>
      <c r="K79" s="27" t="str">
        <f>IF(LEN(A79),VLOOKUP(J79,MoveData,8,0)*8/5," ")</f>
        <v> </v>
      </c>
      <c r="L79" s="26" t="str">
        <f>IF(LEN(A79),VLOOKUP(A79,TowerPool,7,0),"")</f>
        <v/>
      </c>
      <c r="M79" s="27" t="str">
        <f>IF(LEN(A79),VLOOKUP(L79,MoveData,8,0)*8/5," ")</f>
        <v> </v>
      </c>
      <c r="N79" s="26" t="str">
        <f>IF(LEN(A79),VLOOKUP(A79,TowerPool,8,0),"")</f>
        <v/>
      </c>
      <c r="O79" s="27" t="str">
        <f>IF(LEN(A79),VLOOKUP(N79,MoveData,8,0)*8/5," ")</f>
        <v> </v>
      </c>
      <c r="P79" s="24" t="str">
        <f>IF(LEN(A79),VLOOKUP(A79,TowerPool,3,0),"")</f>
        <v/>
      </c>
      <c r="Q79" s="24" t="str">
        <f>IF(LEN(A79),VLOOKUP(A79,TowerPool,9,0),"")</f>
        <v/>
      </c>
      <c r="R79" s="25" t="str">
        <f>IF(LEN(A79),TEXTJOIN("/",0,VLOOKUP(A79,TowerPool,16,0),VLOOKUP(A79,TowerPool,17,0),VLOOKUP(A79,TowerPool,18,0),VLOOKUP(A79,TowerPool,19,0),VLOOKUP(A79,TowerPool,20,0),VLOOKUP(A79,TowerPool,21,0)),"")</f>
        <v/>
      </c>
      <c r="S79" s="25" t="str">
        <f>IF(LEN(A79),TEXTJOIN("/",0,VLOOKUP(A79,TowerPool,10,0),VLOOKUP(A79,TowerPool,11,0),VLOOKUP(A79,TowerPool,12,0),VLOOKUP(A79,TowerPool,13,0),VLOOKUP(A79,TowerPool,14,0),VLOOKUP(A79,TowerPool,15,0)),"")</f>
        <v/>
      </c>
      <c r="T79" s="28" t="str">
        <f>IF(LEN(A79),VLOOKUP(A79,TowerPool,32,0),"")</f>
        <v/>
      </c>
      <c r="U79" s="24" t="str">
        <f>IF(LEN(A79),VLOOKUP(A79,TowerPool,27,0),"")</f>
        <v/>
      </c>
      <c r="V79" s="24" t="str">
        <f>IF(LEN(A79),VLOOKUP(A79,TowerPool,28,0),"")</f>
        <v/>
      </c>
      <c r="W79" s="24" t="str">
        <f>IF(LEN(A79),VLOOKUP(A79,TowerPool,29,0),"")</f>
        <v/>
      </c>
      <c r="X79" s="24" t="str">
        <f>IF(LEN(A79),VLOOKUP(A79,TowerPool,30,0),"")</f>
        <v/>
      </c>
      <c r="Y79" s="24" t="str">
        <f>IF(LEN(A79),VLOOKUP(A79,TowerPool,31,0),"")</f>
        <v/>
      </c>
      <c r="Z79" s="29" t="str">
        <f>IF(LEFT(D75,9)="Doubles M",D76,"")</f>
        <v/>
      </c>
    </row>
    <row r="80" ht="15.75" customHeight="1">
      <c r="A80" s="1" t="str">
        <f>IF(A76="","",IF(VLOOKUP(C75,TowerTrainers,10,0)=0,"",VLOOKUP(C75,TowerTrainers,10,0)))</f>
        <v/>
      </c>
      <c r="B80" s="22" t="str">
        <f>IF(LEN(A80),VLOOKUP(A80,TowerPool,34,0),"")</f>
        <v/>
      </c>
      <c r="C80" s="1"/>
      <c r="D80" s="23"/>
      <c r="E80" s="24" t="str">
        <f t="shared" si="13"/>
        <v/>
      </c>
      <c r="F80" s="25" t="str">
        <f>IF(LEN(A80),VLOOKUP(A80,TowerPool,33,0),"")</f>
        <v/>
      </c>
      <c r="G80" s="24" t="str">
        <f>IF(LEN(A80),VLOOKUP(A80,TowerPool,4,0),"")</f>
        <v/>
      </c>
      <c r="H80" s="26" t="str">
        <f>IF(LEN(A80),VLOOKUP(A80,TowerPool,5,0),"")</f>
        <v/>
      </c>
      <c r="I80" s="27" t="str">
        <f>IF(LEN(A80),VLOOKUP(H80,MoveData,8,0)*8/5," ")</f>
        <v> </v>
      </c>
      <c r="J80" s="26" t="str">
        <f>IF(LEN(A80),VLOOKUP(A80,TowerPool,6,0),"")</f>
        <v/>
      </c>
      <c r="K80" s="27" t="str">
        <f>IF(LEN(A80),VLOOKUP(J80,MoveData,8,0)*8/5," ")</f>
        <v> </v>
      </c>
      <c r="L80" s="26" t="str">
        <f>IF(LEN(A80),VLOOKUP(A80,TowerPool,7,0),"")</f>
        <v/>
      </c>
      <c r="M80" s="27" t="str">
        <f>IF(LEN(A80),VLOOKUP(L80,MoveData,8,0)*8/5," ")</f>
        <v> </v>
      </c>
      <c r="N80" s="26" t="str">
        <f>IF(LEN(A80),VLOOKUP(A80,TowerPool,8,0),"")</f>
        <v/>
      </c>
      <c r="O80" s="27" t="str">
        <f>IF(LEN(A80),VLOOKUP(N80,MoveData,8,0)*8/5," ")</f>
        <v> </v>
      </c>
      <c r="P80" s="24" t="str">
        <f>IF(LEN(A80),VLOOKUP(A80,TowerPool,3,0),"")</f>
        <v/>
      </c>
      <c r="Q80" s="24" t="str">
        <f>IF(LEN(A80),VLOOKUP(A80,TowerPool,9,0),"")</f>
        <v/>
      </c>
      <c r="R80" s="25" t="str">
        <f>IF(LEN(A80),TEXTJOIN("/",0,VLOOKUP(A80,TowerPool,16,0),VLOOKUP(A80,TowerPool,17,0),VLOOKUP(A80,TowerPool,18,0),VLOOKUP(A80,TowerPool,19,0),VLOOKUP(A80,TowerPool,20,0),VLOOKUP(A80,TowerPool,21,0)),"")</f>
        <v/>
      </c>
      <c r="S80" s="25" t="str">
        <f>IF(LEN(A80),TEXTJOIN("/",0,VLOOKUP(A80,TowerPool,10,0),VLOOKUP(A80,TowerPool,11,0),VLOOKUP(A80,TowerPool,12,0),VLOOKUP(A80,TowerPool,13,0),VLOOKUP(A80,TowerPool,14,0),VLOOKUP(A80,TowerPool,15,0)),"")</f>
        <v/>
      </c>
      <c r="T80" s="28" t="str">
        <f>IF(LEN(A80),VLOOKUP(A80,TowerPool,32,0),"")</f>
        <v/>
      </c>
      <c r="U80" s="24" t="str">
        <f>IF(LEN(A80),VLOOKUP(A80,TowerPool,27,0),"")</f>
        <v/>
      </c>
      <c r="V80" s="24" t="str">
        <f>IF(LEN(A80),VLOOKUP(A80,TowerPool,28,0),"")</f>
        <v/>
      </c>
      <c r="W80" s="24" t="str">
        <f>IF(LEN(A80),VLOOKUP(A80,TowerPool,29,0),"")</f>
        <v/>
      </c>
      <c r="X80" s="24" t="str">
        <f>IF(LEN(A80),VLOOKUP(A80,TowerPool,30,0),"")</f>
        <v/>
      </c>
      <c r="Y80" s="24" t="str">
        <f>IF(LEN(A80),VLOOKUP(A80,TowerPool,31,0),"")</f>
        <v/>
      </c>
      <c r="Z80" s="30"/>
    </row>
    <row r="81" ht="15.75" customHeight="1">
      <c r="A81" s="1" t="str">
        <f>IF(A75="","",IFERROR(FIND(",",B$2,A75+1),""))</f>
        <v/>
      </c>
      <c r="B81" s="1">
        <f>B75+1</f>
        <v>14</v>
      </c>
      <c r="C81" s="1" t="str">
        <f>IF(LEN(A81),VALUE(MID(B$2,A75+1,A81-A75-1)),"")</f>
        <v/>
      </c>
      <c r="D81" s="1" t="str">
        <f>IF(LEN(A81),VLOOKUP(C81,TowerTrainers,6),"")</f>
        <v/>
      </c>
      <c r="E81" s="14" t="str">
        <f>IF(LEN(C81),"Team #"&amp;B81&amp;" - "&amp;D81&amp;" - "&amp;A82&amp; " "&amp;B82&amp;IF(C82=0,""," and "&amp;C82&amp;" "&amp;D82),"")</f>
        <v/>
      </c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6"/>
    </row>
    <row r="82" ht="15.75" customHeight="1">
      <c r="A82" s="7" t="str">
        <f>IF(LEN(C81),VLOOKUP(C81,TowerTrainers,3,0),"")</f>
        <v/>
      </c>
      <c r="B82" s="17" t="str">
        <f>IF(LEN(C81),VLOOKUP(C81,TowerTrainers,2,0),"")</f>
        <v/>
      </c>
      <c r="C82" s="17" t="str">
        <f>IF(LEN(C81),VLOOKUP(C81,TowerTrainers,5,0),"")</f>
        <v/>
      </c>
      <c r="D82" s="17" t="str">
        <f>IF(LEN(C81),VLOOKUP(C81,TowerTrainers,4),"")</f>
        <v/>
      </c>
      <c r="E82" s="18" t="str">
        <f>IF(LEN(E81),"Set","")</f>
        <v/>
      </c>
      <c r="F82" s="18" t="str">
        <f>IF(LEN(E81),"Type","")</f>
        <v/>
      </c>
      <c r="G82" s="18" t="str">
        <f>IF(LEN(E81),"Item","")</f>
        <v/>
      </c>
      <c r="H82" s="19" t="str">
        <f>IF(LEN(E81),"Move 1","")</f>
        <v/>
      </c>
      <c r="I82" s="20" t="str">
        <f>IF(LEN(E81),"PP","")</f>
        <v/>
      </c>
      <c r="J82" s="19" t="str">
        <f>IF(LEN(E81),"Move 2","")</f>
        <v/>
      </c>
      <c r="K82" s="19"/>
      <c r="L82" s="19" t="str">
        <f>IF(LEN(E81),"Move 3","")</f>
        <v/>
      </c>
      <c r="M82" s="19"/>
      <c r="N82" s="19" t="str">
        <f>IF(LEN(E81),"Move 4","")</f>
        <v/>
      </c>
      <c r="O82" s="19"/>
      <c r="P82" s="18" t="str">
        <f>IF(LEN(E81),"Nature","")</f>
        <v/>
      </c>
      <c r="Q82" s="18" t="str">
        <f>IF(LEN(E81),"Ability","")</f>
        <v/>
      </c>
      <c r="R82" s="18" t="str">
        <f>IF(LEN(E81),"EV – (H/A/B/C/D/S) – IV","")</f>
        <v/>
      </c>
      <c r="T82" s="21" t="str">
        <f>IF(LEN(E81),"Speed","")</f>
        <v/>
      </c>
      <c r="U82" s="18" t="str">
        <f>IF(LEN(E81),"HP","")</f>
        <v/>
      </c>
      <c r="V82" s="18" t="str">
        <f>IF(LEN(E81),"Atk","")</f>
        <v/>
      </c>
      <c r="W82" s="18" t="str">
        <f>IF(LEN(E81),"Def","")</f>
        <v/>
      </c>
      <c r="X82" s="18" t="str">
        <f>IF(LEN(E81),"SpA","")</f>
        <v/>
      </c>
      <c r="Y82" s="18" t="str">
        <f>IF(LEN(E81),"SpD","")</f>
        <v/>
      </c>
      <c r="Z82" s="18"/>
    </row>
    <row r="83" ht="15.75" customHeight="1">
      <c r="A83" s="6" t="str">
        <f>IF(A82="","",IF(VLOOKUP(C81,TowerTrainers,7,0)=0,"",VLOOKUP(C81,TowerTrainers,7,0)))</f>
        <v/>
      </c>
      <c r="B83" s="22" t="str">
        <f>IF(LEN(A83),VLOOKUP(A83,TowerPool,34,0),"")</f>
        <v/>
      </c>
      <c r="C83" s="1"/>
      <c r="D83" s="23"/>
      <c r="E83" s="24" t="str">
        <f t="shared" ref="E83:E86" si="14">IF(LEN(A83),A83,"")</f>
        <v/>
      </c>
      <c r="F83" s="25" t="str">
        <f>IF(LEN(A83),VLOOKUP(A83,TowerPool,33,0),"")</f>
        <v/>
      </c>
      <c r="G83" s="24" t="str">
        <f>IF(LEN(A83),VLOOKUP(A83,TowerPool,4,0),"")</f>
        <v/>
      </c>
      <c r="H83" s="26" t="str">
        <f>IF(LEN(A83),VLOOKUP(A83,TowerPool,5,0),"")</f>
        <v/>
      </c>
      <c r="I83" s="27" t="str">
        <f>IF(LEN(A83),VLOOKUP(H83,MoveData,8,0)*8/5," ")</f>
        <v> </v>
      </c>
      <c r="J83" s="26" t="str">
        <f>IF(LEN(A83),VLOOKUP(A83,TowerPool,6,0),"")</f>
        <v/>
      </c>
      <c r="K83" s="27" t="str">
        <f>IF(LEN(A83),VLOOKUP(J83,MoveData,8,0)*8/5," ")</f>
        <v> </v>
      </c>
      <c r="L83" s="26" t="str">
        <f>IF(LEN(A83),VLOOKUP(A83,TowerPool,7,0),"")</f>
        <v/>
      </c>
      <c r="M83" s="27" t="str">
        <f>IF(LEN(A83),VLOOKUP(L83,MoveData,8,0)*8/5," ")</f>
        <v> </v>
      </c>
      <c r="N83" s="26" t="str">
        <f>IF(LEN(A83),VLOOKUP(A83,TowerPool,8,0),"")</f>
        <v/>
      </c>
      <c r="O83" s="27" t="str">
        <f>IF(LEN(A83),VLOOKUP(N83,MoveData,8,0)*8/5," ")</f>
        <v> </v>
      </c>
      <c r="P83" s="24" t="str">
        <f>IF(LEN(A83),VLOOKUP(A83,TowerPool,3,0),"")</f>
        <v/>
      </c>
      <c r="Q83" s="24" t="str">
        <f>IF(LEN(A83),VLOOKUP(A83,TowerPool,9,0),"")</f>
        <v/>
      </c>
      <c r="R83" s="25" t="str">
        <f>IF(LEN(A83),TEXTJOIN("/",0,VLOOKUP(A83,TowerPool,16,0),VLOOKUP(A83,TowerPool,17,0),VLOOKUP(A83,TowerPool,18,0),VLOOKUP(A83,TowerPool,19,0),VLOOKUP(A83,TowerPool,20,0),VLOOKUP(A83,TowerPool,21,0)),"")</f>
        <v/>
      </c>
      <c r="S83" s="25" t="str">
        <f>IF(LEN(A83),TEXTJOIN("/",0,VLOOKUP(A83,TowerPool,10,0),VLOOKUP(A83,TowerPool,11,0),VLOOKUP(A83,TowerPool,12,0),VLOOKUP(A83,TowerPool,13,0),VLOOKUP(A83,TowerPool,14,0),VLOOKUP(A83,TowerPool,15,0)),"")</f>
        <v/>
      </c>
      <c r="T83" s="28" t="str">
        <f>IF(LEN(A83),VLOOKUP(A83,TowerPool,32,0),"")</f>
        <v/>
      </c>
      <c r="U83" s="24" t="str">
        <f>IF(LEN(A83),VLOOKUP(A83,TowerPool,27,0),"")</f>
        <v/>
      </c>
      <c r="V83" s="24" t="str">
        <f>IF(LEN(A83),VLOOKUP(A83,TowerPool,28,0),"")</f>
        <v/>
      </c>
      <c r="W83" s="24" t="str">
        <f>IF(LEN(A83),VLOOKUP(A83,TowerPool,29,0),"")</f>
        <v/>
      </c>
      <c r="X83" s="24" t="str">
        <f>IF(LEN(A83),VLOOKUP(A83,TowerPool,30,0),"")</f>
        <v/>
      </c>
      <c r="Y83" s="24" t="str">
        <f>IF(LEN(A83),VLOOKUP(A83,TowerPool,31,0),"")</f>
        <v/>
      </c>
      <c r="Z83" s="29" t="str">
        <f>IF(LEFT(D81,9)="Doubles M",B82,"")</f>
        <v/>
      </c>
    </row>
    <row r="84" ht="15.75" customHeight="1">
      <c r="A84" s="1" t="str">
        <f>IF(A82="","",IF(VLOOKUP(C81,TowerTrainers,8,0)=0,"",VLOOKUP(C81,TowerTrainers,8,0)))</f>
        <v/>
      </c>
      <c r="B84" s="22" t="str">
        <f>IF(LEN(A84),VLOOKUP(A84,TowerPool,34,0),"")</f>
        <v/>
      </c>
      <c r="C84" s="1"/>
      <c r="D84" s="23"/>
      <c r="E84" s="24" t="str">
        <f t="shared" si="14"/>
        <v/>
      </c>
      <c r="F84" s="25" t="str">
        <f>IF(LEN(A84),VLOOKUP(A84,TowerPool,33,0),"")</f>
        <v/>
      </c>
      <c r="G84" s="24" t="str">
        <f>IF(LEN(A84),VLOOKUP(A84,TowerPool,4,0),"")</f>
        <v/>
      </c>
      <c r="H84" s="26" t="str">
        <f>IF(LEN(A84),VLOOKUP(A84,TowerPool,5,0),"")</f>
        <v/>
      </c>
      <c r="I84" s="27" t="str">
        <f>IF(LEN(A84),VLOOKUP(H84,MoveData,8,0)*8/5," ")</f>
        <v> </v>
      </c>
      <c r="J84" s="26" t="str">
        <f>IF(LEN(A84),VLOOKUP(A84,TowerPool,6,0),"")</f>
        <v/>
      </c>
      <c r="K84" s="27" t="str">
        <f>IF(LEN(A84),VLOOKUP(J84,MoveData,8,0)*8/5," ")</f>
        <v> </v>
      </c>
      <c r="L84" s="26" t="str">
        <f>IF(LEN(A84),VLOOKUP(A84,TowerPool,7,0),"")</f>
        <v/>
      </c>
      <c r="M84" s="27" t="str">
        <f>IF(LEN(A84),VLOOKUP(L84,MoveData,8,0)*8/5," ")</f>
        <v> </v>
      </c>
      <c r="N84" s="26" t="str">
        <f>IF(LEN(A84),VLOOKUP(A84,TowerPool,8,0),"")</f>
        <v/>
      </c>
      <c r="O84" s="27" t="str">
        <f>IF(LEN(A84),VLOOKUP(N84,MoveData,8,0)*8/5," ")</f>
        <v> </v>
      </c>
      <c r="P84" s="24" t="str">
        <f>IF(LEN(A84),VLOOKUP(A84,TowerPool,3,0),"")</f>
        <v/>
      </c>
      <c r="Q84" s="24" t="str">
        <f>IF(LEN(A84),VLOOKUP(A84,TowerPool,9,0),"")</f>
        <v/>
      </c>
      <c r="R84" s="25" t="str">
        <f>IF(LEN(A84),TEXTJOIN("/",0,VLOOKUP(A84,TowerPool,16,0),VLOOKUP(A84,TowerPool,17,0),VLOOKUP(A84,TowerPool,18,0),VLOOKUP(A84,TowerPool,19,0),VLOOKUP(A84,TowerPool,20,0),VLOOKUP(A84,TowerPool,21,0)),"")</f>
        <v/>
      </c>
      <c r="S84" s="25" t="str">
        <f>IF(LEN(A84),TEXTJOIN("/",0,VLOOKUP(A84,TowerPool,10,0),VLOOKUP(A84,TowerPool,11,0),VLOOKUP(A84,TowerPool,12,0),VLOOKUP(A84,TowerPool,13,0),VLOOKUP(A84,TowerPool,14,0),VLOOKUP(A84,TowerPool,15,0)),"")</f>
        <v/>
      </c>
      <c r="T84" s="28" t="str">
        <f>IF(LEN(A84),VLOOKUP(A84,TowerPool,32,0),"")</f>
        <v/>
      </c>
      <c r="U84" s="24" t="str">
        <f>IF(LEN(A84),VLOOKUP(A84,TowerPool,27,0),"")</f>
        <v/>
      </c>
      <c r="V84" s="24" t="str">
        <f>IF(LEN(A84),VLOOKUP(A84,TowerPool,28,0),"")</f>
        <v/>
      </c>
      <c r="W84" s="24" t="str">
        <f>IF(LEN(A84),VLOOKUP(A84,TowerPool,29,0),"")</f>
        <v/>
      </c>
      <c r="X84" s="24" t="str">
        <f>IF(LEN(A84),VLOOKUP(A84,TowerPool,30,0),"")</f>
        <v/>
      </c>
      <c r="Y84" s="24" t="str">
        <f>IF(LEN(A84),VLOOKUP(A84,TowerPool,31,0),"")</f>
        <v/>
      </c>
      <c r="Z84" s="30"/>
    </row>
    <row r="85" ht="15.75" customHeight="1">
      <c r="A85" s="1" t="str">
        <f>IF(A82="","",IF(VLOOKUP(C81,TowerTrainers,9,0)=0,"",VLOOKUP(C81,TowerTrainers,9,0)))</f>
        <v/>
      </c>
      <c r="B85" s="22" t="str">
        <f>IF(LEN(A85),VLOOKUP(A85,TowerPool,34,0),"")</f>
        <v/>
      </c>
      <c r="C85" s="1"/>
      <c r="D85" s="23"/>
      <c r="E85" s="24" t="str">
        <f t="shared" si="14"/>
        <v/>
      </c>
      <c r="F85" s="25" t="str">
        <f>IF(LEN(A85),VLOOKUP(A85,TowerPool,33,0),"")</f>
        <v/>
      </c>
      <c r="G85" s="24" t="str">
        <f>IF(LEN(A85),VLOOKUP(A85,TowerPool,4,0),"")</f>
        <v/>
      </c>
      <c r="H85" s="26" t="str">
        <f>IF(LEN(A85),VLOOKUP(A85,TowerPool,5,0),"")</f>
        <v/>
      </c>
      <c r="I85" s="27" t="str">
        <f>IF(LEN(A85),VLOOKUP(H85,MoveData,8,0)*8/5," ")</f>
        <v> </v>
      </c>
      <c r="J85" s="26" t="str">
        <f>IF(LEN(A85),VLOOKUP(A85,TowerPool,6,0),"")</f>
        <v/>
      </c>
      <c r="K85" s="27" t="str">
        <f>IF(LEN(A85),VLOOKUP(J85,MoveData,8,0)*8/5," ")</f>
        <v> </v>
      </c>
      <c r="L85" s="26" t="str">
        <f>IF(LEN(A85),VLOOKUP(A85,TowerPool,7,0),"")</f>
        <v/>
      </c>
      <c r="M85" s="27" t="str">
        <f>IF(LEN(A85),VLOOKUP(L85,MoveData,8,0)*8/5," ")</f>
        <v> </v>
      </c>
      <c r="N85" s="26" t="str">
        <f>IF(LEN(A85),VLOOKUP(A85,TowerPool,8,0),"")</f>
        <v/>
      </c>
      <c r="O85" s="27" t="str">
        <f>IF(LEN(A85),VLOOKUP(N85,MoveData,8,0)*8/5," ")</f>
        <v> </v>
      </c>
      <c r="P85" s="24" t="str">
        <f>IF(LEN(A85),VLOOKUP(A85,TowerPool,3,0),"")</f>
        <v/>
      </c>
      <c r="Q85" s="24" t="str">
        <f>IF(LEN(A85),VLOOKUP(A85,TowerPool,9,0),"")</f>
        <v/>
      </c>
      <c r="R85" s="25" t="str">
        <f>IF(LEN(A85),TEXTJOIN("/",0,VLOOKUP(A85,TowerPool,16,0),VLOOKUP(A85,TowerPool,17,0),VLOOKUP(A85,TowerPool,18,0),VLOOKUP(A85,TowerPool,19,0),VLOOKUP(A85,TowerPool,20,0),VLOOKUP(A85,TowerPool,21,0)),"")</f>
        <v/>
      </c>
      <c r="S85" s="25" t="str">
        <f>IF(LEN(A85),TEXTJOIN("/",0,VLOOKUP(A85,TowerPool,10,0),VLOOKUP(A85,TowerPool,11,0),VLOOKUP(A85,TowerPool,12,0),VLOOKUP(A85,TowerPool,13,0),VLOOKUP(A85,TowerPool,14,0),VLOOKUP(A85,TowerPool,15,0)),"")</f>
        <v/>
      </c>
      <c r="T85" s="28" t="str">
        <f>IF(LEN(A85),VLOOKUP(A85,TowerPool,32,0),"")</f>
        <v/>
      </c>
      <c r="U85" s="24" t="str">
        <f>IF(LEN(A85),VLOOKUP(A85,TowerPool,27,0),"")</f>
        <v/>
      </c>
      <c r="V85" s="24" t="str">
        <f>IF(LEN(A85),VLOOKUP(A85,TowerPool,28,0),"")</f>
        <v/>
      </c>
      <c r="W85" s="24" t="str">
        <f>IF(LEN(A85),VLOOKUP(A85,TowerPool,29,0),"")</f>
        <v/>
      </c>
      <c r="X85" s="24" t="str">
        <f>IF(LEN(A85),VLOOKUP(A85,TowerPool,30,0),"")</f>
        <v/>
      </c>
      <c r="Y85" s="24" t="str">
        <f>IF(LEN(A85),VLOOKUP(A85,TowerPool,31,0),"")</f>
        <v/>
      </c>
      <c r="Z85" s="29" t="str">
        <f>IF(LEFT(D81,9)="Doubles M",D82,"")</f>
        <v/>
      </c>
    </row>
    <row r="86" ht="15.75" customHeight="1">
      <c r="A86" s="1" t="str">
        <f>IF(A82="","",IF(VLOOKUP(C81,TowerTrainers,10,0)=0,"",VLOOKUP(C81,TowerTrainers,10,0)))</f>
        <v/>
      </c>
      <c r="B86" s="22" t="str">
        <f>IF(LEN(A86),VLOOKUP(A86,TowerPool,34,0),"")</f>
        <v/>
      </c>
      <c r="C86" s="1"/>
      <c r="D86" s="23"/>
      <c r="E86" s="24" t="str">
        <f t="shared" si="14"/>
        <v/>
      </c>
      <c r="F86" s="25" t="str">
        <f>IF(LEN(A86),VLOOKUP(A86,TowerPool,33,0),"")</f>
        <v/>
      </c>
      <c r="G86" s="24" t="str">
        <f>IF(LEN(A86),VLOOKUP(A86,TowerPool,4,0),"")</f>
        <v/>
      </c>
      <c r="H86" s="26" t="str">
        <f>IF(LEN(A86),VLOOKUP(A86,TowerPool,5,0),"")</f>
        <v/>
      </c>
      <c r="I86" s="27" t="str">
        <f>IF(LEN(A86),VLOOKUP(H86,MoveData,8,0)*8/5," ")</f>
        <v> </v>
      </c>
      <c r="J86" s="26" t="str">
        <f>IF(LEN(A86),VLOOKUP(A86,TowerPool,6,0),"")</f>
        <v/>
      </c>
      <c r="K86" s="27" t="str">
        <f>IF(LEN(A86),VLOOKUP(J86,MoveData,8,0)*8/5," ")</f>
        <v> </v>
      </c>
      <c r="L86" s="26" t="str">
        <f>IF(LEN(A86),VLOOKUP(A86,TowerPool,7,0),"")</f>
        <v/>
      </c>
      <c r="M86" s="27" t="str">
        <f>IF(LEN(A86),VLOOKUP(L86,MoveData,8,0)*8/5," ")</f>
        <v> </v>
      </c>
      <c r="N86" s="26" t="str">
        <f>IF(LEN(A86),VLOOKUP(A86,TowerPool,8,0),"")</f>
        <v/>
      </c>
      <c r="O86" s="27" t="str">
        <f>IF(LEN(A86),VLOOKUP(N86,MoveData,8,0)*8/5," ")</f>
        <v> </v>
      </c>
      <c r="P86" s="24" t="str">
        <f>IF(LEN(A86),VLOOKUP(A86,TowerPool,3,0),"")</f>
        <v/>
      </c>
      <c r="Q86" s="24" t="str">
        <f>IF(LEN(A86),VLOOKUP(A86,TowerPool,9,0),"")</f>
        <v/>
      </c>
      <c r="R86" s="25" t="str">
        <f>IF(LEN(A86),TEXTJOIN("/",0,VLOOKUP(A86,TowerPool,16,0),VLOOKUP(A86,TowerPool,17,0),VLOOKUP(A86,TowerPool,18,0),VLOOKUP(A86,TowerPool,19,0),VLOOKUP(A86,TowerPool,20,0),VLOOKUP(A86,TowerPool,21,0)),"")</f>
        <v/>
      </c>
      <c r="S86" s="25" t="str">
        <f>IF(LEN(A86),TEXTJOIN("/",0,VLOOKUP(A86,TowerPool,10,0),VLOOKUP(A86,TowerPool,11,0),VLOOKUP(A86,TowerPool,12,0),VLOOKUP(A86,TowerPool,13,0),VLOOKUP(A86,TowerPool,14,0),VLOOKUP(A86,TowerPool,15,0)),"")</f>
        <v/>
      </c>
      <c r="T86" s="28" t="str">
        <f>IF(LEN(A86),VLOOKUP(A86,TowerPool,32,0),"")</f>
        <v/>
      </c>
      <c r="U86" s="24" t="str">
        <f>IF(LEN(A86),VLOOKUP(A86,TowerPool,27,0),"")</f>
        <v/>
      </c>
      <c r="V86" s="24" t="str">
        <f>IF(LEN(A86),VLOOKUP(A86,TowerPool,28,0),"")</f>
        <v/>
      </c>
      <c r="W86" s="24" t="str">
        <f>IF(LEN(A86),VLOOKUP(A86,TowerPool,29,0),"")</f>
        <v/>
      </c>
      <c r="X86" s="24" t="str">
        <f>IF(LEN(A86),VLOOKUP(A86,TowerPool,30,0),"")</f>
        <v/>
      </c>
      <c r="Y86" s="24" t="str">
        <f>IF(LEN(A86),VLOOKUP(A86,TowerPool,31,0),"")</f>
        <v/>
      </c>
      <c r="Z86" s="30"/>
    </row>
    <row r="87" ht="15.75" customHeight="1">
      <c r="A87" s="1" t="str">
        <f>IF(A81="","",IFERROR(FIND(",",B$2,A81+1),""))</f>
        <v/>
      </c>
      <c r="B87" s="1">
        <f>B81+1</f>
        <v>15</v>
      </c>
      <c r="C87" s="1" t="str">
        <f>IF(LEN(A87),VALUE(MID(B$2,A81+1,A87-A81-1)),"")</f>
        <v/>
      </c>
      <c r="D87" s="1" t="str">
        <f>IF(LEN(A87),VLOOKUP(C87,TowerTrainers,6),"")</f>
        <v/>
      </c>
      <c r="E87" s="14" t="str">
        <f>IF(LEN(C87),"Team #"&amp;B87&amp;" - "&amp;D87&amp;" - "&amp;A88&amp; " "&amp;B88&amp;IF(C88=0,""," and "&amp;C88&amp;" "&amp;D88),"")</f>
        <v/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6"/>
    </row>
    <row r="88" ht="15.75" customHeight="1">
      <c r="A88" s="7" t="str">
        <f>IF(LEN(C87),VLOOKUP(C87,TowerTrainers,3,0),"")</f>
        <v/>
      </c>
      <c r="B88" s="17" t="str">
        <f>IF(LEN(C87),VLOOKUP(C87,TowerTrainers,2,0),"")</f>
        <v/>
      </c>
      <c r="C88" s="17" t="str">
        <f>IF(LEN(C87),VLOOKUP(C87,TowerTrainers,5,0),"")</f>
        <v/>
      </c>
      <c r="D88" s="17" t="str">
        <f>IF(LEN(C87),VLOOKUP(C87,TowerTrainers,4),"")</f>
        <v/>
      </c>
      <c r="E88" s="18" t="str">
        <f>IF(LEN(E87),"Set","")</f>
        <v/>
      </c>
      <c r="F88" s="18" t="str">
        <f>IF(LEN(E87),"Type","")</f>
        <v/>
      </c>
      <c r="G88" s="18" t="str">
        <f>IF(LEN(E87),"Item","")</f>
        <v/>
      </c>
      <c r="H88" s="19" t="str">
        <f>IF(LEN(E87),"Move 1","")</f>
        <v/>
      </c>
      <c r="I88" s="20" t="str">
        <f>IF(LEN(E87),"PP","")</f>
        <v/>
      </c>
      <c r="J88" s="19" t="str">
        <f>IF(LEN(E87),"Move 2","")</f>
        <v/>
      </c>
      <c r="K88" s="19"/>
      <c r="L88" s="19" t="str">
        <f>IF(LEN(E87),"Move 3","")</f>
        <v/>
      </c>
      <c r="M88" s="19"/>
      <c r="N88" s="19" t="str">
        <f>IF(LEN(E87),"Move 4","")</f>
        <v/>
      </c>
      <c r="O88" s="19"/>
      <c r="P88" s="18" t="str">
        <f>IF(LEN(E87),"Nature","")</f>
        <v/>
      </c>
      <c r="Q88" s="18" t="str">
        <f>IF(LEN(E87),"Ability","")</f>
        <v/>
      </c>
      <c r="R88" s="18" t="str">
        <f>IF(LEN(E87),"EV – (H/A/B/C/D/S) – IV","")</f>
        <v/>
      </c>
      <c r="T88" s="21" t="str">
        <f>IF(LEN(E87),"Speed","")</f>
        <v/>
      </c>
      <c r="U88" s="18" t="str">
        <f>IF(LEN(E87),"HP","")</f>
        <v/>
      </c>
      <c r="V88" s="18" t="str">
        <f>IF(LEN(E87),"Atk","")</f>
        <v/>
      </c>
      <c r="W88" s="18" t="str">
        <f>IF(LEN(E87),"Def","")</f>
        <v/>
      </c>
      <c r="X88" s="18" t="str">
        <f>IF(LEN(E87),"SpA","")</f>
        <v/>
      </c>
      <c r="Y88" s="18" t="str">
        <f>IF(LEN(E87),"SpD","")</f>
        <v/>
      </c>
      <c r="Z88" s="18"/>
    </row>
    <row r="89" ht="15.75" customHeight="1">
      <c r="A89" s="6" t="str">
        <f>IF(A88="","",IF(VLOOKUP(C87,TowerTrainers,7,0)=0,"",VLOOKUP(C87,TowerTrainers,7,0)))</f>
        <v/>
      </c>
      <c r="B89" s="22" t="str">
        <f>IF(LEN(A89),VLOOKUP(A89,TowerPool,34,0),"")</f>
        <v/>
      </c>
      <c r="C89" s="1"/>
      <c r="D89" s="23"/>
      <c r="E89" s="24" t="str">
        <f t="shared" ref="E89:E92" si="15">IF(LEN(A89),A89,"")</f>
        <v/>
      </c>
      <c r="F89" s="25" t="str">
        <f>IF(LEN(A89),VLOOKUP(A89,TowerPool,33,0),"")</f>
        <v/>
      </c>
      <c r="G89" s="24" t="str">
        <f>IF(LEN(A89),VLOOKUP(A89,TowerPool,4,0),"")</f>
        <v/>
      </c>
      <c r="H89" s="26" t="str">
        <f>IF(LEN(A89),VLOOKUP(A89,TowerPool,5,0),"")</f>
        <v/>
      </c>
      <c r="I89" s="27" t="str">
        <f>IF(LEN(A89),VLOOKUP(H89,MoveData,8,0)*8/5," ")</f>
        <v> </v>
      </c>
      <c r="J89" s="26" t="str">
        <f>IF(LEN(A89),VLOOKUP(A89,TowerPool,6,0),"")</f>
        <v/>
      </c>
      <c r="K89" s="27" t="str">
        <f>IF(LEN(A89),VLOOKUP(J89,MoveData,8,0)*8/5," ")</f>
        <v> </v>
      </c>
      <c r="L89" s="26" t="str">
        <f>IF(LEN(A89),VLOOKUP(A89,TowerPool,7,0),"")</f>
        <v/>
      </c>
      <c r="M89" s="27" t="str">
        <f>IF(LEN(A89),VLOOKUP(L89,MoveData,8,0)*8/5," ")</f>
        <v> </v>
      </c>
      <c r="N89" s="26" t="str">
        <f>IF(LEN(A89),VLOOKUP(A89,TowerPool,8,0),"")</f>
        <v/>
      </c>
      <c r="O89" s="27" t="str">
        <f>IF(LEN(A89),VLOOKUP(N89,MoveData,8,0)*8/5," ")</f>
        <v> </v>
      </c>
      <c r="P89" s="24" t="str">
        <f>IF(LEN(A89),VLOOKUP(A89,TowerPool,3,0),"")</f>
        <v/>
      </c>
      <c r="Q89" s="24" t="str">
        <f>IF(LEN(A89),VLOOKUP(A89,TowerPool,9,0),"")</f>
        <v/>
      </c>
      <c r="R89" s="25" t="str">
        <f>IF(LEN(A89),TEXTJOIN("/",0,VLOOKUP(A89,TowerPool,16,0),VLOOKUP(A89,TowerPool,17,0),VLOOKUP(A89,TowerPool,18,0),VLOOKUP(A89,TowerPool,19,0),VLOOKUP(A89,TowerPool,20,0),VLOOKUP(A89,TowerPool,21,0)),"")</f>
        <v/>
      </c>
      <c r="S89" s="25" t="str">
        <f>IF(LEN(A89),TEXTJOIN("/",0,VLOOKUP(A89,TowerPool,10,0),VLOOKUP(A89,TowerPool,11,0),VLOOKUP(A89,TowerPool,12,0),VLOOKUP(A89,TowerPool,13,0),VLOOKUP(A89,TowerPool,14,0),VLOOKUP(A89,TowerPool,15,0)),"")</f>
        <v/>
      </c>
      <c r="T89" s="28" t="str">
        <f>IF(LEN(A89),VLOOKUP(A89,TowerPool,32,0),"")</f>
        <v/>
      </c>
      <c r="U89" s="24" t="str">
        <f>IF(LEN(A89),VLOOKUP(A89,TowerPool,27,0),"")</f>
        <v/>
      </c>
      <c r="V89" s="24" t="str">
        <f>IF(LEN(A89),VLOOKUP(A89,TowerPool,28,0),"")</f>
        <v/>
      </c>
      <c r="W89" s="24" t="str">
        <f>IF(LEN(A89),VLOOKUP(A89,TowerPool,29,0),"")</f>
        <v/>
      </c>
      <c r="X89" s="24" t="str">
        <f>IF(LEN(A89),VLOOKUP(A89,TowerPool,30,0),"")</f>
        <v/>
      </c>
      <c r="Y89" s="24" t="str">
        <f>IF(LEN(A89),VLOOKUP(A89,TowerPool,31,0),"")</f>
        <v/>
      </c>
      <c r="Z89" s="29" t="str">
        <f>IF(LEFT(D87,9)="Doubles M",B88,"")</f>
        <v/>
      </c>
    </row>
    <row r="90" ht="15.75" customHeight="1">
      <c r="A90" s="1" t="str">
        <f>IF(A88="","",IF(VLOOKUP(C87,TowerTrainers,8,0)=0,"",VLOOKUP(C87,TowerTrainers,8,0)))</f>
        <v/>
      </c>
      <c r="B90" s="22" t="str">
        <f>IF(LEN(A90),VLOOKUP(A90,TowerPool,34,0),"")</f>
        <v/>
      </c>
      <c r="C90" s="1"/>
      <c r="D90" s="23"/>
      <c r="E90" s="24" t="str">
        <f t="shared" si="15"/>
        <v/>
      </c>
      <c r="F90" s="25" t="str">
        <f>IF(LEN(A90),VLOOKUP(A90,TowerPool,33,0),"")</f>
        <v/>
      </c>
      <c r="G90" s="24" t="str">
        <f>IF(LEN(A90),VLOOKUP(A90,TowerPool,4,0),"")</f>
        <v/>
      </c>
      <c r="H90" s="26" t="str">
        <f>IF(LEN(A90),VLOOKUP(A90,TowerPool,5,0),"")</f>
        <v/>
      </c>
      <c r="I90" s="27" t="str">
        <f>IF(LEN(A90),VLOOKUP(H90,MoveData,8,0)*8/5," ")</f>
        <v> </v>
      </c>
      <c r="J90" s="26" t="str">
        <f>IF(LEN(A90),VLOOKUP(A90,TowerPool,6,0),"")</f>
        <v/>
      </c>
      <c r="K90" s="27" t="str">
        <f>IF(LEN(A90),VLOOKUP(J90,MoveData,8,0)*8/5," ")</f>
        <v> </v>
      </c>
      <c r="L90" s="26" t="str">
        <f>IF(LEN(A90),VLOOKUP(A90,TowerPool,7,0),"")</f>
        <v/>
      </c>
      <c r="M90" s="27" t="str">
        <f>IF(LEN(A90),VLOOKUP(L90,MoveData,8,0)*8/5," ")</f>
        <v> </v>
      </c>
      <c r="N90" s="26" t="str">
        <f>IF(LEN(A90),VLOOKUP(A90,TowerPool,8,0),"")</f>
        <v/>
      </c>
      <c r="O90" s="27" t="str">
        <f>IF(LEN(A90),VLOOKUP(N90,MoveData,8,0)*8/5," ")</f>
        <v> </v>
      </c>
      <c r="P90" s="24" t="str">
        <f>IF(LEN(A90),VLOOKUP(A90,TowerPool,3,0),"")</f>
        <v/>
      </c>
      <c r="Q90" s="24" t="str">
        <f>IF(LEN(A90),VLOOKUP(A90,TowerPool,9,0),"")</f>
        <v/>
      </c>
      <c r="R90" s="25" t="str">
        <f>IF(LEN(A90),TEXTJOIN("/",0,VLOOKUP(A90,TowerPool,16,0),VLOOKUP(A90,TowerPool,17,0),VLOOKUP(A90,TowerPool,18,0),VLOOKUP(A90,TowerPool,19,0),VLOOKUP(A90,TowerPool,20,0),VLOOKUP(A90,TowerPool,21,0)),"")</f>
        <v/>
      </c>
      <c r="S90" s="25" t="str">
        <f>IF(LEN(A90),TEXTJOIN("/",0,VLOOKUP(A90,TowerPool,10,0),VLOOKUP(A90,TowerPool,11,0),VLOOKUP(A90,TowerPool,12,0),VLOOKUP(A90,TowerPool,13,0),VLOOKUP(A90,TowerPool,14,0),VLOOKUP(A90,TowerPool,15,0)),"")</f>
        <v/>
      </c>
      <c r="T90" s="28" t="str">
        <f>IF(LEN(A90),VLOOKUP(A90,TowerPool,32,0),"")</f>
        <v/>
      </c>
      <c r="U90" s="24" t="str">
        <f>IF(LEN(A90),VLOOKUP(A90,TowerPool,27,0),"")</f>
        <v/>
      </c>
      <c r="V90" s="24" t="str">
        <f>IF(LEN(A90),VLOOKUP(A90,TowerPool,28,0),"")</f>
        <v/>
      </c>
      <c r="W90" s="24" t="str">
        <f>IF(LEN(A90),VLOOKUP(A90,TowerPool,29,0),"")</f>
        <v/>
      </c>
      <c r="X90" s="24" t="str">
        <f>IF(LEN(A90),VLOOKUP(A90,TowerPool,30,0),"")</f>
        <v/>
      </c>
      <c r="Y90" s="24" t="str">
        <f>IF(LEN(A90),VLOOKUP(A90,TowerPool,31,0),"")</f>
        <v/>
      </c>
      <c r="Z90" s="30"/>
    </row>
    <row r="91" ht="15.75" customHeight="1">
      <c r="A91" s="1" t="str">
        <f>IF(A88="","",IF(VLOOKUP(C87,TowerTrainers,9,0)=0,"",VLOOKUP(C87,TowerTrainers,9,0)))</f>
        <v/>
      </c>
      <c r="B91" s="22" t="str">
        <f>IF(LEN(A91),VLOOKUP(A91,TowerPool,34,0),"")</f>
        <v/>
      </c>
      <c r="C91" s="1"/>
      <c r="D91" s="23"/>
      <c r="E91" s="24" t="str">
        <f t="shared" si="15"/>
        <v/>
      </c>
      <c r="F91" s="25" t="str">
        <f>IF(LEN(A91),VLOOKUP(A91,TowerPool,33,0),"")</f>
        <v/>
      </c>
      <c r="G91" s="24" t="str">
        <f>IF(LEN(A91),VLOOKUP(A91,TowerPool,4,0),"")</f>
        <v/>
      </c>
      <c r="H91" s="26" t="str">
        <f>IF(LEN(A91),VLOOKUP(A91,TowerPool,5,0),"")</f>
        <v/>
      </c>
      <c r="I91" s="27" t="str">
        <f>IF(LEN(A91),VLOOKUP(H91,MoveData,8,0)*8/5," ")</f>
        <v> </v>
      </c>
      <c r="J91" s="26" t="str">
        <f>IF(LEN(A91),VLOOKUP(A91,TowerPool,6,0),"")</f>
        <v/>
      </c>
      <c r="K91" s="27" t="str">
        <f>IF(LEN(A91),VLOOKUP(J91,MoveData,8,0)*8/5," ")</f>
        <v> </v>
      </c>
      <c r="L91" s="26" t="str">
        <f>IF(LEN(A91),VLOOKUP(A91,TowerPool,7,0),"")</f>
        <v/>
      </c>
      <c r="M91" s="27" t="str">
        <f>IF(LEN(A91),VLOOKUP(L91,MoveData,8,0)*8/5," ")</f>
        <v> </v>
      </c>
      <c r="N91" s="26" t="str">
        <f>IF(LEN(A91),VLOOKUP(A91,TowerPool,8,0),"")</f>
        <v/>
      </c>
      <c r="O91" s="27" t="str">
        <f>IF(LEN(A91),VLOOKUP(N91,MoveData,8,0)*8/5," ")</f>
        <v> </v>
      </c>
      <c r="P91" s="24" t="str">
        <f>IF(LEN(A91),VLOOKUP(A91,TowerPool,3,0),"")</f>
        <v/>
      </c>
      <c r="Q91" s="24" t="str">
        <f>IF(LEN(A91),VLOOKUP(A91,TowerPool,9,0),"")</f>
        <v/>
      </c>
      <c r="R91" s="25" t="str">
        <f>IF(LEN(A91),TEXTJOIN("/",0,VLOOKUP(A91,TowerPool,16,0),VLOOKUP(A91,TowerPool,17,0),VLOOKUP(A91,TowerPool,18,0),VLOOKUP(A91,TowerPool,19,0),VLOOKUP(A91,TowerPool,20,0),VLOOKUP(A91,TowerPool,21,0)),"")</f>
        <v/>
      </c>
      <c r="S91" s="25" t="str">
        <f>IF(LEN(A91),TEXTJOIN("/",0,VLOOKUP(A91,TowerPool,10,0),VLOOKUP(A91,TowerPool,11,0),VLOOKUP(A91,TowerPool,12,0),VLOOKUP(A91,TowerPool,13,0),VLOOKUP(A91,TowerPool,14,0),VLOOKUP(A91,TowerPool,15,0)),"")</f>
        <v/>
      </c>
      <c r="T91" s="28" t="str">
        <f>IF(LEN(A91),VLOOKUP(A91,TowerPool,32,0),"")</f>
        <v/>
      </c>
      <c r="U91" s="24" t="str">
        <f>IF(LEN(A91),VLOOKUP(A91,TowerPool,27,0),"")</f>
        <v/>
      </c>
      <c r="V91" s="24" t="str">
        <f>IF(LEN(A91),VLOOKUP(A91,TowerPool,28,0),"")</f>
        <v/>
      </c>
      <c r="W91" s="24" t="str">
        <f>IF(LEN(A91),VLOOKUP(A91,TowerPool,29,0),"")</f>
        <v/>
      </c>
      <c r="X91" s="24" t="str">
        <f>IF(LEN(A91),VLOOKUP(A91,TowerPool,30,0),"")</f>
        <v/>
      </c>
      <c r="Y91" s="24" t="str">
        <f>IF(LEN(A91),VLOOKUP(A91,TowerPool,31,0),"")</f>
        <v/>
      </c>
      <c r="Z91" s="29" t="str">
        <f>IF(LEFT(D87,9)="Doubles M",D88,"")</f>
        <v/>
      </c>
    </row>
    <row r="92" ht="15.75" customHeight="1">
      <c r="A92" s="1" t="str">
        <f>IF(A88="","",IF(VLOOKUP(C87,TowerTrainers,10,0)=0,"",VLOOKUP(C87,TowerTrainers,10,0)))</f>
        <v/>
      </c>
      <c r="B92" s="22" t="str">
        <f>IF(LEN(A92),VLOOKUP(A92,TowerPool,34,0),"")</f>
        <v/>
      </c>
      <c r="C92" s="1"/>
      <c r="D92" s="23"/>
      <c r="E92" s="24" t="str">
        <f t="shared" si="15"/>
        <v/>
      </c>
      <c r="F92" s="25" t="str">
        <f>IF(LEN(A92),VLOOKUP(A92,TowerPool,33,0),"")</f>
        <v/>
      </c>
      <c r="G92" s="24" t="str">
        <f>IF(LEN(A92),VLOOKUP(A92,TowerPool,4,0),"")</f>
        <v/>
      </c>
      <c r="H92" s="26" t="str">
        <f>IF(LEN(A92),VLOOKUP(A92,TowerPool,5,0),"")</f>
        <v/>
      </c>
      <c r="I92" s="27" t="str">
        <f>IF(LEN(A92),VLOOKUP(H92,MoveData,8,0)*8/5," ")</f>
        <v> </v>
      </c>
      <c r="J92" s="26" t="str">
        <f>IF(LEN(A92),VLOOKUP(A92,TowerPool,6,0),"")</f>
        <v/>
      </c>
      <c r="K92" s="27" t="str">
        <f>IF(LEN(A92),VLOOKUP(J92,MoveData,8,0)*8/5," ")</f>
        <v> </v>
      </c>
      <c r="L92" s="26" t="str">
        <f>IF(LEN(A92),VLOOKUP(A92,TowerPool,7,0),"")</f>
        <v/>
      </c>
      <c r="M92" s="27" t="str">
        <f>IF(LEN(A92),VLOOKUP(L92,MoveData,8,0)*8/5," ")</f>
        <v> </v>
      </c>
      <c r="N92" s="26" t="str">
        <f>IF(LEN(A92),VLOOKUP(A92,TowerPool,8,0),"")</f>
        <v/>
      </c>
      <c r="O92" s="27" t="str">
        <f>IF(LEN(A92),VLOOKUP(N92,MoveData,8,0)*8/5," ")</f>
        <v> </v>
      </c>
      <c r="P92" s="24" t="str">
        <f>IF(LEN(A92),VLOOKUP(A92,TowerPool,3,0),"")</f>
        <v/>
      </c>
      <c r="Q92" s="24" t="str">
        <f>IF(LEN(A92),VLOOKUP(A92,TowerPool,9,0),"")</f>
        <v/>
      </c>
      <c r="R92" s="25" t="str">
        <f>IF(LEN(A92),TEXTJOIN("/",0,VLOOKUP(A92,TowerPool,16,0),VLOOKUP(A92,TowerPool,17,0),VLOOKUP(A92,TowerPool,18,0),VLOOKUP(A92,TowerPool,19,0),VLOOKUP(A92,TowerPool,20,0),VLOOKUP(A92,TowerPool,21,0)),"")</f>
        <v/>
      </c>
      <c r="S92" s="25" t="str">
        <f>IF(LEN(A92),TEXTJOIN("/",0,VLOOKUP(A92,TowerPool,10,0),VLOOKUP(A92,TowerPool,11,0),VLOOKUP(A92,TowerPool,12,0),VLOOKUP(A92,TowerPool,13,0),VLOOKUP(A92,TowerPool,14,0),VLOOKUP(A92,TowerPool,15,0)),"")</f>
        <v/>
      </c>
      <c r="T92" s="28" t="str">
        <f>IF(LEN(A92),VLOOKUP(A92,TowerPool,32,0),"")</f>
        <v/>
      </c>
      <c r="U92" s="24" t="str">
        <f>IF(LEN(A92),VLOOKUP(A92,TowerPool,27,0),"")</f>
        <v/>
      </c>
      <c r="V92" s="24" t="str">
        <f>IF(LEN(A92),VLOOKUP(A92,TowerPool,28,0),"")</f>
        <v/>
      </c>
      <c r="W92" s="24" t="str">
        <f>IF(LEN(A92),VLOOKUP(A92,TowerPool,29,0),"")</f>
        <v/>
      </c>
      <c r="X92" s="24" t="str">
        <f>IF(LEN(A92),VLOOKUP(A92,TowerPool,30,0),"")</f>
        <v/>
      </c>
      <c r="Y92" s="24" t="str">
        <f>IF(LEN(A92),VLOOKUP(A92,TowerPool,31,0),"")</f>
        <v/>
      </c>
      <c r="Z92" s="30"/>
    </row>
  </sheetData>
  <mergeCells count="64">
    <mergeCell ref="Z25:Z26"/>
    <mergeCell ref="Z29:Z30"/>
    <mergeCell ref="Z31:Z32"/>
    <mergeCell ref="Z35:Z36"/>
    <mergeCell ref="Z37:Z38"/>
    <mergeCell ref="Z41:Z42"/>
    <mergeCell ref="Z43:Z44"/>
    <mergeCell ref="Z79:Z80"/>
    <mergeCell ref="Z83:Z84"/>
    <mergeCell ref="Z85:Z86"/>
    <mergeCell ref="Z89:Z90"/>
    <mergeCell ref="Z91:Z92"/>
    <mergeCell ref="Z59:Z60"/>
    <mergeCell ref="Z61:Z62"/>
    <mergeCell ref="Z65:Z66"/>
    <mergeCell ref="Z67:Z68"/>
    <mergeCell ref="Z71:Z72"/>
    <mergeCell ref="Z73:Z74"/>
    <mergeCell ref="Z77:Z78"/>
    <mergeCell ref="E1:Y1"/>
    <mergeCell ref="F2:G2"/>
    <mergeCell ref="I2:M2"/>
    <mergeCell ref="P2:Q2"/>
    <mergeCell ref="E3:Z3"/>
    <mergeCell ref="R4:S4"/>
    <mergeCell ref="Z5:Z6"/>
    <mergeCell ref="Z7:Z8"/>
    <mergeCell ref="E9:Z9"/>
    <mergeCell ref="R10:S10"/>
    <mergeCell ref="Z11:Z12"/>
    <mergeCell ref="Z13:Z14"/>
    <mergeCell ref="E15:Z15"/>
    <mergeCell ref="R16:S16"/>
    <mergeCell ref="E39:Z39"/>
    <mergeCell ref="E45:Z45"/>
    <mergeCell ref="Z17:Z18"/>
    <mergeCell ref="Z19:Z20"/>
    <mergeCell ref="E21:Z21"/>
    <mergeCell ref="R22:S22"/>
    <mergeCell ref="Z23:Z24"/>
    <mergeCell ref="E27:Z27"/>
    <mergeCell ref="E33:Z33"/>
    <mergeCell ref="Z47:Z48"/>
    <mergeCell ref="Z49:Z50"/>
    <mergeCell ref="E51:Z51"/>
    <mergeCell ref="Z53:Z54"/>
    <mergeCell ref="Z55:Z56"/>
    <mergeCell ref="E57:Z57"/>
    <mergeCell ref="E63:Z63"/>
    <mergeCell ref="E69:Z69"/>
    <mergeCell ref="E75:Z75"/>
    <mergeCell ref="E81:Z81"/>
    <mergeCell ref="E87:Z87"/>
    <mergeCell ref="R70:S70"/>
    <mergeCell ref="R76:S76"/>
    <mergeCell ref="R82:S82"/>
    <mergeCell ref="R88:S88"/>
    <mergeCell ref="R28:S28"/>
    <mergeCell ref="R34:S34"/>
    <mergeCell ref="R40:S40"/>
    <mergeCell ref="R46:S46"/>
    <mergeCell ref="R52:S52"/>
    <mergeCell ref="R58:S58"/>
    <mergeCell ref="R64:S64"/>
  </mergeCells>
  <conditionalFormatting sqref="G5:G6 G11:G12 G17:G18 G23:G24 G29:G30 G35:G36 G41:G42 G47:G48 G53:G54 G59:G60 G65:G66 G71:G72 G77:G78 G83:G84 G89:G90">
    <cfRule type="expression" dxfId="0" priority="1">
      <formula>AND(LEN(G5),COUNTIF(INDIRECT("WarnHighItems"),G5))</formula>
    </cfRule>
  </conditionalFormatting>
  <conditionalFormatting sqref="G5:G6 G11:G12 G17:G18 G23:G24 G29:G30 G35:G36 G41:G42 G47:G48 G53:G54 G59:G60 G65:G66 G71:G72 G77:G78 G83:G84 G89:G90">
    <cfRule type="expression" dxfId="1" priority="2">
      <formula>AND(LEN(G5),COUNTIF(INDIRECT("WarnMidItems"),G5))</formula>
    </cfRule>
  </conditionalFormatting>
  <conditionalFormatting sqref="H4:O8 H10:O14 H16:O20 H22:O26 H28:O32 H34:O38 H40:O44 H46:O50 H52:O56 H58:O62 H64:O68 H70:O74 H76:O80 H82:O86 H88:O92">
    <cfRule type="expression" dxfId="1" priority="3">
      <formula>AND(LEN(H4),COUNTIF(INDIRECT("WarnMidMoves"),H4))</formula>
    </cfRule>
  </conditionalFormatting>
  <conditionalFormatting sqref="H4:O8 H10:O14 H16:O20 H22:O26 H28:O32 H34:O38 H40:O44 H46:O50 H52:O56 H58:O62 H64:O68 H70:O74 H76:O80 H82:O86 H88:O92">
    <cfRule type="expression" dxfId="0" priority="4">
      <formula>AND(LEN(H4),COUNTIF(INDIRECT("WarnHighMoves"),H4))</formula>
    </cfRule>
  </conditionalFormatting>
  <conditionalFormatting sqref="T17:W20">
    <cfRule type="cellIs" dxfId="2" priority="5" operator="greaterThanOrEqual">
      <formula>$G$17</formula>
    </cfRule>
  </conditionalFormatting>
  <conditionalFormatting sqref="Q23:Q26">
    <cfRule type="expression" dxfId="2" priority="6">
      <formula>$O$47+27=ROW()</formula>
    </cfRule>
  </conditionalFormatting>
  <conditionalFormatting sqref="E3 E9 E15 E21 E27 E33 E39 E45 E51 E57 E63 E69 E75 E81 E87">
    <cfRule type="expression" dxfId="3" priority="7">
      <formula>LEFT(D3,6)="Single"</formula>
    </cfRule>
  </conditionalFormatting>
  <conditionalFormatting sqref="E3 E9 E15 E21 E27 E33 E39 E45 E51 E57 E63 E69 E75 E81 E87">
    <cfRule type="expression" dxfId="4" priority="8">
      <formula>LEFT(D3,6)="Double"</formula>
    </cfRule>
  </conditionalFormatting>
  <conditionalFormatting sqref="G8 G14 G20 G26 G32 G38 G44 G50 G56 G62 G68 G74 G80 G86 G92">
    <cfRule type="expression" dxfId="5" priority="9">
      <formula>AND(LEN(G8),COUNTIF(INDIRECT("WarnHighItems"),G8))</formula>
    </cfRule>
  </conditionalFormatting>
  <conditionalFormatting sqref="G8 G14 G20 G26 G32 G38 G44 G50 G56 G62 G68 G74 G80 G86 G92">
    <cfRule type="expression" dxfId="6" priority="10">
      <formula>AND(LEN(G8),COUNTIF(INDIRECT("WarnMidItems"),G8))</formula>
    </cfRule>
  </conditionalFormatting>
  <conditionalFormatting sqref="E8:G8 P8:S8 U8:Y8 U14:Y14 U20:Y20 U26:Y26 U32:Y32 P14:S14 P20:S20 P26:S26 E14:G14 E20:G20 E26:G26 E32:G32 P32:S32 P38:S38 U38:Y38 U44:Y44 P44:S44 P50:S50 U50:Y50 U56:Y56 P56:S56 E50:G50 E44:G44 E56:G56 E38:G38 E62:G62 E68:G68 P68:S68 P62:S62 U62:Y62 U68:Y68 U74:Y74 U80:Y80 P80:S80 P74:S74 E74:G74 E80:G80 E86:G86 E92:G92 P86:S86 U86:Y86 U92:Y92 P92:S92">
    <cfRule type="expression" dxfId="7" priority="11">
      <formula>LEN($Z7)</formula>
    </cfRule>
  </conditionalFormatting>
  <conditionalFormatting sqref="Z5 Z11 Z17 Z23 Z29 Z35 Z41 Z47 Z53 Z59 Z65 Z71 Z77 Z83 Z89">
    <cfRule type="cellIs" dxfId="8" priority="12" operator="equal">
      <formula>$A$1</formula>
    </cfRule>
  </conditionalFormatting>
  <conditionalFormatting sqref="Z31:Z32 Z37:Z38 Z43:Z44 Z49:Z50 Z55:Z56 Z61:Z62 Z67:Z68 Z73:Z74 Z79:Z80 Z85:Z86 Z91:Z92">
    <cfRule type="cellIs" dxfId="9" priority="13" operator="equal">
      <formula>$A$1</formula>
    </cfRule>
  </conditionalFormatting>
  <conditionalFormatting sqref="G7 G13 G19 G25 G31 G37 G43 G49 G55 G61 G67 G73 G79 G85 G91">
    <cfRule type="expression" dxfId="5" priority="14">
      <formula>AND(LEN(Z7),LEN(G7),COUNTIF(INDIRECT("WarnHighItems"),G7))</formula>
    </cfRule>
  </conditionalFormatting>
  <conditionalFormatting sqref="G7 G13 G19 G25 G31 G37 G43 G49 G55 G61 G67 G73 G79 G85 G91">
    <cfRule type="expression" dxfId="6" priority="15">
      <formula>AND(LEN(Z7),LEN(G7),COUNTIF(INDIRECT("WarnMidItems"),G7))</formula>
    </cfRule>
  </conditionalFormatting>
  <conditionalFormatting sqref="E7:G7 P7:S7 U7:Z7 E13:G13 E19:G19 E25:G25 E31:G31 E37:G37 E43:G43 E49:G49 E55:G55 E61:G61 E67:G67 E73:G73 E79:G79 E85:G85 E91:G91 P91:S91 U91:Z91 P85:S85 U85:Z85 P79:S79 U79:Z79 P73:S73 U73:Z73 P67:S67 U67:Z67 P61:S61 U61:Z61 P55:S55 U55:Z55 P49:S49 U49:Z49 P43:S43 U43:Z43 P37:S37 U37:Z37 U31:Z31 U25:Z25 P25:S25 P31:S31 P13:S13 P19:S19 U13:Z13 U19:Z19">
    <cfRule type="expression" dxfId="7" priority="16">
      <formula>LEN($Z7)</formula>
    </cfRule>
  </conditionalFormatting>
  <conditionalFormatting sqref="G7 G13 G19 G25 G31 G37 G43 G49 G55 G61 G67 G73 G79 G85 G91">
    <cfRule type="expression" dxfId="0" priority="17">
      <formula>AND(LEN(G7),COUNTIF(INDIRECT("WarnHighItems"),G7))</formula>
    </cfRule>
  </conditionalFormatting>
  <conditionalFormatting sqref="G7 G13 G19 G25 G31 G37 G43 G49 G55 G61 G67 G73 G79 G85 G91">
    <cfRule type="expression" dxfId="1" priority="18">
      <formula>AND(LEN(G7),COUNTIF(INDIRECT("WarnMidItems"),G7))</formula>
    </cfRule>
  </conditionalFormatting>
  <hyperlinks>
    <hyperlink r:id="rId1" ref="R2"/>
  </hyperlinks>
  <printOptions/>
  <pageMargins bottom="0.984027777777778" footer="0.0" header="0.0" left="0.747916666666667" right="0.747916666666667" top="0.984027777777778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hidden="1" min="1" max="1" width="11.14"/>
    <col customWidth="1" min="3" max="3" width="8.0"/>
    <col customWidth="1" min="6" max="6" width="3.29"/>
    <col customWidth="1" min="8" max="8" width="3.29"/>
    <col customWidth="1" min="10" max="10" width="3.29"/>
    <col customWidth="1" min="12" max="12" width="3.29"/>
    <col customWidth="1" hidden="1" min="13" max="13" width="4.14"/>
    <col customWidth="1" min="14" max="14" width="10.0"/>
    <col customWidth="1" hidden="1" min="16" max="16" width="4.57"/>
    <col customWidth="1" hidden="1" min="19" max="19" width="4.86"/>
    <col customWidth="1" min="20" max="20" width="6.57"/>
    <col customWidth="1" min="21" max="25" width="4.57"/>
    <col customWidth="1" min="26" max="26" width="21.71"/>
  </cols>
  <sheetData>
    <row r="1">
      <c r="A1" s="31"/>
      <c r="B1" s="32" t="s">
        <v>4</v>
      </c>
      <c r="Z1" s="31"/>
    </row>
    <row r="2">
      <c r="A2" s="33" t="str">
        <f>PROPER(E2)</f>
        <v>Heatran</v>
      </c>
      <c r="B2" s="34"/>
      <c r="C2" s="35" t="s">
        <v>5</v>
      </c>
      <c r="E2" s="36" t="s">
        <v>6</v>
      </c>
      <c r="F2" s="37"/>
      <c r="G2" s="38"/>
      <c r="H2" s="39" t="str">
        <f>"Number of sets: "&amp;A3</f>
        <v>Number of sets: 13</v>
      </c>
      <c r="M2" s="31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31"/>
    </row>
    <row r="3">
      <c r="A3" s="41">
        <f>'Tower Pokemon'!AL1068</f>
        <v>13</v>
      </c>
      <c r="B3" s="42" t="s">
        <v>7</v>
      </c>
      <c r="C3" s="42" t="s">
        <v>8</v>
      </c>
      <c r="D3" s="42" t="s">
        <v>9</v>
      </c>
      <c r="E3" s="43" t="s">
        <v>10</v>
      </c>
      <c r="F3" s="44" t="s">
        <v>11</v>
      </c>
      <c r="G3" s="43" t="s">
        <v>12</v>
      </c>
      <c r="H3" s="45"/>
      <c r="I3" s="43" t="s">
        <v>13</v>
      </c>
      <c r="J3" s="45"/>
      <c r="K3" s="43" t="s">
        <v>14</v>
      </c>
      <c r="L3" s="45"/>
      <c r="M3" s="45"/>
      <c r="N3" s="42" t="s">
        <v>15</v>
      </c>
      <c r="O3" s="42" t="s">
        <v>16</v>
      </c>
      <c r="P3" s="46"/>
      <c r="Q3" s="42" t="s">
        <v>17</v>
      </c>
      <c r="S3" s="46"/>
      <c r="T3" s="47" t="s">
        <v>18</v>
      </c>
      <c r="U3" s="42" t="s">
        <v>19</v>
      </c>
      <c r="V3" s="42" t="s">
        <v>20</v>
      </c>
      <c r="W3" s="42" t="s">
        <v>21</v>
      </c>
      <c r="X3" s="42" t="s">
        <v>22</v>
      </c>
      <c r="Y3" s="42" t="s">
        <v>23</v>
      </c>
      <c r="Z3" s="31"/>
    </row>
    <row r="4">
      <c r="A4" s="41">
        <f>IF(LEN(B4), VLOOKUP(B4,TowerPool,34,0),"")</f>
        <v>0</v>
      </c>
      <c r="B4" s="48" t="str">
        <f t="shared" ref="B4:B17" si="1">IF(3+A$3&lt;ROW(),"",A$2&amp;"-"&amp;ROW()-3)</f>
        <v>Heatran-1</v>
      </c>
      <c r="C4" s="49" t="str">
        <f>IF(LEN(B4), VLOOKUP(B4,TowerPool,33,0),"")</f>
        <v>FIR/STL</v>
      </c>
      <c r="D4" s="48" t="str">
        <f>IF(LEN(B4), VLOOKUP(B4,TowerPool,4,0),"")</f>
        <v>Bright Powder</v>
      </c>
      <c r="E4" s="50" t="str">
        <f>IF(LEN(B4), VLOOKUP(B4,TowerPool,5,0),"")</f>
        <v>Earth Power</v>
      </c>
      <c r="F4" s="51">
        <f>IF(LEN($B4),VLOOKUP(E4,MoveData,8,0)*8/5," ")</f>
        <v>16</v>
      </c>
      <c r="G4" s="50" t="str">
        <f>IF(LEN(B4), VLOOKUP(B4,TowerPool,6,0),"")</f>
        <v>Magma Storm</v>
      </c>
      <c r="H4" s="51">
        <f>IF(LEN($B4),VLOOKUP(G4,MoveData,8,0)*8/5," ")</f>
        <v>8</v>
      </c>
      <c r="I4" s="50" t="str">
        <f>IF(LEN(B4), VLOOKUP(B4,TowerPool,7,0),"")</f>
        <v>Dark Pulse</v>
      </c>
      <c r="J4" s="51">
        <f>IF(LEN($B4),VLOOKUP(I4,MoveData,8,0)*8/5," ")</f>
        <v>24</v>
      </c>
      <c r="K4" s="50" t="str">
        <f>IF(LEN(B4), VLOOKUP(B4,TowerPool,8,0),"")</f>
        <v>Flash Cannon</v>
      </c>
      <c r="L4" s="51">
        <f>IF(LEN($B4),VLOOKUP(K4,MoveData,8,0)*8/5," ")</f>
        <v>16</v>
      </c>
      <c r="M4" s="52"/>
      <c r="N4" s="48" t="str">
        <f>IF(LEN(B4), VLOOKUP(B4,TowerPool,3,0),"")</f>
        <v>Modest</v>
      </c>
      <c r="O4" s="48" t="str">
        <f>IF(LEN(B4), VLOOKUP(B4,TowerPool,9,0),"")</f>
        <v>Flash Fire</v>
      </c>
      <c r="P4" s="53"/>
      <c r="Q4" s="49" t="str">
        <f>IF(LEN(B4), TEXTJOIN("/",0,VLOOKUP(B4,TowerPool,16,0),VLOOKUP(B4,TowerPool,17,0),VLOOKUP(B4,TowerPool,18,0),VLOOKUP(B4,TowerPool,19,0),VLOOKUP(B4,TowerPool,20,0),VLOOKUP(B4,TowerPool,21,0)),"")</f>
        <v>252/4/0/252/0/0</v>
      </c>
      <c r="R4" s="49" t="str">
        <f>IF(LEN(B4), TEXTJOIN("/",0,VLOOKUP(B4,TowerPool,10,0),VLOOKUP(B4,TowerPool,11,0),VLOOKUP(B4,TowerPool,12,0),VLOOKUP(B4,TowerPool,13,0),VLOOKUP(B4,TowerPool,14,0),VLOOKUP(B4,TowerPool,15,0)),"")</f>
        <v>31/0/31/31/31/31</v>
      </c>
      <c r="S4" s="53"/>
      <c r="T4" s="54">
        <f>IF(LEN(B4), VLOOKUP(B4,TowerPool,32,0),"")</f>
        <v>97</v>
      </c>
      <c r="U4" s="48">
        <f>IF(LEN(B4), VLOOKUP(B4,TowerPool,27,0),"")</f>
        <v>198</v>
      </c>
      <c r="V4" s="48">
        <f>IF(LEN(B4), VLOOKUP(B4,TowerPool,28,0),"")</f>
        <v>85</v>
      </c>
      <c r="W4" s="48">
        <f>IF(LEN(B4), VLOOKUP(B4,TowerPool,29,0),"")</f>
        <v>126</v>
      </c>
      <c r="X4" s="48">
        <f>IF(LEN(B4), VLOOKUP(B4,TowerPool,30,0),"")</f>
        <v>200</v>
      </c>
      <c r="Y4" s="48">
        <f>IF(LEN(B4), VLOOKUP(B4,TowerPool,31,0),"")</f>
        <v>126</v>
      </c>
      <c r="Z4" s="33">
        <f>IF(LEN(B4), VLOOKUP(B4,TowerPool,35,0),"")</f>
        <v>0</v>
      </c>
    </row>
    <row r="5">
      <c r="A5" s="41">
        <f>IF(LEN(B5), VLOOKUP(B5,TowerPool,34,0),"")</f>
        <v>3</v>
      </c>
      <c r="B5" s="48" t="str">
        <f t="shared" si="1"/>
        <v>Heatran-2</v>
      </c>
      <c r="C5" s="49" t="str">
        <f>IF(LEN(B5), VLOOKUP(B5,TowerPool,33,0),"")</f>
        <v>FIR/STL</v>
      </c>
      <c r="D5" s="48" t="str">
        <f>IF(LEN(B5), VLOOKUP(B5,TowerPool,4,0),"")</f>
        <v>Focus Sash</v>
      </c>
      <c r="E5" s="50" t="str">
        <f>IF(LEN(B5), VLOOKUP(B5,TowerPool,5,0),"")</f>
        <v>Magma Storm</v>
      </c>
      <c r="F5" s="51">
        <f>IF(LEN($B5),VLOOKUP(E5,MoveData,8,0)*8/5," ")</f>
        <v>8</v>
      </c>
      <c r="G5" s="50" t="str">
        <f>IF(LEN(B5), VLOOKUP(B5,TowerPool,6,0),"")</f>
        <v>Flash Cannon</v>
      </c>
      <c r="H5" s="51">
        <f>IF(LEN($B5),VLOOKUP(G5,MoveData,8,0)*8/5," ")</f>
        <v>16</v>
      </c>
      <c r="I5" s="50" t="str">
        <f>IF(LEN(B5), VLOOKUP(B5,TowerPool,7,0),"")</f>
        <v>Earth Power</v>
      </c>
      <c r="J5" s="51">
        <f>IF(LEN($B5),VLOOKUP(I5,MoveData,8,0)*8/5," ")</f>
        <v>16</v>
      </c>
      <c r="K5" s="50" t="str">
        <f>IF(LEN(B5), VLOOKUP(B5,TowerPool,8,0),"")</f>
        <v>Dragon Pulse</v>
      </c>
      <c r="L5" s="51">
        <f>IF(LEN($B5),VLOOKUP(K5,MoveData,8,0)*8/5," ")</f>
        <v>16</v>
      </c>
      <c r="M5" s="52"/>
      <c r="N5" s="48" t="str">
        <f>IF(LEN(B5), VLOOKUP(B5,TowerPool,3,0),"")</f>
        <v>Timid</v>
      </c>
      <c r="O5" s="48" t="str">
        <f>IF(LEN(B5), VLOOKUP(B5,TowerPool,9,0),"")</f>
        <v>Flash Fire</v>
      </c>
      <c r="P5" s="53"/>
      <c r="Q5" s="49" t="str">
        <f>IF(LEN(B5), TEXTJOIN("/",0,VLOOKUP(B5,TowerPool,16,0),VLOOKUP(B5,TowerPool,17,0),VLOOKUP(B5,TowerPool,18,0),VLOOKUP(B5,TowerPool,19,0),VLOOKUP(B5,TowerPool,20,0),VLOOKUP(B5,TowerPool,21,0)),"")</f>
        <v>4/252/0/0/0/252</v>
      </c>
      <c r="R5" s="49" t="str">
        <f>IF(LEN(B5), TEXTJOIN("/",0,VLOOKUP(B5,TowerPool,10,0),VLOOKUP(B5,TowerPool,11,0),VLOOKUP(B5,TowerPool,12,0),VLOOKUP(B5,TowerPool,13,0),VLOOKUP(B5,TowerPool,14,0),VLOOKUP(B5,TowerPool,15,0)),"")</f>
        <v>31/31/31/31/31/31</v>
      </c>
      <c r="S5" s="53"/>
      <c r="T5" s="54">
        <f>IF(LEN(B5), VLOOKUP(B5,TowerPool,32,0),"")</f>
        <v>141</v>
      </c>
      <c r="U5" s="48">
        <f>IF(LEN(B5), VLOOKUP(B5,TowerPool,27,0),"")</f>
        <v>167</v>
      </c>
      <c r="V5" s="48">
        <f>IF(LEN(B5), VLOOKUP(B5,TowerPool,28,0),"")</f>
        <v>127</v>
      </c>
      <c r="W5" s="48">
        <f>IF(LEN(B5), VLOOKUP(B5,TowerPool,29,0),"")</f>
        <v>126</v>
      </c>
      <c r="X5" s="48">
        <f>IF(LEN(B5), VLOOKUP(B5,TowerPool,30,0),"")</f>
        <v>150</v>
      </c>
      <c r="Y5" s="48">
        <f>IF(LEN(B5), VLOOKUP(B5,TowerPool,31,0),"")</f>
        <v>126</v>
      </c>
      <c r="Z5" s="33">
        <f>IF(LEN(B5), VLOOKUP(B5,TowerPool,35,0),"")</f>
        <v>1</v>
      </c>
    </row>
    <row r="6">
      <c r="A6" s="41">
        <f>IF(LEN(B6), VLOOKUP(B6,TowerPool,34,0),"")</f>
        <v>3</v>
      </c>
      <c r="B6" s="48" t="str">
        <f t="shared" si="1"/>
        <v>Heatran-3</v>
      </c>
      <c r="C6" s="49" t="str">
        <f>IF(LEN(B6), VLOOKUP(B6,TowerPool,33,0),"")</f>
        <v>FIR/STL</v>
      </c>
      <c r="D6" s="48" t="str">
        <f>IF(LEN(B6), VLOOKUP(B6,TowerPool,4,0),"")</f>
        <v>Shuca Berry</v>
      </c>
      <c r="E6" s="50" t="str">
        <f>IF(LEN(B6), VLOOKUP(B6,TowerPool,5,0),"")</f>
        <v>Flamethrower</v>
      </c>
      <c r="F6" s="51">
        <f>IF(LEN($B6),VLOOKUP(E6,MoveData,8,0)*8/5," ")</f>
        <v>24</v>
      </c>
      <c r="G6" s="50" t="str">
        <f>IF(LEN(B6), VLOOKUP(B6,TowerPool,6,0),"")</f>
        <v>Earth Power</v>
      </c>
      <c r="H6" s="51">
        <f>IF(LEN($B6),VLOOKUP(G6,MoveData,8,0)*8/5," ")</f>
        <v>16</v>
      </c>
      <c r="I6" s="50" t="str">
        <f>IF(LEN(B6), VLOOKUP(B6,TowerPool,7,0),"")</f>
        <v>Dragon Pulse</v>
      </c>
      <c r="J6" s="51">
        <f>IF(LEN($B6),VLOOKUP(I6,MoveData,8,0)*8/5," ")</f>
        <v>16</v>
      </c>
      <c r="K6" s="50" t="str">
        <f>IF(LEN(B6), VLOOKUP(B6,TowerPool,8,0),"")</f>
        <v>Ancient Power</v>
      </c>
      <c r="L6" s="51">
        <f>IF(LEN($B6),VLOOKUP(K6,MoveData,8,0)*8/5," ")</f>
        <v>8</v>
      </c>
      <c r="M6" s="52"/>
      <c r="N6" s="48" t="str">
        <f>IF(LEN(B6), VLOOKUP(B6,TowerPool,3,0),"")</f>
        <v>Modest</v>
      </c>
      <c r="O6" s="48" t="str">
        <f>IF(LEN(B6), VLOOKUP(B6,TowerPool,9,0),"")</f>
        <v>Flash Fire</v>
      </c>
      <c r="P6" s="53"/>
      <c r="Q6" s="49" t="str">
        <f>IF(LEN(B6), TEXTJOIN("/",0,VLOOKUP(B6,TowerPool,16,0),VLOOKUP(B6,TowerPool,17,0),VLOOKUP(B6,TowerPool,18,0),VLOOKUP(B6,TowerPool,19,0),VLOOKUP(B6,TowerPool,20,0),VLOOKUP(B6,TowerPool,21,0)),"")</f>
        <v>4/0/0/252/0/252</v>
      </c>
      <c r="R6" s="49" t="str">
        <f>IF(LEN(B6), TEXTJOIN("/",0,VLOOKUP(B6,TowerPool,10,0),VLOOKUP(B6,TowerPool,11,0),VLOOKUP(B6,TowerPool,12,0),VLOOKUP(B6,TowerPool,13,0),VLOOKUP(B6,TowerPool,14,0),VLOOKUP(B6,TowerPool,15,0)),"")</f>
        <v>31/31/31/31/31/31</v>
      </c>
      <c r="S6" s="53"/>
      <c r="T6" s="54">
        <f>IF(LEN(B6), VLOOKUP(B6,TowerPool,32,0),"")</f>
        <v>129</v>
      </c>
      <c r="U6" s="48">
        <f>IF(LEN(B6), VLOOKUP(B6,TowerPool,27,0),"")</f>
        <v>167</v>
      </c>
      <c r="V6" s="48">
        <f>IF(LEN(B6), VLOOKUP(B6,TowerPool,28,0),"")</f>
        <v>99</v>
      </c>
      <c r="W6" s="48">
        <f>IF(LEN(B6), VLOOKUP(B6,TowerPool,29,0),"")</f>
        <v>126</v>
      </c>
      <c r="X6" s="48">
        <f>IF(LEN(B6), VLOOKUP(B6,TowerPool,30,0),"")</f>
        <v>200</v>
      </c>
      <c r="Y6" s="48">
        <f>IF(LEN(B6), VLOOKUP(B6,TowerPool,31,0),"")</f>
        <v>126</v>
      </c>
      <c r="Z6" s="33">
        <f>IF(LEN(B6), VLOOKUP(B6,TowerPool,35,0),"")</f>
        <v>1</v>
      </c>
    </row>
    <row r="7">
      <c r="A7" s="41">
        <f>IF(LEN(B7), VLOOKUP(B7,TowerPool,34,0),"")</f>
        <v>3</v>
      </c>
      <c r="B7" s="48" t="str">
        <f t="shared" si="1"/>
        <v>Heatran-4</v>
      </c>
      <c r="C7" s="49" t="str">
        <f>IF(LEN(B7), VLOOKUP(B7,TowerPool,33,0),"")</f>
        <v>FIR/STL</v>
      </c>
      <c r="D7" s="48" t="str">
        <f>IF(LEN(B7), VLOOKUP(B7,TowerPool,4,0),"")</f>
        <v>Quick Claw</v>
      </c>
      <c r="E7" s="50" t="str">
        <f>IF(LEN(B7), VLOOKUP(B7,TowerPool,5,0),"")</f>
        <v>Explosion</v>
      </c>
      <c r="F7" s="51">
        <f>IF(LEN($B7),VLOOKUP(E7,MoveData,8,0)*8/5," ")</f>
        <v>8</v>
      </c>
      <c r="G7" s="50" t="str">
        <f>IF(LEN(B7), VLOOKUP(B7,TowerPool,6,0),"")</f>
        <v>Fire Fang</v>
      </c>
      <c r="H7" s="51">
        <f>IF(LEN($B7),VLOOKUP(G7,MoveData,8,0)*8/5," ")</f>
        <v>24</v>
      </c>
      <c r="I7" s="50" t="str">
        <f>IF(LEN(B7), VLOOKUP(B7,TowerPool,7,0),"")</f>
        <v>Crunch</v>
      </c>
      <c r="J7" s="51">
        <f>IF(LEN($B7),VLOOKUP(I7,MoveData,8,0)*8/5," ")</f>
        <v>24</v>
      </c>
      <c r="K7" s="50" t="str">
        <f>IF(LEN(B7), VLOOKUP(B7,TowerPool,8,0),"")</f>
        <v>Iron Head</v>
      </c>
      <c r="L7" s="51">
        <f>IF(LEN($B7),VLOOKUP(K7,MoveData,8,0)*8/5," ")</f>
        <v>24</v>
      </c>
      <c r="M7" s="52"/>
      <c r="N7" s="48" t="str">
        <f>IF(LEN(B7), VLOOKUP(B7,TowerPool,3,0),"")</f>
        <v>Adamant</v>
      </c>
      <c r="O7" s="48" t="str">
        <f>IF(LEN(B7), VLOOKUP(B7,TowerPool,9,0),"")</f>
        <v>Flash Fire</v>
      </c>
      <c r="P7" s="53"/>
      <c r="Q7" s="49" t="str">
        <f>IF(LEN(B7), TEXTJOIN("/",0,VLOOKUP(B7,TowerPool,16,0),VLOOKUP(B7,TowerPool,17,0),VLOOKUP(B7,TowerPool,18,0),VLOOKUP(B7,TowerPool,19,0),VLOOKUP(B7,TowerPool,20,0),VLOOKUP(B7,TowerPool,21,0)),"")</f>
        <v>4/252/0/0/0/252</v>
      </c>
      <c r="R7" s="49" t="str">
        <f>IF(LEN(B7), TEXTJOIN("/",0,VLOOKUP(B7,TowerPool,10,0),VLOOKUP(B7,TowerPool,11,0),VLOOKUP(B7,TowerPool,12,0),VLOOKUP(B7,TowerPool,13,0),VLOOKUP(B7,TowerPool,14,0),VLOOKUP(B7,TowerPool,15,0)),"")</f>
        <v>31/31/31/31/31/31</v>
      </c>
      <c r="S7" s="53"/>
      <c r="T7" s="54">
        <f>IF(LEN(B7), VLOOKUP(B7,TowerPool,32,0),"")</f>
        <v>129</v>
      </c>
      <c r="U7" s="48">
        <f>IF(LEN(B7), VLOOKUP(B7,TowerPool,27,0),"")</f>
        <v>167</v>
      </c>
      <c r="V7" s="48">
        <f>IF(LEN(B7), VLOOKUP(B7,TowerPool,28,0),"")</f>
        <v>156</v>
      </c>
      <c r="W7" s="48">
        <f>IF(LEN(B7), VLOOKUP(B7,TowerPool,29,0),"")</f>
        <v>126</v>
      </c>
      <c r="X7" s="48">
        <f>IF(LEN(B7), VLOOKUP(B7,TowerPool,30,0),"")</f>
        <v>135</v>
      </c>
      <c r="Y7" s="48">
        <f>IF(LEN(B7), VLOOKUP(B7,TowerPool,31,0),"")</f>
        <v>126</v>
      </c>
      <c r="Z7" s="33">
        <f>IF(LEN(B7), VLOOKUP(B7,TowerPool,35,0),"")</f>
        <v>1</v>
      </c>
    </row>
    <row r="8">
      <c r="A8" s="41">
        <f>IF(LEN(B8), VLOOKUP(B8,TowerPool,34,0),"")</f>
        <v>3</v>
      </c>
      <c r="B8" s="48" t="str">
        <f t="shared" si="1"/>
        <v>Heatran-5</v>
      </c>
      <c r="C8" s="49" t="str">
        <f>IF(LEN(B8), VLOOKUP(B8,TowerPool,33,0),"")</f>
        <v>FIR/STL</v>
      </c>
      <c r="D8" s="48" t="str">
        <f>IF(LEN(B8), VLOOKUP(B8,TowerPool,4,0),"")</f>
        <v>Bright Powder</v>
      </c>
      <c r="E8" s="50" t="str">
        <f>IF(LEN(B8), VLOOKUP(B8,TowerPool,5,0),"")</f>
        <v>Earth Power</v>
      </c>
      <c r="F8" s="51">
        <f>IF(LEN($B8),VLOOKUP(E8,MoveData,8,0)*8/5," ")</f>
        <v>16</v>
      </c>
      <c r="G8" s="50" t="str">
        <f>IF(LEN(B8), VLOOKUP(B8,TowerPool,6,0),"")</f>
        <v>Magma Storm</v>
      </c>
      <c r="H8" s="51">
        <f>IF(LEN($B8),VLOOKUP(G8,MoveData,8,0)*8/5," ")</f>
        <v>8</v>
      </c>
      <c r="I8" s="50" t="str">
        <f>IF(LEN(B8), VLOOKUP(B8,TowerPool,7,0),"")</f>
        <v>Dark Pulse</v>
      </c>
      <c r="J8" s="51">
        <f>IF(LEN($B8),VLOOKUP(I8,MoveData,8,0)*8/5," ")</f>
        <v>24</v>
      </c>
      <c r="K8" s="50" t="str">
        <f>IF(LEN(B8), VLOOKUP(B8,TowerPool,8,0),"")</f>
        <v>Flash Cannon</v>
      </c>
      <c r="L8" s="51">
        <f>IF(LEN($B8),VLOOKUP(K8,MoveData,8,0)*8/5," ")</f>
        <v>16</v>
      </c>
      <c r="M8" s="52"/>
      <c r="N8" s="48" t="str">
        <f>IF(LEN(B8), VLOOKUP(B8,TowerPool,3,0),"")</f>
        <v>Timid</v>
      </c>
      <c r="O8" s="48" t="str">
        <f>IF(LEN(B8), VLOOKUP(B8,TowerPool,9,0),"")</f>
        <v>Flash Fire</v>
      </c>
      <c r="P8" s="53"/>
      <c r="Q8" s="49" t="str">
        <f>IF(LEN(B8), TEXTJOIN("/",0,VLOOKUP(B8,TowerPool,16,0),VLOOKUP(B8,TowerPool,17,0),VLOOKUP(B8,TowerPool,18,0),VLOOKUP(B8,TowerPool,19,0),VLOOKUP(B8,TowerPool,20,0),VLOOKUP(B8,TowerPool,21,0)),"")</f>
        <v>252/4/0/252/0/0</v>
      </c>
      <c r="R8" s="49" t="str">
        <f>IF(LEN(B8), TEXTJOIN("/",0,VLOOKUP(B8,TowerPool,10,0),VLOOKUP(B8,TowerPool,11,0),VLOOKUP(B8,TowerPool,12,0),VLOOKUP(B8,TowerPool,13,0),VLOOKUP(B8,TowerPool,14,0),VLOOKUP(B8,TowerPool,15,0)),"")</f>
        <v>31/31/31/31/31/31</v>
      </c>
      <c r="S8" s="53"/>
      <c r="T8" s="54">
        <f>IF(LEN(B8), VLOOKUP(B8,TowerPool,32,0),"")</f>
        <v>106</v>
      </c>
      <c r="U8" s="48">
        <f>IF(LEN(B8), VLOOKUP(B8,TowerPool,27,0),"")</f>
        <v>198</v>
      </c>
      <c r="V8" s="48">
        <f>IF(LEN(B8), VLOOKUP(B8,TowerPool,28,0),"")</f>
        <v>99</v>
      </c>
      <c r="W8" s="48">
        <f>IF(LEN(B8), VLOOKUP(B8,TowerPool,29,0),"")</f>
        <v>126</v>
      </c>
      <c r="X8" s="48">
        <f>IF(LEN(B8), VLOOKUP(B8,TowerPool,30,0),"")</f>
        <v>182</v>
      </c>
      <c r="Y8" s="48">
        <f>IF(LEN(B8), VLOOKUP(B8,TowerPool,31,0),"")</f>
        <v>126</v>
      </c>
      <c r="Z8" s="33">
        <f>IF(LEN(B8), VLOOKUP(B8,TowerPool,35,0),"")</f>
        <v>1</v>
      </c>
    </row>
    <row r="9">
      <c r="A9" s="41">
        <f>IF(LEN(B9), VLOOKUP(B9,TowerPool,34,0),"")</f>
        <v>3</v>
      </c>
      <c r="B9" s="48" t="str">
        <f t="shared" si="1"/>
        <v>Heatran-6</v>
      </c>
      <c r="C9" s="49" t="str">
        <f>IF(LEN(B9), VLOOKUP(B9,TowerPool,33,0),"")</f>
        <v>FIR/STL</v>
      </c>
      <c r="D9" s="48" t="str">
        <f>IF(LEN(B9), VLOOKUP(B9,TowerPool,4,0),"")</f>
        <v>Choice Scarf</v>
      </c>
      <c r="E9" s="50" t="str">
        <f>IF(LEN(B9), VLOOKUP(B9,TowerPool,5,0),"")</f>
        <v>Magma Storm</v>
      </c>
      <c r="F9" s="51">
        <f>IF(LEN($B9),VLOOKUP(E9,MoveData,8,0)*8/5," ")</f>
        <v>8</v>
      </c>
      <c r="G9" s="50" t="str">
        <f>IF(LEN(B9), VLOOKUP(B9,TowerPool,6,0),"")</f>
        <v>Flash Cannon</v>
      </c>
      <c r="H9" s="51">
        <f>IF(LEN($B9),VLOOKUP(G9,MoveData,8,0)*8/5," ")</f>
        <v>16</v>
      </c>
      <c r="I9" s="50" t="str">
        <f>IF(LEN(B9), VLOOKUP(B9,TowerPool,7,0),"")</f>
        <v>Earth Power</v>
      </c>
      <c r="J9" s="51">
        <f>IF(LEN($B9),VLOOKUP(I9,MoveData,8,0)*8/5," ")</f>
        <v>16</v>
      </c>
      <c r="K9" s="50" t="str">
        <f>IF(LEN(B9), VLOOKUP(B9,TowerPool,8,0),"")</f>
        <v>Dragon Pulse</v>
      </c>
      <c r="L9" s="51">
        <f>IF(LEN($B9),VLOOKUP(K9,MoveData,8,0)*8/5," ")</f>
        <v>16</v>
      </c>
      <c r="M9" s="52"/>
      <c r="N9" s="48" t="str">
        <f>IF(LEN(B9), VLOOKUP(B9,TowerPool,3,0),"")</f>
        <v>Modest</v>
      </c>
      <c r="O9" s="48" t="str">
        <f>IF(LEN(B9), VLOOKUP(B9,TowerPool,9,0),"")</f>
        <v>Flash Fire</v>
      </c>
      <c r="P9" s="53"/>
      <c r="Q9" s="49" t="str">
        <f>IF(LEN(B9), TEXTJOIN("/",0,VLOOKUP(B9,TowerPool,16,0),VLOOKUP(B9,TowerPool,17,0),VLOOKUP(B9,TowerPool,18,0),VLOOKUP(B9,TowerPool,19,0),VLOOKUP(B9,TowerPool,20,0),VLOOKUP(B9,TowerPool,21,0)),"")</f>
        <v>4/0/0/252/0/252</v>
      </c>
      <c r="R9" s="49" t="str">
        <f>IF(LEN(B9), TEXTJOIN("/",0,VLOOKUP(B9,TowerPool,10,0),VLOOKUP(B9,TowerPool,11,0),VLOOKUP(B9,TowerPool,12,0),VLOOKUP(B9,TowerPool,13,0),VLOOKUP(B9,TowerPool,14,0),VLOOKUP(B9,TowerPool,15,0)),"")</f>
        <v>31/0/31/31/31/31</v>
      </c>
      <c r="S9" s="53"/>
      <c r="T9" s="54">
        <f>IF(LEN(B9), VLOOKUP(B9,TowerPool,32,0),"")</f>
        <v>193</v>
      </c>
      <c r="U9" s="48">
        <f>IF(LEN(B9), VLOOKUP(B9,TowerPool,27,0),"")</f>
        <v>167</v>
      </c>
      <c r="V9" s="48">
        <f>IF(LEN(B9), VLOOKUP(B9,TowerPool,28,0),"")</f>
        <v>85</v>
      </c>
      <c r="W9" s="48">
        <f>IF(LEN(B9), VLOOKUP(B9,TowerPool,29,0),"")</f>
        <v>126</v>
      </c>
      <c r="X9" s="48">
        <f>IF(LEN(B9), VLOOKUP(B9,TowerPool,30,0),"")</f>
        <v>200</v>
      </c>
      <c r="Y9" s="48">
        <f>IF(LEN(B9), VLOOKUP(B9,TowerPool,31,0),"")</f>
        <v>126</v>
      </c>
      <c r="Z9" s="33">
        <f>IF(LEN(B9), VLOOKUP(B9,TowerPool,35,0),"")</f>
        <v>1</v>
      </c>
    </row>
    <row r="10">
      <c r="A10" s="41">
        <f>IF(LEN(B10), VLOOKUP(B10,TowerPool,34,0),"")</f>
        <v>0</v>
      </c>
      <c r="B10" s="48" t="str">
        <f t="shared" si="1"/>
        <v>Heatran-7</v>
      </c>
      <c r="C10" s="49" t="str">
        <f>IF(LEN(B10), VLOOKUP(B10,TowerPool,33,0),"")</f>
        <v>FIR/STL</v>
      </c>
      <c r="D10" s="48" t="str">
        <f>IF(LEN(B10), VLOOKUP(B10,TowerPool,4,0),"")</f>
        <v>Focus Sash</v>
      </c>
      <c r="E10" s="50" t="str">
        <f>IF(LEN(B10), VLOOKUP(B10,TowerPool,5,0),"")</f>
        <v>Heat Wave</v>
      </c>
      <c r="F10" s="51">
        <f>IF(LEN($B10),VLOOKUP(E10,MoveData,8,0)*8/5," ")</f>
        <v>16</v>
      </c>
      <c r="G10" s="50" t="str">
        <f>IF(LEN(B10), VLOOKUP(B10,TowerPool,6,0),"")</f>
        <v>Flash Cannon</v>
      </c>
      <c r="H10" s="51">
        <f>IF(LEN($B10),VLOOKUP(G10,MoveData,8,0)*8/5," ")</f>
        <v>16</v>
      </c>
      <c r="I10" s="50" t="str">
        <f>IF(LEN(B10), VLOOKUP(B10,TowerPool,7,0),"")</f>
        <v>Dragon Pulse</v>
      </c>
      <c r="J10" s="51">
        <f>IF(LEN($B10),VLOOKUP(I10,MoveData,8,0)*8/5," ")</f>
        <v>16</v>
      </c>
      <c r="K10" s="50" t="str">
        <f>IF(LEN(B10), VLOOKUP(B10,TowerPool,8,0),"")</f>
        <v>Earth Power</v>
      </c>
      <c r="L10" s="51">
        <f>IF(LEN($B10),VLOOKUP(K10,MoveData,8,0)*8/5," ")</f>
        <v>16</v>
      </c>
      <c r="M10" s="52"/>
      <c r="N10" s="48" t="str">
        <f>IF(LEN(B10), VLOOKUP(B10,TowerPool,3,0),"")</f>
        <v>Modest</v>
      </c>
      <c r="O10" s="48" t="str">
        <f>IF(LEN(B10), VLOOKUP(B10,TowerPool,9,0),"")</f>
        <v>Flash Fire</v>
      </c>
      <c r="P10" s="53"/>
      <c r="Q10" s="49" t="str">
        <f>IF(LEN(B10), TEXTJOIN("/",0,VLOOKUP(B10,TowerPool,16,0),VLOOKUP(B10,TowerPool,17,0),VLOOKUP(B10,TowerPool,18,0),VLOOKUP(B10,TowerPool,19,0),VLOOKUP(B10,TowerPool,20,0),VLOOKUP(B10,TowerPool,21,0)),"")</f>
        <v>4/0/0/252/0/252</v>
      </c>
      <c r="R10" s="49" t="str">
        <f>IF(LEN(B10), TEXTJOIN("/",0,VLOOKUP(B10,TowerPool,10,0),VLOOKUP(B10,TowerPool,11,0),VLOOKUP(B10,TowerPool,12,0),VLOOKUP(B10,TowerPool,13,0),VLOOKUP(B10,TowerPool,14,0),VLOOKUP(B10,TowerPool,15,0)),"")</f>
        <v>31/0/31/31/31/31</v>
      </c>
      <c r="S10" s="53"/>
      <c r="T10" s="54">
        <f>IF(LEN(B10), VLOOKUP(B10,TowerPool,32,0),"")</f>
        <v>129</v>
      </c>
      <c r="U10" s="48">
        <f>IF(LEN(B10), VLOOKUP(B10,TowerPool,27,0),"")</f>
        <v>167</v>
      </c>
      <c r="V10" s="48">
        <f>IF(LEN(B10), VLOOKUP(B10,TowerPool,28,0),"")</f>
        <v>85</v>
      </c>
      <c r="W10" s="48">
        <f>IF(LEN(B10), VLOOKUP(B10,TowerPool,29,0),"")</f>
        <v>126</v>
      </c>
      <c r="X10" s="48">
        <f>IF(LEN(B10), VLOOKUP(B10,TowerPool,30,0),"")</f>
        <v>200</v>
      </c>
      <c r="Y10" s="48">
        <f>IF(LEN(B10), VLOOKUP(B10,TowerPool,31,0),"")</f>
        <v>126</v>
      </c>
      <c r="Z10" s="33">
        <f>IF(LEN(B10), VLOOKUP(B10,TowerPool,35,0),"")</f>
        <v>2</v>
      </c>
    </row>
    <row r="11">
      <c r="A11" s="41">
        <f>IF(LEN(B11), VLOOKUP(B11,TowerPool,34,0),"")</f>
        <v>0</v>
      </c>
      <c r="B11" s="48" t="str">
        <f t="shared" si="1"/>
        <v>Heatran-8</v>
      </c>
      <c r="C11" s="49" t="str">
        <f>IF(LEN(B11), VLOOKUP(B11,TowerPool,33,0),"")</f>
        <v>FIR/STL</v>
      </c>
      <c r="D11" s="48" t="str">
        <f>IF(LEN(B11), VLOOKUP(B11,TowerPool,4,0),"")</f>
        <v>Focus Sash</v>
      </c>
      <c r="E11" s="50" t="str">
        <f>IF(LEN(B11), VLOOKUP(B11,TowerPool,5,0),"")</f>
        <v>Magma Storm</v>
      </c>
      <c r="F11" s="51">
        <f>IF(LEN($B11),VLOOKUP(E11,MoveData,8,0)*8/5," ")</f>
        <v>8</v>
      </c>
      <c r="G11" s="50" t="str">
        <f>IF(LEN(B11), VLOOKUP(B11,TowerPool,6,0),"")</f>
        <v>Flash Cannon</v>
      </c>
      <c r="H11" s="51">
        <f>IF(LEN($B11),VLOOKUP(G11,MoveData,8,0)*8/5," ")</f>
        <v>16</v>
      </c>
      <c r="I11" s="50" t="str">
        <f>IF(LEN(B11), VLOOKUP(B11,TowerPool,7,0),"")</f>
        <v>Earth Power</v>
      </c>
      <c r="J11" s="51">
        <f>IF(LEN($B11),VLOOKUP(I11,MoveData,8,0)*8/5," ")</f>
        <v>16</v>
      </c>
      <c r="K11" s="50" t="str">
        <f>IF(LEN(B11), VLOOKUP(B11,TowerPool,8,0),"")</f>
        <v>Dragon Pulse</v>
      </c>
      <c r="L11" s="51">
        <f>IF(LEN($B11),VLOOKUP(K11,MoveData,8,0)*8/5," ")</f>
        <v>16</v>
      </c>
      <c r="M11" s="52"/>
      <c r="N11" s="48" t="str">
        <f>IF(LEN(B11), VLOOKUP(B11,TowerPool,3,0),"")</f>
        <v>Timid</v>
      </c>
      <c r="O11" s="48" t="str">
        <f>IF(LEN(B11), VLOOKUP(B11,TowerPool,9,0),"")</f>
        <v>Flash Fire</v>
      </c>
      <c r="P11" s="53"/>
      <c r="Q11" s="49" t="str">
        <f>IF(LEN(B11), TEXTJOIN("/",0,VLOOKUP(B11,TowerPool,16,0),VLOOKUP(B11,TowerPool,17,0),VLOOKUP(B11,TowerPool,18,0),VLOOKUP(B11,TowerPool,19,0),VLOOKUP(B11,TowerPool,20,0),VLOOKUP(B11,TowerPool,21,0)),"")</f>
        <v>4/0/0/252/0/252</v>
      </c>
      <c r="R11" s="49" t="str">
        <f>IF(LEN(B11), TEXTJOIN("/",0,VLOOKUP(B11,TowerPool,10,0),VLOOKUP(B11,TowerPool,11,0),VLOOKUP(B11,TowerPool,12,0),VLOOKUP(B11,TowerPool,13,0),VLOOKUP(B11,TowerPool,14,0),VLOOKUP(B11,TowerPool,15,0)),"")</f>
        <v>31/0/31/31/31/31</v>
      </c>
      <c r="S11" s="53"/>
      <c r="T11" s="54">
        <f>IF(LEN(B11), VLOOKUP(B11,TowerPool,32,0),"")</f>
        <v>141</v>
      </c>
      <c r="U11" s="48">
        <f>IF(LEN(B11), VLOOKUP(B11,TowerPool,27,0),"")</f>
        <v>167</v>
      </c>
      <c r="V11" s="48">
        <f>IF(LEN(B11), VLOOKUP(B11,TowerPool,28,0),"")</f>
        <v>85</v>
      </c>
      <c r="W11" s="48">
        <f>IF(LEN(B11), VLOOKUP(B11,TowerPool,29,0),"")</f>
        <v>126</v>
      </c>
      <c r="X11" s="48">
        <f>IF(LEN(B11), VLOOKUP(B11,TowerPool,30,0),"")</f>
        <v>182</v>
      </c>
      <c r="Y11" s="48">
        <f>IF(LEN(B11), VLOOKUP(B11,TowerPool,31,0),"")</f>
        <v>126</v>
      </c>
      <c r="Z11" s="33">
        <f>IF(LEN(B11), VLOOKUP(B11,TowerPool,35,0),"")</f>
        <v>2</v>
      </c>
    </row>
    <row r="12">
      <c r="A12" s="41">
        <f>IF(LEN(B12), VLOOKUP(B12,TowerPool,34,0),"")</f>
        <v>1</v>
      </c>
      <c r="B12" s="48" t="str">
        <f t="shared" si="1"/>
        <v>Heatran-9</v>
      </c>
      <c r="C12" s="49" t="str">
        <f>IF(LEN(B12), VLOOKUP(B12,TowerPool,33,0),"")</f>
        <v>FIR/STL</v>
      </c>
      <c r="D12" s="48" t="str">
        <f>IF(LEN(B12), VLOOKUP(B12,TowerPool,4,0),"")</f>
        <v>Choice Scarf</v>
      </c>
      <c r="E12" s="50" t="str">
        <f>IF(LEN(B12), VLOOKUP(B12,TowerPool,5,0),"")</f>
        <v>Magma Storm</v>
      </c>
      <c r="F12" s="51">
        <f>IF(LEN($B12),VLOOKUP(E12,MoveData,8,0)*8/5," ")</f>
        <v>8</v>
      </c>
      <c r="G12" s="50" t="str">
        <f>IF(LEN(B12), VLOOKUP(B12,TowerPool,6,0),"")</f>
        <v>Flash Cannon</v>
      </c>
      <c r="H12" s="51">
        <f>IF(LEN($B12),VLOOKUP(G12,MoveData,8,0)*8/5," ")</f>
        <v>16</v>
      </c>
      <c r="I12" s="50" t="str">
        <f>IF(LEN(B12), VLOOKUP(B12,TowerPool,7,0),"")</f>
        <v>Earth Power</v>
      </c>
      <c r="J12" s="51">
        <f>IF(LEN($B12),VLOOKUP(I12,MoveData,8,0)*8/5," ")</f>
        <v>16</v>
      </c>
      <c r="K12" s="50" t="str">
        <f>IF(LEN(B12), VLOOKUP(B12,TowerPool,8,0),"")</f>
        <v>Dark Pulse</v>
      </c>
      <c r="L12" s="51">
        <f>IF(LEN($B12),VLOOKUP(K12,MoveData,8,0)*8/5," ")</f>
        <v>24</v>
      </c>
      <c r="M12" s="52"/>
      <c r="N12" s="48" t="str">
        <f>IF(LEN(B12), VLOOKUP(B12,TowerPool,3,0),"")</f>
        <v>Brave</v>
      </c>
      <c r="O12" s="48" t="str">
        <f>IF(LEN(B12), VLOOKUP(B12,TowerPool,9,0),"")</f>
        <v>Flash Fire</v>
      </c>
      <c r="P12" s="53"/>
      <c r="Q12" s="49" t="str">
        <f>IF(LEN(B12), TEXTJOIN("/",0,VLOOKUP(B12,TowerPool,16,0),VLOOKUP(B12,TowerPool,17,0),VLOOKUP(B12,TowerPool,18,0),VLOOKUP(B12,TowerPool,19,0),VLOOKUP(B12,TowerPool,20,0),VLOOKUP(B12,TowerPool,21,0)),"")</f>
        <v>4/0/0/252/0/252</v>
      </c>
      <c r="R12" s="49" t="str">
        <f>IF(LEN(B12), TEXTJOIN("/",0,VLOOKUP(B12,TowerPool,10,0),VLOOKUP(B12,TowerPool,11,0),VLOOKUP(B12,TowerPool,12,0),VLOOKUP(B12,TowerPool,13,0),VLOOKUP(B12,TowerPool,14,0),VLOOKUP(B12,TowerPool,15,0)),"")</f>
        <v>31/31/31/31/31/0</v>
      </c>
      <c r="S12" s="53"/>
      <c r="T12" s="54">
        <f>IF(LEN(B12), VLOOKUP(B12,TowerPool,32,0),"")</f>
        <v>151</v>
      </c>
      <c r="U12" s="48">
        <f>IF(LEN(B12), VLOOKUP(B12,TowerPool,27,0),"")</f>
        <v>167</v>
      </c>
      <c r="V12" s="48">
        <f>IF(LEN(B12), VLOOKUP(B12,TowerPool,28,0),"")</f>
        <v>121</v>
      </c>
      <c r="W12" s="48">
        <f>IF(LEN(B12), VLOOKUP(B12,TowerPool,29,0),"")</f>
        <v>126</v>
      </c>
      <c r="X12" s="48">
        <f>IF(LEN(B12), VLOOKUP(B12,TowerPool,30,0),"")</f>
        <v>182</v>
      </c>
      <c r="Y12" s="48">
        <f>IF(LEN(B12), VLOOKUP(B12,TowerPool,31,0),"")</f>
        <v>126</v>
      </c>
      <c r="Z12" s="33">
        <f>IF(LEN(B12), VLOOKUP(B12,TowerPool,35,0),"")</f>
        <v>2</v>
      </c>
    </row>
    <row r="13">
      <c r="A13" s="41">
        <f>IF(LEN(B13), VLOOKUP(B13,TowerPool,34,0),"")</f>
        <v>0</v>
      </c>
      <c r="B13" s="48" t="str">
        <f t="shared" si="1"/>
        <v>Heatran-10</v>
      </c>
      <c r="C13" s="49" t="str">
        <f>IF(LEN(B13), VLOOKUP(B13,TowerPool,33,0),"")</f>
        <v>FIR/STL</v>
      </c>
      <c r="D13" s="48" t="str">
        <f>IF(LEN(B13), VLOOKUP(B13,TowerPool,4,0),"")</f>
        <v>Focus Sash</v>
      </c>
      <c r="E13" s="50" t="str">
        <f>IF(LEN(B13), VLOOKUP(B13,TowerPool,5,0),"")</f>
        <v>Magma Storm</v>
      </c>
      <c r="F13" s="51">
        <f>IF(LEN($B13),VLOOKUP(E13,MoveData,8,0)*8/5," ")</f>
        <v>8</v>
      </c>
      <c r="G13" s="50" t="str">
        <f>IF(LEN(B13), VLOOKUP(B13,TowerPool,6,0),"")</f>
        <v>Flash Cannon</v>
      </c>
      <c r="H13" s="51">
        <f>IF(LEN($B13),VLOOKUP(G13,MoveData,8,0)*8/5," ")</f>
        <v>16</v>
      </c>
      <c r="I13" s="50" t="str">
        <f>IF(LEN(B13), VLOOKUP(B13,TowerPool,7,0),"")</f>
        <v>Earth Power</v>
      </c>
      <c r="J13" s="51">
        <f>IF(LEN($B13),VLOOKUP(I13,MoveData,8,0)*8/5," ")</f>
        <v>16</v>
      </c>
      <c r="K13" s="50" t="str">
        <f>IF(LEN(B13), VLOOKUP(B13,TowerPool,8,0),"")</f>
        <v>Dragon Pulse</v>
      </c>
      <c r="L13" s="51">
        <f>IF(LEN($B13),VLOOKUP(K13,MoveData,8,0)*8/5," ")</f>
        <v>16</v>
      </c>
      <c r="M13" s="52"/>
      <c r="N13" s="48" t="str">
        <f>IF(LEN(B13), VLOOKUP(B13,TowerPool,3,0),"")</f>
        <v>Modest</v>
      </c>
      <c r="O13" s="48" t="str">
        <f>IF(LEN(B13), VLOOKUP(B13,TowerPool,9,0),"")</f>
        <v>Flash Fire</v>
      </c>
      <c r="P13" s="53"/>
      <c r="Q13" s="49" t="str">
        <f>IF(LEN(B13), TEXTJOIN("/",0,VLOOKUP(B13,TowerPool,16,0),VLOOKUP(B13,TowerPool,17,0),VLOOKUP(B13,TowerPool,18,0),VLOOKUP(B13,TowerPool,19,0),VLOOKUP(B13,TowerPool,20,0),VLOOKUP(B13,TowerPool,21,0)),"")</f>
        <v>4/0/0/252/0/252</v>
      </c>
      <c r="R13" s="49" t="str">
        <f>IF(LEN(B13), TEXTJOIN("/",0,VLOOKUP(B13,TowerPool,10,0),VLOOKUP(B13,TowerPool,11,0),VLOOKUP(B13,TowerPool,12,0),VLOOKUP(B13,TowerPool,13,0),VLOOKUP(B13,TowerPool,14,0),VLOOKUP(B13,TowerPool,15,0)),"")</f>
        <v>31/0/31/31/31/31</v>
      </c>
      <c r="S13" s="53"/>
      <c r="T13" s="54">
        <f>IF(LEN(B13), VLOOKUP(B13,TowerPool,32,0),"")</f>
        <v>129</v>
      </c>
      <c r="U13" s="48">
        <f>IF(LEN(B13), VLOOKUP(B13,TowerPool,27,0),"")</f>
        <v>167</v>
      </c>
      <c r="V13" s="48">
        <f>IF(LEN(B13), VLOOKUP(B13,TowerPool,28,0),"")</f>
        <v>85</v>
      </c>
      <c r="W13" s="48">
        <f>IF(LEN(B13), VLOOKUP(B13,TowerPool,29,0),"")</f>
        <v>126</v>
      </c>
      <c r="X13" s="48">
        <f>IF(LEN(B13), VLOOKUP(B13,TowerPool,30,0),"")</f>
        <v>200</v>
      </c>
      <c r="Y13" s="48">
        <f>IF(LEN(B13), VLOOKUP(B13,TowerPool,31,0),"")</f>
        <v>126</v>
      </c>
      <c r="Z13" s="33">
        <f>IF(LEN(B13), VLOOKUP(B13,TowerPool,35,0),"")</f>
        <v>2</v>
      </c>
    </row>
    <row r="14">
      <c r="A14" s="41">
        <f>IF(LEN(B14), VLOOKUP(B14,TowerPool,34,0),"")</f>
        <v>0</v>
      </c>
      <c r="B14" s="48" t="str">
        <f t="shared" si="1"/>
        <v>Heatran-11</v>
      </c>
      <c r="C14" s="49" t="str">
        <f>IF(LEN(B14), VLOOKUP(B14,TowerPool,33,0),"")</f>
        <v>FIR/STL</v>
      </c>
      <c r="D14" s="48" t="str">
        <f>IF(LEN(B14), VLOOKUP(B14,TowerPool,4,0),"")</f>
        <v>Focus Sash</v>
      </c>
      <c r="E14" s="50" t="str">
        <f>IF(LEN(B14), VLOOKUP(B14,TowerPool,5,0),"")</f>
        <v>Magma Storm</v>
      </c>
      <c r="F14" s="51">
        <f>IF(LEN($B14),VLOOKUP(E14,MoveData,8,0)*8/5," ")</f>
        <v>8</v>
      </c>
      <c r="G14" s="50" t="str">
        <f>IF(LEN(B14), VLOOKUP(B14,TowerPool,6,0),"")</f>
        <v>Flash Cannon</v>
      </c>
      <c r="H14" s="51">
        <f>IF(LEN($B14),VLOOKUP(G14,MoveData,8,0)*8/5," ")</f>
        <v>16</v>
      </c>
      <c r="I14" s="50" t="str">
        <f>IF(LEN(B14), VLOOKUP(B14,TowerPool,7,0),"")</f>
        <v>Earth Power</v>
      </c>
      <c r="J14" s="51">
        <f>IF(LEN($B14),VLOOKUP(I14,MoveData,8,0)*8/5," ")</f>
        <v>16</v>
      </c>
      <c r="K14" s="50" t="str">
        <f>IF(LEN(B14), VLOOKUP(B14,TowerPool,8,0),"")</f>
        <v>Dragon Pulse</v>
      </c>
      <c r="L14" s="51">
        <f>IF(LEN($B14),VLOOKUP(K14,MoveData,8,0)*8/5," ")</f>
        <v>16</v>
      </c>
      <c r="M14" s="52"/>
      <c r="N14" s="48" t="str">
        <f>IF(LEN(B14), VLOOKUP(B14,TowerPool,3,0),"")</f>
        <v>Modest</v>
      </c>
      <c r="O14" s="48" t="str">
        <f>IF(LEN(B14), VLOOKUP(B14,TowerPool,9,0),"")</f>
        <v>Flash Fire</v>
      </c>
      <c r="P14" s="53"/>
      <c r="Q14" s="49" t="str">
        <f>IF(LEN(B14), TEXTJOIN("/",0,VLOOKUP(B14,TowerPool,16,0),VLOOKUP(B14,TowerPool,17,0),VLOOKUP(B14,TowerPool,18,0),VLOOKUP(B14,TowerPool,19,0),VLOOKUP(B14,TowerPool,20,0),VLOOKUP(B14,TowerPool,21,0)),"")</f>
        <v>0/4/0/252/0/252</v>
      </c>
      <c r="R14" s="49" t="str">
        <f>IF(LEN(B14), TEXTJOIN("/",0,VLOOKUP(B14,TowerPool,10,0),VLOOKUP(B14,TowerPool,11,0),VLOOKUP(B14,TowerPool,12,0),VLOOKUP(B14,TowerPool,13,0),VLOOKUP(B14,TowerPool,14,0),VLOOKUP(B14,TowerPool,15,0)),"")</f>
        <v>31/0/31/31/31/31</v>
      </c>
      <c r="S14" s="53"/>
      <c r="T14" s="54">
        <f>IF(LEN(B14), VLOOKUP(B14,TowerPool,32,0),"")</f>
        <v>129</v>
      </c>
      <c r="U14" s="48">
        <f>IF(LEN(B14), VLOOKUP(B14,TowerPool,27,0),"")</f>
        <v>166</v>
      </c>
      <c r="V14" s="48">
        <f>IF(LEN(B14), VLOOKUP(B14,TowerPool,28,0),"")</f>
        <v>85</v>
      </c>
      <c r="W14" s="48">
        <f>IF(LEN(B14), VLOOKUP(B14,TowerPool,29,0),"")</f>
        <v>126</v>
      </c>
      <c r="X14" s="48">
        <f>IF(LEN(B14), VLOOKUP(B14,TowerPool,30,0),"")</f>
        <v>200</v>
      </c>
      <c r="Y14" s="48">
        <f>IF(LEN(B14), VLOOKUP(B14,TowerPool,31,0),"")</f>
        <v>126</v>
      </c>
      <c r="Z14" s="33">
        <f>IF(LEN(B14), VLOOKUP(B14,TowerPool,35,0),"")</f>
        <v>2</v>
      </c>
    </row>
    <row r="15">
      <c r="A15" s="41">
        <f>IF(LEN(B15), VLOOKUP(B15,TowerPool,34,0),"")</f>
        <v>0</v>
      </c>
      <c r="B15" s="48" t="str">
        <f t="shared" si="1"/>
        <v>Heatran-12</v>
      </c>
      <c r="C15" s="49" t="str">
        <f>IF(LEN(B15), VLOOKUP(B15,TowerPool,33,0),"")</f>
        <v>FIR/STL</v>
      </c>
      <c r="D15" s="48" t="str">
        <f>IF(LEN(B15), VLOOKUP(B15,TowerPool,4,0),"")</f>
        <v>Leftovers</v>
      </c>
      <c r="E15" s="50" t="str">
        <f>IF(LEN(B15), VLOOKUP(B15,TowerPool,5,0),"")</f>
        <v>Heat Wave</v>
      </c>
      <c r="F15" s="51">
        <f>IF(LEN($B15),VLOOKUP(E15,MoveData,8,0)*8/5," ")</f>
        <v>16</v>
      </c>
      <c r="G15" s="50" t="str">
        <f>IF(LEN(B15), VLOOKUP(B15,TowerPool,6,0),"")</f>
        <v>Protect</v>
      </c>
      <c r="H15" s="51">
        <f>IF(LEN($B15),VLOOKUP(G15,MoveData,8,0)*8/5," ")</f>
        <v>16</v>
      </c>
      <c r="I15" s="50" t="str">
        <f>IF(LEN(B15), VLOOKUP(B15,TowerPool,7,0),"")</f>
        <v>Flash Cannon</v>
      </c>
      <c r="J15" s="51">
        <f>IF(LEN($B15),VLOOKUP(I15,MoveData,8,0)*8/5," ")</f>
        <v>16</v>
      </c>
      <c r="K15" s="50" t="str">
        <f>IF(LEN(B15), VLOOKUP(B15,TowerPool,8,0),"")</f>
        <v>Magma Storm</v>
      </c>
      <c r="L15" s="51">
        <f>IF(LEN($B15),VLOOKUP(K15,MoveData,8,0)*8/5," ")</f>
        <v>8</v>
      </c>
      <c r="M15" s="52"/>
      <c r="N15" s="48" t="str">
        <f>IF(LEN(B15), VLOOKUP(B15,TowerPool,3,0),"")</f>
        <v>Timid</v>
      </c>
      <c r="O15" s="48" t="str">
        <f>IF(LEN(B15), VLOOKUP(B15,TowerPool,9,0),"")</f>
        <v>Flash Fire</v>
      </c>
      <c r="P15" s="53"/>
      <c r="Q15" s="49" t="str">
        <f>IF(LEN(B15), TEXTJOIN("/",0,VLOOKUP(B15,TowerPool,16,0),VLOOKUP(B15,TowerPool,17,0),VLOOKUP(B15,TowerPool,18,0),VLOOKUP(B15,TowerPool,19,0),VLOOKUP(B15,TowerPool,20,0),VLOOKUP(B15,TowerPool,21,0)),"")</f>
        <v>252/0/0/4/0/252</v>
      </c>
      <c r="R15" s="49" t="str">
        <f>IF(LEN(B15), TEXTJOIN("/",0,VLOOKUP(B15,TowerPool,10,0),VLOOKUP(B15,TowerPool,11,0),VLOOKUP(B15,TowerPool,12,0),VLOOKUP(B15,TowerPool,13,0),VLOOKUP(B15,TowerPool,14,0),VLOOKUP(B15,TowerPool,15,0)),"")</f>
        <v>31/0/31/31/31/31</v>
      </c>
      <c r="S15" s="53"/>
      <c r="T15" s="54">
        <f>IF(LEN(B15), VLOOKUP(B15,TowerPool,32,0),"")</f>
        <v>141</v>
      </c>
      <c r="U15" s="48">
        <f>IF(LEN(B15), VLOOKUP(B15,TowerPool,27,0),"")</f>
        <v>198</v>
      </c>
      <c r="V15" s="48">
        <f>IF(LEN(B15), VLOOKUP(B15,TowerPool,28,0),"")</f>
        <v>85</v>
      </c>
      <c r="W15" s="48">
        <f>IF(LEN(B15), VLOOKUP(B15,TowerPool,29,0),"")</f>
        <v>126</v>
      </c>
      <c r="X15" s="48">
        <f>IF(LEN(B15), VLOOKUP(B15,TowerPool,30,0),"")</f>
        <v>151</v>
      </c>
      <c r="Y15" s="48">
        <f>IF(LEN(B15), VLOOKUP(B15,TowerPool,31,0),"")</f>
        <v>126</v>
      </c>
      <c r="Z15" s="33">
        <f>IF(LEN(B15), VLOOKUP(B15,TowerPool,35,0),"")</f>
        <v>2</v>
      </c>
    </row>
    <row r="16">
      <c r="A16" s="41">
        <f>IF(LEN(B16), VLOOKUP(B16,TowerPool,34,0),"")</f>
        <v>0</v>
      </c>
      <c r="B16" s="48" t="str">
        <f t="shared" si="1"/>
        <v>Heatran-13</v>
      </c>
      <c r="C16" s="49" t="str">
        <f>IF(LEN(B16), VLOOKUP(B16,TowerPool,33,0),"")</f>
        <v>FIR/STL</v>
      </c>
      <c r="D16" s="48" t="str">
        <f>IF(LEN(B16), VLOOKUP(B16,TowerPool,4,0),"")</f>
        <v>Focus Sash</v>
      </c>
      <c r="E16" s="50" t="str">
        <f>IF(LEN(B16), VLOOKUP(B16,TowerPool,5,0),"")</f>
        <v>Heat Wave</v>
      </c>
      <c r="F16" s="51">
        <f>IF(LEN($B16),VLOOKUP(E16,MoveData,8,0)*8/5," ")</f>
        <v>16</v>
      </c>
      <c r="G16" s="50" t="str">
        <f>IF(LEN(B16), VLOOKUP(B16,TowerPool,6,0),"")</f>
        <v>Flash Cannon</v>
      </c>
      <c r="H16" s="51">
        <f>IF(LEN($B16),VLOOKUP(G16,MoveData,8,0)*8/5," ")</f>
        <v>16</v>
      </c>
      <c r="I16" s="50" t="str">
        <f>IF(LEN(B16), VLOOKUP(B16,TowerPool,7,0),"")</f>
        <v>Dragon Pulse</v>
      </c>
      <c r="J16" s="51">
        <f>IF(LEN($B16),VLOOKUP(I16,MoveData,8,0)*8/5," ")</f>
        <v>16</v>
      </c>
      <c r="K16" s="50" t="str">
        <f>IF(LEN(B16), VLOOKUP(B16,TowerPool,8,0),"")</f>
        <v>Earth Power</v>
      </c>
      <c r="L16" s="51">
        <f>IF(LEN($B16),VLOOKUP(K16,MoveData,8,0)*8/5," ")</f>
        <v>16</v>
      </c>
      <c r="M16" s="52"/>
      <c r="N16" s="48" t="str">
        <f>IF(LEN(B16), VLOOKUP(B16,TowerPool,3,0),"")</f>
        <v>Modest</v>
      </c>
      <c r="O16" s="48" t="str">
        <f>IF(LEN(B16), VLOOKUP(B16,TowerPool,9,0),"")</f>
        <v>Flash Fire</v>
      </c>
      <c r="P16" s="53"/>
      <c r="Q16" s="49" t="str">
        <f>IF(LEN(B16), TEXTJOIN("/",0,VLOOKUP(B16,TowerPool,16,0),VLOOKUP(B16,TowerPool,17,0),VLOOKUP(B16,TowerPool,18,0),VLOOKUP(B16,TowerPool,19,0),VLOOKUP(B16,TowerPool,20,0),VLOOKUP(B16,TowerPool,21,0)),"")</f>
        <v>4/0/0/252/0/252</v>
      </c>
      <c r="R16" s="49" t="str">
        <f>IF(LEN(B16), TEXTJOIN("/",0,VLOOKUP(B16,TowerPool,10,0),VLOOKUP(B16,TowerPool,11,0),VLOOKUP(B16,TowerPool,12,0),VLOOKUP(B16,TowerPool,13,0),VLOOKUP(B16,TowerPool,14,0),VLOOKUP(B16,TowerPool,15,0)),"")</f>
        <v>31/0/31/31/31/31</v>
      </c>
      <c r="S16" s="53"/>
      <c r="T16" s="54">
        <f>IF(LEN(B16), VLOOKUP(B16,TowerPool,32,0),"")</f>
        <v>129</v>
      </c>
      <c r="U16" s="48">
        <f>IF(LEN(B16), VLOOKUP(B16,TowerPool,27,0),"")</f>
        <v>167</v>
      </c>
      <c r="V16" s="48">
        <f>IF(LEN(B16), VLOOKUP(B16,TowerPool,28,0),"")</f>
        <v>85</v>
      </c>
      <c r="W16" s="48">
        <f>IF(LEN(B16), VLOOKUP(B16,TowerPool,29,0),"")</f>
        <v>126</v>
      </c>
      <c r="X16" s="48">
        <f>IF(LEN(B16), VLOOKUP(B16,TowerPool,30,0),"")</f>
        <v>200</v>
      </c>
      <c r="Y16" s="48">
        <f>IF(LEN(B16), VLOOKUP(B16,TowerPool,31,0),"")</f>
        <v>126</v>
      </c>
      <c r="Z16" s="33">
        <f>IF(LEN(B16), VLOOKUP(B16,TowerPool,35,0),"")</f>
        <v>2</v>
      </c>
    </row>
    <row r="17">
      <c r="A17" s="41" t="str">
        <f>IF(LEN(B17), VLOOKUP(B17,TowerPool,34,0),"")</f>
        <v/>
      </c>
      <c r="B17" s="48" t="str">
        <f t="shared" si="1"/>
        <v/>
      </c>
      <c r="C17" s="49" t="str">
        <f>IF(LEN(B17), VLOOKUP(B17,TowerPool,33,0),"")</f>
        <v/>
      </c>
      <c r="D17" s="48" t="str">
        <f>IF(LEN(B17), VLOOKUP(B17,TowerPool,4,0),"")</f>
        <v/>
      </c>
      <c r="E17" s="50" t="str">
        <f>IF(LEN(B17), VLOOKUP(B17,TowerPool,5,0),"")</f>
        <v/>
      </c>
      <c r="F17" s="51" t="str">
        <f>IF(LEN($B17),VLOOKUP(E17,MoveData,8,0)*8/5," ")</f>
        <v> </v>
      </c>
      <c r="G17" s="50" t="str">
        <f>IF(LEN(B17), VLOOKUP(B17,TowerPool,6,0),"")</f>
        <v/>
      </c>
      <c r="H17" s="51" t="str">
        <f>IF(LEN($B17),VLOOKUP(G17,MoveData,8,0)*8/5," ")</f>
        <v> </v>
      </c>
      <c r="I17" s="50" t="str">
        <f>IF(LEN(B17), VLOOKUP(B17,TowerPool,7,0),"")</f>
        <v/>
      </c>
      <c r="J17" s="51" t="str">
        <f>IF(LEN($B17),VLOOKUP(I17,MoveData,8,0)*8/5," ")</f>
        <v> </v>
      </c>
      <c r="K17" s="50" t="str">
        <f>IF(LEN(B17), VLOOKUP(B17,TowerPool,8,0),"")</f>
        <v/>
      </c>
      <c r="L17" s="51" t="str">
        <f>IF(LEN($B17),VLOOKUP(K17,MoveData,8,0)*8/5," ")</f>
        <v> </v>
      </c>
      <c r="M17" s="52"/>
      <c r="N17" s="48" t="str">
        <f>IF(LEN(B17), VLOOKUP(B17,TowerPool,3,0),"")</f>
        <v/>
      </c>
      <c r="O17" s="48" t="str">
        <f>IF(LEN(B17), VLOOKUP(B17,TowerPool,9,0),"")</f>
        <v/>
      </c>
      <c r="P17" s="53"/>
      <c r="Q17" s="49" t="str">
        <f>IF(LEN(B17), TEXTJOIN("/",0,VLOOKUP(B17,TowerPool,16,0),VLOOKUP(B17,TowerPool,17,0),VLOOKUP(B17,TowerPool,18,0),VLOOKUP(B17,TowerPool,19,0),VLOOKUP(B17,TowerPool,20,0),VLOOKUP(B17,TowerPool,21,0)),"")</f>
        <v/>
      </c>
      <c r="R17" s="49" t="str">
        <f>IF(LEN(B17), TEXTJOIN("/",0,VLOOKUP(B17,TowerPool,10,0),VLOOKUP(B17,TowerPool,11,0),VLOOKUP(B17,TowerPool,12,0),VLOOKUP(B17,TowerPool,13,0),VLOOKUP(B17,TowerPool,14,0),VLOOKUP(B17,TowerPool,15,0)),"")</f>
        <v/>
      </c>
      <c r="S17" s="53"/>
      <c r="T17" s="54" t="str">
        <f>IF(LEN(B17), VLOOKUP(B17,TowerPool,32,0),"")</f>
        <v/>
      </c>
      <c r="U17" s="48" t="str">
        <f>IF(LEN(B17), VLOOKUP(B17,TowerPool,27,0),"")</f>
        <v/>
      </c>
      <c r="V17" s="48" t="str">
        <f>IF(LEN(B17), VLOOKUP(B17,TowerPool,28,0),"")</f>
        <v/>
      </c>
      <c r="W17" s="48" t="str">
        <f>IF(LEN(B17), VLOOKUP(B17,TowerPool,29,0),"")</f>
        <v/>
      </c>
      <c r="X17" s="48" t="str">
        <f>IF(LEN(B17), VLOOKUP(B17,TowerPool,30,0),"")</f>
        <v/>
      </c>
      <c r="Y17" s="48" t="str">
        <f>IF(LEN(B17), VLOOKUP(B17,TowerPool,31,0),"")</f>
        <v/>
      </c>
      <c r="Z17" s="33" t="str">
        <f>IF(LEN(B17), VLOOKUP(B17,TowerPool,35,0),"")</f>
        <v/>
      </c>
    </row>
    <row r="18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31"/>
      <c r="B19" s="55" t="s">
        <v>24</v>
      </c>
      <c r="Z19" s="31"/>
    </row>
    <row r="20">
      <c r="A20" s="41">
        <f>'Tower Trainers'!Q2005</f>
        <v>13</v>
      </c>
      <c r="B20" s="31"/>
      <c r="C20" s="56"/>
      <c r="D20" s="57" t="s">
        <v>25</v>
      </c>
      <c r="E20" s="58"/>
      <c r="F20" s="59" t="s">
        <v>26</v>
      </c>
      <c r="I20" s="60" t="s">
        <v>27</v>
      </c>
      <c r="J20" s="61" t="s">
        <v>28</v>
      </c>
      <c r="K20" s="58"/>
      <c r="L20" s="31"/>
      <c r="M20" s="31"/>
      <c r="N20" s="62" t="s">
        <v>29</v>
      </c>
      <c r="P20" s="57">
        <f>IF($A$20&gt;0,FIND("/",$A$21),"")</f>
        <v>8</v>
      </c>
      <c r="Q20" s="63" t="str">
        <f>IF(LEN(P20),LEFT($A$21,P20-1),"")</f>
        <v>Sherman</v>
      </c>
      <c r="S20" s="57">
        <f>IF($A$20&gt;1,FIND("/",$A$21,P20+1),"")</f>
        <v>16</v>
      </c>
      <c r="T20" s="63" t="str">
        <f t="shared" ref="T20:T24" si="2">IF(LEN(S20),MID($A$21,P20+1,S20-P20-1),"")</f>
        <v>Sherman</v>
      </c>
      <c r="W20" s="64"/>
      <c r="X20" s="31"/>
      <c r="Y20" s="31"/>
      <c r="Z20" s="31"/>
    </row>
    <row r="21">
      <c r="A21" s="33" t="str">
        <f>'Tower Trainers'!Q2006</f>
        <v>Sherman/Sherman/Cain/Cain/Tyrell/Jerrell/Jerrell/Kellen &amp; Alton/Kristy &amp; Ryne/Demetri &amp; Titus/Lyle &amp; Jaylin/Jaylin &amp; Demetri/Edmund &amp; Edmund/</v>
      </c>
      <c r="B21" s="31"/>
      <c r="C21" s="59" t="s">
        <v>30</v>
      </c>
      <c r="E21" s="58"/>
      <c r="F21" s="59" t="s">
        <v>31</v>
      </c>
      <c r="I21" s="60" t="s">
        <v>32</v>
      </c>
      <c r="J21" s="56"/>
      <c r="K21" s="56"/>
      <c r="L21" s="31"/>
      <c r="M21" s="41">
        <f>IF($A$20&gt;2,FIND("/",$A$21,S20+1),"")</f>
        <v>21</v>
      </c>
      <c r="N21" s="65" t="str">
        <f t="shared" ref="N21:N24" si="3">IF(LEN(M21),MID($A$21,S20+1,M21-S20-1),"")</f>
        <v>Cain</v>
      </c>
      <c r="P21" s="57">
        <f>IF($A$20&gt;3,FIND("/",$A$21,M21+1),"")</f>
        <v>26</v>
      </c>
      <c r="Q21" s="63" t="str">
        <f t="shared" ref="Q21:Q24" si="4">IF(LEN(P21),MID($A$21,M21+1,P21-M21-1),"")</f>
        <v>Cain</v>
      </c>
      <c r="S21" s="57">
        <f>IF($A$20&gt;4,FIND("/",$A$21,P21+1),"")</f>
        <v>33</v>
      </c>
      <c r="T21" s="63" t="str">
        <f t="shared" si="2"/>
        <v>Tyrell</v>
      </c>
      <c r="W21" s="64"/>
      <c r="X21" s="31"/>
      <c r="Y21" s="31"/>
      <c r="Z21" s="31"/>
    </row>
    <row r="22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41">
        <f>IF($A$20&gt;5,FIND("/",$A$21,S21+1),"")</f>
        <v>41</v>
      </c>
      <c r="N22" s="65" t="str">
        <f t="shared" si="3"/>
        <v>Jerrell</v>
      </c>
      <c r="P22" s="57">
        <f>IF($A$20&gt;6,FIND("/",$A$21,M22+1),"")</f>
        <v>49</v>
      </c>
      <c r="Q22" s="63" t="str">
        <f t="shared" si="4"/>
        <v>Jerrell</v>
      </c>
      <c r="S22" s="57">
        <f>IF($A$20&gt;7,FIND("/",$A$21,P22+1),"")</f>
        <v>64</v>
      </c>
      <c r="T22" s="63" t="str">
        <f t="shared" si="2"/>
        <v>Kellen &amp; Alton</v>
      </c>
      <c r="W22" s="64"/>
      <c r="X22" s="31"/>
      <c r="Y22" s="31"/>
      <c r="Z22" s="31"/>
    </row>
    <row r="23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41">
        <f>IF($A$20&gt;8,FIND("/",$A$21,S22+1),"")</f>
        <v>78</v>
      </c>
      <c r="N23" s="65" t="str">
        <f t="shared" si="3"/>
        <v>Kristy &amp; Ryne</v>
      </c>
      <c r="P23" s="57">
        <f>IF($A$20&gt;9,FIND("/",$A$21,M23+1),"")</f>
        <v>94</v>
      </c>
      <c r="Q23" s="63" t="str">
        <f t="shared" si="4"/>
        <v>Demetri &amp; Titus</v>
      </c>
      <c r="S23" s="57">
        <f>IF($A$20&gt;10,FIND("/",$A$21,P23+1),"")</f>
        <v>108</v>
      </c>
      <c r="T23" s="63" t="str">
        <f t="shared" si="2"/>
        <v>Lyle &amp; Jaylin</v>
      </c>
      <c r="W23" s="64"/>
      <c r="X23" s="31"/>
      <c r="Y23" s="31"/>
      <c r="Z23" s="31"/>
    </row>
    <row r="24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41">
        <f>IF($A$20&gt;11,FIND("/",$A$21,S23+1),"")</f>
        <v>125</v>
      </c>
      <c r="N24" s="65" t="str">
        <f t="shared" si="3"/>
        <v>Jaylin &amp; Demetri</v>
      </c>
      <c r="P24" s="57">
        <f>IF($A$20&gt;12,FIND("/",$A$21,M24+1),"")</f>
        <v>141</v>
      </c>
      <c r="Q24" s="63" t="str">
        <f t="shared" si="4"/>
        <v>Edmund &amp; Edmund</v>
      </c>
      <c r="S24" s="57" t="str">
        <f>IF($A$20&gt;13,FIND("/",$A$21,P24+1),"")</f>
        <v/>
      </c>
      <c r="T24" s="63" t="str">
        <f t="shared" si="2"/>
        <v/>
      </c>
      <c r="W24" s="64"/>
      <c r="X24" s="31"/>
      <c r="Y24" s="31"/>
      <c r="Z24" s="31"/>
    </row>
    <row r="25">
      <c r="A25" s="41" t="str">
        <f>IF(LEN(B25), VLOOKUP(B25,TowerPool,34,0),"")</f>
        <v/>
      </c>
      <c r="B25" s="53" t="str">
        <f>IFERROR(VLOOKUP(E20,TowerPool,1,0),"")</f>
        <v/>
      </c>
      <c r="C25" s="49" t="str">
        <f>IF(LEN(B25), VLOOKUP(B25,TowerPool,33,0),"")</f>
        <v/>
      </c>
      <c r="D25" s="48" t="str">
        <f>IF(LEN(B25), VLOOKUP(B25,TowerPool,4,0),"")</f>
        <v/>
      </c>
      <c r="E25" s="50" t="str">
        <f>IF(LEN(B25), VLOOKUP(B25,TowerPool,5,0),"")</f>
        <v/>
      </c>
      <c r="F25" s="51" t="str">
        <f>IF(LEN($B25),VLOOKUP(E25,MoveData,8,0)*8/5," ")</f>
        <v> </v>
      </c>
      <c r="G25" s="50" t="str">
        <f>IF(LEN(B25), VLOOKUP(B25,TowerPool,6,0),"")</f>
        <v/>
      </c>
      <c r="H25" s="51" t="str">
        <f>IF(LEN($B25),VLOOKUP(G25,MoveData,8,0)*8/5," ")</f>
        <v> </v>
      </c>
      <c r="I25" s="50" t="str">
        <f>IF(LEN(B25), VLOOKUP(B25,TowerPool,7,0),"")</f>
        <v/>
      </c>
      <c r="J25" s="51" t="str">
        <f>IF(LEN($B25),VLOOKUP(I25,MoveData,8,0)*8/5," ")</f>
        <v> </v>
      </c>
      <c r="K25" s="50" t="str">
        <f>IF(LEN(B25), VLOOKUP(B25,TowerPool,8,0),"")</f>
        <v/>
      </c>
      <c r="L25" s="51" t="str">
        <f>IF(LEN($B25),VLOOKUP(K25,MoveData,8,0)*8/5," ")</f>
        <v> </v>
      </c>
      <c r="M25" s="52"/>
      <c r="N25" s="48" t="str">
        <f>IF(LEN(B25), VLOOKUP(B25,TowerPool,3,0),"")</f>
        <v/>
      </c>
      <c r="O25" s="48" t="str">
        <f>IF(LEN(B25), VLOOKUP(B25,TowerPool,9,0),"")</f>
        <v/>
      </c>
      <c r="P25" s="53"/>
      <c r="Q25" s="49" t="str">
        <f>IF(LEN(B25), TEXTJOIN("/",0,VLOOKUP(B25,TowerPool,16,0),VLOOKUP(B25,TowerPool,17,0),VLOOKUP(B25,TowerPool,18,0),VLOOKUP(B25,TowerPool,19,0),VLOOKUP(B25,TowerPool,20,0),VLOOKUP(B25,TowerPool,21,0)),"")</f>
        <v/>
      </c>
      <c r="R25" s="49" t="str">
        <f>IF(LEN(B25), TEXTJOIN("/",0,VLOOKUP(B25,TowerPool,10,0),VLOOKUP(B25,TowerPool,11,0),VLOOKUP(B25,TowerPool,12,0),VLOOKUP(B25,TowerPool,13,0),VLOOKUP(B25,TowerPool,14,0),VLOOKUP(B25,TowerPool,15,0)),"")</f>
        <v/>
      </c>
      <c r="S25" s="53"/>
      <c r="T25" s="54" t="str">
        <f>IF(LEN(B25), VLOOKUP(B25,TowerPool,32,0),"")</f>
        <v/>
      </c>
      <c r="U25" s="48" t="str">
        <f>IF(LEN(B25), VLOOKUP(B25,TowerPool,27,0),"")</f>
        <v/>
      </c>
      <c r="V25" s="48" t="str">
        <f>IF(LEN(B25), VLOOKUP(B25,TowerPool,28,0),"")</f>
        <v/>
      </c>
      <c r="W25" s="48" t="str">
        <f>IF(LEN(B25), VLOOKUP(B25,TowerPool,29,0),"")</f>
        <v/>
      </c>
      <c r="X25" s="48" t="str">
        <f>IF(LEN(B25), VLOOKUP(B25,TowerPool,30,0),"")</f>
        <v/>
      </c>
      <c r="Y25" s="48" t="str">
        <f>IF(LEN(B25), VLOOKUP(B25,TowerPool,31,0),"")</f>
        <v/>
      </c>
      <c r="Z25" s="31"/>
    </row>
    <row r="26">
      <c r="A26" s="41">
        <f>IF(LEN(B26), VLOOKUP(B26,TowerPool,34,0),"")</f>
        <v>3</v>
      </c>
      <c r="B26" s="48" t="str">
        <f>IFERROR(VLOOKUP(I20,TowerPool,1,0),"")</f>
        <v>Scizor-6</v>
      </c>
      <c r="C26" s="49" t="str">
        <f>IF(LEN(B26), VLOOKUP(B26,TowerPool,33,0),"")</f>
        <v>BUG/STL</v>
      </c>
      <c r="D26" s="48" t="str">
        <f>IF(LEN(B26), VLOOKUP(B26,TowerPool,4,0),"")</f>
        <v>Sitrus Berry</v>
      </c>
      <c r="E26" s="50" t="str">
        <f>IF(LEN(B26), VLOOKUP(B26,TowerPool,5,0),"")</f>
        <v>Bullet Punch</v>
      </c>
      <c r="F26" s="51">
        <f>IF(LEN($B26),VLOOKUP(E26,MoveData,8,0)*8/5," ")</f>
        <v>48</v>
      </c>
      <c r="G26" s="50" t="str">
        <f>IF(LEN(B26), VLOOKUP(B26,TowerPool,6,0),"")</f>
        <v>Thief</v>
      </c>
      <c r="H26" s="51">
        <f>IF(LEN($B26),VLOOKUP(G26,MoveData,8,0)*8/5," ")</f>
        <v>40</v>
      </c>
      <c r="I26" s="50" t="str">
        <f>IF(LEN(B26), VLOOKUP(B26,TowerPool,7,0),"")</f>
        <v>Roost</v>
      </c>
      <c r="J26" s="51">
        <f>IF(LEN($B26),VLOOKUP(I26,MoveData,8,0)*8/5," ")</f>
        <v>16</v>
      </c>
      <c r="K26" s="50" t="str">
        <f>IF(LEN(B26), VLOOKUP(B26,TowerPool,8,0),"")</f>
        <v>Swords Dance</v>
      </c>
      <c r="L26" s="51">
        <f>IF(LEN($B26),VLOOKUP(K26,MoveData,8,0)*8/5," ")</f>
        <v>32</v>
      </c>
      <c r="M26" s="52"/>
      <c r="N26" s="48" t="str">
        <f>IF(LEN(B26), VLOOKUP(B26,TowerPool,3,0),"")</f>
        <v>Adamant</v>
      </c>
      <c r="O26" s="48" t="str">
        <f>IF(LEN(B26), VLOOKUP(B26,TowerPool,9,0),"")</f>
        <v>Technician</v>
      </c>
      <c r="P26" s="53"/>
      <c r="Q26" s="49" t="str">
        <f>IF(LEN(B26), TEXTJOIN("/",0,VLOOKUP(B26,TowerPool,16,0),VLOOKUP(B26,TowerPool,17,0),VLOOKUP(B26,TowerPool,18,0),VLOOKUP(B26,TowerPool,19,0),VLOOKUP(B26,TowerPool,20,0),VLOOKUP(B26,TowerPool,21,0)),"")</f>
        <v>236/252/20/0/0/0</v>
      </c>
      <c r="R26" s="49" t="str">
        <f>IF(LEN(B26), TEXTJOIN("/",0,VLOOKUP(B26,TowerPool,10,0),VLOOKUP(B26,TowerPool,11,0),VLOOKUP(B26,TowerPool,12,0),VLOOKUP(B26,TowerPool,13,0),VLOOKUP(B26,TowerPool,14,0),VLOOKUP(B26,TowerPool,15,0)),"")</f>
        <v>31/31/31/0/31/31</v>
      </c>
      <c r="S26" s="53"/>
      <c r="T26" s="54">
        <f>IF(LEN(B26), VLOOKUP(B26,TowerPool,32,0),"")</f>
        <v>85</v>
      </c>
      <c r="U26" s="48">
        <f>IF(LEN(B26), VLOOKUP(B26,TowerPool,27,0),"")</f>
        <v>175</v>
      </c>
      <c r="V26" s="48">
        <f>IF(LEN(B26), VLOOKUP(B26,TowerPool,28,0),"")</f>
        <v>200</v>
      </c>
      <c r="W26" s="48">
        <f>IF(LEN(B26), VLOOKUP(B26,TowerPool,29,0),"")</f>
        <v>123</v>
      </c>
      <c r="X26" s="48">
        <f>IF(LEN(B26), VLOOKUP(B26,TowerPool,30,0),"")</f>
        <v>54</v>
      </c>
      <c r="Y26" s="48">
        <f>IF(LEN(B26), VLOOKUP(B26,TowerPool,31,0),"")</f>
        <v>100</v>
      </c>
      <c r="Z26" s="31"/>
    </row>
    <row r="27">
      <c r="A27" s="41" t="str">
        <f>IF(LEN(B27), VLOOKUP(B27,TowerPool,34,0),"")</f>
        <v/>
      </c>
      <c r="B27" s="53" t="str">
        <f>IFERROR(VLOOKUP(K20,TowerPool,1,0),"")</f>
        <v/>
      </c>
      <c r="C27" s="49" t="str">
        <f>IF(LEN(B27), VLOOKUP(B27,TowerPool,33,0),"")</f>
        <v/>
      </c>
      <c r="D27" s="48" t="str">
        <f>IF(LEN(B27), VLOOKUP(B27,TowerPool,4,0),"")</f>
        <v/>
      </c>
      <c r="E27" s="50" t="str">
        <f>IF(LEN(B27), VLOOKUP(B27,TowerPool,5,0),"")</f>
        <v/>
      </c>
      <c r="F27" s="51" t="str">
        <f>IF(LEN($B27),VLOOKUP(E27,MoveData,8,0)*8/5," ")</f>
        <v> </v>
      </c>
      <c r="G27" s="50" t="str">
        <f>IF(LEN(B27), VLOOKUP(B27,TowerPool,6,0),"")</f>
        <v/>
      </c>
      <c r="H27" s="51" t="str">
        <f>IF(LEN($B27),VLOOKUP(G27,MoveData,8,0)*8/5," ")</f>
        <v> </v>
      </c>
      <c r="I27" s="50" t="str">
        <f>IF(LEN(B27), VLOOKUP(B27,TowerPool,7,0),"")</f>
        <v/>
      </c>
      <c r="J27" s="51" t="str">
        <f>IF(LEN($B27),VLOOKUP(I27,MoveData,8,0)*8/5," ")</f>
        <v> </v>
      </c>
      <c r="K27" s="50" t="str">
        <f>IF(LEN(B27), VLOOKUP(B27,TowerPool,8,0),"")</f>
        <v/>
      </c>
      <c r="L27" s="51" t="str">
        <f>IF(LEN($B27),VLOOKUP(K27,MoveData,8,0)*8/5," ")</f>
        <v> </v>
      </c>
      <c r="M27" s="52"/>
      <c r="N27" s="48" t="str">
        <f>IF(LEN(B27), VLOOKUP(B27,TowerPool,3,0),"")</f>
        <v/>
      </c>
      <c r="O27" s="48" t="str">
        <f>IF(LEN(B27), VLOOKUP(B27,TowerPool,9,0),"")</f>
        <v/>
      </c>
      <c r="P27" s="53"/>
      <c r="Q27" s="49" t="str">
        <f>IF(LEN(B27), TEXTJOIN("/",0,VLOOKUP(B27,TowerPool,16,0),VLOOKUP(B27,TowerPool,17,0),VLOOKUP(B27,TowerPool,18,0),VLOOKUP(B27,TowerPool,19,0),VLOOKUP(B27,TowerPool,20,0),VLOOKUP(B27,TowerPool,21,0)),"")</f>
        <v/>
      </c>
      <c r="R27" s="49" t="str">
        <f>IF(LEN(B27), TEXTJOIN("/",0,VLOOKUP(B27,TowerPool,10,0),VLOOKUP(B27,TowerPool,11,0),VLOOKUP(B27,TowerPool,12,0),VLOOKUP(B27,TowerPool,13,0),VLOOKUP(B27,TowerPool,14,0),VLOOKUP(B27,TowerPool,15,0)),"")</f>
        <v/>
      </c>
      <c r="S27" s="53"/>
      <c r="T27" s="54" t="str">
        <f>IF(LEN(B27), VLOOKUP(B27,TowerPool,32,0),"")</f>
        <v/>
      </c>
      <c r="U27" s="48" t="str">
        <f>IF(LEN(B27), VLOOKUP(B27,TowerPool,27,0),"")</f>
        <v/>
      </c>
      <c r="V27" s="48" t="str">
        <f>IF(LEN(B27), VLOOKUP(B27,TowerPool,28,0),"")</f>
        <v/>
      </c>
      <c r="W27" s="48" t="str">
        <f>IF(LEN(B27), VLOOKUP(B27,TowerPool,29,0),"")</f>
        <v/>
      </c>
      <c r="X27" s="48" t="str">
        <f>IF(LEN(B27), VLOOKUP(B27,TowerPool,30,0),"")</f>
        <v/>
      </c>
      <c r="Y27" s="48" t="str">
        <f>IF(LEN(B27), VLOOKUP(B27,TowerPool,31,0),"")</f>
        <v/>
      </c>
      <c r="Z27" s="31"/>
    </row>
  </sheetData>
  <mergeCells count="24">
    <mergeCell ref="F20:H20"/>
    <mergeCell ref="C21:D21"/>
    <mergeCell ref="F21:H21"/>
    <mergeCell ref="B1:Y1"/>
    <mergeCell ref="C2:D2"/>
    <mergeCell ref="E2:G2"/>
    <mergeCell ref="H2:L2"/>
    <mergeCell ref="Q3:R3"/>
    <mergeCell ref="B19:Y19"/>
    <mergeCell ref="T20:W20"/>
    <mergeCell ref="N22:O22"/>
    <mergeCell ref="N23:O23"/>
    <mergeCell ref="Q23:R23"/>
    <mergeCell ref="N24:O24"/>
    <mergeCell ref="Q24:R24"/>
    <mergeCell ref="T23:W23"/>
    <mergeCell ref="T24:W24"/>
    <mergeCell ref="N20:O20"/>
    <mergeCell ref="Q20:R20"/>
    <mergeCell ref="N21:O21"/>
    <mergeCell ref="Q21:R21"/>
    <mergeCell ref="T21:W21"/>
    <mergeCell ref="Q22:R22"/>
    <mergeCell ref="T22:W22"/>
  </mergeCells>
  <conditionalFormatting sqref="D4:D17 D25:D27">
    <cfRule type="expression" dxfId="10" priority="1">
      <formula>AND(LEN(D4),COUNTIF(INDIRECT("WarnHighItems"),D4))</formula>
    </cfRule>
  </conditionalFormatting>
  <conditionalFormatting sqref="D4:D17 D25:D27">
    <cfRule type="expression" dxfId="11" priority="2">
      <formula>AND(LEN(D4),COUNTIF(INDIRECT("WarnMidItems"),D4))</formula>
    </cfRule>
  </conditionalFormatting>
  <conditionalFormatting sqref="E4:E17 G4:G17 I4:I17 K4:K17 E25:E27 G25:G27 I25:I27 K25:K27">
    <cfRule type="expression" dxfId="10" priority="3">
      <formula>AND(LEN(E4),COUNTIF(INDIRECT("WarnHighMoves"),E4))</formula>
    </cfRule>
  </conditionalFormatting>
  <conditionalFormatting sqref="E4:E17 G4:G17 I4:I17 K4:K17 E25:E27 G25:G27 I25:I27 K25:K27">
    <cfRule type="expression" dxfId="11" priority="4">
      <formula>AND(LEN(E4),COUNTIF(INDIRECT("WarnMidMoves"),E4))</formula>
    </cfRule>
  </conditionalFormatting>
  <conditionalFormatting sqref="Q20:Q24 T20:T24 N21:N24">
    <cfRule type="expression" dxfId="4" priority="5">
      <formula>FIND("&amp;",Q20)</formula>
    </cfRule>
  </conditionalFormatting>
  <conditionalFormatting sqref="Q20:Q24 T20:T24 N21:N24">
    <cfRule type="notContainsBlanks" dxfId="3" priority="6">
      <formula>LEN(TRIM(Q20))&gt;0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66" t="s">
        <v>33</v>
      </c>
      <c r="B1" s="66" t="s">
        <v>34</v>
      </c>
      <c r="C1" s="66" t="s">
        <v>35</v>
      </c>
      <c r="D1" s="66" t="s">
        <v>36</v>
      </c>
      <c r="E1" s="66" t="s">
        <v>37</v>
      </c>
      <c r="F1" s="66" t="s">
        <v>38</v>
      </c>
      <c r="G1" s="66" t="s">
        <v>39</v>
      </c>
      <c r="H1" s="66" t="s">
        <v>40</v>
      </c>
      <c r="I1" s="66" t="s">
        <v>41</v>
      </c>
    </row>
    <row r="2">
      <c r="A2" s="66" t="s">
        <v>42</v>
      </c>
      <c r="B2" s="67" t="s">
        <v>43</v>
      </c>
      <c r="C2" s="66" t="s">
        <v>44</v>
      </c>
      <c r="D2" s="66" t="s">
        <v>45</v>
      </c>
      <c r="E2" s="66" t="s">
        <v>46</v>
      </c>
      <c r="F2" s="66" t="s">
        <v>42</v>
      </c>
      <c r="G2" s="67" t="s">
        <v>47</v>
      </c>
      <c r="H2" s="67" t="s">
        <v>48</v>
      </c>
      <c r="I2" s="67" t="s">
        <v>48</v>
      </c>
    </row>
    <row r="3">
      <c r="A3" s="66" t="s">
        <v>49</v>
      </c>
      <c r="B3" s="67" t="s">
        <v>50</v>
      </c>
      <c r="C3" s="66" t="s">
        <v>51</v>
      </c>
      <c r="D3" s="66" t="s">
        <v>49</v>
      </c>
      <c r="E3" s="66" t="s">
        <v>52</v>
      </c>
      <c r="F3" s="66" t="s">
        <v>53</v>
      </c>
      <c r="G3" s="67" t="s">
        <v>54</v>
      </c>
      <c r="H3" s="67" t="s">
        <v>55</v>
      </c>
      <c r="I3" s="67" t="s">
        <v>55</v>
      </c>
    </row>
    <row r="4">
      <c r="A4" s="66" t="s">
        <v>56</v>
      </c>
      <c r="B4" s="67" t="s">
        <v>57</v>
      </c>
      <c r="C4" s="66" t="s">
        <v>58</v>
      </c>
      <c r="D4" s="66" t="s">
        <v>59</v>
      </c>
      <c r="E4" s="66" t="s">
        <v>60</v>
      </c>
      <c r="F4" s="66" t="s">
        <v>61</v>
      </c>
      <c r="G4" s="67" t="s">
        <v>62</v>
      </c>
      <c r="H4" s="67" t="s">
        <v>63</v>
      </c>
      <c r="I4" s="67" t="s">
        <v>63</v>
      </c>
    </row>
    <row r="5">
      <c r="A5" s="66" t="s">
        <v>64</v>
      </c>
      <c r="B5" s="67" t="s">
        <v>65</v>
      </c>
      <c r="C5" s="66" t="s">
        <v>66</v>
      </c>
      <c r="D5" s="66" t="s">
        <v>67</v>
      </c>
      <c r="E5" s="66" t="s">
        <v>68</v>
      </c>
      <c r="F5" s="66" t="s">
        <v>69</v>
      </c>
      <c r="G5" s="67" t="s">
        <v>70</v>
      </c>
      <c r="H5" s="67" t="s">
        <v>71</v>
      </c>
      <c r="I5" s="67" t="s">
        <v>72</v>
      </c>
    </row>
    <row r="6">
      <c r="A6" s="66" t="s">
        <v>73</v>
      </c>
      <c r="B6" s="67" t="s">
        <v>74</v>
      </c>
      <c r="C6" s="66" t="s">
        <v>75</v>
      </c>
      <c r="D6" s="66" t="s">
        <v>76</v>
      </c>
      <c r="E6" s="66" t="s">
        <v>77</v>
      </c>
      <c r="F6" s="66" t="s">
        <v>78</v>
      </c>
      <c r="G6" s="67" t="s">
        <v>79</v>
      </c>
      <c r="H6" s="67" t="s">
        <v>80</v>
      </c>
      <c r="I6" s="67" t="s">
        <v>80</v>
      </c>
    </row>
    <row r="7">
      <c r="A7" s="66" t="s">
        <v>81</v>
      </c>
      <c r="B7" s="67" t="s">
        <v>82</v>
      </c>
      <c r="C7" s="66" t="s">
        <v>83</v>
      </c>
      <c r="D7" s="66" t="s">
        <v>84</v>
      </c>
      <c r="E7" s="66" t="s">
        <v>85</v>
      </c>
      <c r="F7" s="66" t="s">
        <v>81</v>
      </c>
      <c r="G7" s="67" t="s">
        <v>86</v>
      </c>
      <c r="H7" s="67" t="s">
        <v>87</v>
      </c>
      <c r="I7" s="67" t="s">
        <v>87</v>
      </c>
    </row>
    <row r="8">
      <c r="A8" s="66" t="s">
        <v>88</v>
      </c>
      <c r="B8" s="67" t="s">
        <v>89</v>
      </c>
      <c r="C8" s="66" t="s">
        <v>90</v>
      </c>
      <c r="D8" s="66" t="s">
        <v>91</v>
      </c>
      <c r="E8" s="66" t="s">
        <v>92</v>
      </c>
      <c r="F8" s="66" t="s">
        <v>93</v>
      </c>
      <c r="G8" s="67" t="s">
        <v>94</v>
      </c>
      <c r="H8" s="67" t="s">
        <v>95</v>
      </c>
      <c r="I8" s="67" t="s">
        <v>96</v>
      </c>
    </row>
    <row r="9">
      <c r="A9" s="66" t="s">
        <v>97</v>
      </c>
      <c r="B9" s="67" t="s">
        <v>98</v>
      </c>
      <c r="C9" s="66" t="s">
        <v>99</v>
      </c>
      <c r="D9" s="66" t="s">
        <v>100</v>
      </c>
      <c r="E9" s="66" t="s">
        <v>101</v>
      </c>
      <c r="F9" s="66" t="s">
        <v>97</v>
      </c>
      <c r="G9" s="67" t="s">
        <v>102</v>
      </c>
      <c r="H9" s="67" t="s">
        <v>103</v>
      </c>
      <c r="I9" s="67" t="s">
        <v>104</v>
      </c>
    </row>
    <row r="10">
      <c r="A10" s="66" t="s">
        <v>105</v>
      </c>
      <c r="B10" s="67" t="s">
        <v>106</v>
      </c>
      <c r="C10" s="66" t="s">
        <v>107</v>
      </c>
      <c r="D10" s="66" t="s">
        <v>108</v>
      </c>
      <c r="E10" s="66" t="s">
        <v>109</v>
      </c>
      <c r="F10" s="66" t="s">
        <v>105</v>
      </c>
      <c r="G10" s="67" t="s">
        <v>110</v>
      </c>
      <c r="H10" s="67" t="s">
        <v>111</v>
      </c>
      <c r="I10" s="67" t="s">
        <v>112</v>
      </c>
    </row>
    <row r="11">
      <c r="A11" s="66" t="s">
        <v>113</v>
      </c>
      <c r="B11" s="67" t="s">
        <v>114</v>
      </c>
      <c r="C11" s="66" t="s">
        <v>115</v>
      </c>
      <c r="D11" s="66" t="s">
        <v>116</v>
      </c>
      <c r="E11" s="66" t="s">
        <v>117</v>
      </c>
      <c r="F11" s="66" t="s">
        <v>118</v>
      </c>
      <c r="G11" s="67" t="s">
        <v>119</v>
      </c>
      <c r="H11" s="67" t="s">
        <v>120</v>
      </c>
      <c r="I11" s="67" t="s">
        <v>121</v>
      </c>
    </row>
    <row r="12">
      <c r="A12" s="66" t="s">
        <v>122</v>
      </c>
      <c r="B12" s="67" t="s">
        <v>123</v>
      </c>
      <c r="C12" s="66" t="s">
        <v>124</v>
      </c>
      <c r="D12" s="66" t="s">
        <v>122</v>
      </c>
      <c r="E12" s="66" t="s">
        <v>125</v>
      </c>
      <c r="F12" s="66" t="s">
        <v>126</v>
      </c>
      <c r="G12" s="67" t="s">
        <v>127</v>
      </c>
      <c r="H12" s="67" t="s">
        <v>128</v>
      </c>
      <c r="I12" s="67" t="s">
        <v>128</v>
      </c>
    </row>
    <row r="13">
      <c r="A13" s="66" t="s">
        <v>129</v>
      </c>
      <c r="B13" s="67" t="s">
        <v>130</v>
      </c>
      <c r="C13" s="66" t="s">
        <v>131</v>
      </c>
      <c r="D13" s="66" t="s">
        <v>129</v>
      </c>
      <c r="E13" s="66" t="s">
        <v>132</v>
      </c>
      <c r="F13" s="66" t="s">
        <v>133</v>
      </c>
      <c r="G13" s="67" t="s">
        <v>134</v>
      </c>
      <c r="H13" s="67" t="s">
        <v>135</v>
      </c>
      <c r="I13" s="67" t="s">
        <v>136</v>
      </c>
    </row>
    <row r="14">
      <c r="A14" s="66" t="s">
        <v>137</v>
      </c>
      <c r="B14" s="67" t="s">
        <v>138</v>
      </c>
      <c r="C14" s="66" t="s">
        <v>139</v>
      </c>
      <c r="D14" s="66" t="s">
        <v>140</v>
      </c>
      <c r="E14" s="66" t="s">
        <v>141</v>
      </c>
      <c r="F14" s="66" t="s">
        <v>142</v>
      </c>
      <c r="G14" s="67" t="s">
        <v>143</v>
      </c>
      <c r="H14" s="67" t="s">
        <v>144</v>
      </c>
      <c r="I14" s="67" t="s">
        <v>145</v>
      </c>
    </row>
    <row r="15">
      <c r="A15" s="66" t="s">
        <v>146</v>
      </c>
      <c r="B15" s="67" t="s">
        <v>147</v>
      </c>
      <c r="C15" s="66" t="s">
        <v>148</v>
      </c>
      <c r="D15" s="66" t="s">
        <v>149</v>
      </c>
      <c r="E15" s="66" t="s">
        <v>150</v>
      </c>
      <c r="F15" s="66" t="s">
        <v>151</v>
      </c>
      <c r="G15" s="67" t="s">
        <v>152</v>
      </c>
      <c r="H15" s="67" t="s">
        <v>153</v>
      </c>
      <c r="I15" s="67" t="s">
        <v>154</v>
      </c>
    </row>
    <row r="16">
      <c r="A16" s="66" t="s">
        <v>155</v>
      </c>
      <c r="B16" s="67" t="s">
        <v>156</v>
      </c>
      <c r="C16" s="66" t="s">
        <v>157</v>
      </c>
      <c r="D16" s="66" t="s">
        <v>158</v>
      </c>
      <c r="E16" s="66" t="s">
        <v>159</v>
      </c>
      <c r="F16" s="66" t="s">
        <v>160</v>
      </c>
      <c r="G16" s="67" t="s">
        <v>161</v>
      </c>
      <c r="H16" s="67" t="s">
        <v>162</v>
      </c>
      <c r="I16" s="67" t="s">
        <v>163</v>
      </c>
    </row>
    <row r="17">
      <c r="A17" s="66" t="s">
        <v>164</v>
      </c>
      <c r="B17" s="67" t="s">
        <v>165</v>
      </c>
      <c r="C17" s="66" t="s">
        <v>166</v>
      </c>
      <c r="D17" s="66" t="s">
        <v>167</v>
      </c>
      <c r="E17" s="66" t="s">
        <v>168</v>
      </c>
      <c r="F17" s="66" t="s">
        <v>169</v>
      </c>
      <c r="G17" s="67" t="s">
        <v>170</v>
      </c>
      <c r="H17" s="67" t="s">
        <v>171</v>
      </c>
      <c r="I17" s="67" t="s">
        <v>172</v>
      </c>
    </row>
    <row r="18">
      <c r="A18" s="66" t="s">
        <v>173</v>
      </c>
      <c r="B18" s="67" t="s">
        <v>174</v>
      </c>
      <c r="C18" s="66" t="s">
        <v>175</v>
      </c>
      <c r="D18" s="66" t="s">
        <v>176</v>
      </c>
      <c r="E18" s="66" t="s">
        <v>177</v>
      </c>
      <c r="F18" s="66" t="s">
        <v>173</v>
      </c>
      <c r="G18" s="67" t="s">
        <v>178</v>
      </c>
      <c r="H18" s="67" t="s">
        <v>179</v>
      </c>
      <c r="I18" s="67" t="s">
        <v>179</v>
      </c>
    </row>
    <row r="19">
      <c r="A19" s="66" t="s">
        <v>180</v>
      </c>
      <c r="B19" s="67" t="s">
        <v>181</v>
      </c>
      <c r="C19" s="66" t="s">
        <v>182</v>
      </c>
      <c r="D19" s="66" t="s">
        <v>183</v>
      </c>
      <c r="E19" s="66" t="s">
        <v>184</v>
      </c>
      <c r="F19" s="66" t="s">
        <v>185</v>
      </c>
      <c r="G19" s="67" t="s">
        <v>186</v>
      </c>
      <c r="H19" s="67" t="s">
        <v>187</v>
      </c>
      <c r="I19" s="67" t="s">
        <v>188</v>
      </c>
    </row>
    <row r="20">
      <c r="A20" s="66" t="s">
        <v>189</v>
      </c>
      <c r="B20" s="67" t="s">
        <v>190</v>
      </c>
      <c r="C20" s="66" t="s">
        <v>191</v>
      </c>
      <c r="D20" s="66" t="s">
        <v>192</v>
      </c>
      <c r="E20" s="66" t="s">
        <v>193</v>
      </c>
      <c r="F20" s="66" t="s">
        <v>194</v>
      </c>
      <c r="G20" s="67" t="s">
        <v>195</v>
      </c>
      <c r="H20" s="67" t="s">
        <v>196</v>
      </c>
      <c r="I20" s="67" t="s">
        <v>196</v>
      </c>
    </row>
    <row r="21">
      <c r="A21" s="66" t="s">
        <v>197</v>
      </c>
      <c r="B21" s="67" t="s">
        <v>198</v>
      </c>
      <c r="C21" s="66" t="s">
        <v>199</v>
      </c>
      <c r="D21" s="66" t="s">
        <v>200</v>
      </c>
      <c r="E21" s="66" t="s">
        <v>201</v>
      </c>
      <c r="F21" s="66" t="s">
        <v>202</v>
      </c>
      <c r="G21" s="67" t="s">
        <v>203</v>
      </c>
      <c r="H21" s="67" t="s">
        <v>204</v>
      </c>
      <c r="I21" s="67" t="s">
        <v>205</v>
      </c>
    </row>
    <row r="22">
      <c r="A22" s="66" t="s">
        <v>206</v>
      </c>
      <c r="B22" s="67" t="s">
        <v>207</v>
      </c>
      <c r="C22" s="66" t="s">
        <v>208</v>
      </c>
      <c r="D22" s="66" t="s">
        <v>209</v>
      </c>
      <c r="E22" s="66" t="s">
        <v>210</v>
      </c>
      <c r="F22" s="66" t="s">
        <v>206</v>
      </c>
      <c r="G22" s="67" t="s">
        <v>211</v>
      </c>
      <c r="H22" s="67" t="s">
        <v>212</v>
      </c>
      <c r="I22" s="67" t="s">
        <v>212</v>
      </c>
    </row>
    <row r="23">
      <c r="A23" s="66" t="s">
        <v>213</v>
      </c>
      <c r="B23" s="67" t="s">
        <v>214</v>
      </c>
      <c r="C23" s="66" t="s">
        <v>215</v>
      </c>
      <c r="D23" s="66" t="s">
        <v>216</v>
      </c>
      <c r="E23" s="66" t="s">
        <v>217</v>
      </c>
      <c r="F23" s="66" t="s">
        <v>213</v>
      </c>
      <c r="G23" s="67" t="s">
        <v>218</v>
      </c>
      <c r="H23" s="67" t="s">
        <v>219</v>
      </c>
      <c r="I23" s="67" t="s">
        <v>219</v>
      </c>
    </row>
    <row r="24">
      <c r="A24" s="66" t="s">
        <v>220</v>
      </c>
      <c r="B24" s="67" t="s">
        <v>221</v>
      </c>
      <c r="C24" s="66" t="s">
        <v>222</v>
      </c>
      <c r="D24" s="66" t="s">
        <v>223</v>
      </c>
      <c r="E24" s="66" t="s">
        <v>224</v>
      </c>
      <c r="F24" s="66" t="s">
        <v>225</v>
      </c>
      <c r="G24" s="67" t="s">
        <v>226</v>
      </c>
      <c r="H24" s="67" t="s">
        <v>227</v>
      </c>
      <c r="I24" s="67" t="s">
        <v>228</v>
      </c>
    </row>
    <row r="25">
      <c r="A25" s="66" t="s">
        <v>229</v>
      </c>
      <c r="B25" s="67" t="s">
        <v>230</v>
      </c>
      <c r="C25" s="66" t="s">
        <v>231</v>
      </c>
      <c r="D25" s="66" t="s">
        <v>232</v>
      </c>
      <c r="E25" s="66" t="s">
        <v>233</v>
      </c>
      <c r="F25" s="66" t="s">
        <v>234</v>
      </c>
      <c r="G25" s="67" t="s">
        <v>235</v>
      </c>
      <c r="H25" s="67" t="s">
        <v>236</v>
      </c>
      <c r="I25" s="67" t="s">
        <v>236</v>
      </c>
    </row>
    <row r="26">
      <c r="A26" s="66" t="s">
        <v>237</v>
      </c>
      <c r="B26" s="67" t="s">
        <v>238</v>
      </c>
      <c r="C26" s="66" t="s">
        <v>239</v>
      </c>
      <c r="D26" s="66" t="s">
        <v>240</v>
      </c>
      <c r="E26" s="66" t="s">
        <v>241</v>
      </c>
      <c r="F26" s="66" t="s">
        <v>242</v>
      </c>
      <c r="G26" s="67" t="s">
        <v>243</v>
      </c>
      <c r="H26" s="67" t="s">
        <v>244</v>
      </c>
      <c r="I26" s="67" t="s">
        <v>244</v>
      </c>
    </row>
    <row r="27">
      <c r="A27" s="66" t="s">
        <v>245</v>
      </c>
      <c r="B27" s="67" t="s">
        <v>246</v>
      </c>
      <c r="C27" s="66" t="s">
        <v>247</v>
      </c>
      <c r="D27" s="66" t="s">
        <v>248</v>
      </c>
      <c r="E27" s="66" t="s">
        <v>249</v>
      </c>
      <c r="F27" s="66" t="s">
        <v>250</v>
      </c>
      <c r="G27" s="67" t="s">
        <v>251</v>
      </c>
      <c r="H27" s="67" t="s">
        <v>252</v>
      </c>
      <c r="I27" s="67" t="s">
        <v>253</v>
      </c>
    </row>
    <row r="28">
      <c r="A28" s="66" t="s">
        <v>254</v>
      </c>
      <c r="B28" s="67" t="s">
        <v>255</v>
      </c>
      <c r="C28" s="66" t="s">
        <v>256</v>
      </c>
      <c r="D28" s="66" t="s">
        <v>257</v>
      </c>
      <c r="E28" s="66" t="s">
        <v>258</v>
      </c>
      <c r="F28" s="66" t="s">
        <v>259</v>
      </c>
      <c r="G28" s="67" t="s">
        <v>260</v>
      </c>
      <c r="H28" s="67" t="s">
        <v>261</v>
      </c>
      <c r="I28" s="67" t="s">
        <v>261</v>
      </c>
    </row>
    <row r="29">
      <c r="A29" s="66" t="s">
        <v>262</v>
      </c>
      <c r="B29" s="67" t="s">
        <v>263</v>
      </c>
      <c r="C29" s="66" t="s">
        <v>264</v>
      </c>
      <c r="D29" s="66" t="s">
        <v>265</v>
      </c>
      <c r="E29" s="66" t="s">
        <v>266</v>
      </c>
      <c r="F29" s="66" t="s">
        <v>267</v>
      </c>
      <c r="G29" s="67" t="s">
        <v>268</v>
      </c>
      <c r="H29" s="67" t="s">
        <v>269</v>
      </c>
      <c r="I29" s="67" t="s">
        <v>270</v>
      </c>
    </row>
    <row r="30">
      <c r="A30" s="66" t="s">
        <v>271</v>
      </c>
      <c r="B30" s="67" t="s">
        <v>272</v>
      </c>
      <c r="C30" s="66" t="s">
        <v>273</v>
      </c>
      <c r="D30" s="66" t="s">
        <v>274</v>
      </c>
      <c r="E30" s="66" t="s">
        <v>275</v>
      </c>
      <c r="F30" s="66" t="s">
        <v>276</v>
      </c>
      <c r="G30" s="67" t="s">
        <v>277</v>
      </c>
      <c r="H30" s="67" t="s">
        <v>278</v>
      </c>
      <c r="I30" s="67" t="s">
        <v>278</v>
      </c>
    </row>
    <row r="31">
      <c r="A31" s="66" t="s">
        <v>279</v>
      </c>
      <c r="B31" s="67" t="s">
        <v>280</v>
      </c>
      <c r="C31" s="66" t="s">
        <v>281</v>
      </c>
      <c r="D31" s="66" t="s">
        <v>282</v>
      </c>
      <c r="E31" s="66" t="s">
        <v>283</v>
      </c>
      <c r="F31" s="66" t="s">
        <v>284</v>
      </c>
      <c r="G31" s="67" t="s">
        <v>285</v>
      </c>
      <c r="H31" s="67" t="s">
        <v>286</v>
      </c>
      <c r="I31" s="67" t="s">
        <v>286</v>
      </c>
    </row>
    <row r="32">
      <c r="A32" s="66" t="s">
        <v>92</v>
      </c>
      <c r="B32" s="67" t="s">
        <v>287</v>
      </c>
      <c r="C32" s="66" t="s">
        <v>288</v>
      </c>
      <c r="D32" s="66" t="s">
        <v>289</v>
      </c>
      <c r="E32" s="66" t="s">
        <v>290</v>
      </c>
      <c r="F32" s="66" t="s">
        <v>291</v>
      </c>
      <c r="G32" s="67" t="s">
        <v>292</v>
      </c>
      <c r="H32" s="67" t="s">
        <v>293</v>
      </c>
      <c r="I32" s="67" t="s">
        <v>293</v>
      </c>
    </row>
    <row r="33">
      <c r="A33" s="66" t="s">
        <v>294</v>
      </c>
      <c r="B33" s="67" t="s">
        <v>295</v>
      </c>
      <c r="C33" s="66" t="s">
        <v>296</v>
      </c>
      <c r="D33" s="66" t="s">
        <v>297</v>
      </c>
      <c r="E33" s="66" t="s">
        <v>298</v>
      </c>
      <c r="F33" s="66" t="s">
        <v>299</v>
      </c>
      <c r="G33" s="67" t="s">
        <v>300</v>
      </c>
      <c r="H33" s="67" t="s">
        <v>301</v>
      </c>
      <c r="I33" s="67" t="s">
        <v>302</v>
      </c>
    </row>
    <row r="34">
      <c r="A34" s="66" t="s">
        <v>303</v>
      </c>
      <c r="B34" s="67" t="s">
        <v>304</v>
      </c>
      <c r="C34" s="66" t="s">
        <v>305</v>
      </c>
      <c r="D34" s="66" t="s">
        <v>306</v>
      </c>
      <c r="E34" s="66" t="s">
        <v>307</v>
      </c>
      <c r="F34" s="66" t="s">
        <v>303</v>
      </c>
      <c r="G34" s="67" t="s">
        <v>308</v>
      </c>
      <c r="H34" s="67" t="s">
        <v>309</v>
      </c>
      <c r="I34" s="67" t="s">
        <v>309</v>
      </c>
    </row>
    <row r="35">
      <c r="A35" s="66" t="s">
        <v>310</v>
      </c>
      <c r="B35" s="67" t="s">
        <v>311</v>
      </c>
      <c r="C35" s="66" t="s">
        <v>312</v>
      </c>
      <c r="D35" s="66" t="s">
        <v>313</v>
      </c>
      <c r="E35" s="66" t="s">
        <v>314</v>
      </c>
      <c r="F35" s="66" t="s">
        <v>315</v>
      </c>
      <c r="G35" s="67" t="s">
        <v>316</v>
      </c>
      <c r="H35" s="67" t="s">
        <v>317</v>
      </c>
      <c r="I35" s="67" t="s">
        <v>317</v>
      </c>
    </row>
    <row r="36">
      <c r="A36" s="66" t="s">
        <v>318</v>
      </c>
      <c r="B36" s="67" t="s">
        <v>319</v>
      </c>
      <c r="C36" s="66" t="s">
        <v>320</v>
      </c>
      <c r="D36" s="66" t="s">
        <v>321</v>
      </c>
      <c r="E36" s="66" t="s">
        <v>322</v>
      </c>
      <c r="F36" s="66" t="s">
        <v>323</v>
      </c>
      <c r="G36" s="67" t="s">
        <v>324</v>
      </c>
      <c r="H36" s="67" t="s">
        <v>325</v>
      </c>
      <c r="I36" s="67" t="s">
        <v>325</v>
      </c>
    </row>
    <row r="37">
      <c r="A37" s="66" t="s">
        <v>326</v>
      </c>
      <c r="B37" s="67" t="s">
        <v>327</v>
      </c>
      <c r="C37" s="66" t="s">
        <v>328</v>
      </c>
      <c r="D37" s="66" t="s">
        <v>329</v>
      </c>
      <c r="E37" s="66" t="s">
        <v>330</v>
      </c>
      <c r="F37" s="66" t="s">
        <v>331</v>
      </c>
      <c r="G37" s="67" t="s">
        <v>332</v>
      </c>
      <c r="H37" s="67" t="s">
        <v>333</v>
      </c>
      <c r="I37" s="67" t="s">
        <v>333</v>
      </c>
    </row>
    <row r="38">
      <c r="A38" s="66" t="s">
        <v>334</v>
      </c>
      <c r="B38" s="67" t="s">
        <v>335</v>
      </c>
      <c r="C38" s="66" t="s">
        <v>336</v>
      </c>
      <c r="D38" s="66" t="s">
        <v>337</v>
      </c>
      <c r="E38" s="66" t="s">
        <v>338</v>
      </c>
      <c r="F38" s="66" t="s">
        <v>339</v>
      </c>
      <c r="G38" s="67" t="s">
        <v>340</v>
      </c>
      <c r="H38" s="67" t="s">
        <v>341</v>
      </c>
      <c r="I38" s="67" t="s">
        <v>341</v>
      </c>
    </row>
    <row r="39">
      <c r="A39" s="66" t="s">
        <v>342</v>
      </c>
      <c r="B39" s="67" t="s">
        <v>343</v>
      </c>
      <c r="C39" s="66" t="s">
        <v>344</v>
      </c>
      <c r="D39" s="66" t="s">
        <v>345</v>
      </c>
      <c r="E39" s="66" t="s">
        <v>346</v>
      </c>
      <c r="F39" s="66" t="s">
        <v>347</v>
      </c>
      <c r="G39" s="67" t="s">
        <v>348</v>
      </c>
      <c r="H39" s="67" t="s">
        <v>349</v>
      </c>
      <c r="I39" s="67" t="s">
        <v>350</v>
      </c>
    </row>
    <row r="40">
      <c r="A40" s="66" t="s">
        <v>351</v>
      </c>
      <c r="B40" s="67" t="s">
        <v>352</v>
      </c>
      <c r="C40" s="66" t="s">
        <v>353</v>
      </c>
      <c r="D40" s="66" t="s">
        <v>354</v>
      </c>
      <c r="E40" s="66" t="s">
        <v>355</v>
      </c>
      <c r="F40" s="66" t="s">
        <v>356</v>
      </c>
      <c r="G40" s="67" t="s">
        <v>357</v>
      </c>
      <c r="H40" s="67" t="s">
        <v>358</v>
      </c>
      <c r="I40" s="67" t="s">
        <v>358</v>
      </c>
    </row>
    <row r="41">
      <c r="A41" s="66" t="s">
        <v>359</v>
      </c>
      <c r="B41" s="67" t="s">
        <v>360</v>
      </c>
      <c r="C41" s="66" t="s">
        <v>361</v>
      </c>
      <c r="D41" s="66" t="s">
        <v>362</v>
      </c>
      <c r="E41" s="66" t="s">
        <v>363</v>
      </c>
      <c r="F41" s="66" t="s">
        <v>364</v>
      </c>
      <c r="G41" s="67" t="s">
        <v>365</v>
      </c>
      <c r="H41" s="67" t="s">
        <v>366</v>
      </c>
      <c r="I41" s="67" t="s">
        <v>367</v>
      </c>
    </row>
    <row r="42">
      <c r="A42" s="66" t="s">
        <v>368</v>
      </c>
      <c r="B42" s="67" t="s">
        <v>369</v>
      </c>
      <c r="C42" s="66" t="s">
        <v>133</v>
      </c>
      <c r="D42" s="66" t="s">
        <v>370</v>
      </c>
      <c r="E42" s="66" t="s">
        <v>371</v>
      </c>
      <c r="F42" s="66" t="s">
        <v>372</v>
      </c>
      <c r="G42" s="67" t="s">
        <v>373</v>
      </c>
      <c r="H42" s="67" t="s">
        <v>374</v>
      </c>
      <c r="I42" s="67" t="s">
        <v>374</v>
      </c>
    </row>
    <row r="43">
      <c r="A43" s="66" t="s">
        <v>375</v>
      </c>
      <c r="B43" s="67" t="s">
        <v>376</v>
      </c>
      <c r="C43" s="66" t="s">
        <v>377</v>
      </c>
      <c r="D43" s="66" t="s">
        <v>378</v>
      </c>
      <c r="E43" s="66" t="s">
        <v>379</v>
      </c>
      <c r="F43" s="66" t="s">
        <v>379</v>
      </c>
      <c r="G43" s="67" t="s">
        <v>380</v>
      </c>
      <c r="H43" s="67" t="s">
        <v>381</v>
      </c>
      <c r="I43" s="67" t="s">
        <v>382</v>
      </c>
    </row>
    <row r="44">
      <c r="A44" s="66" t="s">
        <v>383</v>
      </c>
      <c r="B44" s="67" t="s">
        <v>384</v>
      </c>
      <c r="C44" s="66" t="s">
        <v>385</v>
      </c>
      <c r="D44" s="66" t="s">
        <v>386</v>
      </c>
      <c r="E44" s="66" t="s">
        <v>387</v>
      </c>
      <c r="F44" s="66" t="s">
        <v>388</v>
      </c>
      <c r="G44" s="67" t="s">
        <v>389</v>
      </c>
      <c r="H44" s="67" t="s">
        <v>390</v>
      </c>
      <c r="I44" s="67" t="s">
        <v>391</v>
      </c>
    </row>
    <row r="45">
      <c r="A45" s="66" t="s">
        <v>392</v>
      </c>
      <c r="B45" s="67" t="s">
        <v>393</v>
      </c>
      <c r="C45" s="66" t="s">
        <v>394</v>
      </c>
      <c r="D45" s="66" t="s">
        <v>395</v>
      </c>
      <c r="E45" s="66" t="s">
        <v>396</v>
      </c>
      <c r="F45" s="66" t="s">
        <v>397</v>
      </c>
      <c r="G45" s="67" t="s">
        <v>398</v>
      </c>
      <c r="H45" s="67" t="s">
        <v>399</v>
      </c>
      <c r="I45" s="67" t="s">
        <v>399</v>
      </c>
    </row>
    <row r="46">
      <c r="A46" s="66" t="s">
        <v>400</v>
      </c>
      <c r="B46" s="67" t="s">
        <v>401</v>
      </c>
      <c r="C46" s="66" t="s">
        <v>402</v>
      </c>
      <c r="D46" s="66" t="s">
        <v>403</v>
      </c>
      <c r="E46" s="66" t="s">
        <v>404</v>
      </c>
      <c r="F46" s="66" t="s">
        <v>400</v>
      </c>
      <c r="G46" s="67" t="s">
        <v>405</v>
      </c>
      <c r="H46" s="67" t="s">
        <v>406</v>
      </c>
      <c r="I46" s="67" t="s">
        <v>407</v>
      </c>
    </row>
    <row r="47">
      <c r="A47" s="66" t="s">
        <v>408</v>
      </c>
      <c r="B47" s="67" t="s">
        <v>409</v>
      </c>
      <c r="C47" s="66" t="s">
        <v>410</v>
      </c>
      <c r="D47" s="66" t="s">
        <v>411</v>
      </c>
      <c r="E47" s="66" t="s">
        <v>412</v>
      </c>
      <c r="F47" s="66" t="s">
        <v>408</v>
      </c>
      <c r="G47" s="67" t="s">
        <v>413</v>
      </c>
      <c r="H47" s="67" t="s">
        <v>414</v>
      </c>
      <c r="I47" s="67" t="s">
        <v>414</v>
      </c>
    </row>
    <row r="48">
      <c r="A48" s="66" t="s">
        <v>415</v>
      </c>
      <c r="B48" s="67" t="s">
        <v>416</v>
      </c>
      <c r="C48" s="66" t="s">
        <v>415</v>
      </c>
      <c r="D48" s="66" t="s">
        <v>417</v>
      </c>
      <c r="E48" s="66" t="s">
        <v>418</v>
      </c>
      <c r="F48" s="66" t="s">
        <v>415</v>
      </c>
      <c r="G48" s="67" t="s">
        <v>419</v>
      </c>
      <c r="H48" s="67" t="s">
        <v>420</v>
      </c>
      <c r="I48" s="67" t="s">
        <v>421</v>
      </c>
    </row>
    <row r="49">
      <c r="A49" s="66" t="s">
        <v>422</v>
      </c>
      <c r="B49" s="67" t="s">
        <v>423</v>
      </c>
      <c r="C49" s="66" t="s">
        <v>424</v>
      </c>
      <c r="D49" s="66" t="s">
        <v>425</v>
      </c>
      <c r="E49" s="66" t="s">
        <v>426</v>
      </c>
      <c r="F49" s="66" t="s">
        <v>427</v>
      </c>
      <c r="G49" s="67" t="s">
        <v>428</v>
      </c>
      <c r="H49" s="67" t="s">
        <v>429</v>
      </c>
      <c r="I49" s="67" t="s">
        <v>429</v>
      </c>
    </row>
    <row r="50">
      <c r="A50" s="66" t="s">
        <v>430</v>
      </c>
      <c r="B50" s="67" t="s">
        <v>431</v>
      </c>
      <c r="C50" s="66" t="s">
        <v>432</v>
      </c>
      <c r="D50" s="66" t="s">
        <v>433</v>
      </c>
      <c r="E50" s="66" t="s">
        <v>434</v>
      </c>
      <c r="F50" s="66" t="s">
        <v>435</v>
      </c>
      <c r="G50" s="67" t="s">
        <v>436</v>
      </c>
      <c r="H50" s="67" t="s">
        <v>437</v>
      </c>
      <c r="I50" s="67" t="s">
        <v>437</v>
      </c>
    </row>
    <row r="51">
      <c r="A51" s="66" t="s">
        <v>438</v>
      </c>
      <c r="B51" s="67" t="s">
        <v>439</v>
      </c>
      <c r="C51" s="66" t="s">
        <v>440</v>
      </c>
      <c r="D51" s="66" t="s">
        <v>441</v>
      </c>
      <c r="E51" s="66" t="s">
        <v>442</v>
      </c>
      <c r="F51" s="66" t="s">
        <v>443</v>
      </c>
      <c r="G51" s="67" t="s">
        <v>444</v>
      </c>
      <c r="H51" s="67" t="s">
        <v>445</v>
      </c>
      <c r="I51" s="67" t="s">
        <v>446</v>
      </c>
    </row>
    <row r="52">
      <c r="A52" s="66" t="s">
        <v>447</v>
      </c>
      <c r="B52" s="67" t="s">
        <v>448</v>
      </c>
      <c r="C52" s="66" t="s">
        <v>449</v>
      </c>
      <c r="D52" s="66" t="s">
        <v>450</v>
      </c>
      <c r="E52" s="66" t="s">
        <v>451</v>
      </c>
      <c r="F52" s="66" t="s">
        <v>447</v>
      </c>
      <c r="G52" s="67" t="s">
        <v>452</v>
      </c>
      <c r="H52" s="67" t="s">
        <v>453</v>
      </c>
      <c r="I52" s="67" t="s">
        <v>453</v>
      </c>
    </row>
    <row r="53">
      <c r="A53" s="66" t="s">
        <v>454</v>
      </c>
      <c r="B53" s="67" t="s">
        <v>455</v>
      </c>
      <c r="C53" s="66" t="s">
        <v>456</v>
      </c>
      <c r="D53" s="66" t="s">
        <v>457</v>
      </c>
      <c r="E53" s="66" t="s">
        <v>458</v>
      </c>
      <c r="F53" s="66" t="s">
        <v>459</v>
      </c>
      <c r="G53" s="67" t="s">
        <v>460</v>
      </c>
      <c r="H53" s="67" t="s">
        <v>461</v>
      </c>
      <c r="I53" s="67" t="s">
        <v>461</v>
      </c>
    </row>
    <row r="54">
      <c r="A54" s="66" t="s">
        <v>462</v>
      </c>
      <c r="B54" s="67" t="s">
        <v>463</v>
      </c>
      <c r="C54" s="66" t="s">
        <v>464</v>
      </c>
      <c r="D54" s="66" t="s">
        <v>465</v>
      </c>
      <c r="E54" s="66" t="s">
        <v>466</v>
      </c>
      <c r="F54" s="66" t="s">
        <v>462</v>
      </c>
      <c r="G54" s="67" t="s">
        <v>467</v>
      </c>
      <c r="H54" s="67" t="s">
        <v>468</v>
      </c>
      <c r="I54" s="67" t="s">
        <v>468</v>
      </c>
    </row>
    <row r="55">
      <c r="A55" s="66" t="s">
        <v>469</v>
      </c>
      <c r="B55" s="67" t="s">
        <v>470</v>
      </c>
      <c r="C55" s="66" t="s">
        <v>471</v>
      </c>
      <c r="D55" s="66" t="s">
        <v>472</v>
      </c>
      <c r="E55" s="66" t="s">
        <v>473</v>
      </c>
      <c r="F55" s="66" t="s">
        <v>469</v>
      </c>
      <c r="G55" s="67" t="s">
        <v>474</v>
      </c>
      <c r="H55" s="67" t="s">
        <v>475</v>
      </c>
      <c r="I55" s="67" t="s">
        <v>476</v>
      </c>
    </row>
    <row r="56">
      <c r="A56" s="66" t="s">
        <v>477</v>
      </c>
      <c r="B56" s="67" t="s">
        <v>478</v>
      </c>
      <c r="C56" s="66" t="s">
        <v>479</v>
      </c>
      <c r="D56" s="66" t="s">
        <v>480</v>
      </c>
      <c r="E56" s="66" t="s">
        <v>481</v>
      </c>
      <c r="F56" s="66" t="s">
        <v>477</v>
      </c>
      <c r="G56" s="67" t="s">
        <v>482</v>
      </c>
      <c r="H56" s="67" t="s">
        <v>483</v>
      </c>
      <c r="I56" s="67" t="s">
        <v>484</v>
      </c>
    </row>
    <row r="57">
      <c r="A57" s="66" t="s">
        <v>485</v>
      </c>
      <c r="B57" s="67" t="s">
        <v>486</v>
      </c>
      <c r="C57" s="66" t="s">
        <v>485</v>
      </c>
      <c r="D57" s="66" t="s">
        <v>485</v>
      </c>
      <c r="E57" s="66" t="s">
        <v>487</v>
      </c>
      <c r="F57" s="66" t="s">
        <v>488</v>
      </c>
      <c r="G57" s="67" t="s">
        <v>489</v>
      </c>
      <c r="H57" s="67" t="s">
        <v>490</v>
      </c>
      <c r="I57" s="67" t="s">
        <v>491</v>
      </c>
    </row>
    <row r="58">
      <c r="A58" s="66" t="s">
        <v>492</v>
      </c>
      <c r="B58" s="67" t="s">
        <v>493</v>
      </c>
      <c r="C58" s="66" t="s">
        <v>494</v>
      </c>
      <c r="D58" s="66" t="s">
        <v>495</v>
      </c>
      <c r="E58" s="66" t="s">
        <v>310</v>
      </c>
      <c r="F58" s="66" t="s">
        <v>496</v>
      </c>
      <c r="G58" s="67" t="s">
        <v>497</v>
      </c>
      <c r="H58" s="67" t="s">
        <v>498</v>
      </c>
      <c r="I58" s="67" t="s">
        <v>499</v>
      </c>
    </row>
    <row r="59">
      <c r="A59" s="66" t="s">
        <v>500</v>
      </c>
      <c r="B59" s="67" t="s">
        <v>501</v>
      </c>
      <c r="C59" s="66" t="s">
        <v>502</v>
      </c>
      <c r="D59" s="66" t="s">
        <v>503</v>
      </c>
      <c r="E59" s="66" t="s">
        <v>504</v>
      </c>
      <c r="F59" s="66" t="s">
        <v>505</v>
      </c>
      <c r="G59" s="67" t="s">
        <v>506</v>
      </c>
      <c r="H59" s="67" t="s">
        <v>507</v>
      </c>
      <c r="I59" s="67" t="s">
        <v>507</v>
      </c>
    </row>
    <row r="60">
      <c r="A60" s="66" t="s">
        <v>508</v>
      </c>
      <c r="B60" s="67" t="s">
        <v>509</v>
      </c>
      <c r="C60" s="66" t="s">
        <v>510</v>
      </c>
      <c r="D60" s="66" t="s">
        <v>511</v>
      </c>
      <c r="E60" s="66" t="s">
        <v>512</v>
      </c>
      <c r="F60" s="66" t="s">
        <v>513</v>
      </c>
      <c r="G60" s="67" t="s">
        <v>514</v>
      </c>
      <c r="H60" s="67" t="s">
        <v>515</v>
      </c>
      <c r="I60" s="67" t="s">
        <v>516</v>
      </c>
    </row>
    <row r="61">
      <c r="A61" s="66" t="s">
        <v>517</v>
      </c>
      <c r="B61" s="67" t="s">
        <v>518</v>
      </c>
      <c r="C61" s="66" t="s">
        <v>519</v>
      </c>
      <c r="D61" s="66" t="s">
        <v>291</v>
      </c>
      <c r="E61" s="66" t="s">
        <v>520</v>
      </c>
      <c r="F61" s="66" t="s">
        <v>521</v>
      </c>
      <c r="G61" s="67" t="s">
        <v>522</v>
      </c>
      <c r="H61" s="67" t="s">
        <v>523</v>
      </c>
      <c r="I61" s="67" t="s">
        <v>523</v>
      </c>
    </row>
    <row r="62">
      <c r="A62" s="66" t="s">
        <v>307</v>
      </c>
      <c r="B62" s="67" t="s">
        <v>524</v>
      </c>
      <c r="C62" s="66" t="s">
        <v>525</v>
      </c>
      <c r="D62" s="66" t="s">
        <v>526</v>
      </c>
      <c r="E62" s="66" t="s">
        <v>527</v>
      </c>
      <c r="F62" s="66" t="s">
        <v>307</v>
      </c>
      <c r="G62" s="67" t="s">
        <v>528</v>
      </c>
      <c r="H62" s="67" t="s">
        <v>529</v>
      </c>
      <c r="I62" s="67" t="s">
        <v>529</v>
      </c>
    </row>
    <row r="63">
      <c r="A63" s="66" t="s">
        <v>530</v>
      </c>
      <c r="B63" s="67" t="s">
        <v>531</v>
      </c>
      <c r="C63" s="66" t="s">
        <v>532</v>
      </c>
      <c r="D63" s="66" t="s">
        <v>533</v>
      </c>
      <c r="E63" s="66" t="s">
        <v>534</v>
      </c>
      <c r="F63" s="66" t="s">
        <v>530</v>
      </c>
      <c r="G63" s="67" t="s">
        <v>535</v>
      </c>
      <c r="H63" s="67" t="s">
        <v>536</v>
      </c>
      <c r="I63" s="67" t="s">
        <v>536</v>
      </c>
    </row>
    <row r="64">
      <c r="A64" s="66" t="s">
        <v>537</v>
      </c>
      <c r="B64" s="67" t="s">
        <v>538</v>
      </c>
      <c r="C64" s="66" t="s">
        <v>539</v>
      </c>
      <c r="D64" s="66" t="s">
        <v>540</v>
      </c>
      <c r="E64" s="66" t="s">
        <v>541</v>
      </c>
      <c r="F64" s="66" t="s">
        <v>542</v>
      </c>
      <c r="G64" s="67" t="s">
        <v>543</v>
      </c>
      <c r="H64" s="67" t="s">
        <v>544</v>
      </c>
      <c r="I64" s="67" t="s">
        <v>544</v>
      </c>
    </row>
    <row r="65">
      <c r="A65" s="66" t="s">
        <v>545</v>
      </c>
      <c r="B65" s="67" t="s">
        <v>546</v>
      </c>
      <c r="C65" s="66" t="s">
        <v>547</v>
      </c>
      <c r="D65" s="66" t="s">
        <v>548</v>
      </c>
      <c r="E65" s="66" t="s">
        <v>549</v>
      </c>
      <c r="F65" s="66" t="s">
        <v>550</v>
      </c>
      <c r="G65" s="67" t="s">
        <v>551</v>
      </c>
      <c r="H65" s="67" t="s">
        <v>552</v>
      </c>
      <c r="I65" s="67" t="s">
        <v>552</v>
      </c>
    </row>
    <row r="66">
      <c r="A66" s="66" t="s">
        <v>553</v>
      </c>
      <c r="B66" s="67" t="s">
        <v>554</v>
      </c>
      <c r="C66" s="66" t="s">
        <v>555</v>
      </c>
      <c r="D66" s="66" t="s">
        <v>556</v>
      </c>
      <c r="E66" s="66" t="s">
        <v>557</v>
      </c>
      <c r="F66" s="66" t="s">
        <v>222</v>
      </c>
      <c r="G66" s="67" t="s">
        <v>558</v>
      </c>
      <c r="H66" s="67" t="s">
        <v>559</v>
      </c>
      <c r="I66" s="67" t="s">
        <v>559</v>
      </c>
    </row>
    <row r="67">
      <c r="A67" s="66" t="s">
        <v>560</v>
      </c>
      <c r="B67" s="67" t="s">
        <v>561</v>
      </c>
      <c r="C67" s="66" t="s">
        <v>562</v>
      </c>
      <c r="D67" s="66" t="s">
        <v>563</v>
      </c>
      <c r="E67" s="66" t="s">
        <v>564</v>
      </c>
      <c r="F67" s="66" t="s">
        <v>560</v>
      </c>
      <c r="G67" s="67" t="s">
        <v>565</v>
      </c>
      <c r="H67" s="67" t="s">
        <v>566</v>
      </c>
      <c r="I67" s="67" t="s">
        <v>566</v>
      </c>
    </row>
    <row r="68">
      <c r="A68" s="66" t="s">
        <v>557</v>
      </c>
      <c r="B68" s="67" t="s">
        <v>567</v>
      </c>
      <c r="C68" s="66" t="s">
        <v>557</v>
      </c>
      <c r="D68" s="66" t="s">
        <v>568</v>
      </c>
      <c r="E68" s="66" t="s">
        <v>569</v>
      </c>
      <c r="F68" s="66" t="s">
        <v>557</v>
      </c>
      <c r="G68" s="67" t="s">
        <v>570</v>
      </c>
      <c r="H68" s="67" t="s">
        <v>571</v>
      </c>
      <c r="I68" s="67" t="s">
        <v>571</v>
      </c>
    </row>
    <row r="69">
      <c r="A69" s="66" t="s">
        <v>572</v>
      </c>
      <c r="B69" s="67" t="s">
        <v>573</v>
      </c>
      <c r="C69" s="66" t="s">
        <v>574</v>
      </c>
      <c r="D69" s="66" t="s">
        <v>575</v>
      </c>
      <c r="E69" s="66" t="s">
        <v>576</v>
      </c>
      <c r="F69" s="66" t="s">
        <v>572</v>
      </c>
      <c r="G69" s="67" t="s">
        <v>577</v>
      </c>
      <c r="H69" s="67" t="s">
        <v>578</v>
      </c>
      <c r="I69" s="67" t="s">
        <v>579</v>
      </c>
    </row>
    <row r="70">
      <c r="A70" s="66" t="s">
        <v>580</v>
      </c>
      <c r="B70" s="67" t="s">
        <v>581</v>
      </c>
      <c r="C70" s="66" t="s">
        <v>582</v>
      </c>
      <c r="D70" s="66" t="s">
        <v>583</v>
      </c>
      <c r="E70" s="66" t="s">
        <v>584</v>
      </c>
      <c r="F70" s="66" t="s">
        <v>585</v>
      </c>
      <c r="G70" s="67" t="s">
        <v>586</v>
      </c>
      <c r="H70" s="67" t="s">
        <v>587</v>
      </c>
      <c r="I70" s="67" t="s">
        <v>588</v>
      </c>
    </row>
    <row r="71">
      <c r="A71" s="66" t="s">
        <v>589</v>
      </c>
      <c r="B71" s="67" t="s">
        <v>590</v>
      </c>
      <c r="C71" s="66" t="s">
        <v>591</v>
      </c>
      <c r="D71" s="66" t="s">
        <v>592</v>
      </c>
      <c r="E71" s="66" t="s">
        <v>593</v>
      </c>
      <c r="F71" s="66" t="s">
        <v>594</v>
      </c>
      <c r="G71" s="67" t="s">
        <v>595</v>
      </c>
      <c r="H71" s="67" t="s">
        <v>596</v>
      </c>
      <c r="I71" s="67" t="s">
        <v>596</v>
      </c>
    </row>
    <row r="72">
      <c r="A72" s="66" t="s">
        <v>597</v>
      </c>
      <c r="B72" s="67" t="s">
        <v>598</v>
      </c>
      <c r="C72" s="66" t="s">
        <v>599</v>
      </c>
      <c r="D72" s="66" t="s">
        <v>600</v>
      </c>
      <c r="E72" s="66" t="s">
        <v>601</v>
      </c>
      <c r="F72" s="66" t="s">
        <v>602</v>
      </c>
      <c r="G72" s="67" t="s">
        <v>603</v>
      </c>
      <c r="H72" s="67" t="s">
        <v>604</v>
      </c>
      <c r="I72" s="67" t="s">
        <v>605</v>
      </c>
    </row>
    <row r="73">
      <c r="A73" s="66" t="s">
        <v>606</v>
      </c>
      <c r="B73" s="67" t="s">
        <v>607</v>
      </c>
      <c r="C73" s="66" t="s">
        <v>608</v>
      </c>
      <c r="D73" s="66" t="s">
        <v>609</v>
      </c>
      <c r="E73" s="66" t="s">
        <v>610</v>
      </c>
      <c r="F73" s="66" t="s">
        <v>611</v>
      </c>
      <c r="G73" s="67" t="s">
        <v>612</v>
      </c>
      <c r="H73" s="67" t="s">
        <v>613</v>
      </c>
      <c r="I73" s="67" t="s">
        <v>614</v>
      </c>
    </row>
    <row r="74">
      <c r="A74" s="66" t="s">
        <v>615</v>
      </c>
      <c r="B74" s="67" t="s">
        <v>616</v>
      </c>
      <c r="C74" s="66" t="s">
        <v>615</v>
      </c>
      <c r="D74" s="66" t="s">
        <v>617</v>
      </c>
      <c r="E74" s="66" t="s">
        <v>618</v>
      </c>
      <c r="F74" s="66" t="s">
        <v>619</v>
      </c>
      <c r="G74" s="67" t="s">
        <v>620</v>
      </c>
      <c r="H74" s="67" t="s">
        <v>621</v>
      </c>
      <c r="I74" s="67" t="s">
        <v>621</v>
      </c>
    </row>
    <row r="75">
      <c r="A75" s="66" t="s">
        <v>622</v>
      </c>
      <c r="B75" s="67" t="s">
        <v>623</v>
      </c>
      <c r="C75" s="66" t="s">
        <v>624</v>
      </c>
      <c r="D75" s="66" t="s">
        <v>625</v>
      </c>
      <c r="E75" s="66" t="s">
        <v>626</v>
      </c>
      <c r="F75" s="66" t="s">
        <v>622</v>
      </c>
      <c r="G75" s="67" t="s">
        <v>627</v>
      </c>
      <c r="H75" s="67" t="s">
        <v>628</v>
      </c>
      <c r="I75" s="67" t="s">
        <v>629</v>
      </c>
    </row>
    <row r="76">
      <c r="A76" s="66" t="s">
        <v>630</v>
      </c>
      <c r="B76" s="67" t="s">
        <v>631</v>
      </c>
      <c r="C76" s="66" t="s">
        <v>632</v>
      </c>
      <c r="D76" s="66" t="s">
        <v>633</v>
      </c>
      <c r="E76" s="66" t="s">
        <v>634</v>
      </c>
      <c r="F76" s="66" t="s">
        <v>635</v>
      </c>
      <c r="G76" s="67" t="s">
        <v>636</v>
      </c>
      <c r="H76" s="67" t="s">
        <v>637</v>
      </c>
      <c r="I76" s="67" t="s">
        <v>637</v>
      </c>
    </row>
    <row r="77">
      <c r="A77" s="66" t="s">
        <v>638</v>
      </c>
      <c r="B77" s="67" t="s">
        <v>639</v>
      </c>
      <c r="C77" s="66" t="s">
        <v>640</v>
      </c>
      <c r="D77" s="66" t="s">
        <v>641</v>
      </c>
      <c r="E77" s="66" t="s">
        <v>640</v>
      </c>
      <c r="F77" s="66" t="s">
        <v>642</v>
      </c>
      <c r="G77" s="67" t="s">
        <v>643</v>
      </c>
      <c r="H77" s="67" t="s">
        <v>644</v>
      </c>
      <c r="I77" s="67" t="s">
        <v>644</v>
      </c>
    </row>
    <row r="78">
      <c r="A78" s="66" t="s">
        <v>645</v>
      </c>
      <c r="B78" s="67" t="s">
        <v>646</v>
      </c>
      <c r="C78" s="66" t="s">
        <v>647</v>
      </c>
      <c r="D78" s="66" t="s">
        <v>426</v>
      </c>
      <c r="E78" s="66" t="s">
        <v>648</v>
      </c>
      <c r="F78" s="66" t="s">
        <v>649</v>
      </c>
      <c r="G78" s="67" t="s">
        <v>650</v>
      </c>
      <c r="H78" s="67" t="s">
        <v>651</v>
      </c>
      <c r="I78" s="67" t="s">
        <v>651</v>
      </c>
    </row>
    <row r="79">
      <c r="A79" s="66" t="s">
        <v>652</v>
      </c>
      <c r="B79" s="67" t="s">
        <v>653</v>
      </c>
      <c r="C79" s="66" t="s">
        <v>654</v>
      </c>
      <c r="D79" s="66" t="s">
        <v>655</v>
      </c>
      <c r="E79" s="66" t="s">
        <v>656</v>
      </c>
      <c r="F79" s="66" t="s">
        <v>652</v>
      </c>
      <c r="G79" s="67" t="s">
        <v>657</v>
      </c>
      <c r="H79" s="67" t="s">
        <v>658</v>
      </c>
      <c r="I79" s="67" t="s">
        <v>658</v>
      </c>
    </row>
    <row r="80">
      <c r="A80" s="66" t="s">
        <v>659</v>
      </c>
      <c r="B80" s="67" t="s">
        <v>660</v>
      </c>
      <c r="C80" s="66" t="s">
        <v>661</v>
      </c>
      <c r="D80" s="66" t="s">
        <v>662</v>
      </c>
      <c r="E80" s="66" t="s">
        <v>663</v>
      </c>
      <c r="F80" s="66" t="s">
        <v>664</v>
      </c>
      <c r="G80" s="67" t="s">
        <v>665</v>
      </c>
      <c r="H80" s="67" t="s">
        <v>666</v>
      </c>
      <c r="I80" s="67" t="s">
        <v>666</v>
      </c>
    </row>
    <row r="81">
      <c r="A81" s="66" t="s">
        <v>667</v>
      </c>
      <c r="B81" s="67" t="s">
        <v>668</v>
      </c>
      <c r="C81" s="66" t="s">
        <v>669</v>
      </c>
      <c r="D81" s="66" t="s">
        <v>670</v>
      </c>
      <c r="E81" s="66" t="s">
        <v>671</v>
      </c>
      <c r="F81" s="66" t="s">
        <v>672</v>
      </c>
      <c r="G81" s="67" t="s">
        <v>673</v>
      </c>
      <c r="H81" s="67" t="s">
        <v>674</v>
      </c>
      <c r="I81" s="67" t="s">
        <v>675</v>
      </c>
    </row>
    <row r="82">
      <c r="A82" s="66" t="s">
        <v>676</v>
      </c>
      <c r="B82" s="67" t="s">
        <v>677</v>
      </c>
      <c r="C82" s="66" t="s">
        <v>678</v>
      </c>
      <c r="D82" s="66" t="s">
        <v>679</v>
      </c>
      <c r="E82" s="66" t="s">
        <v>680</v>
      </c>
      <c r="F82" s="66" t="s">
        <v>681</v>
      </c>
      <c r="G82" s="67" t="s">
        <v>682</v>
      </c>
      <c r="H82" s="67" t="s">
        <v>683</v>
      </c>
      <c r="I82" s="67" t="s">
        <v>684</v>
      </c>
    </row>
    <row r="83">
      <c r="A83" s="66" t="s">
        <v>427</v>
      </c>
      <c r="B83" s="67" t="s">
        <v>685</v>
      </c>
      <c r="C83" s="66" t="s">
        <v>686</v>
      </c>
      <c r="D83" s="66" t="s">
        <v>687</v>
      </c>
      <c r="E83" s="66" t="s">
        <v>688</v>
      </c>
      <c r="F83" s="66" t="s">
        <v>232</v>
      </c>
      <c r="G83" s="67" t="s">
        <v>689</v>
      </c>
      <c r="H83" s="67" t="s">
        <v>690</v>
      </c>
      <c r="I83" s="67" t="s">
        <v>691</v>
      </c>
    </row>
    <row r="84">
      <c r="A84" s="66" t="s">
        <v>233</v>
      </c>
      <c r="B84" s="67" t="s">
        <v>692</v>
      </c>
      <c r="C84" s="66" t="s">
        <v>693</v>
      </c>
      <c r="D84" s="66" t="s">
        <v>233</v>
      </c>
      <c r="E84" s="66" t="s">
        <v>694</v>
      </c>
      <c r="F84" s="66" t="s">
        <v>695</v>
      </c>
      <c r="G84" s="67" t="s">
        <v>696</v>
      </c>
      <c r="H84" s="67" t="s">
        <v>697</v>
      </c>
      <c r="I84" s="67" t="s">
        <v>697</v>
      </c>
    </row>
    <row r="85">
      <c r="A85" s="66" t="s">
        <v>698</v>
      </c>
      <c r="B85" s="67" t="s">
        <v>699</v>
      </c>
      <c r="C85" s="66" t="s">
        <v>266</v>
      </c>
      <c r="D85" s="66" t="s">
        <v>700</v>
      </c>
      <c r="E85" s="66" t="s">
        <v>701</v>
      </c>
      <c r="F85" s="66" t="s">
        <v>698</v>
      </c>
      <c r="G85" s="67" t="s">
        <v>702</v>
      </c>
      <c r="H85" s="67" t="s">
        <v>703</v>
      </c>
      <c r="I85" s="67" t="s">
        <v>703</v>
      </c>
    </row>
    <row r="86">
      <c r="A86" s="66" t="s">
        <v>704</v>
      </c>
      <c r="B86" s="67" t="s">
        <v>705</v>
      </c>
      <c r="C86" s="66" t="s">
        <v>706</v>
      </c>
      <c r="D86" s="66" t="s">
        <v>704</v>
      </c>
      <c r="E86" s="66" t="s">
        <v>707</v>
      </c>
      <c r="F86" s="66" t="s">
        <v>708</v>
      </c>
      <c r="G86" s="67" t="s">
        <v>709</v>
      </c>
      <c r="H86" s="67" t="s">
        <v>710</v>
      </c>
      <c r="I86" s="67" t="s">
        <v>711</v>
      </c>
    </row>
    <row r="87">
      <c r="A87" s="66" t="s">
        <v>712</v>
      </c>
      <c r="B87" s="67" t="s">
        <v>713</v>
      </c>
      <c r="C87" s="66" t="s">
        <v>712</v>
      </c>
      <c r="D87" s="66" t="s">
        <v>714</v>
      </c>
      <c r="E87" s="66" t="s">
        <v>715</v>
      </c>
      <c r="F87" s="66" t="s">
        <v>716</v>
      </c>
      <c r="G87" s="67" t="s">
        <v>717</v>
      </c>
      <c r="H87" s="67" t="s">
        <v>718</v>
      </c>
      <c r="I87" s="67" t="s">
        <v>719</v>
      </c>
    </row>
    <row r="88">
      <c r="A88" s="66" t="s">
        <v>720</v>
      </c>
      <c r="B88" s="67" t="s">
        <v>721</v>
      </c>
      <c r="C88" s="66" t="s">
        <v>722</v>
      </c>
      <c r="D88" s="66" t="s">
        <v>723</v>
      </c>
      <c r="E88" s="66" t="s">
        <v>724</v>
      </c>
      <c r="F88" s="66" t="s">
        <v>725</v>
      </c>
      <c r="G88" s="67" t="s">
        <v>726</v>
      </c>
      <c r="H88" s="67" t="s">
        <v>727</v>
      </c>
      <c r="I88" s="67" t="s">
        <v>728</v>
      </c>
    </row>
    <row r="89">
      <c r="A89" s="66" t="s">
        <v>729</v>
      </c>
      <c r="B89" s="67" t="s">
        <v>730</v>
      </c>
      <c r="C89" s="66" t="s">
        <v>731</v>
      </c>
      <c r="D89" s="66" t="s">
        <v>732</v>
      </c>
      <c r="E89" s="66" t="s">
        <v>733</v>
      </c>
      <c r="F89" s="66" t="s">
        <v>734</v>
      </c>
      <c r="G89" s="67" t="s">
        <v>735</v>
      </c>
      <c r="H89" s="67" t="s">
        <v>736</v>
      </c>
      <c r="I89" s="67" t="s">
        <v>737</v>
      </c>
    </row>
    <row r="90">
      <c r="A90" s="66" t="s">
        <v>738</v>
      </c>
      <c r="B90" s="67" t="s">
        <v>739</v>
      </c>
      <c r="C90" s="66" t="s">
        <v>740</v>
      </c>
      <c r="D90" s="66" t="s">
        <v>741</v>
      </c>
      <c r="E90" s="66" t="s">
        <v>742</v>
      </c>
      <c r="F90" s="66" t="s">
        <v>743</v>
      </c>
      <c r="G90" s="67" t="s">
        <v>744</v>
      </c>
      <c r="H90" s="67" t="s">
        <v>745</v>
      </c>
      <c r="I90" s="67" t="s">
        <v>745</v>
      </c>
    </row>
    <row r="91">
      <c r="A91" s="66" t="s">
        <v>706</v>
      </c>
      <c r="B91" s="67" t="s">
        <v>746</v>
      </c>
      <c r="C91" s="66" t="s">
        <v>747</v>
      </c>
      <c r="D91" s="66" t="s">
        <v>706</v>
      </c>
      <c r="E91" s="66" t="s">
        <v>748</v>
      </c>
      <c r="F91" s="66" t="s">
        <v>749</v>
      </c>
      <c r="G91" s="67" t="s">
        <v>750</v>
      </c>
      <c r="H91" s="67" t="s">
        <v>751</v>
      </c>
      <c r="I91" s="67" t="s">
        <v>752</v>
      </c>
    </row>
    <row r="92">
      <c r="A92" s="66" t="s">
        <v>753</v>
      </c>
      <c r="B92" s="67" t="s">
        <v>754</v>
      </c>
      <c r="C92" s="66" t="s">
        <v>755</v>
      </c>
      <c r="D92" s="66" t="s">
        <v>756</v>
      </c>
      <c r="E92" s="66" t="s">
        <v>757</v>
      </c>
      <c r="F92" s="66" t="s">
        <v>758</v>
      </c>
      <c r="G92" s="67" t="s">
        <v>759</v>
      </c>
      <c r="H92" s="67" t="s">
        <v>760</v>
      </c>
      <c r="I92" s="67" t="s">
        <v>760</v>
      </c>
    </row>
    <row r="93">
      <c r="A93" s="66" t="s">
        <v>761</v>
      </c>
      <c r="B93" s="67" t="s">
        <v>762</v>
      </c>
      <c r="C93" s="66" t="s">
        <v>763</v>
      </c>
      <c r="D93" s="66" t="s">
        <v>764</v>
      </c>
      <c r="E93" s="66" t="s">
        <v>765</v>
      </c>
      <c r="F93" s="66" t="s">
        <v>766</v>
      </c>
      <c r="G93" s="67" t="s">
        <v>767</v>
      </c>
      <c r="H93" s="67" t="s">
        <v>768</v>
      </c>
      <c r="I93" s="67" t="s">
        <v>768</v>
      </c>
    </row>
    <row r="94">
      <c r="A94" s="66" t="s">
        <v>769</v>
      </c>
      <c r="B94" s="67" t="s">
        <v>770</v>
      </c>
      <c r="C94" s="66" t="s">
        <v>771</v>
      </c>
      <c r="D94" s="66" t="s">
        <v>772</v>
      </c>
      <c r="E94" s="66" t="s">
        <v>773</v>
      </c>
      <c r="F94" s="66" t="s">
        <v>769</v>
      </c>
      <c r="G94" s="67" t="s">
        <v>774</v>
      </c>
      <c r="H94" s="67" t="s">
        <v>775</v>
      </c>
      <c r="I94" s="67" t="s">
        <v>776</v>
      </c>
    </row>
    <row r="95">
      <c r="A95" s="66" t="s">
        <v>777</v>
      </c>
      <c r="B95" s="67" t="s">
        <v>778</v>
      </c>
      <c r="C95" s="66" t="s">
        <v>779</v>
      </c>
      <c r="D95" s="66" t="s">
        <v>780</v>
      </c>
      <c r="E95" s="66" t="s">
        <v>781</v>
      </c>
      <c r="F95" s="66" t="s">
        <v>782</v>
      </c>
      <c r="G95" s="67" t="s">
        <v>783</v>
      </c>
      <c r="H95" s="67" t="s">
        <v>784</v>
      </c>
      <c r="I95" s="67" t="s">
        <v>785</v>
      </c>
    </row>
    <row r="96">
      <c r="A96" s="66" t="s">
        <v>786</v>
      </c>
      <c r="B96" s="67" t="s">
        <v>787</v>
      </c>
      <c r="C96" s="66" t="s">
        <v>788</v>
      </c>
      <c r="D96" s="66" t="s">
        <v>789</v>
      </c>
      <c r="E96" s="66" t="s">
        <v>790</v>
      </c>
      <c r="F96" s="66" t="s">
        <v>791</v>
      </c>
      <c r="G96" s="67" t="s">
        <v>792</v>
      </c>
      <c r="H96" s="67" t="s">
        <v>793</v>
      </c>
      <c r="I96" s="67" t="s">
        <v>794</v>
      </c>
    </row>
    <row r="97">
      <c r="A97" s="66" t="s">
        <v>795</v>
      </c>
      <c r="B97" s="67" t="s">
        <v>796</v>
      </c>
      <c r="C97" s="66" t="s">
        <v>797</v>
      </c>
      <c r="D97" s="66" t="s">
        <v>798</v>
      </c>
      <c r="E97" s="66" t="s">
        <v>799</v>
      </c>
      <c r="F97" s="66" t="s">
        <v>800</v>
      </c>
      <c r="G97" s="67" t="s">
        <v>801</v>
      </c>
      <c r="H97" s="67" t="s">
        <v>802</v>
      </c>
      <c r="I97" s="67" t="s">
        <v>803</v>
      </c>
    </row>
    <row r="98">
      <c r="A98" s="66" t="s">
        <v>804</v>
      </c>
      <c r="B98" s="67" t="s">
        <v>805</v>
      </c>
      <c r="C98" s="66" t="s">
        <v>757</v>
      </c>
      <c r="D98" s="66" t="s">
        <v>806</v>
      </c>
      <c r="E98" s="66" t="s">
        <v>807</v>
      </c>
      <c r="F98" s="66" t="s">
        <v>808</v>
      </c>
      <c r="G98" s="67" t="s">
        <v>809</v>
      </c>
      <c r="H98" s="67" t="s">
        <v>810</v>
      </c>
      <c r="I98" s="67" t="s">
        <v>811</v>
      </c>
    </row>
    <row r="99">
      <c r="A99" s="66" t="s">
        <v>812</v>
      </c>
      <c r="B99" s="67" t="s">
        <v>813</v>
      </c>
      <c r="C99" s="66" t="s">
        <v>766</v>
      </c>
      <c r="D99" s="66" t="s">
        <v>814</v>
      </c>
      <c r="E99" s="66" t="s">
        <v>777</v>
      </c>
      <c r="F99" s="66" t="s">
        <v>815</v>
      </c>
      <c r="G99" s="67" t="s">
        <v>816</v>
      </c>
      <c r="H99" s="67" t="s">
        <v>817</v>
      </c>
      <c r="I99" s="67" t="s">
        <v>818</v>
      </c>
    </row>
    <row r="100">
      <c r="A100" s="66" t="s">
        <v>819</v>
      </c>
      <c r="B100" s="67" t="s">
        <v>820</v>
      </c>
      <c r="C100" s="66" t="s">
        <v>169</v>
      </c>
      <c r="D100" s="66" t="s">
        <v>821</v>
      </c>
      <c r="E100" s="66" t="s">
        <v>822</v>
      </c>
      <c r="F100" s="66" t="s">
        <v>823</v>
      </c>
      <c r="G100" s="67" t="s">
        <v>824</v>
      </c>
      <c r="H100" s="67" t="s">
        <v>825</v>
      </c>
      <c r="I100" s="67" t="s">
        <v>825</v>
      </c>
    </row>
    <row r="101">
      <c r="A101" s="66" t="s">
        <v>826</v>
      </c>
      <c r="B101" s="67" t="s">
        <v>827</v>
      </c>
      <c r="C101" s="66" t="s">
        <v>828</v>
      </c>
      <c r="D101" s="66" t="s">
        <v>829</v>
      </c>
      <c r="E101" s="66" t="s">
        <v>830</v>
      </c>
      <c r="F101" s="66" t="s">
        <v>773</v>
      </c>
      <c r="G101" s="67" t="s">
        <v>831</v>
      </c>
      <c r="H101" s="67" t="s">
        <v>832</v>
      </c>
      <c r="I101" s="67" t="s">
        <v>833</v>
      </c>
    </row>
    <row r="102">
      <c r="A102" s="66" t="s">
        <v>834</v>
      </c>
      <c r="B102" s="67" t="s">
        <v>835</v>
      </c>
      <c r="C102" s="66" t="s">
        <v>836</v>
      </c>
      <c r="D102" s="66" t="s">
        <v>837</v>
      </c>
      <c r="E102" s="66" t="s">
        <v>838</v>
      </c>
      <c r="F102" s="66" t="s">
        <v>839</v>
      </c>
      <c r="G102" s="67" t="s">
        <v>840</v>
      </c>
      <c r="H102" s="67" t="s">
        <v>841</v>
      </c>
      <c r="I102" s="67" t="s">
        <v>841</v>
      </c>
    </row>
    <row r="103">
      <c r="A103" s="66" t="s">
        <v>842</v>
      </c>
      <c r="B103" s="67" t="s">
        <v>843</v>
      </c>
      <c r="C103" s="66" t="s">
        <v>844</v>
      </c>
      <c r="D103" s="66" t="s">
        <v>845</v>
      </c>
      <c r="E103" s="66" t="s">
        <v>846</v>
      </c>
      <c r="F103" s="66" t="s">
        <v>847</v>
      </c>
      <c r="G103" s="67" t="s">
        <v>848</v>
      </c>
      <c r="H103" s="67" t="s">
        <v>849</v>
      </c>
      <c r="I103" s="67" t="s">
        <v>850</v>
      </c>
    </row>
    <row r="104">
      <c r="A104" s="66" t="s">
        <v>851</v>
      </c>
      <c r="B104" s="67" t="s">
        <v>852</v>
      </c>
      <c r="C104" s="66" t="s">
        <v>853</v>
      </c>
      <c r="D104" s="66" t="s">
        <v>854</v>
      </c>
      <c r="E104" s="66" t="s">
        <v>782</v>
      </c>
      <c r="F104" s="66" t="s">
        <v>184</v>
      </c>
      <c r="G104" s="67" t="s">
        <v>855</v>
      </c>
      <c r="H104" s="67" t="s">
        <v>856</v>
      </c>
      <c r="I104" s="67" t="s">
        <v>856</v>
      </c>
    </row>
    <row r="105">
      <c r="A105" s="66" t="s">
        <v>857</v>
      </c>
      <c r="B105" s="67" t="s">
        <v>858</v>
      </c>
      <c r="C105" s="66" t="s">
        <v>859</v>
      </c>
      <c r="D105" s="66" t="s">
        <v>860</v>
      </c>
      <c r="E105" s="66" t="s">
        <v>861</v>
      </c>
      <c r="F105" s="66" t="s">
        <v>862</v>
      </c>
      <c r="G105" s="67" t="s">
        <v>863</v>
      </c>
      <c r="H105" s="67" t="s">
        <v>864</v>
      </c>
      <c r="I105" s="67" t="s">
        <v>864</v>
      </c>
    </row>
    <row r="106">
      <c r="A106" s="66" t="s">
        <v>865</v>
      </c>
      <c r="B106" s="67" t="s">
        <v>866</v>
      </c>
      <c r="C106" s="66" t="s">
        <v>725</v>
      </c>
      <c r="D106" s="66" t="s">
        <v>867</v>
      </c>
      <c r="E106" s="66" t="s">
        <v>868</v>
      </c>
      <c r="F106" s="66" t="s">
        <v>869</v>
      </c>
      <c r="G106" s="67" t="s">
        <v>870</v>
      </c>
      <c r="H106" s="67" t="s">
        <v>871</v>
      </c>
      <c r="I106" s="67" t="s">
        <v>872</v>
      </c>
    </row>
    <row r="107">
      <c r="A107" s="66" t="s">
        <v>873</v>
      </c>
      <c r="B107" s="67" t="s">
        <v>874</v>
      </c>
      <c r="C107" s="66" t="s">
        <v>875</v>
      </c>
      <c r="D107" s="66" t="s">
        <v>876</v>
      </c>
      <c r="E107" s="66" t="s">
        <v>877</v>
      </c>
      <c r="F107" s="66" t="s">
        <v>878</v>
      </c>
      <c r="G107" s="67" t="s">
        <v>879</v>
      </c>
      <c r="H107" s="67" t="s">
        <v>880</v>
      </c>
      <c r="I107" s="67" t="s">
        <v>881</v>
      </c>
    </row>
    <row r="108">
      <c r="A108" s="66" t="s">
        <v>882</v>
      </c>
      <c r="B108" s="67" t="s">
        <v>883</v>
      </c>
      <c r="C108" s="66" t="s">
        <v>884</v>
      </c>
      <c r="D108" s="66" t="s">
        <v>882</v>
      </c>
      <c r="E108" s="66" t="s">
        <v>885</v>
      </c>
      <c r="F108" s="66" t="s">
        <v>886</v>
      </c>
      <c r="G108" s="67" t="s">
        <v>887</v>
      </c>
      <c r="H108" s="67" t="s">
        <v>888</v>
      </c>
      <c r="I108" s="67" t="s">
        <v>888</v>
      </c>
    </row>
    <row r="109">
      <c r="A109" s="66" t="s">
        <v>889</v>
      </c>
      <c r="B109" s="67" t="s">
        <v>890</v>
      </c>
      <c r="C109" s="66" t="s">
        <v>891</v>
      </c>
      <c r="D109" s="66" t="s">
        <v>889</v>
      </c>
      <c r="E109" s="66" t="s">
        <v>892</v>
      </c>
      <c r="F109" s="66" t="s">
        <v>889</v>
      </c>
      <c r="G109" s="67" t="s">
        <v>893</v>
      </c>
      <c r="H109" s="67" t="s">
        <v>894</v>
      </c>
      <c r="I109" s="67" t="s">
        <v>894</v>
      </c>
    </row>
    <row r="110">
      <c r="A110" s="66" t="s">
        <v>895</v>
      </c>
      <c r="B110" s="67" t="s">
        <v>896</v>
      </c>
      <c r="C110" s="66" t="s">
        <v>897</v>
      </c>
      <c r="D110" s="66" t="s">
        <v>898</v>
      </c>
      <c r="E110" s="66" t="s">
        <v>899</v>
      </c>
      <c r="F110" s="66" t="s">
        <v>900</v>
      </c>
      <c r="G110" s="67" t="s">
        <v>901</v>
      </c>
      <c r="H110" s="67" t="s">
        <v>902</v>
      </c>
      <c r="I110" s="67" t="s">
        <v>902</v>
      </c>
    </row>
    <row r="111">
      <c r="A111" s="66" t="s">
        <v>903</v>
      </c>
      <c r="B111" s="67" t="s">
        <v>904</v>
      </c>
      <c r="C111" s="66" t="s">
        <v>905</v>
      </c>
      <c r="D111" s="66" t="s">
        <v>906</v>
      </c>
      <c r="E111" s="66" t="s">
        <v>906</v>
      </c>
      <c r="F111" s="66" t="s">
        <v>907</v>
      </c>
      <c r="G111" s="67" t="s">
        <v>908</v>
      </c>
      <c r="H111" s="67" t="s">
        <v>909</v>
      </c>
      <c r="I111" s="67" t="s">
        <v>909</v>
      </c>
    </row>
    <row r="112">
      <c r="A112" s="66" t="s">
        <v>910</v>
      </c>
      <c r="B112" s="67" t="s">
        <v>911</v>
      </c>
      <c r="C112" s="66" t="s">
        <v>912</v>
      </c>
      <c r="D112" s="66" t="s">
        <v>913</v>
      </c>
      <c r="E112" s="66" t="s">
        <v>914</v>
      </c>
      <c r="F112" s="66" t="s">
        <v>915</v>
      </c>
      <c r="G112" s="67" t="s">
        <v>916</v>
      </c>
      <c r="H112" s="67" t="s">
        <v>917</v>
      </c>
      <c r="I112" s="67" t="s">
        <v>917</v>
      </c>
    </row>
    <row r="113">
      <c r="A113" s="66" t="s">
        <v>918</v>
      </c>
      <c r="B113" s="67" t="s">
        <v>919</v>
      </c>
      <c r="C113" s="66" t="s">
        <v>920</v>
      </c>
      <c r="D113" s="66" t="s">
        <v>918</v>
      </c>
      <c r="E113" s="66" t="s">
        <v>921</v>
      </c>
      <c r="F113" s="66" t="s">
        <v>918</v>
      </c>
      <c r="G113" s="67" t="s">
        <v>922</v>
      </c>
      <c r="H113" s="67" t="s">
        <v>923</v>
      </c>
      <c r="I113" s="67" t="s">
        <v>923</v>
      </c>
    </row>
    <row r="114">
      <c r="A114" s="66" t="s">
        <v>924</v>
      </c>
      <c r="B114" s="67" t="s">
        <v>925</v>
      </c>
      <c r="C114" s="66" t="s">
        <v>926</v>
      </c>
      <c r="D114" s="66" t="s">
        <v>924</v>
      </c>
      <c r="E114" s="66" t="s">
        <v>927</v>
      </c>
      <c r="F114" s="66" t="s">
        <v>924</v>
      </c>
      <c r="G114" s="67" t="s">
        <v>928</v>
      </c>
      <c r="H114" s="67" t="s">
        <v>929</v>
      </c>
      <c r="I114" s="67" t="s">
        <v>929</v>
      </c>
    </row>
    <row r="115">
      <c r="A115" s="66" t="s">
        <v>930</v>
      </c>
      <c r="B115" s="67" t="s">
        <v>931</v>
      </c>
      <c r="C115" s="66" t="s">
        <v>932</v>
      </c>
      <c r="D115" s="66" t="s">
        <v>933</v>
      </c>
      <c r="E115" s="66" t="s">
        <v>934</v>
      </c>
      <c r="F115" s="66" t="s">
        <v>935</v>
      </c>
      <c r="G115" s="67" t="s">
        <v>936</v>
      </c>
      <c r="H115" s="67" t="s">
        <v>937</v>
      </c>
      <c r="I115" s="67" t="s">
        <v>938</v>
      </c>
    </row>
    <row r="116">
      <c r="A116" s="66" t="s">
        <v>939</v>
      </c>
      <c r="B116" s="67" t="s">
        <v>940</v>
      </c>
      <c r="C116" s="66" t="s">
        <v>941</v>
      </c>
      <c r="D116" s="66" t="s">
        <v>939</v>
      </c>
      <c r="E116" s="66" t="s">
        <v>942</v>
      </c>
      <c r="F116" s="66" t="s">
        <v>943</v>
      </c>
      <c r="G116" s="67" t="s">
        <v>944</v>
      </c>
      <c r="H116" s="67" t="s">
        <v>945</v>
      </c>
      <c r="I116" s="67" t="s">
        <v>945</v>
      </c>
    </row>
    <row r="117">
      <c r="A117" s="66" t="s">
        <v>946</v>
      </c>
      <c r="B117" s="67" t="s">
        <v>947</v>
      </c>
      <c r="C117" s="66" t="s">
        <v>948</v>
      </c>
      <c r="D117" s="66" t="s">
        <v>949</v>
      </c>
      <c r="E117" s="66" t="s">
        <v>950</v>
      </c>
      <c r="F117" s="66" t="s">
        <v>951</v>
      </c>
      <c r="G117" s="67" t="s">
        <v>952</v>
      </c>
      <c r="H117" s="67" t="s">
        <v>953</v>
      </c>
      <c r="I117" s="67" t="s">
        <v>953</v>
      </c>
    </row>
    <row r="118">
      <c r="A118" s="66" t="s">
        <v>954</v>
      </c>
      <c r="B118" s="67" t="s">
        <v>955</v>
      </c>
      <c r="C118" s="66" t="s">
        <v>956</v>
      </c>
      <c r="D118" s="66" t="s">
        <v>957</v>
      </c>
      <c r="E118" s="66" t="s">
        <v>958</v>
      </c>
      <c r="F118" s="66" t="s">
        <v>958</v>
      </c>
      <c r="G118" s="67" t="s">
        <v>959</v>
      </c>
      <c r="H118" s="67" t="s">
        <v>960</v>
      </c>
      <c r="I118" s="67" t="s">
        <v>960</v>
      </c>
    </row>
    <row r="119">
      <c r="A119" s="66" t="s">
        <v>961</v>
      </c>
      <c r="B119" s="67" t="s">
        <v>962</v>
      </c>
      <c r="C119" s="66" t="s">
        <v>963</v>
      </c>
      <c r="D119" s="66" t="s">
        <v>964</v>
      </c>
      <c r="E119" s="66" t="s">
        <v>924</v>
      </c>
      <c r="F119" s="66" t="s">
        <v>965</v>
      </c>
      <c r="G119" s="67" t="s">
        <v>966</v>
      </c>
      <c r="H119" s="67" t="s">
        <v>967</v>
      </c>
      <c r="I119" s="67" t="s">
        <v>968</v>
      </c>
    </row>
    <row r="120">
      <c r="A120" s="66" t="s">
        <v>969</v>
      </c>
      <c r="B120" s="67" t="s">
        <v>970</v>
      </c>
      <c r="C120" s="66" t="s">
        <v>971</v>
      </c>
      <c r="D120" s="66" t="s">
        <v>972</v>
      </c>
      <c r="E120" s="66" t="s">
        <v>882</v>
      </c>
      <c r="F120" s="66" t="s">
        <v>310</v>
      </c>
      <c r="G120" s="67" t="s">
        <v>973</v>
      </c>
      <c r="H120" s="67" t="s">
        <v>974</v>
      </c>
      <c r="I120" s="67" t="s">
        <v>974</v>
      </c>
    </row>
    <row r="121">
      <c r="A121" s="66" t="s">
        <v>975</v>
      </c>
      <c r="B121" s="67" t="s">
        <v>976</v>
      </c>
      <c r="C121" s="66" t="s">
        <v>977</v>
      </c>
      <c r="D121" s="66" t="s">
        <v>978</v>
      </c>
      <c r="E121" s="66" t="s">
        <v>769</v>
      </c>
      <c r="F121" s="66" t="s">
        <v>975</v>
      </c>
      <c r="G121" s="67" t="s">
        <v>979</v>
      </c>
      <c r="H121" s="67" t="s">
        <v>980</v>
      </c>
      <c r="I121" s="67" t="s">
        <v>980</v>
      </c>
    </row>
    <row r="122">
      <c r="A122" s="66" t="s">
        <v>981</v>
      </c>
      <c r="B122" s="67" t="s">
        <v>982</v>
      </c>
      <c r="C122" s="66" t="s">
        <v>983</v>
      </c>
      <c r="D122" s="66" t="s">
        <v>984</v>
      </c>
      <c r="E122" s="66" t="s">
        <v>985</v>
      </c>
      <c r="F122" s="66" t="s">
        <v>981</v>
      </c>
      <c r="G122" s="67" t="s">
        <v>986</v>
      </c>
      <c r="H122" s="67" t="s">
        <v>987</v>
      </c>
      <c r="I122" s="67" t="s">
        <v>988</v>
      </c>
    </row>
    <row r="123">
      <c r="A123" s="66" t="s">
        <v>989</v>
      </c>
      <c r="B123" s="67" t="s">
        <v>990</v>
      </c>
      <c r="C123" s="66" t="s">
        <v>991</v>
      </c>
      <c r="D123" s="66" t="s">
        <v>992</v>
      </c>
      <c r="E123" s="66" t="s">
        <v>869</v>
      </c>
      <c r="F123" s="66" t="s">
        <v>993</v>
      </c>
      <c r="G123" s="67" t="s">
        <v>994</v>
      </c>
      <c r="H123" s="67" t="s">
        <v>995</v>
      </c>
      <c r="I123" s="67" t="s">
        <v>995</v>
      </c>
    </row>
    <row r="124">
      <c r="A124" s="66" t="s">
        <v>996</v>
      </c>
      <c r="B124" s="67" t="s">
        <v>997</v>
      </c>
      <c r="C124" s="66" t="s">
        <v>998</v>
      </c>
      <c r="D124" s="66" t="s">
        <v>999</v>
      </c>
      <c r="E124" s="66" t="s">
        <v>1000</v>
      </c>
      <c r="F124" s="66" t="s">
        <v>1001</v>
      </c>
      <c r="G124" s="67" t="s">
        <v>1002</v>
      </c>
      <c r="H124" s="67" t="s">
        <v>1003</v>
      </c>
      <c r="I124" s="67" t="s">
        <v>1003</v>
      </c>
    </row>
    <row r="125">
      <c r="A125" s="66" t="s">
        <v>1004</v>
      </c>
      <c r="B125" s="67" t="s">
        <v>1005</v>
      </c>
      <c r="C125" s="66" t="s">
        <v>1006</v>
      </c>
      <c r="D125" s="66" t="s">
        <v>1007</v>
      </c>
      <c r="E125" s="66" t="s">
        <v>1008</v>
      </c>
      <c r="F125" s="66" t="s">
        <v>1009</v>
      </c>
      <c r="G125" s="67" t="s">
        <v>1010</v>
      </c>
      <c r="H125" s="67" t="s">
        <v>1011</v>
      </c>
      <c r="I125" s="67" t="s">
        <v>1011</v>
      </c>
    </row>
    <row r="126">
      <c r="A126" s="66" t="s">
        <v>1012</v>
      </c>
      <c r="B126" s="67" t="s">
        <v>1013</v>
      </c>
      <c r="C126" s="66" t="s">
        <v>1014</v>
      </c>
      <c r="D126" s="66" t="s">
        <v>1015</v>
      </c>
      <c r="E126" s="66" t="s">
        <v>1016</v>
      </c>
      <c r="F126" s="66" t="s">
        <v>1017</v>
      </c>
      <c r="G126" s="67" t="s">
        <v>1018</v>
      </c>
      <c r="H126" s="67" t="s">
        <v>1019</v>
      </c>
      <c r="I126" s="67" t="s">
        <v>1019</v>
      </c>
    </row>
    <row r="127">
      <c r="A127" s="66" t="s">
        <v>1020</v>
      </c>
      <c r="B127" s="67" t="s">
        <v>1021</v>
      </c>
      <c r="C127" s="66" t="s">
        <v>1022</v>
      </c>
      <c r="D127" s="66" t="s">
        <v>1020</v>
      </c>
      <c r="E127" s="66" t="s">
        <v>1023</v>
      </c>
      <c r="F127" s="66" t="s">
        <v>1020</v>
      </c>
      <c r="G127" s="67" t="s">
        <v>1024</v>
      </c>
      <c r="H127" s="67" t="s">
        <v>1025</v>
      </c>
      <c r="I127" s="67" t="s">
        <v>1026</v>
      </c>
    </row>
    <row r="128">
      <c r="A128" s="66" t="s">
        <v>194</v>
      </c>
      <c r="B128" s="67" t="s">
        <v>1027</v>
      </c>
      <c r="C128" s="66" t="s">
        <v>1028</v>
      </c>
      <c r="D128" s="66" t="s">
        <v>194</v>
      </c>
      <c r="E128" s="66" t="s">
        <v>1029</v>
      </c>
      <c r="F128" s="66" t="s">
        <v>1030</v>
      </c>
      <c r="G128" s="67" t="s">
        <v>1031</v>
      </c>
      <c r="H128" s="67" t="s">
        <v>1032</v>
      </c>
      <c r="I128" s="67" t="s">
        <v>1032</v>
      </c>
    </row>
    <row r="129">
      <c r="A129" s="66" t="s">
        <v>1033</v>
      </c>
      <c r="B129" s="67" t="s">
        <v>1034</v>
      </c>
      <c r="C129" s="66" t="s">
        <v>1035</v>
      </c>
      <c r="D129" s="66" t="s">
        <v>1036</v>
      </c>
      <c r="E129" s="66" t="s">
        <v>1037</v>
      </c>
      <c r="F129" s="66" t="s">
        <v>1038</v>
      </c>
      <c r="G129" s="67" t="s">
        <v>1039</v>
      </c>
      <c r="H129" s="67" t="s">
        <v>1040</v>
      </c>
      <c r="I129" s="67" t="s">
        <v>1040</v>
      </c>
    </row>
    <row r="130">
      <c r="A130" s="66" t="s">
        <v>1041</v>
      </c>
      <c r="B130" s="67" t="s">
        <v>1042</v>
      </c>
      <c r="C130" s="66" t="s">
        <v>1043</v>
      </c>
      <c r="D130" s="66" t="s">
        <v>1044</v>
      </c>
      <c r="E130" s="66" t="s">
        <v>1045</v>
      </c>
      <c r="F130" s="66" t="s">
        <v>1046</v>
      </c>
      <c r="G130" s="67" t="s">
        <v>1047</v>
      </c>
      <c r="H130" s="67" t="s">
        <v>1048</v>
      </c>
      <c r="I130" s="67" t="s">
        <v>1048</v>
      </c>
    </row>
    <row r="131">
      <c r="A131" s="66" t="s">
        <v>1049</v>
      </c>
      <c r="B131" s="67" t="s">
        <v>1050</v>
      </c>
      <c r="C131" s="66" t="s">
        <v>1051</v>
      </c>
      <c r="D131" s="66" t="s">
        <v>1052</v>
      </c>
      <c r="E131" s="66" t="s">
        <v>1053</v>
      </c>
      <c r="F131" s="66" t="s">
        <v>1054</v>
      </c>
      <c r="G131" s="67" t="s">
        <v>1055</v>
      </c>
      <c r="H131" s="67" t="s">
        <v>1056</v>
      </c>
      <c r="I131" s="67" t="s">
        <v>1056</v>
      </c>
    </row>
    <row r="132">
      <c r="A132" s="66" t="s">
        <v>1057</v>
      </c>
      <c r="B132" s="67" t="s">
        <v>1058</v>
      </c>
      <c r="C132" s="66" t="s">
        <v>1059</v>
      </c>
      <c r="D132" s="66" t="s">
        <v>1060</v>
      </c>
      <c r="E132" s="66" t="s">
        <v>1061</v>
      </c>
      <c r="F132" s="66" t="s">
        <v>1062</v>
      </c>
      <c r="G132" s="67" t="s">
        <v>1063</v>
      </c>
      <c r="H132" s="67" t="s">
        <v>1064</v>
      </c>
      <c r="I132" s="67" t="s">
        <v>1065</v>
      </c>
    </row>
    <row r="133">
      <c r="A133" s="66" t="s">
        <v>1066</v>
      </c>
      <c r="B133" s="67" t="s">
        <v>1067</v>
      </c>
      <c r="C133" s="66" t="s">
        <v>1068</v>
      </c>
      <c r="D133" s="66" t="s">
        <v>1069</v>
      </c>
      <c r="E133" s="66" t="s">
        <v>1070</v>
      </c>
      <c r="F133" s="66" t="s">
        <v>1071</v>
      </c>
      <c r="G133" s="67" t="s">
        <v>1072</v>
      </c>
      <c r="H133" s="67" t="s">
        <v>1073</v>
      </c>
      <c r="I133" s="67" t="s">
        <v>1074</v>
      </c>
    </row>
    <row r="134">
      <c r="A134" s="66" t="s">
        <v>1075</v>
      </c>
      <c r="B134" s="67" t="s">
        <v>1076</v>
      </c>
      <c r="C134" s="66" t="s">
        <v>1077</v>
      </c>
      <c r="D134" s="66" t="s">
        <v>1078</v>
      </c>
      <c r="E134" s="66" t="s">
        <v>1079</v>
      </c>
      <c r="F134" s="66" t="s">
        <v>1075</v>
      </c>
      <c r="G134" s="67" t="s">
        <v>1080</v>
      </c>
      <c r="H134" s="67" t="s">
        <v>1081</v>
      </c>
      <c r="I134" s="67" t="s">
        <v>1081</v>
      </c>
    </row>
    <row r="135">
      <c r="A135" s="66" t="s">
        <v>1082</v>
      </c>
      <c r="B135" s="67" t="s">
        <v>1083</v>
      </c>
      <c r="C135" s="66" t="s">
        <v>1084</v>
      </c>
      <c r="D135" s="66" t="s">
        <v>1085</v>
      </c>
      <c r="E135" s="66" t="s">
        <v>1086</v>
      </c>
      <c r="F135" s="66" t="s">
        <v>1087</v>
      </c>
      <c r="G135" s="67" t="s">
        <v>1088</v>
      </c>
      <c r="H135" s="67" t="s">
        <v>1089</v>
      </c>
      <c r="I135" s="67" t="s">
        <v>1090</v>
      </c>
    </row>
    <row r="136">
      <c r="A136" s="66" t="s">
        <v>1091</v>
      </c>
      <c r="B136" s="67" t="s">
        <v>1092</v>
      </c>
      <c r="C136" s="66" t="s">
        <v>1093</v>
      </c>
      <c r="D136" s="66" t="s">
        <v>1094</v>
      </c>
      <c r="E136" s="66" t="s">
        <v>1095</v>
      </c>
      <c r="F136" s="66" t="s">
        <v>1091</v>
      </c>
      <c r="G136" s="67" t="s">
        <v>1096</v>
      </c>
      <c r="H136" s="67" t="s">
        <v>1097</v>
      </c>
      <c r="I136" s="67" t="s">
        <v>1097</v>
      </c>
    </row>
    <row r="137">
      <c r="A137" s="66" t="s">
        <v>1098</v>
      </c>
      <c r="B137" s="67" t="s">
        <v>1099</v>
      </c>
      <c r="C137" s="66" t="s">
        <v>1100</v>
      </c>
      <c r="D137" s="66" t="s">
        <v>1101</v>
      </c>
      <c r="E137" s="66" t="s">
        <v>1102</v>
      </c>
      <c r="F137" s="66" t="s">
        <v>1103</v>
      </c>
      <c r="G137" s="67" t="s">
        <v>1104</v>
      </c>
      <c r="H137" s="67" t="s">
        <v>1105</v>
      </c>
      <c r="I137" s="67" t="s">
        <v>1105</v>
      </c>
    </row>
    <row r="138">
      <c r="A138" s="66" t="s">
        <v>1106</v>
      </c>
      <c r="B138" s="67" t="s">
        <v>1107</v>
      </c>
      <c r="C138" s="66" t="s">
        <v>1108</v>
      </c>
      <c r="D138" s="66" t="s">
        <v>1109</v>
      </c>
      <c r="E138" s="66" t="s">
        <v>1110</v>
      </c>
      <c r="F138" s="66" t="s">
        <v>1111</v>
      </c>
      <c r="G138" s="67" t="s">
        <v>1112</v>
      </c>
      <c r="H138" s="67" t="s">
        <v>1113</v>
      </c>
      <c r="I138" s="67" t="s">
        <v>1114</v>
      </c>
    </row>
    <row r="139">
      <c r="A139" s="66" t="s">
        <v>1115</v>
      </c>
      <c r="B139" s="67" t="s">
        <v>1116</v>
      </c>
      <c r="C139" s="66" t="s">
        <v>981</v>
      </c>
      <c r="D139" s="66" t="s">
        <v>1117</v>
      </c>
      <c r="E139" s="66" t="s">
        <v>1118</v>
      </c>
      <c r="F139" s="66" t="s">
        <v>1119</v>
      </c>
      <c r="G139" s="67" t="s">
        <v>1120</v>
      </c>
      <c r="H139" s="67" t="s">
        <v>1121</v>
      </c>
      <c r="I139" s="67" t="s">
        <v>1122</v>
      </c>
    </row>
    <row r="140">
      <c r="A140" s="66" t="s">
        <v>1123</v>
      </c>
      <c r="B140" s="67" t="s">
        <v>1124</v>
      </c>
      <c r="C140" s="66" t="s">
        <v>1125</v>
      </c>
      <c r="D140" s="66" t="s">
        <v>1126</v>
      </c>
      <c r="E140" s="66" t="s">
        <v>1127</v>
      </c>
      <c r="F140" s="66" t="s">
        <v>1123</v>
      </c>
      <c r="G140" s="67" t="s">
        <v>1128</v>
      </c>
      <c r="H140" s="67" t="s">
        <v>1129</v>
      </c>
      <c r="I140" s="67" t="s">
        <v>1130</v>
      </c>
    </row>
    <row r="141">
      <c r="A141" s="66" t="s">
        <v>1029</v>
      </c>
      <c r="B141" s="67" t="s">
        <v>1131</v>
      </c>
      <c r="C141" s="66" t="s">
        <v>1029</v>
      </c>
      <c r="D141" s="66" t="s">
        <v>1029</v>
      </c>
      <c r="E141" s="66" t="s">
        <v>1132</v>
      </c>
      <c r="F141" s="66" t="s">
        <v>1133</v>
      </c>
      <c r="G141" s="67" t="s">
        <v>1134</v>
      </c>
      <c r="H141" s="67" t="s">
        <v>1135</v>
      </c>
      <c r="I141" s="67" t="s">
        <v>1135</v>
      </c>
    </row>
    <row r="142">
      <c r="A142" s="66" t="s">
        <v>1136</v>
      </c>
      <c r="B142" s="67" t="s">
        <v>1137</v>
      </c>
      <c r="C142" s="66" t="s">
        <v>1138</v>
      </c>
      <c r="D142" s="66" t="s">
        <v>1139</v>
      </c>
      <c r="E142" s="66" t="s">
        <v>1140</v>
      </c>
      <c r="F142" s="66" t="s">
        <v>1136</v>
      </c>
      <c r="G142" s="67" t="s">
        <v>1141</v>
      </c>
      <c r="H142" s="67" t="s">
        <v>1142</v>
      </c>
      <c r="I142" s="67" t="s">
        <v>1143</v>
      </c>
    </row>
    <row r="143">
      <c r="A143" s="66" t="s">
        <v>1144</v>
      </c>
      <c r="B143" s="67" t="s">
        <v>1145</v>
      </c>
      <c r="C143" s="66" t="s">
        <v>1146</v>
      </c>
      <c r="D143" s="66" t="s">
        <v>1147</v>
      </c>
      <c r="E143" s="66" t="s">
        <v>1148</v>
      </c>
      <c r="F143" s="66" t="s">
        <v>1144</v>
      </c>
      <c r="G143" s="67" t="s">
        <v>1149</v>
      </c>
      <c r="H143" s="67" t="s">
        <v>1150</v>
      </c>
      <c r="I143" s="67" t="s">
        <v>1150</v>
      </c>
    </row>
    <row r="144">
      <c r="A144" s="66" t="s">
        <v>1151</v>
      </c>
      <c r="B144" s="67" t="s">
        <v>1152</v>
      </c>
      <c r="C144" s="66" t="s">
        <v>1153</v>
      </c>
      <c r="D144" s="66" t="s">
        <v>1154</v>
      </c>
      <c r="E144" s="66" t="s">
        <v>1155</v>
      </c>
      <c r="F144" s="66" t="s">
        <v>1151</v>
      </c>
      <c r="G144" s="67" t="s">
        <v>1156</v>
      </c>
      <c r="H144" s="67" t="s">
        <v>1157</v>
      </c>
      <c r="I144" s="67" t="s">
        <v>1158</v>
      </c>
    </row>
    <row r="145">
      <c r="A145" s="66" t="s">
        <v>1159</v>
      </c>
      <c r="B145" s="67" t="s">
        <v>1160</v>
      </c>
      <c r="C145" s="66" t="s">
        <v>1161</v>
      </c>
      <c r="D145" s="66" t="s">
        <v>1162</v>
      </c>
      <c r="E145" s="66" t="s">
        <v>1163</v>
      </c>
      <c r="F145" s="66" t="s">
        <v>1164</v>
      </c>
      <c r="G145" s="67" t="s">
        <v>1165</v>
      </c>
      <c r="H145" s="67" t="s">
        <v>1166</v>
      </c>
      <c r="I145" s="67" t="s">
        <v>1166</v>
      </c>
    </row>
    <row r="146">
      <c r="A146" s="66" t="s">
        <v>1167</v>
      </c>
      <c r="B146" s="67" t="s">
        <v>1168</v>
      </c>
      <c r="C146" s="66" t="s">
        <v>1169</v>
      </c>
      <c r="D146" s="66" t="s">
        <v>1167</v>
      </c>
      <c r="E146" s="66" t="s">
        <v>1170</v>
      </c>
      <c r="F146" s="66" t="s">
        <v>1167</v>
      </c>
      <c r="G146" s="67" t="s">
        <v>1171</v>
      </c>
      <c r="H146" s="67" t="s">
        <v>1172</v>
      </c>
      <c r="I146" s="67" t="s">
        <v>1173</v>
      </c>
    </row>
    <row r="147">
      <c r="A147" s="66" t="s">
        <v>1174</v>
      </c>
      <c r="B147" s="67" t="s">
        <v>1175</v>
      </c>
      <c r="C147" s="66" t="s">
        <v>1176</v>
      </c>
      <c r="D147" s="66" t="s">
        <v>1177</v>
      </c>
      <c r="E147" s="66" t="s">
        <v>1178</v>
      </c>
      <c r="F147" s="66" t="s">
        <v>1179</v>
      </c>
      <c r="G147" s="67" t="s">
        <v>1180</v>
      </c>
      <c r="H147" s="67" t="s">
        <v>1181</v>
      </c>
      <c r="I147" s="67" t="s">
        <v>1181</v>
      </c>
    </row>
    <row r="148">
      <c r="A148" s="66" t="s">
        <v>1182</v>
      </c>
      <c r="B148" s="67" t="s">
        <v>1183</v>
      </c>
      <c r="C148" s="66" t="s">
        <v>1184</v>
      </c>
      <c r="D148" s="66" t="s">
        <v>1185</v>
      </c>
      <c r="E148" s="66" t="s">
        <v>1186</v>
      </c>
      <c r="F148" s="66" t="s">
        <v>1187</v>
      </c>
      <c r="G148" s="67" t="s">
        <v>1188</v>
      </c>
      <c r="H148" s="67" t="s">
        <v>1189</v>
      </c>
      <c r="I148" s="67" t="s">
        <v>1189</v>
      </c>
    </row>
    <row r="149">
      <c r="A149" s="66" t="s">
        <v>1190</v>
      </c>
      <c r="B149" s="67" t="s">
        <v>1191</v>
      </c>
      <c r="C149" s="66" t="s">
        <v>1192</v>
      </c>
      <c r="D149" s="66" t="s">
        <v>1193</v>
      </c>
      <c r="E149" s="66" t="s">
        <v>1194</v>
      </c>
      <c r="F149" s="66" t="s">
        <v>898</v>
      </c>
      <c r="G149" s="67" t="s">
        <v>1195</v>
      </c>
      <c r="H149" s="67" t="s">
        <v>1196</v>
      </c>
      <c r="I149" s="67" t="s">
        <v>1197</v>
      </c>
    </row>
    <row r="150">
      <c r="A150" s="66" t="s">
        <v>1198</v>
      </c>
      <c r="B150" s="67" t="s">
        <v>1199</v>
      </c>
      <c r="C150" s="66" t="s">
        <v>1200</v>
      </c>
      <c r="D150" s="66" t="s">
        <v>1201</v>
      </c>
      <c r="E150" s="66" t="s">
        <v>1202</v>
      </c>
      <c r="F150" s="66" t="s">
        <v>1198</v>
      </c>
      <c r="G150" s="67" t="s">
        <v>1203</v>
      </c>
      <c r="H150" s="67" t="s">
        <v>1204</v>
      </c>
      <c r="I150" s="67" t="s">
        <v>1204</v>
      </c>
    </row>
    <row r="151">
      <c r="A151" s="66" t="s">
        <v>1205</v>
      </c>
      <c r="B151" s="67" t="s">
        <v>1206</v>
      </c>
      <c r="C151" s="66" t="s">
        <v>1207</v>
      </c>
      <c r="D151" s="66" t="s">
        <v>1208</v>
      </c>
      <c r="E151" s="66" t="s">
        <v>1209</v>
      </c>
      <c r="F151" s="66" t="s">
        <v>1210</v>
      </c>
      <c r="G151" s="67" t="s">
        <v>1211</v>
      </c>
      <c r="H151" s="67" t="s">
        <v>1212</v>
      </c>
      <c r="I151" s="67" t="s">
        <v>1213</v>
      </c>
    </row>
    <row r="152">
      <c r="A152" s="66" t="s">
        <v>1214</v>
      </c>
      <c r="B152" s="67" t="s">
        <v>1215</v>
      </c>
      <c r="C152" s="66" t="s">
        <v>1216</v>
      </c>
      <c r="D152" s="66" t="s">
        <v>1217</v>
      </c>
      <c r="E152" s="66" t="s">
        <v>1218</v>
      </c>
      <c r="F152" s="66" t="s">
        <v>1219</v>
      </c>
      <c r="G152" s="67" t="s">
        <v>1220</v>
      </c>
      <c r="H152" s="67" t="s">
        <v>1221</v>
      </c>
      <c r="I152" s="67" t="s">
        <v>1221</v>
      </c>
    </row>
    <row r="153">
      <c r="A153" s="66" t="s">
        <v>1222</v>
      </c>
      <c r="B153" s="67" t="s">
        <v>1223</v>
      </c>
      <c r="C153" s="66" t="s">
        <v>262</v>
      </c>
      <c r="D153" s="66" t="s">
        <v>361</v>
      </c>
      <c r="E153" s="66" t="s">
        <v>1224</v>
      </c>
      <c r="F153" s="66" t="s">
        <v>1225</v>
      </c>
      <c r="G153" s="67" t="s">
        <v>1226</v>
      </c>
      <c r="H153" s="67" t="s">
        <v>1227</v>
      </c>
      <c r="I153" s="67" t="s">
        <v>1228</v>
      </c>
    </row>
    <row r="154">
      <c r="A154" s="66" t="s">
        <v>1229</v>
      </c>
      <c r="B154" s="67" t="s">
        <v>1230</v>
      </c>
      <c r="C154" s="66" t="s">
        <v>1231</v>
      </c>
      <c r="D154" s="66" t="s">
        <v>1232</v>
      </c>
      <c r="E154" s="66" t="s">
        <v>1233</v>
      </c>
      <c r="F154" s="66" t="s">
        <v>1229</v>
      </c>
      <c r="G154" s="67" t="s">
        <v>1234</v>
      </c>
      <c r="H154" s="67" t="s">
        <v>1235</v>
      </c>
      <c r="I154" s="67" t="s">
        <v>1235</v>
      </c>
    </row>
    <row r="155">
      <c r="A155" s="66" t="s">
        <v>1236</v>
      </c>
      <c r="B155" s="67" t="s">
        <v>1237</v>
      </c>
      <c r="C155" s="66" t="s">
        <v>1238</v>
      </c>
      <c r="D155" s="66" t="s">
        <v>1239</v>
      </c>
      <c r="E155" s="66" t="s">
        <v>1240</v>
      </c>
      <c r="F155" s="66" t="s">
        <v>1236</v>
      </c>
      <c r="G155" s="67" t="s">
        <v>1241</v>
      </c>
      <c r="H155" s="67" t="s">
        <v>1242</v>
      </c>
      <c r="I155" s="67" t="s">
        <v>1243</v>
      </c>
    </row>
    <row r="156">
      <c r="A156" s="66" t="s">
        <v>1244</v>
      </c>
      <c r="B156" s="67" t="s">
        <v>1245</v>
      </c>
      <c r="C156" s="66" t="s">
        <v>1246</v>
      </c>
      <c r="D156" s="66" t="s">
        <v>1247</v>
      </c>
      <c r="E156" s="66" t="s">
        <v>1248</v>
      </c>
      <c r="F156" s="66" t="s">
        <v>1244</v>
      </c>
      <c r="G156" s="67" t="s">
        <v>1249</v>
      </c>
      <c r="H156" s="67" t="s">
        <v>1250</v>
      </c>
      <c r="I156" s="67" t="s">
        <v>1250</v>
      </c>
    </row>
    <row r="157">
      <c r="A157" s="66" t="s">
        <v>1251</v>
      </c>
      <c r="B157" s="67" t="s">
        <v>1252</v>
      </c>
      <c r="C157" s="66" t="s">
        <v>1253</v>
      </c>
      <c r="D157" s="66" t="s">
        <v>1254</v>
      </c>
      <c r="E157" s="66" t="s">
        <v>254</v>
      </c>
      <c r="F157" s="66" t="s">
        <v>1251</v>
      </c>
      <c r="G157" s="67" t="s">
        <v>1255</v>
      </c>
      <c r="H157" s="67" t="s">
        <v>1256</v>
      </c>
      <c r="I157" s="67" t="s">
        <v>1256</v>
      </c>
    </row>
    <row r="158">
      <c r="A158" s="66" t="s">
        <v>1257</v>
      </c>
      <c r="B158" s="67" t="s">
        <v>1258</v>
      </c>
      <c r="C158" s="66" t="s">
        <v>1259</v>
      </c>
      <c r="D158" s="66" t="s">
        <v>1260</v>
      </c>
      <c r="E158" s="66" t="s">
        <v>1261</v>
      </c>
      <c r="F158" s="66" t="s">
        <v>1262</v>
      </c>
      <c r="G158" s="67" t="s">
        <v>1263</v>
      </c>
      <c r="H158" s="67" t="s">
        <v>1264</v>
      </c>
      <c r="I158" s="67" t="s">
        <v>1264</v>
      </c>
    </row>
    <row r="159">
      <c r="A159" s="66" t="s">
        <v>1265</v>
      </c>
      <c r="B159" s="67" t="s">
        <v>1266</v>
      </c>
      <c r="C159" s="66" t="s">
        <v>1267</v>
      </c>
      <c r="D159" s="66" t="s">
        <v>1268</v>
      </c>
      <c r="E159" s="66" t="s">
        <v>1269</v>
      </c>
      <c r="F159" s="66" t="s">
        <v>1265</v>
      </c>
      <c r="G159" s="67" t="s">
        <v>1270</v>
      </c>
      <c r="H159" s="67" t="s">
        <v>1271</v>
      </c>
      <c r="I159" s="67" t="s">
        <v>1272</v>
      </c>
    </row>
    <row r="160">
      <c r="A160" s="66" t="s">
        <v>379</v>
      </c>
      <c r="B160" s="67" t="s">
        <v>1273</v>
      </c>
      <c r="C160" s="66" t="s">
        <v>1274</v>
      </c>
      <c r="D160" s="66" t="s">
        <v>379</v>
      </c>
      <c r="E160" s="66" t="s">
        <v>81</v>
      </c>
      <c r="F160" s="66" t="s">
        <v>83</v>
      </c>
      <c r="G160" s="67" t="s">
        <v>1275</v>
      </c>
      <c r="H160" s="67" t="s">
        <v>1276</v>
      </c>
      <c r="I160" s="67" t="s">
        <v>1276</v>
      </c>
    </row>
    <row r="161">
      <c r="A161" s="66" t="s">
        <v>1277</v>
      </c>
      <c r="B161" s="67" t="s">
        <v>1278</v>
      </c>
      <c r="C161" s="66" t="s">
        <v>1279</v>
      </c>
      <c r="D161" s="66" t="s">
        <v>1280</v>
      </c>
      <c r="E161" s="66" t="s">
        <v>1281</v>
      </c>
      <c r="F161" s="66" t="s">
        <v>1282</v>
      </c>
      <c r="G161" s="67" t="s">
        <v>1283</v>
      </c>
      <c r="H161" s="67" t="s">
        <v>1284</v>
      </c>
      <c r="I161" s="67" t="s">
        <v>1285</v>
      </c>
    </row>
    <row r="162">
      <c r="A162" s="66" t="s">
        <v>1286</v>
      </c>
      <c r="B162" s="67" t="s">
        <v>1287</v>
      </c>
      <c r="C162" s="66" t="s">
        <v>1288</v>
      </c>
      <c r="D162" s="66" t="s">
        <v>1289</v>
      </c>
      <c r="E162" s="66" t="s">
        <v>1290</v>
      </c>
      <c r="F162" s="66" t="s">
        <v>1291</v>
      </c>
      <c r="G162" s="67" t="s">
        <v>1292</v>
      </c>
      <c r="H162" s="67" t="s">
        <v>1293</v>
      </c>
      <c r="I162" s="67" t="s">
        <v>1293</v>
      </c>
    </row>
    <row r="163">
      <c r="A163" s="66" t="s">
        <v>1261</v>
      </c>
      <c r="B163" s="67" t="s">
        <v>1294</v>
      </c>
      <c r="C163" s="66" t="s">
        <v>1295</v>
      </c>
      <c r="D163" s="66" t="s">
        <v>1296</v>
      </c>
      <c r="E163" s="66" t="s">
        <v>1297</v>
      </c>
      <c r="F163" s="66" t="s">
        <v>1261</v>
      </c>
      <c r="G163" s="67" t="s">
        <v>1298</v>
      </c>
      <c r="H163" s="67" t="s">
        <v>1299</v>
      </c>
      <c r="I163" s="67" t="s">
        <v>1299</v>
      </c>
    </row>
    <row r="164">
      <c r="A164" s="66" t="s">
        <v>977</v>
      </c>
      <c r="B164" s="67" t="s">
        <v>1300</v>
      </c>
      <c r="C164" s="66" t="s">
        <v>1301</v>
      </c>
      <c r="D164" s="66" t="s">
        <v>1302</v>
      </c>
      <c r="E164" s="66" t="s">
        <v>1303</v>
      </c>
      <c r="F164" s="66" t="s">
        <v>1304</v>
      </c>
      <c r="G164" s="67" t="s">
        <v>1305</v>
      </c>
      <c r="H164" s="67" t="s">
        <v>1306</v>
      </c>
      <c r="I164" s="67" t="s">
        <v>1307</v>
      </c>
    </row>
    <row r="165">
      <c r="A165" s="66" t="s">
        <v>1308</v>
      </c>
      <c r="B165" s="67" t="s">
        <v>1309</v>
      </c>
      <c r="C165" s="66" t="s">
        <v>1310</v>
      </c>
      <c r="D165" s="66" t="s">
        <v>1311</v>
      </c>
      <c r="E165" s="66" t="s">
        <v>1312</v>
      </c>
      <c r="F165" s="66" t="s">
        <v>961</v>
      </c>
      <c r="G165" s="67" t="s">
        <v>1313</v>
      </c>
      <c r="H165" s="67" t="s">
        <v>1314</v>
      </c>
      <c r="I165" s="67" t="s">
        <v>1314</v>
      </c>
    </row>
    <row r="166">
      <c r="A166" s="66" t="s">
        <v>1315</v>
      </c>
      <c r="B166" s="67" t="s">
        <v>1316</v>
      </c>
      <c r="C166" s="66" t="s">
        <v>1317</v>
      </c>
      <c r="D166" s="66" t="s">
        <v>1318</v>
      </c>
      <c r="E166" s="66" t="s">
        <v>1319</v>
      </c>
      <c r="F166" s="66" t="s">
        <v>1320</v>
      </c>
      <c r="G166" s="67" t="s">
        <v>1321</v>
      </c>
      <c r="H166" s="67" t="s">
        <v>1322</v>
      </c>
      <c r="I166" s="67" t="s">
        <v>1322</v>
      </c>
    </row>
    <row r="167">
      <c r="A167" s="66" t="s">
        <v>1323</v>
      </c>
      <c r="B167" s="67" t="s">
        <v>1324</v>
      </c>
      <c r="C167" s="66" t="s">
        <v>458</v>
      </c>
      <c r="D167" s="66" t="s">
        <v>1325</v>
      </c>
      <c r="E167" s="66" t="s">
        <v>1326</v>
      </c>
      <c r="F167" s="66" t="s">
        <v>1323</v>
      </c>
      <c r="G167" s="67" t="s">
        <v>1327</v>
      </c>
      <c r="H167" s="67" t="s">
        <v>1328</v>
      </c>
      <c r="I167" s="67" t="s">
        <v>1329</v>
      </c>
    </row>
    <row r="168">
      <c r="A168" s="66" t="s">
        <v>1330</v>
      </c>
      <c r="B168" s="67" t="s">
        <v>1331</v>
      </c>
      <c r="C168" s="66" t="s">
        <v>1332</v>
      </c>
      <c r="D168" s="66" t="s">
        <v>1333</v>
      </c>
      <c r="E168" s="66" t="s">
        <v>1334</v>
      </c>
      <c r="F168" s="66" t="s">
        <v>1335</v>
      </c>
      <c r="G168" s="67" t="s">
        <v>1336</v>
      </c>
      <c r="H168" s="67" t="s">
        <v>1337</v>
      </c>
      <c r="I168" s="67" t="s">
        <v>1338</v>
      </c>
    </row>
    <row r="169">
      <c r="A169" s="66" t="s">
        <v>1339</v>
      </c>
      <c r="B169" s="67" t="s">
        <v>1340</v>
      </c>
      <c r="C169" s="66" t="s">
        <v>1341</v>
      </c>
      <c r="D169" s="66" t="s">
        <v>1342</v>
      </c>
      <c r="E169" s="66" t="s">
        <v>1343</v>
      </c>
      <c r="F169" s="66" t="s">
        <v>1344</v>
      </c>
      <c r="G169" s="67" t="s">
        <v>1345</v>
      </c>
      <c r="H169" s="67" t="s">
        <v>1346</v>
      </c>
      <c r="I169" s="67" t="s">
        <v>1346</v>
      </c>
    </row>
    <row r="170">
      <c r="A170" s="66" t="s">
        <v>1347</v>
      </c>
      <c r="B170" s="67" t="s">
        <v>1348</v>
      </c>
      <c r="C170" s="66" t="s">
        <v>1349</v>
      </c>
      <c r="D170" s="66" t="s">
        <v>1350</v>
      </c>
      <c r="E170" s="66" t="s">
        <v>1351</v>
      </c>
      <c r="F170" s="66" t="s">
        <v>1352</v>
      </c>
      <c r="G170" s="67" t="s">
        <v>1353</v>
      </c>
      <c r="H170" s="67" t="s">
        <v>1354</v>
      </c>
      <c r="I170" s="67" t="s">
        <v>1355</v>
      </c>
    </row>
    <row r="171">
      <c r="A171" s="66" t="s">
        <v>1356</v>
      </c>
      <c r="B171" s="67" t="s">
        <v>1357</v>
      </c>
      <c r="C171" s="66" t="s">
        <v>1358</v>
      </c>
      <c r="D171" s="66" t="s">
        <v>1359</v>
      </c>
      <c r="E171" s="66" t="s">
        <v>1360</v>
      </c>
      <c r="F171" s="66" t="s">
        <v>1356</v>
      </c>
      <c r="G171" s="67" t="s">
        <v>1361</v>
      </c>
      <c r="H171" s="67" t="s">
        <v>1362</v>
      </c>
      <c r="I171" s="67" t="s">
        <v>1362</v>
      </c>
    </row>
    <row r="172">
      <c r="A172" s="66" t="s">
        <v>1363</v>
      </c>
      <c r="B172" s="67" t="s">
        <v>1364</v>
      </c>
      <c r="C172" s="66" t="s">
        <v>213</v>
      </c>
      <c r="D172" s="66" t="s">
        <v>1365</v>
      </c>
      <c r="E172" s="66" t="s">
        <v>1366</v>
      </c>
      <c r="F172" s="66" t="s">
        <v>1367</v>
      </c>
      <c r="G172" s="67" t="s">
        <v>1368</v>
      </c>
      <c r="H172" s="67" t="s">
        <v>1369</v>
      </c>
      <c r="I172" s="67" t="s">
        <v>1370</v>
      </c>
    </row>
    <row r="173">
      <c r="A173" s="66" t="s">
        <v>1371</v>
      </c>
      <c r="B173" s="67" t="s">
        <v>1372</v>
      </c>
      <c r="C173" s="66" t="s">
        <v>1373</v>
      </c>
      <c r="D173" s="66" t="s">
        <v>1374</v>
      </c>
      <c r="E173" s="66" t="s">
        <v>1375</v>
      </c>
      <c r="F173" s="66" t="s">
        <v>1376</v>
      </c>
      <c r="G173" s="67" t="s">
        <v>1377</v>
      </c>
      <c r="H173" s="67" t="s">
        <v>1378</v>
      </c>
      <c r="I173" s="67" t="s">
        <v>1378</v>
      </c>
    </row>
    <row r="174">
      <c r="A174" s="66" t="s">
        <v>1379</v>
      </c>
      <c r="B174" s="67" t="s">
        <v>1380</v>
      </c>
      <c r="C174" s="66" t="s">
        <v>1381</v>
      </c>
      <c r="D174" s="66" t="s">
        <v>1382</v>
      </c>
      <c r="E174" s="66" t="s">
        <v>806</v>
      </c>
      <c r="F174" s="66" t="s">
        <v>1379</v>
      </c>
      <c r="G174" s="67" t="s">
        <v>1383</v>
      </c>
      <c r="H174" s="67" t="s">
        <v>1384</v>
      </c>
      <c r="I174" s="67" t="s">
        <v>1384</v>
      </c>
    </row>
    <row r="175">
      <c r="A175" s="66" t="s">
        <v>1385</v>
      </c>
      <c r="B175" s="67" t="s">
        <v>1386</v>
      </c>
      <c r="C175" s="66" t="s">
        <v>1387</v>
      </c>
      <c r="D175" s="66" t="s">
        <v>1388</v>
      </c>
      <c r="E175" s="66" t="s">
        <v>1389</v>
      </c>
      <c r="F175" s="66" t="s">
        <v>1390</v>
      </c>
      <c r="G175" s="67" t="s">
        <v>1391</v>
      </c>
      <c r="H175" s="67" t="s">
        <v>1392</v>
      </c>
      <c r="I175" s="67" t="s">
        <v>1392</v>
      </c>
    </row>
    <row r="176">
      <c r="A176" s="66" t="s">
        <v>1393</v>
      </c>
      <c r="B176" s="67" t="s">
        <v>1394</v>
      </c>
      <c r="C176" s="66" t="s">
        <v>1395</v>
      </c>
      <c r="D176" s="66" t="s">
        <v>1396</v>
      </c>
      <c r="E176" s="66" t="s">
        <v>1397</v>
      </c>
      <c r="F176" s="66" t="s">
        <v>1398</v>
      </c>
      <c r="G176" s="67" t="s">
        <v>1399</v>
      </c>
      <c r="H176" s="67" t="s">
        <v>1400</v>
      </c>
      <c r="I176" s="67" t="s">
        <v>1401</v>
      </c>
    </row>
    <row r="177">
      <c r="A177" s="66" t="s">
        <v>1402</v>
      </c>
      <c r="B177" s="67" t="s">
        <v>1403</v>
      </c>
      <c r="C177" s="66" t="s">
        <v>1404</v>
      </c>
      <c r="D177" s="66" t="s">
        <v>1405</v>
      </c>
      <c r="E177" s="66" t="s">
        <v>1406</v>
      </c>
      <c r="F177" s="66" t="s">
        <v>1402</v>
      </c>
      <c r="G177" s="67" t="s">
        <v>1407</v>
      </c>
      <c r="H177" s="67" t="s">
        <v>1408</v>
      </c>
      <c r="I177" s="67" t="s">
        <v>1409</v>
      </c>
    </row>
    <row r="178">
      <c r="A178" s="66" t="s">
        <v>1375</v>
      </c>
      <c r="B178" s="67" t="s">
        <v>1410</v>
      </c>
      <c r="C178" s="66" t="s">
        <v>1411</v>
      </c>
      <c r="D178" s="66" t="s">
        <v>1412</v>
      </c>
      <c r="E178" s="66" t="s">
        <v>1413</v>
      </c>
      <c r="F178" s="66" t="s">
        <v>1375</v>
      </c>
      <c r="G178" s="67" t="s">
        <v>1414</v>
      </c>
      <c r="H178" s="67" t="s">
        <v>1415</v>
      </c>
      <c r="I178" s="67" t="s">
        <v>1416</v>
      </c>
    </row>
    <row r="179">
      <c r="A179" s="66" t="s">
        <v>1417</v>
      </c>
      <c r="B179" s="67" t="s">
        <v>1418</v>
      </c>
      <c r="C179" s="66" t="s">
        <v>1069</v>
      </c>
      <c r="D179" s="66" t="s">
        <v>1419</v>
      </c>
      <c r="E179" s="66" t="s">
        <v>422</v>
      </c>
      <c r="F179" s="66" t="s">
        <v>1420</v>
      </c>
      <c r="G179" s="67" t="s">
        <v>1421</v>
      </c>
      <c r="H179" s="67" t="s">
        <v>1422</v>
      </c>
      <c r="I179" s="67" t="s">
        <v>1423</v>
      </c>
    </row>
    <row r="180">
      <c r="A180" s="66" t="s">
        <v>1424</v>
      </c>
      <c r="B180" s="67" t="s">
        <v>1425</v>
      </c>
      <c r="C180" s="66" t="s">
        <v>1426</v>
      </c>
      <c r="D180" s="66" t="s">
        <v>1427</v>
      </c>
      <c r="E180" s="66" t="s">
        <v>1428</v>
      </c>
      <c r="F180" s="66" t="s">
        <v>1429</v>
      </c>
      <c r="G180" s="67" t="s">
        <v>1430</v>
      </c>
      <c r="H180" s="67" t="s">
        <v>1431</v>
      </c>
      <c r="I180" s="67" t="s">
        <v>1432</v>
      </c>
    </row>
    <row r="181">
      <c r="A181" s="66" t="s">
        <v>1433</v>
      </c>
      <c r="B181" s="67" t="s">
        <v>1434</v>
      </c>
      <c r="C181" s="66" t="s">
        <v>496</v>
      </c>
      <c r="D181" s="66" t="s">
        <v>1435</v>
      </c>
      <c r="E181" s="66" t="s">
        <v>411</v>
      </c>
      <c r="F181" s="66" t="s">
        <v>1436</v>
      </c>
      <c r="G181" s="67" t="s">
        <v>1437</v>
      </c>
      <c r="H181" s="67" t="s">
        <v>1438</v>
      </c>
      <c r="I181" s="67" t="s">
        <v>1438</v>
      </c>
    </row>
    <row r="182">
      <c r="A182" s="66" t="s">
        <v>1317</v>
      </c>
      <c r="B182" s="67" t="s">
        <v>1439</v>
      </c>
      <c r="C182" s="66" t="s">
        <v>1360</v>
      </c>
      <c r="D182" s="66" t="s">
        <v>1440</v>
      </c>
      <c r="E182" s="66" t="s">
        <v>1441</v>
      </c>
      <c r="F182" s="66" t="s">
        <v>1442</v>
      </c>
      <c r="G182" s="67" t="s">
        <v>1443</v>
      </c>
      <c r="H182" s="67" t="s">
        <v>1444</v>
      </c>
      <c r="I182" s="67" t="s">
        <v>1444</v>
      </c>
    </row>
    <row r="183">
      <c r="A183" s="66" t="s">
        <v>1445</v>
      </c>
      <c r="B183" s="67" t="s">
        <v>1446</v>
      </c>
      <c r="C183" s="66" t="s">
        <v>1447</v>
      </c>
      <c r="D183" s="66" t="s">
        <v>1448</v>
      </c>
      <c r="E183" s="66" t="s">
        <v>1449</v>
      </c>
      <c r="F183" s="66" t="s">
        <v>1445</v>
      </c>
      <c r="G183" s="67" t="s">
        <v>1450</v>
      </c>
      <c r="H183" s="67" t="s">
        <v>1451</v>
      </c>
      <c r="I183" s="67" t="s">
        <v>1452</v>
      </c>
    </row>
    <row r="184">
      <c r="A184" s="66" t="s">
        <v>1453</v>
      </c>
      <c r="B184" s="67" t="s">
        <v>1454</v>
      </c>
      <c r="C184" s="66" t="s">
        <v>1455</v>
      </c>
      <c r="D184" s="66" t="s">
        <v>1456</v>
      </c>
      <c r="E184" s="66" t="s">
        <v>1457</v>
      </c>
      <c r="F184" s="66" t="s">
        <v>1453</v>
      </c>
      <c r="G184" s="67" t="s">
        <v>1458</v>
      </c>
      <c r="H184" s="67" t="s">
        <v>1459</v>
      </c>
      <c r="I184" s="67" t="s">
        <v>1460</v>
      </c>
    </row>
    <row r="185">
      <c r="A185" s="66" t="s">
        <v>1461</v>
      </c>
      <c r="B185" s="67" t="s">
        <v>1462</v>
      </c>
      <c r="C185" s="66" t="s">
        <v>1463</v>
      </c>
      <c r="D185" s="66" t="s">
        <v>1464</v>
      </c>
      <c r="E185" s="66" t="s">
        <v>1465</v>
      </c>
      <c r="F185" s="66" t="s">
        <v>1461</v>
      </c>
      <c r="G185" s="67" t="s">
        <v>1466</v>
      </c>
      <c r="H185" s="67" t="s">
        <v>1467</v>
      </c>
      <c r="I185" s="67" t="s">
        <v>1467</v>
      </c>
    </row>
    <row r="186">
      <c r="A186" s="66" t="s">
        <v>1468</v>
      </c>
      <c r="B186" s="67" t="s">
        <v>1469</v>
      </c>
      <c r="C186" s="66" t="s">
        <v>1470</v>
      </c>
      <c r="D186" s="66" t="s">
        <v>1471</v>
      </c>
      <c r="E186" s="66" t="s">
        <v>1472</v>
      </c>
      <c r="F186" s="66" t="s">
        <v>1473</v>
      </c>
      <c r="G186" s="67" t="s">
        <v>1474</v>
      </c>
      <c r="H186" s="67" t="s">
        <v>1475</v>
      </c>
      <c r="I186" s="67" t="s">
        <v>1476</v>
      </c>
    </row>
    <row r="187">
      <c r="A187" s="66" t="s">
        <v>1477</v>
      </c>
      <c r="B187" s="67" t="s">
        <v>1478</v>
      </c>
      <c r="C187" s="66" t="s">
        <v>1479</v>
      </c>
      <c r="D187" s="66" t="s">
        <v>1480</v>
      </c>
      <c r="E187" s="66" t="s">
        <v>1481</v>
      </c>
      <c r="F187" s="66" t="s">
        <v>1482</v>
      </c>
      <c r="G187" s="67" t="s">
        <v>1483</v>
      </c>
      <c r="H187" s="67" t="s">
        <v>1484</v>
      </c>
      <c r="I187" s="67" t="s">
        <v>1485</v>
      </c>
    </row>
    <row r="188">
      <c r="A188" s="66" t="s">
        <v>1486</v>
      </c>
      <c r="B188" s="67" t="s">
        <v>1487</v>
      </c>
      <c r="C188" s="66" t="s">
        <v>1488</v>
      </c>
      <c r="D188" s="66" t="s">
        <v>1489</v>
      </c>
      <c r="E188" s="66" t="s">
        <v>303</v>
      </c>
      <c r="F188" s="66" t="s">
        <v>1486</v>
      </c>
      <c r="G188" s="67" t="s">
        <v>1490</v>
      </c>
      <c r="H188" s="67" t="s">
        <v>1491</v>
      </c>
      <c r="I188" s="67" t="s">
        <v>1492</v>
      </c>
    </row>
    <row r="189">
      <c r="A189" s="66" t="s">
        <v>1493</v>
      </c>
      <c r="B189" s="67" t="s">
        <v>1494</v>
      </c>
      <c r="C189" s="66" t="s">
        <v>1495</v>
      </c>
      <c r="D189" s="66" t="s">
        <v>1496</v>
      </c>
      <c r="E189" s="66" t="s">
        <v>1497</v>
      </c>
      <c r="F189" s="66" t="s">
        <v>1493</v>
      </c>
      <c r="G189" s="67" t="s">
        <v>1498</v>
      </c>
      <c r="H189" s="67" t="s">
        <v>1499</v>
      </c>
      <c r="I189" s="67" t="s">
        <v>1500</v>
      </c>
    </row>
    <row r="190">
      <c r="A190" s="66" t="s">
        <v>1501</v>
      </c>
      <c r="B190" s="67" t="s">
        <v>1502</v>
      </c>
      <c r="C190" s="66" t="s">
        <v>1503</v>
      </c>
      <c r="D190" s="66" t="s">
        <v>1504</v>
      </c>
      <c r="E190" s="66" t="s">
        <v>1505</v>
      </c>
      <c r="F190" s="66" t="s">
        <v>1506</v>
      </c>
      <c r="G190" s="67" t="s">
        <v>1507</v>
      </c>
      <c r="H190" s="67" t="s">
        <v>1508</v>
      </c>
      <c r="I190" s="67" t="s">
        <v>1509</v>
      </c>
    </row>
    <row r="191">
      <c r="A191" s="66" t="s">
        <v>1510</v>
      </c>
      <c r="B191" s="67" t="s">
        <v>1511</v>
      </c>
      <c r="C191" s="66" t="s">
        <v>1512</v>
      </c>
      <c r="D191" s="66" t="s">
        <v>1513</v>
      </c>
      <c r="E191" s="66" t="s">
        <v>1246</v>
      </c>
      <c r="F191" s="66" t="s">
        <v>1514</v>
      </c>
      <c r="G191" s="67" t="s">
        <v>1515</v>
      </c>
      <c r="H191" s="67" t="s">
        <v>1516</v>
      </c>
      <c r="I191" s="67" t="s">
        <v>1517</v>
      </c>
    </row>
    <row r="192">
      <c r="A192" s="66" t="s">
        <v>1518</v>
      </c>
      <c r="B192" s="67" t="s">
        <v>1519</v>
      </c>
      <c r="C192" s="66" t="s">
        <v>1520</v>
      </c>
      <c r="D192" s="66" t="s">
        <v>1521</v>
      </c>
      <c r="E192" s="66" t="s">
        <v>1522</v>
      </c>
      <c r="F192" s="66" t="s">
        <v>1523</v>
      </c>
      <c r="G192" s="67" t="s">
        <v>1524</v>
      </c>
      <c r="H192" s="67" t="s">
        <v>1525</v>
      </c>
      <c r="I192" s="67" t="s">
        <v>1526</v>
      </c>
    </row>
    <row r="193">
      <c r="A193" s="66" t="s">
        <v>1527</v>
      </c>
      <c r="B193" s="67" t="s">
        <v>1528</v>
      </c>
      <c r="C193" s="66" t="s">
        <v>1529</v>
      </c>
      <c r="D193" s="66" t="s">
        <v>1527</v>
      </c>
      <c r="E193" s="66" t="s">
        <v>1530</v>
      </c>
      <c r="F193" s="66" t="s">
        <v>1531</v>
      </c>
      <c r="G193" s="67" t="s">
        <v>1532</v>
      </c>
      <c r="H193" s="67" t="s">
        <v>1533</v>
      </c>
      <c r="I193" s="67" t="s">
        <v>1533</v>
      </c>
    </row>
    <row r="194">
      <c r="A194" s="66" t="s">
        <v>542</v>
      </c>
      <c r="B194" s="67" t="s">
        <v>1534</v>
      </c>
      <c r="C194" s="66" t="s">
        <v>1535</v>
      </c>
      <c r="D194" s="66" t="s">
        <v>151</v>
      </c>
      <c r="E194" s="66" t="s">
        <v>1536</v>
      </c>
      <c r="F194" s="66" t="s">
        <v>1537</v>
      </c>
      <c r="G194" s="67" t="s">
        <v>1538</v>
      </c>
      <c r="H194" s="67" t="s">
        <v>1539</v>
      </c>
      <c r="I194" s="67" t="s">
        <v>1539</v>
      </c>
    </row>
    <row r="195">
      <c r="A195" s="66" t="s">
        <v>1540</v>
      </c>
      <c r="B195" s="67" t="s">
        <v>1541</v>
      </c>
      <c r="C195" s="66" t="s">
        <v>1542</v>
      </c>
      <c r="D195" s="66" t="s">
        <v>1543</v>
      </c>
      <c r="E195" s="66" t="s">
        <v>1544</v>
      </c>
      <c r="F195" s="66" t="s">
        <v>1545</v>
      </c>
      <c r="G195" s="67" t="s">
        <v>1546</v>
      </c>
      <c r="H195" s="67" t="s">
        <v>1547</v>
      </c>
      <c r="I195" s="67" t="s">
        <v>1548</v>
      </c>
    </row>
    <row r="196">
      <c r="A196" s="66" t="s">
        <v>1549</v>
      </c>
      <c r="B196" s="67" t="s">
        <v>1550</v>
      </c>
      <c r="C196" s="66" t="s">
        <v>869</v>
      </c>
      <c r="D196" s="66" t="s">
        <v>1551</v>
      </c>
      <c r="E196" s="66" t="s">
        <v>1552</v>
      </c>
      <c r="F196" s="66" t="s">
        <v>1553</v>
      </c>
      <c r="G196" s="67" t="s">
        <v>1554</v>
      </c>
      <c r="H196" s="67" t="s">
        <v>1555</v>
      </c>
      <c r="I196" s="67" t="s">
        <v>1555</v>
      </c>
    </row>
    <row r="197">
      <c r="A197" s="66" t="s">
        <v>1556</v>
      </c>
      <c r="B197" s="67" t="s">
        <v>1557</v>
      </c>
      <c r="C197" s="66" t="s">
        <v>1558</v>
      </c>
      <c r="D197" s="66" t="s">
        <v>1559</v>
      </c>
      <c r="E197" s="66" t="s">
        <v>1560</v>
      </c>
      <c r="F197" s="66" t="s">
        <v>1556</v>
      </c>
      <c r="G197" s="67" t="s">
        <v>1561</v>
      </c>
      <c r="H197" s="67" t="s">
        <v>1562</v>
      </c>
      <c r="I197" s="67" t="s">
        <v>1563</v>
      </c>
    </row>
    <row r="198">
      <c r="A198" s="66" t="s">
        <v>1148</v>
      </c>
      <c r="B198" s="67" t="s">
        <v>1564</v>
      </c>
      <c r="C198" s="66" t="s">
        <v>1565</v>
      </c>
      <c r="D198" s="66" t="s">
        <v>1566</v>
      </c>
      <c r="E198" s="66" t="s">
        <v>1567</v>
      </c>
      <c r="F198" s="66" t="s">
        <v>1148</v>
      </c>
      <c r="G198" s="67" t="s">
        <v>1568</v>
      </c>
      <c r="H198" s="67" t="s">
        <v>1569</v>
      </c>
      <c r="I198" s="67" t="s">
        <v>1569</v>
      </c>
    </row>
    <row r="199">
      <c r="A199" s="66" t="s">
        <v>1570</v>
      </c>
      <c r="B199" s="67" t="s">
        <v>1571</v>
      </c>
      <c r="C199" s="66" t="s">
        <v>1572</v>
      </c>
      <c r="D199" s="66" t="s">
        <v>1570</v>
      </c>
      <c r="E199" s="66" t="s">
        <v>1573</v>
      </c>
      <c r="F199" s="66" t="s">
        <v>1570</v>
      </c>
      <c r="G199" s="67" t="s">
        <v>1574</v>
      </c>
      <c r="H199" s="67" t="s">
        <v>1575</v>
      </c>
      <c r="I199" s="67" t="s">
        <v>1576</v>
      </c>
    </row>
    <row r="200">
      <c r="A200" s="66" t="s">
        <v>1577</v>
      </c>
      <c r="B200" s="67" t="s">
        <v>1578</v>
      </c>
      <c r="C200" s="66" t="s">
        <v>1579</v>
      </c>
      <c r="D200" s="66" t="s">
        <v>1580</v>
      </c>
      <c r="E200" s="66" t="s">
        <v>1581</v>
      </c>
      <c r="F200" s="66" t="s">
        <v>1582</v>
      </c>
      <c r="G200" s="67" t="s">
        <v>1583</v>
      </c>
      <c r="H200" s="67" t="s">
        <v>1584</v>
      </c>
      <c r="I200" s="67" t="s">
        <v>1584</v>
      </c>
    </row>
    <row r="201">
      <c r="A201" s="66" t="s">
        <v>1585</v>
      </c>
      <c r="B201" s="67" t="s">
        <v>1586</v>
      </c>
      <c r="C201" s="66" t="s">
        <v>1587</v>
      </c>
      <c r="D201" s="66" t="s">
        <v>1588</v>
      </c>
      <c r="E201" s="66" t="s">
        <v>1589</v>
      </c>
      <c r="F201" s="66" t="s">
        <v>1585</v>
      </c>
      <c r="G201" s="67" t="s">
        <v>1590</v>
      </c>
      <c r="H201" s="67" t="s">
        <v>1591</v>
      </c>
      <c r="I201" s="67" t="s">
        <v>1592</v>
      </c>
    </row>
    <row r="202">
      <c r="A202" s="66" t="s">
        <v>1593</v>
      </c>
      <c r="B202" s="67" t="s">
        <v>1594</v>
      </c>
      <c r="C202" s="66" t="s">
        <v>1595</v>
      </c>
      <c r="D202" s="66" t="s">
        <v>1596</v>
      </c>
      <c r="E202" s="66" t="s">
        <v>1597</v>
      </c>
      <c r="F202" s="66" t="s">
        <v>1593</v>
      </c>
      <c r="G202" s="67" t="s">
        <v>1598</v>
      </c>
      <c r="H202" s="67" t="s">
        <v>1599</v>
      </c>
      <c r="I202" s="67" t="s">
        <v>1599</v>
      </c>
    </row>
    <row r="203">
      <c r="A203" s="66" t="s">
        <v>1600</v>
      </c>
      <c r="B203" s="67" t="s">
        <v>1601</v>
      </c>
      <c r="C203" s="66" t="s">
        <v>1602</v>
      </c>
      <c r="D203" s="66" t="s">
        <v>1603</v>
      </c>
      <c r="E203" s="66" t="s">
        <v>1387</v>
      </c>
      <c r="F203" s="66" t="s">
        <v>845</v>
      </c>
      <c r="G203" s="67" t="s">
        <v>1604</v>
      </c>
      <c r="H203" s="67" t="s">
        <v>1605</v>
      </c>
      <c r="I203" s="67" t="s">
        <v>1606</v>
      </c>
    </row>
    <row r="204">
      <c r="A204" s="66" t="s">
        <v>1607</v>
      </c>
      <c r="B204" s="67" t="s">
        <v>1608</v>
      </c>
      <c r="C204" s="66" t="s">
        <v>1609</v>
      </c>
      <c r="D204" s="66" t="s">
        <v>553</v>
      </c>
      <c r="E204" s="66" t="s">
        <v>1610</v>
      </c>
      <c r="F204" s="66" t="s">
        <v>1611</v>
      </c>
      <c r="G204" s="67" t="s">
        <v>1612</v>
      </c>
      <c r="H204" s="67" t="s">
        <v>1613</v>
      </c>
      <c r="I204" s="67" t="s">
        <v>1613</v>
      </c>
    </row>
    <row r="205">
      <c r="A205" s="66" t="s">
        <v>1614</v>
      </c>
      <c r="B205" s="67" t="s">
        <v>1615</v>
      </c>
      <c r="C205" s="66" t="s">
        <v>1214</v>
      </c>
      <c r="D205" s="66" t="s">
        <v>1616</v>
      </c>
      <c r="E205" s="66" t="s">
        <v>1617</v>
      </c>
      <c r="F205" s="66" t="s">
        <v>1618</v>
      </c>
      <c r="G205" s="67" t="s">
        <v>1619</v>
      </c>
      <c r="H205" s="67" t="s">
        <v>1620</v>
      </c>
      <c r="I205" s="67" t="s">
        <v>1621</v>
      </c>
    </row>
    <row r="206">
      <c r="A206" s="66" t="s">
        <v>1622</v>
      </c>
      <c r="B206" s="67" t="s">
        <v>1623</v>
      </c>
      <c r="C206" s="66" t="s">
        <v>1624</v>
      </c>
      <c r="D206" s="66" t="s">
        <v>1625</v>
      </c>
      <c r="E206" s="66" t="s">
        <v>1626</v>
      </c>
      <c r="F206" s="66" t="s">
        <v>1622</v>
      </c>
      <c r="G206" s="67" t="s">
        <v>1627</v>
      </c>
      <c r="H206" s="67" t="s">
        <v>1628</v>
      </c>
      <c r="I206" s="67" t="s">
        <v>1629</v>
      </c>
    </row>
    <row r="207">
      <c r="A207" s="66" t="s">
        <v>1630</v>
      </c>
      <c r="B207" s="67" t="s">
        <v>1631</v>
      </c>
      <c r="C207" s="66" t="s">
        <v>1632</v>
      </c>
      <c r="D207" s="66" t="s">
        <v>1633</v>
      </c>
      <c r="E207" s="66" t="s">
        <v>1634</v>
      </c>
      <c r="F207" s="66" t="s">
        <v>1630</v>
      </c>
      <c r="G207" s="67" t="s">
        <v>1635</v>
      </c>
      <c r="H207" s="67" t="s">
        <v>1636</v>
      </c>
      <c r="I207" s="67" t="s">
        <v>1637</v>
      </c>
    </row>
    <row r="208">
      <c r="A208" s="66" t="s">
        <v>1638</v>
      </c>
      <c r="B208" s="67" t="s">
        <v>1639</v>
      </c>
      <c r="C208" s="66" t="s">
        <v>1640</v>
      </c>
      <c r="D208" s="66" t="s">
        <v>488</v>
      </c>
      <c r="E208" s="66" t="s">
        <v>1641</v>
      </c>
      <c r="F208" s="66" t="s">
        <v>1642</v>
      </c>
      <c r="G208" s="67" t="s">
        <v>1643</v>
      </c>
      <c r="H208" s="67" t="s">
        <v>1644</v>
      </c>
      <c r="I208" s="67" t="s">
        <v>1644</v>
      </c>
    </row>
    <row r="209">
      <c r="A209" s="66" t="s">
        <v>1645</v>
      </c>
      <c r="B209" s="67" t="s">
        <v>1646</v>
      </c>
      <c r="C209" s="66" t="s">
        <v>1647</v>
      </c>
      <c r="D209" s="66" t="s">
        <v>1648</v>
      </c>
      <c r="E209" s="66" t="s">
        <v>1642</v>
      </c>
      <c r="F209" s="66" t="s">
        <v>1649</v>
      </c>
      <c r="G209" s="67" t="s">
        <v>1650</v>
      </c>
      <c r="H209" s="67" t="s">
        <v>1651</v>
      </c>
      <c r="I209" s="67" t="s">
        <v>1652</v>
      </c>
    </row>
    <row r="210">
      <c r="A210" s="66" t="s">
        <v>1653</v>
      </c>
      <c r="B210" s="67" t="s">
        <v>1654</v>
      </c>
      <c r="C210" s="66" t="s">
        <v>1655</v>
      </c>
      <c r="D210" s="66" t="s">
        <v>1656</v>
      </c>
      <c r="E210" s="66" t="s">
        <v>791</v>
      </c>
      <c r="F210" s="66" t="s">
        <v>1653</v>
      </c>
      <c r="G210" s="67" t="s">
        <v>1657</v>
      </c>
      <c r="H210" s="67" t="s">
        <v>1658</v>
      </c>
      <c r="I210" s="67" t="s">
        <v>1659</v>
      </c>
    </row>
    <row r="211">
      <c r="A211" s="66" t="s">
        <v>1660</v>
      </c>
      <c r="B211" s="67" t="s">
        <v>1661</v>
      </c>
      <c r="C211" s="66" t="s">
        <v>1662</v>
      </c>
      <c r="D211" s="66" t="s">
        <v>1663</v>
      </c>
      <c r="E211" s="66" t="s">
        <v>1664</v>
      </c>
      <c r="F211" s="66" t="s">
        <v>1664</v>
      </c>
      <c r="G211" s="67" t="s">
        <v>1665</v>
      </c>
      <c r="H211" s="67" t="s">
        <v>1666</v>
      </c>
      <c r="I211" s="67" t="s">
        <v>1666</v>
      </c>
    </row>
    <row r="212">
      <c r="A212" s="66" t="s">
        <v>85</v>
      </c>
      <c r="B212" s="67" t="s">
        <v>1667</v>
      </c>
      <c r="C212" s="66" t="s">
        <v>695</v>
      </c>
      <c r="D212" s="66" t="s">
        <v>1668</v>
      </c>
      <c r="E212" s="66" t="s">
        <v>1669</v>
      </c>
      <c r="F212" s="66" t="s">
        <v>1670</v>
      </c>
      <c r="G212" s="67" t="s">
        <v>1671</v>
      </c>
      <c r="H212" s="67" t="s">
        <v>1672</v>
      </c>
      <c r="I212" s="67" t="s">
        <v>1672</v>
      </c>
    </row>
    <row r="213">
      <c r="A213" s="66" t="s">
        <v>1673</v>
      </c>
      <c r="B213" s="67" t="s">
        <v>1674</v>
      </c>
      <c r="C213" s="66" t="s">
        <v>1343</v>
      </c>
      <c r="D213" s="66" t="s">
        <v>1675</v>
      </c>
      <c r="E213" s="66" t="s">
        <v>1676</v>
      </c>
      <c r="F213" s="66" t="s">
        <v>1677</v>
      </c>
      <c r="G213" s="67" t="s">
        <v>1678</v>
      </c>
      <c r="H213" s="67" t="s">
        <v>1679</v>
      </c>
      <c r="I213" s="67" t="s">
        <v>1679</v>
      </c>
    </row>
    <row r="214">
      <c r="A214" s="66" t="s">
        <v>1680</v>
      </c>
      <c r="B214" s="67" t="s">
        <v>1681</v>
      </c>
      <c r="C214" s="66" t="s">
        <v>1682</v>
      </c>
      <c r="D214" s="66" t="s">
        <v>1683</v>
      </c>
      <c r="E214" s="66" t="s">
        <v>1684</v>
      </c>
      <c r="F214" s="66" t="s">
        <v>1680</v>
      </c>
      <c r="G214" s="67" t="s">
        <v>1685</v>
      </c>
      <c r="H214" s="67" t="s">
        <v>1686</v>
      </c>
      <c r="I214" s="67" t="s">
        <v>1687</v>
      </c>
    </row>
    <row r="215">
      <c r="A215" s="66" t="s">
        <v>1688</v>
      </c>
      <c r="B215" s="67" t="s">
        <v>1689</v>
      </c>
      <c r="C215" s="66" t="s">
        <v>1690</v>
      </c>
      <c r="D215" s="66" t="s">
        <v>1691</v>
      </c>
      <c r="E215" s="66" t="s">
        <v>1692</v>
      </c>
      <c r="F215" s="66" t="s">
        <v>1693</v>
      </c>
      <c r="G215" s="67" t="s">
        <v>1694</v>
      </c>
      <c r="H215" s="67" t="s">
        <v>1695</v>
      </c>
      <c r="I215" s="67" t="s">
        <v>1695</v>
      </c>
    </row>
    <row r="216">
      <c r="A216" s="66" t="s">
        <v>266</v>
      </c>
      <c r="B216" s="67" t="s">
        <v>1696</v>
      </c>
      <c r="C216" s="66" t="s">
        <v>545</v>
      </c>
      <c r="D216" s="66" t="s">
        <v>1697</v>
      </c>
      <c r="E216" s="66" t="s">
        <v>1698</v>
      </c>
      <c r="F216" s="66" t="s">
        <v>1699</v>
      </c>
      <c r="G216" s="67" t="s">
        <v>1700</v>
      </c>
      <c r="H216" s="67" t="s">
        <v>1701</v>
      </c>
      <c r="I216" s="67" t="s">
        <v>1702</v>
      </c>
    </row>
    <row r="217">
      <c r="A217" s="66" t="s">
        <v>1703</v>
      </c>
      <c r="B217" s="67" t="s">
        <v>1704</v>
      </c>
      <c r="C217" s="66" t="s">
        <v>1705</v>
      </c>
      <c r="D217" s="66" t="s">
        <v>1706</v>
      </c>
      <c r="E217" s="66" t="s">
        <v>1707</v>
      </c>
      <c r="F217" s="66" t="s">
        <v>330</v>
      </c>
      <c r="G217" s="67" t="s">
        <v>1708</v>
      </c>
      <c r="H217" s="67" t="s">
        <v>1709</v>
      </c>
      <c r="I217" s="67" t="s">
        <v>1709</v>
      </c>
    </row>
    <row r="218">
      <c r="A218" s="66" t="s">
        <v>1710</v>
      </c>
      <c r="B218" s="67" t="s">
        <v>1711</v>
      </c>
      <c r="C218" s="66" t="s">
        <v>1712</v>
      </c>
      <c r="D218" s="66" t="s">
        <v>1713</v>
      </c>
      <c r="E218" s="66" t="s">
        <v>1714</v>
      </c>
      <c r="F218" s="66" t="s">
        <v>1710</v>
      </c>
      <c r="G218" s="67" t="s">
        <v>1715</v>
      </c>
      <c r="H218" s="67" t="s">
        <v>1716</v>
      </c>
      <c r="I218" s="67" t="s">
        <v>1717</v>
      </c>
    </row>
    <row r="219">
      <c r="A219" s="66" t="s">
        <v>1718</v>
      </c>
      <c r="B219" s="67" t="s">
        <v>1719</v>
      </c>
      <c r="C219" s="66" t="s">
        <v>1720</v>
      </c>
      <c r="D219" s="66" t="s">
        <v>1721</v>
      </c>
      <c r="E219" s="66" t="s">
        <v>1722</v>
      </c>
      <c r="F219" s="66" t="s">
        <v>1723</v>
      </c>
      <c r="G219" s="67" t="s">
        <v>1724</v>
      </c>
      <c r="H219" s="67" t="s">
        <v>1725</v>
      </c>
      <c r="I219" s="67" t="s">
        <v>1725</v>
      </c>
    </row>
    <row r="220">
      <c r="A220" s="66" t="s">
        <v>1726</v>
      </c>
      <c r="B220" s="67" t="s">
        <v>1727</v>
      </c>
      <c r="C220" s="66" t="s">
        <v>1728</v>
      </c>
      <c r="D220" s="66" t="s">
        <v>1729</v>
      </c>
      <c r="E220" s="66" t="s">
        <v>1730</v>
      </c>
      <c r="F220" s="66" t="s">
        <v>1731</v>
      </c>
      <c r="G220" s="67" t="s">
        <v>1732</v>
      </c>
      <c r="H220" s="67" t="s">
        <v>1733</v>
      </c>
      <c r="I220" s="67" t="s">
        <v>1733</v>
      </c>
    </row>
    <row r="221">
      <c r="A221" s="66" t="s">
        <v>1734</v>
      </c>
      <c r="B221" s="67" t="s">
        <v>1735</v>
      </c>
      <c r="C221" s="66" t="s">
        <v>180</v>
      </c>
      <c r="D221" s="66" t="s">
        <v>1736</v>
      </c>
      <c r="E221" s="66" t="s">
        <v>1737</v>
      </c>
      <c r="F221" s="66" t="s">
        <v>1738</v>
      </c>
      <c r="G221" s="67" t="s">
        <v>1739</v>
      </c>
      <c r="H221" s="67" t="s">
        <v>1740</v>
      </c>
      <c r="I221" s="67" t="s">
        <v>1740</v>
      </c>
    </row>
    <row r="222">
      <c r="A222" s="66" t="s">
        <v>1095</v>
      </c>
      <c r="B222" s="67" t="s">
        <v>1741</v>
      </c>
      <c r="C222" s="66" t="s">
        <v>1742</v>
      </c>
      <c r="D222" s="66" t="s">
        <v>1743</v>
      </c>
      <c r="E222" s="66" t="s">
        <v>1744</v>
      </c>
      <c r="F222" s="66" t="s">
        <v>1095</v>
      </c>
      <c r="G222" s="67" t="s">
        <v>1745</v>
      </c>
      <c r="H222" s="67" t="s">
        <v>1746</v>
      </c>
      <c r="I222" s="67" t="s">
        <v>1747</v>
      </c>
    </row>
    <row r="223">
      <c r="A223" s="66" t="s">
        <v>1748</v>
      </c>
      <c r="B223" s="67" t="s">
        <v>1749</v>
      </c>
      <c r="C223" s="66" t="s">
        <v>1750</v>
      </c>
      <c r="D223" s="66" t="s">
        <v>1751</v>
      </c>
      <c r="E223" s="66" t="s">
        <v>1752</v>
      </c>
      <c r="F223" s="66" t="s">
        <v>1748</v>
      </c>
      <c r="G223" s="67" t="s">
        <v>1753</v>
      </c>
      <c r="H223" s="67" t="s">
        <v>1754</v>
      </c>
      <c r="I223" s="67" t="s">
        <v>1754</v>
      </c>
    </row>
    <row r="224">
      <c r="A224" s="66" t="s">
        <v>547</v>
      </c>
      <c r="B224" s="67" t="s">
        <v>1755</v>
      </c>
      <c r="C224" s="66" t="s">
        <v>1756</v>
      </c>
      <c r="D224" s="66" t="s">
        <v>547</v>
      </c>
      <c r="E224" s="66" t="s">
        <v>1616</v>
      </c>
      <c r="F224" s="66" t="s">
        <v>1757</v>
      </c>
      <c r="G224" s="67" t="s">
        <v>1758</v>
      </c>
      <c r="H224" s="67" t="s">
        <v>1759</v>
      </c>
      <c r="I224" s="67" t="s">
        <v>1760</v>
      </c>
    </row>
    <row r="225">
      <c r="A225" s="66" t="s">
        <v>1761</v>
      </c>
      <c r="B225" s="67" t="s">
        <v>1762</v>
      </c>
      <c r="C225" s="66" t="s">
        <v>1763</v>
      </c>
      <c r="D225" s="66" t="s">
        <v>1764</v>
      </c>
      <c r="E225" s="66" t="s">
        <v>1765</v>
      </c>
      <c r="F225" s="66" t="s">
        <v>1766</v>
      </c>
      <c r="G225" s="67" t="s">
        <v>1767</v>
      </c>
      <c r="H225" s="67" t="s">
        <v>1768</v>
      </c>
      <c r="I225" s="67" t="s">
        <v>1769</v>
      </c>
    </row>
    <row r="226">
      <c r="A226" s="66" t="s">
        <v>1770</v>
      </c>
      <c r="B226" s="67" t="s">
        <v>1771</v>
      </c>
      <c r="C226" s="66" t="s">
        <v>1772</v>
      </c>
      <c r="D226" s="66" t="s">
        <v>1773</v>
      </c>
      <c r="E226" s="66" t="s">
        <v>1774</v>
      </c>
      <c r="F226" s="66" t="s">
        <v>1770</v>
      </c>
      <c r="G226" s="67" t="s">
        <v>1775</v>
      </c>
      <c r="H226" s="67" t="s">
        <v>1776</v>
      </c>
      <c r="I226" s="67" t="s">
        <v>1777</v>
      </c>
    </row>
    <row r="227">
      <c r="A227" s="66" t="s">
        <v>1778</v>
      </c>
      <c r="B227" s="67" t="s">
        <v>1779</v>
      </c>
      <c r="C227" s="66" t="s">
        <v>1780</v>
      </c>
      <c r="D227" s="66" t="s">
        <v>1781</v>
      </c>
      <c r="E227" s="66" t="s">
        <v>1782</v>
      </c>
      <c r="F227" s="66" t="s">
        <v>741</v>
      </c>
      <c r="G227" s="67" t="s">
        <v>1783</v>
      </c>
      <c r="H227" s="67" t="s">
        <v>1784</v>
      </c>
      <c r="I227" s="67" t="s">
        <v>1785</v>
      </c>
    </row>
    <row r="228">
      <c r="A228" s="66" t="s">
        <v>1786</v>
      </c>
      <c r="B228" s="67" t="s">
        <v>1787</v>
      </c>
      <c r="C228" s="66" t="s">
        <v>1788</v>
      </c>
      <c r="D228" s="66" t="s">
        <v>1789</v>
      </c>
      <c r="E228" s="66" t="s">
        <v>1790</v>
      </c>
      <c r="F228" s="66" t="s">
        <v>1786</v>
      </c>
      <c r="G228" s="67" t="s">
        <v>1791</v>
      </c>
      <c r="H228" s="67" t="s">
        <v>1792</v>
      </c>
      <c r="I228" s="67" t="s">
        <v>1792</v>
      </c>
    </row>
    <row r="229">
      <c r="A229" s="66" t="s">
        <v>329</v>
      </c>
      <c r="B229" s="67" t="s">
        <v>1793</v>
      </c>
      <c r="C229" s="66" t="s">
        <v>1794</v>
      </c>
      <c r="D229" s="66" t="s">
        <v>1795</v>
      </c>
      <c r="E229" s="66" t="s">
        <v>1796</v>
      </c>
      <c r="F229" s="66" t="s">
        <v>329</v>
      </c>
      <c r="G229" s="67" t="s">
        <v>1797</v>
      </c>
      <c r="H229" s="67" t="s">
        <v>1798</v>
      </c>
      <c r="I229" s="67" t="s">
        <v>1799</v>
      </c>
    </row>
    <row r="230">
      <c r="A230" s="66" t="s">
        <v>1800</v>
      </c>
      <c r="B230" s="67" t="s">
        <v>1801</v>
      </c>
      <c r="C230" s="66" t="s">
        <v>1802</v>
      </c>
      <c r="D230" s="66" t="s">
        <v>1803</v>
      </c>
      <c r="E230" s="66" t="s">
        <v>1804</v>
      </c>
      <c r="F230" s="66" t="s">
        <v>1800</v>
      </c>
      <c r="G230" s="67" t="s">
        <v>1805</v>
      </c>
      <c r="H230" s="67" t="s">
        <v>1806</v>
      </c>
      <c r="I230" s="67" t="s">
        <v>1806</v>
      </c>
    </row>
    <row r="231">
      <c r="A231" s="66" t="s">
        <v>1807</v>
      </c>
      <c r="B231" s="67" t="s">
        <v>1808</v>
      </c>
      <c r="C231" s="66" t="s">
        <v>985</v>
      </c>
      <c r="D231" s="66" t="s">
        <v>1809</v>
      </c>
      <c r="E231" s="66" t="s">
        <v>1810</v>
      </c>
      <c r="F231" s="66" t="s">
        <v>1807</v>
      </c>
      <c r="G231" s="67" t="s">
        <v>1811</v>
      </c>
      <c r="H231" s="67" t="s">
        <v>1812</v>
      </c>
      <c r="I231" s="67" t="s">
        <v>1812</v>
      </c>
    </row>
    <row r="232">
      <c r="A232" s="66" t="s">
        <v>1813</v>
      </c>
      <c r="B232" s="67" t="s">
        <v>1814</v>
      </c>
      <c r="C232" s="66" t="s">
        <v>1815</v>
      </c>
      <c r="D232" s="66" t="s">
        <v>1816</v>
      </c>
      <c r="E232" s="66" t="s">
        <v>1817</v>
      </c>
      <c r="F232" s="66" t="s">
        <v>363</v>
      </c>
      <c r="G232" s="67" t="s">
        <v>1818</v>
      </c>
      <c r="H232" s="67" t="s">
        <v>1819</v>
      </c>
      <c r="I232" s="67" t="s">
        <v>1819</v>
      </c>
    </row>
    <row r="233">
      <c r="A233" s="66" t="s">
        <v>1820</v>
      </c>
      <c r="B233" s="67" t="s">
        <v>1821</v>
      </c>
      <c r="C233" s="66" t="s">
        <v>1822</v>
      </c>
      <c r="D233" s="66" t="s">
        <v>1823</v>
      </c>
      <c r="E233" s="66" t="s">
        <v>1824</v>
      </c>
      <c r="F233" s="66" t="s">
        <v>1825</v>
      </c>
      <c r="G233" s="67" t="s">
        <v>1826</v>
      </c>
      <c r="H233" s="67" t="s">
        <v>1827</v>
      </c>
      <c r="I233" s="67" t="s">
        <v>1827</v>
      </c>
    </row>
    <row r="234">
      <c r="A234" s="66" t="s">
        <v>1828</v>
      </c>
      <c r="B234" s="67" t="s">
        <v>1829</v>
      </c>
      <c r="C234" s="66" t="s">
        <v>1830</v>
      </c>
      <c r="D234" s="66" t="s">
        <v>1828</v>
      </c>
      <c r="E234" s="66" t="s">
        <v>1831</v>
      </c>
      <c r="F234" s="66" t="s">
        <v>1828</v>
      </c>
      <c r="G234" s="67" t="s">
        <v>1832</v>
      </c>
      <c r="H234" s="67" t="s">
        <v>1833</v>
      </c>
      <c r="I234" s="67" t="s">
        <v>1834</v>
      </c>
    </row>
    <row r="235">
      <c r="A235" s="66" t="s">
        <v>1835</v>
      </c>
      <c r="B235" s="67" t="s">
        <v>1836</v>
      </c>
      <c r="C235" s="66" t="s">
        <v>1837</v>
      </c>
      <c r="D235" s="66" t="s">
        <v>1838</v>
      </c>
      <c r="E235" s="66" t="s">
        <v>1839</v>
      </c>
      <c r="F235" s="66" t="s">
        <v>1835</v>
      </c>
      <c r="G235" s="67" t="s">
        <v>1840</v>
      </c>
      <c r="H235" s="67" t="s">
        <v>1841</v>
      </c>
      <c r="I235" s="67" t="s">
        <v>1842</v>
      </c>
    </row>
    <row r="236">
      <c r="A236" s="66" t="s">
        <v>1843</v>
      </c>
      <c r="B236" s="67" t="s">
        <v>1844</v>
      </c>
      <c r="C236" s="66" t="s">
        <v>1845</v>
      </c>
      <c r="D236" s="66" t="s">
        <v>1846</v>
      </c>
      <c r="E236" s="66" t="s">
        <v>1847</v>
      </c>
      <c r="F236" s="66" t="s">
        <v>1843</v>
      </c>
      <c r="G236" s="67" t="s">
        <v>1848</v>
      </c>
      <c r="H236" s="67" t="s">
        <v>1849</v>
      </c>
      <c r="I236" s="67" t="s">
        <v>1850</v>
      </c>
    </row>
    <row r="237">
      <c r="A237" s="66" t="s">
        <v>1851</v>
      </c>
      <c r="B237" s="67" t="s">
        <v>1852</v>
      </c>
      <c r="C237" s="66" t="s">
        <v>1743</v>
      </c>
      <c r="D237" s="66" t="s">
        <v>1853</v>
      </c>
      <c r="E237" s="66" t="s">
        <v>1854</v>
      </c>
      <c r="F237" s="66" t="s">
        <v>1851</v>
      </c>
      <c r="G237" s="67" t="s">
        <v>1855</v>
      </c>
      <c r="H237" s="67" t="s">
        <v>1856</v>
      </c>
      <c r="I237" s="67" t="s">
        <v>1856</v>
      </c>
    </row>
    <row r="238">
      <c r="A238" s="66" t="s">
        <v>1857</v>
      </c>
      <c r="B238" s="67" t="s">
        <v>1858</v>
      </c>
      <c r="C238" s="66" t="s">
        <v>1859</v>
      </c>
      <c r="D238" s="66" t="s">
        <v>1860</v>
      </c>
      <c r="E238" s="66" t="s">
        <v>1861</v>
      </c>
      <c r="F238" s="66" t="s">
        <v>1857</v>
      </c>
      <c r="G238" s="67" t="s">
        <v>1862</v>
      </c>
      <c r="H238" s="67" t="s">
        <v>1863</v>
      </c>
      <c r="I238" s="67" t="s">
        <v>1863</v>
      </c>
    </row>
    <row r="239">
      <c r="A239" s="66" t="s">
        <v>1864</v>
      </c>
      <c r="B239" s="67" t="s">
        <v>1865</v>
      </c>
      <c r="C239" s="66" t="s">
        <v>1866</v>
      </c>
      <c r="D239" s="66" t="s">
        <v>1867</v>
      </c>
      <c r="E239" s="66" t="s">
        <v>213</v>
      </c>
      <c r="F239" s="66" t="s">
        <v>1868</v>
      </c>
      <c r="G239" s="67" t="s">
        <v>1869</v>
      </c>
      <c r="H239" s="67" t="s">
        <v>1870</v>
      </c>
      <c r="I239" s="67" t="s">
        <v>1871</v>
      </c>
    </row>
    <row r="240">
      <c r="A240" s="66" t="s">
        <v>346</v>
      </c>
      <c r="B240" s="67" t="s">
        <v>1872</v>
      </c>
      <c r="C240" s="66" t="s">
        <v>1873</v>
      </c>
      <c r="D240" s="66" t="s">
        <v>346</v>
      </c>
      <c r="E240" s="66" t="s">
        <v>1874</v>
      </c>
      <c r="F240" s="66" t="s">
        <v>346</v>
      </c>
      <c r="G240" s="67" t="s">
        <v>1875</v>
      </c>
      <c r="H240" s="67" t="s">
        <v>1876</v>
      </c>
      <c r="I240" s="67" t="s">
        <v>1877</v>
      </c>
    </row>
    <row r="241">
      <c r="A241" s="66" t="s">
        <v>1878</v>
      </c>
      <c r="B241" s="67" t="s">
        <v>1879</v>
      </c>
      <c r="C241" s="66" t="s">
        <v>1880</v>
      </c>
      <c r="D241" s="66" t="s">
        <v>1881</v>
      </c>
      <c r="E241" s="66" t="s">
        <v>1882</v>
      </c>
      <c r="F241" s="66" t="s">
        <v>1878</v>
      </c>
      <c r="G241" s="67" t="s">
        <v>1883</v>
      </c>
      <c r="H241" s="67" t="s">
        <v>1884</v>
      </c>
      <c r="I241" s="67" t="s">
        <v>1885</v>
      </c>
    </row>
    <row r="242">
      <c r="A242" s="66" t="s">
        <v>1886</v>
      </c>
      <c r="B242" s="67" t="s">
        <v>1887</v>
      </c>
      <c r="C242" s="66" t="s">
        <v>1888</v>
      </c>
      <c r="D242" s="66" t="s">
        <v>1889</v>
      </c>
      <c r="E242" s="66" t="s">
        <v>1890</v>
      </c>
      <c r="F242" s="66" t="s">
        <v>1891</v>
      </c>
      <c r="G242" s="67" t="s">
        <v>1892</v>
      </c>
      <c r="H242" s="67" t="s">
        <v>1893</v>
      </c>
      <c r="I242" s="67" t="s">
        <v>1894</v>
      </c>
    </row>
    <row r="243">
      <c r="A243" s="66" t="s">
        <v>1895</v>
      </c>
      <c r="B243" s="67" t="s">
        <v>1896</v>
      </c>
      <c r="C243" s="66" t="s">
        <v>1897</v>
      </c>
      <c r="D243" s="66" t="s">
        <v>184</v>
      </c>
      <c r="E243" s="66" t="s">
        <v>1898</v>
      </c>
      <c r="F243" s="66" t="s">
        <v>1899</v>
      </c>
      <c r="G243" s="67" t="s">
        <v>1900</v>
      </c>
      <c r="H243" s="67" t="s">
        <v>1901</v>
      </c>
      <c r="I243" s="67" t="s">
        <v>1901</v>
      </c>
    </row>
    <row r="244">
      <c r="A244" s="66" t="s">
        <v>1902</v>
      </c>
      <c r="B244" s="67" t="s">
        <v>1903</v>
      </c>
      <c r="C244" s="66" t="s">
        <v>1904</v>
      </c>
      <c r="D244" s="66" t="s">
        <v>1905</v>
      </c>
      <c r="E244" s="66" t="s">
        <v>1906</v>
      </c>
      <c r="F244" s="66" t="s">
        <v>1907</v>
      </c>
      <c r="G244" s="67" t="s">
        <v>1908</v>
      </c>
      <c r="H244" s="67" t="s">
        <v>1909</v>
      </c>
      <c r="I244" s="67" t="s">
        <v>1910</v>
      </c>
    </row>
    <row r="245">
      <c r="A245" s="66" t="s">
        <v>1911</v>
      </c>
      <c r="B245" s="67" t="s">
        <v>1912</v>
      </c>
      <c r="C245" s="66" t="s">
        <v>1913</v>
      </c>
      <c r="D245" s="66" t="s">
        <v>1914</v>
      </c>
      <c r="E245" s="66" t="s">
        <v>1915</v>
      </c>
      <c r="F245" s="66" t="s">
        <v>1916</v>
      </c>
      <c r="G245" s="67" t="s">
        <v>1917</v>
      </c>
      <c r="H245" s="67" t="s">
        <v>1918</v>
      </c>
      <c r="I245" s="67" t="s">
        <v>1919</v>
      </c>
    </row>
    <row r="246">
      <c r="A246" s="66" t="s">
        <v>487</v>
      </c>
      <c r="B246" s="67" t="s">
        <v>1920</v>
      </c>
      <c r="C246" s="66" t="s">
        <v>1921</v>
      </c>
      <c r="D246" s="66" t="s">
        <v>1922</v>
      </c>
      <c r="E246" s="66" t="s">
        <v>1923</v>
      </c>
      <c r="F246" s="66" t="s">
        <v>487</v>
      </c>
      <c r="G246" s="67" t="s">
        <v>1924</v>
      </c>
      <c r="H246" s="67" t="s">
        <v>1925</v>
      </c>
      <c r="I246" s="67" t="s">
        <v>1925</v>
      </c>
    </row>
    <row r="247">
      <c r="A247" s="66" t="s">
        <v>853</v>
      </c>
      <c r="B247" s="67" t="s">
        <v>1926</v>
      </c>
      <c r="C247" s="66" t="s">
        <v>1927</v>
      </c>
      <c r="D247" s="66" t="s">
        <v>1928</v>
      </c>
      <c r="E247" s="66" t="s">
        <v>1929</v>
      </c>
      <c r="F247" s="66" t="s">
        <v>1930</v>
      </c>
      <c r="G247" s="67" t="s">
        <v>1931</v>
      </c>
      <c r="H247" s="67" t="s">
        <v>1932</v>
      </c>
      <c r="I247" s="67" t="s">
        <v>1932</v>
      </c>
    </row>
    <row r="248">
      <c r="A248" s="66" t="s">
        <v>1933</v>
      </c>
      <c r="B248" s="67" t="s">
        <v>1934</v>
      </c>
      <c r="C248" s="66" t="s">
        <v>1935</v>
      </c>
      <c r="D248" s="66" t="s">
        <v>1936</v>
      </c>
      <c r="E248" s="66" t="s">
        <v>1937</v>
      </c>
      <c r="F248" s="66" t="s">
        <v>1743</v>
      </c>
      <c r="G248" s="67" t="s">
        <v>1938</v>
      </c>
      <c r="H248" s="67" t="s">
        <v>1939</v>
      </c>
      <c r="I248" s="67" t="s">
        <v>1940</v>
      </c>
    </row>
    <row r="249">
      <c r="A249" s="66" t="s">
        <v>1941</v>
      </c>
      <c r="B249" s="67" t="s">
        <v>1942</v>
      </c>
      <c r="C249" s="66" t="s">
        <v>1943</v>
      </c>
      <c r="D249" s="66" t="s">
        <v>1944</v>
      </c>
      <c r="E249" s="66" t="s">
        <v>1945</v>
      </c>
      <c r="F249" s="66" t="s">
        <v>1941</v>
      </c>
      <c r="G249" s="67" t="s">
        <v>1946</v>
      </c>
      <c r="H249" s="67" t="s">
        <v>1947</v>
      </c>
      <c r="I249" s="67" t="s">
        <v>1947</v>
      </c>
    </row>
    <row r="250">
      <c r="A250" s="66" t="s">
        <v>1948</v>
      </c>
      <c r="B250" s="67" t="s">
        <v>1949</v>
      </c>
      <c r="C250" s="66" t="s">
        <v>1950</v>
      </c>
      <c r="D250" s="66" t="s">
        <v>695</v>
      </c>
      <c r="E250" s="66" t="s">
        <v>1951</v>
      </c>
      <c r="F250" s="66" t="s">
        <v>215</v>
      </c>
      <c r="G250" s="67" t="s">
        <v>1952</v>
      </c>
      <c r="H250" s="67" t="s">
        <v>1953</v>
      </c>
      <c r="I250" s="67" t="s">
        <v>1954</v>
      </c>
    </row>
    <row r="251">
      <c r="A251" s="66" t="s">
        <v>1874</v>
      </c>
      <c r="B251" s="67" t="s">
        <v>1955</v>
      </c>
      <c r="C251" s="66" t="s">
        <v>1956</v>
      </c>
      <c r="D251" s="66" t="s">
        <v>479</v>
      </c>
      <c r="E251" s="66" t="s">
        <v>1957</v>
      </c>
      <c r="F251" s="66" t="s">
        <v>1958</v>
      </c>
      <c r="G251" s="67" t="s">
        <v>1959</v>
      </c>
      <c r="H251" s="67" t="s">
        <v>1960</v>
      </c>
      <c r="I251" s="67" t="s">
        <v>1961</v>
      </c>
    </row>
    <row r="252">
      <c r="A252" s="66" t="s">
        <v>1962</v>
      </c>
      <c r="B252" s="67" t="s">
        <v>1963</v>
      </c>
      <c r="C252" s="66" t="s">
        <v>1964</v>
      </c>
      <c r="D252" s="66" t="s">
        <v>1965</v>
      </c>
      <c r="E252" s="66" t="s">
        <v>1966</v>
      </c>
      <c r="F252" s="66" t="s">
        <v>1962</v>
      </c>
      <c r="G252" s="67" t="s">
        <v>1967</v>
      </c>
      <c r="H252" s="67" t="s">
        <v>1968</v>
      </c>
      <c r="I252" s="67" t="s">
        <v>1968</v>
      </c>
    </row>
    <row r="253">
      <c r="A253" s="66" t="s">
        <v>1969</v>
      </c>
      <c r="B253" s="67" t="s">
        <v>1970</v>
      </c>
      <c r="C253" s="66" t="s">
        <v>1971</v>
      </c>
      <c r="D253" s="66" t="s">
        <v>1972</v>
      </c>
      <c r="E253" s="66" t="s">
        <v>1973</v>
      </c>
      <c r="F253" s="66" t="s">
        <v>1969</v>
      </c>
      <c r="G253" s="67" t="s">
        <v>1974</v>
      </c>
      <c r="H253" s="67" t="s">
        <v>1975</v>
      </c>
      <c r="I253" s="67" t="s">
        <v>1975</v>
      </c>
    </row>
    <row r="254">
      <c r="A254" s="66" t="s">
        <v>1794</v>
      </c>
      <c r="B254" s="67" t="s">
        <v>1976</v>
      </c>
      <c r="C254" s="66" t="s">
        <v>1951</v>
      </c>
      <c r="D254" s="66" t="s">
        <v>1977</v>
      </c>
      <c r="E254" s="66" t="s">
        <v>1978</v>
      </c>
      <c r="F254" s="66" t="s">
        <v>1979</v>
      </c>
      <c r="G254" s="67" t="s">
        <v>1980</v>
      </c>
      <c r="H254" s="67" t="s">
        <v>1981</v>
      </c>
      <c r="I254" s="67" t="s">
        <v>1981</v>
      </c>
    </row>
    <row r="255">
      <c r="A255" s="66" t="s">
        <v>1982</v>
      </c>
      <c r="B255" s="67" t="s">
        <v>1983</v>
      </c>
      <c r="C255" s="66" t="s">
        <v>1984</v>
      </c>
      <c r="D255" s="66" t="s">
        <v>1985</v>
      </c>
      <c r="E255" s="66" t="s">
        <v>1986</v>
      </c>
      <c r="F255" s="66" t="s">
        <v>1987</v>
      </c>
      <c r="G255" s="67" t="s">
        <v>1988</v>
      </c>
      <c r="H255" s="67" t="s">
        <v>1989</v>
      </c>
      <c r="I255" s="67" t="s">
        <v>1989</v>
      </c>
    </row>
    <row r="256">
      <c r="A256" s="66" t="s">
        <v>1990</v>
      </c>
      <c r="B256" s="67" t="s">
        <v>1991</v>
      </c>
      <c r="C256" s="66" t="s">
        <v>1992</v>
      </c>
      <c r="D256" s="66" t="s">
        <v>1993</v>
      </c>
      <c r="E256" s="66" t="s">
        <v>991</v>
      </c>
      <c r="F256" s="66" t="s">
        <v>1990</v>
      </c>
      <c r="G256" s="67" t="s">
        <v>1994</v>
      </c>
      <c r="H256" s="67" t="s">
        <v>1995</v>
      </c>
      <c r="I256" s="67" t="s">
        <v>1995</v>
      </c>
    </row>
    <row r="257">
      <c r="A257" s="66" t="s">
        <v>1996</v>
      </c>
      <c r="B257" s="67" t="s">
        <v>1997</v>
      </c>
      <c r="C257" s="66" t="s">
        <v>1998</v>
      </c>
      <c r="D257" s="66" t="s">
        <v>1999</v>
      </c>
      <c r="E257" s="66" t="s">
        <v>2000</v>
      </c>
      <c r="F257" s="66" t="s">
        <v>2001</v>
      </c>
      <c r="G257" s="67" t="s">
        <v>2002</v>
      </c>
      <c r="H257" s="67" t="s">
        <v>2003</v>
      </c>
      <c r="I257" s="67" t="s">
        <v>2004</v>
      </c>
    </row>
    <row r="258">
      <c r="A258" s="66" t="s">
        <v>2005</v>
      </c>
      <c r="B258" s="67" t="s">
        <v>2006</v>
      </c>
      <c r="C258" s="66" t="s">
        <v>2007</v>
      </c>
      <c r="D258" s="66" t="s">
        <v>2008</v>
      </c>
      <c r="E258" s="66" t="s">
        <v>2009</v>
      </c>
      <c r="F258" s="66" t="s">
        <v>1647</v>
      </c>
      <c r="G258" s="67" t="s">
        <v>2010</v>
      </c>
      <c r="H258" s="67" t="s">
        <v>2011</v>
      </c>
      <c r="I258" s="67" t="s">
        <v>2012</v>
      </c>
    </row>
    <row r="259">
      <c r="A259" s="66" t="s">
        <v>1520</v>
      </c>
      <c r="B259" s="67" t="s">
        <v>2013</v>
      </c>
      <c r="C259" s="66" t="s">
        <v>1009</v>
      </c>
      <c r="D259" s="66" t="s">
        <v>1520</v>
      </c>
      <c r="E259" s="66" t="s">
        <v>2014</v>
      </c>
      <c r="F259" s="66" t="s">
        <v>2015</v>
      </c>
      <c r="G259" s="67" t="s">
        <v>2016</v>
      </c>
      <c r="H259" s="67" t="s">
        <v>2017</v>
      </c>
      <c r="I259" s="67" t="s">
        <v>2018</v>
      </c>
    </row>
    <row r="260">
      <c r="A260" s="66" t="s">
        <v>2019</v>
      </c>
      <c r="B260" s="67" t="s">
        <v>2020</v>
      </c>
      <c r="C260" s="66" t="s">
        <v>2021</v>
      </c>
      <c r="D260" s="66" t="s">
        <v>2022</v>
      </c>
      <c r="E260" s="66" t="s">
        <v>2023</v>
      </c>
      <c r="F260" s="66" t="s">
        <v>2019</v>
      </c>
      <c r="G260" s="67" t="s">
        <v>2024</v>
      </c>
      <c r="H260" s="67" t="s">
        <v>2025</v>
      </c>
      <c r="I260" s="67" t="s">
        <v>2025</v>
      </c>
    </row>
    <row r="261">
      <c r="A261" s="66" t="s">
        <v>2026</v>
      </c>
      <c r="B261" s="67" t="s">
        <v>2027</v>
      </c>
      <c r="C261" s="66" t="s">
        <v>2028</v>
      </c>
      <c r="D261" s="66" t="s">
        <v>2029</v>
      </c>
      <c r="E261" s="66" t="s">
        <v>2030</v>
      </c>
      <c r="F261" s="66" t="s">
        <v>2031</v>
      </c>
      <c r="G261" s="67" t="s">
        <v>2032</v>
      </c>
      <c r="H261" s="67" t="s">
        <v>2033</v>
      </c>
      <c r="I261" s="67" t="s">
        <v>2034</v>
      </c>
    </row>
    <row r="262">
      <c r="A262" s="66" t="s">
        <v>2035</v>
      </c>
      <c r="B262" s="67" t="s">
        <v>2036</v>
      </c>
      <c r="C262" s="66" t="s">
        <v>2037</v>
      </c>
      <c r="D262" s="66" t="s">
        <v>2038</v>
      </c>
      <c r="E262" s="66" t="s">
        <v>2039</v>
      </c>
      <c r="F262" s="66" t="s">
        <v>2040</v>
      </c>
      <c r="G262" s="67" t="s">
        <v>2041</v>
      </c>
      <c r="H262" s="67" t="s">
        <v>2042</v>
      </c>
      <c r="I262" s="67" t="s">
        <v>2042</v>
      </c>
    </row>
    <row r="263">
      <c r="A263" s="66" t="s">
        <v>2043</v>
      </c>
      <c r="B263" s="67" t="s">
        <v>2044</v>
      </c>
      <c r="C263" s="66" t="s">
        <v>2045</v>
      </c>
      <c r="D263" s="66" t="s">
        <v>2046</v>
      </c>
      <c r="E263" s="66" t="s">
        <v>2047</v>
      </c>
      <c r="F263" s="66" t="s">
        <v>2048</v>
      </c>
      <c r="G263" s="67" t="s">
        <v>2049</v>
      </c>
      <c r="H263" s="67" t="s">
        <v>2050</v>
      </c>
      <c r="I263" s="67" t="s">
        <v>2050</v>
      </c>
    </row>
    <row r="264">
      <c r="A264" s="66" t="s">
        <v>2051</v>
      </c>
      <c r="B264" s="67" t="s">
        <v>2052</v>
      </c>
      <c r="C264" s="66" t="s">
        <v>2053</v>
      </c>
      <c r="D264" s="66" t="s">
        <v>2054</v>
      </c>
      <c r="E264" s="66" t="s">
        <v>2055</v>
      </c>
      <c r="F264" s="66" t="s">
        <v>2051</v>
      </c>
      <c r="G264" s="67" t="s">
        <v>2056</v>
      </c>
      <c r="H264" s="67" t="s">
        <v>2057</v>
      </c>
      <c r="I264" s="67" t="s">
        <v>2058</v>
      </c>
    </row>
    <row r="265">
      <c r="A265" s="66" t="s">
        <v>2059</v>
      </c>
      <c r="B265" s="67" t="s">
        <v>2060</v>
      </c>
      <c r="C265" s="66" t="s">
        <v>618</v>
      </c>
      <c r="D265" s="66" t="s">
        <v>2061</v>
      </c>
      <c r="E265" s="66" t="s">
        <v>2062</v>
      </c>
      <c r="F265" s="66" t="s">
        <v>2059</v>
      </c>
      <c r="G265" s="67" t="s">
        <v>2063</v>
      </c>
      <c r="H265" s="67" t="s">
        <v>2064</v>
      </c>
      <c r="I265" s="67" t="s">
        <v>2064</v>
      </c>
    </row>
    <row r="266">
      <c r="A266" s="66" t="s">
        <v>2065</v>
      </c>
      <c r="B266" s="67" t="s">
        <v>2066</v>
      </c>
      <c r="C266" s="66" t="s">
        <v>2067</v>
      </c>
      <c r="D266" s="66" t="s">
        <v>2068</v>
      </c>
      <c r="E266" s="66" t="s">
        <v>2069</v>
      </c>
      <c r="F266" s="66" t="s">
        <v>2065</v>
      </c>
      <c r="G266" s="67" t="s">
        <v>2070</v>
      </c>
      <c r="H266" s="67" t="s">
        <v>2071</v>
      </c>
      <c r="I266" s="67" t="s">
        <v>2072</v>
      </c>
    </row>
    <row r="267">
      <c r="A267" s="66" t="s">
        <v>2073</v>
      </c>
      <c r="B267" s="67" t="s">
        <v>2074</v>
      </c>
      <c r="C267" s="66" t="s">
        <v>2075</v>
      </c>
      <c r="D267" s="66" t="s">
        <v>2076</v>
      </c>
      <c r="E267" s="66" t="s">
        <v>2077</v>
      </c>
      <c r="F267" s="66" t="s">
        <v>2073</v>
      </c>
      <c r="G267" s="67" t="s">
        <v>2078</v>
      </c>
      <c r="H267" s="67" t="s">
        <v>2079</v>
      </c>
      <c r="I267" s="67" t="s">
        <v>2080</v>
      </c>
    </row>
    <row r="268">
      <c r="A268" s="66" t="s">
        <v>2081</v>
      </c>
      <c r="B268" s="67" t="s">
        <v>2082</v>
      </c>
      <c r="C268" s="66" t="s">
        <v>2083</v>
      </c>
      <c r="D268" s="66" t="s">
        <v>2084</v>
      </c>
      <c r="E268" s="66" t="s">
        <v>2085</v>
      </c>
      <c r="F268" s="66" t="s">
        <v>2086</v>
      </c>
      <c r="G268" s="67" t="s">
        <v>2087</v>
      </c>
      <c r="H268" s="67" t="s">
        <v>2088</v>
      </c>
      <c r="I268" s="67" t="s">
        <v>2088</v>
      </c>
    </row>
    <row r="269">
      <c r="A269" s="66" t="s">
        <v>2089</v>
      </c>
      <c r="B269" s="67" t="s">
        <v>2090</v>
      </c>
      <c r="C269" s="66" t="s">
        <v>2091</v>
      </c>
      <c r="D269" s="66" t="s">
        <v>2092</v>
      </c>
      <c r="E269" s="66" t="s">
        <v>2093</v>
      </c>
      <c r="F269" s="66" t="s">
        <v>2089</v>
      </c>
      <c r="G269" s="67" t="s">
        <v>2094</v>
      </c>
      <c r="H269" s="67" t="s">
        <v>2095</v>
      </c>
      <c r="I269" s="67" t="s">
        <v>2095</v>
      </c>
    </row>
    <row r="270">
      <c r="A270" s="66" t="s">
        <v>1360</v>
      </c>
      <c r="B270" s="67" t="s">
        <v>2096</v>
      </c>
      <c r="C270" s="66" t="s">
        <v>2097</v>
      </c>
      <c r="D270" s="66" t="s">
        <v>2098</v>
      </c>
      <c r="E270" s="66" t="s">
        <v>2099</v>
      </c>
      <c r="F270" s="66" t="s">
        <v>2100</v>
      </c>
      <c r="G270" s="67" t="s">
        <v>2101</v>
      </c>
      <c r="H270" s="67" t="s">
        <v>2102</v>
      </c>
      <c r="I270" s="67" t="s">
        <v>2102</v>
      </c>
    </row>
    <row r="271">
      <c r="A271" s="66" t="s">
        <v>2103</v>
      </c>
      <c r="B271" s="67" t="s">
        <v>2104</v>
      </c>
      <c r="C271" s="66" t="s">
        <v>2105</v>
      </c>
      <c r="D271" s="66" t="s">
        <v>2103</v>
      </c>
      <c r="E271" s="66" t="s">
        <v>2106</v>
      </c>
      <c r="F271" s="66" t="s">
        <v>2107</v>
      </c>
      <c r="G271" s="67" t="s">
        <v>2108</v>
      </c>
      <c r="H271" s="67" t="s">
        <v>2109</v>
      </c>
      <c r="I271" s="67" t="s">
        <v>2109</v>
      </c>
    </row>
    <row r="272">
      <c r="A272" s="66" t="s">
        <v>2110</v>
      </c>
      <c r="B272" s="67" t="s">
        <v>2111</v>
      </c>
      <c r="C272" s="66" t="s">
        <v>2112</v>
      </c>
      <c r="D272" s="66" t="s">
        <v>2113</v>
      </c>
      <c r="E272" s="66" t="s">
        <v>2114</v>
      </c>
      <c r="F272" s="66" t="s">
        <v>1751</v>
      </c>
      <c r="G272" s="67" t="s">
        <v>2115</v>
      </c>
      <c r="H272" s="67" t="s">
        <v>2116</v>
      </c>
      <c r="I272" s="67" t="s">
        <v>2117</v>
      </c>
    </row>
    <row r="273">
      <c r="A273" s="66" t="s">
        <v>2118</v>
      </c>
      <c r="B273" s="67" t="s">
        <v>2119</v>
      </c>
      <c r="C273" s="66" t="s">
        <v>2120</v>
      </c>
      <c r="D273" s="66" t="s">
        <v>2121</v>
      </c>
      <c r="E273" s="66" t="s">
        <v>2122</v>
      </c>
      <c r="F273" s="66" t="s">
        <v>2121</v>
      </c>
      <c r="G273" s="67" t="s">
        <v>2123</v>
      </c>
      <c r="H273" s="67" t="s">
        <v>2124</v>
      </c>
      <c r="I273" s="67" t="s">
        <v>2124</v>
      </c>
    </row>
    <row r="274">
      <c r="A274" s="66" t="s">
        <v>2125</v>
      </c>
      <c r="B274" s="67" t="s">
        <v>2126</v>
      </c>
      <c r="C274" s="66" t="s">
        <v>2127</v>
      </c>
      <c r="D274" s="66" t="s">
        <v>2128</v>
      </c>
      <c r="E274" s="66" t="s">
        <v>2129</v>
      </c>
      <c r="F274" s="66" t="s">
        <v>2130</v>
      </c>
      <c r="G274" s="67" t="s">
        <v>2131</v>
      </c>
      <c r="H274" s="67" t="s">
        <v>2132</v>
      </c>
      <c r="I274" s="67" t="s">
        <v>2132</v>
      </c>
    </row>
    <row r="275">
      <c r="A275" s="66" t="s">
        <v>2133</v>
      </c>
      <c r="B275" s="67" t="s">
        <v>2134</v>
      </c>
      <c r="C275" s="66" t="s">
        <v>307</v>
      </c>
      <c r="D275" s="66" t="s">
        <v>2135</v>
      </c>
      <c r="E275" s="66" t="s">
        <v>2136</v>
      </c>
      <c r="F275" s="66" t="s">
        <v>2133</v>
      </c>
      <c r="G275" s="67" t="s">
        <v>2137</v>
      </c>
      <c r="H275" s="67" t="s">
        <v>2138</v>
      </c>
      <c r="I275" s="67" t="s">
        <v>2138</v>
      </c>
    </row>
    <row r="276">
      <c r="A276" s="66" t="s">
        <v>2139</v>
      </c>
      <c r="B276" s="67" t="s">
        <v>2140</v>
      </c>
      <c r="C276" s="66" t="s">
        <v>2141</v>
      </c>
      <c r="D276" s="66" t="s">
        <v>2114</v>
      </c>
      <c r="E276" s="66" t="s">
        <v>1913</v>
      </c>
      <c r="F276" s="66" t="s">
        <v>2142</v>
      </c>
      <c r="G276" s="67" t="s">
        <v>2143</v>
      </c>
      <c r="H276" s="67" t="s">
        <v>2144</v>
      </c>
      <c r="I276" s="67" t="s">
        <v>2145</v>
      </c>
    </row>
    <row r="277">
      <c r="A277" s="66" t="s">
        <v>2146</v>
      </c>
      <c r="B277" s="67" t="s">
        <v>2147</v>
      </c>
      <c r="C277" s="66" t="s">
        <v>1389</v>
      </c>
      <c r="D277" s="66" t="s">
        <v>2148</v>
      </c>
      <c r="E277" s="66" t="s">
        <v>1713</v>
      </c>
      <c r="F277" s="66" t="s">
        <v>2146</v>
      </c>
      <c r="G277" s="67" t="s">
        <v>2149</v>
      </c>
      <c r="H277" s="67" t="s">
        <v>2150</v>
      </c>
      <c r="I277" s="67" t="s">
        <v>2151</v>
      </c>
    </row>
    <row r="278">
      <c r="A278" s="66" t="s">
        <v>2152</v>
      </c>
      <c r="B278" s="67" t="s">
        <v>2153</v>
      </c>
      <c r="C278" s="66" t="s">
        <v>2154</v>
      </c>
      <c r="D278" s="66" t="s">
        <v>2155</v>
      </c>
      <c r="E278" s="66" t="s">
        <v>2156</v>
      </c>
      <c r="F278" s="66" t="s">
        <v>2152</v>
      </c>
      <c r="G278" s="67" t="s">
        <v>2157</v>
      </c>
      <c r="H278" s="67" t="s">
        <v>2158</v>
      </c>
      <c r="I278" s="67" t="s">
        <v>2159</v>
      </c>
    </row>
    <row r="279">
      <c r="A279" s="66" t="s">
        <v>2160</v>
      </c>
      <c r="B279" s="67" t="s">
        <v>2161</v>
      </c>
      <c r="C279" s="66" t="s">
        <v>2162</v>
      </c>
      <c r="D279" s="66" t="s">
        <v>2163</v>
      </c>
      <c r="E279" s="66" t="s">
        <v>2164</v>
      </c>
      <c r="F279" s="66" t="s">
        <v>2165</v>
      </c>
      <c r="G279" s="67" t="s">
        <v>2166</v>
      </c>
      <c r="H279" s="67" t="s">
        <v>2167</v>
      </c>
      <c r="I279" s="67" t="s">
        <v>2167</v>
      </c>
    </row>
    <row r="280">
      <c r="A280" s="66" t="s">
        <v>2168</v>
      </c>
      <c r="B280" s="67" t="s">
        <v>2169</v>
      </c>
      <c r="C280" s="66" t="s">
        <v>2168</v>
      </c>
      <c r="D280" s="66" t="s">
        <v>2168</v>
      </c>
      <c r="E280" s="66" t="s">
        <v>2170</v>
      </c>
      <c r="F280" s="66" t="s">
        <v>2171</v>
      </c>
      <c r="G280" s="67" t="s">
        <v>2172</v>
      </c>
      <c r="H280" s="67" t="s">
        <v>2173</v>
      </c>
      <c r="I280" s="67" t="s">
        <v>2173</v>
      </c>
    </row>
    <row r="281">
      <c r="A281" s="66" t="s">
        <v>2174</v>
      </c>
      <c r="B281" s="67" t="s">
        <v>2175</v>
      </c>
      <c r="C281" s="66" t="s">
        <v>2176</v>
      </c>
      <c r="D281" s="66" t="s">
        <v>2177</v>
      </c>
      <c r="E281" s="66" t="s">
        <v>2178</v>
      </c>
      <c r="F281" s="66" t="s">
        <v>2179</v>
      </c>
      <c r="G281" s="67" t="s">
        <v>2180</v>
      </c>
      <c r="H281" s="67" t="s">
        <v>2181</v>
      </c>
      <c r="I281" s="67" t="s">
        <v>2181</v>
      </c>
    </row>
    <row r="282">
      <c r="A282" s="66" t="s">
        <v>2182</v>
      </c>
      <c r="B282" s="67" t="s">
        <v>2183</v>
      </c>
      <c r="C282" s="66" t="s">
        <v>2184</v>
      </c>
      <c r="D282" s="66" t="s">
        <v>2185</v>
      </c>
      <c r="E282" s="66" t="s">
        <v>2186</v>
      </c>
      <c r="F282" s="66" t="s">
        <v>2182</v>
      </c>
      <c r="G282" s="67" t="s">
        <v>2187</v>
      </c>
      <c r="H282" s="67" t="s">
        <v>2188</v>
      </c>
      <c r="I282" s="67" t="s">
        <v>2188</v>
      </c>
    </row>
    <row r="283">
      <c r="A283" s="66" t="s">
        <v>2189</v>
      </c>
      <c r="B283" s="67" t="s">
        <v>2190</v>
      </c>
      <c r="C283" s="66" t="s">
        <v>1046</v>
      </c>
      <c r="D283" s="66" t="s">
        <v>2191</v>
      </c>
      <c r="E283" s="66" t="s">
        <v>2192</v>
      </c>
      <c r="F283" s="66" t="s">
        <v>2189</v>
      </c>
      <c r="G283" s="67" t="s">
        <v>2193</v>
      </c>
      <c r="H283" s="67" t="s">
        <v>2194</v>
      </c>
      <c r="I283" s="67" t="s">
        <v>2195</v>
      </c>
    </row>
    <row r="284">
      <c r="A284" s="66" t="s">
        <v>791</v>
      </c>
      <c r="B284" s="67" t="s">
        <v>2196</v>
      </c>
      <c r="C284" s="66" t="s">
        <v>2197</v>
      </c>
      <c r="D284" s="66" t="s">
        <v>2198</v>
      </c>
      <c r="E284" s="66" t="s">
        <v>2199</v>
      </c>
      <c r="F284" s="66" t="s">
        <v>2200</v>
      </c>
      <c r="G284" s="67" t="s">
        <v>2201</v>
      </c>
      <c r="H284" s="67" t="s">
        <v>2202</v>
      </c>
      <c r="I284" s="67" t="s">
        <v>2202</v>
      </c>
    </row>
    <row r="285">
      <c r="A285" s="66" t="s">
        <v>2203</v>
      </c>
      <c r="B285" s="67" t="s">
        <v>2204</v>
      </c>
      <c r="C285" s="66" t="s">
        <v>2205</v>
      </c>
      <c r="D285" s="66" t="s">
        <v>2206</v>
      </c>
      <c r="E285" s="66" t="s">
        <v>2207</v>
      </c>
      <c r="F285" s="66" t="s">
        <v>2203</v>
      </c>
      <c r="G285" s="67" t="s">
        <v>2208</v>
      </c>
      <c r="H285" s="67" t="s">
        <v>2209</v>
      </c>
      <c r="I285" s="67" t="s">
        <v>2209</v>
      </c>
    </row>
    <row r="286">
      <c r="A286" s="66" t="s">
        <v>2210</v>
      </c>
      <c r="B286" s="67" t="s">
        <v>2211</v>
      </c>
      <c r="C286" s="66" t="s">
        <v>2212</v>
      </c>
      <c r="D286" s="66" t="s">
        <v>2213</v>
      </c>
      <c r="E286" s="66" t="s">
        <v>2214</v>
      </c>
      <c r="F286" s="66" t="s">
        <v>2210</v>
      </c>
      <c r="G286" s="67" t="s">
        <v>2215</v>
      </c>
      <c r="H286" s="67" t="s">
        <v>2216</v>
      </c>
      <c r="I286" s="67" t="s">
        <v>2217</v>
      </c>
    </row>
    <row r="287">
      <c r="A287" s="66" t="s">
        <v>2218</v>
      </c>
      <c r="B287" s="67" t="s">
        <v>2219</v>
      </c>
      <c r="C287" s="66" t="s">
        <v>2220</v>
      </c>
      <c r="D287" s="66" t="s">
        <v>1288</v>
      </c>
      <c r="E287" s="66" t="s">
        <v>449</v>
      </c>
      <c r="F287" s="66" t="s">
        <v>2221</v>
      </c>
      <c r="G287" s="67" t="s">
        <v>2222</v>
      </c>
      <c r="H287" s="67" t="s">
        <v>2223</v>
      </c>
      <c r="I287" s="67" t="s">
        <v>2224</v>
      </c>
    </row>
    <row r="288">
      <c r="A288" s="66" t="s">
        <v>2225</v>
      </c>
      <c r="B288" s="67" t="s">
        <v>2226</v>
      </c>
      <c r="C288" s="66" t="s">
        <v>2227</v>
      </c>
      <c r="D288" s="66" t="s">
        <v>2228</v>
      </c>
      <c r="E288" s="66" t="s">
        <v>2229</v>
      </c>
      <c r="F288" s="66" t="s">
        <v>2225</v>
      </c>
      <c r="G288" s="67" t="s">
        <v>2230</v>
      </c>
      <c r="H288" s="67" t="s">
        <v>2231</v>
      </c>
      <c r="I288" s="67" t="s">
        <v>2231</v>
      </c>
    </row>
    <row r="289">
      <c r="A289" s="66" t="s">
        <v>2232</v>
      </c>
      <c r="B289" s="67" t="s">
        <v>2233</v>
      </c>
      <c r="C289" s="66" t="s">
        <v>2234</v>
      </c>
      <c r="D289" s="66" t="s">
        <v>2235</v>
      </c>
      <c r="E289" s="66" t="s">
        <v>2236</v>
      </c>
      <c r="F289" s="66" t="s">
        <v>2237</v>
      </c>
      <c r="G289" s="67" t="s">
        <v>2238</v>
      </c>
      <c r="H289" s="67" t="s">
        <v>2239</v>
      </c>
      <c r="I289" s="67" t="s">
        <v>2239</v>
      </c>
    </row>
    <row r="290">
      <c r="A290" s="66" t="s">
        <v>2240</v>
      </c>
      <c r="B290" s="67" t="s">
        <v>2241</v>
      </c>
      <c r="C290" s="66" t="s">
        <v>2242</v>
      </c>
      <c r="D290" s="66" t="s">
        <v>2243</v>
      </c>
      <c r="E290" s="66" t="s">
        <v>2244</v>
      </c>
      <c r="F290" s="66" t="s">
        <v>2240</v>
      </c>
      <c r="G290" s="67" t="s">
        <v>2245</v>
      </c>
      <c r="H290" s="67" t="s">
        <v>2246</v>
      </c>
      <c r="I290" s="67" t="s">
        <v>2247</v>
      </c>
    </row>
    <row r="291">
      <c r="A291" s="66" t="s">
        <v>2248</v>
      </c>
      <c r="B291" s="67" t="s">
        <v>2249</v>
      </c>
      <c r="C291" s="66" t="s">
        <v>2250</v>
      </c>
      <c r="D291" s="66" t="s">
        <v>2248</v>
      </c>
      <c r="E291" s="66" t="s">
        <v>2251</v>
      </c>
      <c r="F291" s="66" t="s">
        <v>2252</v>
      </c>
      <c r="G291" s="67" t="s">
        <v>2253</v>
      </c>
      <c r="H291" s="67" t="s">
        <v>2254</v>
      </c>
      <c r="I291" s="67" t="s">
        <v>2254</v>
      </c>
    </row>
    <row r="292">
      <c r="A292" s="66" t="s">
        <v>2255</v>
      </c>
      <c r="B292" s="67" t="s">
        <v>2256</v>
      </c>
      <c r="C292" s="66" t="s">
        <v>2257</v>
      </c>
      <c r="D292" s="66" t="s">
        <v>2258</v>
      </c>
      <c r="E292" s="66" t="s">
        <v>1520</v>
      </c>
      <c r="F292" s="66" t="s">
        <v>2259</v>
      </c>
      <c r="G292" s="67" t="s">
        <v>2260</v>
      </c>
      <c r="H292" s="67" t="s">
        <v>2261</v>
      </c>
      <c r="I292" s="67" t="s">
        <v>2262</v>
      </c>
    </row>
    <row r="293">
      <c r="A293" s="66" t="s">
        <v>885</v>
      </c>
      <c r="B293" s="67" t="s">
        <v>2263</v>
      </c>
      <c r="C293" s="66" t="s">
        <v>2264</v>
      </c>
      <c r="D293" s="66" t="s">
        <v>2265</v>
      </c>
      <c r="E293" s="66" t="s">
        <v>2266</v>
      </c>
      <c r="F293" s="66" t="s">
        <v>2267</v>
      </c>
      <c r="G293" s="67" t="s">
        <v>2268</v>
      </c>
      <c r="H293" s="67" t="s">
        <v>2269</v>
      </c>
      <c r="I293" s="67" t="s">
        <v>2270</v>
      </c>
    </row>
    <row r="294">
      <c r="A294" s="66" t="s">
        <v>2266</v>
      </c>
      <c r="B294" s="67" t="s">
        <v>2271</v>
      </c>
      <c r="C294" s="66" t="s">
        <v>229</v>
      </c>
      <c r="D294" s="66" t="s">
        <v>884</v>
      </c>
      <c r="E294" s="66" t="s">
        <v>2272</v>
      </c>
      <c r="F294" s="66" t="s">
        <v>1302</v>
      </c>
      <c r="G294" s="67" t="s">
        <v>2273</v>
      </c>
      <c r="H294" s="67" t="s">
        <v>2274</v>
      </c>
      <c r="I294" s="67" t="s">
        <v>2275</v>
      </c>
    </row>
    <row r="295">
      <c r="A295" s="66" t="s">
        <v>2276</v>
      </c>
      <c r="B295" s="67" t="s">
        <v>2277</v>
      </c>
      <c r="C295" s="66" t="s">
        <v>2278</v>
      </c>
      <c r="D295" s="66" t="s">
        <v>2279</v>
      </c>
      <c r="E295" s="66" t="s">
        <v>2280</v>
      </c>
      <c r="F295" s="66" t="s">
        <v>2281</v>
      </c>
      <c r="G295" s="67" t="s">
        <v>2282</v>
      </c>
      <c r="H295" s="67" t="s">
        <v>2283</v>
      </c>
      <c r="I295" s="67" t="s">
        <v>2283</v>
      </c>
    </row>
    <row r="296">
      <c r="A296" s="66" t="s">
        <v>2284</v>
      </c>
      <c r="B296" s="67" t="s">
        <v>2285</v>
      </c>
      <c r="C296" s="66" t="s">
        <v>2286</v>
      </c>
      <c r="D296" s="66" t="s">
        <v>2287</v>
      </c>
      <c r="E296" s="66" t="s">
        <v>2288</v>
      </c>
      <c r="F296" s="66" t="s">
        <v>2289</v>
      </c>
      <c r="G296" s="67" t="s">
        <v>2290</v>
      </c>
      <c r="H296" s="67" t="s">
        <v>2291</v>
      </c>
      <c r="I296" s="67" t="s">
        <v>2291</v>
      </c>
    </row>
    <row r="297">
      <c r="A297" s="66" t="s">
        <v>2292</v>
      </c>
      <c r="B297" s="67" t="s">
        <v>2293</v>
      </c>
      <c r="C297" s="66" t="s">
        <v>2294</v>
      </c>
      <c r="D297" s="66" t="s">
        <v>2295</v>
      </c>
      <c r="E297" s="66" t="s">
        <v>2296</v>
      </c>
      <c r="F297" s="66" t="s">
        <v>2297</v>
      </c>
      <c r="G297" s="67" t="s">
        <v>2298</v>
      </c>
      <c r="H297" s="67" t="s">
        <v>2299</v>
      </c>
      <c r="I297" s="67" t="s">
        <v>2299</v>
      </c>
    </row>
    <row r="298">
      <c r="A298" s="66" t="s">
        <v>2300</v>
      </c>
      <c r="B298" s="67" t="s">
        <v>2301</v>
      </c>
      <c r="C298" s="66" t="s">
        <v>2302</v>
      </c>
      <c r="D298" s="66" t="s">
        <v>2303</v>
      </c>
      <c r="E298" s="66" t="s">
        <v>2304</v>
      </c>
      <c r="F298" s="66" t="s">
        <v>2305</v>
      </c>
      <c r="G298" s="67" t="s">
        <v>2306</v>
      </c>
      <c r="H298" s="67" t="s">
        <v>2307</v>
      </c>
      <c r="I298" s="67" t="s">
        <v>2307</v>
      </c>
    </row>
    <row r="299">
      <c r="A299" s="66" t="s">
        <v>2308</v>
      </c>
      <c r="B299" s="67" t="s">
        <v>2309</v>
      </c>
      <c r="C299" s="66" t="s">
        <v>2310</v>
      </c>
      <c r="D299" s="66" t="s">
        <v>2308</v>
      </c>
      <c r="E299" s="66" t="s">
        <v>2311</v>
      </c>
      <c r="F299" s="66" t="s">
        <v>2308</v>
      </c>
      <c r="G299" s="67" t="s">
        <v>2312</v>
      </c>
      <c r="H299" s="67" t="s">
        <v>2313</v>
      </c>
      <c r="I299" s="67" t="s">
        <v>2313</v>
      </c>
    </row>
    <row r="300">
      <c r="A300" s="66" t="s">
        <v>2314</v>
      </c>
      <c r="B300" s="67" t="s">
        <v>2315</v>
      </c>
      <c r="C300" s="66" t="s">
        <v>2316</v>
      </c>
      <c r="D300" s="66" t="s">
        <v>2317</v>
      </c>
      <c r="E300" s="66" t="s">
        <v>2318</v>
      </c>
      <c r="F300" s="66" t="s">
        <v>2314</v>
      </c>
      <c r="G300" s="67" t="s">
        <v>2319</v>
      </c>
      <c r="H300" s="67" t="s">
        <v>2320</v>
      </c>
      <c r="I300" s="67" t="s">
        <v>2321</v>
      </c>
    </row>
    <row r="301">
      <c r="A301" s="66" t="s">
        <v>2322</v>
      </c>
      <c r="B301" s="67" t="s">
        <v>2323</v>
      </c>
      <c r="C301" s="66" t="s">
        <v>2324</v>
      </c>
      <c r="D301" s="66" t="s">
        <v>2325</v>
      </c>
      <c r="E301" s="66" t="s">
        <v>75</v>
      </c>
      <c r="F301" s="66" t="s">
        <v>75</v>
      </c>
      <c r="G301" s="67" t="s">
        <v>2326</v>
      </c>
      <c r="H301" s="67" t="s">
        <v>2327</v>
      </c>
      <c r="I301" s="67" t="s">
        <v>2328</v>
      </c>
    </row>
    <row r="302">
      <c r="A302" s="66" t="s">
        <v>2329</v>
      </c>
      <c r="B302" s="67" t="s">
        <v>2330</v>
      </c>
      <c r="C302" s="66" t="s">
        <v>2331</v>
      </c>
      <c r="D302" s="66" t="s">
        <v>2332</v>
      </c>
      <c r="E302" s="66" t="s">
        <v>2333</v>
      </c>
      <c r="F302" s="66" t="s">
        <v>2334</v>
      </c>
      <c r="G302" s="67" t="s">
        <v>2335</v>
      </c>
      <c r="H302" s="67" t="s">
        <v>2336</v>
      </c>
      <c r="I302" s="67" t="s">
        <v>2336</v>
      </c>
    </row>
    <row r="303">
      <c r="A303" s="66" t="s">
        <v>2337</v>
      </c>
      <c r="B303" s="67" t="s">
        <v>2338</v>
      </c>
      <c r="C303" s="66" t="s">
        <v>2339</v>
      </c>
      <c r="D303" s="66" t="s">
        <v>2340</v>
      </c>
      <c r="E303" s="66" t="s">
        <v>2341</v>
      </c>
      <c r="F303" s="66" t="s">
        <v>1676</v>
      </c>
      <c r="G303" s="67" t="s">
        <v>2342</v>
      </c>
      <c r="H303" s="67" t="s">
        <v>2343</v>
      </c>
      <c r="I303" s="67" t="s">
        <v>2344</v>
      </c>
    </row>
    <row r="304">
      <c r="A304" s="66" t="s">
        <v>2345</v>
      </c>
      <c r="B304" s="68" t="s">
        <v>2346</v>
      </c>
      <c r="C304" s="66" t="s">
        <v>2347</v>
      </c>
      <c r="D304" s="66" t="s">
        <v>2348</v>
      </c>
      <c r="E304" s="66" t="s">
        <v>2349</v>
      </c>
      <c r="F304" s="66" t="s">
        <v>2350</v>
      </c>
      <c r="G304" s="67" t="s">
        <v>2351</v>
      </c>
      <c r="H304" s="67" t="s">
        <v>2352</v>
      </c>
      <c r="I304" s="67" t="s">
        <v>2353</v>
      </c>
    </row>
    <row r="305">
      <c r="A305" s="66" t="s">
        <v>2354</v>
      </c>
      <c r="B305" s="67" t="s">
        <v>2355</v>
      </c>
      <c r="C305" s="66" t="s">
        <v>2356</v>
      </c>
      <c r="D305" s="66" t="s">
        <v>2357</v>
      </c>
      <c r="E305" s="66" t="s">
        <v>2358</v>
      </c>
      <c r="F305" s="66" t="s">
        <v>2359</v>
      </c>
      <c r="G305" s="67" t="s">
        <v>2360</v>
      </c>
      <c r="H305" s="67" t="s">
        <v>2361</v>
      </c>
      <c r="I305" s="67" t="s">
        <v>2361</v>
      </c>
    </row>
    <row r="306">
      <c r="A306" s="66" t="s">
        <v>2362</v>
      </c>
      <c r="B306" s="67" t="s">
        <v>2363</v>
      </c>
      <c r="C306" s="66" t="s">
        <v>2364</v>
      </c>
      <c r="D306" s="66" t="s">
        <v>2365</v>
      </c>
      <c r="E306" s="66" t="s">
        <v>2366</v>
      </c>
      <c r="F306" s="66" t="s">
        <v>2367</v>
      </c>
      <c r="G306" s="67" t="s">
        <v>2368</v>
      </c>
      <c r="H306" s="67" t="s">
        <v>2369</v>
      </c>
      <c r="I306" s="67" t="s">
        <v>2370</v>
      </c>
    </row>
    <row r="307">
      <c r="A307" s="66" t="s">
        <v>2371</v>
      </c>
      <c r="B307" s="67" t="s">
        <v>2372</v>
      </c>
      <c r="C307" s="66" t="s">
        <v>1155</v>
      </c>
      <c r="D307" s="66" t="s">
        <v>2373</v>
      </c>
      <c r="E307" s="66" t="s">
        <v>2374</v>
      </c>
      <c r="F307" s="66" t="s">
        <v>2371</v>
      </c>
      <c r="G307" s="67" t="s">
        <v>2375</v>
      </c>
      <c r="H307" s="67" t="s">
        <v>2376</v>
      </c>
      <c r="I307" s="67" t="s">
        <v>2376</v>
      </c>
    </row>
    <row r="308">
      <c r="A308" s="68" t="s">
        <v>2377</v>
      </c>
      <c r="B308" s="67" t="s">
        <v>2378</v>
      </c>
      <c r="C308" s="66" t="s">
        <v>2377</v>
      </c>
      <c r="D308" s="66" t="s">
        <v>2379</v>
      </c>
      <c r="E308" s="66" t="s">
        <v>2380</v>
      </c>
      <c r="F308" s="66" t="s">
        <v>2377</v>
      </c>
      <c r="G308" s="67" t="s">
        <v>2381</v>
      </c>
      <c r="H308" s="67" t="s">
        <v>2382</v>
      </c>
      <c r="I308" s="67" t="s">
        <v>2382</v>
      </c>
    </row>
    <row r="309">
      <c r="A309" s="66" t="s">
        <v>2383</v>
      </c>
      <c r="B309" s="67" t="s">
        <v>2384</v>
      </c>
      <c r="C309" s="66" t="s">
        <v>2385</v>
      </c>
      <c r="D309" s="66" t="s">
        <v>2386</v>
      </c>
      <c r="E309" s="66" t="s">
        <v>2387</v>
      </c>
      <c r="F309" s="66" t="s">
        <v>2383</v>
      </c>
      <c r="G309" s="67" t="s">
        <v>2388</v>
      </c>
      <c r="H309" s="67" t="s">
        <v>2389</v>
      </c>
      <c r="I309" s="67" t="s">
        <v>2389</v>
      </c>
    </row>
    <row r="310">
      <c r="A310" s="66" t="s">
        <v>2390</v>
      </c>
      <c r="B310" s="67" t="s">
        <v>2391</v>
      </c>
      <c r="C310" s="66" t="s">
        <v>2390</v>
      </c>
      <c r="D310" s="66" t="s">
        <v>2392</v>
      </c>
      <c r="E310" s="66" t="s">
        <v>2390</v>
      </c>
      <c r="F310" s="66" t="s">
        <v>2393</v>
      </c>
      <c r="G310" s="67" t="s">
        <v>2394</v>
      </c>
      <c r="H310" s="67" t="s">
        <v>2395</v>
      </c>
      <c r="I310" s="67" t="s">
        <v>2396</v>
      </c>
    </row>
    <row r="311">
      <c r="A311" s="66" t="s">
        <v>2397</v>
      </c>
      <c r="B311" s="67" t="s">
        <v>2398</v>
      </c>
      <c r="C311" s="66" t="s">
        <v>2397</v>
      </c>
      <c r="D311" s="66" t="s">
        <v>2399</v>
      </c>
      <c r="E311" s="66" t="s">
        <v>2397</v>
      </c>
      <c r="F311" s="66" t="s">
        <v>2400</v>
      </c>
      <c r="G311" s="67" t="s">
        <v>2401</v>
      </c>
      <c r="H311" s="67" t="s">
        <v>2402</v>
      </c>
      <c r="I311" s="67" t="s">
        <v>2403</v>
      </c>
    </row>
    <row r="312">
      <c r="A312" s="66" t="s">
        <v>2404</v>
      </c>
      <c r="B312" s="67" t="s">
        <v>2405</v>
      </c>
      <c r="C312" s="66" t="s">
        <v>2404</v>
      </c>
      <c r="D312" s="66" t="s">
        <v>2406</v>
      </c>
      <c r="E312" s="66" t="s">
        <v>2407</v>
      </c>
      <c r="F312" s="66" t="s">
        <v>2406</v>
      </c>
      <c r="G312" s="67" t="s">
        <v>2408</v>
      </c>
      <c r="H312" s="67" t="s">
        <v>2409</v>
      </c>
      <c r="I312" s="67" t="s">
        <v>2410</v>
      </c>
    </row>
    <row r="313">
      <c r="A313" s="66" t="s">
        <v>2411</v>
      </c>
      <c r="B313" s="67" t="s">
        <v>2412</v>
      </c>
      <c r="C313" s="66" t="s">
        <v>2413</v>
      </c>
      <c r="D313" s="66" t="s">
        <v>2414</v>
      </c>
      <c r="E313" s="66" t="s">
        <v>2415</v>
      </c>
      <c r="F313" s="66" t="s">
        <v>2416</v>
      </c>
      <c r="G313" s="67" t="s">
        <v>2417</v>
      </c>
      <c r="H313" s="67" t="s">
        <v>2418</v>
      </c>
      <c r="I313" s="67" t="s">
        <v>2418</v>
      </c>
    </row>
    <row r="314">
      <c r="A314" s="66" t="s">
        <v>2419</v>
      </c>
      <c r="B314" s="67" t="s">
        <v>2420</v>
      </c>
      <c r="C314" s="66" t="s">
        <v>2421</v>
      </c>
      <c r="D314" s="66" t="s">
        <v>2419</v>
      </c>
      <c r="E314" s="66" t="s">
        <v>2422</v>
      </c>
      <c r="F314" s="66" t="s">
        <v>2419</v>
      </c>
      <c r="G314" s="67" t="s">
        <v>2423</v>
      </c>
      <c r="H314" s="67" t="s">
        <v>2424</v>
      </c>
      <c r="I314" s="67" t="s">
        <v>2425</v>
      </c>
    </row>
    <row r="315">
      <c r="A315" s="66" t="s">
        <v>2426</v>
      </c>
      <c r="B315" s="67" t="s">
        <v>2427</v>
      </c>
      <c r="C315" s="66" t="s">
        <v>2428</v>
      </c>
      <c r="D315" s="66" t="s">
        <v>2429</v>
      </c>
      <c r="E315" s="66" t="s">
        <v>2430</v>
      </c>
      <c r="F315" s="66" t="s">
        <v>2431</v>
      </c>
      <c r="G315" s="67" t="s">
        <v>2432</v>
      </c>
      <c r="H315" s="67" t="s">
        <v>2433</v>
      </c>
      <c r="I315" s="67" t="s">
        <v>2434</v>
      </c>
    </row>
    <row r="316">
      <c r="A316" s="66" t="s">
        <v>2435</v>
      </c>
      <c r="B316" s="67" t="s">
        <v>2436</v>
      </c>
      <c r="C316" s="66" t="s">
        <v>2437</v>
      </c>
      <c r="D316" s="66" t="s">
        <v>2438</v>
      </c>
      <c r="E316" s="66" t="s">
        <v>2439</v>
      </c>
      <c r="F316" s="66" t="s">
        <v>1218</v>
      </c>
      <c r="G316" s="67" t="s">
        <v>2440</v>
      </c>
      <c r="H316" s="67" t="s">
        <v>2441</v>
      </c>
      <c r="I316" s="67" t="s">
        <v>2441</v>
      </c>
    </row>
    <row r="317">
      <c r="A317" s="66" t="s">
        <v>2442</v>
      </c>
      <c r="B317" s="67" t="s">
        <v>2443</v>
      </c>
      <c r="C317" s="66" t="s">
        <v>2444</v>
      </c>
      <c r="D317" s="66" t="s">
        <v>2442</v>
      </c>
      <c r="E317" s="66" t="s">
        <v>2445</v>
      </c>
      <c r="F317" s="66" t="s">
        <v>2446</v>
      </c>
      <c r="G317" s="67" t="s">
        <v>2447</v>
      </c>
      <c r="H317" s="67" t="s">
        <v>2448</v>
      </c>
      <c r="I317" s="67" t="s">
        <v>2449</v>
      </c>
    </row>
    <row r="318">
      <c r="A318" s="66" t="s">
        <v>2450</v>
      </c>
      <c r="B318" s="67" t="s">
        <v>2451</v>
      </c>
      <c r="C318" s="66" t="s">
        <v>2452</v>
      </c>
      <c r="D318" s="66" t="s">
        <v>2453</v>
      </c>
      <c r="E318" s="66" t="s">
        <v>2454</v>
      </c>
      <c r="F318" s="66" t="s">
        <v>1208</v>
      </c>
      <c r="G318" s="67" t="s">
        <v>2455</v>
      </c>
      <c r="H318" s="67" t="s">
        <v>2456</v>
      </c>
      <c r="I318" s="67" t="s">
        <v>2456</v>
      </c>
    </row>
    <row r="319">
      <c r="A319" s="66" t="s">
        <v>2457</v>
      </c>
      <c r="B319" s="67" t="s">
        <v>2458</v>
      </c>
      <c r="C319" s="66" t="s">
        <v>2459</v>
      </c>
      <c r="D319" s="66" t="s">
        <v>2460</v>
      </c>
      <c r="E319" s="66" t="s">
        <v>2461</v>
      </c>
      <c r="F319" s="66" t="s">
        <v>2462</v>
      </c>
      <c r="G319" s="67" t="s">
        <v>2463</v>
      </c>
      <c r="H319" s="67" t="s">
        <v>2464</v>
      </c>
      <c r="I319" s="67" t="s">
        <v>2465</v>
      </c>
    </row>
    <row r="320">
      <c r="A320" s="66" t="s">
        <v>2466</v>
      </c>
      <c r="B320" s="67" t="s">
        <v>2467</v>
      </c>
      <c r="C320" s="66" t="s">
        <v>2466</v>
      </c>
      <c r="D320" s="66" t="s">
        <v>2468</v>
      </c>
      <c r="E320" s="66" t="s">
        <v>2469</v>
      </c>
      <c r="F320" s="66" t="s">
        <v>2470</v>
      </c>
      <c r="G320" s="67" t="s">
        <v>2471</v>
      </c>
      <c r="H320" s="67" t="s">
        <v>2472</v>
      </c>
      <c r="I320" s="67" t="s">
        <v>2473</v>
      </c>
    </row>
    <row r="321">
      <c r="A321" s="66" t="s">
        <v>2474</v>
      </c>
      <c r="B321" s="67" t="s">
        <v>2475</v>
      </c>
      <c r="C321" s="66" t="s">
        <v>2476</v>
      </c>
      <c r="D321" s="66" t="s">
        <v>2477</v>
      </c>
      <c r="E321" s="66" t="s">
        <v>2474</v>
      </c>
      <c r="F321" s="66" t="s">
        <v>2474</v>
      </c>
      <c r="G321" s="67" t="s">
        <v>2478</v>
      </c>
      <c r="H321" s="67" t="s">
        <v>2479</v>
      </c>
      <c r="I321" s="67" t="s">
        <v>2479</v>
      </c>
    </row>
    <row r="322">
      <c r="A322" s="66" t="s">
        <v>2480</v>
      </c>
      <c r="B322" s="67" t="s">
        <v>2481</v>
      </c>
      <c r="C322" s="66" t="s">
        <v>2482</v>
      </c>
      <c r="D322" s="66" t="s">
        <v>2483</v>
      </c>
      <c r="E322" s="66" t="s">
        <v>2484</v>
      </c>
      <c r="F322" s="66" t="s">
        <v>2485</v>
      </c>
      <c r="G322" s="67" t="s">
        <v>2486</v>
      </c>
      <c r="H322" s="67" t="s">
        <v>2487</v>
      </c>
      <c r="I322" s="67" t="s">
        <v>2487</v>
      </c>
    </row>
    <row r="323">
      <c r="A323" s="66" t="s">
        <v>2488</v>
      </c>
      <c r="B323" s="67" t="s">
        <v>2489</v>
      </c>
      <c r="C323" s="66" t="s">
        <v>2490</v>
      </c>
      <c r="D323" s="66" t="s">
        <v>2491</v>
      </c>
      <c r="E323" s="66" t="s">
        <v>2492</v>
      </c>
      <c r="F323" s="66" t="s">
        <v>2493</v>
      </c>
      <c r="G323" s="67" t="s">
        <v>2494</v>
      </c>
      <c r="H323" s="67" t="s">
        <v>2495</v>
      </c>
      <c r="I323" s="67" t="s">
        <v>2496</v>
      </c>
    </row>
    <row r="324">
      <c r="A324" s="66" t="s">
        <v>2497</v>
      </c>
      <c r="B324" s="67" t="s">
        <v>2498</v>
      </c>
      <c r="C324" s="66" t="s">
        <v>2497</v>
      </c>
      <c r="D324" s="66" t="s">
        <v>2499</v>
      </c>
      <c r="E324" s="66" t="s">
        <v>2206</v>
      </c>
      <c r="F324" s="66" t="s">
        <v>2500</v>
      </c>
      <c r="G324" s="67" t="s">
        <v>2501</v>
      </c>
      <c r="H324" s="67" t="s">
        <v>2502</v>
      </c>
      <c r="I324" s="67" t="s">
        <v>2502</v>
      </c>
    </row>
    <row r="325">
      <c r="A325" s="66" t="s">
        <v>2503</v>
      </c>
      <c r="B325" s="67" t="s">
        <v>2504</v>
      </c>
      <c r="C325" s="66" t="s">
        <v>2503</v>
      </c>
      <c r="D325" s="66" t="s">
        <v>2505</v>
      </c>
      <c r="E325" s="66" t="s">
        <v>2503</v>
      </c>
      <c r="F325" s="66" t="s">
        <v>971</v>
      </c>
      <c r="G325" s="67" t="s">
        <v>2506</v>
      </c>
      <c r="H325" s="67" t="s">
        <v>2507</v>
      </c>
      <c r="I325" s="67" t="s">
        <v>2508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4.29"/>
    <col customWidth="1" hidden="1" min="5" max="6" width="11.57"/>
    <col customWidth="1" hidden="1" min="7" max="26" width="8.71"/>
  </cols>
  <sheetData>
    <row r="1" ht="12.75" customHeight="1">
      <c r="A1" s="69" t="s">
        <v>2509</v>
      </c>
      <c r="B1" s="70"/>
      <c r="C1" s="69" t="s">
        <v>2510</v>
      </c>
      <c r="D1" s="71"/>
    </row>
    <row r="2" ht="12.75" customHeight="1">
      <c r="A2" s="72" t="s">
        <v>2511</v>
      </c>
      <c r="B2" s="73" t="s">
        <v>2512</v>
      </c>
      <c r="C2" s="74" t="s">
        <v>2511</v>
      </c>
      <c r="D2" s="75" t="s">
        <v>2512</v>
      </c>
    </row>
    <row r="3" ht="12.75" customHeight="1">
      <c r="A3" s="76" t="s">
        <v>2513</v>
      </c>
      <c r="B3" s="77" t="s">
        <v>2514</v>
      </c>
      <c r="C3" s="78" t="s">
        <v>2515</v>
      </c>
      <c r="D3" s="78" t="s">
        <v>2516</v>
      </c>
    </row>
    <row r="4" ht="12.75" customHeight="1">
      <c r="A4" s="76" t="s">
        <v>2517</v>
      </c>
      <c r="B4" s="77" t="s">
        <v>2518</v>
      </c>
      <c r="C4" s="78" t="s">
        <v>2519</v>
      </c>
      <c r="D4" s="78" t="s">
        <v>2520</v>
      </c>
    </row>
    <row r="5" ht="12.75" customHeight="1">
      <c r="A5" s="76" t="s">
        <v>2521</v>
      </c>
      <c r="B5" s="77" t="s">
        <v>2522</v>
      </c>
      <c r="C5" s="78" t="s">
        <v>2523</v>
      </c>
      <c r="D5" s="78" t="s">
        <v>2524</v>
      </c>
    </row>
    <row r="6" ht="12.75" customHeight="1">
      <c r="A6" s="76" t="s">
        <v>2525</v>
      </c>
      <c r="B6" s="77" t="s">
        <v>2526</v>
      </c>
      <c r="C6" s="78" t="s">
        <v>2527</v>
      </c>
      <c r="D6" s="78" t="s">
        <v>2528</v>
      </c>
    </row>
    <row r="7" ht="12.75" customHeight="1">
      <c r="A7" s="76" t="s">
        <v>2529</v>
      </c>
      <c r="B7" s="77" t="s">
        <v>2530</v>
      </c>
      <c r="C7" s="78"/>
      <c r="D7" s="78"/>
    </row>
    <row r="8" ht="12.75" customHeight="1">
      <c r="A8" s="76" t="s">
        <v>2531</v>
      </c>
      <c r="B8" s="77" t="s">
        <v>2532</v>
      </c>
      <c r="C8" s="78"/>
      <c r="D8" s="78"/>
    </row>
    <row r="9" ht="12.75" customHeight="1">
      <c r="A9" s="76" t="s">
        <v>2533</v>
      </c>
      <c r="B9" s="77" t="s">
        <v>2534</v>
      </c>
      <c r="C9" s="78"/>
      <c r="D9" s="78"/>
    </row>
    <row r="10" ht="12.75" customHeight="1">
      <c r="A10" s="76" t="s">
        <v>2535</v>
      </c>
      <c r="B10" s="77" t="s">
        <v>2536</v>
      </c>
      <c r="C10" s="78"/>
      <c r="D10" s="78"/>
    </row>
    <row r="11" ht="12.75" customHeight="1">
      <c r="A11" s="76" t="s">
        <v>2537</v>
      </c>
      <c r="B11" s="77"/>
      <c r="C11" s="78"/>
      <c r="D11" s="78"/>
    </row>
    <row r="12" ht="12.75" customHeight="1">
      <c r="A12" s="76" t="s">
        <v>2538</v>
      </c>
      <c r="B12" s="77"/>
      <c r="C12" s="78"/>
      <c r="D12" s="78"/>
    </row>
    <row r="13" ht="12.75" customHeight="1">
      <c r="A13" s="76" t="s">
        <v>2539</v>
      </c>
      <c r="B13" s="77"/>
      <c r="C13" s="78"/>
      <c r="D13" s="78"/>
    </row>
    <row r="14" ht="12.75" customHeight="1">
      <c r="A14" s="76" t="s">
        <v>2540</v>
      </c>
      <c r="B14" s="77"/>
      <c r="C14" s="78"/>
      <c r="D14" s="78"/>
    </row>
    <row r="15" ht="12.75" customHeight="1">
      <c r="A15" s="76"/>
      <c r="B15" s="77"/>
      <c r="C15" s="78"/>
      <c r="D15" s="78"/>
    </row>
    <row r="16" ht="12.75" customHeight="1">
      <c r="A16" s="76"/>
      <c r="B16" s="77"/>
      <c r="C16" s="78"/>
      <c r="D16" s="78"/>
    </row>
    <row r="17" ht="12.75" customHeight="1">
      <c r="A17" s="76"/>
      <c r="B17" s="77"/>
      <c r="C17" s="78"/>
      <c r="D17" s="78"/>
    </row>
    <row r="18" ht="12.75" customHeight="1">
      <c r="A18" s="76"/>
      <c r="B18" s="77"/>
      <c r="C18" s="78"/>
      <c r="D18" s="78"/>
    </row>
    <row r="19" ht="12.75" customHeight="1">
      <c r="A19" s="76"/>
      <c r="B19" s="77"/>
      <c r="C19" s="78"/>
      <c r="D19" s="78"/>
    </row>
    <row r="20" ht="12.75" customHeight="1">
      <c r="A20" s="76"/>
      <c r="B20" s="77"/>
      <c r="C20" s="78"/>
      <c r="D20" s="78"/>
    </row>
    <row r="21" ht="12.75" customHeight="1">
      <c r="A21" s="76"/>
      <c r="B21" s="77"/>
      <c r="C21" s="78"/>
      <c r="D21" s="78"/>
    </row>
    <row r="22" ht="12.75" customHeight="1">
      <c r="A22" s="76"/>
      <c r="B22" s="77"/>
      <c r="C22" s="78"/>
      <c r="D22" s="78"/>
    </row>
    <row r="23" ht="12.75" customHeight="1">
      <c r="A23" s="76"/>
      <c r="B23" s="77"/>
      <c r="C23" s="78"/>
      <c r="D23" s="78"/>
    </row>
    <row r="24" ht="12.75" customHeight="1">
      <c r="A24" s="76"/>
      <c r="B24" s="77"/>
      <c r="C24" s="78"/>
      <c r="D24" s="78"/>
    </row>
    <row r="25" ht="12.75" customHeight="1">
      <c r="A25" s="76"/>
      <c r="B25" s="77"/>
      <c r="C25" s="78"/>
      <c r="D25" s="78"/>
    </row>
    <row r="26" ht="12.75" customHeight="1">
      <c r="A26" s="76"/>
      <c r="B26" s="77"/>
      <c r="C26" s="78"/>
      <c r="D26" s="78"/>
    </row>
    <row r="27" ht="12.75" customHeight="1">
      <c r="A27" s="79"/>
      <c r="B27" s="80"/>
      <c r="C27" s="81"/>
      <c r="D27" s="81"/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mergeCells count="2">
    <mergeCell ref="A1:B1"/>
    <mergeCell ref="C1:D1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29"/>
    <col customWidth="1" min="2" max="3" width="15.57"/>
    <col customWidth="1" min="4" max="4" width="10.43"/>
    <col customWidth="1" min="5" max="9" width="15.57"/>
    <col customWidth="1" min="10" max="10" width="15.43"/>
    <col customWidth="1" hidden="1" min="11" max="16" width="6.43"/>
    <col customWidth="1" hidden="1" min="17" max="22" width="7.71"/>
    <col customWidth="1" hidden="1" min="23" max="27" width="10.29"/>
    <col customWidth="1" min="28" max="33" width="4.57"/>
    <col customWidth="1" min="34" max="34" width="11.57"/>
    <col customWidth="1" min="35" max="35" width="7.43"/>
    <col customWidth="1" min="36" max="36" width="8.86"/>
    <col customWidth="1" min="37" max="38" width="27.29"/>
  </cols>
  <sheetData>
    <row r="1" ht="12.75" customHeight="1">
      <c r="A1" s="82" t="s">
        <v>2541</v>
      </c>
      <c r="B1" s="83" t="s">
        <v>7</v>
      </c>
      <c r="C1" s="82" t="s">
        <v>2542</v>
      </c>
      <c r="D1" s="82" t="s">
        <v>15</v>
      </c>
      <c r="E1" s="82" t="s">
        <v>9</v>
      </c>
      <c r="F1" s="82" t="s">
        <v>2543</v>
      </c>
      <c r="G1" s="82" t="s">
        <v>2543</v>
      </c>
      <c r="H1" s="82" t="s">
        <v>2543</v>
      </c>
      <c r="I1" s="82" t="s">
        <v>2543</v>
      </c>
      <c r="J1" s="82" t="s">
        <v>16</v>
      </c>
      <c r="K1" s="82" t="s">
        <v>2544</v>
      </c>
      <c r="L1" s="7" t="s">
        <v>2545</v>
      </c>
      <c r="M1" s="7" t="s">
        <v>2546</v>
      </c>
      <c r="N1" s="7" t="s">
        <v>2547</v>
      </c>
      <c r="O1" s="7" t="s">
        <v>2548</v>
      </c>
      <c r="P1" s="7" t="s">
        <v>2549</v>
      </c>
      <c r="Q1" s="7" t="s">
        <v>2550</v>
      </c>
      <c r="R1" s="7" t="s">
        <v>2551</v>
      </c>
      <c r="S1" s="7" t="s">
        <v>2552</v>
      </c>
      <c r="T1" s="7" t="s">
        <v>2553</v>
      </c>
      <c r="U1" s="7" t="s">
        <v>2554</v>
      </c>
      <c r="V1" s="7" t="s">
        <v>2555</v>
      </c>
      <c r="W1" s="7" t="s">
        <v>2556</v>
      </c>
      <c r="X1" s="7" t="s">
        <v>2557</v>
      </c>
      <c r="Y1" s="7" t="s">
        <v>2558</v>
      </c>
      <c r="Z1" s="7" t="s">
        <v>2559</v>
      </c>
      <c r="AA1" s="84" t="s">
        <v>2560</v>
      </c>
      <c r="AB1" s="84" t="s">
        <v>19</v>
      </c>
      <c r="AC1" s="84" t="s">
        <v>2561</v>
      </c>
      <c r="AD1" s="84" t="s">
        <v>2562</v>
      </c>
      <c r="AE1" s="84" t="s">
        <v>2563</v>
      </c>
      <c r="AF1" s="84" t="s">
        <v>2564</v>
      </c>
      <c r="AG1" s="84" t="s">
        <v>2565</v>
      </c>
      <c r="AH1" s="84" t="s">
        <v>2566</v>
      </c>
      <c r="AI1" s="85" t="s">
        <v>2567</v>
      </c>
      <c r="AJ1" s="85" t="s">
        <v>2568</v>
      </c>
      <c r="AK1" s="7"/>
      <c r="AL1" s="7" t="str">
        <f>'Pokemon Search'!A2</f>
        <v>Heatran</v>
      </c>
    </row>
    <row r="2" ht="12.75" customHeight="1">
      <c r="A2" s="86">
        <v>1.0</v>
      </c>
      <c r="B2" s="84" t="s">
        <v>2569</v>
      </c>
      <c r="C2" s="7" t="s">
        <v>2570</v>
      </c>
      <c r="D2" s="7" t="s">
        <v>2571</v>
      </c>
      <c r="E2" s="7" t="s">
        <v>2524</v>
      </c>
      <c r="F2" s="84" t="s">
        <v>2572</v>
      </c>
      <c r="G2" s="84" t="s">
        <v>2573</v>
      </c>
      <c r="H2" s="84" t="s">
        <v>2574</v>
      </c>
      <c r="I2" s="84" t="s">
        <v>2575</v>
      </c>
      <c r="J2" s="7" t="s">
        <v>2576</v>
      </c>
      <c r="K2" s="7">
        <v>31.0</v>
      </c>
      <c r="L2" s="7">
        <v>31.0</v>
      </c>
      <c r="M2" s="7">
        <v>0.0</v>
      </c>
      <c r="N2" s="7">
        <v>0.0</v>
      </c>
      <c r="O2" s="7">
        <v>0.0</v>
      </c>
      <c r="P2" s="7">
        <v>0.0</v>
      </c>
      <c r="Q2" s="7">
        <v>108.0</v>
      </c>
      <c r="R2" s="7">
        <v>108.0</v>
      </c>
      <c r="S2" s="7">
        <v>0.0</v>
      </c>
      <c r="T2" s="7">
        <v>0.0</v>
      </c>
      <c r="U2" s="7">
        <v>0.0</v>
      </c>
      <c r="V2" s="7">
        <v>0.0</v>
      </c>
      <c r="W2" s="7">
        <f>VLOOKUP($D2,NatureChart,2,0)</f>
        <v>1.1</v>
      </c>
      <c r="X2" s="7">
        <f>VLOOKUP($D2,NatureChart,3,0)</f>
        <v>1</v>
      </c>
      <c r="Y2" s="7">
        <f>VLOOKUP($D2,NatureChart,4,0)</f>
        <v>0.9</v>
      </c>
      <c r="Z2" s="7">
        <f>VLOOKUP($D2,NatureChart,5,0)</f>
        <v>1</v>
      </c>
      <c r="AA2" s="84">
        <f>VLOOKUP($D2,NatureChart,6,0)</f>
        <v>1</v>
      </c>
      <c r="AB2" s="84">
        <f>IF($C2="Shedinja",1,(INT((2*VLOOKUP($C2,DexData,5,0)+INT(Q2/4)+K2)/2)+60))</f>
        <v>134</v>
      </c>
      <c r="AC2" s="84">
        <f>INT(INT((INT((2*VLOOKUP($C2,DexData,6,0)+INT(R2/4)+L2)/2)+5)*W2)*IF($E2="Choice Band",1.5,IF(OR($E2="Mawilite",$E2="Medichamite",$E2="Thick Club"),2,1)))</f>
        <v>91</v>
      </c>
      <c r="AD2" s="84">
        <f>INT(INT((INT((2*VLOOKUP($C2,DexData,7,0)+INT(S2/4)+M2)/2)+5)*X2)*IF($E2="Eviolite",1.5,1))</f>
        <v>54</v>
      </c>
      <c r="AE2" s="84">
        <f>INT(INT((INT((2*VLOOKUP($C2,DexData,9,0)+INT(T2/4)+N2)/2)+5)*Y2)*IF($E2="Choice Specs",1.5,1))</f>
        <v>63</v>
      </c>
      <c r="AF2" s="84">
        <f>INT(INT((INT((2*VLOOKUP($C2,DexData,10,0)+INT(U2/4)+O2)/2)+5)*Z2)*IF(OR($E2="Eviolite",$E2="Assault Vest"),1.5,1))</f>
        <v>70</v>
      </c>
      <c r="AG2" s="84">
        <f>INT(INT((INT((2*VLOOKUP($C2,DexData,11,0)+INT(V2/4)+P2)/2)+5)*AA2)*IF($E2="Choice Scarf",1.5,IF($E2="Iron Ball",0.5,1)))</f>
        <v>50</v>
      </c>
      <c r="AH2" s="84" t="str">
        <f>VLOOKUP(VLOOKUP($C2,DexData,3,0),Aliases!D$2:E$19,2,0)&amp;IFERROR("/"&amp;VLOOKUP(VLOOKUP($C2,DexData,4,0),Aliases!D$2:E$19,2,0),"")</f>
        <v>GRS/PSN</v>
      </c>
      <c r="AI2" s="7">
        <v>3.0</v>
      </c>
      <c r="AJ2" s="7">
        <f>IF(VLOOKUP(B2,'Set Odds'!A$2:AN$1067,40,0),1,IF(VLOOKUP(B2,'Set Odds'!A$2:AO$1067,41,0),2,0))</f>
        <v>0</v>
      </c>
      <c r="AK2" s="7"/>
      <c r="AL2" s="7" t="str">
        <f t="shared" ref="AL2:AL1067" si="1">IF(AL$1=C2,1,"")</f>
        <v/>
      </c>
    </row>
    <row r="3" ht="12.75" customHeight="1">
      <c r="A3" s="86">
        <v>2.0</v>
      </c>
      <c r="B3" s="84" t="s">
        <v>2577</v>
      </c>
      <c r="C3" s="7" t="s">
        <v>2578</v>
      </c>
      <c r="D3" s="7" t="s">
        <v>2571</v>
      </c>
      <c r="E3" s="7" t="s">
        <v>2579</v>
      </c>
      <c r="F3" s="84" t="s">
        <v>2580</v>
      </c>
      <c r="G3" s="84" t="s">
        <v>2581</v>
      </c>
      <c r="H3" s="84" t="s">
        <v>2582</v>
      </c>
      <c r="I3" s="84" t="s">
        <v>2583</v>
      </c>
      <c r="J3" s="7" t="s">
        <v>2584</v>
      </c>
      <c r="K3" s="7">
        <v>31.0</v>
      </c>
      <c r="L3" s="7">
        <v>31.0</v>
      </c>
      <c r="M3" s="7">
        <v>0.0</v>
      </c>
      <c r="N3" s="7">
        <v>0.0</v>
      </c>
      <c r="O3" s="7">
        <v>0.0</v>
      </c>
      <c r="P3" s="7">
        <v>0.0</v>
      </c>
      <c r="Q3" s="7">
        <v>108.0</v>
      </c>
      <c r="R3" s="7">
        <v>108.0</v>
      </c>
      <c r="S3" s="7">
        <v>0.0</v>
      </c>
      <c r="T3" s="7">
        <v>0.0</v>
      </c>
      <c r="U3" s="7">
        <v>0.0</v>
      </c>
      <c r="V3" s="7">
        <v>0.0</v>
      </c>
      <c r="W3" s="7">
        <f>VLOOKUP($D3,NatureChart,2,0)</f>
        <v>1.1</v>
      </c>
      <c r="X3" s="7">
        <f>VLOOKUP($D3,NatureChart,3,0)</f>
        <v>1</v>
      </c>
      <c r="Y3" s="7">
        <f>VLOOKUP($D3,NatureChart,4,0)</f>
        <v>0.9</v>
      </c>
      <c r="Z3" s="7">
        <f>VLOOKUP($D3,NatureChart,5,0)</f>
        <v>1</v>
      </c>
      <c r="AA3" s="84">
        <f>VLOOKUP($D3,NatureChart,6,0)</f>
        <v>1</v>
      </c>
      <c r="AB3" s="84">
        <f>IF($C3="Shedinja",1,(INT((2*VLOOKUP($C3,DexData,5,0)+INT(Q3/4)+K3)/2)+60))</f>
        <v>128</v>
      </c>
      <c r="AC3" s="84">
        <f>INT(INT((INT((2*VLOOKUP($C3,DexData,6,0)+INT(R3/4)+L3)/2)+5)*W3)*IF($E3="Choice Band",1.5,IF(OR($E3="Mawilite",$E3="Medichamite",$E3="Thick Club"),2,1)))</f>
        <v>94</v>
      </c>
      <c r="AD3" s="84">
        <f>INT(INT((INT((2*VLOOKUP($C3,DexData,7,0)+INT(S3/4)+M3)/2)+5)*X3)*IF($E3="Eviolite",1.5,1))</f>
        <v>48</v>
      </c>
      <c r="AE3" s="84">
        <f>INT(INT((INT((2*VLOOKUP($C3,DexData,9,0)+INT(T3/4)+N3)/2)+5)*Y3)*IF($E3="Choice Specs",1.5,1))</f>
        <v>58</v>
      </c>
      <c r="AF3" s="84">
        <f>INT(INT((INT((2*VLOOKUP($C3,DexData,10,0)+INT(U3/4)+O3)/2)+5)*Z3)*IF(OR($E3="Eviolite",$E3="Assault Vest"),1.5,1))</f>
        <v>55</v>
      </c>
      <c r="AG3" s="84">
        <f>INT(INT((INT((2*VLOOKUP($C3,DexData,11,0)+INT(V3/4)+P3)/2)+5)*AA3)*IF($E3="Choice Scarf",1.5,IF($E3="Iron Ball",0.5,1)))</f>
        <v>70</v>
      </c>
      <c r="AH3" s="84" t="str">
        <f>VLOOKUP(VLOOKUP($C3,DexData,3,0),Aliases!D$2:E$19,2,0)&amp;IFERROR("/"&amp;VLOOKUP(VLOOKUP($C3,DexData,4,0),Aliases!D$2:E$19,2,0),"")</f>
        <v>FIR</v>
      </c>
      <c r="AI3" s="7">
        <v>3.0</v>
      </c>
      <c r="AJ3" s="7">
        <f>IF(VLOOKUP(B3,'Set Odds'!A$2:AN$1067,40,0),1,IF(VLOOKUP(B3,'Set Odds'!A$2:AO$1067,41,0),2,0))</f>
        <v>0</v>
      </c>
      <c r="AK3" s="7"/>
      <c r="AL3" s="7" t="str">
        <f t="shared" si="1"/>
        <v/>
      </c>
    </row>
    <row r="4" ht="12.75" customHeight="1">
      <c r="A4" s="86">
        <v>3.0</v>
      </c>
      <c r="B4" s="84" t="s">
        <v>2585</v>
      </c>
      <c r="C4" s="7" t="s">
        <v>2586</v>
      </c>
      <c r="D4" s="7" t="s">
        <v>2571</v>
      </c>
      <c r="E4" s="7" t="s">
        <v>2520</v>
      </c>
      <c r="F4" s="84" t="s">
        <v>2587</v>
      </c>
      <c r="G4" s="84" t="s">
        <v>2588</v>
      </c>
      <c r="H4" s="84" t="s">
        <v>2589</v>
      </c>
      <c r="I4" s="84" t="s">
        <v>2517</v>
      </c>
      <c r="J4" s="7" t="s">
        <v>2590</v>
      </c>
      <c r="K4" s="7">
        <v>31.0</v>
      </c>
      <c r="L4" s="7">
        <v>31.0</v>
      </c>
      <c r="M4" s="7">
        <v>0.0</v>
      </c>
      <c r="N4" s="7">
        <v>0.0</v>
      </c>
      <c r="O4" s="7">
        <v>0.0</v>
      </c>
      <c r="P4" s="7">
        <v>0.0</v>
      </c>
      <c r="Q4" s="7">
        <v>108.0</v>
      </c>
      <c r="R4" s="7">
        <v>108.0</v>
      </c>
      <c r="S4" s="7">
        <v>0.0</v>
      </c>
      <c r="T4" s="7">
        <v>0.0</v>
      </c>
      <c r="U4" s="7">
        <v>0.0</v>
      </c>
      <c r="V4" s="7">
        <v>0.0</v>
      </c>
      <c r="W4" s="7">
        <f>VLOOKUP($D4,NatureChart,2,0)</f>
        <v>1.1</v>
      </c>
      <c r="X4" s="7">
        <f>VLOOKUP($D4,NatureChart,3,0)</f>
        <v>1</v>
      </c>
      <c r="Y4" s="7">
        <f>VLOOKUP($D4,NatureChart,4,0)</f>
        <v>0.9</v>
      </c>
      <c r="Z4" s="7">
        <f>VLOOKUP($D4,NatureChart,5,0)</f>
        <v>1</v>
      </c>
      <c r="AA4" s="84">
        <f>VLOOKUP($D4,NatureChart,6,0)</f>
        <v>1</v>
      </c>
      <c r="AB4" s="84">
        <f>IF($C4="Shedinja",1,(INT((2*VLOOKUP($C4,DexData,5,0)+INT(Q4/4)+K4)/2)+60))</f>
        <v>133</v>
      </c>
      <c r="AC4" s="84">
        <f>INT(INT((INT((2*VLOOKUP($C4,DexData,6,0)+INT(R4/4)+L4)/2)+5)*W4)*IF($E4="Choice Band",1.5,IF(OR($E4="Mawilite",$E4="Medichamite",$E4="Thick Club"),2,1)))</f>
        <v>90</v>
      </c>
      <c r="AD4" s="84">
        <f>INT(INT((INT((2*VLOOKUP($C4,DexData,7,0)+INT(S4/4)+M4)/2)+5)*X4)*IF($E4="Eviolite",1.5,1))</f>
        <v>70</v>
      </c>
      <c r="AE4" s="84">
        <f>INT(INT((INT((2*VLOOKUP($C4,DexData,9,0)+INT(T4/4)+N4)/2)+5)*Y4)*IF($E4="Choice Specs",1.5,1))</f>
        <v>49</v>
      </c>
      <c r="AF4" s="84">
        <f>INT(INT((INT((2*VLOOKUP($C4,DexData,10,0)+INT(U4/4)+O4)/2)+5)*Z4)*IF(OR($E4="Eviolite",$E4="Assault Vest"),1.5,1))</f>
        <v>69</v>
      </c>
      <c r="AG4" s="84">
        <f>INT(INT((INT((2*VLOOKUP($C4,DexData,11,0)+INT(V4/4)+P4)/2)+5)*AA4)*IF($E4="Choice Scarf",1.5,IF($E4="Iron Ball",0.5,1)))</f>
        <v>48</v>
      </c>
      <c r="AH4" s="84" t="str">
        <f>VLOOKUP(VLOOKUP($C4,DexData,3,0),Aliases!D$2:E$19,2,0)&amp;IFERROR("/"&amp;VLOOKUP(VLOOKUP($C4,DexData,4,0),Aliases!D$2:E$19,2,0),"")</f>
        <v>WTR</v>
      </c>
      <c r="AI4" s="7">
        <v>3.0</v>
      </c>
      <c r="AJ4" s="7">
        <f>IF(VLOOKUP(B4,'Set Odds'!A$2:AN$1067,40,0),1,IF(VLOOKUP(B4,'Set Odds'!A$2:AO$1067,41,0),2,0))</f>
        <v>0</v>
      </c>
      <c r="AK4" s="7"/>
      <c r="AL4" s="7" t="str">
        <f t="shared" si="1"/>
        <v/>
      </c>
    </row>
    <row r="5" ht="12.75" customHeight="1">
      <c r="A5" s="86">
        <v>4.0</v>
      </c>
      <c r="B5" s="84" t="s">
        <v>2591</v>
      </c>
      <c r="C5" s="7" t="s">
        <v>2592</v>
      </c>
      <c r="D5" s="7" t="s">
        <v>2571</v>
      </c>
      <c r="E5" s="7" t="s">
        <v>2524</v>
      </c>
      <c r="F5" s="84" t="s">
        <v>2593</v>
      </c>
      <c r="G5" s="84" t="s">
        <v>2594</v>
      </c>
      <c r="H5" s="84" t="s">
        <v>2595</v>
      </c>
      <c r="I5" s="84" t="s">
        <v>2596</v>
      </c>
      <c r="J5" s="7" t="s">
        <v>2576</v>
      </c>
      <c r="K5" s="7">
        <v>31.0</v>
      </c>
      <c r="L5" s="7">
        <v>31.0</v>
      </c>
      <c r="M5" s="7">
        <v>0.0</v>
      </c>
      <c r="N5" s="7">
        <v>0.0</v>
      </c>
      <c r="O5" s="7">
        <v>0.0</v>
      </c>
      <c r="P5" s="7">
        <v>0.0</v>
      </c>
      <c r="Q5" s="7">
        <v>108.0</v>
      </c>
      <c r="R5" s="7">
        <v>108.0</v>
      </c>
      <c r="S5" s="7">
        <v>0.0</v>
      </c>
      <c r="T5" s="7">
        <v>0.0</v>
      </c>
      <c r="U5" s="7">
        <v>0.0</v>
      </c>
      <c r="V5" s="7">
        <v>0.0</v>
      </c>
      <c r="W5" s="7">
        <f>VLOOKUP($D5,NatureChart,2,0)</f>
        <v>1.1</v>
      </c>
      <c r="X5" s="7">
        <f>VLOOKUP($D5,NatureChart,3,0)</f>
        <v>1</v>
      </c>
      <c r="Y5" s="7">
        <f>VLOOKUP($D5,NatureChart,4,0)</f>
        <v>0.9</v>
      </c>
      <c r="Z5" s="7">
        <f>VLOOKUP($D5,NatureChart,5,0)</f>
        <v>1</v>
      </c>
      <c r="AA5" s="84">
        <f>VLOOKUP($D5,NatureChart,6,0)</f>
        <v>1</v>
      </c>
      <c r="AB5" s="84">
        <f>IF($C5="Shedinja",1,(INT((2*VLOOKUP($C5,DexData,5,0)+INT(Q5/4)+K5)/2)+60))</f>
        <v>134</v>
      </c>
      <c r="AC5" s="84">
        <f>INT(INT((INT((2*VLOOKUP($C5,DexData,6,0)+INT(R5/4)+L5)/2)+5)*W5)*IF($E5="Choice Band",1.5,IF(OR($E5="Mawilite",$E5="Medichamite",$E5="Thick Club"),2,1)))</f>
        <v>91</v>
      </c>
      <c r="AD5" s="84">
        <f>INT(INT((INT((2*VLOOKUP($C5,DexData,7,0)+INT(S5/4)+M5)/2)+5)*X5)*IF($E5="Eviolite",1.5,1))</f>
        <v>70</v>
      </c>
      <c r="AE5" s="84">
        <f>INT(INT((INT((2*VLOOKUP($C5,DexData,9,0)+INT(T5/4)+N5)/2)+5)*Y5)*IF($E5="Choice Specs",1.5,1))</f>
        <v>48</v>
      </c>
      <c r="AF5" s="84">
        <f>INT(INT((INT((2*VLOOKUP($C5,DexData,10,0)+INT(U5/4)+O5)/2)+5)*Z5)*IF(OR($E5="Eviolite",$E5="Assault Vest"),1.5,1))</f>
        <v>70</v>
      </c>
      <c r="AG5" s="84">
        <f>INT(INT((INT((2*VLOOKUP($C5,DexData,11,0)+INT(V5/4)+P5)/2)+5)*AA5)*IF($E5="Choice Scarf",1.5,IF($E5="Iron Ball",0.5,1)))</f>
        <v>50</v>
      </c>
      <c r="AH5" s="84" t="str">
        <f>VLOOKUP(VLOOKUP($C5,DexData,3,0),Aliases!D$2:E$19,2,0)&amp;IFERROR("/"&amp;VLOOKUP(VLOOKUP($C5,DexData,4,0),Aliases!D$2:E$19,2,0),"")</f>
        <v>GRS</v>
      </c>
      <c r="AI5" s="7">
        <v>3.0</v>
      </c>
      <c r="AJ5" s="7">
        <f>IF(VLOOKUP(B5,'Set Odds'!A$2:AN$1067,40,0),1,IF(VLOOKUP(B5,'Set Odds'!A$2:AO$1067,41,0),2,0))</f>
        <v>0</v>
      </c>
      <c r="AK5" s="7"/>
      <c r="AL5" s="7" t="str">
        <f t="shared" si="1"/>
        <v/>
      </c>
    </row>
    <row r="6" ht="12.75" customHeight="1">
      <c r="A6" s="86">
        <v>5.0</v>
      </c>
      <c r="B6" s="84" t="s">
        <v>2597</v>
      </c>
      <c r="C6" s="7" t="s">
        <v>2598</v>
      </c>
      <c r="D6" s="7" t="s">
        <v>2599</v>
      </c>
      <c r="E6" s="7" t="s">
        <v>2515</v>
      </c>
      <c r="F6" s="84" t="s">
        <v>2600</v>
      </c>
      <c r="G6" s="84" t="s">
        <v>2601</v>
      </c>
      <c r="H6" s="84" t="s">
        <v>2602</v>
      </c>
      <c r="I6" s="84" t="s">
        <v>2582</v>
      </c>
      <c r="J6" s="7" t="s">
        <v>2584</v>
      </c>
      <c r="K6" s="7">
        <v>0.0</v>
      </c>
      <c r="L6" s="7">
        <v>31.0</v>
      </c>
      <c r="M6" s="7">
        <v>0.0</v>
      </c>
      <c r="N6" s="7">
        <v>31.0</v>
      </c>
      <c r="O6" s="7">
        <v>0.0</v>
      </c>
      <c r="P6" s="7">
        <v>0.0</v>
      </c>
      <c r="Q6" s="7">
        <v>0.0</v>
      </c>
      <c r="R6" s="7">
        <v>108.0</v>
      </c>
      <c r="S6" s="7">
        <v>0.0</v>
      </c>
      <c r="T6" s="7">
        <v>108.0</v>
      </c>
      <c r="U6" s="7">
        <v>0.0</v>
      </c>
      <c r="V6" s="7">
        <v>0.0</v>
      </c>
      <c r="W6" s="7">
        <f>VLOOKUP($D6,NatureChart,2,0)</f>
        <v>1</v>
      </c>
      <c r="X6" s="7">
        <f>VLOOKUP($D6,NatureChart,3,0)</f>
        <v>1</v>
      </c>
      <c r="Y6" s="7">
        <f>VLOOKUP($D6,NatureChart,4,0)</f>
        <v>1</v>
      </c>
      <c r="Z6" s="7">
        <f>VLOOKUP($D6,NatureChart,5,0)</f>
        <v>1</v>
      </c>
      <c r="AA6" s="84">
        <f>VLOOKUP($D6,NatureChart,6,0)</f>
        <v>1</v>
      </c>
      <c r="AB6" s="84">
        <f>IF($C6="Shedinja",1,(INT((2*VLOOKUP($C6,DexData,5,0)+INT(Q6/4)+K6)/2)+60))</f>
        <v>99</v>
      </c>
      <c r="AC6" s="84">
        <f>INT(INT((INT((2*VLOOKUP($C6,DexData,6,0)+INT(R6/4)+L6)/2)+5)*W6)*IF($E6="Choice Band",1.5,IF(OR($E6="Mawilite",$E6="Medichamite",$E6="Thick Club"),2,1)))</f>
        <v>86</v>
      </c>
      <c r="AD6" s="84">
        <f>INT(INT((INT((2*VLOOKUP($C6,DexData,7,0)+INT(S6/4)+M6)/2)+5)*X6)*IF($E6="Eviolite",1.5,1))</f>
        <v>48</v>
      </c>
      <c r="AE6" s="84">
        <f>INT(INT((INT((2*VLOOKUP($C6,DexData,9,0)+INT(T6/4)+N6)/2)+5)*Y6)*IF($E6="Choice Specs",1.5,1))</f>
        <v>94</v>
      </c>
      <c r="AF6" s="84">
        <f>INT(INT((INT((2*VLOOKUP($C6,DexData,10,0)+INT(U6/4)+O6)/2)+5)*Z6)*IF(OR($E6="Eviolite",$E6="Assault Vest"),1.5,1))</f>
        <v>55</v>
      </c>
      <c r="AG6" s="84">
        <f>INT(INT((INT((2*VLOOKUP($C6,DexData,11,0)+INT(V6/4)+P6)/2)+5)*AA6)*IF($E6="Choice Scarf",1.5,IF($E6="Iron Ball",0.5,1)))</f>
        <v>70</v>
      </c>
      <c r="AH6" s="84" t="str">
        <f>VLOOKUP(VLOOKUP($C6,DexData,3,0),Aliases!D$2:E$19,2,0)&amp;IFERROR("/"&amp;VLOOKUP(VLOOKUP($C6,DexData,4,0),Aliases!D$2:E$19,2,0),"")</f>
        <v>FIR</v>
      </c>
      <c r="AI6" s="7">
        <v>3.0</v>
      </c>
      <c r="AJ6" s="7">
        <f>IF(VLOOKUP(B6,'Set Odds'!A$2:AN$1067,40,0),1,IF(VLOOKUP(B6,'Set Odds'!A$2:AO$1067,41,0),2,0))</f>
        <v>0</v>
      </c>
      <c r="AK6" s="7"/>
      <c r="AL6" s="7" t="str">
        <f t="shared" si="1"/>
        <v/>
      </c>
    </row>
    <row r="7" ht="12.75" customHeight="1">
      <c r="A7" s="86">
        <v>6.0</v>
      </c>
      <c r="B7" s="84" t="s">
        <v>2603</v>
      </c>
      <c r="C7" s="7" t="s">
        <v>2604</v>
      </c>
      <c r="D7" s="7" t="s">
        <v>2605</v>
      </c>
      <c r="E7" s="7" t="s">
        <v>2579</v>
      </c>
      <c r="F7" s="84" t="s">
        <v>2606</v>
      </c>
      <c r="G7" s="84" t="s">
        <v>2607</v>
      </c>
      <c r="H7" s="84" t="s">
        <v>2608</v>
      </c>
      <c r="I7" s="84" t="s">
        <v>2583</v>
      </c>
      <c r="J7" s="7" t="s">
        <v>2590</v>
      </c>
      <c r="K7" s="7">
        <v>0.0</v>
      </c>
      <c r="L7" s="7">
        <v>31.0</v>
      </c>
      <c r="M7" s="7">
        <v>0.0</v>
      </c>
      <c r="N7" s="7">
        <v>31.0</v>
      </c>
      <c r="O7" s="7">
        <v>0.0</v>
      </c>
      <c r="P7" s="7">
        <v>0.0</v>
      </c>
      <c r="Q7" s="7">
        <v>0.0</v>
      </c>
      <c r="R7" s="7">
        <v>108.0</v>
      </c>
      <c r="S7" s="7">
        <v>0.0</v>
      </c>
      <c r="T7" s="7">
        <v>108.0</v>
      </c>
      <c r="U7" s="7">
        <v>0.0</v>
      </c>
      <c r="V7" s="7">
        <v>0.0</v>
      </c>
      <c r="W7" s="7">
        <f>VLOOKUP($D7,NatureChart,2,0)</f>
        <v>1</v>
      </c>
      <c r="X7" s="7">
        <f>VLOOKUP($D7,NatureChart,3,0)</f>
        <v>1</v>
      </c>
      <c r="Y7" s="7">
        <f>VLOOKUP($D7,NatureChart,4,0)</f>
        <v>1</v>
      </c>
      <c r="Z7" s="7">
        <f>VLOOKUP($D7,NatureChart,5,0)</f>
        <v>1</v>
      </c>
      <c r="AA7" s="84">
        <f>VLOOKUP($D7,NatureChart,6,0)</f>
        <v>1</v>
      </c>
      <c r="AB7" s="84">
        <f>IF($C7="Shedinja",1,(INT((2*VLOOKUP($C7,DexData,5,0)+INT(Q7/4)+K7)/2)+60))</f>
        <v>110</v>
      </c>
      <c r="AC7" s="84">
        <f>INT(INT((INT((2*VLOOKUP($C7,DexData,6,0)+INT(R7/4)+L7)/2)+5)*W7)*IF($E7="Choice Band",1.5,IF(OR($E7="Mawilite",$E7="Medichamite",$E7="Thick Club"),2,1)))</f>
        <v>99</v>
      </c>
      <c r="AD7" s="84">
        <f>INT(INT((INT((2*VLOOKUP($C7,DexData,7,0)+INT(S7/4)+M7)/2)+5)*X7)*IF($E7="Eviolite",1.5,1))</f>
        <v>69</v>
      </c>
      <c r="AE7" s="84">
        <f>INT(INT((INT((2*VLOOKUP($C7,DexData,9,0)+INT(T7/4)+N7)/2)+5)*Y7)*IF($E7="Choice Specs",1.5,1))</f>
        <v>78</v>
      </c>
      <c r="AF7" s="84">
        <f>INT(INT((INT((2*VLOOKUP($C7,DexData,10,0)+INT(U7/4)+O7)/2)+5)*Z7)*IF(OR($E7="Eviolite",$E7="Assault Vest"),1.5,1))</f>
        <v>53</v>
      </c>
      <c r="AG7" s="84">
        <f>INT(INT((INT((2*VLOOKUP($C7,DexData,11,0)+INT(V7/4)+P7)/2)+5)*AA7)*IF($E7="Choice Scarf",1.5,IF($E7="Iron Ball",0.5,1)))</f>
        <v>48</v>
      </c>
      <c r="AH7" s="84" t="str">
        <f>VLOOKUP(VLOOKUP($C7,DexData,3,0),Aliases!D$2:E$19,2,0)&amp;IFERROR("/"&amp;VLOOKUP(VLOOKUP($C7,DexData,4,0),Aliases!D$2:E$19,2,0),"")</f>
        <v>WTR</v>
      </c>
      <c r="AI7" s="7">
        <v>3.0</v>
      </c>
      <c r="AJ7" s="7">
        <f>IF(VLOOKUP(B7,'Set Odds'!A$2:AN$1067,40,0),1,IF(VLOOKUP(B7,'Set Odds'!A$2:AO$1067,41,0),2,0))</f>
        <v>0</v>
      </c>
      <c r="AK7" s="7"/>
      <c r="AL7" s="7" t="str">
        <f t="shared" si="1"/>
        <v/>
      </c>
    </row>
    <row r="8" ht="12.75" customHeight="1">
      <c r="A8" s="86">
        <v>7.0</v>
      </c>
      <c r="B8" s="84" t="s">
        <v>2609</v>
      </c>
      <c r="C8" s="7" t="s">
        <v>2610</v>
      </c>
      <c r="D8" s="7" t="s">
        <v>2611</v>
      </c>
      <c r="E8" s="7" t="s">
        <v>2612</v>
      </c>
      <c r="F8" s="84" t="s">
        <v>2613</v>
      </c>
      <c r="G8" s="84" t="s">
        <v>2614</v>
      </c>
      <c r="H8" s="84" t="s">
        <v>2615</v>
      </c>
      <c r="I8" s="84" t="s">
        <v>2532</v>
      </c>
      <c r="J8" s="7" t="s">
        <v>2576</v>
      </c>
      <c r="K8" s="7">
        <v>0.0</v>
      </c>
      <c r="L8" s="7">
        <v>31.0</v>
      </c>
      <c r="M8" s="7">
        <v>0.0</v>
      </c>
      <c r="N8" s="7">
        <v>31.0</v>
      </c>
      <c r="O8" s="7">
        <v>0.0</v>
      </c>
      <c r="P8" s="7">
        <v>0.0</v>
      </c>
      <c r="Q8" s="7">
        <v>0.0</v>
      </c>
      <c r="R8" s="7">
        <v>108.0</v>
      </c>
      <c r="S8" s="7">
        <v>0.0</v>
      </c>
      <c r="T8" s="7">
        <v>108.0</v>
      </c>
      <c r="U8" s="7">
        <v>0.0</v>
      </c>
      <c r="V8" s="7">
        <v>0.0</v>
      </c>
      <c r="W8" s="7">
        <f>VLOOKUP($D8,NatureChart,2,0)</f>
        <v>1</v>
      </c>
      <c r="X8" s="7">
        <f>VLOOKUP($D8,NatureChart,3,0)</f>
        <v>1</v>
      </c>
      <c r="Y8" s="7">
        <f>VLOOKUP($D8,NatureChart,4,0)</f>
        <v>1</v>
      </c>
      <c r="Z8" s="7">
        <f>VLOOKUP($D8,NatureChart,5,0)</f>
        <v>1</v>
      </c>
      <c r="AA8" s="84">
        <f>VLOOKUP($D8,NatureChart,6,0)</f>
        <v>1</v>
      </c>
      <c r="AB8" s="84">
        <f>IF($C8="Shedinja",1,(INT((2*VLOOKUP($C8,DexData,5,0)+INT(Q8/4)+K8)/2)+60))</f>
        <v>100</v>
      </c>
      <c r="AC8" s="84">
        <f>INT(INT((INT((2*VLOOKUP($C8,DexData,6,0)+INT(R8/4)+L8)/2)+5)*W8)*IF($E8="Choice Band",1.5,IF(OR($E8="Mawilite",$E8="Medichamite",$E8="Thick Club"),2,1)))</f>
        <v>79</v>
      </c>
      <c r="AD8" s="84">
        <f>INT(INT((INT((2*VLOOKUP($C8,DexData,7,0)+INT(S8/4)+M8)/2)+5)*X8)*IF($E8="Eviolite",1.5,1))</f>
        <v>40</v>
      </c>
      <c r="AE8" s="84">
        <f>INT(INT((INT((2*VLOOKUP($C8,DexData,9,0)+INT(T8/4)+N8)/2)+5)*Y8)*IF($E8="Choice Specs",1.5,1))</f>
        <v>99</v>
      </c>
      <c r="AF8" s="84">
        <f>INT(INT((INT((2*VLOOKUP($C8,DexData,10,0)+INT(U8/4)+O8)/2)+5)*Z8)*IF(OR($E8="Eviolite",$E8="Assault Vest"),1.5,1))</f>
        <v>60</v>
      </c>
      <c r="AG8" s="84">
        <f>INT(INT((INT((2*VLOOKUP($C8,DexData,11,0)+INT(V8/4)+P8)/2)+5)*AA8)*IF($E8="Choice Scarf",1.5,IF($E8="Iron Ball",0.5,1)))</f>
        <v>75</v>
      </c>
      <c r="AH8" s="84" t="str">
        <f>VLOOKUP(VLOOKUP($C8,DexData,3,0),Aliases!D$2:E$19,2,0)&amp;IFERROR("/"&amp;VLOOKUP(VLOOKUP($C8,DexData,4,0),Aliases!D$2:E$19,2,0),"")</f>
        <v>GRS</v>
      </c>
      <c r="AI8" s="7">
        <v>3.0</v>
      </c>
      <c r="AJ8" s="7">
        <f>IF(VLOOKUP(B8,'Set Odds'!A$2:AN$1067,40,0),1,IF(VLOOKUP(B8,'Set Odds'!A$2:AO$1067,41,0),2,0))</f>
        <v>0</v>
      </c>
      <c r="AK8" s="7"/>
      <c r="AL8" s="7" t="str">
        <f t="shared" si="1"/>
        <v/>
      </c>
    </row>
    <row r="9" ht="12.75" customHeight="1">
      <c r="A9" s="86">
        <v>8.0</v>
      </c>
      <c r="B9" s="84" t="s">
        <v>2616</v>
      </c>
      <c r="C9" s="7" t="s">
        <v>2617</v>
      </c>
      <c r="D9" s="7" t="s">
        <v>2571</v>
      </c>
      <c r="E9" s="7" t="s">
        <v>2618</v>
      </c>
      <c r="F9" s="84" t="s">
        <v>2619</v>
      </c>
      <c r="G9" s="84" t="s">
        <v>2602</v>
      </c>
      <c r="H9" s="84" t="s">
        <v>2620</v>
      </c>
      <c r="I9" s="84" t="s">
        <v>2532</v>
      </c>
      <c r="J9" s="7" t="s">
        <v>2584</v>
      </c>
      <c r="K9" s="7">
        <v>31.0</v>
      </c>
      <c r="L9" s="7">
        <v>31.0</v>
      </c>
      <c r="M9" s="7">
        <v>0.0</v>
      </c>
      <c r="N9" s="7">
        <v>0.0</v>
      </c>
      <c r="O9" s="7">
        <v>0.0</v>
      </c>
      <c r="P9" s="7">
        <v>0.0</v>
      </c>
      <c r="Q9" s="7">
        <v>108.0</v>
      </c>
      <c r="R9" s="7">
        <v>108.0</v>
      </c>
      <c r="S9" s="7">
        <v>0.0</v>
      </c>
      <c r="T9" s="7">
        <v>0.0</v>
      </c>
      <c r="U9" s="7">
        <v>0.0</v>
      </c>
      <c r="V9" s="7">
        <v>0.0</v>
      </c>
      <c r="W9" s="7">
        <f>VLOOKUP($D9,NatureChart,2,0)</f>
        <v>1.1</v>
      </c>
      <c r="X9" s="7">
        <f>VLOOKUP($D9,NatureChart,3,0)</f>
        <v>1</v>
      </c>
      <c r="Y9" s="7">
        <f>VLOOKUP($D9,NatureChart,4,0)</f>
        <v>0.9</v>
      </c>
      <c r="Z9" s="7">
        <f>VLOOKUP($D9,NatureChart,5,0)</f>
        <v>1</v>
      </c>
      <c r="AA9" s="84">
        <f>VLOOKUP($D9,NatureChart,6,0)</f>
        <v>1</v>
      </c>
      <c r="AB9" s="84">
        <f>IF($C9="Shedinja",1,(INT((2*VLOOKUP($C9,DexData,5,0)+INT(Q9/4)+K9)/2)+60))</f>
        <v>134</v>
      </c>
      <c r="AC9" s="84">
        <f>INT(INT((INT((2*VLOOKUP($C9,DexData,6,0)+INT(R9/4)+L9)/2)+5)*W9)*IF($E9="Choice Band",1.5,IF(OR($E9="Mawilite",$E9="Medichamite",$E9="Thick Club"),2,1)))</f>
        <v>103</v>
      </c>
      <c r="AD9" s="84">
        <f>INT(INT((INT((2*VLOOKUP($C9,DexData,7,0)+INT(S9/4)+M9)/2)+5)*X9)*IF($E9="Eviolite",1.5,1))</f>
        <v>45</v>
      </c>
      <c r="AE9" s="84">
        <f>INT(INT((INT((2*VLOOKUP($C9,DexData,9,0)+INT(T9/4)+N9)/2)+5)*Y9)*IF($E9="Choice Specs",1.5,1))</f>
        <v>67</v>
      </c>
      <c r="AF9" s="84">
        <f>INT(INT((INT((2*VLOOKUP($C9,DexData,10,0)+INT(U9/4)+O9)/2)+5)*Z9)*IF(OR($E9="Eviolite",$E9="Assault Vest"),1.5,1))</f>
        <v>55</v>
      </c>
      <c r="AG9" s="84">
        <f>INT(INT((INT((2*VLOOKUP($C9,DexData,11,0)+INT(V9/4)+P9)/2)+5)*AA9)*IF($E9="Choice Scarf",1.5,IF($E9="Iron Ball",0.5,1)))</f>
        <v>50</v>
      </c>
      <c r="AH9" s="84" t="str">
        <f>VLOOKUP(VLOOKUP($C9,DexData,3,0),Aliases!D$2:E$19,2,0)&amp;IFERROR("/"&amp;VLOOKUP(VLOOKUP($C9,DexData,4,0),Aliases!D$2:E$19,2,0),"")</f>
        <v>FIR</v>
      </c>
      <c r="AI9" s="7">
        <v>3.0</v>
      </c>
      <c r="AJ9" s="7">
        <f>IF(VLOOKUP(B9,'Set Odds'!A$2:AN$1067,40,0),1,IF(VLOOKUP(B9,'Set Odds'!A$2:AO$1067,41,0),2,0))</f>
        <v>0</v>
      </c>
      <c r="AK9" s="7"/>
      <c r="AL9" s="7" t="str">
        <f t="shared" si="1"/>
        <v/>
      </c>
    </row>
    <row r="10" ht="12.75" customHeight="1">
      <c r="A10" s="86">
        <v>9.0</v>
      </c>
      <c r="B10" s="84" t="s">
        <v>2621</v>
      </c>
      <c r="C10" s="7" t="s">
        <v>2622</v>
      </c>
      <c r="D10" s="7" t="s">
        <v>2599</v>
      </c>
      <c r="E10" s="7" t="s">
        <v>2623</v>
      </c>
      <c r="F10" s="84" t="s">
        <v>2607</v>
      </c>
      <c r="G10" s="84" t="s">
        <v>2624</v>
      </c>
      <c r="H10" s="84" t="s">
        <v>2625</v>
      </c>
      <c r="I10" s="84" t="s">
        <v>2626</v>
      </c>
      <c r="J10" s="7" t="s">
        <v>2590</v>
      </c>
      <c r="K10" s="7">
        <v>0.0</v>
      </c>
      <c r="L10" s="7">
        <v>31.0</v>
      </c>
      <c r="M10" s="7">
        <v>0.0</v>
      </c>
      <c r="N10" s="7">
        <v>31.0</v>
      </c>
      <c r="O10" s="7">
        <v>0.0</v>
      </c>
      <c r="P10" s="7">
        <v>0.0</v>
      </c>
      <c r="Q10" s="7">
        <v>0.0</v>
      </c>
      <c r="R10" s="7">
        <v>108.0</v>
      </c>
      <c r="S10" s="7">
        <v>0.0</v>
      </c>
      <c r="T10" s="7">
        <v>108.0</v>
      </c>
      <c r="U10" s="7">
        <v>0.0</v>
      </c>
      <c r="V10" s="7">
        <v>0.0</v>
      </c>
      <c r="W10" s="7">
        <f>VLOOKUP($D10,NatureChart,2,0)</f>
        <v>1</v>
      </c>
      <c r="X10" s="7">
        <f>VLOOKUP($D10,NatureChart,3,0)</f>
        <v>1</v>
      </c>
      <c r="Y10" s="7">
        <f>VLOOKUP($D10,NatureChart,4,0)</f>
        <v>1</v>
      </c>
      <c r="Z10" s="7">
        <f>VLOOKUP($D10,NatureChart,5,0)</f>
        <v>1</v>
      </c>
      <c r="AA10" s="84">
        <f>VLOOKUP($D10,NatureChart,6,0)</f>
        <v>1</v>
      </c>
      <c r="AB10" s="84">
        <f>IF($C10="Shedinja",1,(INT((2*VLOOKUP($C10,DexData,5,0)+INT(Q10/4)+K10)/2)+60))</f>
        <v>110</v>
      </c>
      <c r="AC10" s="84">
        <f>INT(INT((INT((2*VLOOKUP($C10,DexData,6,0)+INT(R10/4)+L10)/2)+5)*W10)*IF($E10="Choice Band",1.5,IF(OR($E10="Mawilite",$E10="Medichamite",$E10="Thick Club"),2,1)))</f>
        <v>104</v>
      </c>
      <c r="AD10" s="84">
        <f>INT(INT((INT((2*VLOOKUP($C10,DexData,7,0)+INT(S10/4)+M10)/2)+5)*X10)*IF($E10="Eviolite",1.5,1))</f>
        <v>55</v>
      </c>
      <c r="AE10" s="84">
        <f>INT(INT((INT((2*VLOOKUP($C10,DexData,9,0)+INT(T10/4)+N10)/2)+5)*Y10)*IF($E10="Choice Specs",1.5,1))</f>
        <v>84</v>
      </c>
      <c r="AF10" s="84">
        <f>INT(INT((INT((2*VLOOKUP($C10,DexData,10,0)+INT(U10/4)+O10)/2)+5)*Z10)*IF(OR($E10="Eviolite",$E10="Assault Vest"),1.5,1))</f>
        <v>55</v>
      </c>
      <c r="AG10" s="84">
        <f>INT(INT((INT((2*VLOOKUP($C10,DexData,11,0)+INT(V10/4)+P10)/2)+5)*AA10)*IF($E10="Choice Scarf",1.5,IF($E10="Iron Ball",0.5,1)))</f>
        <v>45</v>
      </c>
      <c r="AH10" s="84" t="str">
        <f>VLOOKUP(VLOOKUP($C10,DexData,3,0),Aliases!D$2:E$19,2,0)&amp;IFERROR("/"&amp;VLOOKUP(VLOOKUP($C10,DexData,4,0),Aliases!D$2:E$19,2,0),"")</f>
        <v>WTR</v>
      </c>
      <c r="AI10" s="7">
        <v>3.0</v>
      </c>
      <c r="AJ10" s="7">
        <f>IF(VLOOKUP(B10,'Set Odds'!A$2:AN$1067,40,0),1,IF(VLOOKUP(B10,'Set Odds'!A$2:AO$1067,41,0),2,0))</f>
        <v>0</v>
      </c>
      <c r="AK10" s="7"/>
      <c r="AL10" s="7" t="str">
        <f t="shared" si="1"/>
        <v/>
      </c>
    </row>
    <row r="11" ht="12.75" customHeight="1">
      <c r="A11" s="86">
        <v>10.0</v>
      </c>
      <c r="B11" s="84" t="s">
        <v>2627</v>
      </c>
      <c r="C11" s="7" t="s">
        <v>2628</v>
      </c>
      <c r="D11" s="7" t="s">
        <v>2629</v>
      </c>
      <c r="E11" s="7" t="s">
        <v>2630</v>
      </c>
      <c r="F11" s="84" t="s">
        <v>2631</v>
      </c>
      <c r="G11" s="84" t="s">
        <v>2588</v>
      </c>
      <c r="H11" s="84" t="s">
        <v>2632</v>
      </c>
      <c r="I11" s="84" t="s">
        <v>2589</v>
      </c>
      <c r="J11" s="7" t="s">
        <v>2576</v>
      </c>
      <c r="K11" s="7">
        <v>31.0</v>
      </c>
      <c r="L11" s="7">
        <v>31.0</v>
      </c>
      <c r="M11" s="7">
        <v>0.0</v>
      </c>
      <c r="N11" s="7">
        <v>0.0</v>
      </c>
      <c r="O11" s="7">
        <v>0.0</v>
      </c>
      <c r="P11" s="7">
        <v>0.0</v>
      </c>
      <c r="Q11" s="7">
        <v>108.0</v>
      </c>
      <c r="R11" s="7">
        <v>108.0</v>
      </c>
      <c r="S11" s="7">
        <v>0.0</v>
      </c>
      <c r="T11" s="7">
        <v>0.0</v>
      </c>
      <c r="U11" s="7">
        <v>0.0</v>
      </c>
      <c r="V11" s="7">
        <v>0.0</v>
      </c>
      <c r="W11" s="7">
        <f>VLOOKUP($D11,NatureChart,2,0)</f>
        <v>1.1</v>
      </c>
      <c r="X11" s="7">
        <f>VLOOKUP($D11,NatureChart,3,0)</f>
        <v>1</v>
      </c>
      <c r="Y11" s="7">
        <f>VLOOKUP($D11,NatureChart,4,0)</f>
        <v>1</v>
      </c>
      <c r="Z11" s="7">
        <f>VLOOKUP($D11,NatureChart,5,0)</f>
        <v>1</v>
      </c>
      <c r="AA11" s="84">
        <f>VLOOKUP($D11,NatureChart,6,0)</f>
        <v>0.9</v>
      </c>
      <c r="AB11" s="84">
        <f>IF($C11="Shedinja",1,(INT((2*VLOOKUP($C11,DexData,5,0)+INT(Q11/4)+K11)/2)+60))</f>
        <v>144</v>
      </c>
      <c r="AC11" s="84">
        <f>INT(INT((INT((2*VLOOKUP($C11,DexData,6,0)+INT(R11/4)+L11)/2)+5)*W11)*IF($E11="Choice Band",1.5,IF(OR($E11="Mawilite",$E11="Medichamite",$E11="Thick Club"),2,1)))</f>
        <v>112</v>
      </c>
      <c r="AD11" s="84">
        <f>INT(INT((INT((2*VLOOKUP($C11,DexData,7,0)+INT(S11/4)+M11)/2)+5)*X11)*IF($E11="Eviolite",1.5,1))</f>
        <v>69</v>
      </c>
      <c r="AE11" s="84">
        <f>INT(INT((INT((2*VLOOKUP($C11,DexData,9,0)+INT(T11/4)+N11)/2)+5)*Y11)*IF($E11="Choice Specs",1.5,1))</f>
        <v>50</v>
      </c>
      <c r="AF11" s="84">
        <f>INT(INT((INT((2*VLOOKUP($C11,DexData,10,0)+INT(U11/4)+O11)/2)+5)*Z11)*IF(OR($E11="Eviolite",$E11="Assault Vest"),1.5,1))</f>
        <v>60</v>
      </c>
      <c r="AG11" s="84">
        <f>INT(INT((INT((2*VLOOKUP($C11,DexData,11,0)+INT(V11/4)+P11)/2)+5)*AA11)*IF($E11="Choice Scarf",1.5,IF($E11="Iron Ball",0.5,1)))</f>
        <v>32</v>
      </c>
      <c r="AH11" s="84" t="str">
        <f>VLOOKUP(VLOOKUP($C11,DexData,3,0),Aliases!D$2:E$19,2,0)&amp;IFERROR("/"&amp;VLOOKUP(VLOOKUP($C11,DexData,4,0),Aliases!D$2:E$19,2,0),"")</f>
        <v>GRS</v>
      </c>
      <c r="AI11" s="7">
        <v>3.0</v>
      </c>
      <c r="AJ11" s="7">
        <f>IF(VLOOKUP(B11,'Set Odds'!A$2:AN$1067,40,0),1,IF(VLOOKUP(B11,'Set Odds'!A$2:AO$1067,41,0),2,0))</f>
        <v>0</v>
      </c>
      <c r="AK11" s="7"/>
      <c r="AL11" s="7" t="str">
        <f t="shared" si="1"/>
        <v/>
      </c>
    </row>
    <row r="12" ht="12.75" customHeight="1">
      <c r="A12" s="86">
        <v>11.0</v>
      </c>
      <c r="B12" s="84" t="s">
        <v>2633</v>
      </c>
      <c r="C12" s="7" t="s">
        <v>2634</v>
      </c>
      <c r="D12" s="7" t="s">
        <v>2635</v>
      </c>
      <c r="E12" s="7" t="s">
        <v>2636</v>
      </c>
      <c r="F12" s="84" t="s">
        <v>2637</v>
      </c>
      <c r="G12" s="84" t="s">
        <v>2532</v>
      </c>
      <c r="H12" s="84" t="s">
        <v>2638</v>
      </c>
      <c r="I12" s="84" t="s">
        <v>2631</v>
      </c>
      <c r="J12" s="7" t="s">
        <v>2584</v>
      </c>
      <c r="K12" s="7">
        <v>0.0</v>
      </c>
      <c r="L12" s="7">
        <v>0.0</v>
      </c>
      <c r="M12" s="7">
        <v>0.0</v>
      </c>
      <c r="N12" s="7">
        <v>31.0</v>
      </c>
      <c r="O12" s="7">
        <v>0.0</v>
      </c>
      <c r="P12" s="7">
        <v>31.0</v>
      </c>
      <c r="Q12" s="7">
        <v>0.0</v>
      </c>
      <c r="R12" s="7">
        <v>0.0</v>
      </c>
      <c r="S12" s="7">
        <v>0.0</v>
      </c>
      <c r="T12" s="7">
        <v>108.0</v>
      </c>
      <c r="U12" s="7">
        <v>0.0</v>
      </c>
      <c r="V12" s="7">
        <v>108.0</v>
      </c>
      <c r="W12" s="7">
        <f>VLOOKUP($D12,NatureChart,2,0)</f>
        <v>0.9</v>
      </c>
      <c r="X12" s="7">
        <f>VLOOKUP($D12,NatureChart,3,0)</f>
        <v>1</v>
      </c>
      <c r="Y12" s="7">
        <f>VLOOKUP($D12,NatureChart,4,0)</f>
        <v>1</v>
      </c>
      <c r="Z12" s="7">
        <f>VLOOKUP($D12,NatureChart,5,0)</f>
        <v>1</v>
      </c>
      <c r="AA12" s="84">
        <f>VLOOKUP($D12,NatureChart,6,0)</f>
        <v>1.1</v>
      </c>
      <c r="AB12" s="84">
        <f>IF($C12="Shedinja",1,(INT((2*VLOOKUP($C12,DexData,5,0)+INT(Q12/4)+K12)/2)+60))</f>
        <v>104</v>
      </c>
      <c r="AC12" s="84">
        <f>INT(INT((INT((2*VLOOKUP($C12,DexData,6,0)+INT(R12/4)+L12)/2)+5)*W12)*IF($E12="Choice Band",1.5,IF(OR($E12="Mawilite",$E12="Medichamite",$E12="Thick Club"),2,1)))</f>
        <v>56</v>
      </c>
      <c r="AD12" s="84">
        <f>INT(INT((INT((2*VLOOKUP($C12,DexData,7,0)+INT(S12/4)+M12)/2)+5)*X12)*IF($E12="Eviolite",1.5,1))</f>
        <v>49</v>
      </c>
      <c r="AE12" s="84">
        <f>INT(INT((INT((2*VLOOKUP($C12,DexData,9,0)+INT(T12/4)+N12)/2)+5)*Y12)*IF($E12="Choice Specs",1.5,1))</f>
        <v>92</v>
      </c>
      <c r="AF12" s="84">
        <f>INT(INT((INT((2*VLOOKUP($C12,DexData,10,0)+INT(U12/4)+O12)/2)+5)*Z12)*IF(OR($E12="Eviolite",$E12="Assault Vest"),1.5,1))</f>
        <v>49</v>
      </c>
      <c r="AG12" s="84">
        <f>INT(INT((INT((2*VLOOKUP($C12,DexData,11,0)+INT(V12/4)+P12)/2)+5)*AA12)*IF($E12="Choice Scarf",1.5,IF($E12="Iron Ball",0.5,1)))</f>
        <v>104</v>
      </c>
      <c r="AH12" s="84" t="str">
        <f>VLOOKUP(VLOOKUP($C12,DexData,3,0),Aliases!D$2:E$19,2,0)&amp;IFERROR("/"&amp;VLOOKUP(VLOOKUP($C12,DexData,4,0),Aliases!D$2:E$19,2,0),"")</f>
        <v>FIR</v>
      </c>
      <c r="AI12" s="7">
        <v>3.0</v>
      </c>
      <c r="AJ12" s="7">
        <f>IF(VLOOKUP(B12,'Set Odds'!A$2:AN$1067,40,0),1,IF(VLOOKUP(B12,'Set Odds'!A$2:AO$1067,41,0),2,0))</f>
        <v>0</v>
      </c>
      <c r="AK12" s="7"/>
      <c r="AL12" s="7" t="str">
        <f t="shared" si="1"/>
        <v/>
      </c>
    </row>
    <row r="13" ht="12.75" customHeight="1">
      <c r="A13" s="86">
        <v>12.0</v>
      </c>
      <c r="B13" s="84" t="s">
        <v>2639</v>
      </c>
      <c r="C13" s="7" t="s">
        <v>2640</v>
      </c>
      <c r="D13" s="7" t="s">
        <v>2641</v>
      </c>
      <c r="E13" s="7" t="s">
        <v>2642</v>
      </c>
      <c r="F13" s="84" t="s">
        <v>2643</v>
      </c>
      <c r="G13" s="84" t="s">
        <v>2644</v>
      </c>
      <c r="H13" s="84" t="s">
        <v>2595</v>
      </c>
      <c r="I13" s="84" t="s">
        <v>2645</v>
      </c>
      <c r="J13" s="7" t="s">
        <v>2590</v>
      </c>
      <c r="K13" s="7">
        <v>31.0</v>
      </c>
      <c r="L13" s="7">
        <v>0.0</v>
      </c>
      <c r="M13" s="7">
        <v>0.0</v>
      </c>
      <c r="N13" s="7">
        <v>31.0</v>
      </c>
      <c r="O13" s="7">
        <v>0.0</v>
      </c>
      <c r="P13" s="7">
        <v>0.0</v>
      </c>
      <c r="Q13" s="7">
        <v>108.0</v>
      </c>
      <c r="R13" s="7">
        <v>0.0</v>
      </c>
      <c r="S13" s="7">
        <v>0.0</v>
      </c>
      <c r="T13" s="7">
        <v>108.0</v>
      </c>
      <c r="U13" s="7">
        <v>0.0</v>
      </c>
      <c r="V13" s="7">
        <v>0.0</v>
      </c>
      <c r="W13" s="7">
        <f>VLOOKUP($D13,NatureChart,2,0)</f>
        <v>1</v>
      </c>
      <c r="X13" s="7">
        <f>VLOOKUP($D13,NatureChart,3,0)</f>
        <v>1.1</v>
      </c>
      <c r="Y13" s="7">
        <f>VLOOKUP($D13,NatureChart,4,0)</f>
        <v>1</v>
      </c>
      <c r="Z13" s="7">
        <f>VLOOKUP($D13,NatureChart,5,0)</f>
        <v>0.9</v>
      </c>
      <c r="AA13" s="84">
        <f>VLOOKUP($D13,NatureChart,6,0)</f>
        <v>1</v>
      </c>
      <c r="AB13" s="84">
        <f>IF($C13="Shedinja",1,(INT((2*VLOOKUP($C13,DexData,5,0)+INT(Q13/4)+K13)/2)+60))</f>
        <v>142</v>
      </c>
      <c r="AC13" s="84">
        <f>INT(INT((INT((2*VLOOKUP($C13,DexData,6,0)+INT(R13/4)+L13)/2)+5)*W13)*IF($E13="Choice Band",1.5,IF(OR($E13="Mawilite",$E13="Medichamite",$E13="Thick Club"),2,1)))</f>
        <v>56</v>
      </c>
      <c r="AD13" s="84">
        <f>INT(INT((INT((2*VLOOKUP($C13,DexData,7,0)+INT(S13/4)+M13)/2)+5)*X13)*IF($E13="Eviolite",1.5,1))</f>
        <v>63</v>
      </c>
      <c r="AE13" s="84">
        <f>INT(INT((INT((2*VLOOKUP($C13,DexData,9,0)+INT(T13/4)+N13)/2)+5)*Y13)*IF($E13="Choice Specs",1.5,1))</f>
        <v>95</v>
      </c>
      <c r="AF13" s="84">
        <f>INT(INT((INT((2*VLOOKUP($C13,DexData,10,0)+INT(U13/4)+O13)/2)+5)*Z13)*IF(OR($E13="Eviolite",$E13="Assault Vest"),1.5,1))</f>
        <v>54</v>
      </c>
      <c r="AG13" s="84">
        <f>INT(INT((INT((2*VLOOKUP($C13,DexData,11,0)+INT(V13/4)+P13)/2)+5)*AA13)*IF($E13="Choice Scarf",1.5,IF($E13="Iron Ball",0.5,1)))</f>
        <v>45</v>
      </c>
      <c r="AH13" s="84" t="str">
        <f>VLOOKUP(VLOOKUP($C13,DexData,3,0),Aliases!D$2:E$19,2,0)&amp;IFERROR("/"&amp;VLOOKUP(VLOOKUP($C13,DexData,4,0),Aliases!D$2:E$19,2,0),"")</f>
        <v>WTR</v>
      </c>
      <c r="AI13" s="7">
        <v>3.0</v>
      </c>
      <c r="AJ13" s="7">
        <f>IF(VLOOKUP(B13,'Set Odds'!A$2:AN$1067,40,0),1,IF(VLOOKUP(B13,'Set Odds'!A$2:AO$1067,41,0),2,0))</f>
        <v>0</v>
      </c>
      <c r="AK13" s="7"/>
      <c r="AL13" s="7" t="str">
        <f t="shared" si="1"/>
        <v/>
      </c>
    </row>
    <row r="14" ht="12.75" customHeight="1">
      <c r="A14" s="86">
        <v>13.0</v>
      </c>
      <c r="B14" s="84" t="s">
        <v>2646</v>
      </c>
      <c r="C14" s="7" t="s">
        <v>2647</v>
      </c>
      <c r="D14" s="7" t="s">
        <v>2648</v>
      </c>
      <c r="E14" s="7" t="s">
        <v>2649</v>
      </c>
      <c r="F14" s="84" t="s">
        <v>2650</v>
      </c>
      <c r="G14" s="84" t="s">
        <v>2651</v>
      </c>
      <c r="H14" s="84" t="s">
        <v>2595</v>
      </c>
      <c r="I14" s="84" t="s">
        <v>2652</v>
      </c>
      <c r="J14" s="7" t="s">
        <v>2653</v>
      </c>
      <c r="K14" s="7">
        <v>31.0</v>
      </c>
      <c r="L14" s="7">
        <v>0.0</v>
      </c>
      <c r="M14" s="7">
        <v>31.0</v>
      </c>
      <c r="N14" s="7">
        <v>0.0</v>
      </c>
      <c r="O14" s="7">
        <v>0.0</v>
      </c>
      <c r="P14" s="7">
        <v>0.0</v>
      </c>
      <c r="Q14" s="7">
        <v>108.0</v>
      </c>
      <c r="R14" s="7">
        <v>0.0</v>
      </c>
      <c r="S14" s="7">
        <v>108.0</v>
      </c>
      <c r="T14" s="7">
        <v>0.0</v>
      </c>
      <c r="U14" s="7">
        <v>0.0</v>
      </c>
      <c r="V14" s="7">
        <v>0.0</v>
      </c>
      <c r="W14" s="7">
        <f>VLOOKUP($D14,NatureChart,2,0)</f>
        <v>1</v>
      </c>
      <c r="X14" s="7">
        <f>VLOOKUP($D14,NatureChart,3,0)</f>
        <v>1.1</v>
      </c>
      <c r="Y14" s="7">
        <f>VLOOKUP($D14,NatureChart,4,0)</f>
        <v>0.9</v>
      </c>
      <c r="Z14" s="7">
        <f>VLOOKUP($D14,NatureChart,5,0)</f>
        <v>1</v>
      </c>
      <c r="AA14" s="84">
        <f>VLOOKUP($D14,NatureChart,6,0)</f>
        <v>1</v>
      </c>
      <c r="AB14" s="84">
        <f>IF($C14="Shedinja",1,(INT((2*VLOOKUP($C14,DexData,5,0)+INT(Q14/4)+K14)/2)+60))</f>
        <v>126</v>
      </c>
      <c r="AC14" s="84">
        <f>INT(INT((INT((2*VLOOKUP($C14,DexData,6,0)+INT(R14/4)+L14)/2)+5)*W14)*IF($E14="Choice Band",1.5,IF(OR($E14="Mawilite",$E14="Medichamite",$E14="Thick Club"),2,1)))</f>
        <v>30</v>
      </c>
      <c r="AD14" s="84">
        <f>INT(INT((INT((2*VLOOKUP($C14,DexData,7,0)+INT(S14/4)+M14)/2)+5)*X14)*IF($E14="Eviolite",1.5,1))</f>
        <v>82</v>
      </c>
      <c r="AE14" s="84">
        <f>INT(INT((INT((2*VLOOKUP($C14,DexData,9,0)+INT(T14/4)+N14)/2)+5)*Y14)*IF($E14="Choice Specs",1.5,1))</f>
        <v>27</v>
      </c>
      <c r="AF14" s="84">
        <f>INT(INT((INT((2*VLOOKUP($C14,DexData,10,0)+INT(U14/4)+O14)/2)+5)*Z14)*IF(OR($E14="Eviolite",$E14="Assault Vest"),1.5,1))</f>
        <v>46</v>
      </c>
      <c r="AG14" s="84">
        <f>INT(INT((INT((2*VLOOKUP($C14,DexData,11,0)+INT(V14/4)+P14)/2)+5)*AA14)*IF($E14="Choice Scarf",1.5,IF($E14="Iron Ball",0.5,1)))</f>
        <v>30</v>
      </c>
      <c r="AH14" s="84" t="str">
        <f>VLOOKUP(VLOOKUP($C14,DexData,3,0),Aliases!D$2:E$19,2,0)&amp;IFERROR("/"&amp;VLOOKUP(VLOOKUP($C14,DexData,4,0),Aliases!D$2:E$19,2,0),"")</f>
        <v>BUG</v>
      </c>
      <c r="AI14" s="7">
        <v>3.0</v>
      </c>
      <c r="AJ14" s="7">
        <f>IF(VLOOKUP(B14,'Set Odds'!A$2:AN$1067,40,0),1,IF(VLOOKUP(B14,'Set Odds'!A$2:AO$1067,41,0),2,0))</f>
        <v>0</v>
      </c>
      <c r="AK14" s="7"/>
      <c r="AL14" s="7" t="str">
        <f t="shared" si="1"/>
        <v/>
      </c>
    </row>
    <row r="15" ht="12.75" customHeight="1">
      <c r="A15" s="86">
        <v>14.0</v>
      </c>
      <c r="B15" s="84" t="s">
        <v>2654</v>
      </c>
      <c r="C15" s="7" t="s">
        <v>2655</v>
      </c>
      <c r="D15" s="7" t="s">
        <v>2656</v>
      </c>
      <c r="E15" s="7" t="s">
        <v>2657</v>
      </c>
      <c r="F15" s="84" t="s">
        <v>2658</v>
      </c>
      <c r="G15" s="84" t="s">
        <v>2659</v>
      </c>
      <c r="H15" s="84" t="s">
        <v>2660</v>
      </c>
      <c r="I15" s="84" t="s">
        <v>2661</v>
      </c>
      <c r="J15" s="7" t="s">
        <v>2662</v>
      </c>
      <c r="K15" s="7">
        <v>0.0</v>
      </c>
      <c r="L15" s="7">
        <v>0.0</v>
      </c>
      <c r="M15" s="7">
        <v>31.0</v>
      </c>
      <c r="N15" s="7">
        <v>31.0</v>
      </c>
      <c r="O15" s="7">
        <v>0.0</v>
      </c>
      <c r="P15" s="7">
        <v>0.0</v>
      </c>
      <c r="Q15" s="7">
        <v>0.0</v>
      </c>
      <c r="R15" s="7">
        <v>0.0</v>
      </c>
      <c r="S15" s="7">
        <v>108.0</v>
      </c>
      <c r="T15" s="7">
        <v>108.0</v>
      </c>
      <c r="U15" s="7">
        <v>0.0</v>
      </c>
      <c r="V15" s="7">
        <v>0.0</v>
      </c>
      <c r="W15" s="7">
        <f>VLOOKUP($D15,NatureChart,2,0)</f>
        <v>0.9</v>
      </c>
      <c r="X15" s="7">
        <f>VLOOKUP($D15,NatureChart,3,0)</f>
        <v>1</v>
      </c>
      <c r="Y15" s="7">
        <f>VLOOKUP($D15,NatureChart,4,0)</f>
        <v>1.1</v>
      </c>
      <c r="Z15" s="7">
        <f>VLOOKUP($D15,NatureChart,5,0)</f>
        <v>1</v>
      </c>
      <c r="AA15" s="84">
        <f>VLOOKUP($D15,NatureChart,6,0)</f>
        <v>1</v>
      </c>
      <c r="AB15" s="84">
        <f>IF($C15="Shedinja",1,(INT((2*VLOOKUP($C15,DexData,5,0)+INT(Q15/4)+K15)/2)+60))</f>
        <v>160</v>
      </c>
      <c r="AC15" s="84">
        <f>INT(INT((INT((2*VLOOKUP($C15,DexData,6,0)+INT(R15/4)+L15)/2)+5)*W15)*IF($E15="Choice Band",1.5,IF(OR($E15="Mawilite",$E15="Medichamite",$E15="Thick Club"),2,1)))</f>
        <v>9</v>
      </c>
      <c r="AD15" s="84">
        <f>INT(INT((INT((2*VLOOKUP($C15,DexData,7,0)+INT(S15/4)+M15)/2)+5)*X15)*IF($E15="Eviolite",1.5,1))</f>
        <v>39</v>
      </c>
      <c r="AE15" s="84">
        <f>INT(INT((INT((2*VLOOKUP($C15,DexData,9,0)+INT(T15/4)+N15)/2)+5)*Y15)*IF($E15="Choice Specs",1.5,1))</f>
        <v>53</v>
      </c>
      <c r="AF15" s="84">
        <f>INT(INT((INT((2*VLOOKUP($C15,DexData,10,0)+INT(U15/4)+O15)/2)+5)*Z15)*IF(OR($E15="Eviolite",$E15="Assault Vest"),1.5,1))</f>
        <v>70</v>
      </c>
      <c r="AG15" s="84">
        <f>INT(INT((INT((2*VLOOKUP($C15,DexData,11,0)+INT(V15/4)+P15)/2)+5)*AA15)*IF($E15="Choice Scarf",1.5,IF($E15="Iron Ball",0.5,1)))</f>
        <v>35</v>
      </c>
      <c r="AH15" s="84" t="str">
        <f>VLOOKUP(VLOOKUP($C15,DexData,3,0),Aliases!D$2:E$19,2,0)&amp;IFERROR("/"&amp;VLOOKUP(VLOOKUP($C15,DexData,4,0),Aliases!D$2:E$19,2,0),"")</f>
        <v>NRM</v>
      </c>
      <c r="AI15" s="7">
        <v>3.0</v>
      </c>
      <c r="AJ15" s="7">
        <f>IF(VLOOKUP(B15,'Set Odds'!A$2:AN$1067,40,0),1,IF(VLOOKUP(B15,'Set Odds'!A$2:AO$1067,41,0),2,0))</f>
        <v>0</v>
      </c>
      <c r="AK15" s="7"/>
      <c r="AL15" s="7" t="str">
        <f t="shared" si="1"/>
        <v/>
      </c>
    </row>
    <row r="16" ht="12.75" customHeight="1">
      <c r="A16" s="86">
        <v>15.0</v>
      </c>
      <c r="B16" s="84" t="s">
        <v>2663</v>
      </c>
      <c r="C16" s="7" t="s">
        <v>2664</v>
      </c>
      <c r="D16" s="7" t="s">
        <v>2571</v>
      </c>
      <c r="E16" s="7" t="s">
        <v>2665</v>
      </c>
      <c r="F16" s="84" t="s">
        <v>2651</v>
      </c>
      <c r="G16" s="84" t="s">
        <v>2666</v>
      </c>
      <c r="H16" s="84" t="s">
        <v>2667</v>
      </c>
      <c r="I16" s="84" t="s">
        <v>2667</v>
      </c>
      <c r="J16" s="7" t="s">
        <v>2653</v>
      </c>
      <c r="K16" s="7">
        <v>0.0</v>
      </c>
      <c r="L16" s="7">
        <v>31.0</v>
      </c>
      <c r="M16" s="7">
        <v>0.0</v>
      </c>
      <c r="N16" s="7">
        <v>0.0</v>
      </c>
      <c r="O16" s="7">
        <v>0.0</v>
      </c>
      <c r="P16" s="7">
        <v>31.0</v>
      </c>
      <c r="Q16" s="7">
        <v>0.0</v>
      </c>
      <c r="R16" s="7">
        <v>108.0</v>
      </c>
      <c r="S16" s="7">
        <v>0.0</v>
      </c>
      <c r="T16" s="7">
        <v>0.0</v>
      </c>
      <c r="U16" s="7">
        <v>0.0</v>
      </c>
      <c r="V16" s="7">
        <v>108.0</v>
      </c>
      <c r="W16" s="7">
        <f>VLOOKUP($D16,NatureChart,2,0)</f>
        <v>1.1</v>
      </c>
      <c r="X16" s="7">
        <f>VLOOKUP($D16,NatureChart,3,0)</f>
        <v>1</v>
      </c>
      <c r="Y16" s="7">
        <f>VLOOKUP($D16,NatureChart,4,0)</f>
        <v>0.9</v>
      </c>
      <c r="Z16" s="7">
        <f>VLOOKUP($D16,NatureChart,5,0)</f>
        <v>1</v>
      </c>
      <c r="AA16" s="84">
        <f>VLOOKUP($D16,NatureChart,6,0)</f>
        <v>1</v>
      </c>
      <c r="AB16" s="84">
        <f>IF($C16="Shedinja",1,(INT((2*VLOOKUP($C16,DexData,5,0)+INT(Q16/4)+K16)/2)+60))</f>
        <v>100</v>
      </c>
      <c r="AC16" s="84">
        <f>INT(INT((INT((2*VLOOKUP($C16,DexData,6,0)+INT(R16/4)+L16)/2)+5)*W16)*IF($E16="Choice Band",1.5,IF(OR($E16="Mawilite",$E16="Medichamite",$E16="Thick Club"),2,1)))</f>
        <v>69</v>
      </c>
      <c r="AD16" s="84">
        <f>INT(INT((INT((2*VLOOKUP($C16,DexData,7,0)+INT(S16/4)+M16)/2)+5)*X16)*IF($E16="Eviolite",1.5,1))</f>
        <v>50</v>
      </c>
      <c r="AE16" s="84">
        <f>INT(INT((INT((2*VLOOKUP($C16,DexData,9,0)+INT(T16/4)+N16)/2)+5)*Y16)*IF($E16="Choice Specs",1.5,1))</f>
        <v>30</v>
      </c>
      <c r="AF16" s="84">
        <f>INT(INT((INT((2*VLOOKUP($C16,DexData,10,0)+INT(U16/4)+O16)/2)+5)*Z16)*IF(OR($E16="Eviolite",$E16="Assault Vest"),1.5,1))</f>
        <v>50</v>
      </c>
      <c r="AG16" s="84">
        <f>INT(INT((INT((2*VLOOKUP($C16,DexData,11,0)+INT(V16/4)+P16)/2)+5)*AA16)*IF($E16="Choice Scarf",1.5,IF($E16="Iron Ball",0.5,1)))</f>
        <v>105</v>
      </c>
      <c r="AH16" s="84" t="str">
        <f>VLOOKUP(VLOOKUP($C16,DexData,3,0),Aliases!D$2:E$19,2,0)&amp;IFERROR("/"&amp;VLOOKUP(VLOOKUP($C16,DexData,4,0),Aliases!D$2:E$19,2,0),"")</f>
        <v>BUG</v>
      </c>
      <c r="AI16" s="7">
        <v>3.0</v>
      </c>
      <c r="AJ16" s="7">
        <f>IF(VLOOKUP(B16,'Set Odds'!A$2:AN$1067,40,0),1,IF(VLOOKUP(B16,'Set Odds'!A$2:AO$1067,41,0),2,0))</f>
        <v>0</v>
      </c>
      <c r="AK16" s="7"/>
      <c r="AL16" s="7" t="str">
        <f t="shared" si="1"/>
        <v/>
      </c>
    </row>
    <row r="17" ht="12.75" customHeight="1">
      <c r="A17" s="86">
        <v>16.0</v>
      </c>
      <c r="B17" s="84" t="s">
        <v>2668</v>
      </c>
      <c r="C17" s="7" t="s">
        <v>2669</v>
      </c>
      <c r="D17" s="7" t="s">
        <v>2571</v>
      </c>
      <c r="E17" s="7" t="s">
        <v>2528</v>
      </c>
      <c r="F17" s="84" t="s">
        <v>2670</v>
      </c>
      <c r="G17" s="84" t="s">
        <v>2536</v>
      </c>
      <c r="H17" s="84" t="s">
        <v>2671</v>
      </c>
      <c r="I17" s="84" t="s">
        <v>2620</v>
      </c>
      <c r="J17" s="7" t="s">
        <v>2672</v>
      </c>
      <c r="K17" s="7">
        <v>0.0</v>
      </c>
      <c r="L17" s="7">
        <v>31.0</v>
      </c>
      <c r="M17" s="7">
        <v>0.0</v>
      </c>
      <c r="N17" s="7">
        <v>0.0</v>
      </c>
      <c r="O17" s="7">
        <v>0.0</v>
      </c>
      <c r="P17" s="7">
        <v>31.0</v>
      </c>
      <c r="Q17" s="7">
        <v>0.0</v>
      </c>
      <c r="R17" s="7">
        <v>108.0</v>
      </c>
      <c r="S17" s="7">
        <v>0.0</v>
      </c>
      <c r="T17" s="7">
        <v>0.0</v>
      </c>
      <c r="U17" s="7">
        <v>0.0</v>
      </c>
      <c r="V17" s="7">
        <v>108.0</v>
      </c>
      <c r="W17" s="7">
        <f>VLOOKUP($D17,NatureChart,2,0)</f>
        <v>1.1</v>
      </c>
      <c r="X17" s="7">
        <f>VLOOKUP($D17,NatureChart,3,0)</f>
        <v>1</v>
      </c>
      <c r="Y17" s="7">
        <f>VLOOKUP($D17,NatureChart,4,0)</f>
        <v>0.9</v>
      </c>
      <c r="Z17" s="7">
        <f>VLOOKUP($D17,NatureChart,5,0)</f>
        <v>1</v>
      </c>
      <c r="AA17" s="84">
        <f>VLOOKUP($D17,NatureChart,6,0)</f>
        <v>1</v>
      </c>
      <c r="AB17" s="84">
        <f>IF($C17="Shedinja",1,(INT((2*VLOOKUP($C17,DexData,5,0)+INT(Q17/4)+K17)/2)+60))</f>
        <v>1</v>
      </c>
      <c r="AC17" s="84">
        <f>INT(INT((INT((2*VLOOKUP($C17,DexData,6,0)+INT(R17/4)+L17)/2)+5)*W17)*IF($E17="Choice Band",1.5,IF(OR($E17="Mawilite",$E17="Medichamite",$E17="Thick Club"),2,1)))</f>
        <v>136</v>
      </c>
      <c r="AD17" s="84">
        <f>INT(INT((INT((2*VLOOKUP($C17,DexData,7,0)+INT(S17/4)+M17)/2)+5)*X17)*IF($E17="Eviolite",1.5,1))</f>
        <v>50</v>
      </c>
      <c r="AE17" s="84">
        <f>INT(INT((INT((2*VLOOKUP($C17,DexData,9,0)+INT(T17/4)+N17)/2)+5)*Y17)*IF($E17="Choice Specs",1.5,1))</f>
        <v>31</v>
      </c>
      <c r="AF17" s="84">
        <f>INT(INT((INT((2*VLOOKUP($C17,DexData,10,0)+INT(U17/4)+O17)/2)+5)*Z17)*IF(OR($E17="Eviolite",$E17="Assault Vest"),1.5,1))</f>
        <v>35</v>
      </c>
      <c r="AG17" s="84">
        <f>INT(INT((INT((2*VLOOKUP($C17,DexData,11,0)+INT(V17/4)+P17)/2)+5)*AA17)*IF($E17="Choice Scarf",1.5,IF($E17="Iron Ball",0.5,1)))</f>
        <v>74</v>
      </c>
      <c r="AH17" s="84" t="str">
        <f>VLOOKUP(VLOOKUP($C17,DexData,3,0),Aliases!D$2:E$19,2,0)&amp;IFERROR("/"&amp;VLOOKUP(VLOOKUP($C17,DexData,4,0),Aliases!D$2:E$19,2,0),"")</f>
        <v>BUG/GHO</v>
      </c>
      <c r="AI17" s="7">
        <v>3.0</v>
      </c>
      <c r="AJ17" s="7">
        <f>IF(VLOOKUP(B17,'Set Odds'!A$2:AN$1067,40,0),1,IF(VLOOKUP(B17,'Set Odds'!A$2:AO$1067,41,0),2,0))</f>
        <v>0</v>
      </c>
      <c r="AK17" s="7"/>
      <c r="AL17" s="7" t="str">
        <f t="shared" si="1"/>
        <v/>
      </c>
    </row>
    <row r="18" ht="12.75" customHeight="1">
      <c r="A18" s="86">
        <v>17.0</v>
      </c>
      <c r="B18" s="84" t="s">
        <v>2673</v>
      </c>
      <c r="C18" s="7" t="s">
        <v>2674</v>
      </c>
      <c r="D18" s="7" t="s">
        <v>2571</v>
      </c>
      <c r="E18" s="7" t="s">
        <v>2675</v>
      </c>
      <c r="F18" s="84" t="s">
        <v>2676</v>
      </c>
      <c r="G18" s="84" t="s">
        <v>2602</v>
      </c>
      <c r="H18" s="84" t="s">
        <v>2595</v>
      </c>
      <c r="I18" s="84" t="s">
        <v>2624</v>
      </c>
      <c r="J18" s="7" t="s">
        <v>2677</v>
      </c>
      <c r="K18" s="7">
        <v>0.0</v>
      </c>
      <c r="L18" s="7">
        <v>31.0</v>
      </c>
      <c r="M18" s="7">
        <v>0.0</v>
      </c>
      <c r="N18" s="7">
        <v>0.0</v>
      </c>
      <c r="O18" s="7">
        <v>0.0</v>
      </c>
      <c r="P18" s="7">
        <v>31.0</v>
      </c>
      <c r="Q18" s="7">
        <v>0.0</v>
      </c>
      <c r="R18" s="7">
        <v>108.0</v>
      </c>
      <c r="S18" s="7">
        <v>0.0</v>
      </c>
      <c r="T18" s="7">
        <v>0.0</v>
      </c>
      <c r="U18" s="7">
        <v>0.0</v>
      </c>
      <c r="V18" s="7">
        <v>108.0</v>
      </c>
      <c r="W18" s="7">
        <f>VLOOKUP($D18,NatureChart,2,0)</f>
        <v>1.1</v>
      </c>
      <c r="X18" s="7">
        <f>VLOOKUP($D18,NatureChart,3,0)</f>
        <v>1</v>
      </c>
      <c r="Y18" s="7">
        <f>VLOOKUP($D18,NatureChart,4,0)</f>
        <v>0.9</v>
      </c>
      <c r="Z18" s="7">
        <f>VLOOKUP($D18,NatureChart,5,0)</f>
        <v>1</v>
      </c>
      <c r="AA18" s="84">
        <f>VLOOKUP($D18,NatureChart,6,0)</f>
        <v>1</v>
      </c>
      <c r="AB18" s="84">
        <f>IF($C18="Shedinja",1,(INT((2*VLOOKUP($C18,DexData,5,0)+INT(Q18/4)+K18)/2)+60))</f>
        <v>100</v>
      </c>
      <c r="AC18" s="84">
        <f>INT(INT((INT((2*VLOOKUP($C18,DexData,6,0)+INT(R18/4)+L18)/2)+5)*W18)*IF($E18="Choice Band",1.5,IF(OR($E18="Mawilite",$E18="Medichamite",$E18="Thick Club"),2,1)))</f>
        <v>97</v>
      </c>
      <c r="AD18" s="84">
        <f>INT(INT((INT((2*VLOOKUP($C18,DexData,7,0)+INT(S18/4)+M18)/2)+5)*X18)*IF($E18="Eviolite",1.5,1))</f>
        <v>35</v>
      </c>
      <c r="AE18" s="84">
        <f>INT(INT((INT((2*VLOOKUP($C18,DexData,9,0)+INT(T18/4)+N18)/2)+5)*Y18)*IF($E18="Choice Specs",1.5,1))</f>
        <v>31</v>
      </c>
      <c r="AF18" s="84">
        <f>INT(INT((INT((2*VLOOKUP($C18,DexData,10,0)+INT(U18/4)+O18)/2)+5)*Z18)*IF(OR($E18="Eviolite",$E18="Assault Vest"),1.5,1))</f>
        <v>35</v>
      </c>
      <c r="AG18" s="84">
        <f>INT(INT((INT((2*VLOOKUP($C18,DexData,11,0)+INT(V18/4)+P18)/2)+5)*AA18)*IF($E18="Choice Scarf",1.5,IF($E18="Iron Ball",0.5,1)))</f>
        <v>94</v>
      </c>
      <c r="AH18" s="84" t="str">
        <f>VLOOKUP(VLOOKUP($C18,DexData,3,0),Aliases!D$2:E$19,2,0)&amp;IFERROR("/"&amp;VLOOKUP(VLOOKUP($C18,DexData,4,0),Aliases!D$2:E$19,2,0),"")</f>
        <v>NRM/FLY</v>
      </c>
      <c r="AI18" s="7">
        <v>3.0</v>
      </c>
      <c r="AJ18" s="7">
        <f>IF(VLOOKUP(B18,'Set Odds'!A$2:AN$1067,40,0),1,IF(VLOOKUP(B18,'Set Odds'!A$2:AO$1067,41,0),2,0))</f>
        <v>0</v>
      </c>
      <c r="AK18" s="7"/>
      <c r="AL18" s="7" t="str">
        <f t="shared" si="1"/>
        <v/>
      </c>
    </row>
    <row r="19" ht="12.75" customHeight="1">
      <c r="A19" s="86">
        <v>18.0</v>
      </c>
      <c r="B19" s="84" t="s">
        <v>2678</v>
      </c>
      <c r="C19" s="7" t="s">
        <v>2679</v>
      </c>
      <c r="D19" s="7" t="s">
        <v>2656</v>
      </c>
      <c r="E19" s="7" t="s">
        <v>2516</v>
      </c>
      <c r="F19" s="84" t="s">
        <v>2680</v>
      </c>
      <c r="G19" s="84" t="s">
        <v>2681</v>
      </c>
      <c r="H19" s="84" t="s">
        <v>2667</v>
      </c>
      <c r="I19" s="84" t="s">
        <v>2667</v>
      </c>
      <c r="J19" s="7" t="s">
        <v>2682</v>
      </c>
      <c r="K19" s="7">
        <v>0.0</v>
      </c>
      <c r="L19" s="7">
        <v>0.0</v>
      </c>
      <c r="M19" s="7">
        <v>0.0</v>
      </c>
      <c r="N19" s="7">
        <v>31.0</v>
      </c>
      <c r="O19" s="7">
        <v>0.0</v>
      </c>
      <c r="P19" s="7">
        <v>31.0</v>
      </c>
      <c r="Q19" s="7">
        <v>0.0</v>
      </c>
      <c r="R19" s="7">
        <v>0.0</v>
      </c>
      <c r="S19" s="7">
        <v>0.0</v>
      </c>
      <c r="T19" s="7">
        <v>108.0</v>
      </c>
      <c r="U19" s="7">
        <v>0.0</v>
      </c>
      <c r="V19" s="7">
        <v>108.0</v>
      </c>
      <c r="W19" s="7">
        <f>VLOOKUP($D19,NatureChart,2,0)</f>
        <v>0.9</v>
      </c>
      <c r="X19" s="7">
        <f>VLOOKUP($D19,NatureChart,3,0)</f>
        <v>1</v>
      </c>
      <c r="Y19" s="7">
        <f>VLOOKUP($D19,NatureChart,4,0)</f>
        <v>1.1</v>
      </c>
      <c r="Z19" s="7">
        <f>VLOOKUP($D19,NatureChart,5,0)</f>
        <v>1</v>
      </c>
      <c r="AA19" s="84">
        <f>VLOOKUP($D19,NatureChart,6,0)</f>
        <v>1</v>
      </c>
      <c r="AB19" s="84">
        <f>IF($C19="Shedinja",1,(INT((2*VLOOKUP($C19,DexData,5,0)+INT(Q19/4)+K19)/2)+60))</f>
        <v>90</v>
      </c>
      <c r="AC19" s="84">
        <f>INT(INT((INT((2*VLOOKUP($C19,DexData,6,0)+INT(R19/4)+L19)/2)+5)*W19)*IF($E19="Choice Band",1.5,IF(OR($E19="Mawilite",$E19="Medichamite",$E19="Thick Club"),2,1)))</f>
        <v>31</v>
      </c>
      <c r="AD19" s="84">
        <f>INT(INT((INT((2*VLOOKUP($C19,DexData,7,0)+INT(S19/4)+M19)/2)+5)*X19)*IF($E19="Eviolite",1.5,1))</f>
        <v>47</v>
      </c>
      <c r="AE19" s="84">
        <f>INT(INT((INT((2*VLOOKUP($C19,DexData,9,0)+INT(T19/4)+N19)/2)+5)*Y19)*IF($E19="Choice Specs",1.5,1))</f>
        <v>70</v>
      </c>
      <c r="AF19" s="84">
        <f>INT(INT((INT((2*VLOOKUP($C19,DexData,10,0)+INT(U19/4)+O19)/2)+5)*Z19)*IF(OR($E19="Eviolite",$E19="Assault Vest"),1.5,1))</f>
        <v>47</v>
      </c>
      <c r="AG19" s="84">
        <f>INT(INT((INT((2*VLOOKUP($C19,DexData,11,0)+INT(V19/4)+P19)/2)+5)*AA19)*IF($E19="Choice Scarf",1.5,IF($E19="Iron Ball",0.5,1)))</f>
        <v>104</v>
      </c>
      <c r="AH19" s="84" t="str">
        <f>VLOOKUP(VLOOKUP($C19,DexData,3,0),Aliases!D$2:E$19,2,0)&amp;IFERROR("/"&amp;VLOOKUP(VLOOKUP($C19,DexData,4,0),Aliases!D$2:E$19,2,0),"")</f>
        <v>BUG/FLY</v>
      </c>
      <c r="AI19" s="7">
        <v>3.0</v>
      </c>
      <c r="AJ19" s="7">
        <f>IF(VLOOKUP(B19,'Set Odds'!A$2:AN$1067,40,0),1,IF(VLOOKUP(B19,'Set Odds'!A$2:AO$1067,41,0),2,0))</f>
        <v>0</v>
      </c>
      <c r="AK19" s="7"/>
      <c r="AL19" s="7" t="str">
        <f t="shared" si="1"/>
        <v/>
      </c>
    </row>
    <row r="20" ht="12.75" customHeight="1">
      <c r="A20" s="86">
        <v>19.0</v>
      </c>
      <c r="B20" s="84" t="s">
        <v>2683</v>
      </c>
      <c r="C20" s="7" t="s">
        <v>2684</v>
      </c>
      <c r="D20" s="7" t="s">
        <v>2571</v>
      </c>
      <c r="E20" s="7" t="s">
        <v>2685</v>
      </c>
      <c r="F20" s="84" t="s">
        <v>2632</v>
      </c>
      <c r="G20" s="84" t="s">
        <v>2686</v>
      </c>
      <c r="H20" s="84" t="s">
        <v>2687</v>
      </c>
      <c r="I20" s="84" t="s">
        <v>2688</v>
      </c>
      <c r="J20" s="7" t="s">
        <v>2689</v>
      </c>
      <c r="K20" s="7">
        <v>31.0</v>
      </c>
      <c r="L20" s="7">
        <v>31.0</v>
      </c>
      <c r="M20" s="7">
        <v>0.0</v>
      </c>
      <c r="N20" s="7">
        <v>0.0</v>
      </c>
      <c r="O20" s="7">
        <v>0.0</v>
      </c>
      <c r="P20" s="7">
        <v>0.0</v>
      </c>
      <c r="Q20" s="7">
        <v>108.0</v>
      </c>
      <c r="R20" s="7">
        <v>108.0</v>
      </c>
      <c r="S20" s="7">
        <v>0.0</v>
      </c>
      <c r="T20" s="7">
        <v>0.0</v>
      </c>
      <c r="U20" s="7">
        <v>0.0</v>
      </c>
      <c r="V20" s="7">
        <v>0.0</v>
      </c>
      <c r="W20" s="7">
        <f>VLOOKUP($D20,NatureChart,2,0)</f>
        <v>1.1</v>
      </c>
      <c r="X20" s="7">
        <f>VLOOKUP($D20,NatureChart,3,0)</f>
        <v>1</v>
      </c>
      <c r="Y20" s="7">
        <f>VLOOKUP($D20,NatureChart,4,0)</f>
        <v>0.9</v>
      </c>
      <c r="Z20" s="7">
        <f>VLOOKUP($D20,NatureChart,5,0)</f>
        <v>1</v>
      </c>
      <c r="AA20" s="84">
        <f>VLOOKUP($D20,NatureChart,6,0)</f>
        <v>1</v>
      </c>
      <c r="AB20" s="84">
        <f>IF($C20="Shedinja",1,(INT((2*VLOOKUP($C20,DexData,5,0)+INT(Q20/4)+K20)/2)+60))</f>
        <v>148</v>
      </c>
      <c r="AC20" s="84">
        <f>INT(INT((INT((2*VLOOKUP($C20,DexData,6,0)+INT(R20/4)+L20)/2)+5)*W20)*IF($E20="Choice Band",1.5,IF(OR($E20="Mawilite",$E20="Medichamite",$E20="Thick Club"),2,1)))</f>
        <v>86</v>
      </c>
      <c r="AD20" s="84">
        <f>INT(INT((INT((2*VLOOKUP($C20,DexData,7,0)+INT(S20/4)+M20)/2)+5)*X20)*IF($E20="Eviolite",1.5,1))</f>
        <v>45</v>
      </c>
      <c r="AE20" s="84">
        <f>INT(INT((INT((2*VLOOKUP($C20,DexData,9,0)+INT(T20/4)+N20)/2)+5)*Y20)*IF($E20="Choice Specs",1.5,1))</f>
        <v>36</v>
      </c>
      <c r="AF20" s="84">
        <f>INT(INT((INT((2*VLOOKUP($C20,DexData,10,0)+INT(U20/4)+O20)/2)+5)*Z20)*IF(OR($E20="Eviolite",$E20="Assault Vest"),1.5,1))</f>
        <v>45</v>
      </c>
      <c r="AG20" s="84">
        <f>INT(INT((INT((2*VLOOKUP($C20,DexData,11,0)+INT(V20/4)+P20)/2)+5)*AA20)*IF($E20="Choice Scarf",1.5,IF($E20="Iron Ball",0.5,1)))</f>
        <v>36</v>
      </c>
      <c r="AH20" s="84" t="str">
        <f>VLOOKUP(VLOOKUP($C20,DexData,3,0),Aliases!D$2:E$19,2,0)&amp;IFERROR("/"&amp;VLOOKUP(VLOOKUP($C20,DexData,4,0),Aliases!D$2:E$19,2,0),"")</f>
        <v>NRM</v>
      </c>
      <c r="AI20" s="7">
        <v>3.0</v>
      </c>
      <c r="AJ20" s="7">
        <f>IF(VLOOKUP(B20,'Set Odds'!A$2:AN$1067,40,0),1,IF(VLOOKUP(B20,'Set Odds'!A$2:AO$1067,41,0),2,0))</f>
        <v>0</v>
      </c>
      <c r="AK20" s="7"/>
      <c r="AL20" s="7" t="str">
        <f t="shared" si="1"/>
        <v/>
      </c>
    </row>
    <row r="21" ht="12.75" customHeight="1">
      <c r="A21" s="86">
        <v>20.0</v>
      </c>
      <c r="B21" s="84" t="s">
        <v>2690</v>
      </c>
      <c r="C21" s="7" t="s">
        <v>2691</v>
      </c>
      <c r="D21" s="7" t="s">
        <v>2692</v>
      </c>
      <c r="E21" s="7" t="s">
        <v>2519</v>
      </c>
      <c r="F21" s="84" t="s">
        <v>2693</v>
      </c>
      <c r="G21" s="84" t="s">
        <v>2588</v>
      </c>
      <c r="H21" s="84" t="s">
        <v>2694</v>
      </c>
      <c r="I21" s="84" t="s">
        <v>2695</v>
      </c>
      <c r="J21" s="7" t="s">
        <v>2696</v>
      </c>
      <c r="K21" s="7">
        <v>0.0</v>
      </c>
      <c r="L21" s="7">
        <v>31.0</v>
      </c>
      <c r="M21" s="7">
        <v>0.0</v>
      </c>
      <c r="N21" s="7">
        <v>0.0</v>
      </c>
      <c r="O21" s="7">
        <v>0.0</v>
      </c>
      <c r="P21" s="7">
        <v>31.0</v>
      </c>
      <c r="Q21" s="7">
        <v>0.0</v>
      </c>
      <c r="R21" s="7">
        <v>108.0</v>
      </c>
      <c r="S21" s="7">
        <v>0.0</v>
      </c>
      <c r="T21" s="7">
        <v>0.0</v>
      </c>
      <c r="U21" s="7">
        <v>0.0</v>
      </c>
      <c r="V21" s="7">
        <v>108.0</v>
      </c>
      <c r="W21" s="7">
        <f>VLOOKUP($D21,NatureChart,2,0)</f>
        <v>1</v>
      </c>
      <c r="X21" s="7">
        <f>VLOOKUP($D21,NatureChart,3,0)</f>
        <v>1</v>
      </c>
      <c r="Y21" s="7">
        <f>VLOOKUP($D21,NatureChart,4,0)</f>
        <v>0.9</v>
      </c>
      <c r="Z21" s="7">
        <f>VLOOKUP($D21,NatureChart,5,0)</f>
        <v>1</v>
      </c>
      <c r="AA21" s="84">
        <f>VLOOKUP($D21,NatureChart,6,0)</f>
        <v>1.1</v>
      </c>
      <c r="AB21" s="84">
        <f>IF($C21="Shedinja",1,(INT((2*VLOOKUP($C21,DexData,5,0)+INT(Q21/4)+K21)/2)+60))</f>
        <v>105</v>
      </c>
      <c r="AC21" s="84">
        <f>INT(INT((INT((2*VLOOKUP($C21,DexData,6,0)+INT(R21/4)+L21)/2)+5)*W21)*IF($E21="Choice Band",1.5,IF(OR($E21="Mawilite",$E21="Medichamite",$E21="Thick Club"),2,1)))</f>
        <v>99</v>
      </c>
      <c r="AD21" s="84">
        <f>INT(INT((INT((2*VLOOKUP($C21,DexData,7,0)+INT(S21/4)+M21)/2)+5)*X21)*IF($E21="Eviolite",1.5,1))</f>
        <v>39</v>
      </c>
      <c r="AE21" s="84">
        <f>INT(INT((INT((2*VLOOKUP($C21,DexData,9,0)+INT(T21/4)+N21)/2)+5)*Y21)*IF($E21="Choice Specs",1.5,1))</f>
        <v>40</v>
      </c>
      <c r="AF21" s="84">
        <f>INT(INT((INT((2*VLOOKUP($C21,DexData,10,0)+INT(U21/4)+O21)/2)+5)*Z21)*IF(OR($E21="Eviolite",$E21="Assault Vest"),1.5,1))</f>
        <v>39</v>
      </c>
      <c r="AG21" s="84">
        <f>INT(INT((INT((2*VLOOKUP($C21,DexData,11,0)+INT(V21/4)+P21)/2)+5)*AA21)*IF($E21="Choice Scarf",1.5,IF($E21="Iron Ball",0.5,1)))</f>
        <v>86</v>
      </c>
      <c r="AH21" s="84" t="str">
        <f>VLOOKUP(VLOOKUP($C21,DexData,3,0),Aliases!D$2:E$19,2,0)&amp;IFERROR("/"&amp;VLOOKUP(VLOOKUP($C21,DexData,4,0),Aliases!D$2:E$19,2,0),"")</f>
        <v>ELC</v>
      </c>
      <c r="AI21" s="7">
        <v>3.0</v>
      </c>
      <c r="AJ21" s="7">
        <f>IF(VLOOKUP(B21,'Set Odds'!A$2:AN$1067,40,0),1,IF(VLOOKUP(B21,'Set Odds'!A$2:AO$1067,41,0),2,0))</f>
        <v>0</v>
      </c>
      <c r="AK21" s="7"/>
      <c r="AL21" s="7" t="str">
        <f t="shared" si="1"/>
        <v/>
      </c>
    </row>
    <row r="22" ht="12.75" customHeight="1">
      <c r="A22" s="86">
        <v>21.0</v>
      </c>
      <c r="B22" s="84" t="s">
        <v>2697</v>
      </c>
      <c r="C22" s="7" t="s">
        <v>2698</v>
      </c>
      <c r="D22" s="7" t="s">
        <v>2656</v>
      </c>
      <c r="E22" s="7" t="s">
        <v>2630</v>
      </c>
      <c r="F22" s="84" t="s">
        <v>2699</v>
      </c>
      <c r="G22" s="84" t="s">
        <v>2575</v>
      </c>
      <c r="H22" s="84" t="s">
        <v>2700</v>
      </c>
      <c r="I22" s="84" t="s">
        <v>2573</v>
      </c>
      <c r="J22" s="7" t="s">
        <v>2701</v>
      </c>
      <c r="K22" s="7">
        <v>0.0</v>
      </c>
      <c r="L22" s="7">
        <v>0.0</v>
      </c>
      <c r="M22" s="7">
        <v>0.0</v>
      </c>
      <c r="N22" s="7">
        <v>31.0</v>
      </c>
      <c r="O22" s="7">
        <v>0.0</v>
      </c>
      <c r="P22" s="7">
        <v>31.0</v>
      </c>
      <c r="Q22" s="7">
        <v>0.0</v>
      </c>
      <c r="R22" s="7">
        <v>0.0</v>
      </c>
      <c r="S22" s="7">
        <v>0.0</v>
      </c>
      <c r="T22" s="7">
        <v>108.0</v>
      </c>
      <c r="U22" s="7">
        <v>0.0</v>
      </c>
      <c r="V22" s="7">
        <v>108.0</v>
      </c>
      <c r="W22" s="7">
        <f>VLOOKUP($D22,NatureChart,2,0)</f>
        <v>0.9</v>
      </c>
      <c r="X22" s="7">
        <f>VLOOKUP($D22,NatureChart,3,0)</f>
        <v>1</v>
      </c>
      <c r="Y22" s="7">
        <f>VLOOKUP($D22,NatureChart,4,0)</f>
        <v>1.1</v>
      </c>
      <c r="Z22" s="7">
        <f>VLOOKUP($D22,NatureChart,5,0)</f>
        <v>1</v>
      </c>
      <c r="AA22" s="84">
        <f>VLOOKUP($D22,NatureChart,6,0)</f>
        <v>1</v>
      </c>
      <c r="AB22" s="84">
        <f>IF($C22="Shedinja",1,(INT((2*VLOOKUP($C22,DexData,5,0)+INT(Q22/4)+K22)/2)+60))</f>
        <v>105</v>
      </c>
      <c r="AC22" s="84">
        <f>INT(INT((INT((2*VLOOKUP($C22,DexData,6,0)+INT(R22/4)+L22)/2)+5)*W22)*IF($E22="Choice Band",1.5,IF(OR($E22="Mawilite",$E22="Medichamite",$E22="Thick Club"),2,1)))</f>
        <v>36</v>
      </c>
      <c r="AD22" s="84">
        <f>INT(INT((INT((2*VLOOKUP($C22,DexData,7,0)+INT(S22/4)+M22)/2)+5)*X22)*IF($E22="Eviolite",1.5,1))</f>
        <v>50</v>
      </c>
      <c r="AE22" s="84">
        <f>INT(INT((INT((2*VLOOKUP($C22,DexData,9,0)+INT(T22/4)+N22)/2)+5)*Y22)*IF($E22="Choice Specs",1.5,1))</f>
        <v>105</v>
      </c>
      <c r="AF22" s="84">
        <f>INT(INT((INT((2*VLOOKUP($C22,DexData,10,0)+INT(U22/4)+O22)/2)+5)*Z22)*IF(OR($E22="Eviolite",$E22="Assault Vest"),1.5,1))</f>
        <v>58</v>
      </c>
      <c r="AG22" s="84">
        <f>INT(INT((INT((2*VLOOKUP($C22,DexData,11,0)+INT(V22/4)+P22)/2)+5)*AA22)*IF($E22="Choice Scarf",1.5,IF($E22="Iron Ball",0.5,1)))</f>
        <v>69</v>
      </c>
      <c r="AH22" s="84" t="str">
        <f>VLOOKUP(VLOOKUP($C22,DexData,3,0),Aliases!D$2:E$19,2,0)&amp;IFERROR("/"&amp;VLOOKUP(VLOOKUP($C22,DexData,4,0),Aliases!D$2:E$19,2,0),"")</f>
        <v>GRS</v>
      </c>
      <c r="AI22" s="7">
        <v>3.0</v>
      </c>
      <c r="AJ22" s="7">
        <f>IF(VLOOKUP(B22,'Set Odds'!A$2:AN$1067,40,0),1,IF(VLOOKUP(B22,'Set Odds'!A$2:AO$1067,41,0),2,0))</f>
        <v>0</v>
      </c>
      <c r="AK22" s="7"/>
      <c r="AL22" s="7" t="str">
        <f t="shared" si="1"/>
        <v/>
      </c>
    </row>
    <row r="23" ht="12.75" customHeight="1">
      <c r="A23" s="86">
        <v>22.0</v>
      </c>
      <c r="B23" s="84" t="s">
        <v>2702</v>
      </c>
      <c r="C23" s="7" t="s">
        <v>2703</v>
      </c>
      <c r="D23" s="7" t="s">
        <v>2635</v>
      </c>
      <c r="E23" s="7" t="s">
        <v>2612</v>
      </c>
      <c r="F23" s="84" t="s">
        <v>2704</v>
      </c>
      <c r="G23" s="84" t="s">
        <v>2705</v>
      </c>
      <c r="H23" s="84" t="s">
        <v>2706</v>
      </c>
      <c r="I23" s="84" t="s">
        <v>2707</v>
      </c>
      <c r="J23" s="7" t="s">
        <v>2708</v>
      </c>
      <c r="K23" s="7">
        <v>0.0</v>
      </c>
      <c r="L23" s="7">
        <v>0.0</v>
      </c>
      <c r="M23" s="7">
        <v>0.0</v>
      </c>
      <c r="N23" s="7">
        <v>31.0</v>
      </c>
      <c r="O23" s="7">
        <v>0.0</v>
      </c>
      <c r="P23" s="7">
        <v>31.0</v>
      </c>
      <c r="Q23" s="7">
        <v>0.0</v>
      </c>
      <c r="R23" s="7">
        <v>0.0</v>
      </c>
      <c r="S23" s="7">
        <v>0.0</v>
      </c>
      <c r="T23" s="7">
        <v>108.0</v>
      </c>
      <c r="U23" s="7">
        <v>0.0</v>
      </c>
      <c r="V23" s="7">
        <v>108.0</v>
      </c>
      <c r="W23" s="7">
        <f>VLOOKUP($D23,NatureChart,2,0)</f>
        <v>0.9</v>
      </c>
      <c r="X23" s="7">
        <f>VLOOKUP($D23,NatureChart,3,0)</f>
        <v>1</v>
      </c>
      <c r="Y23" s="7">
        <f>VLOOKUP($D23,NatureChart,4,0)</f>
        <v>1</v>
      </c>
      <c r="Z23" s="7">
        <f>VLOOKUP($D23,NatureChart,5,0)</f>
        <v>1</v>
      </c>
      <c r="AA23" s="84">
        <f>VLOOKUP($D23,NatureChart,6,0)</f>
        <v>1.1</v>
      </c>
      <c r="AB23" s="84">
        <f>IF($C23="Shedinja",1,(INT((2*VLOOKUP($C23,DexData,5,0)+INT(Q23/4)+K23)/2)+60))</f>
        <v>100</v>
      </c>
      <c r="AC23" s="84">
        <f>INT(INT((INT((2*VLOOKUP($C23,DexData,6,0)+INT(R23/4)+L23)/2)+5)*W23)*IF($E23="Choice Band",1.5,IF(OR($E23="Mawilite",$E23="Medichamite",$E23="Thick Club"),2,1)))</f>
        <v>31</v>
      </c>
      <c r="AD23" s="84">
        <f>INT(INT((INT((2*VLOOKUP($C23,DexData,7,0)+INT(S23/4)+M23)/2)+5)*X23)*IF($E23="Eviolite",1.5,1))</f>
        <v>40</v>
      </c>
      <c r="AE23" s="84">
        <f>INT(INT((INT((2*VLOOKUP($C23,DexData,9,0)+INT(T23/4)+N23)/2)+5)*Y23)*IF($E23="Choice Specs",1.5,1))</f>
        <v>84</v>
      </c>
      <c r="AF23" s="84">
        <f>INT(INT((INT((2*VLOOKUP($C23,DexData,10,0)+INT(U23/4)+O23)/2)+5)*Z23)*IF(OR($E23="Eviolite",$E23="Assault Vest"),1.5,1))</f>
        <v>75</v>
      </c>
      <c r="AG23" s="84">
        <f>INT(INT((INT((2*VLOOKUP($C23,DexData,11,0)+INT(V23/4)+P23)/2)+5)*AA23)*IF($E23="Choice Scarf",1.5,IF($E23="Iron Ball",0.5,1)))</f>
        <v>97</v>
      </c>
      <c r="AH23" s="84" t="str">
        <f>VLOOKUP(VLOOKUP($C23,DexData,3,0),Aliases!D$2:E$19,2,0)&amp;IFERROR("/"&amp;VLOOKUP(VLOOKUP($C23,DexData,4,0),Aliases!D$2:E$19,2,0),"")</f>
        <v>GRS/PSN</v>
      </c>
      <c r="AI23" s="7">
        <v>3.0</v>
      </c>
      <c r="AJ23" s="7">
        <f>IF(VLOOKUP(B23,'Set Odds'!A$2:AN$1067,40,0),1,IF(VLOOKUP(B23,'Set Odds'!A$2:AO$1067,41,0),2,0))</f>
        <v>0</v>
      </c>
      <c r="AK23" s="7"/>
      <c r="AL23" s="7" t="str">
        <f t="shared" si="1"/>
        <v/>
      </c>
    </row>
    <row r="24" ht="12.75" customHeight="1">
      <c r="A24" s="86">
        <v>23.0</v>
      </c>
      <c r="B24" s="84" t="s">
        <v>2709</v>
      </c>
      <c r="C24" s="7" t="s">
        <v>2710</v>
      </c>
      <c r="D24" s="7" t="s">
        <v>2635</v>
      </c>
      <c r="E24" s="7" t="s">
        <v>2711</v>
      </c>
      <c r="F24" s="84" t="s">
        <v>2712</v>
      </c>
      <c r="G24" s="84" t="s">
        <v>2688</v>
      </c>
      <c r="H24" s="84" t="s">
        <v>2713</v>
      </c>
      <c r="I24" s="84" t="s">
        <v>2661</v>
      </c>
      <c r="J24" s="7" t="s">
        <v>2714</v>
      </c>
      <c r="K24" s="7">
        <v>0.0</v>
      </c>
      <c r="L24" s="7">
        <v>0.0</v>
      </c>
      <c r="M24" s="7">
        <v>0.0</v>
      </c>
      <c r="N24" s="7">
        <v>31.0</v>
      </c>
      <c r="O24" s="7">
        <v>0.0</v>
      </c>
      <c r="P24" s="7">
        <v>31.0</v>
      </c>
      <c r="Q24" s="7">
        <v>0.0</v>
      </c>
      <c r="R24" s="7">
        <v>0.0</v>
      </c>
      <c r="S24" s="7">
        <v>0.0</v>
      </c>
      <c r="T24" s="7">
        <v>108.0</v>
      </c>
      <c r="U24" s="7">
        <v>0.0</v>
      </c>
      <c r="V24" s="7">
        <v>108.0</v>
      </c>
      <c r="W24" s="7">
        <f>VLOOKUP($D24,NatureChart,2,0)</f>
        <v>0.9</v>
      </c>
      <c r="X24" s="7">
        <f>VLOOKUP($D24,NatureChart,3,0)</f>
        <v>1</v>
      </c>
      <c r="Y24" s="7">
        <f>VLOOKUP($D24,NatureChart,4,0)</f>
        <v>1</v>
      </c>
      <c r="Z24" s="7">
        <f>VLOOKUP($D24,NatureChart,5,0)</f>
        <v>1</v>
      </c>
      <c r="AA24" s="84">
        <f>VLOOKUP($D24,NatureChart,6,0)</f>
        <v>1.1</v>
      </c>
      <c r="AB24" s="84">
        <f>IF($C24="Shedinja",1,(INT((2*VLOOKUP($C24,DexData,5,0)+INT(Q24/4)+K24)/2)+60))</f>
        <v>135</v>
      </c>
      <c r="AC24" s="84">
        <f>INT(INT((INT((2*VLOOKUP($C24,DexData,6,0)+INT(R24/4)+L24)/2)+5)*W24)*IF($E24="Choice Band",1.5,IF(OR($E24="Mawilite",$E24="Medichamite",$E24="Thick Club"),2,1)))</f>
        <v>49</v>
      </c>
      <c r="AD24" s="84">
        <f>INT(INT((INT((2*VLOOKUP($C24,DexData,7,0)+INT(S24/4)+M24)/2)+5)*X24)*IF($E24="Eviolite",1.5,1))</f>
        <v>85</v>
      </c>
      <c r="AE24" s="84">
        <f>INT(INT((INT((2*VLOOKUP($C24,DexData,9,0)+INT(T24/4)+N24)/2)+5)*Y24)*IF($E24="Choice Specs",1.5,1))</f>
        <v>129</v>
      </c>
      <c r="AF24" s="84">
        <f>INT(INT((INT((2*VLOOKUP($C24,DexData,10,0)+INT(U24/4)+O24)/2)+5)*Z24)*IF(OR($E24="Eviolite",$E24="Assault Vest"),1.5,1))</f>
        <v>95</v>
      </c>
      <c r="AG24" s="84">
        <f>INT(INT((INT((2*VLOOKUP($C24,DexData,11,0)+INT(V24/4)+P24)/2)+5)*AA24)*IF($E24="Choice Scarf",1.5,IF($E24="Iron Ball",0.5,1)))</f>
        <v>108</v>
      </c>
      <c r="AH24" s="84" t="str">
        <f>VLOOKUP(VLOOKUP($C24,DexData,3,0),Aliases!D$2:E$19,2,0)&amp;IFERROR("/"&amp;VLOOKUP(VLOOKUP($C24,DexData,4,0),Aliases!D$2:E$19,2,0),"")</f>
        <v>PSY</v>
      </c>
      <c r="AI24" s="7">
        <v>3.0</v>
      </c>
      <c r="AJ24" s="7">
        <f>IF(VLOOKUP(B24,'Set Odds'!A$2:AN$1067,40,0),1,IF(VLOOKUP(B24,'Set Odds'!A$2:AO$1067,41,0),2,0))</f>
        <v>0</v>
      </c>
      <c r="AK24" s="7"/>
      <c r="AL24" s="7" t="str">
        <f t="shared" si="1"/>
        <v/>
      </c>
    </row>
    <row r="25" ht="12.75" customHeight="1">
      <c r="A25" s="86">
        <v>24.0</v>
      </c>
      <c r="B25" s="84" t="s">
        <v>2715</v>
      </c>
      <c r="C25" s="7" t="s">
        <v>2716</v>
      </c>
      <c r="D25" s="7" t="s">
        <v>2571</v>
      </c>
      <c r="E25" s="7" t="s">
        <v>2515</v>
      </c>
      <c r="F25" s="84" t="s">
        <v>2717</v>
      </c>
      <c r="G25" s="84" t="s">
        <v>2718</v>
      </c>
      <c r="H25" s="84" t="s">
        <v>2719</v>
      </c>
      <c r="I25" s="84" t="s">
        <v>2608</v>
      </c>
      <c r="J25" s="7" t="s">
        <v>2720</v>
      </c>
      <c r="K25" s="7">
        <v>0.0</v>
      </c>
      <c r="L25" s="7">
        <v>31.0</v>
      </c>
      <c r="M25" s="7">
        <v>0.0</v>
      </c>
      <c r="N25" s="7">
        <v>0.0</v>
      </c>
      <c r="O25" s="7">
        <v>0.0</v>
      </c>
      <c r="P25" s="7">
        <v>31.0</v>
      </c>
      <c r="Q25" s="7">
        <v>0.0</v>
      </c>
      <c r="R25" s="7">
        <v>108.0</v>
      </c>
      <c r="S25" s="7">
        <v>0.0</v>
      </c>
      <c r="T25" s="7">
        <v>0.0</v>
      </c>
      <c r="U25" s="7">
        <v>0.0</v>
      </c>
      <c r="V25" s="7">
        <v>108.0</v>
      </c>
      <c r="W25" s="7">
        <f>VLOOKUP($D25,NatureChart,2,0)</f>
        <v>1.1</v>
      </c>
      <c r="X25" s="7">
        <f>VLOOKUP($D25,NatureChart,3,0)</f>
        <v>1</v>
      </c>
      <c r="Y25" s="7">
        <f>VLOOKUP($D25,NatureChart,4,0)</f>
        <v>0.9</v>
      </c>
      <c r="Z25" s="7">
        <f>VLOOKUP($D25,NatureChart,5,0)</f>
        <v>1</v>
      </c>
      <c r="AA25" s="84">
        <f>VLOOKUP($D25,NatureChart,6,0)</f>
        <v>1</v>
      </c>
      <c r="AB25" s="84">
        <f>IF($C25="Shedinja",1,(INT((2*VLOOKUP($C25,DexData,5,0)+INT(Q25/4)+K25)/2)+60))</f>
        <v>100</v>
      </c>
      <c r="AC25" s="84">
        <f>INT(INT((INT((2*VLOOKUP($C25,DexData,6,0)+INT(R25/4)+L25)/2)+5)*W25)*IF($E25="Choice Band",1.5,IF(OR($E25="Mawilite",$E25="Medichamite",$E25="Thick Club"),2,1)))</f>
        <v>114</v>
      </c>
      <c r="AD25" s="84">
        <f>INT(INT((INT((2*VLOOKUP($C25,DexData,7,0)+INT(S25/4)+M25)/2)+5)*X25)*IF($E25="Eviolite",1.5,1))</f>
        <v>45</v>
      </c>
      <c r="AE25" s="84">
        <f>INT(INT((INT((2*VLOOKUP($C25,DexData,9,0)+INT(T25/4)+N25)/2)+5)*Y25)*IF($E25="Choice Specs",1.5,1))</f>
        <v>36</v>
      </c>
      <c r="AF25" s="84">
        <f>INT(INT((INT((2*VLOOKUP($C25,DexData,10,0)+INT(U25/4)+O25)/2)+5)*Z25)*IF(OR($E25="Eviolite",$E25="Assault Vest"),1.5,1))</f>
        <v>45</v>
      </c>
      <c r="AG25" s="84">
        <f>INT(INT((INT((2*VLOOKUP($C25,DexData,11,0)+INT(V25/4)+P25)/2)+5)*AA25)*IF($E25="Choice Scarf",1.5,IF($E25="Iron Ball",0.5,1)))</f>
        <v>94</v>
      </c>
      <c r="AH25" s="84" t="str">
        <f>VLOOKUP(VLOOKUP($C25,DexData,3,0),Aliases!D$2:E$19,2,0)&amp;IFERROR("/"&amp;VLOOKUP(VLOOKUP($C25,DexData,4,0),Aliases!D$2:E$19,2,0),"")</f>
        <v>FTG</v>
      </c>
      <c r="AI25" s="7">
        <v>3.0</v>
      </c>
      <c r="AJ25" s="7">
        <f>IF(VLOOKUP(B25,'Set Odds'!A$2:AN$1067,40,0),1,IF(VLOOKUP(B25,'Set Odds'!A$2:AO$1067,41,0),2,0))</f>
        <v>0</v>
      </c>
      <c r="AK25" s="7"/>
      <c r="AL25" s="7" t="str">
        <f t="shared" si="1"/>
        <v/>
      </c>
    </row>
    <row r="26" ht="12.75" customHeight="1">
      <c r="A26" s="86">
        <v>25.0</v>
      </c>
      <c r="B26" s="84" t="s">
        <v>2721</v>
      </c>
      <c r="C26" s="7" t="s">
        <v>2722</v>
      </c>
      <c r="D26" s="7" t="s">
        <v>2723</v>
      </c>
      <c r="E26" s="7" t="s">
        <v>2724</v>
      </c>
      <c r="F26" s="84" t="s">
        <v>2725</v>
      </c>
      <c r="G26" s="84" t="s">
        <v>2726</v>
      </c>
      <c r="H26" s="84" t="s">
        <v>2719</v>
      </c>
      <c r="I26" s="84" t="s">
        <v>2727</v>
      </c>
      <c r="J26" s="7" t="s">
        <v>2728</v>
      </c>
      <c r="K26" s="7">
        <v>31.0</v>
      </c>
      <c r="L26" s="7">
        <v>0.0</v>
      </c>
      <c r="M26" s="7">
        <v>0.0</v>
      </c>
      <c r="N26" s="7">
        <v>0.0</v>
      </c>
      <c r="O26" s="7">
        <v>31.0</v>
      </c>
      <c r="P26" s="7">
        <v>0.0</v>
      </c>
      <c r="Q26" s="7">
        <v>108.0</v>
      </c>
      <c r="R26" s="7">
        <v>0.0</v>
      </c>
      <c r="S26" s="7">
        <v>0.0</v>
      </c>
      <c r="T26" s="7">
        <v>0.0</v>
      </c>
      <c r="U26" s="7">
        <v>108.0</v>
      </c>
      <c r="V26" s="7">
        <v>0.0</v>
      </c>
      <c r="W26" s="7">
        <f>VLOOKUP($D26,NatureChart,2,0)</f>
        <v>1</v>
      </c>
      <c r="X26" s="7">
        <f>VLOOKUP($D26,NatureChart,3,0)</f>
        <v>1</v>
      </c>
      <c r="Y26" s="7">
        <f>VLOOKUP($D26,NatureChart,4,0)</f>
        <v>0.9</v>
      </c>
      <c r="Z26" s="7">
        <f>VLOOKUP($D26,NatureChart,5,0)</f>
        <v>1.1</v>
      </c>
      <c r="AA26" s="84">
        <f>VLOOKUP($D26,NatureChart,6,0)</f>
        <v>1</v>
      </c>
      <c r="AB26" s="84">
        <f>IF($C26="Shedinja",1,(INT((2*VLOOKUP($C26,DexData,5,0)+INT(Q26/4)+K26)/2)+60))</f>
        <v>139</v>
      </c>
      <c r="AC26" s="84">
        <f>INT(INT((INT((2*VLOOKUP($C26,DexData,6,0)+INT(R26/4)+L26)/2)+5)*W26)*IF($E26="Choice Band",1.5,IF(OR($E26="Mawilite",$E26="Medichamite",$E26="Thick Club"),2,1)))</f>
        <v>85</v>
      </c>
      <c r="AD26" s="84">
        <f>INT(INT((INT((2*VLOOKUP($C26,DexData,7,0)+INT(S26/4)+M26)/2)+5)*X26)*IF($E26="Eviolite",1.5,1))</f>
        <v>100</v>
      </c>
      <c r="AE26" s="84">
        <f>INT(INT((INT((2*VLOOKUP($C26,DexData,9,0)+INT(T26/4)+N26)/2)+5)*Y26)*IF($E26="Choice Specs",1.5,1))</f>
        <v>13</v>
      </c>
      <c r="AF26" s="84">
        <f>INT(INT((INT((2*VLOOKUP($C26,DexData,10,0)+INT(U26/4)+O26)/2)+5)*Z26)*IF(OR($E26="Eviolite",$E26="Assault Vest"),1.5,1))</f>
        <v>86</v>
      </c>
      <c r="AG26" s="84">
        <f>INT(INT((INT((2*VLOOKUP($C26,DexData,11,0)+INT(V26/4)+P26)/2)+5)*AA26)*IF($E26="Choice Scarf",1.5,IF($E26="Iron Ball",0.5,1)))</f>
        <v>15</v>
      </c>
      <c r="AH26" s="84" t="str">
        <f>VLOOKUP(VLOOKUP($C26,DexData,3,0),Aliases!D$2:E$19,2,0)&amp;IFERROR("/"&amp;VLOOKUP(VLOOKUP($C26,DexData,4,0),Aliases!D$2:E$19,2,0),"")</f>
        <v>RCK</v>
      </c>
      <c r="AI26" s="7">
        <v>3.0</v>
      </c>
      <c r="AJ26" s="7">
        <f>IF(VLOOKUP(B26,'Set Odds'!A$2:AN$1067,40,0),1,IF(VLOOKUP(B26,'Set Odds'!A$2:AO$1067,41,0),2,0))</f>
        <v>0</v>
      </c>
      <c r="AK26" s="7"/>
      <c r="AL26" s="7" t="str">
        <f t="shared" si="1"/>
        <v/>
      </c>
    </row>
    <row r="27" ht="12.75" customHeight="1">
      <c r="A27" s="86">
        <v>26.0</v>
      </c>
      <c r="B27" s="84" t="s">
        <v>2729</v>
      </c>
      <c r="C27" s="7" t="s">
        <v>2730</v>
      </c>
      <c r="D27" s="7" t="s">
        <v>2571</v>
      </c>
      <c r="E27" s="7" t="s">
        <v>2731</v>
      </c>
      <c r="F27" s="84" t="s">
        <v>2732</v>
      </c>
      <c r="G27" s="84" t="s">
        <v>2670</v>
      </c>
      <c r="H27" s="84" t="s">
        <v>2733</v>
      </c>
      <c r="I27" s="84" t="s">
        <v>2734</v>
      </c>
      <c r="J27" s="7" t="s">
        <v>2735</v>
      </c>
      <c r="K27" s="7">
        <v>31.0</v>
      </c>
      <c r="L27" s="7">
        <v>31.0</v>
      </c>
      <c r="M27" s="7">
        <v>0.0</v>
      </c>
      <c r="N27" s="7">
        <v>0.0</v>
      </c>
      <c r="O27" s="7">
        <v>0.0</v>
      </c>
      <c r="P27" s="7">
        <v>0.0</v>
      </c>
      <c r="Q27" s="7">
        <v>108.0</v>
      </c>
      <c r="R27" s="7">
        <v>108.0</v>
      </c>
      <c r="S27" s="7">
        <v>0.0</v>
      </c>
      <c r="T27" s="7">
        <v>0.0</v>
      </c>
      <c r="U27" s="7">
        <v>0.0</v>
      </c>
      <c r="V27" s="7">
        <v>0.0</v>
      </c>
      <c r="W27" s="7">
        <f>VLOOKUP($D27,NatureChart,2,0)</f>
        <v>1.1</v>
      </c>
      <c r="X27" s="7">
        <f>VLOOKUP($D27,NatureChart,3,0)</f>
        <v>1</v>
      </c>
      <c r="Y27" s="7">
        <f>VLOOKUP($D27,NatureChart,4,0)</f>
        <v>0.9</v>
      </c>
      <c r="Z27" s="7">
        <f>VLOOKUP($D27,NatureChart,5,0)</f>
        <v>1</v>
      </c>
      <c r="AA27" s="84">
        <f>VLOOKUP($D27,NatureChart,6,0)</f>
        <v>1</v>
      </c>
      <c r="AB27" s="84">
        <f>IF($C27="Shedinja",1,(INT((2*VLOOKUP($C27,DexData,5,0)+INT(Q27/4)+K27)/2)+60))</f>
        <v>133</v>
      </c>
      <c r="AC27" s="84">
        <f>INT(INT((INT((2*VLOOKUP($C27,DexData,6,0)+INT(R27/4)+L27)/2)+5)*W27)*IF($E27="Choice Band",1.5,IF(OR($E27="Mawilite",$E27="Medichamite",$E27="Thick Club"),2,1)))</f>
        <v>119</v>
      </c>
      <c r="AD27" s="84">
        <f>INT(INT((INT((2*VLOOKUP($C27,DexData,7,0)+INT(S27/4)+M27)/2)+5)*X27)*IF($E27="Eviolite",1.5,1))</f>
        <v>40</v>
      </c>
      <c r="AE27" s="84">
        <f>INT(INT((INT((2*VLOOKUP($C27,DexData,9,0)+INT(T27/4)+N27)/2)+5)*Y27)*IF($E27="Choice Specs",1.5,1))</f>
        <v>61</v>
      </c>
      <c r="AF27" s="84">
        <f>INT(INT((INT((2*VLOOKUP($C27,DexData,10,0)+INT(U27/4)+O27)/2)+5)*Z27)*IF(OR($E27="Eviolite",$E27="Assault Vest"),1.5,1))</f>
        <v>38</v>
      </c>
      <c r="AG27" s="84">
        <f>INT(INT((INT((2*VLOOKUP($C27,DexData,11,0)+INT(V27/4)+P27)/2)+5)*AA27)*IF($E27="Choice Scarf",1.5,IF($E27="Iron Ball",0.5,1)))</f>
        <v>50</v>
      </c>
      <c r="AH27" s="84" t="str">
        <f>VLOOKUP(VLOOKUP($C27,DexData,3,0),Aliases!D$2:E$19,2,0)&amp;IFERROR("/"&amp;VLOOKUP(VLOOKUP($C27,DexData,4,0),Aliases!D$2:E$19,2,0),"")</f>
        <v>GHO</v>
      </c>
      <c r="AI27" s="7">
        <v>3.0</v>
      </c>
      <c r="AJ27" s="7">
        <f>IF(VLOOKUP(B27,'Set Odds'!A$2:AN$1067,40,0),1,IF(VLOOKUP(B27,'Set Odds'!A$2:AO$1067,41,0),2,0))</f>
        <v>0</v>
      </c>
      <c r="AK27" s="7"/>
      <c r="AL27" s="7" t="str">
        <f t="shared" si="1"/>
        <v/>
      </c>
    </row>
    <row r="28" ht="12.75" customHeight="1">
      <c r="A28" s="86">
        <v>27.0</v>
      </c>
      <c r="B28" s="84" t="s">
        <v>2736</v>
      </c>
      <c r="C28" s="7" t="s">
        <v>2737</v>
      </c>
      <c r="D28" s="7" t="s">
        <v>2648</v>
      </c>
      <c r="E28" s="7" t="s">
        <v>2738</v>
      </c>
      <c r="F28" s="84" t="s">
        <v>2670</v>
      </c>
      <c r="G28" s="84" t="s">
        <v>2732</v>
      </c>
      <c r="H28" s="84" t="s">
        <v>2739</v>
      </c>
      <c r="I28" s="84" t="s">
        <v>2536</v>
      </c>
      <c r="J28" s="7" t="s">
        <v>2714</v>
      </c>
      <c r="K28" s="7">
        <v>31.0</v>
      </c>
      <c r="L28" s="7">
        <v>0.0</v>
      </c>
      <c r="M28" s="7">
        <v>31.0</v>
      </c>
      <c r="N28" s="7">
        <v>0.0</v>
      </c>
      <c r="O28" s="7">
        <v>0.0</v>
      </c>
      <c r="P28" s="7">
        <v>0.0</v>
      </c>
      <c r="Q28" s="7">
        <v>108.0</v>
      </c>
      <c r="R28" s="7">
        <v>0.0</v>
      </c>
      <c r="S28" s="7">
        <v>108.0</v>
      </c>
      <c r="T28" s="7">
        <v>0.0</v>
      </c>
      <c r="U28" s="7">
        <v>0.0</v>
      </c>
      <c r="V28" s="7">
        <v>0.0</v>
      </c>
      <c r="W28" s="7">
        <f>VLOOKUP($D28,NatureChart,2,0)</f>
        <v>1</v>
      </c>
      <c r="X28" s="7">
        <f>VLOOKUP($D28,NatureChart,3,0)</f>
        <v>1.1</v>
      </c>
      <c r="Y28" s="7">
        <f>VLOOKUP($D28,NatureChart,4,0)</f>
        <v>0.9</v>
      </c>
      <c r="Z28" s="7">
        <f>VLOOKUP($D28,NatureChart,5,0)</f>
        <v>1</v>
      </c>
      <c r="AA28" s="84">
        <f>VLOOKUP($D28,NatureChart,6,0)</f>
        <v>1</v>
      </c>
      <c r="AB28" s="84">
        <f>IF($C28="Shedinja",1,(INT((2*VLOOKUP($C28,DexData,5,0)+INT(Q28/4)+K28)/2)+60))</f>
        <v>109</v>
      </c>
      <c r="AC28" s="84">
        <f>INT(INT((INT((2*VLOOKUP($C28,DexData,6,0)+INT(R28/4)+L28)/2)+5)*W28)*IF($E28="Choice Band",1.5,IF(OR($E28="Mawilite",$E28="Medichamite",$E28="Thick Club"),2,1)))</f>
        <v>45</v>
      </c>
      <c r="AD28" s="84">
        <f>INT(INT((INT((2*VLOOKUP($C28,DexData,7,0)+INT(S28/4)+M28)/2)+5)*X28)*IF($E28="Eviolite",1.5,1))</f>
        <v>136</v>
      </c>
      <c r="AE28" s="84">
        <f>INT(INT((INT((2*VLOOKUP($C28,DexData,9,0)+INT(T28/4)+N28)/2)+5)*Y28)*IF($E28="Choice Specs",1.5,1))</f>
        <v>31</v>
      </c>
      <c r="AF28" s="84">
        <f>INT(INT((INT((2*VLOOKUP($C28,DexData,10,0)+INT(U28/4)+O28)/2)+5)*Z28)*IF(OR($E28="Eviolite",$E28="Assault Vest"),1.5,1))</f>
        <v>95</v>
      </c>
      <c r="AG28" s="84">
        <f>INT(INT((INT((2*VLOOKUP($C28,DexData,11,0)+INT(V28/4)+P28)/2)+5)*AA28)*IF($E28="Choice Scarf",1.5,IF($E28="Iron Ball",0.5,1)))</f>
        <v>30</v>
      </c>
      <c r="AH28" s="84" t="str">
        <f>VLOOKUP(VLOOKUP($C28,DexData,3,0),Aliases!D$2:E$19,2,0)&amp;IFERROR("/"&amp;VLOOKUP(VLOOKUP($C28,DexData,4,0),Aliases!D$2:E$19,2,0),"")</f>
        <v>GHO</v>
      </c>
      <c r="AI28" s="7">
        <v>3.0</v>
      </c>
      <c r="AJ28" s="7">
        <f>IF(VLOOKUP(B28,'Set Odds'!A$2:AN$1067,40,0),1,IF(VLOOKUP(B28,'Set Odds'!A$2:AO$1067,41,0),2,0))</f>
        <v>0</v>
      </c>
      <c r="AK28" s="7"/>
      <c r="AL28" s="7" t="str">
        <f t="shared" si="1"/>
        <v/>
      </c>
    </row>
    <row r="29" ht="12.75" customHeight="1">
      <c r="A29" s="86">
        <v>28.0</v>
      </c>
      <c r="B29" s="84" t="s">
        <v>2740</v>
      </c>
      <c r="C29" s="7" t="s">
        <v>2741</v>
      </c>
      <c r="D29" s="7" t="s">
        <v>2656</v>
      </c>
      <c r="E29" s="7" t="s">
        <v>2515</v>
      </c>
      <c r="F29" s="84" t="s">
        <v>2732</v>
      </c>
      <c r="G29" s="84" t="s">
        <v>2536</v>
      </c>
      <c r="H29" s="84" t="s">
        <v>2637</v>
      </c>
      <c r="I29" s="84" t="s">
        <v>2602</v>
      </c>
      <c r="J29" s="7" t="s">
        <v>2742</v>
      </c>
      <c r="K29" s="7">
        <v>0.0</v>
      </c>
      <c r="L29" s="7">
        <v>0.0</v>
      </c>
      <c r="M29" s="7">
        <v>0.0</v>
      </c>
      <c r="N29" s="7">
        <v>31.0</v>
      </c>
      <c r="O29" s="7">
        <v>0.0</v>
      </c>
      <c r="P29" s="7">
        <v>31.0</v>
      </c>
      <c r="Q29" s="7">
        <v>0.0</v>
      </c>
      <c r="R29" s="7">
        <v>0.0</v>
      </c>
      <c r="S29" s="7">
        <v>0.0</v>
      </c>
      <c r="T29" s="7">
        <v>108.0</v>
      </c>
      <c r="U29" s="7">
        <v>0.0</v>
      </c>
      <c r="V29" s="7">
        <v>108.0</v>
      </c>
      <c r="W29" s="7">
        <f>VLOOKUP($D29,NatureChart,2,0)</f>
        <v>0.9</v>
      </c>
      <c r="X29" s="7">
        <f>VLOOKUP($D29,NatureChart,3,0)</f>
        <v>1</v>
      </c>
      <c r="Y29" s="7">
        <f>VLOOKUP($D29,NatureChart,4,0)</f>
        <v>1.1</v>
      </c>
      <c r="Z29" s="7">
        <f>VLOOKUP($D29,NatureChart,5,0)</f>
        <v>1</v>
      </c>
      <c r="AA29" s="84">
        <f>VLOOKUP($D29,NatureChart,6,0)</f>
        <v>1</v>
      </c>
      <c r="AB29" s="84">
        <f>IF($C29="Shedinja",1,(INT((2*VLOOKUP($C29,DexData,5,0)+INT(Q29/4)+K29)/2)+60))</f>
        <v>98</v>
      </c>
      <c r="AC29" s="84">
        <f>INT(INT((INT((2*VLOOKUP($C29,DexData,6,0)+INT(R29/4)+L29)/2)+5)*W29)*IF($E29="Choice Band",1.5,IF(OR($E29="Mawilite",$E29="Medichamite",$E29="Thick Club"),2,1)))</f>
        <v>41</v>
      </c>
      <c r="AD29" s="84">
        <f>INT(INT((INT((2*VLOOKUP($C29,DexData,7,0)+INT(S29/4)+M29)/2)+5)*X29)*IF($E29="Eviolite",1.5,1))</f>
        <v>45</v>
      </c>
      <c r="AE29" s="84">
        <f>INT(INT((INT((2*VLOOKUP($C29,DexData,9,0)+INT(T29/4)+N29)/2)+5)*Y29)*IF($E29="Choice Specs",1.5,1))</f>
        <v>92</v>
      </c>
      <c r="AF29" s="84">
        <f>INT(INT((INT((2*VLOOKUP($C29,DexData,10,0)+INT(U29/4)+O29)/2)+5)*Z29)*IF(OR($E29="Eviolite",$E29="Assault Vest"),1.5,1))</f>
        <v>70</v>
      </c>
      <c r="AG29" s="84">
        <f>INT(INT((INT((2*VLOOKUP($C29,DexData,11,0)+INT(V29/4)+P29)/2)+5)*AA29)*IF($E29="Choice Scarf",1.5,IF($E29="Iron Ball",0.5,1)))</f>
        <v>99</v>
      </c>
      <c r="AH29" s="84" t="str">
        <f>VLOOKUP(VLOOKUP($C29,DexData,3,0),Aliases!D$2:E$19,2,0)&amp;IFERROR("/"&amp;VLOOKUP(VLOOKUP($C29,DexData,4,0),Aliases!D$2:E$19,2,0),"")</f>
        <v>FIR</v>
      </c>
      <c r="AI29" s="7">
        <v>3.0</v>
      </c>
      <c r="AJ29" s="7">
        <f>IF(VLOOKUP(B29,'Set Odds'!A$2:AN$1067,40,0),1,IF(VLOOKUP(B29,'Set Odds'!A$2:AO$1067,41,0),2,0))</f>
        <v>0</v>
      </c>
      <c r="AK29" s="7"/>
      <c r="AL29" s="7" t="str">
        <f t="shared" si="1"/>
        <v/>
      </c>
    </row>
    <row r="30" ht="12.75" customHeight="1">
      <c r="A30" s="86">
        <v>29.0</v>
      </c>
      <c r="B30" s="84" t="s">
        <v>2743</v>
      </c>
      <c r="C30" s="7" t="s">
        <v>2744</v>
      </c>
      <c r="D30" s="7" t="s">
        <v>2692</v>
      </c>
      <c r="E30" s="7" t="s">
        <v>2745</v>
      </c>
      <c r="F30" s="84" t="s">
        <v>2693</v>
      </c>
      <c r="G30" s="84" t="s">
        <v>2581</v>
      </c>
      <c r="H30" s="84" t="s">
        <v>2746</v>
      </c>
      <c r="I30" s="84" t="s">
        <v>2602</v>
      </c>
      <c r="J30" s="7" t="s">
        <v>2747</v>
      </c>
      <c r="K30" s="7">
        <v>15.0</v>
      </c>
      <c r="L30" s="7">
        <v>31.0</v>
      </c>
      <c r="M30" s="7">
        <v>15.0</v>
      </c>
      <c r="N30" s="7">
        <v>0.0</v>
      </c>
      <c r="O30" s="7">
        <v>15.0</v>
      </c>
      <c r="P30" s="7">
        <v>31.0</v>
      </c>
      <c r="Q30" s="7">
        <v>0.0</v>
      </c>
      <c r="R30" s="7">
        <v>108.0</v>
      </c>
      <c r="S30" s="7">
        <v>0.0</v>
      </c>
      <c r="T30" s="7">
        <v>0.0</v>
      </c>
      <c r="U30" s="7">
        <v>0.0</v>
      </c>
      <c r="V30" s="7">
        <v>108.0</v>
      </c>
      <c r="W30" s="7">
        <f>VLOOKUP($D30,NatureChart,2,0)</f>
        <v>1</v>
      </c>
      <c r="X30" s="7">
        <f>VLOOKUP($D30,NatureChart,3,0)</f>
        <v>1</v>
      </c>
      <c r="Y30" s="7">
        <f>VLOOKUP($D30,NatureChart,4,0)</f>
        <v>0.9</v>
      </c>
      <c r="Z30" s="7">
        <f>VLOOKUP($D30,NatureChart,5,0)</f>
        <v>1</v>
      </c>
      <c r="AA30" s="84">
        <f>VLOOKUP($D30,NatureChart,6,0)</f>
        <v>1.1</v>
      </c>
      <c r="AB30" s="84">
        <f>IF($C30="Shedinja",1,(INT((2*VLOOKUP($C30,DexData,5,0)+INT(Q30/4)+K30)/2)+60))</f>
        <v>102</v>
      </c>
      <c r="AC30" s="84">
        <f>INT(INT((INT((2*VLOOKUP($C30,DexData,6,0)+INT(R30/4)+L30)/2)+5)*W30)*IF($E30="Choice Band",1.5,IF(OR($E30="Mawilite",$E30="Medichamite",$E30="Thick Club"),2,1)))</f>
        <v>89</v>
      </c>
      <c r="AD30" s="84">
        <f>INT(INT((INT((2*VLOOKUP($C30,DexData,7,0)+INT(S30/4)+M30)/2)+5)*X30)*IF($E30="Eviolite",1.5,1))</f>
        <v>52</v>
      </c>
      <c r="AE30" s="84">
        <f>INT(INT((INT((2*VLOOKUP($C30,DexData,9,0)+INT(T30/4)+N30)/2)+5)*Y30)*IF($E30="Choice Specs",1.5,1))</f>
        <v>49</v>
      </c>
      <c r="AF30" s="84">
        <f>INT(INT((INT((2*VLOOKUP($C30,DexData,10,0)+INT(U30/4)+O30)/2)+5)*Z30)*IF(OR($E30="Eviolite",$E30="Assault Vest"),1.5,1))</f>
        <v>62</v>
      </c>
      <c r="AG30" s="84">
        <f>INT(INT((INT((2*VLOOKUP($C30,DexData,11,0)+INT(V30/4)+P30)/2)+5)*AA30)*IF($E30="Choice Scarf",1.5,IF($E30="Iron Ball",0.5,1)))</f>
        <v>136</v>
      </c>
      <c r="AH30" s="84" t="str">
        <f>VLOOKUP(VLOOKUP($C30,DexData,3,0),Aliases!D$2:E$19,2,0)&amp;IFERROR("/"&amp;VLOOKUP(VLOOKUP($C30,DexData,4,0),Aliases!D$2:E$19,2,0),"")</f>
        <v>ELC</v>
      </c>
      <c r="AI30" s="7">
        <v>3.0</v>
      </c>
      <c r="AJ30" s="7">
        <f>IF(VLOOKUP(B30,'Set Odds'!A$2:AN$1067,40,0),1,IF(VLOOKUP(B30,'Set Odds'!A$2:AO$1067,41,0),2,0))</f>
        <v>0</v>
      </c>
      <c r="AK30" s="7"/>
      <c r="AL30" s="7" t="str">
        <f t="shared" si="1"/>
        <v/>
      </c>
    </row>
    <row r="31" ht="12.75" customHeight="1">
      <c r="A31" s="86">
        <v>30.0</v>
      </c>
      <c r="B31" s="84" t="s">
        <v>2748</v>
      </c>
      <c r="C31" s="7" t="s">
        <v>2749</v>
      </c>
      <c r="D31" s="7" t="s">
        <v>2571</v>
      </c>
      <c r="E31" s="7" t="s">
        <v>2750</v>
      </c>
      <c r="F31" s="84" t="s">
        <v>2626</v>
      </c>
      <c r="G31" s="84" t="s">
        <v>2751</v>
      </c>
      <c r="H31" s="84" t="s">
        <v>2752</v>
      </c>
      <c r="I31" s="84" t="s">
        <v>2620</v>
      </c>
      <c r="J31" s="7" t="s">
        <v>2753</v>
      </c>
      <c r="K31" s="7">
        <v>31.0</v>
      </c>
      <c r="L31" s="7">
        <v>31.0</v>
      </c>
      <c r="M31" s="7">
        <v>0.0</v>
      </c>
      <c r="N31" s="7">
        <v>0.0</v>
      </c>
      <c r="O31" s="7">
        <v>0.0</v>
      </c>
      <c r="P31" s="7">
        <v>0.0</v>
      </c>
      <c r="Q31" s="7">
        <v>108.0</v>
      </c>
      <c r="R31" s="7">
        <v>108.0</v>
      </c>
      <c r="S31" s="7">
        <v>0.0</v>
      </c>
      <c r="T31" s="7">
        <v>0.0</v>
      </c>
      <c r="U31" s="7">
        <v>0.0</v>
      </c>
      <c r="V31" s="7">
        <v>0.0</v>
      </c>
      <c r="W31" s="7">
        <f>VLOOKUP($D31,NatureChart,2,0)</f>
        <v>1.1</v>
      </c>
      <c r="X31" s="7">
        <f>VLOOKUP($D31,NatureChart,3,0)</f>
        <v>1</v>
      </c>
      <c r="Y31" s="7">
        <f>VLOOKUP($D31,NatureChart,4,0)</f>
        <v>0.9</v>
      </c>
      <c r="Z31" s="7">
        <f>VLOOKUP($D31,NatureChart,5,0)</f>
        <v>1</v>
      </c>
      <c r="AA31" s="84">
        <f>VLOOKUP($D31,NatureChart,6,0)</f>
        <v>1</v>
      </c>
      <c r="AB31" s="84">
        <f>IF($C31="Shedinja",1,(INT((2*VLOOKUP($C31,DexData,5,0)+INT(Q31/4)+K31)/2)+60))</f>
        <v>139</v>
      </c>
      <c r="AC31" s="84">
        <f>INT(INT((INT((2*VLOOKUP($C31,DexData,6,0)+INT(R31/4)+L31)/2)+5)*W31)*IF($E31="Choice Band",1.5,IF(OR($E31="Mawilite",$E31="Medichamite",$E31="Thick Club"),2,1)))</f>
        <v>119</v>
      </c>
      <c r="AD31" s="84">
        <f>INT(INT((INT((2*VLOOKUP($C31,DexData,7,0)+INT(S31/4)+M31)/2)+5)*X31)*IF($E31="Eviolite",1.5,1))</f>
        <v>90</v>
      </c>
      <c r="AE31" s="84">
        <f>INT(INT((INT((2*VLOOKUP($C31,DexData,9,0)+INT(T31/4)+N31)/2)+5)*Y31)*IF($E31="Choice Specs",1.5,1))</f>
        <v>22</v>
      </c>
      <c r="AF31" s="84">
        <f>INT(INT((INT((2*VLOOKUP($C31,DexData,10,0)+INT(U31/4)+O31)/2)+5)*Z31)*IF(OR($E31="Eviolite",$E31="Assault Vest"),1.5,1))</f>
        <v>35</v>
      </c>
      <c r="AG31" s="84">
        <f>INT(INT((INT((2*VLOOKUP($C31,DexData,11,0)+INT(V31/4)+P31)/2)+5)*AA31)*IF($E31="Choice Scarf",1.5,IF($E31="Iron Ball",0.5,1)))</f>
        <v>45</v>
      </c>
      <c r="AH31" s="84" t="str">
        <f>VLOOKUP(VLOOKUP($C31,DexData,3,0),Aliases!D$2:E$19,2,0)&amp;IFERROR("/"&amp;VLOOKUP(VLOOKUP($C31,DexData,4,0),Aliases!D$2:E$19,2,0),"")</f>
        <v>GRD</v>
      </c>
      <c r="AI31" s="7">
        <v>3.0</v>
      </c>
      <c r="AJ31" s="7">
        <f>IF(VLOOKUP(B31,'Set Odds'!A$2:AN$1067,40,0),1,IF(VLOOKUP(B31,'Set Odds'!A$2:AO$1067,41,0),2,0))</f>
        <v>0</v>
      </c>
      <c r="AK31" s="7"/>
      <c r="AL31" s="7" t="str">
        <f t="shared" si="1"/>
        <v/>
      </c>
    </row>
    <row r="32" ht="12.75" customHeight="1">
      <c r="A32" s="86">
        <v>31.0</v>
      </c>
      <c r="B32" s="84" t="s">
        <v>2754</v>
      </c>
      <c r="C32" s="7" t="s">
        <v>2755</v>
      </c>
      <c r="D32" s="7" t="s">
        <v>2629</v>
      </c>
      <c r="E32" s="7" t="s">
        <v>2636</v>
      </c>
      <c r="F32" s="84" t="s">
        <v>2756</v>
      </c>
      <c r="G32" s="84" t="s">
        <v>2757</v>
      </c>
      <c r="H32" s="84" t="s">
        <v>2758</v>
      </c>
      <c r="I32" s="84" t="s">
        <v>2517</v>
      </c>
      <c r="J32" s="7" t="s">
        <v>2728</v>
      </c>
      <c r="K32" s="7">
        <v>31.0</v>
      </c>
      <c r="L32" s="7">
        <v>31.0</v>
      </c>
      <c r="M32" s="7">
        <v>0.0</v>
      </c>
      <c r="N32" s="7">
        <v>0.0</v>
      </c>
      <c r="O32" s="7">
        <v>0.0</v>
      </c>
      <c r="P32" s="7">
        <v>0.0</v>
      </c>
      <c r="Q32" s="7">
        <v>108.0</v>
      </c>
      <c r="R32" s="7">
        <v>108.0</v>
      </c>
      <c r="S32" s="7">
        <v>0.0</v>
      </c>
      <c r="T32" s="7">
        <v>0.0</v>
      </c>
      <c r="U32" s="7">
        <v>0.0</v>
      </c>
      <c r="V32" s="7">
        <v>0.0</v>
      </c>
      <c r="W32" s="7">
        <f>VLOOKUP($D32,NatureChart,2,0)</f>
        <v>1.1</v>
      </c>
      <c r="X32" s="7">
        <f>VLOOKUP($D32,NatureChart,3,0)</f>
        <v>1</v>
      </c>
      <c r="Y32" s="7">
        <f>VLOOKUP($D32,NatureChart,4,0)</f>
        <v>1</v>
      </c>
      <c r="Z32" s="7">
        <f>VLOOKUP($D32,NatureChart,5,0)</f>
        <v>1</v>
      </c>
      <c r="AA32" s="84">
        <f>VLOOKUP($D32,NatureChart,6,0)</f>
        <v>0.9</v>
      </c>
      <c r="AB32" s="84">
        <f>IF($C32="Shedinja",1,(INT((2*VLOOKUP($C32,DexData,5,0)+INT(Q32/4)+K32)/2)+60))</f>
        <v>129</v>
      </c>
      <c r="AC32" s="84">
        <f>INT(INT((INT((2*VLOOKUP($C32,DexData,6,0)+INT(R32/4)+L32)/2)+5)*W32)*IF($E32="Choice Band",1.5,IF(OR($E32="Mawilite",$E32="Medichamite",$E32="Thick Club"),2,1)))</f>
        <v>125</v>
      </c>
      <c r="AD32" s="84">
        <f>INT(INT((INT((2*VLOOKUP($C32,DexData,7,0)+INT(S32/4)+M32)/2)+5)*X32)*IF($E32="Eviolite",1.5,1))</f>
        <v>105</v>
      </c>
      <c r="AE32" s="84">
        <f>INT(INT((INT((2*VLOOKUP($C32,DexData,9,0)+INT(T32/4)+N32)/2)+5)*Y32)*IF($E32="Choice Specs",1.5,1))</f>
        <v>35</v>
      </c>
      <c r="AF32" s="84">
        <f>INT(INT((INT((2*VLOOKUP($C32,DexData,10,0)+INT(U32/4)+O32)/2)+5)*Z32)*IF(OR($E32="Eviolite",$E32="Assault Vest"),1.5,1))</f>
        <v>35</v>
      </c>
      <c r="AG32" s="84">
        <f>INT(INT((INT((2*VLOOKUP($C32,DexData,11,0)+INT(V32/4)+P32)/2)+5)*AA32)*IF($E32="Choice Scarf",1.5,IF($E32="Iron Ball",0.5,1)))</f>
        <v>22</v>
      </c>
      <c r="AH32" s="84" t="str">
        <f>VLOOKUP(VLOOKUP($C32,DexData,3,0),Aliases!D$2:E$19,2,0)&amp;IFERROR("/"&amp;VLOOKUP(VLOOKUP($C32,DexData,4,0),Aliases!D$2:E$19,2,0),"")</f>
        <v>RCK/GRD</v>
      </c>
      <c r="AI32" s="7">
        <v>3.0</v>
      </c>
      <c r="AJ32" s="7">
        <f>IF(VLOOKUP(B32,'Set Odds'!A$2:AN$1067,40,0),1,IF(VLOOKUP(B32,'Set Odds'!A$2:AO$1067,41,0),2,0))</f>
        <v>0</v>
      </c>
      <c r="AK32" s="7"/>
      <c r="AL32" s="7" t="str">
        <f t="shared" si="1"/>
        <v/>
      </c>
    </row>
    <row r="33" ht="12.75" customHeight="1">
      <c r="A33" s="86">
        <v>32.0</v>
      </c>
      <c r="B33" s="84" t="s">
        <v>2759</v>
      </c>
      <c r="C33" s="7" t="s">
        <v>2760</v>
      </c>
      <c r="D33" s="7" t="s">
        <v>2599</v>
      </c>
      <c r="E33" s="7" t="s">
        <v>2761</v>
      </c>
      <c r="F33" s="84" t="s">
        <v>2762</v>
      </c>
      <c r="G33" s="84" t="s">
        <v>2763</v>
      </c>
      <c r="H33" s="84" t="s">
        <v>2764</v>
      </c>
      <c r="I33" s="84" t="s">
        <v>2607</v>
      </c>
      <c r="J33" s="7" t="s">
        <v>2653</v>
      </c>
      <c r="K33" s="7">
        <v>0.0</v>
      </c>
      <c r="L33" s="7">
        <v>31.0</v>
      </c>
      <c r="M33" s="7">
        <v>0.0</v>
      </c>
      <c r="N33" s="7">
        <v>31.0</v>
      </c>
      <c r="O33" s="7">
        <v>0.0</v>
      </c>
      <c r="P33" s="7">
        <v>0.0</v>
      </c>
      <c r="Q33" s="7">
        <v>0.0</v>
      </c>
      <c r="R33" s="7">
        <v>108.0</v>
      </c>
      <c r="S33" s="7">
        <v>0.0</v>
      </c>
      <c r="T33" s="7">
        <v>108.0</v>
      </c>
      <c r="U33" s="7">
        <v>0.0</v>
      </c>
      <c r="V33" s="7">
        <v>0.0</v>
      </c>
      <c r="W33" s="7">
        <f>VLOOKUP($D33,NatureChart,2,0)</f>
        <v>1</v>
      </c>
      <c r="X33" s="7">
        <f>VLOOKUP($D33,NatureChart,3,0)</f>
        <v>1</v>
      </c>
      <c r="Y33" s="7">
        <f>VLOOKUP($D33,NatureChart,4,0)</f>
        <v>1</v>
      </c>
      <c r="Z33" s="7">
        <f>VLOOKUP($D33,NatureChart,5,0)</f>
        <v>1</v>
      </c>
      <c r="AA33" s="84">
        <f>VLOOKUP($D33,NatureChart,6,0)</f>
        <v>1</v>
      </c>
      <c r="AB33" s="84">
        <f>IF($C33="Shedinja",1,(INT((2*VLOOKUP($C33,DexData,5,0)+INT(Q33/4)+K33)/2)+60))</f>
        <v>101</v>
      </c>
      <c r="AC33" s="84">
        <f>INT(INT((INT((2*VLOOKUP($C33,DexData,6,0)+INT(R33/4)+L33)/2)+5)*W33)*IF($E33="Choice Band",1.5,IF(OR($E33="Mawilite",$E33="Medichamite",$E33="Thick Club"),2,1)))</f>
        <v>98</v>
      </c>
      <c r="AD33" s="84">
        <f>INT(INT((INT((2*VLOOKUP($C33,DexData,7,0)+INT(S33/4)+M33)/2)+5)*X33)*IF($E33="Eviolite",1.5,1))</f>
        <v>50</v>
      </c>
      <c r="AE33" s="84">
        <f>INT(INT((INT((2*VLOOKUP($C33,DexData,9,0)+INT(T33/4)+N33)/2)+5)*Y33)*IF($E33="Choice Specs",1.5,1))</f>
        <v>84</v>
      </c>
      <c r="AF33" s="84">
        <f>INT(INT((INT((2*VLOOKUP($C33,DexData,10,0)+INT(U33/4)+O33)/2)+5)*Z33)*IF(OR($E33="Eviolite",$E33="Assault Vest"),1.5,1))</f>
        <v>55</v>
      </c>
      <c r="AG33" s="84">
        <f>INT(INT((INT((2*VLOOKUP($C33,DexData,11,0)+INT(V33/4)+P33)/2)+5)*AA33)*IF($E33="Choice Scarf",1.5,IF($E33="Iron Ball",0.5,1)))</f>
        <v>55</v>
      </c>
      <c r="AH33" s="84" t="str">
        <f>VLOOKUP(VLOOKUP($C33,DexData,3,0),Aliases!D$2:E$19,2,0)&amp;IFERROR("/"&amp;VLOOKUP(VLOOKUP($C33,DexData,4,0),Aliases!D$2:E$19,2,0),"")</f>
        <v>DRG</v>
      </c>
      <c r="AI33" s="7">
        <v>3.0</v>
      </c>
      <c r="AJ33" s="7">
        <f>IF(VLOOKUP(B33,'Set Odds'!A$2:AN$1067,40,0),1,IF(VLOOKUP(B33,'Set Odds'!A$2:AO$1067,41,0),2,0))</f>
        <v>0</v>
      </c>
      <c r="AK33" s="7"/>
      <c r="AL33" s="7" t="str">
        <f t="shared" si="1"/>
        <v/>
      </c>
    </row>
    <row r="34" ht="12.75" customHeight="1">
      <c r="A34" s="86">
        <v>33.0</v>
      </c>
      <c r="B34" s="84" t="s">
        <v>2765</v>
      </c>
      <c r="C34" s="7" t="s">
        <v>2766</v>
      </c>
      <c r="D34" s="7" t="s">
        <v>2629</v>
      </c>
      <c r="E34" s="7" t="s">
        <v>2579</v>
      </c>
      <c r="F34" s="84" t="s">
        <v>2588</v>
      </c>
      <c r="G34" s="84" t="s">
        <v>2767</v>
      </c>
      <c r="H34" s="84" t="s">
        <v>2534</v>
      </c>
      <c r="I34" s="84" t="s">
        <v>2583</v>
      </c>
      <c r="J34" s="7" t="s">
        <v>2696</v>
      </c>
      <c r="K34" s="7">
        <v>31.0</v>
      </c>
      <c r="L34" s="7">
        <v>31.0</v>
      </c>
      <c r="M34" s="7">
        <v>0.0</v>
      </c>
      <c r="N34" s="7">
        <v>0.0</v>
      </c>
      <c r="O34" s="7">
        <v>0.0</v>
      </c>
      <c r="P34" s="7">
        <v>0.0</v>
      </c>
      <c r="Q34" s="7">
        <v>108.0</v>
      </c>
      <c r="R34" s="7">
        <v>108.0</v>
      </c>
      <c r="S34" s="7">
        <v>0.0</v>
      </c>
      <c r="T34" s="7">
        <v>0.0</v>
      </c>
      <c r="U34" s="7">
        <v>0.0</v>
      </c>
      <c r="V34" s="7">
        <v>0.0</v>
      </c>
      <c r="W34" s="7">
        <f>VLOOKUP($D34,NatureChart,2,0)</f>
        <v>1.1</v>
      </c>
      <c r="X34" s="7">
        <f>VLOOKUP($D34,NatureChart,3,0)</f>
        <v>1</v>
      </c>
      <c r="Y34" s="7">
        <f>VLOOKUP($D34,NatureChart,4,0)</f>
        <v>1</v>
      </c>
      <c r="Z34" s="7">
        <f>VLOOKUP($D34,NatureChart,5,0)</f>
        <v>1</v>
      </c>
      <c r="AA34" s="84">
        <f>VLOOKUP($D34,NatureChart,6,0)</f>
        <v>0.9</v>
      </c>
      <c r="AB34" s="84">
        <f>IF($C34="Shedinja",1,(INT((2*VLOOKUP($C34,DexData,5,0)+INT(Q34/4)+K34)/2)+60))</f>
        <v>149</v>
      </c>
      <c r="AC34" s="84">
        <f>INT(INT((INT((2*VLOOKUP($C34,DexData,6,0)+INT(R34/4)+L34)/2)+5)*W34)*IF($E34="Choice Band",1.5,IF(OR($E34="Mawilite",$E34="Medichamite",$E34="Thick Club"),2,1)))</f>
        <v>125</v>
      </c>
      <c r="AD34" s="84">
        <f>INT(INT((INT((2*VLOOKUP($C34,DexData,7,0)+INT(S34/4)+M34)/2)+5)*X34)*IF($E34="Eviolite",1.5,1))</f>
        <v>55</v>
      </c>
      <c r="AE34" s="84">
        <f>INT(INT((INT((2*VLOOKUP($C34,DexData,9,0)+INT(T34/4)+N34)/2)+5)*Y34)*IF($E34="Choice Specs",1.5,1))</f>
        <v>45</v>
      </c>
      <c r="AF34" s="84">
        <f>INT(INT((INT((2*VLOOKUP($C34,DexData,10,0)+INT(U34/4)+O34)/2)+5)*Z34)*IF(OR($E34="Eviolite",$E34="Assault Vest"),1.5,1))</f>
        <v>45</v>
      </c>
      <c r="AG34" s="84">
        <f>INT(INT((INT((2*VLOOKUP($C34,DexData,11,0)+INT(V34/4)+P34)/2)+5)*AA34)*IF($E34="Choice Scarf",1.5,IF($E34="Iron Ball",0.5,1)))</f>
        <v>31</v>
      </c>
      <c r="AH34" s="84" t="str">
        <f>VLOOKUP(VLOOKUP($C34,DexData,3,0),Aliases!D$2:E$19,2,0)&amp;IFERROR("/"&amp;VLOOKUP(VLOOKUP($C34,DexData,4,0),Aliases!D$2:E$19,2,0),"")</f>
        <v>FAI</v>
      </c>
      <c r="AI34" s="7">
        <v>3.0</v>
      </c>
      <c r="AJ34" s="7">
        <f>IF(VLOOKUP(B34,'Set Odds'!A$2:AN$1067,40,0),1,IF(VLOOKUP(B34,'Set Odds'!A$2:AO$1067,41,0),2,0))</f>
        <v>0</v>
      </c>
      <c r="AK34" s="7"/>
      <c r="AL34" s="7" t="str">
        <f t="shared" si="1"/>
        <v/>
      </c>
    </row>
    <row r="35" ht="12.75" customHeight="1">
      <c r="A35" s="86">
        <v>34.0</v>
      </c>
      <c r="B35" s="84" t="s">
        <v>2768</v>
      </c>
      <c r="C35" s="7" t="s">
        <v>2769</v>
      </c>
      <c r="D35" s="7" t="s">
        <v>2656</v>
      </c>
      <c r="E35" s="7" t="s">
        <v>2770</v>
      </c>
      <c r="F35" s="84" t="s">
        <v>2643</v>
      </c>
      <c r="G35" s="84" t="s">
        <v>2771</v>
      </c>
      <c r="H35" s="84" t="s">
        <v>2772</v>
      </c>
      <c r="I35" s="84" t="s">
        <v>2517</v>
      </c>
      <c r="J35" s="7" t="s">
        <v>2773</v>
      </c>
      <c r="K35" s="7">
        <v>31.0</v>
      </c>
      <c r="L35" s="7">
        <v>0.0</v>
      </c>
      <c r="M35" s="7">
        <v>0.0</v>
      </c>
      <c r="N35" s="7">
        <v>31.0</v>
      </c>
      <c r="O35" s="7">
        <v>0.0</v>
      </c>
      <c r="P35" s="7">
        <v>0.0</v>
      </c>
      <c r="Q35" s="7">
        <v>108.0</v>
      </c>
      <c r="R35" s="7">
        <v>0.0</v>
      </c>
      <c r="S35" s="7">
        <v>0.0</v>
      </c>
      <c r="T35" s="7">
        <v>108.0</v>
      </c>
      <c r="U35" s="7">
        <v>0.0</v>
      </c>
      <c r="V35" s="7">
        <v>0.0</v>
      </c>
      <c r="W35" s="7">
        <f>VLOOKUP($D35,NatureChart,2,0)</f>
        <v>0.9</v>
      </c>
      <c r="X35" s="7">
        <f>VLOOKUP($D35,NatureChart,3,0)</f>
        <v>1</v>
      </c>
      <c r="Y35" s="7">
        <f>VLOOKUP($D35,NatureChart,4,0)</f>
        <v>1.1</v>
      </c>
      <c r="Z35" s="7">
        <f>VLOOKUP($D35,NatureChart,5,0)</f>
        <v>1</v>
      </c>
      <c r="AA35" s="84">
        <f>VLOOKUP($D35,NatureChart,6,0)</f>
        <v>1</v>
      </c>
      <c r="AB35" s="84">
        <f>IF($C35="Shedinja",1,(INT((2*VLOOKUP($C35,DexData,5,0)+INT(Q35/4)+K35)/2)+60))</f>
        <v>124</v>
      </c>
      <c r="AC35" s="84">
        <f>INT(INT((INT((2*VLOOKUP($C35,DexData,6,0)+INT(R35/4)+L35)/2)+5)*W35)*IF($E35="Choice Band",1.5,IF(OR($E35="Mawilite",$E35="Medichamite",$E35="Thick Club"),2,1)))</f>
        <v>63</v>
      </c>
      <c r="AD35" s="84">
        <f>INT(INT((INT((2*VLOOKUP($C35,DexData,7,0)+INT(S35/4)+M35)/2)+5)*X35)*IF($E35="Eviolite",1.5,1))</f>
        <v>40</v>
      </c>
      <c r="AE35" s="84">
        <f>INT(INT((INT((2*VLOOKUP($C35,DexData,9,0)+INT(T35/4)+N35)/2)+5)*Y35)*IF($E35="Choice Specs",1.5,1))</f>
        <v>108</v>
      </c>
      <c r="AF35" s="84">
        <f>INT(INT((INT((2*VLOOKUP($C35,DexData,10,0)+INT(U35/4)+O35)/2)+5)*Z35)*IF(OR($E35="Eviolite",$E35="Assault Vest"),1.5,1))</f>
        <v>40</v>
      </c>
      <c r="AG35" s="84">
        <f>INT(INT((INT((2*VLOOKUP($C35,DexData,11,0)+INT(V35/4)+P35)/2)+5)*AA35)*IF($E35="Choice Scarf",1.5,IF($E35="Iron Ball",0.5,1)))</f>
        <v>70</v>
      </c>
      <c r="AH35" s="84" t="str">
        <f>VLOOKUP(VLOOKUP($C35,DexData,3,0),Aliases!D$2:E$19,2,0)&amp;IFERROR("/"&amp;VLOOKUP(VLOOKUP($C35,DexData,4,0),Aliases!D$2:E$19,2,0),"")</f>
        <v>WTR</v>
      </c>
      <c r="AI35" s="7">
        <v>3.0</v>
      </c>
      <c r="AJ35" s="7">
        <f>IF(VLOOKUP(B35,'Set Odds'!A$2:AN$1067,40,0),1,IF(VLOOKUP(B35,'Set Odds'!A$2:AO$1067,41,0),2,0))</f>
        <v>0</v>
      </c>
      <c r="AK35" s="7"/>
      <c r="AL35" s="7" t="str">
        <f t="shared" si="1"/>
        <v/>
      </c>
    </row>
    <row r="36" ht="12.75" customHeight="1">
      <c r="A36" s="86">
        <v>35.0</v>
      </c>
      <c r="B36" s="84" t="s">
        <v>2774</v>
      </c>
      <c r="C36" s="7" t="s">
        <v>2775</v>
      </c>
      <c r="D36" s="7" t="s">
        <v>2692</v>
      </c>
      <c r="E36" s="7" t="s">
        <v>2761</v>
      </c>
      <c r="F36" s="84" t="s">
        <v>2776</v>
      </c>
      <c r="G36" s="84" t="s">
        <v>2625</v>
      </c>
      <c r="H36" s="84" t="s">
        <v>2626</v>
      </c>
      <c r="I36" s="84" t="s">
        <v>2588</v>
      </c>
      <c r="J36" s="7" t="s">
        <v>2777</v>
      </c>
      <c r="K36" s="7">
        <v>0.0</v>
      </c>
      <c r="L36" s="7">
        <v>31.0</v>
      </c>
      <c r="M36" s="7">
        <v>0.0</v>
      </c>
      <c r="N36" s="7">
        <v>0.0</v>
      </c>
      <c r="O36" s="7">
        <v>0.0</v>
      </c>
      <c r="P36" s="7">
        <v>31.0</v>
      </c>
      <c r="Q36" s="7">
        <v>0.0</v>
      </c>
      <c r="R36" s="7">
        <v>108.0</v>
      </c>
      <c r="S36" s="7">
        <v>0.0</v>
      </c>
      <c r="T36" s="7">
        <v>0.0</v>
      </c>
      <c r="U36" s="7">
        <v>0.0</v>
      </c>
      <c r="V36" s="7">
        <v>108.0</v>
      </c>
      <c r="W36" s="7">
        <f>VLOOKUP($D36,NatureChart,2,0)</f>
        <v>1</v>
      </c>
      <c r="X36" s="7">
        <f>VLOOKUP($D36,NatureChart,3,0)</f>
        <v>1</v>
      </c>
      <c r="Y36" s="7">
        <f>VLOOKUP($D36,NatureChart,4,0)</f>
        <v>0.9</v>
      </c>
      <c r="Z36" s="7">
        <f>VLOOKUP($D36,NatureChart,5,0)</f>
        <v>1</v>
      </c>
      <c r="AA36" s="84">
        <f>VLOOKUP($D36,NatureChart,6,0)</f>
        <v>1.1</v>
      </c>
      <c r="AB36" s="84">
        <f>IF($C36="Shedinja",1,(INT((2*VLOOKUP($C36,DexData,5,0)+INT(Q36/4)+K36)/2)+60))</f>
        <v>110</v>
      </c>
      <c r="AC36" s="84">
        <f>INT(INT((INT((2*VLOOKUP($C36,DexData,6,0)+INT(R36/4)+L36)/2)+5)*W36)*IF($E36="Choice Band",1.5,IF(OR($E36="Mawilite",$E36="Medichamite",$E36="Thick Club"),2,1)))</f>
        <v>98</v>
      </c>
      <c r="AD36" s="84">
        <f>INT(INT((INT((2*VLOOKUP($C36,DexData,7,0)+INT(S36/4)+M36)/2)+5)*X36)*IF($E36="Eviolite",1.5,1))</f>
        <v>55</v>
      </c>
      <c r="AE36" s="84">
        <f>INT(INT((INT((2*VLOOKUP($C36,DexData,9,0)+INT(T36/4)+N36)/2)+5)*Y36)*IF($E36="Choice Specs",1.5,1))</f>
        <v>45</v>
      </c>
      <c r="AF36" s="84">
        <f>INT(INT((INT((2*VLOOKUP($C36,DexData,10,0)+INT(U36/4)+O36)/2)+5)*Z36)*IF(OR($E36="Eviolite",$E36="Assault Vest"),1.5,1))</f>
        <v>55</v>
      </c>
      <c r="AG36" s="84">
        <f>INT(INT((INT((2*VLOOKUP($C36,DexData,11,0)+INT(V36/4)+P36)/2)+5)*AA36)*IF($E36="Choice Scarf",1.5,IF($E36="Iron Ball",0.5,1)))</f>
        <v>82</v>
      </c>
      <c r="AH36" s="84" t="str">
        <f>VLOOKUP(VLOOKUP($C36,DexData,3,0),Aliases!D$2:E$19,2,0)&amp;IFERROR("/"&amp;VLOOKUP(VLOOKUP($C36,DexData,4,0),Aliases!D$2:E$19,2,0),"")</f>
        <v>RCK/GRD</v>
      </c>
      <c r="AI36" s="7">
        <v>3.0</v>
      </c>
      <c r="AJ36" s="7">
        <f>IF(VLOOKUP(B36,'Set Odds'!A$2:AN$1067,40,0),1,IF(VLOOKUP(B36,'Set Odds'!A$2:AO$1067,41,0),2,0))</f>
        <v>0</v>
      </c>
      <c r="AK36" s="7"/>
      <c r="AL36" s="7" t="str">
        <f t="shared" si="1"/>
        <v/>
      </c>
    </row>
    <row r="37" ht="12.75" customHeight="1">
      <c r="A37" s="86">
        <v>36.0</v>
      </c>
      <c r="B37" s="84" t="s">
        <v>2778</v>
      </c>
      <c r="C37" s="7" t="s">
        <v>2779</v>
      </c>
      <c r="D37" s="7" t="s">
        <v>2656</v>
      </c>
      <c r="E37" s="7" t="s">
        <v>2780</v>
      </c>
      <c r="F37" s="84" t="s">
        <v>2772</v>
      </c>
      <c r="G37" s="84" t="s">
        <v>2781</v>
      </c>
      <c r="H37" s="84" t="s">
        <v>2596</v>
      </c>
      <c r="I37" s="84" t="s">
        <v>2782</v>
      </c>
      <c r="J37" s="7" t="s">
        <v>2714</v>
      </c>
      <c r="K37" s="7">
        <v>31.0</v>
      </c>
      <c r="L37" s="7">
        <v>0.0</v>
      </c>
      <c r="M37" s="7">
        <v>0.0</v>
      </c>
      <c r="N37" s="7">
        <v>31.0</v>
      </c>
      <c r="O37" s="7">
        <v>0.0</v>
      </c>
      <c r="P37" s="7">
        <v>0.0</v>
      </c>
      <c r="Q37" s="7">
        <v>108.0</v>
      </c>
      <c r="R37" s="7">
        <v>0.0</v>
      </c>
      <c r="S37" s="7">
        <v>0.0</v>
      </c>
      <c r="T37" s="7">
        <v>108.0</v>
      </c>
      <c r="U37" s="7">
        <v>0.0</v>
      </c>
      <c r="V37" s="7">
        <v>0.0</v>
      </c>
      <c r="W37" s="7">
        <f>VLOOKUP($D37,NatureChart,2,0)</f>
        <v>0.9</v>
      </c>
      <c r="X37" s="7">
        <f>VLOOKUP($D37,NatureChart,3,0)</f>
        <v>1</v>
      </c>
      <c r="Y37" s="7">
        <f>VLOOKUP($D37,NatureChart,4,0)</f>
        <v>1.1</v>
      </c>
      <c r="Z37" s="7">
        <f>VLOOKUP($D37,NatureChart,5,0)</f>
        <v>1</v>
      </c>
      <c r="AA37" s="84">
        <f>VLOOKUP($D37,NatureChart,6,0)</f>
        <v>1</v>
      </c>
      <c r="AB37" s="84">
        <f>IF($C37="Shedinja",1,(INT((2*VLOOKUP($C37,DexData,5,0)+INT(Q37/4)+K37)/2)+60))</f>
        <v>129</v>
      </c>
      <c r="AC37" s="84">
        <f>INT(INT((INT((2*VLOOKUP($C37,DexData,6,0)+INT(R37/4)+L37)/2)+5)*W37)*IF($E37="Choice Band",1.5,IF(OR($E37="Mawilite",$E37="Medichamite",$E37="Thick Club"),2,1)))</f>
        <v>40</v>
      </c>
      <c r="AD37" s="84">
        <f>INT(INT((INT((2*VLOOKUP($C37,DexData,7,0)+INT(S37/4)+M37)/2)+5)*X37)*IF($E37="Eviolite",1.5,1))</f>
        <v>60</v>
      </c>
      <c r="AE37" s="84">
        <f>INT(INT((INT((2*VLOOKUP($C37,DexData,9,0)+INT(T37/4)+N37)/2)+5)*Y37)*IF($E37="Choice Specs",1.5,1))</f>
        <v>81</v>
      </c>
      <c r="AF37" s="84">
        <f>INT(INT((INT((2*VLOOKUP($C37,DexData,10,0)+INT(U37/4)+O37)/2)+5)*Z37)*IF(OR($E37="Eviolite",$E37="Assault Vest"),1.5,1))</f>
        <v>75</v>
      </c>
      <c r="AG37" s="84">
        <f>INT(INT((INT((2*VLOOKUP($C37,DexData,11,0)+INT(V37/4)+P37)/2)+5)*AA37)*IF($E37="Choice Scarf",1.5,IF($E37="Iron Ball",0.5,1)))</f>
        <v>60</v>
      </c>
      <c r="AH37" s="84" t="str">
        <f>VLOOKUP(VLOOKUP($C37,DexData,3,0),Aliases!D$2:E$19,2,0)&amp;IFERROR("/"&amp;VLOOKUP(VLOOKUP($C37,DexData,4,0),Aliases!D$2:E$19,2,0),"")</f>
        <v>GRD/PSY</v>
      </c>
      <c r="AI37" s="7">
        <v>3.0</v>
      </c>
      <c r="AJ37" s="7">
        <f>IF(VLOOKUP(B37,'Set Odds'!A$2:AN$1067,40,0),1,IF(VLOOKUP(B37,'Set Odds'!A$2:AO$1067,41,0),2,0))</f>
        <v>0</v>
      </c>
      <c r="AK37" s="7"/>
      <c r="AL37" s="7" t="str">
        <f t="shared" si="1"/>
        <v/>
      </c>
    </row>
    <row r="38" ht="12.75" customHeight="1">
      <c r="A38" s="86">
        <v>37.0</v>
      </c>
      <c r="B38" s="84" t="s">
        <v>2783</v>
      </c>
      <c r="C38" s="7" t="s">
        <v>2784</v>
      </c>
      <c r="D38" s="7" t="s">
        <v>2629</v>
      </c>
      <c r="E38" s="7" t="s">
        <v>2519</v>
      </c>
      <c r="F38" s="84" t="s">
        <v>2785</v>
      </c>
      <c r="G38" s="84" t="s">
        <v>2686</v>
      </c>
      <c r="H38" s="84" t="s">
        <v>2517</v>
      </c>
      <c r="I38" s="84" t="s">
        <v>2588</v>
      </c>
      <c r="J38" s="7" t="s">
        <v>2786</v>
      </c>
      <c r="K38" s="7">
        <v>31.0</v>
      </c>
      <c r="L38" s="7">
        <v>31.0</v>
      </c>
      <c r="M38" s="7">
        <v>0.0</v>
      </c>
      <c r="N38" s="7">
        <v>0.0</v>
      </c>
      <c r="O38" s="7">
        <v>0.0</v>
      </c>
      <c r="P38" s="7">
        <v>0.0</v>
      </c>
      <c r="Q38" s="7">
        <v>108.0</v>
      </c>
      <c r="R38" s="7">
        <v>108.0</v>
      </c>
      <c r="S38" s="7">
        <v>0.0</v>
      </c>
      <c r="T38" s="7">
        <v>0.0</v>
      </c>
      <c r="U38" s="7">
        <v>0.0</v>
      </c>
      <c r="V38" s="7">
        <v>0.0</v>
      </c>
      <c r="W38" s="7">
        <f>VLOOKUP($D38,NatureChart,2,0)</f>
        <v>1.1</v>
      </c>
      <c r="X38" s="7">
        <f>VLOOKUP($D38,NatureChart,3,0)</f>
        <v>1</v>
      </c>
      <c r="Y38" s="7">
        <f>VLOOKUP($D38,NatureChart,4,0)</f>
        <v>1</v>
      </c>
      <c r="Z38" s="7">
        <f>VLOOKUP($D38,NatureChart,5,0)</f>
        <v>1</v>
      </c>
      <c r="AA38" s="84">
        <f>VLOOKUP($D38,NatureChart,6,0)</f>
        <v>0.9</v>
      </c>
      <c r="AB38" s="84">
        <f>IF($C38="Shedinja",1,(INT((2*VLOOKUP($C38,DexData,5,0)+INT(Q38/4)+K38)/2)+60))</f>
        <v>139</v>
      </c>
      <c r="AC38" s="84">
        <f>INT(INT((INT((2*VLOOKUP($C38,DexData,6,0)+INT(R38/4)+L38)/2)+5)*W38)*IF($E38="Choice Band",1.5,IF(OR($E38="Mawilite",$E38="Medichamite",$E38="Thick Club"),2,1)))</f>
        <v>92</v>
      </c>
      <c r="AD38" s="84">
        <f>INT(INT((INT((2*VLOOKUP($C38,DexData,7,0)+INT(S38/4)+M38)/2)+5)*X38)*IF($E38="Eviolite",1.5,1))</f>
        <v>55</v>
      </c>
      <c r="AE38" s="84">
        <f>INT(INT((INT((2*VLOOKUP($C38,DexData,9,0)+INT(T38/4)+N38)/2)+5)*Y38)*IF($E38="Choice Specs",1.5,1))</f>
        <v>55</v>
      </c>
      <c r="AF38" s="84">
        <f>INT(INT((INT((2*VLOOKUP($C38,DexData,10,0)+INT(U38/4)+O38)/2)+5)*Z38)*IF(OR($E38="Eviolite",$E38="Assault Vest"),1.5,1))</f>
        <v>55</v>
      </c>
      <c r="AG38" s="84">
        <f>INT(INT((INT((2*VLOOKUP($C38,DexData,11,0)+INT(V38/4)+P38)/2)+5)*AA38)*IF($E38="Choice Scarf",1.5,IF($E38="Iron Ball",0.5,1)))</f>
        <v>49</v>
      </c>
      <c r="AH38" s="84" t="str">
        <f>VLOOKUP(VLOOKUP($C38,DexData,3,0),Aliases!D$2:E$19,2,0)&amp;IFERROR("/"&amp;VLOOKUP(VLOOKUP($C38,DexData,4,0),Aliases!D$2:E$19,2,0),"")</f>
        <v>ICE</v>
      </c>
      <c r="AI38" s="7">
        <v>3.0</v>
      </c>
      <c r="AJ38" s="7">
        <f>IF(VLOOKUP(B38,'Set Odds'!A$2:AN$1067,40,0),1,IF(VLOOKUP(B38,'Set Odds'!A$2:AO$1067,41,0),2,0))</f>
        <v>0</v>
      </c>
      <c r="AK38" s="7"/>
      <c r="AL38" s="7" t="str">
        <f t="shared" si="1"/>
        <v/>
      </c>
    </row>
    <row r="39" ht="12.75" customHeight="1">
      <c r="A39" s="86">
        <v>38.0</v>
      </c>
      <c r="B39" s="84" t="s">
        <v>2787</v>
      </c>
      <c r="C39" s="7" t="s">
        <v>2788</v>
      </c>
      <c r="D39" s="7" t="s">
        <v>2789</v>
      </c>
      <c r="E39" s="7" t="s">
        <v>2790</v>
      </c>
      <c r="F39" s="84" t="s">
        <v>2791</v>
      </c>
      <c r="G39" s="84" t="s">
        <v>2686</v>
      </c>
      <c r="H39" s="84" t="s">
        <v>2581</v>
      </c>
      <c r="I39" s="84" t="s">
        <v>2583</v>
      </c>
      <c r="J39" s="7" t="s">
        <v>2792</v>
      </c>
      <c r="K39" s="7">
        <v>0.0</v>
      </c>
      <c r="L39" s="7">
        <v>31.0</v>
      </c>
      <c r="M39" s="7">
        <v>0.0</v>
      </c>
      <c r="N39" s="7">
        <v>0.0</v>
      </c>
      <c r="O39" s="7">
        <v>0.0</v>
      </c>
      <c r="P39" s="7">
        <v>31.0</v>
      </c>
      <c r="Q39" s="7">
        <v>0.0</v>
      </c>
      <c r="R39" s="7">
        <v>108.0</v>
      </c>
      <c r="S39" s="7">
        <v>0.0</v>
      </c>
      <c r="T39" s="7">
        <v>0.0</v>
      </c>
      <c r="U39" s="7">
        <v>0.0</v>
      </c>
      <c r="V39" s="7">
        <v>108.0</v>
      </c>
      <c r="W39" s="7">
        <f>VLOOKUP($D39,NatureChart,2,0)</f>
        <v>1.1</v>
      </c>
      <c r="X39" s="7">
        <f>VLOOKUP($D39,NatureChart,3,0)</f>
        <v>1</v>
      </c>
      <c r="Y39" s="7">
        <f>VLOOKUP($D39,NatureChart,4,0)</f>
        <v>1</v>
      </c>
      <c r="Z39" s="7">
        <f>VLOOKUP($D39,NatureChart,5,0)</f>
        <v>0.9</v>
      </c>
      <c r="AA39" s="84">
        <f>VLOOKUP($D39,NatureChart,6,0)</f>
        <v>1</v>
      </c>
      <c r="AB39" s="84">
        <f>IF($C39="Shedinja",1,(INT((2*VLOOKUP($C39,DexData,5,0)+INT(Q39/4)+K39)/2)+60))</f>
        <v>105</v>
      </c>
      <c r="AC39" s="84">
        <f>INT(INT((INT((2*VLOOKUP($C39,DexData,6,0)+INT(R39/4)+L39)/2)+5)*W39)*IF($E39="Choice Band",1.5,IF(OR($E39="Mawilite",$E39="Medichamite",$E39="Thick Club"),2,1)))</f>
        <v>119</v>
      </c>
      <c r="AD39" s="84">
        <f>INT(INT((INT((2*VLOOKUP($C39,DexData,7,0)+INT(S39/4)+M39)/2)+5)*X39)*IF($E39="Eviolite",1.5,1))</f>
        <v>65</v>
      </c>
      <c r="AE39" s="84">
        <f>INT(INT((INT((2*VLOOKUP($C39,DexData,9,0)+INT(T39/4)+N39)/2)+5)*Y39)*IF($E39="Choice Specs",1.5,1))</f>
        <v>45</v>
      </c>
      <c r="AF39" s="84">
        <f>INT(INT((INT((2*VLOOKUP($C39,DexData,10,0)+INT(U39/4)+O39)/2)+5)*Z39)*IF(OR($E39="Eviolite",$E39="Assault Vest"),1.5,1))</f>
        <v>31</v>
      </c>
      <c r="AG39" s="84">
        <f>INT(INT((INT((2*VLOOKUP($C39,DexData,11,0)+INT(V39/4)+P39)/2)+5)*AA39)*IF($E39="Choice Scarf",1.5,IF($E39="Iron Ball",0.5,1)))</f>
        <v>84</v>
      </c>
      <c r="AH39" s="84" t="str">
        <f>VLOOKUP(VLOOKUP($C39,DexData,3,0),Aliases!D$2:E$19,2,0)&amp;IFERROR("/"&amp;VLOOKUP(VLOOKUP($C39,DexData,4,0),Aliases!D$2:E$19,2,0),"")</f>
        <v>DRG</v>
      </c>
      <c r="AI39" s="7">
        <v>3.0</v>
      </c>
      <c r="AJ39" s="7">
        <f>IF(VLOOKUP(B39,'Set Odds'!A$2:AN$1067,40,0),1,IF(VLOOKUP(B39,'Set Odds'!A$2:AO$1067,41,0),2,0))</f>
        <v>0</v>
      </c>
      <c r="AK39" s="7"/>
      <c r="AL39" s="7" t="str">
        <f t="shared" si="1"/>
        <v/>
      </c>
    </row>
    <row r="40" ht="12.75" customHeight="1">
      <c r="A40" s="86">
        <v>39.0</v>
      </c>
      <c r="B40" s="84" t="s">
        <v>2793</v>
      </c>
      <c r="C40" s="7" t="s">
        <v>2794</v>
      </c>
      <c r="D40" s="7" t="s">
        <v>2795</v>
      </c>
      <c r="E40" s="7" t="s">
        <v>2636</v>
      </c>
      <c r="F40" s="84" t="s">
        <v>2796</v>
      </c>
      <c r="G40" s="84" t="s">
        <v>2797</v>
      </c>
      <c r="H40" s="84" t="s">
        <v>2536</v>
      </c>
      <c r="I40" s="84" t="s">
        <v>2798</v>
      </c>
      <c r="J40" s="7" t="s">
        <v>2714</v>
      </c>
      <c r="K40" s="7">
        <v>0.0</v>
      </c>
      <c r="L40" s="7">
        <v>31.0</v>
      </c>
      <c r="M40" s="7">
        <v>0.0</v>
      </c>
      <c r="N40" s="7">
        <v>31.0</v>
      </c>
      <c r="O40" s="7">
        <v>0.0</v>
      </c>
      <c r="P40" s="7">
        <v>0.0</v>
      </c>
      <c r="Q40" s="7">
        <v>0.0</v>
      </c>
      <c r="R40" s="7">
        <v>108.0</v>
      </c>
      <c r="S40" s="7">
        <v>0.0</v>
      </c>
      <c r="T40" s="7">
        <v>108.0</v>
      </c>
      <c r="U40" s="7">
        <v>0.0</v>
      </c>
      <c r="V40" s="7">
        <v>0.0</v>
      </c>
      <c r="W40" s="7">
        <f>VLOOKUP($D40,NatureChart,2,0)</f>
        <v>1</v>
      </c>
      <c r="X40" s="7">
        <f>VLOOKUP($D40,NatureChart,3,0)</f>
        <v>1</v>
      </c>
      <c r="Y40" s="7">
        <f>VLOOKUP($D40,NatureChart,4,0)</f>
        <v>1</v>
      </c>
      <c r="Z40" s="7">
        <f>VLOOKUP($D40,NatureChart,5,0)</f>
        <v>1</v>
      </c>
      <c r="AA40" s="84">
        <f>VLOOKUP($D40,NatureChart,6,0)</f>
        <v>1</v>
      </c>
      <c r="AB40" s="84">
        <f>IF($C40="Shedinja",1,(INT((2*VLOOKUP($C40,DexData,5,0)+INT(Q40/4)+K40)/2)+60))</f>
        <v>117</v>
      </c>
      <c r="AC40" s="84">
        <f>INT(INT((INT((2*VLOOKUP($C40,DexData,6,0)+INT(R40/4)+L40)/2)+5)*W40)*IF($E40="Choice Band",1.5,IF(OR($E40="Mawilite",$E40="Medichamite",$E40="Thick Club"),2,1)))</f>
        <v>58</v>
      </c>
      <c r="AD40" s="84">
        <f>INT(INT((INT((2*VLOOKUP($C40,DexData,7,0)+INT(S40/4)+M40)/2)+5)*X40)*IF($E40="Eviolite",1.5,1))</f>
        <v>91</v>
      </c>
      <c r="AE40" s="84">
        <f>INT(INT((INT((2*VLOOKUP($C40,DexData,9,0)+INT(T40/4)+N40)/2)+5)*Y40)*IF($E40="Choice Specs",1.5,1))</f>
        <v>58</v>
      </c>
      <c r="AF40" s="84">
        <f>INT(INT((INT((2*VLOOKUP($C40,DexData,10,0)+INT(U40/4)+O40)/2)+5)*Z40)*IF(OR($E40="Eviolite",$E40="Assault Vest"),1.5,1))</f>
        <v>91</v>
      </c>
      <c r="AG40" s="84">
        <f>INT(INT((INT((2*VLOOKUP($C40,DexData,11,0)+INT(V40/4)+P40)/2)+5)*AA40)*IF($E40="Choice Scarf",1.5,IF($E40="Iron Ball",0.5,1)))</f>
        <v>28</v>
      </c>
      <c r="AH40" s="84" t="str">
        <f>VLOOKUP(VLOOKUP($C40,DexData,3,0),Aliases!D$2:E$19,2,0)&amp;IFERROR("/"&amp;VLOOKUP(VLOOKUP($C40,DexData,4,0),Aliases!D$2:E$19,2,0),"")</f>
        <v>STL/PSY</v>
      </c>
      <c r="AI40" s="7">
        <v>3.0</v>
      </c>
      <c r="AJ40" s="7">
        <f>IF(VLOOKUP(B40,'Set Odds'!A$2:AN$1067,40,0),1,IF(VLOOKUP(B40,'Set Odds'!A$2:AO$1067,41,0),2,0))</f>
        <v>0</v>
      </c>
      <c r="AK40" s="7"/>
      <c r="AL40" s="7" t="str">
        <f t="shared" si="1"/>
        <v/>
      </c>
    </row>
    <row r="41" ht="12.75" customHeight="1">
      <c r="A41" s="86">
        <v>40.0</v>
      </c>
      <c r="B41" s="84" t="s">
        <v>2799</v>
      </c>
      <c r="C41" s="7" t="s">
        <v>2800</v>
      </c>
      <c r="D41" s="7" t="s">
        <v>2629</v>
      </c>
      <c r="E41" s="7" t="s">
        <v>2750</v>
      </c>
      <c r="F41" s="84" t="s">
        <v>2801</v>
      </c>
      <c r="G41" s="84" t="s">
        <v>2626</v>
      </c>
      <c r="H41" s="84" t="s">
        <v>2802</v>
      </c>
      <c r="I41" s="84" t="s">
        <v>2620</v>
      </c>
      <c r="J41" s="7" t="s">
        <v>2803</v>
      </c>
      <c r="K41" s="7">
        <v>31.0</v>
      </c>
      <c r="L41" s="7">
        <v>31.0</v>
      </c>
      <c r="M41" s="7">
        <v>0.0</v>
      </c>
      <c r="N41" s="7">
        <v>0.0</v>
      </c>
      <c r="O41" s="7">
        <v>0.0</v>
      </c>
      <c r="P41" s="7">
        <v>0.0</v>
      </c>
      <c r="Q41" s="7">
        <v>108.0</v>
      </c>
      <c r="R41" s="7">
        <v>108.0</v>
      </c>
      <c r="S41" s="7">
        <v>0.0</v>
      </c>
      <c r="T41" s="7">
        <v>0.0</v>
      </c>
      <c r="U41" s="7">
        <v>0.0</v>
      </c>
      <c r="V41" s="7">
        <v>0.0</v>
      </c>
      <c r="W41" s="7">
        <f>VLOOKUP($D41,NatureChart,2,0)</f>
        <v>1.1</v>
      </c>
      <c r="X41" s="7">
        <f>VLOOKUP($D41,NatureChart,3,0)</f>
        <v>1</v>
      </c>
      <c r="Y41" s="7">
        <f>VLOOKUP($D41,NatureChart,4,0)</f>
        <v>1</v>
      </c>
      <c r="Z41" s="7">
        <f>VLOOKUP($D41,NatureChart,5,0)</f>
        <v>1</v>
      </c>
      <c r="AA41" s="84">
        <f>VLOOKUP($D41,NatureChart,6,0)</f>
        <v>0.9</v>
      </c>
      <c r="AB41" s="84">
        <f>IF($C41="Shedinja",1,(INT((2*VLOOKUP($C41,DexData,5,0)+INT(Q41/4)+K41)/2)+60))</f>
        <v>147</v>
      </c>
      <c r="AC41" s="84">
        <f>INT(INT((INT((2*VLOOKUP($C41,DexData,6,0)+INT(R41/4)+L41)/2)+5)*W41)*IF($E41="Choice Band",1.5,IF(OR($E41="Mawilite",$E41="Medichamite",$E41="Thick Club"),2,1)))</f>
        <v>114</v>
      </c>
      <c r="AD41" s="84">
        <f>INT(INT((INT((2*VLOOKUP($C41,DexData,7,0)+INT(S41/4)+M41)/2)+5)*X41)*IF($E41="Eviolite",1.5,1))</f>
        <v>50</v>
      </c>
      <c r="AE41" s="84">
        <f>INT(INT((INT((2*VLOOKUP($C41,DexData,9,0)+INT(T41/4)+N41)/2)+5)*Y41)*IF($E41="Choice Specs",1.5,1))</f>
        <v>45</v>
      </c>
      <c r="AF41" s="84">
        <f>INT(INT((INT((2*VLOOKUP($C41,DexData,10,0)+INT(U41/4)+O41)/2)+5)*Z41)*IF(OR($E41="Eviolite",$E41="Assault Vest"),1.5,1))</f>
        <v>50</v>
      </c>
      <c r="AG41" s="84">
        <f>INT(INT((INT((2*VLOOKUP($C41,DexData,11,0)+INT(V41/4)+P41)/2)+5)*AA41)*IF($E41="Choice Scarf",1.5,IF($E41="Iron Ball",0.5,1)))</f>
        <v>42</v>
      </c>
      <c r="AH41" s="84" t="str">
        <f>VLOOKUP(VLOOKUP($C41,DexData,3,0),Aliases!D$2:E$19,2,0)&amp;IFERROR("/"&amp;VLOOKUP(VLOOKUP($C41,DexData,4,0),Aliases!D$2:E$19,2,0),"")</f>
        <v>DRG/GRD</v>
      </c>
      <c r="AI41" s="7">
        <v>3.0</v>
      </c>
      <c r="AJ41" s="7">
        <f>IF(VLOOKUP(B41,'Set Odds'!A$2:AN$1067,40,0),1,IF(VLOOKUP(B41,'Set Odds'!A$2:AO$1067,41,0),2,0))</f>
        <v>0</v>
      </c>
      <c r="AK41" s="7"/>
      <c r="AL41" s="7" t="str">
        <f t="shared" si="1"/>
        <v/>
      </c>
    </row>
    <row r="42" ht="12.75" customHeight="1">
      <c r="A42" s="86">
        <v>41.0</v>
      </c>
      <c r="B42" s="84" t="s">
        <v>2804</v>
      </c>
      <c r="C42" s="7" t="s">
        <v>2805</v>
      </c>
      <c r="D42" s="7" t="s">
        <v>2571</v>
      </c>
      <c r="E42" s="7" t="s">
        <v>2806</v>
      </c>
      <c r="F42" s="84" t="s">
        <v>2807</v>
      </c>
      <c r="G42" s="84" t="s">
        <v>2782</v>
      </c>
      <c r="H42" s="84" t="s">
        <v>2537</v>
      </c>
      <c r="I42" s="84" t="s">
        <v>2534</v>
      </c>
      <c r="J42" s="7" t="s">
        <v>2808</v>
      </c>
      <c r="K42" s="7">
        <v>31.0</v>
      </c>
      <c r="L42" s="7">
        <v>31.0</v>
      </c>
      <c r="M42" s="7">
        <v>0.0</v>
      </c>
      <c r="N42" s="7">
        <v>0.0</v>
      </c>
      <c r="O42" s="7">
        <v>0.0</v>
      </c>
      <c r="P42" s="7">
        <v>0.0</v>
      </c>
      <c r="Q42" s="7">
        <v>108.0</v>
      </c>
      <c r="R42" s="7">
        <v>108.0</v>
      </c>
      <c r="S42" s="7">
        <v>0.0</v>
      </c>
      <c r="T42" s="7">
        <v>0.0</v>
      </c>
      <c r="U42" s="7">
        <v>0.0</v>
      </c>
      <c r="V42" s="7">
        <v>0.0</v>
      </c>
      <c r="W42" s="7">
        <f>VLOOKUP($D42,NatureChart,2,0)</f>
        <v>1.1</v>
      </c>
      <c r="X42" s="7">
        <f>VLOOKUP($D42,NatureChart,3,0)</f>
        <v>1</v>
      </c>
      <c r="Y42" s="7">
        <f>VLOOKUP($D42,NatureChart,4,0)</f>
        <v>0.9</v>
      </c>
      <c r="Z42" s="7">
        <f>VLOOKUP($D42,NatureChart,5,0)</f>
        <v>1</v>
      </c>
      <c r="AA42" s="84">
        <f>VLOOKUP($D42,NatureChart,6,0)</f>
        <v>1</v>
      </c>
      <c r="AB42" s="84">
        <f>IF($C42="Shedinja",1,(INT((2*VLOOKUP($C42,DexData,5,0)+INT(Q42/4)+K42)/2)+60))</f>
        <v>137</v>
      </c>
      <c r="AC42" s="84">
        <f>INT(INT((INT((2*VLOOKUP($C42,DexData,6,0)+INT(R42/4)+L42)/2)+5)*W42)*IF($E42="Choice Band",1.5,IF(OR($E42="Mawilite",$E42="Medichamite",$E42="Thick Club"),2,1)))</f>
        <v>104</v>
      </c>
      <c r="AD42" s="84">
        <f>INT(INT((INT((2*VLOOKUP($C42,DexData,7,0)+INT(S42/4)+M42)/2)+5)*X42)*IF($E42="Eviolite",1.5,1))</f>
        <v>45</v>
      </c>
      <c r="AE42" s="84">
        <f>INT(INT((INT((2*VLOOKUP($C42,DexData,9,0)+INT(T42/4)+N42)/2)+5)*Y42)*IF($E42="Choice Specs",1.5,1))</f>
        <v>59</v>
      </c>
      <c r="AF42" s="84">
        <f>INT(INT((INT((2*VLOOKUP($C42,DexData,10,0)+INT(U42/4)+O42)/2)+5)*Z42)*IF(OR($E42="Eviolite",$E42="Assault Vest"),1.5,1))</f>
        <v>45</v>
      </c>
      <c r="AG42" s="84">
        <f>INT(INT((INT((2*VLOOKUP($C42,DexData,11,0)+INT(V42/4)+P42)/2)+5)*AA42)*IF($E42="Choice Scarf",1.5,IF($E42="Iron Ball",0.5,1)))</f>
        <v>55</v>
      </c>
      <c r="AH42" s="84" t="str">
        <f>VLOOKUP(VLOOKUP($C42,DexData,3,0),Aliases!D$2:E$19,2,0)&amp;IFERROR("/"&amp;VLOOKUP(VLOOKUP($C42,DexData,4,0),Aliases!D$2:E$19,2,0),"")</f>
        <v>PSN/FTG</v>
      </c>
      <c r="AI42" s="7">
        <v>3.0</v>
      </c>
      <c r="AJ42" s="7">
        <f>IF(VLOOKUP(B42,'Set Odds'!A$2:AN$1067,40,0),1,IF(VLOOKUP(B42,'Set Odds'!A$2:AO$1067,41,0),2,0))</f>
        <v>0</v>
      </c>
      <c r="AK42" s="7"/>
      <c r="AL42" s="7" t="str">
        <f t="shared" si="1"/>
        <v/>
      </c>
    </row>
    <row r="43" ht="12.75" customHeight="1">
      <c r="A43" s="86">
        <v>42.0</v>
      </c>
      <c r="B43" s="84" t="s">
        <v>2809</v>
      </c>
      <c r="C43" s="7" t="s">
        <v>2810</v>
      </c>
      <c r="D43" s="7" t="s">
        <v>2811</v>
      </c>
      <c r="E43" s="7" t="s">
        <v>2636</v>
      </c>
      <c r="F43" s="84" t="s">
        <v>2772</v>
      </c>
      <c r="G43" s="84" t="s">
        <v>2812</v>
      </c>
      <c r="H43" s="84" t="s">
        <v>2705</v>
      </c>
      <c r="I43" s="84" t="s">
        <v>2813</v>
      </c>
      <c r="J43" s="7" t="s">
        <v>2814</v>
      </c>
      <c r="K43" s="7">
        <v>31.0</v>
      </c>
      <c r="L43" s="7">
        <v>0.0</v>
      </c>
      <c r="M43" s="7">
        <v>31.0</v>
      </c>
      <c r="N43" s="7">
        <v>0.0</v>
      </c>
      <c r="O43" s="7">
        <v>0.0</v>
      </c>
      <c r="P43" s="7">
        <v>0.0</v>
      </c>
      <c r="Q43" s="7">
        <v>108.0</v>
      </c>
      <c r="R43" s="7">
        <v>0.0</v>
      </c>
      <c r="S43" s="7">
        <v>108.0</v>
      </c>
      <c r="T43" s="7">
        <v>0.0</v>
      </c>
      <c r="U43" s="7">
        <v>0.0</v>
      </c>
      <c r="V43" s="7">
        <v>0.0</v>
      </c>
      <c r="W43" s="7">
        <f>VLOOKUP($D43,NatureChart,2,0)</f>
        <v>1</v>
      </c>
      <c r="X43" s="7">
        <f>VLOOKUP($D43,NatureChart,3,0)</f>
        <v>1.1</v>
      </c>
      <c r="Y43" s="7">
        <f>VLOOKUP($D43,NatureChart,4,0)</f>
        <v>1</v>
      </c>
      <c r="Z43" s="7">
        <f>VLOOKUP($D43,NatureChart,5,0)</f>
        <v>1</v>
      </c>
      <c r="AA43" s="84">
        <f>VLOOKUP($D43,NatureChart,6,0)</f>
        <v>0.9</v>
      </c>
      <c r="AB43" s="84">
        <f>IF($C43="Shedinja",1,(INT((2*VLOOKUP($C43,DexData,5,0)+INT(Q43/4)+K43)/2)+60))</f>
        <v>149</v>
      </c>
      <c r="AC43" s="84">
        <f>INT(INT((INT((2*VLOOKUP($C43,DexData,6,0)+INT(R43/4)+L43)/2)+5)*W43)*IF($E43="Choice Band",1.5,IF(OR($E43="Mawilite",$E43="Medichamite",$E43="Thick Club"),2,1)))</f>
        <v>60</v>
      </c>
      <c r="AD43" s="84">
        <f>INT(INT((INT((2*VLOOKUP($C43,DexData,7,0)+INT(S43/4)+M43)/2)+5)*X43)*IF($E43="Eviolite",1.5,1))</f>
        <v>92</v>
      </c>
      <c r="AE43" s="84">
        <f>INT(INT((INT((2*VLOOKUP($C43,DexData,9,0)+INT(T43/4)+N43)/2)+5)*Y43)*IF($E43="Choice Specs",1.5,1))</f>
        <v>45</v>
      </c>
      <c r="AF43" s="84">
        <f>INT(INT((INT((2*VLOOKUP($C43,DexData,10,0)+INT(U43/4)+O43)/2)+5)*Z43)*IF(OR($E43="Eviolite",$E43="Assault Vest"),1.5,1))</f>
        <v>60</v>
      </c>
      <c r="AG43" s="84">
        <f>INT(INT((INT((2*VLOOKUP($C43,DexData,11,0)+INT(V43/4)+P43)/2)+5)*AA43)*IF($E43="Choice Scarf",1.5,IF($E43="Iron Ball",0.5,1)))</f>
        <v>45</v>
      </c>
      <c r="AH43" s="84" t="str">
        <f>VLOOKUP(VLOOKUP($C43,DexData,3,0),Aliases!D$2:E$19,2,0)&amp;IFERROR("/"&amp;VLOOKUP(VLOOKUP($C43,DexData,4,0),Aliases!D$2:E$19,2,0),"")</f>
        <v>BUG/PSN</v>
      </c>
      <c r="AI43" s="7">
        <v>3.0</v>
      </c>
      <c r="AJ43" s="7">
        <f>IF(VLOOKUP(B43,'Set Odds'!A$2:AN$1067,40,0),1,IF(VLOOKUP(B43,'Set Odds'!A$2:AO$1067,41,0),2,0))</f>
        <v>0</v>
      </c>
      <c r="AK43" s="7"/>
      <c r="AL43" s="7" t="str">
        <f t="shared" si="1"/>
        <v/>
      </c>
    </row>
    <row r="44" ht="12.75" customHeight="1">
      <c r="A44" s="86">
        <v>43.0</v>
      </c>
      <c r="B44" s="84" t="s">
        <v>2815</v>
      </c>
      <c r="C44" s="7" t="s">
        <v>2816</v>
      </c>
      <c r="D44" s="7" t="s">
        <v>2571</v>
      </c>
      <c r="E44" s="7" t="s">
        <v>2579</v>
      </c>
      <c r="F44" s="84" t="s">
        <v>2817</v>
      </c>
      <c r="G44" s="84" t="s">
        <v>2818</v>
      </c>
      <c r="H44" s="84" t="s">
        <v>2751</v>
      </c>
      <c r="I44" s="84" t="s">
        <v>2583</v>
      </c>
      <c r="J44" s="7" t="s">
        <v>2819</v>
      </c>
      <c r="K44" s="7">
        <v>31.0</v>
      </c>
      <c r="L44" s="7">
        <v>31.0</v>
      </c>
      <c r="M44" s="7">
        <v>0.0</v>
      </c>
      <c r="N44" s="7">
        <v>0.0</v>
      </c>
      <c r="O44" s="7">
        <v>0.0</v>
      </c>
      <c r="P44" s="7">
        <v>0.0</v>
      </c>
      <c r="Q44" s="7">
        <v>108.0</v>
      </c>
      <c r="R44" s="7">
        <v>108.0</v>
      </c>
      <c r="S44" s="7">
        <v>0.0</v>
      </c>
      <c r="T44" s="7">
        <v>0.0</v>
      </c>
      <c r="U44" s="7">
        <v>0.0</v>
      </c>
      <c r="V44" s="7">
        <v>0.0</v>
      </c>
      <c r="W44" s="7">
        <f>VLOOKUP($D44,NatureChart,2,0)</f>
        <v>1.1</v>
      </c>
      <c r="X44" s="7">
        <f>VLOOKUP($D44,NatureChart,3,0)</f>
        <v>1</v>
      </c>
      <c r="Y44" s="7">
        <f>VLOOKUP($D44,NatureChart,4,0)</f>
        <v>0.9</v>
      </c>
      <c r="Z44" s="7">
        <f>VLOOKUP($D44,NatureChart,5,0)</f>
        <v>1</v>
      </c>
      <c r="AA44" s="84">
        <f>VLOOKUP($D44,NatureChart,6,0)</f>
        <v>1</v>
      </c>
      <c r="AB44" s="84">
        <f>IF($C44="Shedinja",1,(INT((2*VLOOKUP($C44,DexData,5,0)+INT(Q44/4)+K44)/2)+60))</f>
        <v>159</v>
      </c>
      <c r="AC44" s="84">
        <f>INT(INT((INT((2*VLOOKUP($C44,DexData,6,0)+INT(R44/4)+L44)/2)+5)*W44)*IF($E44="Choice Band",1.5,IF(OR($E44="Mawilite",$E44="Medichamite",$E44="Thick Club"),2,1)))</f>
        <v>125</v>
      </c>
      <c r="AD44" s="84">
        <f>INT(INT((INT((2*VLOOKUP($C44,DexData,7,0)+INT(S44/4)+M44)/2)+5)*X44)*IF($E44="Eviolite",1.5,1))</f>
        <v>55</v>
      </c>
      <c r="AE44" s="84">
        <f>INT(INT((INT((2*VLOOKUP($C44,DexData,9,0)+INT(T44/4)+N44)/2)+5)*Y44)*IF($E44="Choice Specs",1.5,1))</f>
        <v>36</v>
      </c>
      <c r="AF44" s="84">
        <f>INT(INT((INT((2*VLOOKUP($C44,DexData,10,0)+INT(U44/4)+O44)/2)+5)*Z44)*IF(OR($E44="Eviolite",$E44="Assault Vest"),1.5,1))</f>
        <v>40</v>
      </c>
      <c r="AG44" s="84">
        <f>INT(INT((INT((2*VLOOKUP($C44,DexData,11,0)+INT(V44/4)+P44)/2)+5)*AA44)*IF($E44="Choice Scarf",1.5,IF($E44="Iron Ball",0.5,1)))</f>
        <v>40</v>
      </c>
      <c r="AH44" s="84" t="str">
        <f>VLOOKUP(VLOOKUP($C44,DexData,3,0),Aliases!D$2:E$19,2,0)&amp;IFERROR("/"&amp;VLOOKUP(VLOOKUP($C44,DexData,4,0),Aliases!D$2:E$19,2,0),"")</f>
        <v>FTG</v>
      </c>
      <c r="AI44" s="7">
        <v>3.0</v>
      </c>
      <c r="AJ44" s="7">
        <f>IF(VLOOKUP(B44,'Set Odds'!A$2:AN$1067,40,0),1,IF(VLOOKUP(B44,'Set Odds'!A$2:AO$1067,41,0),2,0))</f>
        <v>0</v>
      </c>
      <c r="AK44" s="7"/>
      <c r="AL44" s="7" t="str">
        <f t="shared" si="1"/>
        <v/>
      </c>
    </row>
    <row r="45" ht="12.75" customHeight="1">
      <c r="A45" s="86">
        <v>44.0</v>
      </c>
      <c r="B45" s="84" t="s">
        <v>2820</v>
      </c>
      <c r="C45" s="7" t="s">
        <v>2821</v>
      </c>
      <c r="D45" s="7" t="s">
        <v>2656</v>
      </c>
      <c r="E45" s="7" t="s">
        <v>2524</v>
      </c>
      <c r="F45" s="84" t="s">
        <v>2658</v>
      </c>
      <c r="G45" s="84" t="s">
        <v>2822</v>
      </c>
      <c r="H45" s="84" t="s">
        <v>2796</v>
      </c>
      <c r="I45" s="84" t="s">
        <v>2823</v>
      </c>
      <c r="J45" s="7" t="s">
        <v>2824</v>
      </c>
      <c r="K45" s="7">
        <v>31.0</v>
      </c>
      <c r="L45" s="7">
        <v>0.0</v>
      </c>
      <c r="M45" s="7">
        <v>0.0</v>
      </c>
      <c r="N45" s="7">
        <v>31.0</v>
      </c>
      <c r="O45" s="7">
        <v>0.0</v>
      </c>
      <c r="P45" s="7">
        <v>0.0</v>
      </c>
      <c r="Q45" s="7">
        <v>108.0</v>
      </c>
      <c r="R45" s="7">
        <v>0.0</v>
      </c>
      <c r="S45" s="7">
        <v>0.0</v>
      </c>
      <c r="T45" s="7">
        <v>108.0</v>
      </c>
      <c r="U45" s="7">
        <v>0.0</v>
      </c>
      <c r="V45" s="7">
        <v>0.0</v>
      </c>
      <c r="W45" s="7">
        <f>VLOOKUP($D45,NatureChart,2,0)</f>
        <v>0.9</v>
      </c>
      <c r="X45" s="7">
        <f>VLOOKUP($D45,NatureChart,3,0)</f>
        <v>1</v>
      </c>
      <c r="Y45" s="7">
        <f>VLOOKUP($D45,NatureChart,4,0)</f>
        <v>1.1</v>
      </c>
      <c r="Z45" s="7">
        <f>VLOOKUP($D45,NatureChart,5,0)</f>
        <v>1</v>
      </c>
      <c r="AA45" s="84">
        <f>VLOOKUP($D45,NatureChart,6,0)</f>
        <v>1</v>
      </c>
      <c r="AB45" s="84">
        <f>IF($C45="Shedinja",1,(INT((2*VLOOKUP($C45,DexData,5,0)+INT(Q45/4)+K45)/2)+60))</f>
        <v>134</v>
      </c>
      <c r="AC45" s="84">
        <f>INT(INT((INT((2*VLOOKUP($C45,DexData,6,0)+INT(R45/4)+L45)/2)+5)*W45)*IF($E45="Choice Band",1.5,IF(OR($E45="Mawilite",$E45="Medichamite",$E45="Thick Club"),2,1)))</f>
        <v>31</v>
      </c>
      <c r="AD45" s="84">
        <f>INT(INT((INT((2*VLOOKUP($C45,DexData,7,0)+INT(S45/4)+M45)/2)+5)*X45)*IF($E45="Eviolite",1.5,1))</f>
        <v>20</v>
      </c>
      <c r="AE45" s="84">
        <f>INT(INT((INT((2*VLOOKUP($C45,DexData,9,0)+INT(T45/4)+N45)/2)+5)*Y45)*IF($E45="Choice Specs",1.5,1))</f>
        <v>130</v>
      </c>
      <c r="AF45" s="84">
        <f>INT(INT((INT((2*VLOOKUP($C45,DexData,10,0)+INT(U45/4)+O45)/2)+5)*Z45)*IF(OR($E45="Eviolite",$E45="Assault Vest"),1.5,1))</f>
        <v>70</v>
      </c>
      <c r="AG45" s="84">
        <f>INT(INT((INT((2*VLOOKUP($C45,DexData,11,0)+INT(V45/4)+P45)/2)+5)*AA45)*IF($E45="Choice Scarf",1.5,IF($E45="Iron Ball",0.5,1)))</f>
        <v>70</v>
      </c>
      <c r="AH45" s="84" t="str">
        <f>VLOOKUP(VLOOKUP($C45,DexData,3,0),Aliases!D$2:E$19,2,0)&amp;IFERROR("/"&amp;VLOOKUP(VLOOKUP($C45,DexData,4,0),Aliases!D$2:E$19,2,0),"")</f>
        <v>ICE/PSY</v>
      </c>
      <c r="AI45" s="7">
        <v>3.0</v>
      </c>
      <c r="AJ45" s="7">
        <f>IF(VLOOKUP(B45,'Set Odds'!A$2:AN$1067,40,0),1,IF(VLOOKUP(B45,'Set Odds'!A$2:AO$1067,41,0),2,0))</f>
        <v>0</v>
      </c>
      <c r="AK45" s="7"/>
      <c r="AL45" s="7" t="str">
        <f t="shared" si="1"/>
        <v/>
      </c>
    </row>
    <row r="46" ht="12.75" customHeight="1">
      <c r="A46" s="86">
        <v>45.0</v>
      </c>
      <c r="B46" s="84" t="s">
        <v>2825</v>
      </c>
      <c r="C46" s="7" t="s">
        <v>2826</v>
      </c>
      <c r="D46" s="7" t="s">
        <v>2827</v>
      </c>
      <c r="E46" s="7" t="s">
        <v>2828</v>
      </c>
      <c r="F46" s="84" t="s">
        <v>2588</v>
      </c>
      <c r="G46" s="84" t="s">
        <v>2608</v>
      </c>
      <c r="H46" s="84" t="s">
        <v>2583</v>
      </c>
      <c r="I46" s="84" t="s">
        <v>2534</v>
      </c>
      <c r="J46" s="7" t="s">
        <v>2803</v>
      </c>
      <c r="K46" s="7">
        <v>31.0</v>
      </c>
      <c r="L46" s="7">
        <v>0.0</v>
      </c>
      <c r="M46" s="7">
        <v>0.0</v>
      </c>
      <c r="N46" s="7">
        <v>31.0</v>
      </c>
      <c r="O46" s="7">
        <v>0.0</v>
      </c>
      <c r="P46" s="7">
        <v>0.0</v>
      </c>
      <c r="Q46" s="7">
        <v>108.0</v>
      </c>
      <c r="R46" s="7">
        <v>0.0</v>
      </c>
      <c r="S46" s="7">
        <v>0.0</v>
      </c>
      <c r="T46" s="7">
        <v>108.0</v>
      </c>
      <c r="U46" s="7">
        <v>0.0</v>
      </c>
      <c r="V46" s="7">
        <v>0.0</v>
      </c>
      <c r="W46" s="7">
        <f>VLOOKUP($D46,NatureChart,2,0)</f>
        <v>1</v>
      </c>
      <c r="X46" s="7">
        <f>VLOOKUP($D46,NatureChart,3,0)</f>
        <v>1</v>
      </c>
      <c r="Y46" s="7">
        <f>VLOOKUP($D46,NatureChart,4,0)</f>
        <v>1.1</v>
      </c>
      <c r="Z46" s="7">
        <f>VLOOKUP($D46,NatureChart,5,0)</f>
        <v>1</v>
      </c>
      <c r="AA46" s="84">
        <f>VLOOKUP($D46,NatureChart,6,0)</f>
        <v>0.9</v>
      </c>
      <c r="AB46" s="84">
        <f>IF($C46="Shedinja",1,(INT((2*VLOOKUP($C46,DexData,5,0)+INT(Q46/4)+K46)/2)+60))</f>
        <v>134</v>
      </c>
      <c r="AC46" s="84">
        <f>INT(INT((INT((2*VLOOKUP($C46,DexData,6,0)+INT(R46/4)+L46)/2)+5)*W46)*IF($E46="Choice Band",1.5,IF(OR($E46="Mawilite",$E46="Medichamite",$E46="Thick Club"),2,1)))</f>
        <v>95</v>
      </c>
      <c r="AD46" s="84">
        <f>INT(INT((INT((2*VLOOKUP($C46,DexData,7,0)+INT(S46/4)+M46)/2)+5)*X46)*IF($E46="Eviolite",1.5,1))</f>
        <v>25</v>
      </c>
      <c r="AE46" s="84">
        <f>INT(INT((INT((2*VLOOKUP($C46,DexData,9,0)+INT(T46/4)+N46)/2)+5)*Y46)*IF($E46="Choice Specs",1.5,1))</f>
        <v>108</v>
      </c>
      <c r="AF46" s="84">
        <f>INT(INT((INT((2*VLOOKUP($C46,DexData,10,0)+INT(U46/4)+O46)/2)+5)*Z46)*IF(OR($E46="Eviolite",$E46="Assault Vest"),1.5,1))</f>
        <v>25</v>
      </c>
      <c r="AG46" s="84">
        <f>INT(INT((INT((2*VLOOKUP($C46,DexData,11,0)+INT(V46/4)+P46)/2)+5)*AA46)*IF($E46="Choice Scarf",1.5,IF($E46="Iron Ball",0.5,1)))</f>
        <v>63</v>
      </c>
      <c r="AH46" s="84" t="str">
        <f>VLOOKUP(VLOOKUP($C46,DexData,3,0),Aliases!D$2:E$19,2,0)&amp;IFERROR("/"&amp;VLOOKUP(VLOOKUP($C46,DexData,4,0),Aliases!D$2:E$19,2,0),"")</f>
        <v>WTR/DRK</v>
      </c>
      <c r="AI46" s="7">
        <v>3.0</v>
      </c>
      <c r="AJ46" s="7">
        <f>IF(VLOOKUP(B46,'Set Odds'!A$2:AN$1067,40,0),1,IF(VLOOKUP(B46,'Set Odds'!A$2:AO$1067,41,0),2,0))</f>
        <v>0</v>
      </c>
      <c r="AK46" s="7"/>
      <c r="AL46" s="7" t="str">
        <f t="shared" si="1"/>
        <v/>
      </c>
    </row>
    <row r="47" ht="12.75" customHeight="1">
      <c r="A47" s="86">
        <v>46.0</v>
      </c>
      <c r="B47" s="84" t="s">
        <v>2829</v>
      </c>
      <c r="C47" s="7" t="s">
        <v>2830</v>
      </c>
      <c r="D47" s="7" t="s">
        <v>2795</v>
      </c>
      <c r="E47" s="7" t="s">
        <v>2528</v>
      </c>
      <c r="F47" s="84" t="s">
        <v>2831</v>
      </c>
      <c r="G47" s="84" t="s">
        <v>2832</v>
      </c>
      <c r="H47" s="84" t="s">
        <v>2751</v>
      </c>
      <c r="I47" s="84" t="s">
        <v>2752</v>
      </c>
      <c r="J47" s="7" t="s">
        <v>2824</v>
      </c>
      <c r="K47" s="7">
        <v>0.0</v>
      </c>
      <c r="L47" s="7">
        <v>31.0</v>
      </c>
      <c r="M47" s="7">
        <v>0.0</v>
      </c>
      <c r="N47" s="7">
        <v>31.0</v>
      </c>
      <c r="O47" s="7">
        <v>0.0</v>
      </c>
      <c r="P47" s="7">
        <v>0.0</v>
      </c>
      <c r="Q47" s="7">
        <v>0.0</v>
      </c>
      <c r="R47" s="7">
        <v>108.0</v>
      </c>
      <c r="S47" s="7">
        <v>0.0</v>
      </c>
      <c r="T47" s="7">
        <v>108.0</v>
      </c>
      <c r="U47" s="7">
        <v>0.0</v>
      </c>
      <c r="V47" s="7">
        <v>0.0</v>
      </c>
      <c r="W47" s="7">
        <f>VLOOKUP($D47,NatureChart,2,0)</f>
        <v>1</v>
      </c>
      <c r="X47" s="7">
        <f>VLOOKUP($D47,NatureChart,3,0)</f>
        <v>1</v>
      </c>
      <c r="Y47" s="7">
        <f>VLOOKUP($D47,NatureChart,4,0)</f>
        <v>1</v>
      </c>
      <c r="Z47" s="7">
        <f>VLOOKUP($D47,NatureChart,5,0)</f>
        <v>1</v>
      </c>
      <c r="AA47" s="84">
        <f>VLOOKUP($D47,NatureChart,6,0)</f>
        <v>1</v>
      </c>
      <c r="AB47" s="84">
        <f>IF($C47="Shedinja",1,(INT((2*VLOOKUP($C47,DexData,5,0)+INT(Q47/4)+K47)/2)+60))</f>
        <v>120</v>
      </c>
      <c r="AC47" s="84">
        <f>INT(INT((INT((2*VLOOKUP($C47,DexData,6,0)+INT(R47/4)+L47)/2)+5)*W47)*IF($E47="Choice Band",1.5,IF(OR($E47="Mawilite",$E47="Medichamite",$E47="Thick Club"),2,1)))</f>
        <v>94</v>
      </c>
      <c r="AD47" s="84">
        <f>INT(INT((INT((2*VLOOKUP($C47,DexData,7,0)+INT(S47/4)+M47)/2)+5)*X47)*IF($E47="Eviolite",1.5,1))</f>
        <v>45</v>
      </c>
      <c r="AE47" s="84">
        <f>INT(INT((INT((2*VLOOKUP($C47,DexData,9,0)+INT(T47/4)+N47)/2)+5)*Y47)*IF($E47="Choice Specs",1.5,1))</f>
        <v>99</v>
      </c>
      <c r="AF47" s="84">
        <f>INT(INT((INT((2*VLOOKUP($C47,DexData,10,0)+INT(U47/4)+O47)/2)+5)*Z47)*IF(OR($E47="Eviolite",$E47="Assault Vest"),1.5,1))</f>
        <v>50</v>
      </c>
      <c r="AG47" s="84">
        <f>INT(INT((INT((2*VLOOKUP($C47,DexData,11,0)+INT(V47/4)+P47)/2)+5)*AA47)*IF($E47="Choice Scarf",1.5,IF($E47="Iron Ball",0.5,1)))</f>
        <v>40</v>
      </c>
      <c r="AH47" s="84" t="str">
        <f>VLOOKUP(VLOOKUP($C47,DexData,3,0),Aliases!D$2:E$19,2,0)&amp;IFERROR("/"&amp;VLOOKUP(VLOOKUP($C47,DexData,4,0),Aliases!D$2:E$19,2,0),"")</f>
        <v>FIR/GRD</v>
      </c>
      <c r="AI47" s="7">
        <v>3.0</v>
      </c>
      <c r="AJ47" s="7">
        <f>IF(VLOOKUP(B47,'Set Odds'!A$2:AN$1067,40,0),1,IF(VLOOKUP(B47,'Set Odds'!A$2:AO$1067,41,0),2,0))</f>
        <v>0</v>
      </c>
      <c r="AK47" s="7"/>
      <c r="AL47" s="7" t="str">
        <f t="shared" si="1"/>
        <v/>
      </c>
    </row>
    <row r="48" ht="12.75" customHeight="1">
      <c r="A48" s="86">
        <v>47.0</v>
      </c>
      <c r="B48" s="84" t="s">
        <v>2833</v>
      </c>
      <c r="C48" s="7" t="s">
        <v>2834</v>
      </c>
      <c r="D48" s="7" t="s">
        <v>2629</v>
      </c>
      <c r="E48" s="7" t="s">
        <v>2835</v>
      </c>
      <c r="F48" s="84" t="s">
        <v>2836</v>
      </c>
      <c r="G48" s="84" t="s">
        <v>2607</v>
      </c>
      <c r="H48" s="84" t="s">
        <v>2734</v>
      </c>
      <c r="I48" s="84" t="s">
        <v>2517</v>
      </c>
      <c r="J48" s="7" t="s">
        <v>2837</v>
      </c>
      <c r="K48" s="7">
        <v>31.0</v>
      </c>
      <c r="L48" s="7">
        <v>31.0</v>
      </c>
      <c r="M48" s="7">
        <v>0.0</v>
      </c>
      <c r="N48" s="7">
        <v>0.0</v>
      </c>
      <c r="O48" s="7">
        <v>0.0</v>
      </c>
      <c r="P48" s="7">
        <v>0.0</v>
      </c>
      <c r="Q48" s="7">
        <v>108.0</v>
      </c>
      <c r="R48" s="7">
        <v>108.0</v>
      </c>
      <c r="S48" s="7">
        <v>0.0</v>
      </c>
      <c r="T48" s="7">
        <v>0.0</v>
      </c>
      <c r="U48" s="7">
        <v>0.0</v>
      </c>
      <c r="V48" s="7">
        <v>0.0</v>
      </c>
      <c r="W48" s="7">
        <f>VLOOKUP($D48,NatureChart,2,0)</f>
        <v>1.1</v>
      </c>
      <c r="X48" s="7">
        <f>VLOOKUP($D48,NatureChart,3,0)</f>
        <v>1</v>
      </c>
      <c r="Y48" s="7">
        <f>VLOOKUP($D48,NatureChart,4,0)</f>
        <v>1</v>
      </c>
      <c r="Z48" s="7">
        <f>VLOOKUP($D48,NatureChart,5,0)</f>
        <v>1</v>
      </c>
      <c r="AA48" s="84">
        <f>VLOOKUP($D48,NatureChart,6,0)</f>
        <v>0.9</v>
      </c>
      <c r="AB48" s="84">
        <f>IF($C48="Shedinja",1,(INT((2*VLOOKUP($C48,DexData,5,0)+INT(Q48/4)+K48)/2)+60))</f>
        <v>132</v>
      </c>
      <c r="AC48" s="84">
        <f>INT(INT((INT((2*VLOOKUP($C48,DexData,6,0)+INT(R48/4)+L48)/2)+5)*W48)*IF($E48="Choice Band",1.5,IF(OR($E48="Mawilite",$E48="Medichamite",$E48="Thick Club"),2,1)))</f>
        <v>125</v>
      </c>
      <c r="AD48" s="84">
        <f>INT(INT((INT((2*VLOOKUP($C48,DexData,7,0)+INT(S48/4)+M48)/2)+5)*X48)*IF($E48="Eviolite",1.5,1))</f>
        <v>70</v>
      </c>
      <c r="AE48" s="84">
        <f>INT(INT((INT((2*VLOOKUP($C48,DexData,9,0)+INT(T48/4)+N48)/2)+5)*Y48)*IF($E48="Choice Specs",1.5,1))</f>
        <v>55</v>
      </c>
      <c r="AF48" s="84">
        <f>INT(INT((INT((2*VLOOKUP($C48,DexData,10,0)+INT(U48/4)+O48)/2)+5)*Z48)*IF(OR($E48="Eviolite",$E48="Assault Vest"),1.5,1))</f>
        <v>40</v>
      </c>
      <c r="AG48" s="84">
        <f>INT(INT((INT((2*VLOOKUP($C48,DexData,11,0)+INT(V48/4)+P48)/2)+5)*AA48)*IF($E48="Choice Scarf",1.5,IF($E48="Iron Ball",0.5,1)))</f>
        <v>36</v>
      </c>
      <c r="AH48" s="84" t="str">
        <f>VLOOKUP(VLOOKUP($C48,DexData,3,0),Aliases!D$2:E$19,2,0)&amp;IFERROR("/"&amp;VLOOKUP(VLOOKUP($C48,DexData,4,0),Aliases!D$2:E$19,2,0),"")</f>
        <v>WTR</v>
      </c>
      <c r="AI48" s="7">
        <v>3.0</v>
      </c>
      <c r="AJ48" s="7">
        <f>IF(VLOOKUP(B48,'Set Odds'!A$2:AN$1067,40,0),1,IF(VLOOKUP(B48,'Set Odds'!A$2:AO$1067,41,0),2,0))</f>
        <v>0</v>
      </c>
      <c r="AK48" s="7"/>
      <c r="AL48" s="7" t="str">
        <f t="shared" si="1"/>
        <v/>
      </c>
    </row>
    <row r="49" ht="12.75" customHeight="1">
      <c r="A49" s="86">
        <v>48.0</v>
      </c>
      <c r="B49" s="84" t="s">
        <v>2838</v>
      </c>
      <c r="C49" s="7" t="s">
        <v>2839</v>
      </c>
      <c r="D49" s="7" t="s">
        <v>2692</v>
      </c>
      <c r="E49" s="7" t="s">
        <v>2790</v>
      </c>
      <c r="F49" s="84" t="s">
        <v>2840</v>
      </c>
      <c r="G49" s="84" t="s">
        <v>2713</v>
      </c>
      <c r="H49" s="84" t="s">
        <v>2602</v>
      </c>
      <c r="I49" s="84" t="s">
        <v>2841</v>
      </c>
      <c r="J49" s="7" t="s">
        <v>2842</v>
      </c>
      <c r="K49" s="7">
        <v>0.0</v>
      </c>
      <c r="L49" s="7">
        <v>31.0</v>
      </c>
      <c r="M49" s="7">
        <v>0.0</v>
      </c>
      <c r="N49" s="7">
        <v>0.0</v>
      </c>
      <c r="O49" s="7">
        <v>0.0</v>
      </c>
      <c r="P49" s="7">
        <v>31.0</v>
      </c>
      <c r="Q49" s="7">
        <v>0.0</v>
      </c>
      <c r="R49" s="7">
        <v>108.0</v>
      </c>
      <c r="S49" s="7">
        <v>0.0</v>
      </c>
      <c r="T49" s="7">
        <v>0.0</v>
      </c>
      <c r="U49" s="7">
        <v>0.0</v>
      </c>
      <c r="V49" s="7">
        <v>108.0</v>
      </c>
      <c r="W49" s="7">
        <f>VLOOKUP($D49,NatureChart,2,0)</f>
        <v>1</v>
      </c>
      <c r="X49" s="7">
        <f>VLOOKUP($D49,NatureChart,3,0)</f>
        <v>1</v>
      </c>
      <c r="Y49" s="7">
        <f>VLOOKUP($D49,NatureChart,4,0)</f>
        <v>0.9</v>
      </c>
      <c r="Z49" s="7">
        <f>VLOOKUP($D49,NatureChart,5,0)</f>
        <v>1</v>
      </c>
      <c r="AA49" s="84">
        <f>VLOOKUP($D49,NatureChart,6,0)</f>
        <v>1.1</v>
      </c>
      <c r="AB49" s="84">
        <f>IF($C49="Shedinja",1,(INT((2*VLOOKUP($C49,DexData,5,0)+INT(Q49/4)+K49)/2)+60))</f>
        <v>95</v>
      </c>
      <c r="AC49" s="84">
        <f>INT(INT((INT((2*VLOOKUP($C49,DexData,6,0)+INT(R49/4)+L49)/2)+5)*W49)*IF($E49="Choice Band",1.5,IF(OR($E49="Mawilite",$E49="Medichamite",$E49="Thick Club"),2,1)))</f>
        <v>119</v>
      </c>
      <c r="AD49" s="84">
        <f>INT(INT((INT((2*VLOOKUP($C49,DexData,7,0)+INT(S49/4)+M49)/2)+5)*X49)*IF($E49="Eviolite",1.5,1))</f>
        <v>50</v>
      </c>
      <c r="AE49" s="84">
        <f>INT(INT((INT((2*VLOOKUP($C49,DexData,9,0)+INT(T49/4)+N49)/2)+5)*Y49)*IF($E49="Choice Specs",1.5,1))</f>
        <v>36</v>
      </c>
      <c r="AF49" s="84">
        <f>INT(INT((INT((2*VLOOKUP($C49,DexData,10,0)+INT(U49/4)+O49)/2)+5)*Z49)*IF(OR($E49="Eviolite",$E49="Assault Vest"),1.5,1))</f>
        <v>40</v>
      </c>
      <c r="AG49" s="84">
        <f>INT(INT((INT((2*VLOOKUP($C49,DexData,11,0)+INT(V49/4)+P49)/2)+5)*AA49)*IF($E49="Choice Scarf",1.5,IF($E49="Iron Ball",0.5,1)))</f>
        <v>119</v>
      </c>
      <c r="AH49" s="84" t="str">
        <f>VLOOKUP(VLOOKUP($C49,DexData,3,0),Aliases!D$2:E$19,2,0)&amp;IFERROR("/"&amp;VLOOKUP(VLOOKUP($C49,DexData,4,0),Aliases!D$2:E$19,2,0),"")</f>
        <v>NRM/FLY</v>
      </c>
      <c r="AI49" s="7">
        <v>3.0</v>
      </c>
      <c r="AJ49" s="7">
        <f>IF(VLOOKUP(B49,'Set Odds'!A$2:AN$1067,40,0),1,IF(VLOOKUP(B49,'Set Odds'!A$2:AO$1067,41,0),2,0))</f>
        <v>0</v>
      </c>
      <c r="AK49" s="7"/>
      <c r="AL49" s="7" t="str">
        <f t="shared" si="1"/>
        <v/>
      </c>
    </row>
    <row r="50" ht="12.75" customHeight="1">
      <c r="A50" s="86">
        <v>49.0</v>
      </c>
      <c r="B50" s="84" t="s">
        <v>2843</v>
      </c>
      <c r="C50" s="7" t="s">
        <v>2844</v>
      </c>
      <c r="D50" s="7" t="s">
        <v>2845</v>
      </c>
      <c r="E50" s="7" t="s">
        <v>2846</v>
      </c>
      <c r="F50" s="84" t="s">
        <v>2573</v>
      </c>
      <c r="G50" s="84" t="s">
        <v>2847</v>
      </c>
      <c r="H50" s="84" t="s">
        <v>2822</v>
      </c>
      <c r="I50" s="84" t="s">
        <v>2848</v>
      </c>
      <c r="J50" s="7" t="s">
        <v>2849</v>
      </c>
      <c r="K50" s="7">
        <v>0.0</v>
      </c>
      <c r="L50" s="7">
        <v>31.0</v>
      </c>
      <c r="M50" s="7">
        <v>0.0</v>
      </c>
      <c r="N50" s="7">
        <v>0.0</v>
      </c>
      <c r="O50" s="7">
        <v>0.0</v>
      </c>
      <c r="P50" s="7">
        <v>31.0</v>
      </c>
      <c r="Q50" s="7">
        <v>0.0</v>
      </c>
      <c r="R50" s="7">
        <v>108.0</v>
      </c>
      <c r="S50" s="7">
        <v>0.0</v>
      </c>
      <c r="T50" s="7">
        <v>0.0</v>
      </c>
      <c r="U50" s="7">
        <v>0.0</v>
      </c>
      <c r="V50" s="7">
        <v>108.0</v>
      </c>
      <c r="W50" s="7">
        <f>VLOOKUP($D50,NatureChart,2,0)</f>
        <v>1.1</v>
      </c>
      <c r="X50" s="7">
        <f>VLOOKUP($D50,NatureChart,3,0)</f>
        <v>0.9</v>
      </c>
      <c r="Y50" s="7">
        <f>VLOOKUP($D50,NatureChart,4,0)</f>
        <v>1</v>
      </c>
      <c r="Z50" s="7">
        <f>VLOOKUP($D50,NatureChart,5,0)</f>
        <v>1</v>
      </c>
      <c r="AA50" s="84">
        <f>VLOOKUP($D50,NatureChart,6,0)</f>
        <v>1</v>
      </c>
      <c r="AB50" s="84">
        <f>IF($C50="Shedinja",1,(INT((2*VLOOKUP($C50,DexData,5,0)+INT(Q50/4)+K50)/2)+60))</f>
        <v>105</v>
      </c>
      <c r="AC50" s="84">
        <f>INT(INT((INT((2*VLOOKUP($C50,DexData,6,0)+INT(R50/4)+L50)/2)+5)*W50)*IF($E50="Choice Band",1.5,IF(OR($E50="Mawilite",$E50="Medichamite",$E50="Thick Club"),2,1)))</f>
        <v>81</v>
      </c>
      <c r="AD50" s="84">
        <f>INT(INT((INT((2*VLOOKUP($C50,DexData,7,0)+INT(S50/4)+M50)/2)+5)*X50)*IF($E50="Eviolite",1.5,1))</f>
        <v>58</v>
      </c>
      <c r="AE50" s="84">
        <f>INT(INT((INT((2*VLOOKUP($C50,DexData,9,0)+INT(T50/4)+N50)/2)+5)*Y50)*IF($E50="Choice Specs",1.5,1))</f>
        <v>45</v>
      </c>
      <c r="AF50" s="84">
        <f>INT(INT((INT((2*VLOOKUP($C50,DexData,10,0)+INT(U50/4)+O50)/2)+5)*Z50)*IF(OR($E50="Eviolite",$E50="Assault Vest"),1.5,1))</f>
        <v>80</v>
      </c>
      <c r="AG50" s="84">
        <f>INT(INT((INT((2*VLOOKUP($C50,DexData,11,0)+INT(V50/4)+P50)/2)+5)*AA50)*IF($E50="Choice Scarf",1.5,IF($E50="Iron Ball",0.5,1)))</f>
        <v>84</v>
      </c>
      <c r="AH50" s="84" t="str">
        <f>VLOOKUP(VLOOKUP($C50,DexData,3,0),Aliases!D$2:E$19,2,0)&amp;IFERROR("/"&amp;VLOOKUP(VLOOKUP($C50,DexData,4,0),Aliases!D$2:E$19,2,0),"")</f>
        <v>NRM/FLY</v>
      </c>
      <c r="AI50" s="7">
        <v>3.0</v>
      </c>
      <c r="AJ50" s="7">
        <f>IF(VLOOKUP(B50,'Set Odds'!A$2:AN$1067,40,0),1,IF(VLOOKUP(B50,'Set Odds'!A$2:AO$1067,41,0),2,0))</f>
        <v>0</v>
      </c>
      <c r="AK50" s="7"/>
      <c r="AL50" s="7" t="str">
        <f t="shared" si="1"/>
        <v/>
      </c>
    </row>
    <row r="51" ht="12.75" customHeight="1">
      <c r="A51" s="86">
        <v>50.0</v>
      </c>
      <c r="B51" s="84" t="s">
        <v>2850</v>
      </c>
      <c r="C51" s="7" t="s">
        <v>2851</v>
      </c>
      <c r="D51" s="7" t="s">
        <v>2571</v>
      </c>
      <c r="E51" s="7" t="s">
        <v>2516</v>
      </c>
      <c r="F51" s="84" t="s">
        <v>2513</v>
      </c>
      <c r="G51" s="84" t="s">
        <v>2852</v>
      </c>
      <c r="H51" s="84" t="s">
        <v>2595</v>
      </c>
      <c r="I51" s="84" t="s">
        <v>2848</v>
      </c>
      <c r="J51" s="7" t="s">
        <v>2853</v>
      </c>
      <c r="K51" s="7">
        <v>31.0</v>
      </c>
      <c r="L51" s="7">
        <v>31.0</v>
      </c>
      <c r="M51" s="7">
        <v>0.0</v>
      </c>
      <c r="N51" s="7">
        <v>0.0</v>
      </c>
      <c r="O51" s="7">
        <v>0.0</v>
      </c>
      <c r="P51" s="7">
        <v>0.0</v>
      </c>
      <c r="Q51" s="7">
        <v>108.0</v>
      </c>
      <c r="R51" s="7">
        <v>108.0</v>
      </c>
      <c r="S51" s="7">
        <v>0.0</v>
      </c>
      <c r="T51" s="7">
        <v>0.0</v>
      </c>
      <c r="U51" s="7">
        <v>0.0</v>
      </c>
      <c r="V51" s="7">
        <v>0.0</v>
      </c>
      <c r="W51" s="7">
        <f>VLOOKUP($D51,NatureChart,2,0)</f>
        <v>1.1</v>
      </c>
      <c r="X51" s="7">
        <f>VLOOKUP($D51,NatureChart,3,0)</f>
        <v>1</v>
      </c>
      <c r="Y51" s="7">
        <f>VLOOKUP($D51,NatureChart,4,0)</f>
        <v>0.9</v>
      </c>
      <c r="Z51" s="7">
        <f>VLOOKUP($D51,NatureChart,5,0)</f>
        <v>1</v>
      </c>
      <c r="AA51" s="84">
        <f>VLOOKUP($D51,NatureChart,6,0)</f>
        <v>1</v>
      </c>
      <c r="AB51" s="84">
        <f>IF($C51="Shedinja",1,(INT((2*VLOOKUP($C51,DexData,5,0)+INT(Q51/4)+K51)/2)+60))</f>
        <v>138</v>
      </c>
      <c r="AC51" s="84">
        <f>INT(INT((INT((2*VLOOKUP($C51,DexData,6,0)+INT(R51/4)+L51)/2)+5)*W51)*IF($E51="Choice Band",1.5,IF(OR($E51="Mawilite",$E51="Medichamite",$E51="Thick Club"),2,1)))</f>
        <v>97</v>
      </c>
      <c r="AD51" s="84">
        <f>INT(INT((INT((2*VLOOKUP($C51,DexData,7,0)+INT(S51/4)+M51)/2)+5)*X51)*IF($E51="Eviolite",1.5,1))</f>
        <v>47</v>
      </c>
      <c r="AE51" s="84">
        <f>INT(INT((INT((2*VLOOKUP($C51,DexData,9,0)+INT(T51/4)+N51)/2)+5)*Y51)*IF($E51="Choice Specs",1.5,1))</f>
        <v>42</v>
      </c>
      <c r="AF51" s="84">
        <f>INT(INT((INT((2*VLOOKUP($C51,DexData,10,0)+INT(U51/4)+O51)/2)+5)*Z51)*IF(OR($E51="Eviolite",$E51="Assault Vest"),1.5,1))</f>
        <v>42</v>
      </c>
      <c r="AG51" s="84">
        <f>INT(INT((INT((2*VLOOKUP($C51,DexData,11,0)+INT(V51/4)+P51)/2)+5)*AA51)*IF($E51="Choice Scarf",1.5,IF($E51="Iron Ball",0.5,1)))</f>
        <v>90</v>
      </c>
      <c r="AH51" s="84" t="str">
        <f>VLOOKUP(VLOOKUP($C51,DexData,3,0),Aliases!D$2:E$19,2,0)&amp;IFERROR("/"&amp;VLOOKUP(VLOOKUP($C51,DexData,4,0),Aliases!D$2:E$19,2,0),"")</f>
        <v>NRM</v>
      </c>
      <c r="AI51" s="7">
        <v>3.0</v>
      </c>
      <c r="AJ51" s="7">
        <f>IF(VLOOKUP(B51,'Set Odds'!A$2:AN$1067,40,0),1,IF(VLOOKUP(B51,'Set Odds'!A$2:AO$1067,41,0),2,0))</f>
        <v>0</v>
      </c>
      <c r="AK51" s="7"/>
      <c r="AL51" s="7" t="str">
        <f t="shared" si="1"/>
        <v/>
      </c>
    </row>
    <row r="52" ht="12.75" customHeight="1">
      <c r="A52" s="86">
        <v>51.0</v>
      </c>
      <c r="B52" s="84" t="s">
        <v>2854</v>
      </c>
      <c r="C52" s="7" t="s">
        <v>2570</v>
      </c>
      <c r="D52" s="7" t="s">
        <v>2656</v>
      </c>
      <c r="E52" s="7" t="s">
        <v>2685</v>
      </c>
      <c r="F52" s="84" t="s">
        <v>2704</v>
      </c>
      <c r="G52" s="84" t="s">
        <v>2855</v>
      </c>
      <c r="H52" s="84" t="s">
        <v>2856</v>
      </c>
      <c r="I52" s="84" t="s">
        <v>2575</v>
      </c>
      <c r="J52" s="7" t="s">
        <v>2576</v>
      </c>
      <c r="K52" s="7">
        <v>31.0</v>
      </c>
      <c r="L52" s="7">
        <v>0.0</v>
      </c>
      <c r="M52" s="7">
        <v>0.0</v>
      </c>
      <c r="N52" s="7">
        <v>31.0</v>
      </c>
      <c r="O52" s="7">
        <v>0.0</v>
      </c>
      <c r="P52" s="7">
        <v>0.0</v>
      </c>
      <c r="Q52" s="7">
        <v>108.0</v>
      </c>
      <c r="R52" s="7">
        <v>0.0</v>
      </c>
      <c r="S52" s="7">
        <v>0.0</v>
      </c>
      <c r="T52" s="7">
        <v>108.0</v>
      </c>
      <c r="U52" s="7">
        <v>0.0</v>
      </c>
      <c r="V52" s="7">
        <v>0.0</v>
      </c>
      <c r="W52" s="7">
        <f>VLOOKUP($D52,NatureChart,2,0)</f>
        <v>0.9</v>
      </c>
      <c r="X52" s="7">
        <f>VLOOKUP($D52,NatureChart,3,0)</f>
        <v>1</v>
      </c>
      <c r="Y52" s="7">
        <f>VLOOKUP($D52,NatureChart,4,0)</f>
        <v>1.1</v>
      </c>
      <c r="Z52" s="7">
        <f>VLOOKUP($D52,NatureChart,5,0)</f>
        <v>1</v>
      </c>
      <c r="AA52" s="84">
        <f>VLOOKUP($D52,NatureChart,6,0)</f>
        <v>1</v>
      </c>
      <c r="AB52" s="84">
        <f>IF($C52="Shedinja",1,(INT((2*VLOOKUP($C52,DexData,5,0)+INT(Q52/4)+K52)/2)+60))</f>
        <v>134</v>
      </c>
      <c r="AC52" s="84">
        <f>INT(INT((INT((2*VLOOKUP($C52,DexData,6,0)+INT(R52/4)+L52)/2)+5)*W52)*IF($E52="Choice Band",1.5,IF(OR($E52="Mawilite",$E52="Medichamite",$E52="Thick Club"),2,1)))</f>
        <v>48</v>
      </c>
      <c r="AD52" s="84">
        <f>INT(INT((INT((2*VLOOKUP($C52,DexData,7,0)+INT(S52/4)+M52)/2)+5)*X52)*IF($E52="Eviolite",1.5,1))</f>
        <v>54</v>
      </c>
      <c r="AE52" s="84">
        <f>INT(INT((INT((2*VLOOKUP($C52,DexData,9,0)+INT(T52/4)+N52)/2)+5)*Y52)*IF($E52="Choice Specs",1.5,1))</f>
        <v>108</v>
      </c>
      <c r="AF52" s="84">
        <f>INT(INT((INT((2*VLOOKUP($C52,DexData,10,0)+INT(U52/4)+O52)/2)+5)*Z52)*IF(OR($E52="Eviolite",$E52="Assault Vest"),1.5,1))</f>
        <v>70</v>
      </c>
      <c r="AG52" s="84">
        <f>INT(INT((INT((2*VLOOKUP($C52,DexData,11,0)+INT(V52/4)+P52)/2)+5)*AA52)*IF($E52="Choice Scarf",1.5,IF($E52="Iron Ball",0.5,1)))</f>
        <v>50</v>
      </c>
      <c r="AH52" s="84" t="str">
        <f>VLOOKUP(VLOOKUP($C52,DexData,3,0),Aliases!D$2:E$19,2,0)&amp;IFERROR("/"&amp;VLOOKUP(VLOOKUP($C52,DexData,4,0),Aliases!D$2:E$19,2,0),"")</f>
        <v>GRS/PSN</v>
      </c>
      <c r="AI52" s="7">
        <v>3.0</v>
      </c>
      <c r="AJ52" s="7">
        <f>IF(VLOOKUP(B52,'Set Odds'!A$2:AN$1067,40,0),1,IF(VLOOKUP(B52,'Set Odds'!A$2:AO$1067,41,0),2,0))</f>
        <v>0</v>
      </c>
      <c r="AK52" s="7"/>
      <c r="AL52" s="7" t="str">
        <f t="shared" si="1"/>
        <v/>
      </c>
    </row>
    <row r="53" ht="12.75" customHeight="1">
      <c r="A53" s="86">
        <v>52.0</v>
      </c>
      <c r="B53" s="84" t="s">
        <v>2857</v>
      </c>
      <c r="C53" s="7" t="s">
        <v>2578</v>
      </c>
      <c r="D53" s="7" t="s">
        <v>2656</v>
      </c>
      <c r="E53" s="7" t="s">
        <v>2579</v>
      </c>
      <c r="F53" s="84" t="s">
        <v>2791</v>
      </c>
      <c r="G53" s="84" t="s">
        <v>2858</v>
      </c>
      <c r="H53" s="84" t="s">
        <v>2637</v>
      </c>
      <c r="I53" s="84" t="s">
        <v>2583</v>
      </c>
      <c r="J53" s="7" t="s">
        <v>2584</v>
      </c>
      <c r="K53" s="7">
        <v>31.0</v>
      </c>
      <c r="L53" s="7">
        <v>0.0</v>
      </c>
      <c r="M53" s="7">
        <v>0.0</v>
      </c>
      <c r="N53" s="7">
        <v>31.0</v>
      </c>
      <c r="O53" s="7">
        <v>0.0</v>
      </c>
      <c r="P53" s="7">
        <v>0.0</v>
      </c>
      <c r="Q53" s="7">
        <v>108.0</v>
      </c>
      <c r="R53" s="7">
        <v>0.0</v>
      </c>
      <c r="S53" s="7">
        <v>0.0</v>
      </c>
      <c r="T53" s="7">
        <v>108.0</v>
      </c>
      <c r="U53" s="7">
        <v>0.0</v>
      </c>
      <c r="V53" s="7">
        <v>0.0</v>
      </c>
      <c r="W53" s="7">
        <f>VLOOKUP($D53,NatureChart,2,0)</f>
        <v>0.9</v>
      </c>
      <c r="X53" s="7">
        <f>VLOOKUP($D53,NatureChart,3,0)</f>
        <v>1</v>
      </c>
      <c r="Y53" s="7">
        <f>VLOOKUP($D53,NatureChart,4,0)</f>
        <v>1.1</v>
      </c>
      <c r="Z53" s="7">
        <f>VLOOKUP($D53,NatureChart,5,0)</f>
        <v>1</v>
      </c>
      <c r="AA53" s="84">
        <f>VLOOKUP($D53,NatureChart,6,0)</f>
        <v>1</v>
      </c>
      <c r="AB53" s="84">
        <f>IF($C53="Shedinja",1,(INT((2*VLOOKUP($C53,DexData,5,0)+INT(Q53/4)+K53)/2)+60))</f>
        <v>128</v>
      </c>
      <c r="AC53" s="84">
        <f>INT(INT((INT((2*VLOOKUP($C53,DexData,6,0)+INT(R53/4)+L53)/2)+5)*W53)*IF($E53="Choice Band",1.5,IF(OR($E53="Mawilite",$E53="Medichamite",$E53="Thick Club"),2,1)))</f>
        <v>51</v>
      </c>
      <c r="AD53" s="84">
        <f>INT(INT((INT((2*VLOOKUP($C53,DexData,7,0)+INT(S53/4)+M53)/2)+5)*X53)*IF($E53="Eviolite",1.5,1))</f>
        <v>48</v>
      </c>
      <c r="AE53" s="84">
        <f>INT(INT((INT((2*VLOOKUP($C53,DexData,9,0)+INT(T53/4)+N53)/2)+5)*Y53)*IF($E53="Choice Specs",1.5,1))</f>
        <v>103</v>
      </c>
      <c r="AF53" s="84">
        <f>INT(INT((INT((2*VLOOKUP($C53,DexData,10,0)+INT(U53/4)+O53)/2)+5)*Z53)*IF(OR($E53="Eviolite",$E53="Assault Vest"),1.5,1))</f>
        <v>55</v>
      </c>
      <c r="AG53" s="84">
        <f>INT(INT((INT((2*VLOOKUP($C53,DexData,11,0)+INT(V53/4)+P53)/2)+5)*AA53)*IF($E53="Choice Scarf",1.5,IF($E53="Iron Ball",0.5,1)))</f>
        <v>70</v>
      </c>
      <c r="AH53" s="84" t="str">
        <f>VLOOKUP(VLOOKUP($C53,DexData,3,0),Aliases!D$2:E$19,2,0)&amp;IFERROR("/"&amp;VLOOKUP(VLOOKUP($C53,DexData,4,0),Aliases!D$2:E$19,2,0),"")</f>
        <v>FIR</v>
      </c>
      <c r="AI53" s="7">
        <v>3.0</v>
      </c>
      <c r="AJ53" s="7">
        <f>IF(VLOOKUP(B53,'Set Odds'!A$2:AN$1067,40,0),1,IF(VLOOKUP(B53,'Set Odds'!A$2:AO$1067,41,0),2,0))</f>
        <v>0</v>
      </c>
      <c r="AK53" s="7"/>
      <c r="AL53" s="7" t="str">
        <f t="shared" si="1"/>
        <v/>
      </c>
    </row>
    <row r="54" ht="12.75" customHeight="1">
      <c r="A54" s="86">
        <v>53.0</v>
      </c>
      <c r="B54" s="84" t="s">
        <v>2859</v>
      </c>
      <c r="C54" s="7" t="s">
        <v>2586</v>
      </c>
      <c r="D54" s="7" t="s">
        <v>2656</v>
      </c>
      <c r="E54" s="7" t="s">
        <v>2636</v>
      </c>
      <c r="F54" s="84" t="s">
        <v>2607</v>
      </c>
      <c r="G54" s="84" t="s">
        <v>2860</v>
      </c>
      <c r="H54" s="84" t="s">
        <v>2823</v>
      </c>
      <c r="I54" s="84" t="s">
        <v>2517</v>
      </c>
      <c r="J54" s="7" t="s">
        <v>2590</v>
      </c>
      <c r="K54" s="7">
        <v>31.0</v>
      </c>
      <c r="L54" s="7">
        <v>0.0</v>
      </c>
      <c r="M54" s="7">
        <v>0.0</v>
      </c>
      <c r="N54" s="7">
        <v>31.0</v>
      </c>
      <c r="O54" s="7">
        <v>0.0</v>
      </c>
      <c r="P54" s="7">
        <v>0.0</v>
      </c>
      <c r="Q54" s="7">
        <v>108.0</v>
      </c>
      <c r="R54" s="7">
        <v>0.0</v>
      </c>
      <c r="S54" s="7">
        <v>0.0</v>
      </c>
      <c r="T54" s="7">
        <v>108.0</v>
      </c>
      <c r="U54" s="7">
        <v>0.0</v>
      </c>
      <c r="V54" s="7">
        <v>0.0</v>
      </c>
      <c r="W54" s="7">
        <f>VLOOKUP($D54,NatureChart,2,0)</f>
        <v>0.9</v>
      </c>
      <c r="X54" s="7">
        <f>VLOOKUP($D54,NatureChart,3,0)</f>
        <v>1</v>
      </c>
      <c r="Y54" s="7">
        <f>VLOOKUP($D54,NatureChart,4,0)</f>
        <v>1.1</v>
      </c>
      <c r="Z54" s="7">
        <f>VLOOKUP($D54,NatureChart,5,0)</f>
        <v>1</v>
      </c>
      <c r="AA54" s="84">
        <f>VLOOKUP($D54,NatureChart,6,0)</f>
        <v>1</v>
      </c>
      <c r="AB54" s="84">
        <f>IF($C54="Shedinja",1,(INT((2*VLOOKUP($C54,DexData,5,0)+INT(Q54/4)+K54)/2)+60))</f>
        <v>133</v>
      </c>
      <c r="AC54" s="84">
        <f>INT(INT((INT((2*VLOOKUP($C54,DexData,6,0)+INT(R54/4)+L54)/2)+5)*W54)*IF($E54="Choice Band",1.5,IF(OR($E54="Mawilite",$E54="Medichamite",$E54="Thick Club"),2,1)))</f>
        <v>47</v>
      </c>
      <c r="AD54" s="84">
        <f>INT(INT((INT((2*VLOOKUP($C54,DexData,7,0)+INT(S54/4)+M54)/2)+5)*X54)*IF($E54="Eviolite",1.5,1))</f>
        <v>70</v>
      </c>
      <c r="AE54" s="84">
        <f>INT(INT((INT((2*VLOOKUP($C54,DexData,9,0)+INT(T54/4)+N54)/2)+5)*Y54)*IF($E54="Choice Specs",1.5,1))</f>
        <v>92</v>
      </c>
      <c r="AF54" s="84">
        <f>INT(INT((INT((2*VLOOKUP($C54,DexData,10,0)+INT(U54/4)+O54)/2)+5)*Z54)*IF(OR($E54="Eviolite",$E54="Assault Vest"),1.5,1))</f>
        <v>69</v>
      </c>
      <c r="AG54" s="84">
        <f>INT(INT((INT((2*VLOOKUP($C54,DexData,11,0)+INT(V54/4)+P54)/2)+5)*AA54)*IF($E54="Choice Scarf",1.5,IF($E54="Iron Ball",0.5,1)))</f>
        <v>48</v>
      </c>
      <c r="AH54" s="84" t="str">
        <f>VLOOKUP(VLOOKUP($C54,DexData,3,0),Aliases!D$2:E$19,2,0)&amp;IFERROR("/"&amp;VLOOKUP(VLOOKUP($C54,DexData,4,0),Aliases!D$2:E$19,2,0),"")</f>
        <v>WTR</v>
      </c>
      <c r="AI54" s="7">
        <v>3.0</v>
      </c>
      <c r="AJ54" s="7">
        <f>IF(VLOOKUP(B54,'Set Odds'!A$2:AN$1067,40,0),1,IF(VLOOKUP(B54,'Set Odds'!A$2:AO$1067,41,0),2,0))</f>
        <v>0</v>
      </c>
      <c r="AK54" s="7"/>
      <c r="AL54" s="7" t="str">
        <f t="shared" si="1"/>
        <v/>
      </c>
    </row>
    <row r="55" ht="12.75" customHeight="1">
      <c r="A55" s="86">
        <v>54.0</v>
      </c>
      <c r="B55" s="84" t="s">
        <v>2861</v>
      </c>
      <c r="C55" s="7" t="s">
        <v>2592</v>
      </c>
      <c r="D55" s="7" t="s">
        <v>2862</v>
      </c>
      <c r="E55" s="7" t="s">
        <v>2685</v>
      </c>
      <c r="F55" s="84" t="s">
        <v>2699</v>
      </c>
      <c r="G55" s="84" t="s">
        <v>2863</v>
      </c>
      <c r="H55" s="84" t="s">
        <v>2856</v>
      </c>
      <c r="I55" s="84" t="s">
        <v>2864</v>
      </c>
      <c r="J55" s="7" t="s">
        <v>2576</v>
      </c>
      <c r="K55" s="7">
        <v>31.0</v>
      </c>
      <c r="L55" s="7">
        <v>0.0</v>
      </c>
      <c r="M55" s="7">
        <v>31.0</v>
      </c>
      <c r="N55" s="7">
        <v>0.0</v>
      </c>
      <c r="O55" s="7">
        <v>0.0</v>
      </c>
      <c r="P55" s="7">
        <v>0.0</v>
      </c>
      <c r="Q55" s="7">
        <v>108.0</v>
      </c>
      <c r="R55" s="7">
        <v>0.0</v>
      </c>
      <c r="S55" s="7">
        <v>108.0</v>
      </c>
      <c r="T55" s="7">
        <v>0.0</v>
      </c>
      <c r="U55" s="7">
        <v>0.0</v>
      </c>
      <c r="V55" s="7">
        <v>0.0</v>
      </c>
      <c r="W55" s="7">
        <f>VLOOKUP($D55,NatureChart,2,0)</f>
        <v>0.9</v>
      </c>
      <c r="X55" s="7">
        <f>VLOOKUP($D55,NatureChart,3,0)</f>
        <v>1.1</v>
      </c>
      <c r="Y55" s="7">
        <f>VLOOKUP($D55,NatureChart,4,0)</f>
        <v>1</v>
      </c>
      <c r="Z55" s="7">
        <f>VLOOKUP($D55,NatureChart,5,0)</f>
        <v>1</v>
      </c>
      <c r="AA55" s="84">
        <f>VLOOKUP($D55,NatureChart,6,0)</f>
        <v>1</v>
      </c>
      <c r="AB55" s="84">
        <f>IF($C55="Shedinja",1,(INT((2*VLOOKUP($C55,DexData,5,0)+INT(Q55/4)+K55)/2)+60))</f>
        <v>134</v>
      </c>
      <c r="AC55" s="84">
        <f>INT(INT((INT((2*VLOOKUP($C55,DexData,6,0)+INT(R55/4)+L55)/2)+5)*W55)*IF($E55="Choice Band",1.5,IF(OR($E55="Mawilite",$E55="Medichamite",$E55="Thick Club"),2,1)))</f>
        <v>48</v>
      </c>
      <c r="AD55" s="84">
        <f>INT(INT((INT((2*VLOOKUP($C55,DexData,7,0)+INT(S55/4)+M55)/2)+5)*X55)*IF($E55="Eviolite",1.5,1))</f>
        <v>108</v>
      </c>
      <c r="AE55" s="84">
        <f>INT(INT((INT((2*VLOOKUP($C55,DexData,9,0)+INT(T55/4)+N55)/2)+5)*Y55)*IF($E55="Choice Specs",1.5,1))</f>
        <v>54</v>
      </c>
      <c r="AF55" s="84">
        <f>INT(INT((INT((2*VLOOKUP($C55,DexData,10,0)+INT(U55/4)+O55)/2)+5)*Z55)*IF(OR($E55="Eviolite",$E55="Assault Vest"),1.5,1))</f>
        <v>70</v>
      </c>
      <c r="AG55" s="84">
        <f>INT(INT((INT((2*VLOOKUP($C55,DexData,11,0)+INT(V55/4)+P55)/2)+5)*AA55)*IF($E55="Choice Scarf",1.5,IF($E55="Iron Ball",0.5,1)))</f>
        <v>50</v>
      </c>
      <c r="AH55" s="84" t="str">
        <f>VLOOKUP(VLOOKUP($C55,DexData,3,0),Aliases!D$2:E$19,2,0)&amp;IFERROR("/"&amp;VLOOKUP(VLOOKUP($C55,DexData,4,0),Aliases!D$2:E$19,2,0),"")</f>
        <v>GRS</v>
      </c>
      <c r="AI55" s="7">
        <v>3.0</v>
      </c>
      <c r="AJ55" s="7">
        <f>IF(VLOOKUP(B55,'Set Odds'!A$2:AN$1067,40,0),1,IF(VLOOKUP(B55,'Set Odds'!A$2:AO$1067,41,0),2,0))</f>
        <v>0</v>
      </c>
      <c r="AK55" s="7"/>
      <c r="AL55" s="7" t="str">
        <f t="shared" si="1"/>
        <v/>
      </c>
    </row>
    <row r="56" ht="12.75" customHeight="1">
      <c r="A56" s="86">
        <v>55.0</v>
      </c>
      <c r="B56" s="84" t="s">
        <v>2865</v>
      </c>
      <c r="C56" s="7" t="s">
        <v>2598</v>
      </c>
      <c r="D56" s="7" t="s">
        <v>2599</v>
      </c>
      <c r="E56" s="7" t="s">
        <v>2636</v>
      </c>
      <c r="F56" s="84" t="s">
        <v>2619</v>
      </c>
      <c r="G56" s="84" t="s">
        <v>2866</v>
      </c>
      <c r="H56" s="84" t="s">
        <v>2614</v>
      </c>
      <c r="I56" s="84" t="s">
        <v>2867</v>
      </c>
      <c r="J56" s="7" t="s">
        <v>2584</v>
      </c>
      <c r="K56" s="7">
        <v>0.0</v>
      </c>
      <c r="L56" s="7">
        <v>31.0</v>
      </c>
      <c r="M56" s="7">
        <v>0.0</v>
      </c>
      <c r="N56" s="7">
        <v>31.0</v>
      </c>
      <c r="O56" s="7">
        <v>0.0</v>
      </c>
      <c r="P56" s="7">
        <v>0.0</v>
      </c>
      <c r="Q56" s="7">
        <v>0.0</v>
      </c>
      <c r="R56" s="7">
        <v>108.0</v>
      </c>
      <c r="S56" s="7">
        <v>0.0</v>
      </c>
      <c r="T56" s="7">
        <v>108.0</v>
      </c>
      <c r="U56" s="7">
        <v>0.0</v>
      </c>
      <c r="V56" s="7">
        <v>0.0</v>
      </c>
      <c r="W56" s="7">
        <f>VLOOKUP($D56,NatureChart,2,0)</f>
        <v>1</v>
      </c>
      <c r="X56" s="7">
        <f>VLOOKUP($D56,NatureChart,3,0)</f>
        <v>1</v>
      </c>
      <c r="Y56" s="7">
        <f>VLOOKUP($D56,NatureChart,4,0)</f>
        <v>1</v>
      </c>
      <c r="Z56" s="7">
        <f>VLOOKUP($D56,NatureChart,5,0)</f>
        <v>1</v>
      </c>
      <c r="AA56" s="84">
        <f>VLOOKUP($D56,NatureChart,6,0)</f>
        <v>1</v>
      </c>
      <c r="AB56" s="84">
        <f>IF($C56="Shedinja",1,(INT((2*VLOOKUP($C56,DexData,5,0)+INT(Q56/4)+K56)/2)+60))</f>
        <v>99</v>
      </c>
      <c r="AC56" s="84">
        <f>INT(INT((INT((2*VLOOKUP($C56,DexData,6,0)+INT(R56/4)+L56)/2)+5)*W56)*IF($E56="Choice Band",1.5,IF(OR($E56="Mawilite",$E56="Medichamite",$E56="Thick Club"),2,1)))</f>
        <v>86</v>
      </c>
      <c r="AD56" s="84">
        <f>INT(INT((INT((2*VLOOKUP($C56,DexData,7,0)+INT(S56/4)+M56)/2)+5)*X56)*IF($E56="Eviolite",1.5,1))</f>
        <v>48</v>
      </c>
      <c r="AE56" s="84">
        <f>INT(INT((INT((2*VLOOKUP($C56,DexData,9,0)+INT(T56/4)+N56)/2)+5)*Y56)*IF($E56="Choice Specs",1.5,1))</f>
        <v>94</v>
      </c>
      <c r="AF56" s="84">
        <f>INT(INT((INT((2*VLOOKUP($C56,DexData,10,0)+INT(U56/4)+O56)/2)+5)*Z56)*IF(OR($E56="Eviolite",$E56="Assault Vest"),1.5,1))</f>
        <v>55</v>
      </c>
      <c r="AG56" s="84">
        <f>INT(INT((INT((2*VLOOKUP($C56,DexData,11,0)+INT(V56/4)+P56)/2)+5)*AA56)*IF($E56="Choice Scarf",1.5,IF($E56="Iron Ball",0.5,1)))</f>
        <v>70</v>
      </c>
      <c r="AH56" s="84" t="str">
        <f>VLOOKUP(VLOOKUP($C56,DexData,3,0),Aliases!D$2:E$19,2,0)&amp;IFERROR("/"&amp;VLOOKUP(VLOOKUP($C56,DexData,4,0),Aliases!D$2:E$19,2,0),"")</f>
        <v>FIR</v>
      </c>
      <c r="AI56" s="7">
        <v>3.0</v>
      </c>
      <c r="AJ56" s="7">
        <f>IF(VLOOKUP(B56,'Set Odds'!A$2:AN$1067,40,0),1,IF(VLOOKUP(B56,'Set Odds'!A$2:AO$1067,41,0),2,0))</f>
        <v>0</v>
      </c>
      <c r="AK56" s="7"/>
      <c r="AL56" s="7" t="str">
        <f t="shared" si="1"/>
        <v/>
      </c>
    </row>
    <row r="57" ht="12.75" customHeight="1">
      <c r="A57" s="86">
        <v>56.0</v>
      </c>
      <c r="B57" s="84" t="s">
        <v>2868</v>
      </c>
      <c r="C57" s="7" t="s">
        <v>2604</v>
      </c>
      <c r="D57" s="7" t="s">
        <v>2571</v>
      </c>
      <c r="E57" s="7" t="s">
        <v>2642</v>
      </c>
      <c r="F57" s="84" t="s">
        <v>2869</v>
      </c>
      <c r="G57" s="84" t="s">
        <v>2614</v>
      </c>
      <c r="H57" s="84" t="s">
        <v>2606</v>
      </c>
      <c r="I57" s="84" t="s">
        <v>2608</v>
      </c>
      <c r="J57" s="7" t="s">
        <v>2590</v>
      </c>
      <c r="K57" s="7">
        <v>31.0</v>
      </c>
      <c r="L57" s="7">
        <v>31.0</v>
      </c>
      <c r="M57" s="7">
        <v>0.0</v>
      </c>
      <c r="N57" s="7">
        <v>0.0</v>
      </c>
      <c r="O57" s="7">
        <v>0.0</v>
      </c>
      <c r="P57" s="7">
        <v>0.0</v>
      </c>
      <c r="Q57" s="7">
        <v>108.0</v>
      </c>
      <c r="R57" s="7">
        <v>108.0</v>
      </c>
      <c r="S57" s="7">
        <v>0.0</v>
      </c>
      <c r="T57" s="7">
        <v>0.0</v>
      </c>
      <c r="U57" s="7">
        <v>0.0</v>
      </c>
      <c r="V57" s="7">
        <v>0.0</v>
      </c>
      <c r="W57" s="7">
        <f>VLOOKUP($D57,NatureChart,2,0)</f>
        <v>1.1</v>
      </c>
      <c r="X57" s="7">
        <f>VLOOKUP($D57,NatureChart,3,0)</f>
        <v>1</v>
      </c>
      <c r="Y57" s="7">
        <f>VLOOKUP($D57,NatureChart,4,0)</f>
        <v>0.9</v>
      </c>
      <c r="Z57" s="7">
        <f>VLOOKUP($D57,NatureChart,5,0)</f>
        <v>1</v>
      </c>
      <c r="AA57" s="84">
        <f>VLOOKUP($D57,NatureChart,6,0)</f>
        <v>1</v>
      </c>
      <c r="AB57" s="84">
        <f>IF($C57="Shedinja",1,(INT((2*VLOOKUP($C57,DexData,5,0)+INT(Q57/4)+K57)/2)+60))</f>
        <v>139</v>
      </c>
      <c r="AC57" s="84">
        <f>INT(INT((INT((2*VLOOKUP($C57,DexData,6,0)+INT(R57/4)+L57)/2)+5)*W57)*IF($E57="Choice Band",1.5,IF(OR($E57="Mawilite",$E57="Medichamite",$E57="Thick Club"),2,1)))</f>
        <v>108</v>
      </c>
      <c r="AD57" s="84">
        <f>INT(INT((INT((2*VLOOKUP($C57,DexData,7,0)+INT(S57/4)+M57)/2)+5)*X57)*IF($E57="Eviolite",1.5,1))</f>
        <v>69</v>
      </c>
      <c r="AE57" s="84">
        <f>INT(INT((INT((2*VLOOKUP($C57,DexData,9,0)+INT(T57/4)+N57)/2)+5)*Y57)*IF($E57="Choice Specs",1.5,1))</f>
        <v>44</v>
      </c>
      <c r="AF57" s="84">
        <f>INT(INT((INT((2*VLOOKUP($C57,DexData,10,0)+INT(U57/4)+O57)/2)+5)*Z57)*IF(OR($E57="Eviolite",$E57="Assault Vest"),1.5,1))</f>
        <v>53</v>
      </c>
      <c r="AG57" s="84">
        <f>INT(INT((INT((2*VLOOKUP($C57,DexData,11,0)+INT(V57/4)+P57)/2)+5)*AA57)*IF($E57="Choice Scarf",1.5,IF($E57="Iron Ball",0.5,1)))</f>
        <v>48</v>
      </c>
      <c r="AH57" s="84" t="str">
        <f>VLOOKUP(VLOOKUP($C57,DexData,3,0),Aliases!D$2:E$19,2,0)&amp;IFERROR("/"&amp;VLOOKUP(VLOOKUP($C57,DexData,4,0),Aliases!D$2:E$19,2,0),"")</f>
        <v>WTR</v>
      </c>
      <c r="AI57" s="7">
        <v>3.0</v>
      </c>
      <c r="AJ57" s="7">
        <f>IF(VLOOKUP(B57,'Set Odds'!A$2:AN$1067,40,0),1,IF(VLOOKUP(B57,'Set Odds'!A$2:AO$1067,41,0),2,0))</f>
        <v>0</v>
      </c>
      <c r="AK57" s="7"/>
      <c r="AL57" s="7" t="str">
        <f t="shared" si="1"/>
        <v/>
      </c>
    </row>
    <row r="58" ht="12.75" customHeight="1">
      <c r="A58" s="86">
        <v>57.0</v>
      </c>
      <c r="B58" s="84" t="s">
        <v>2870</v>
      </c>
      <c r="C58" s="7" t="s">
        <v>2610</v>
      </c>
      <c r="D58" s="7" t="s">
        <v>2692</v>
      </c>
      <c r="E58" s="7" t="s">
        <v>2515</v>
      </c>
      <c r="F58" s="84" t="s">
        <v>2613</v>
      </c>
      <c r="G58" s="84" t="s">
        <v>2624</v>
      </c>
      <c r="H58" s="84" t="s">
        <v>2581</v>
      </c>
      <c r="I58" s="84" t="s">
        <v>2625</v>
      </c>
      <c r="J58" s="7" t="s">
        <v>2576</v>
      </c>
      <c r="K58" s="7">
        <v>0.0</v>
      </c>
      <c r="L58" s="7">
        <v>31.0</v>
      </c>
      <c r="M58" s="7">
        <v>0.0</v>
      </c>
      <c r="N58" s="7">
        <v>0.0</v>
      </c>
      <c r="O58" s="7">
        <v>0.0</v>
      </c>
      <c r="P58" s="7">
        <v>31.0</v>
      </c>
      <c r="Q58" s="7">
        <v>0.0</v>
      </c>
      <c r="R58" s="7">
        <v>108.0</v>
      </c>
      <c r="S58" s="7">
        <v>0.0</v>
      </c>
      <c r="T58" s="7">
        <v>0.0</v>
      </c>
      <c r="U58" s="7">
        <v>0.0</v>
      </c>
      <c r="V58" s="7">
        <v>108.0</v>
      </c>
      <c r="W58" s="7">
        <f>VLOOKUP($D58,NatureChart,2,0)</f>
        <v>1</v>
      </c>
      <c r="X58" s="7">
        <f>VLOOKUP($D58,NatureChart,3,0)</f>
        <v>1</v>
      </c>
      <c r="Y58" s="7">
        <f>VLOOKUP($D58,NatureChart,4,0)</f>
        <v>0.9</v>
      </c>
      <c r="Z58" s="7">
        <f>VLOOKUP($D58,NatureChart,5,0)</f>
        <v>1</v>
      </c>
      <c r="AA58" s="84">
        <f>VLOOKUP($D58,NatureChart,6,0)</f>
        <v>1.1</v>
      </c>
      <c r="AB58" s="84">
        <f>IF($C58="Shedinja",1,(INT((2*VLOOKUP($C58,DexData,5,0)+INT(Q58/4)+K58)/2)+60))</f>
        <v>100</v>
      </c>
      <c r="AC58" s="84">
        <f>INT(INT((INT((2*VLOOKUP($C58,DexData,6,0)+INT(R58/4)+L58)/2)+5)*W58)*IF($E58="Choice Band",1.5,IF(OR($E58="Mawilite",$E58="Medichamite",$E58="Thick Club"),2,1)))</f>
        <v>79</v>
      </c>
      <c r="AD58" s="84">
        <f>INT(INT((INT((2*VLOOKUP($C58,DexData,7,0)+INT(S58/4)+M58)/2)+5)*X58)*IF($E58="Eviolite",1.5,1))</f>
        <v>40</v>
      </c>
      <c r="AE58" s="84">
        <f>INT(INT((INT((2*VLOOKUP($C58,DexData,9,0)+INT(T58/4)+N58)/2)+5)*Y58)*IF($E58="Choice Specs",1.5,1))</f>
        <v>63</v>
      </c>
      <c r="AF58" s="84">
        <f>INT(INT((INT((2*VLOOKUP($C58,DexData,10,0)+INT(U58/4)+O58)/2)+5)*Z58)*IF(OR($E58="Eviolite",$E58="Assault Vest"),1.5,1))</f>
        <v>60</v>
      </c>
      <c r="AG58" s="84">
        <f>INT(INT((INT((2*VLOOKUP($C58,DexData,11,0)+INT(V58/4)+P58)/2)+5)*AA58)*IF($E58="Choice Scarf",1.5,IF($E58="Iron Ball",0.5,1)))</f>
        <v>114</v>
      </c>
      <c r="AH58" s="84" t="str">
        <f>VLOOKUP(VLOOKUP($C58,DexData,3,0),Aliases!D$2:E$19,2,0)&amp;IFERROR("/"&amp;VLOOKUP(VLOOKUP($C58,DexData,4,0),Aliases!D$2:E$19,2,0),"")</f>
        <v>GRS</v>
      </c>
      <c r="AI58" s="7">
        <v>3.0</v>
      </c>
      <c r="AJ58" s="7">
        <f>IF(VLOOKUP(B58,'Set Odds'!A$2:AN$1067,40,0),1,IF(VLOOKUP(B58,'Set Odds'!A$2:AO$1067,41,0),2,0))</f>
        <v>0</v>
      </c>
      <c r="AK58" s="7"/>
      <c r="AL58" s="7" t="str">
        <f t="shared" si="1"/>
        <v/>
      </c>
    </row>
    <row r="59" ht="12.75" customHeight="1">
      <c r="A59" s="86">
        <v>58.0</v>
      </c>
      <c r="B59" s="84" t="s">
        <v>2871</v>
      </c>
      <c r="C59" s="7" t="s">
        <v>2617</v>
      </c>
      <c r="D59" s="7" t="s">
        <v>2635</v>
      </c>
      <c r="E59" s="7" t="s">
        <v>2636</v>
      </c>
      <c r="F59" s="84" t="s">
        <v>2732</v>
      </c>
      <c r="G59" s="84" t="s">
        <v>2872</v>
      </c>
      <c r="H59" s="84" t="s">
        <v>2532</v>
      </c>
      <c r="I59" s="84" t="s">
        <v>2660</v>
      </c>
      <c r="J59" s="7" t="s">
        <v>2584</v>
      </c>
      <c r="K59" s="7">
        <v>0.0</v>
      </c>
      <c r="L59" s="7">
        <v>0.0</v>
      </c>
      <c r="M59" s="7">
        <v>0.0</v>
      </c>
      <c r="N59" s="7">
        <v>31.0</v>
      </c>
      <c r="O59" s="7">
        <v>0.0</v>
      </c>
      <c r="P59" s="7">
        <v>31.0</v>
      </c>
      <c r="Q59" s="7">
        <v>0.0</v>
      </c>
      <c r="R59" s="7">
        <v>0.0</v>
      </c>
      <c r="S59" s="7">
        <v>0.0</v>
      </c>
      <c r="T59" s="7">
        <v>108.0</v>
      </c>
      <c r="U59" s="7">
        <v>0.0</v>
      </c>
      <c r="V59" s="7">
        <v>108.0</v>
      </c>
      <c r="W59" s="7">
        <f>VLOOKUP($D59,NatureChart,2,0)</f>
        <v>0.9</v>
      </c>
      <c r="X59" s="7">
        <f>VLOOKUP($D59,NatureChart,3,0)</f>
        <v>1</v>
      </c>
      <c r="Y59" s="7">
        <f>VLOOKUP($D59,NatureChart,4,0)</f>
        <v>1</v>
      </c>
      <c r="Z59" s="7">
        <f>VLOOKUP($D59,NatureChart,5,0)</f>
        <v>1</v>
      </c>
      <c r="AA59" s="84">
        <f>VLOOKUP($D59,NatureChart,6,0)</f>
        <v>1.1</v>
      </c>
      <c r="AB59" s="84">
        <f>IF($C59="Shedinja",1,(INT((2*VLOOKUP($C59,DexData,5,0)+INT(Q59/4)+K59)/2)+60))</f>
        <v>105</v>
      </c>
      <c r="AC59" s="84">
        <f>INT(INT((INT((2*VLOOKUP($C59,DexData,6,0)+INT(R59/4)+L59)/2)+5)*W59)*IF($E59="Choice Band",1.5,IF(OR($E59="Mawilite",$E59="Medichamite",$E59="Thick Club"),2,1)))</f>
        <v>58</v>
      </c>
      <c r="AD59" s="84">
        <f>INT(INT((INT((2*VLOOKUP($C59,DexData,7,0)+INT(S59/4)+M59)/2)+5)*X59)*IF($E59="Eviolite",1.5,1))</f>
        <v>45</v>
      </c>
      <c r="AE59" s="84">
        <f>INT(INT((INT((2*VLOOKUP($C59,DexData,9,0)+INT(T59/4)+N59)/2)+5)*Y59)*IF($E59="Choice Specs",1.5,1))</f>
        <v>104</v>
      </c>
      <c r="AF59" s="84">
        <f>INT(INT((INT((2*VLOOKUP($C59,DexData,10,0)+INT(U59/4)+O59)/2)+5)*Z59)*IF(OR($E59="Eviolite",$E59="Assault Vest"),1.5,1))</f>
        <v>55</v>
      </c>
      <c r="AG59" s="84">
        <f>INT(INT((INT((2*VLOOKUP($C59,DexData,11,0)+INT(V59/4)+P59)/2)+5)*AA59)*IF($E59="Choice Scarf",1.5,IF($E59="Iron Ball",0.5,1)))</f>
        <v>86</v>
      </c>
      <c r="AH59" s="84" t="str">
        <f>VLOOKUP(VLOOKUP($C59,DexData,3,0),Aliases!D$2:E$19,2,0)&amp;IFERROR("/"&amp;VLOOKUP(VLOOKUP($C59,DexData,4,0),Aliases!D$2:E$19,2,0),"")</f>
        <v>FIR</v>
      </c>
      <c r="AI59" s="7">
        <v>3.0</v>
      </c>
      <c r="AJ59" s="7">
        <f>IF(VLOOKUP(B59,'Set Odds'!A$2:AN$1067,40,0),1,IF(VLOOKUP(B59,'Set Odds'!A$2:AO$1067,41,0),2,0))</f>
        <v>0</v>
      </c>
      <c r="AK59" s="7"/>
      <c r="AL59" s="7" t="str">
        <f t="shared" si="1"/>
        <v/>
      </c>
    </row>
    <row r="60" ht="12.75" customHeight="1">
      <c r="A60" s="86">
        <v>59.0</v>
      </c>
      <c r="B60" s="84" t="s">
        <v>2873</v>
      </c>
      <c r="C60" s="7" t="s">
        <v>2622</v>
      </c>
      <c r="D60" s="7" t="s">
        <v>2571</v>
      </c>
      <c r="E60" s="7" t="s">
        <v>2623</v>
      </c>
      <c r="F60" s="84" t="s">
        <v>2625</v>
      </c>
      <c r="G60" s="84" t="s">
        <v>2626</v>
      </c>
      <c r="H60" s="84" t="s">
        <v>2874</v>
      </c>
      <c r="I60" s="84" t="s">
        <v>2869</v>
      </c>
      <c r="J60" s="7" t="s">
        <v>2590</v>
      </c>
      <c r="K60" s="7">
        <v>31.0</v>
      </c>
      <c r="L60" s="7">
        <v>31.0</v>
      </c>
      <c r="M60" s="7">
        <v>0.0</v>
      </c>
      <c r="N60" s="7">
        <v>0.0</v>
      </c>
      <c r="O60" s="7">
        <v>0.0</v>
      </c>
      <c r="P60" s="7">
        <v>0.0</v>
      </c>
      <c r="Q60" s="7">
        <v>108.0</v>
      </c>
      <c r="R60" s="7">
        <v>108.0</v>
      </c>
      <c r="S60" s="7">
        <v>0.0</v>
      </c>
      <c r="T60" s="7">
        <v>0.0</v>
      </c>
      <c r="U60" s="7">
        <v>0.0</v>
      </c>
      <c r="V60" s="7">
        <v>0.0</v>
      </c>
      <c r="W60" s="7">
        <f>VLOOKUP($D60,NatureChart,2,0)</f>
        <v>1.1</v>
      </c>
      <c r="X60" s="7">
        <f>VLOOKUP($D60,NatureChart,3,0)</f>
        <v>1</v>
      </c>
      <c r="Y60" s="7">
        <f>VLOOKUP($D60,NatureChart,4,0)</f>
        <v>0.9</v>
      </c>
      <c r="Z60" s="7">
        <f>VLOOKUP($D60,NatureChart,5,0)</f>
        <v>1</v>
      </c>
      <c r="AA60" s="84">
        <f>VLOOKUP($D60,NatureChart,6,0)</f>
        <v>1</v>
      </c>
      <c r="AB60" s="84">
        <f>IF($C60="Shedinja",1,(INT((2*VLOOKUP($C60,DexData,5,0)+INT(Q60/4)+K60)/2)+60))</f>
        <v>139</v>
      </c>
      <c r="AC60" s="84">
        <f>INT(INT((INT((2*VLOOKUP($C60,DexData,6,0)+INT(R60/4)+L60)/2)+5)*W60)*IF($E60="Choice Band",1.5,IF(OR($E60="Mawilite",$E60="Medichamite",$E60="Thick Club"),2,1)))</f>
        <v>114</v>
      </c>
      <c r="AD60" s="84">
        <f>INT(INT((INT((2*VLOOKUP($C60,DexData,7,0)+INT(S60/4)+M60)/2)+5)*X60)*IF($E60="Eviolite",1.5,1))</f>
        <v>55</v>
      </c>
      <c r="AE60" s="84">
        <f>INT(INT((INT((2*VLOOKUP($C60,DexData,9,0)+INT(T60/4)+N60)/2)+5)*Y60)*IF($E60="Choice Specs",1.5,1))</f>
        <v>49</v>
      </c>
      <c r="AF60" s="84">
        <f>INT(INT((INT((2*VLOOKUP($C60,DexData,10,0)+INT(U60/4)+O60)/2)+5)*Z60)*IF(OR($E60="Eviolite",$E60="Assault Vest"),1.5,1))</f>
        <v>55</v>
      </c>
      <c r="AG60" s="84">
        <f>INT(INT((INT((2*VLOOKUP($C60,DexData,11,0)+INT(V60/4)+P60)/2)+5)*AA60)*IF($E60="Choice Scarf",1.5,IF($E60="Iron Ball",0.5,1)))</f>
        <v>45</v>
      </c>
      <c r="AH60" s="84" t="str">
        <f>VLOOKUP(VLOOKUP($C60,DexData,3,0),Aliases!D$2:E$19,2,0)&amp;IFERROR("/"&amp;VLOOKUP(VLOOKUP($C60,DexData,4,0),Aliases!D$2:E$19,2,0),"")</f>
        <v>WTR</v>
      </c>
      <c r="AI60" s="7">
        <v>3.0</v>
      </c>
      <c r="AJ60" s="7">
        <f>IF(VLOOKUP(B60,'Set Odds'!A$2:AN$1067,40,0),1,IF(VLOOKUP(B60,'Set Odds'!A$2:AO$1067,41,0),2,0))</f>
        <v>0</v>
      </c>
      <c r="AK60" s="7"/>
      <c r="AL60" s="7" t="str">
        <f t="shared" si="1"/>
        <v/>
      </c>
    </row>
    <row r="61" ht="12.75" customHeight="1">
      <c r="A61" s="86">
        <v>60.0</v>
      </c>
      <c r="B61" s="84" t="s">
        <v>2875</v>
      </c>
      <c r="C61" s="7" t="s">
        <v>2628</v>
      </c>
      <c r="D61" s="7" t="s">
        <v>2648</v>
      </c>
      <c r="E61" s="7" t="s">
        <v>2685</v>
      </c>
      <c r="F61" s="84" t="s">
        <v>2572</v>
      </c>
      <c r="G61" s="84" t="s">
        <v>2632</v>
      </c>
      <c r="H61" s="84" t="s">
        <v>2575</v>
      </c>
      <c r="I61" s="84" t="s">
        <v>2856</v>
      </c>
      <c r="J61" s="7" t="s">
        <v>2576</v>
      </c>
      <c r="K61" s="7">
        <v>31.0</v>
      </c>
      <c r="L61" s="7">
        <v>0.0</v>
      </c>
      <c r="M61" s="7">
        <v>31.0</v>
      </c>
      <c r="N61" s="7">
        <v>0.0</v>
      </c>
      <c r="O61" s="7">
        <v>0.0</v>
      </c>
      <c r="P61" s="7">
        <v>0.0</v>
      </c>
      <c r="Q61" s="7">
        <v>108.0</v>
      </c>
      <c r="R61" s="7">
        <v>0.0</v>
      </c>
      <c r="S61" s="7">
        <v>108.0</v>
      </c>
      <c r="T61" s="7">
        <v>0.0</v>
      </c>
      <c r="U61" s="7">
        <v>0.0</v>
      </c>
      <c r="V61" s="7">
        <v>0.0</v>
      </c>
      <c r="W61" s="7">
        <f>VLOOKUP($D61,NatureChart,2,0)</f>
        <v>1</v>
      </c>
      <c r="X61" s="7">
        <f>VLOOKUP($D61,NatureChart,3,0)</f>
        <v>1.1</v>
      </c>
      <c r="Y61" s="7">
        <f>VLOOKUP($D61,NatureChart,4,0)</f>
        <v>0.9</v>
      </c>
      <c r="Z61" s="7">
        <f>VLOOKUP($D61,NatureChart,5,0)</f>
        <v>1</v>
      </c>
      <c r="AA61" s="84">
        <f>VLOOKUP($D61,NatureChart,6,0)</f>
        <v>1</v>
      </c>
      <c r="AB61" s="84">
        <f>IF($C61="Shedinja",1,(INT((2*VLOOKUP($C61,DexData,5,0)+INT(Q61/4)+K61)/2)+60))</f>
        <v>144</v>
      </c>
      <c r="AC61" s="84">
        <f>INT(INT((INT((2*VLOOKUP($C61,DexData,6,0)+INT(R61/4)+L61)/2)+5)*W61)*IF($E61="Choice Band",1.5,IF(OR($E61="Mawilite",$E61="Medichamite",$E61="Thick Club"),2,1)))</f>
        <v>73</v>
      </c>
      <c r="AD61" s="84">
        <f>INT(INT((INT((2*VLOOKUP($C61,DexData,7,0)+INT(S61/4)+M61)/2)+5)*X61)*IF($E61="Eviolite",1.5,1))</f>
        <v>107</v>
      </c>
      <c r="AE61" s="84">
        <f>INT(INT((INT((2*VLOOKUP($C61,DexData,9,0)+INT(T61/4)+N61)/2)+5)*Y61)*IF($E61="Choice Specs",1.5,1))</f>
        <v>45</v>
      </c>
      <c r="AF61" s="84">
        <f>INT(INT((INT((2*VLOOKUP($C61,DexData,10,0)+INT(U61/4)+O61)/2)+5)*Z61)*IF(OR($E61="Eviolite",$E61="Assault Vest"),1.5,1))</f>
        <v>60</v>
      </c>
      <c r="AG61" s="84">
        <f>INT(INT((INT((2*VLOOKUP($C61,DexData,11,0)+INT(V61/4)+P61)/2)+5)*AA61)*IF($E61="Choice Scarf",1.5,IF($E61="Iron Ball",0.5,1)))</f>
        <v>36</v>
      </c>
      <c r="AH61" s="84" t="str">
        <f>VLOOKUP(VLOOKUP($C61,DexData,3,0),Aliases!D$2:E$19,2,0)&amp;IFERROR("/"&amp;VLOOKUP(VLOOKUP($C61,DexData,4,0),Aliases!D$2:E$19,2,0),"")</f>
        <v>GRS</v>
      </c>
      <c r="AI61" s="7">
        <v>3.0</v>
      </c>
      <c r="AJ61" s="7">
        <f>IF(VLOOKUP(B61,'Set Odds'!A$2:AN$1067,40,0),1,IF(VLOOKUP(B61,'Set Odds'!A$2:AO$1067,41,0),2,0))</f>
        <v>0</v>
      </c>
      <c r="AK61" s="7"/>
      <c r="AL61" s="7" t="str">
        <f t="shared" si="1"/>
        <v/>
      </c>
    </row>
    <row r="62" ht="12.75" customHeight="1">
      <c r="A62" s="86">
        <v>61.0</v>
      </c>
      <c r="B62" s="84" t="s">
        <v>2876</v>
      </c>
      <c r="C62" s="7" t="s">
        <v>2634</v>
      </c>
      <c r="D62" s="7" t="s">
        <v>2692</v>
      </c>
      <c r="E62" s="7" t="s">
        <v>2515</v>
      </c>
      <c r="F62" s="84" t="s">
        <v>2600</v>
      </c>
      <c r="G62" s="84" t="s">
        <v>2877</v>
      </c>
      <c r="H62" s="84" t="s">
        <v>2852</v>
      </c>
      <c r="I62" s="84" t="s">
        <v>2878</v>
      </c>
      <c r="J62" s="7" t="s">
        <v>2584</v>
      </c>
      <c r="K62" s="7">
        <v>0.0</v>
      </c>
      <c r="L62" s="7">
        <v>31.0</v>
      </c>
      <c r="M62" s="7">
        <v>0.0</v>
      </c>
      <c r="N62" s="7">
        <v>0.0</v>
      </c>
      <c r="O62" s="7">
        <v>0.0</v>
      </c>
      <c r="P62" s="7">
        <v>31.0</v>
      </c>
      <c r="Q62" s="7">
        <v>0.0</v>
      </c>
      <c r="R62" s="7">
        <v>108.0</v>
      </c>
      <c r="S62" s="7">
        <v>0.0</v>
      </c>
      <c r="T62" s="7">
        <v>0.0</v>
      </c>
      <c r="U62" s="7">
        <v>0.0</v>
      </c>
      <c r="V62" s="7">
        <v>108.0</v>
      </c>
      <c r="W62" s="7">
        <f>VLOOKUP($D62,NatureChart,2,0)</f>
        <v>1</v>
      </c>
      <c r="X62" s="7">
        <f>VLOOKUP($D62,NatureChart,3,0)</f>
        <v>1</v>
      </c>
      <c r="Y62" s="7">
        <f>VLOOKUP($D62,NatureChart,4,0)</f>
        <v>0.9</v>
      </c>
      <c r="Z62" s="7">
        <f>VLOOKUP($D62,NatureChart,5,0)</f>
        <v>1</v>
      </c>
      <c r="AA62" s="84">
        <f>VLOOKUP($D62,NatureChart,6,0)</f>
        <v>1.1</v>
      </c>
      <c r="AB62" s="84">
        <f>IF($C62="Shedinja",1,(INT((2*VLOOKUP($C62,DexData,5,0)+INT(Q62/4)+K62)/2)+60))</f>
        <v>104</v>
      </c>
      <c r="AC62" s="84">
        <f>INT(INT((INT((2*VLOOKUP($C62,DexData,6,0)+INT(R62/4)+L62)/2)+5)*W62)*IF($E62="Choice Band",1.5,IF(OR($E62="Mawilite",$E62="Medichamite",$E62="Thick Club"),2,1)))</f>
        <v>92</v>
      </c>
      <c r="AD62" s="84">
        <f>INT(INT((INT((2*VLOOKUP($C62,DexData,7,0)+INT(S62/4)+M62)/2)+5)*X62)*IF($E62="Eviolite",1.5,1))</f>
        <v>49</v>
      </c>
      <c r="AE62" s="84">
        <f>INT(INT((INT((2*VLOOKUP($C62,DexData,9,0)+INT(T62/4)+N62)/2)+5)*Y62)*IF($E62="Choice Specs",1.5,1))</f>
        <v>56</v>
      </c>
      <c r="AF62" s="84">
        <f>INT(INT((INT((2*VLOOKUP($C62,DexData,10,0)+INT(U62/4)+O62)/2)+5)*Z62)*IF(OR($E62="Eviolite",$E62="Assault Vest"),1.5,1))</f>
        <v>49</v>
      </c>
      <c r="AG62" s="84">
        <f>INT(INT((INT((2*VLOOKUP($C62,DexData,11,0)+INT(V62/4)+P62)/2)+5)*AA62)*IF($E62="Choice Scarf",1.5,IF($E62="Iron Ball",0.5,1)))</f>
        <v>104</v>
      </c>
      <c r="AH62" s="84" t="str">
        <f>VLOOKUP(VLOOKUP($C62,DexData,3,0),Aliases!D$2:E$19,2,0)&amp;IFERROR("/"&amp;VLOOKUP(VLOOKUP($C62,DexData,4,0),Aliases!D$2:E$19,2,0),"")</f>
        <v>FIR</v>
      </c>
      <c r="AI62" s="7">
        <v>3.0</v>
      </c>
      <c r="AJ62" s="7">
        <f>IF(VLOOKUP(B62,'Set Odds'!A$2:AN$1067,40,0),1,IF(VLOOKUP(B62,'Set Odds'!A$2:AO$1067,41,0),2,0))</f>
        <v>0</v>
      </c>
      <c r="AK62" s="7"/>
      <c r="AL62" s="7" t="str">
        <f t="shared" si="1"/>
        <v/>
      </c>
    </row>
    <row r="63" ht="12.75" customHeight="1">
      <c r="A63" s="86">
        <v>62.0</v>
      </c>
      <c r="B63" s="84" t="s">
        <v>2879</v>
      </c>
      <c r="C63" s="7" t="s">
        <v>2640</v>
      </c>
      <c r="D63" s="7" t="s">
        <v>2635</v>
      </c>
      <c r="E63" s="7" t="s">
        <v>2642</v>
      </c>
      <c r="F63" s="84" t="s">
        <v>2860</v>
      </c>
      <c r="G63" s="84" t="s">
        <v>2823</v>
      </c>
      <c r="H63" s="84" t="s">
        <v>2631</v>
      </c>
      <c r="I63" s="84" t="s">
        <v>2880</v>
      </c>
      <c r="J63" s="7" t="s">
        <v>2590</v>
      </c>
      <c r="K63" s="7">
        <v>0.0</v>
      </c>
      <c r="L63" s="7">
        <v>0.0</v>
      </c>
      <c r="M63" s="7">
        <v>0.0</v>
      </c>
      <c r="N63" s="7">
        <v>31.0</v>
      </c>
      <c r="O63" s="7">
        <v>0.0</v>
      </c>
      <c r="P63" s="7">
        <v>31.0</v>
      </c>
      <c r="Q63" s="7">
        <v>0.0</v>
      </c>
      <c r="R63" s="7">
        <v>0.0</v>
      </c>
      <c r="S63" s="7">
        <v>0.0</v>
      </c>
      <c r="T63" s="7">
        <v>108.0</v>
      </c>
      <c r="U63" s="7">
        <v>0.0</v>
      </c>
      <c r="V63" s="7">
        <v>108.0</v>
      </c>
      <c r="W63" s="7">
        <f>VLOOKUP($D63,NatureChart,2,0)</f>
        <v>0.9</v>
      </c>
      <c r="X63" s="7">
        <f>VLOOKUP($D63,NatureChart,3,0)</f>
        <v>1</v>
      </c>
      <c r="Y63" s="7">
        <f>VLOOKUP($D63,NatureChart,4,0)</f>
        <v>1</v>
      </c>
      <c r="Z63" s="7">
        <f>VLOOKUP($D63,NatureChart,5,0)</f>
        <v>1</v>
      </c>
      <c r="AA63" s="84">
        <f>VLOOKUP($D63,NatureChart,6,0)</f>
        <v>1.1</v>
      </c>
      <c r="AB63" s="84">
        <f>IF($C63="Shedinja",1,(INT((2*VLOOKUP($C63,DexData,5,0)+INT(Q63/4)+K63)/2)+60))</f>
        <v>113</v>
      </c>
      <c r="AC63" s="84">
        <f>INT(INT((INT((2*VLOOKUP($C63,DexData,6,0)+INT(R63/4)+L63)/2)+5)*W63)*IF($E63="Choice Band",1.5,IF(OR($E63="Mawilite",$E63="Medichamite",$E63="Thick Club"),2,1)))</f>
        <v>50</v>
      </c>
      <c r="AD63" s="84">
        <f>INT(INT((INT((2*VLOOKUP($C63,DexData,7,0)+INT(S63/4)+M63)/2)+5)*X63)*IF($E63="Eviolite",1.5,1))</f>
        <v>58</v>
      </c>
      <c r="AE63" s="84">
        <f>INT(INT((INT((2*VLOOKUP($C63,DexData,9,0)+INT(T63/4)+N63)/2)+5)*Y63)*IF($E63="Choice Specs",1.5,1))</f>
        <v>95</v>
      </c>
      <c r="AF63" s="84">
        <f>INT(INT((INT((2*VLOOKUP($C63,DexData,10,0)+INT(U63/4)+O63)/2)+5)*Z63)*IF(OR($E63="Eviolite",$E63="Assault Vest"),1.5,1))</f>
        <v>61</v>
      </c>
      <c r="AG63" s="84">
        <f>INT(INT((INT((2*VLOOKUP($C63,DexData,11,0)+INT(V63/4)+P63)/2)+5)*AA63)*IF($E63="Choice Scarf",1.5,IF($E63="Iron Ball",0.5,1)))</f>
        <v>81</v>
      </c>
      <c r="AH63" s="84" t="str">
        <f>VLOOKUP(VLOOKUP($C63,DexData,3,0),Aliases!D$2:E$19,2,0)&amp;IFERROR("/"&amp;VLOOKUP(VLOOKUP($C63,DexData,4,0),Aliases!D$2:E$19,2,0),"")</f>
        <v>WTR</v>
      </c>
      <c r="AI63" s="7">
        <v>3.0</v>
      </c>
      <c r="AJ63" s="7">
        <f>IF(VLOOKUP(B63,'Set Odds'!A$2:AN$1067,40,0),1,IF(VLOOKUP(B63,'Set Odds'!A$2:AO$1067,41,0),2,0))</f>
        <v>0</v>
      </c>
      <c r="AK63" s="7"/>
      <c r="AL63" s="7" t="str">
        <f t="shared" si="1"/>
        <v/>
      </c>
    </row>
    <row r="64" ht="12.75" customHeight="1">
      <c r="A64" s="86">
        <v>63.0</v>
      </c>
      <c r="B64" s="84" t="s">
        <v>2881</v>
      </c>
      <c r="C64" s="7" t="s">
        <v>2647</v>
      </c>
      <c r="D64" s="7" t="s">
        <v>2648</v>
      </c>
      <c r="E64" s="7" t="s">
        <v>2649</v>
      </c>
      <c r="F64" s="84" t="s">
        <v>2650</v>
      </c>
      <c r="G64" s="84" t="s">
        <v>2651</v>
      </c>
      <c r="H64" s="84" t="s">
        <v>2595</v>
      </c>
      <c r="I64" s="84" t="s">
        <v>2652</v>
      </c>
      <c r="J64" s="7" t="s">
        <v>2653</v>
      </c>
      <c r="K64" s="7">
        <v>31.0</v>
      </c>
      <c r="L64" s="7">
        <v>0.0</v>
      </c>
      <c r="M64" s="7">
        <v>31.0</v>
      </c>
      <c r="N64" s="7">
        <v>0.0</v>
      </c>
      <c r="O64" s="7">
        <v>0.0</v>
      </c>
      <c r="P64" s="7">
        <v>0.0</v>
      </c>
      <c r="Q64" s="7">
        <v>108.0</v>
      </c>
      <c r="R64" s="7">
        <v>0.0</v>
      </c>
      <c r="S64" s="7">
        <v>108.0</v>
      </c>
      <c r="T64" s="7">
        <v>0.0</v>
      </c>
      <c r="U64" s="7">
        <v>0.0</v>
      </c>
      <c r="V64" s="7">
        <v>0.0</v>
      </c>
      <c r="W64" s="7">
        <f>VLOOKUP($D64,NatureChart,2,0)</f>
        <v>1</v>
      </c>
      <c r="X64" s="7">
        <f>VLOOKUP($D64,NatureChart,3,0)</f>
        <v>1.1</v>
      </c>
      <c r="Y64" s="7">
        <f>VLOOKUP($D64,NatureChart,4,0)</f>
        <v>0.9</v>
      </c>
      <c r="Z64" s="7">
        <f>VLOOKUP($D64,NatureChart,5,0)</f>
        <v>1</v>
      </c>
      <c r="AA64" s="84">
        <f>VLOOKUP($D64,NatureChart,6,0)</f>
        <v>1</v>
      </c>
      <c r="AB64" s="84">
        <f>IF($C64="Shedinja",1,(INT((2*VLOOKUP($C64,DexData,5,0)+INT(Q64/4)+K64)/2)+60))</f>
        <v>126</v>
      </c>
      <c r="AC64" s="84">
        <f>INT(INT((INT((2*VLOOKUP($C64,DexData,6,0)+INT(R64/4)+L64)/2)+5)*W64)*IF($E64="Choice Band",1.5,IF(OR($E64="Mawilite",$E64="Medichamite",$E64="Thick Club"),2,1)))</f>
        <v>30</v>
      </c>
      <c r="AD64" s="84">
        <f>INT(INT((INT((2*VLOOKUP($C64,DexData,7,0)+INT(S64/4)+M64)/2)+5)*X64)*IF($E64="Eviolite",1.5,1))</f>
        <v>82</v>
      </c>
      <c r="AE64" s="84">
        <f>INT(INT((INT((2*VLOOKUP($C64,DexData,9,0)+INT(T64/4)+N64)/2)+5)*Y64)*IF($E64="Choice Specs",1.5,1))</f>
        <v>27</v>
      </c>
      <c r="AF64" s="84">
        <f>INT(INT((INT((2*VLOOKUP($C64,DexData,10,0)+INT(U64/4)+O64)/2)+5)*Z64)*IF(OR($E64="Eviolite",$E64="Assault Vest"),1.5,1))</f>
        <v>46</v>
      </c>
      <c r="AG64" s="84">
        <f>INT(INT((INT((2*VLOOKUP($C64,DexData,11,0)+INT(V64/4)+P64)/2)+5)*AA64)*IF($E64="Choice Scarf",1.5,IF($E64="Iron Ball",0.5,1)))</f>
        <v>30</v>
      </c>
      <c r="AH64" s="84" t="str">
        <f>VLOOKUP(VLOOKUP($C64,DexData,3,0),Aliases!D$2:E$19,2,0)&amp;IFERROR("/"&amp;VLOOKUP(VLOOKUP($C64,DexData,4,0),Aliases!D$2:E$19,2,0),"")</f>
        <v>BUG</v>
      </c>
      <c r="AI64" s="7">
        <v>3.0</v>
      </c>
      <c r="AJ64" s="7">
        <f>IF(VLOOKUP(B64,'Set Odds'!A$2:AN$1067,40,0),1,IF(VLOOKUP(B64,'Set Odds'!A$2:AO$1067,41,0),2,0))</f>
        <v>0</v>
      </c>
      <c r="AK64" s="7"/>
      <c r="AL64" s="7" t="str">
        <f t="shared" si="1"/>
        <v/>
      </c>
    </row>
    <row r="65" ht="12.75" customHeight="1">
      <c r="A65" s="86">
        <v>64.0</v>
      </c>
      <c r="B65" s="84" t="s">
        <v>2882</v>
      </c>
      <c r="C65" s="7" t="s">
        <v>2655</v>
      </c>
      <c r="D65" s="7" t="s">
        <v>2656</v>
      </c>
      <c r="E65" s="7" t="s">
        <v>2657</v>
      </c>
      <c r="F65" s="84" t="s">
        <v>2658</v>
      </c>
      <c r="G65" s="84" t="s">
        <v>2659</v>
      </c>
      <c r="H65" s="84" t="s">
        <v>2660</v>
      </c>
      <c r="I65" s="84" t="s">
        <v>2661</v>
      </c>
      <c r="J65" s="7" t="s">
        <v>2662</v>
      </c>
      <c r="K65" s="7">
        <v>0.0</v>
      </c>
      <c r="L65" s="7">
        <v>0.0</v>
      </c>
      <c r="M65" s="7">
        <v>31.0</v>
      </c>
      <c r="N65" s="7">
        <v>31.0</v>
      </c>
      <c r="O65" s="7">
        <v>0.0</v>
      </c>
      <c r="P65" s="7">
        <v>0.0</v>
      </c>
      <c r="Q65" s="7">
        <v>0.0</v>
      </c>
      <c r="R65" s="7">
        <v>0.0</v>
      </c>
      <c r="S65" s="7">
        <v>108.0</v>
      </c>
      <c r="T65" s="7">
        <v>108.0</v>
      </c>
      <c r="U65" s="7">
        <v>0.0</v>
      </c>
      <c r="V65" s="7">
        <v>0.0</v>
      </c>
      <c r="W65" s="7">
        <f>VLOOKUP($D65,NatureChart,2,0)</f>
        <v>0.9</v>
      </c>
      <c r="X65" s="7">
        <f>VLOOKUP($D65,NatureChart,3,0)</f>
        <v>1</v>
      </c>
      <c r="Y65" s="7">
        <f>VLOOKUP($D65,NatureChart,4,0)</f>
        <v>1.1</v>
      </c>
      <c r="Z65" s="7">
        <f>VLOOKUP($D65,NatureChart,5,0)</f>
        <v>1</v>
      </c>
      <c r="AA65" s="84">
        <f>VLOOKUP($D65,NatureChart,6,0)</f>
        <v>1</v>
      </c>
      <c r="AB65" s="84">
        <f>IF($C65="Shedinja",1,(INT((2*VLOOKUP($C65,DexData,5,0)+INT(Q65/4)+K65)/2)+60))</f>
        <v>160</v>
      </c>
      <c r="AC65" s="84">
        <f>INT(INT((INT((2*VLOOKUP($C65,DexData,6,0)+INT(R65/4)+L65)/2)+5)*W65)*IF($E65="Choice Band",1.5,IF(OR($E65="Mawilite",$E65="Medichamite",$E65="Thick Club"),2,1)))</f>
        <v>9</v>
      </c>
      <c r="AD65" s="84">
        <f>INT(INT((INT((2*VLOOKUP($C65,DexData,7,0)+INT(S65/4)+M65)/2)+5)*X65)*IF($E65="Eviolite",1.5,1))</f>
        <v>39</v>
      </c>
      <c r="AE65" s="84">
        <f>INT(INT((INT((2*VLOOKUP($C65,DexData,9,0)+INT(T65/4)+N65)/2)+5)*Y65)*IF($E65="Choice Specs",1.5,1))</f>
        <v>53</v>
      </c>
      <c r="AF65" s="84">
        <f>INT(INT((INT((2*VLOOKUP($C65,DexData,10,0)+INT(U65/4)+O65)/2)+5)*Z65)*IF(OR($E65="Eviolite",$E65="Assault Vest"),1.5,1))</f>
        <v>70</v>
      </c>
      <c r="AG65" s="84">
        <f>INT(INT((INT((2*VLOOKUP($C65,DexData,11,0)+INT(V65/4)+P65)/2)+5)*AA65)*IF($E65="Choice Scarf",1.5,IF($E65="Iron Ball",0.5,1)))</f>
        <v>35</v>
      </c>
      <c r="AH65" s="84" t="str">
        <f>VLOOKUP(VLOOKUP($C65,DexData,3,0),Aliases!D$2:E$19,2,0)&amp;IFERROR("/"&amp;VLOOKUP(VLOOKUP($C65,DexData,4,0),Aliases!D$2:E$19,2,0),"")</f>
        <v>NRM</v>
      </c>
      <c r="AI65" s="7">
        <v>3.0</v>
      </c>
      <c r="AJ65" s="7">
        <f>IF(VLOOKUP(B65,'Set Odds'!A$2:AN$1067,40,0),1,IF(VLOOKUP(B65,'Set Odds'!A$2:AO$1067,41,0),2,0))</f>
        <v>0</v>
      </c>
      <c r="AK65" s="7"/>
      <c r="AL65" s="7" t="str">
        <f t="shared" si="1"/>
        <v/>
      </c>
    </row>
    <row r="66" ht="12.75" customHeight="1">
      <c r="A66" s="86">
        <v>65.0</v>
      </c>
      <c r="B66" s="84" t="s">
        <v>2883</v>
      </c>
      <c r="C66" s="7" t="s">
        <v>2664</v>
      </c>
      <c r="D66" s="7" t="s">
        <v>2571</v>
      </c>
      <c r="E66" s="7" t="s">
        <v>2665</v>
      </c>
      <c r="F66" s="84" t="s">
        <v>2651</v>
      </c>
      <c r="G66" s="84" t="s">
        <v>2666</v>
      </c>
      <c r="H66" s="84" t="s">
        <v>2667</v>
      </c>
      <c r="I66" s="84" t="s">
        <v>2667</v>
      </c>
      <c r="J66" s="7" t="s">
        <v>2653</v>
      </c>
      <c r="K66" s="7">
        <v>0.0</v>
      </c>
      <c r="L66" s="7">
        <v>31.0</v>
      </c>
      <c r="M66" s="7">
        <v>0.0</v>
      </c>
      <c r="N66" s="7">
        <v>0.0</v>
      </c>
      <c r="O66" s="7">
        <v>0.0</v>
      </c>
      <c r="P66" s="7">
        <v>31.0</v>
      </c>
      <c r="Q66" s="7">
        <v>0.0</v>
      </c>
      <c r="R66" s="7">
        <v>108.0</v>
      </c>
      <c r="S66" s="7">
        <v>0.0</v>
      </c>
      <c r="T66" s="7">
        <v>0.0</v>
      </c>
      <c r="U66" s="7">
        <v>0.0</v>
      </c>
      <c r="V66" s="7">
        <v>108.0</v>
      </c>
      <c r="W66" s="7">
        <f>VLOOKUP($D66,NatureChart,2,0)</f>
        <v>1.1</v>
      </c>
      <c r="X66" s="7">
        <f>VLOOKUP($D66,NatureChart,3,0)</f>
        <v>1</v>
      </c>
      <c r="Y66" s="7">
        <f>VLOOKUP($D66,NatureChart,4,0)</f>
        <v>0.9</v>
      </c>
      <c r="Z66" s="7">
        <f>VLOOKUP($D66,NatureChart,5,0)</f>
        <v>1</v>
      </c>
      <c r="AA66" s="84">
        <f>VLOOKUP($D66,NatureChart,6,0)</f>
        <v>1</v>
      </c>
      <c r="AB66" s="84">
        <f>IF($C66="Shedinja",1,(INT((2*VLOOKUP($C66,DexData,5,0)+INT(Q66/4)+K66)/2)+60))</f>
        <v>100</v>
      </c>
      <c r="AC66" s="84">
        <f>INT(INT((INT((2*VLOOKUP($C66,DexData,6,0)+INT(R66/4)+L66)/2)+5)*W66)*IF($E66="Choice Band",1.5,IF(OR($E66="Mawilite",$E66="Medichamite",$E66="Thick Club"),2,1)))</f>
        <v>69</v>
      </c>
      <c r="AD66" s="84">
        <f>INT(INT((INT((2*VLOOKUP($C66,DexData,7,0)+INT(S66/4)+M66)/2)+5)*X66)*IF($E66="Eviolite",1.5,1))</f>
        <v>50</v>
      </c>
      <c r="AE66" s="84">
        <f>INT(INT((INT((2*VLOOKUP($C66,DexData,9,0)+INT(T66/4)+N66)/2)+5)*Y66)*IF($E66="Choice Specs",1.5,1))</f>
        <v>30</v>
      </c>
      <c r="AF66" s="84">
        <f>INT(INT((INT((2*VLOOKUP($C66,DexData,10,0)+INT(U66/4)+O66)/2)+5)*Z66)*IF(OR($E66="Eviolite",$E66="Assault Vest"),1.5,1))</f>
        <v>50</v>
      </c>
      <c r="AG66" s="84">
        <f>INT(INT((INT((2*VLOOKUP($C66,DexData,11,0)+INT(V66/4)+P66)/2)+5)*AA66)*IF($E66="Choice Scarf",1.5,IF($E66="Iron Ball",0.5,1)))</f>
        <v>105</v>
      </c>
      <c r="AH66" s="84" t="str">
        <f>VLOOKUP(VLOOKUP($C66,DexData,3,0),Aliases!D$2:E$19,2,0)&amp;IFERROR("/"&amp;VLOOKUP(VLOOKUP($C66,DexData,4,0),Aliases!D$2:E$19,2,0),"")</f>
        <v>BUG</v>
      </c>
      <c r="AI66" s="7">
        <v>3.0</v>
      </c>
      <c r="AJ66" s="7">
        <f>IF(VLOOKUP(B66,'Set Odds'!A$2:AN$1067,40,0),1,IF(VLOOKUP(B66,'Set Odds'!A$2:AO$1067,41,0),2,0))</f>
        <v>0</v>
      </c>
      <c r="AK66" s="7"/>
      <c r="AL66" s="7" t="str">
        <f t="shared" si="1"/>
        <v/>
      </c>
    </row>
    <row r="67" ht="12.75" customHeight="1">
      <c r="A67" s="86">
        <v>66.0</v>
      </c>
      <c r="B67" s="84" t="s">
        <v>2884</v>
      </c>
      <c r="C67" s="7" t="s">
        <v>2669</v>
      </c>
      <c r="D67" s="7" t="s">
        <v>2692</v>
      </c>
      <c r="E67" s="7" t="s">
        <v>2885</v>
      </c>
      <c r="F67" s="84" t="s">
        <v>2886</v>
      </c>
      <c r="G67" s="84" t="s">
        <v>2887</v>
      </c>
      <c r="H67" s="84" t="s">
        <v>2671</v>
      </c>
      <c r="I67" s="84" t="s">
        <v>2614</v>
      </c>
      <c r="J67" s="7" t="s">
        <v>2672</v>
      </c>
      <c r="K67" s="7">
        <v>0.0</v>
      </c>
      <c r="L67" s="7">
        <v>31.0</v>
      </c>
      <c r="M67" s="7">
        <v>0.0</v>
      </c>
      <c r="N67" s="7">
        <v>0.0</v>
      </c>
      <c r="O67" s="7">
        <v>0.0</v>
      </c>
      <c r="P67" s="7">
        <v>31.0</v>
      </c>
      <c r="Q67" s="7">
        <v>0.0</v>
      </c>
      <c r="R67" s="7">
        <v>108.0</v>
      </c>
      <c r="S67" s="7">
        <v>0.0</v>
      </c>
      <c r="T67" s="7">
        <v>0.0</v>
      </c>
      <c r="U67" s="7">
        <v>0.0</v>
      </c>
      <c r="V67" s="7">
        <v>108.0</v>
      </c>
      <c r="W67" s="7">
        <f>VLOOKUP($D67,NatureChart,2,0)</f>
        <v>1</v>
      </c>
      <c r="X67" s="7">
        <f>VLOOKUP($D67,NatureChart,3,0)</f>
        <v>1</v>
      </c>
      <c r="Y67" s="7">
        <f>VLOOKUP($D67,NatureChart,4,0)</f>
        <v>0.9</v>
      </c>
      <c r="Z67" s="7">
        <f>VLOOKUP($D67,NatureChart,5,0)</f>
        <v>1</v>
      </c>
      <c r="AA67" s="84">
        <f>VLOOKUP($D67,NatureChart,6,0)</f>
        <v>1.1</v>
      </c>
      <c r="AB67" s="84">
        <f>IF($C67="Shedinja",1,(INT((2*VLOOKUP($C67,DexData,5,0)+INT(Q67/4)+K67)/2)+60))</f>
        <v>1</v>
      </c>
      <c r="AC67" s="84">
        <f>INT(INT((INT((2*VLOOKUP($C67,DexData,6,0)+INT(R67/4)+L67)/2)+5)*W67)*IF($E67="Choice Band",1.5,IF(OR($E67="Mawilite",$E67="Medichamite",$E67="Thick Club"),2,1)))</f>
        <v>186</v>
      </c>
      <c r="AD67" s="84">
        <f>INT(INT((INT((2*VLOOKUP($C67,DexData,7,0)+INT(S67/4)+M67)/2)+5)*X67)*IF($E67="Eviolite",1.5,1))</f>
        <v>50</v>
      </c>
      <c r="AE67" s="84">
        <f>INT(INT((INT((2*VLOOKUP($C67,DexData,9,0)+INT(T67/4)+N67)/2)+5)*Y67)*IF($E67="Choice Specs",1.5,1))</f>
        <v>31</v>
      </c>
      <c r="AF67" s="84">
        <f>INT(INT((INT((2*VLOOKUP($C67,DexData,10,0)+INT(U67/4)+O67)/2)+5)*Z67)*IF(OR($E67="Eviolite",$E67="Assault Vest"),1.5,1))</f>
        <v>35</v>
      </c>
      <c r="AG67" s="84">
        <f>INT(INT((INT((2*VLOOKUP($C67,DexData,11,0)+INT(V67/4)+P67)/2)+5)*AA67)*IF($E67="Choice Scarf",1.5,IF($E67="Iron Ball",0.5,1)))</f>
        <v>81</v>
      </c>
      <c r="AH67" s="84" t="str">
        <f>VLOOKUP(VLOOKUP($C67,DexData,3,0),Aliases!D$2:E$19,2,0)&amp;IFERROR("/"&amp;VLOOKUP(VLOOKUP($C67,DexData,4,0),Aliases!D$2:E$19,2,0),"")</f>
        <v>BUG/GHO</v>
      </c>
      <c r="AI67" s="7">
        <v>3.0</v>
      </c>
      <c r="AJ67" s="7">
        <f>IF(VLOOKUP(B67,'Set Odds'!A$2:AN$1067,40,0),1,IF(VLOOKUP(B67,'Set Odds'!A$2:AO$1067,41,0),2,0))</f>
        <v>0</v>
      </c>
      <c r="AK67" s="7"/>
      <c r="AL67" s="7" t="str">
        <f t="shared" si="1"/>
        <v/>
      </c>
    </row>
    <row r="68" ht="12.75" customHeight="1">
      <c r="A68" s="86">
        <v>67.0</v>
      </c>
      <c r="B68" s="84" t="s">
        <v>2888</v>
      </c>
      <c r="C68" s="7" t="s">
        <v>2674</v>
      </c>
      <c r="D68" s="7" t="s">
        <v>2692</v>
      </c>
      <c r="E68" s="7" t="s">
        <v>2889</v>
      </c>
      <c r="F68" s="84" t="s">
        <v>2676</v>
      </c>
      <c r="G68" s="84" t="s">
        <v>2602</v>
      </c>
      <c r="H68" s="84" t="s">
        <v>2890</v>
      </c>
      <c r="I68" s="84" t="s">
        <v>2573</v>
      </c>
      <c r="J68" s="7" t="s">
        <v>2891</v>
      </c>
      <c r="K68" s="7">
        <v>0.0</v>
      </c>
      <c r="L68" s="7">
        <v>31.0</v>
      </c>
      <c r="M68" s="7">
        <v>0.0</v>
      </c>
      <c r="N68" s="7">
        <v>0.0</v>
      </c>
      <c r="O68" s="7">
        <v>0.0</v>
      </c>
      <c r="P68" s="7">
        <v>31.0</v>
      </c>
      <c r="Q68" s="7">
        <v>0.0</v>
      </c>
      <c r="R68" s="7">
        <v>108.0</v>
      </c>
      <c r="S68" s="7">
        <v>0.0</v>
      </c>
      <c r="T68" s="7">
        <v>0.0</v>
      </c>
      <c r="U68" s="7">
        <v>0.0</v>
      </c>
      <c r="V68" s="7">
        <v>108.0</v>
      </c>
      <c r="W68" s="7">
        <f>VLOOKUP($D68,NatureChart,2,0)</f>
        <v>1</v>
      </c>
      <c r="X68" s="7">
        <f>VLOOKUP($D68,NatureChart,3,0)</f>
        <v>1</v>
      </c>
      <c r="Y68" s="7">
        <f>VLOOKUP($D68,NatureChart,4,0)</f>
        <v>0.9</v>
      </c>
      <c r="Z68" s="7">
        <f>VLOOKUP($D68,NatureChart,5,0)</f>
        <v>1</v>
      </c>
      <c r="AA68" s="84">
        <f>VLOOKUP($D68,NatureChart,6,0)</f>
        <v>1.1</v>
      </c>
      <c r="AB68" s="84">
        <f>IF($C68="Shedinja",1,(INT((2*VLOOKUP($C68,DexData,5,0)+INT(Q68/4)+K68)/2)+60))</f>
        <v>100</v>
      </c>
      <c r="AC68" s="84">
        <f>INT(INT((INT((2*VLOOKUP($C68,DexData,6,0)+INT(R68/4)+L68)/2)+5)*W68)*IF($E68="Choice Band",1.5,IF(OR($E68="Mawilite",$E68="Medichamite",$E68="Thick Club"),2,1)))</f>
        <v>89</v>
      </c>
      <c r="AD68" s="84">
        <f>INT(INT((INT((2*VLOOKUP($C68,DexData,7,0)+INT(S68/4)+M68)/2)+5)*X68)*IF($E68="Eviolite",1.5,1))</f>
        <v>35</v>
      </c>
      <c r="AE68" s="84">
        <f>INT(INT((INT((2*VLOOKUP($C68,DexData,9,0)+INT(T68/4)+N68)/2)+5)*Y68)*IF($E68="Choice Specs",1.5,1))</f>
        <v>31</v>
      </c>
      <c r="AF68" s="84">
        <f>INT(INT((INT((2*VLOOKUP($C68,DexData,10,0)+INT(U68/4)+O68)/2)+5)*Z68)*IF(OR($E68="Eviolite",$E68="Assault Vest"),1.5,1))</f>
        <v>35</v>
      </c>
      <c r="AG68" s="84">
        <f>INT(INT((INT((2*VLOOKUP($C68,DexData,11,0)+INT(V68/4)+P68)/2)+5)*AA68)*IF($E68="Choice Scarf",1.5,IF($E68="Iron Ball",0.5,1)))</f>
        <v>103</v>
      </c>
      <c r="AH68" s="84" t="str">
        <f>VLOOKUP(VLOOKUP($C68,DexData,3,0),Aliases!D$2:E$19,2,0)&amp;IFERROR("/"&amp;VLOOKUP(VLOOKUP($C68,DexData,4,0),Aliases!D$2:E$19,2,0),"")</f>
        <v>NRM/FLY</v>
      </c>
      <c r="AI68" s="7">
        <v>3.0</v>
      </c>
      <c r="AJ68" s="7">
        <f>IF(VLOOKUP(B68,'Set Odds'!A$2:AN$1067,40,0),1,IF(VLOOKUP(B68,'Set Odds'!A$2:AO$1067,41,0),2,0))</f>
        <v>0</v>
      </c>
      <c r="AK68" s="7"/>
      <c r="AL68" s="7" t="str">
        <f t="shared" si="1"/>
        <v/>
      </c>
    </row>
    <row r="69" ht="12.75" customHeight="1">
      <c r="A69" s="86">
        <v>68.0</v>
      </c>
      <c r="B69" s="84" t="s">
        <v>2892</v>
      </c>
      <c r="C69" s="7" t="s">
        <v>2679</v>
      </c>
      <c r="D69" s="7" t="s">
        <v>2656</v>
      </c>
      <c r="E69" s="7" t="s">
        <v>2516</v>
      </c>
      <c r="F69" s="84" t="s">
        <v>2680</v>
      </c>
      <c r="G69" s="84" t="s">
        <v>2681</v>
      </c>
      <c r="H69" s="84" t="s">
        <v>2667</v>
      </c>
      <c r="I69" s="84" t="s">
        <v>2667</v>
      </c>
      <c r="J69" s="7" t="s">
        <v>2682</v>
      </c>
      <c r="K69" s="7">
        <v>0.0</v>
      </c>
      <c r="L69" s="7">
        <v>0.0</v>
      </c>
      <c r="M69" s="7">
        <v>0.0</v>
      </c>
      <c r="N69" s="7">
        <v>31.0</v>
      </c>
      <c r="O69" s="7">
        <v>0.0</v>
      </c>
      <c r="P69" s="7">
        <v>31.0</v>
      </c>
      <c r="Q69" s="7">
        <v>0.0</v>
      </c>
      <c r="R69" s="7">
        <v>0.0</v>
      </c>
      <c r="S69" s="7">
        <v>0.0</v>
      </c>
      <c r="T69" s="7">
        <v>108.0</v>
      </c>
      <c r="U69" s="7">
        <v>0.0</v>
      </c>
      <c r="V69" s="7">
        <v>108.0</v>
      </c>
      <c r="W69" s="7">
        <f>VLOOKUP($D69,NatureChart,2,0)</f>
        <v>0.9</v>
      </c>
      <c r="X69" s="7">
        <f>VLOOKUP($D69,NatureChart,3,0)</f>
        <v>1</v>
      </c>
      <c r="Y69" s="7">
        <f>VLOOKUP($D69,NatureChart,4,0)</f>
        <v>1.1</v>
      </c>
      <c r="Z69" s="7">
        <f>VLOOKUP($D69,NatureChart,5,0)</f>
        <v>1</v>
      </c>
      <c r="AA69" s="84">
        <f>VLOOKUP($D69,NatureChart,6,0)</f>
        <v>1</v>
      </c>
      <c r="AB69" s="84">
        <f>IF($C69="Shedinja",1,(INT((2*VLOOKUP($C69,DexData,5,0)+INT(Q69/4)+K69)/2)+60))</f>
        <v>90</v>
      </c>
      <c r="AC69" s="84">
        <f>INT(INT((INT((2*VLOOKUP($C69,DexData,6,0)+INT(R69/4)+L69)/2)+5)*W69)*IF($E69="Choice Band",1.5,IF(OR($E69="Mawilite",$E69="Medichamite",$E69="Thick Club"),2,1)))</f>
        <v>31</v>
      </c>
      <c r="AD69" s="84">
        <f>INT(INT((INT((2*VLOOKUP($C69,DexData,7,0)+INT(S69/4)+M69)/2)+5)*X69)*IF($E69="Eviolite",1.5,1))</f>
        <v>47</v>
      </c>
      <c r="AE69" s="84">
        <f>INT(INT((INT((2*VLOOKUP($C69,DexData,9,0)+INT(T69/4)+N69)/2)+5)*Y69)*IF($E69="Choice Specs",1.5,1))</f>
        <v>70</v>
      </c>
      <c r="AF69" s="84">
        <f>INT(INT((INT((2*VLOOKUP($C69,DexData,10,0)+INT(U69/4)+O69)/2)+5)*Z69)*IF(OR($E69="Eviolite",$E69="Assault Vest"),1.5,1))</f>
        <v>47</v>
      </c>
      <c r="AG69" s="84">
        <f>INT(INT((INT((2*VLOOKUP($C69,DexData,11,0)+INT(V69/4)+P69)/2)+5)*AA69)*IF($E69="Choice Scarf",1.5,IF($E69="Iron Ball",0.5,1)))</f>
        <v>104</v>
      </c>
      <c r="AH69" s="84" t="str">
        <f>VLOOKUP(VLOOKUP($C69,DexData,3,0),Aliases!D$2:E$19,2,0)&amp;IFERROR("/"&amp;VLOOKUP(VLOOKUP($C69,DexData,4,0),Aliases!D$2:E$19,2,0),"")</f>
        <v>BUG/FLY</v>
      </c>
      <c r="AI69" s="7">
        <v>3.0</v>
      </c>
      <c r="AJ69" s="7">
        <f>IF(VLOOKUP(B69,'Set Odds'!A$2:AN$1067,40,0),1,IF(VLOOKUP(B69,'Set Odds'!A$2:AO$1067,41,0),2,0))</f>
        <v>0</v>
      </c>
      <c r="AK69" s="7"/>
      <c r="AL69" s="7" t="str">
        <f t="shared" si="1"/>
        <v/>
      </c>
    </row>
    <row r="70" ht="12.75" customHeight="1">
      <c r="A70" s="86">
        <v>69.0</v>
      </c>
      <c r="B70" s="84" t="s">
        <v>2893</v>
      </c>
      <c r="C70" s="7" t="s">
        <v>2684</v>
      </c>
      <c r="D70" s="7" t="s">
        <v>2571</v>
      </c>
      <c r="E70" s="7" t="s">
        <v>2894</v>
      </c>
      <c r="F70" s="84" t="s">
        <v>2895</v>
      </c>
      <c r="G70" s="84" t="s">
        <v>2686</v>
      </c>
      <c r="H70" s="84" t="s">
        <v>2867</v>
      </c>
      <c r="I70" s="84" t="s">
        <v>2688</v>
      </c>
      <c r="J70" s="7" t="s">
        <v>2689</v>
      </c>
      <c r="K70" s="7">
        <v>31.0</v>
      </c>
      <c r="L70" s="7">
        <v>31.0</v>
      </c>
      <c r="M70" s="7">
        <v>0.0</v>
      </c>
      <c r="N70" s="7">
        <v>0.0</v>
      </c>
      <c r="O70" s="7">
        <v>0.0</v>
      </c>
      <c r="P70" s="7">
        <v>0.0</v>
      </c>
      <c r="Q70" s="7">
        <v>108.0</v>
      </c>
      <c r="R70" s="7">
        <v>108.0</v>
      </c>
      <c r="S70" s="7">
        <v>0.0</v>
      </c>
      <c r="T70" s="7">
        <v>0.0</v>
      </c>
      <c r="U70" s="7">
        <v>0.0</v>
      </c>
      <c r="V70" s="7">
        <v>0.0</v>
      </c>
      <c r="W70" s="7">
        <f>VLOOKUP($D70,NatureChart,2,0)</f>
        <v>1.1</v>
      </c>
      <c r="X70" s="7">
        <f>VLOOKUP($D70,NatureChart,3,0)</f>
        <v>1</v>
      </c>
      <c r="Y70" s="7">
        <f>VLOOKUP($D70,NatureChart,4,0)</f>
        <v>0.9</v>
      </c>
      <c r="Z70" s="7">
        <f>VLOOKUP($D70,NatureChart,5,0)</f>
        <v>1</v>
      </c>
      <c r="AA70" s="84">
        <f>VLOOKUP($D70,NatureChart,6,0)</f>
        <v>1</v>
      </c>
      <c r="AB70" s="84">
        <f>IF($C70="Shedinja",1,(INT((2*VLOOKUP($C70,DexData,5,0)+INT(Q70/4)+K70)/2)+60))</f>
        <v>148</v>
      </c>
      <c r="AC70" s="84">
        <f>INT(INT((INT((2*VLOOKUP($C70,DexData,6,0)+INT(R70/4)+L70)/2)+5)*W70)*IF($E70="Choice Band",1.5,IF(OR($E70="Mawilite",$E70="Medichamite",$E70="Thick Club"),2,1)))</f>
        <v>86</v>
      </c>
      <c r="AD70" s="84">
        <f>INT(INT((INT((2*VLOOKUP($C70,DexData,7,0)+INT(S70/4)+M70)/2)+5)*X70)*IF($E70="Eviolite",1.5,1))</f>
        <v>45</v>
      </c>
      <c r="AE70" s="84">
        <f>INT(INT((INT((2*VLOOKUP($C70,DexData,9,0)+INT(T70/4)+N70)/2)+5)*Y70)*IF($E70="Choice Specs",1.5,1))</f>
        <v>36</v>
      </c>
      <c r="AF70" s="84">
        <f>INT(INT((INT((2*VLOOKUP($C70,DexData,10,0)+INT(U70/4)+O70)/2)+5)*Z70)*IF(OR($E70="Eviolite",$E70="Assault Vest"),1.5,1))</f>
        <v>45</v>
      </c>
      <c r="AG70" s="84">
        <f>INT(INT((INT((2*VLOOKUP($C70,DexData,11,0)+INT(V70/4)+P70)/2)+5)*AA70)*IF($E70="Choice Scarf",1.5,IF($E70="Iron Ball",0.5,1)))</f>
        <v>36</v>
      </c>
      <c r="AH70" s="84" t="str">
        <f>VLOOKUP(VLOOKUP($C70,DexData,3,0),Aliases!D$2:E$19,2,0)&amp;IFERROR("/"&amp;VLOOKUP(VLOOKUP($C70,DexData,4,0),Aliases!D$2:E$19,2,0),"")</f>
        <v>NRM</v>
      </c>
      <c r="AI70" s="7">
        <v>3.0</v>
      </c>
      <c r="AJ70" s="7">
        <f>IF(VLOOKUP(B70,'Set Odds'!A$2:AN$1067,40,0),1,IF(VLOOKUP(B70,'Set Odds'!A$2:AO$1067,41,0),2,0))</f>
        <v>0</v>
      </c>
      <c r="AK70" s="7"/>
      <c r="AL70" s="7" t="str">
        <f t="shared" si="1"/>
        <v/>
      </c>
    </row>
    <row r="71" ht="12.75" customHeight="1">
      <c r="A71" s="86">
        <v>70.0</v>
      </c>
      <c r="B71" s="84" t="s">
        <v>2896</v>
      </c>
      <c r="C71" s="7" t="s">
        <v>2691</v>
      </c>
      <c r="D71" s="7" t="s">
        <v>2692</v>
      </c>
      <c r="E71" s="7" t="s">
        <v>2636</v>
      </c>
      <c r="F71" s="84" t="s">
        <v>2693</v>
      </c>
      <c r="G71" s="84" t="s">
        <v>2588</v>
      </c>
      <c r="H71" s="84" t="s">
        <v>2596</v>
      </c>
      <c r="I71" s="84" t="s">
        <v>2763</v>
      </c>
      <c r="J71" s="7" t="s">
        <v>2696</v>
      </c>
      <c r="K71" s="7">
        <v>0.0</v>
      </c>
      <c r="L71" s="7">
        <v>31.0</v>
      </c>
      <c r="M71" s="7">
        <v>0.0</v>
      </c>
      <c r="N71" s="7">
        <v>0.0</v>
      </c>
      <c r="O71" s="7">
        <v>0.0</v>
      </c>
      <c r="P71" s="7">
        <v>31.0</v>
      </c>
      <c r="Q71" s="7">
        <v>0.0</v>
      </c>
      <c r="R71" s="7">
        <v>108.0</v>
      </c>
      <c r="S71" s="7">
        <v>0.0</v>
      </c>
      <c r="T71" s="7">
        <v>0.0</v>
      </c>
      <c r="U71" s="7">
        <v>0.0</v>
      </c>
      <c r="V71" s="7">
        <v>108.0</v>
      </c>
      <c r="W71" s="7">
        <f>VLOOKUP($D71,NatureChart,2,0)</f>
        <v>1</v>
      </c>
      <c r="X71" s="7">
        <f>VLOOKUP($D71,NatureChart,3,0)</f>
        <v>1</v>
      </c>
      <c r="Y71" s="7">
        <f>VLOOKUP($D71,NatureChart,4,0)</f>
        <v>0.9</v>
      </c>
      <c r="Z71" s="7">
        <f>VLOOKUP($D71,NatureChart,5,0)</f>
        <v>1</v>
      </c>
      <c r="AA71" s="84">
        <f>VLOOKUP($D71,NatureChart,6,0)</f>
        <v>1.1</v>
      </c>
      <c r="AB71" s="84">
        <f>IF($C71="Shedinja",1,(INT((2*VLOOKUP($C71,DexData,5,0)+INT(Q71/4)+K71)/2)+60))</f>
        <v>105</v>
      </c>
      <c r="AC71" s="84">
        <f>INT(INT((INT((2*VLOOKUP($C71,DexData,6,0)+INT(R71/4)+L71)/2)+5)*W71)*IF($E71="Choice Band",1.5,IF(OR($E71="Mawilite",$E71="Medichamite",$E71="Thick Club"),2,1)))</f>
        <v>99</v>
      </c>
      <c r="AD71" s="84">
        <f>INT(INT((INT((2*VLOOKUP($C71,DexData,7,0)+INT(S71/4)+M71)/2)+5)*X71)*IF($E71="Eviolite",1.5,1))</f>
        <v>39</v>
      </c>
      <c r="AE71" s="84">
        <f>INT(INT((INT((2*VLOOKUP($C71,DexData,9,0)+INT(T71/4)+N71)/2)+5)*Y71)*IF($E71="Choice Specs",1.5,1))</f>
        <v>40</v>
      </c>
      <c r="AF71" s="84">
        <f>INT(INT((INT((2*VLOOKUP($C71,DexData,10,0)+INT(U71/4)+O71)/2)+5)*Z71)*IF(OR($E71="Eviolite",$E71="Assault Vest"),1.5,1))</f>
        <v>39</v>
      </c>
      <c r="AG71" s="84">
        <f>INT(INT((INT((2*VLOOKUP($C71,DexData,11,0)+INT(V71/4)+P71)/2)+5)*AA71)*IF($E71="Choice Scarf",1.5,IF($E71="Iron Ball",0.5,1)))</f>
        <v>86</v>
      </c>
      <c r="AH71" s="84" t="str">
        <f>VLOOKUP(VLOOKUP($C71,DexData,3,0),Aliases!D$2:E$19,2,0)&amp;IFERROR("/"&amp;VLOOKUP(VLOOKUP($C71,DexData,4,0),Aliases!D$2:E$19,2,0),"")</f>
        <v>ELC</v>
      </c>
      <c r="AI71" s="7">
        <v>3.0</v>
      </c>
      <c r="AJ71" s="7">
        <f>IF(VLOOKUP(B71,'Set Odds'!A$2:AN$1067,40,0),1,IF(VLOOKUP(B71,'Set Odds'!A$2:AO$1067,41,0),2,0))</f>
        <v>0</v>
      </c>
      <c r="AK71" s="7"/>
      <c r="AL71" s="7" t="str">
        <f t="shared" si="1"/>
        <v/>
      </c>
    </row>
    <row r="72" ht="12.75" customHeight="1">
      <c r="A72" s="86">
        <v>71.0</v>
      </c>
      <c r="B72" s="84" t="s">
        <v>2897</v>
      </c>
      <c r="C72" s="7" t="s">
        <v>2698</v>
      </c>
      <c r="D72" s="7" t="s">
        <v>2656</v>
      </c>
      <c r="E72" s="7" t="s">
        <v>2630</v>
      </c>
      <c r="F72" s="84" t="s">
        <v>2699</v>
      </c>
      <c r="G72" s="84" t="s">
        <v>2575</v>
      </c>
      <c r="H72" s="84" t="s">
        <v>2700</v>
      </c>
      <c r="I72" s="84" t="s">
        <v>2573</v>
      </c>
      <c r="J72" s="7" t="s">
        <v>2701</v>
      </c>
      <c r="K72" s="7">
        <v>0.0</v>
      </c>
      <c r="L72" s="7">
        <v>0.0</v>
      </c>
      <c r="M72" s="7">
        <v>0.0</v>
      </c>
      <c r="N72" s="7">
        <v>31.0</v>
      </c>
      <c r="O72" s="7">
        <v>0.0</v>
      </c>
      <c r="P72" s="7">
        <v>31.0</v>
      </c>
      <c r="Q72" s="7">
        <v>0.0</v>
      </c>
      <c r="R72" s="7">
        <v>0.0</v>
      </c>
      <c r="S72" s="7">
        <v>0.0</v>
      </c>
      <c r="T72" s="7">
        <v>108.0</v>
      </c>
      <c r="U72" s="7">
        <v>0.0</v>
      </c>
      <c r="V72" s="7">
        <v>108.0</v>
      </c>
      <c r="W72" s="7">
        <f>VLOOKUP($D72,NatureChart,2,0)</f>
        <v>0.9</v>
      </c>
      <c r="X72" s="7">
        <f>VLOOKUP($D72,NatureChart,3,0)</f>
        <v>1</v>
      </c>
      <c r="Y72" s="7">
        <f>VLOOKUP($D72,NatureChart,4,0)</f>
        <v>1.1</v>
      </c>
      <c r="Z72" s="7">
        <f>VLOOKUP($D72,NatureChart,5,0)</f>
        <v>1</v>
      </c>
      <c r="AA72" s="84">
        <f>VLOOKUP($D72,NatureChart,6,0)</f>
        <v>1</v>
      </c>
      <c r="AB72" s="84">
        <f>IF($C72="Shedinja",1,(INT((2*VLOOKUP($C72,DexData,5,0)+INT(Q72/4)+K72)/2)+60))</f>
        <v>105</v>
      </c>
      <c r="AC72" s="84">
        <f>INT(INT((INT((2*VLOOKUP($C72,DexData,6,0)+INT(R72/4)+L72)/2)+5)*W72)*IF($E72="Choice Band",1.5,IF(OR($E72="Mawilite",$E72="Medichamite",$E72="Thick Club"),2,1)))</f>
        <v>36</v>
      </c>
      <c r="AD72" s="84">
        <f>INT(INT((INT((2*VLOOKUP($C72,DexData,7,0)+INT(S72/4)+M72)/2)+5)*X72)*IF($E72="Eviolite",1.5,1))</f>
        <v>50</v>
      </c>
      <c r="AE72" s="84">
        <f>INT(INT((INT((2*VLOOKUP($C72,DexData,9,0)+INT(T72/4)+N72)/2)+5)*Y72)*IF($E72="Choice Specs",1.5,1))</f>
        <v>105</v>
      </c>
      <c r="AF72" s="84">
        <f>INT(INT((INT((2*VLOOKUP($C72,DexData,10,0)+INT(U72/4)+O72)/2)+5)*Z72)*IF(OR($E72="Eviolite",$E72="Assault Vest"),1.5,1))</f>
        <v>58</v>
      </c>
      <c r="AG72" s="84">
        <f>INT(INT((INT((2*VLOOKUP($C72,DexData,11,0)+INT(V72/4)+P72)/2)+5)*AA72)*IF($E72="Choice Scarf",1.5,IF($E72="Iron Ball",0.5,1)))</f>
        <v>69</v>
      </c>
      <c r="AH72" s="84" t="str">
        <f>VLOOKUP(VLOOKUP($C72,DexData,3,0),Aliases!D$2:E$19,2,0)&amp;IFERROR("/"&amp;VLOOKUP(VLOOKUP($C72,DexData,4,0),Aliases!D$2:E$19,2,0),"")</f>
        <v>GRS</v>
      </c>
      <c r="AI72" s="7">
        <v>3.0</v>
      </c>
      <c r="AJ72" s="7">
        <f>IF(VLOOKUP(B72,'Set Odds'!A$2:AN$1067,40,0),1,IF(VLOOKUP(B72,'Set Odds'!A$2:AO$1067,41,0),2,0))</f>
        <v>0</v>
      </c>
      <c r="AK72" s="7"/>
      <c r="AL72" s="7" t="str">
        <f t="shared" si="1"/>
        <v/>
      </c>
    </row>
    <row r="73" ht="12.75" customHeight="1">
      <c r="A73" s="86">
        <v>72.0</v>
      </c>
      <c r="B73" s="84" t="s">
        <v>2898</v>
      </c>
      <c r="C73" s="7" t="s">
        <v>2703</v>
      </c>
      <c r="D73" s="7" t="s">
        <v>2635</v>
      </c>
      <c r="E73" s="7" t="s">
        <v>2612</v>
      </c>
      <c r="F73" s="84" t="s">
        <v>2704</v>
      </c>
      <c r="G73" s="84" t="s">
        <v>2705</v>
      </c>
      <c r="H73" s="84" t="s">
        <v>2706</v>
      </c>
      <c r="I73" s="84" t="s">
        <v>2707</v>
      </c>
      <c r="J73" s="7" t="s">
        <v>2708</v>
      </c>
      <c r="K73" s="7">
        <v>0.0</v>
      </c>
      <c r="L73" s="7">
        <v>0.0</v>
      </c>
      <c r="M73" s="7">
        <v>0.0</v>
      </c>
      <c r="N73" s="7">
        <v>31.0</v>
      </c>
      <c r="O73" s="7">
        <v>0.0</v>
      </c>
      <c r="P73" s="7">
        <v>31.0</v>
      </c>
      <c r="Q73" s="7">
        <v>0.0</v>
      </c>
      <c r="R73" s="7">
        <v>0.0</v>
      </c>
      <c r="S73" s="7">
        <v>0.0</v>
      </c>
      <c r="T73" s="7">
        <v>108.0</v>
      </c>
      <c r="U73" s="7">
        <v>0.0</v>
      </c>
      <c r="V73" s="7">
        <v>108.0</v>
      </c>
      <c r="W73" s="7">
        <f>VLOOKUP($D73,NatureChart,2,0)</f>
        <v>0.9</v>
      </c>
      <c r="X73" s="7">
        <f>VLOOKUP($D73,NatureChart,3,0)</f>
        <v>1</v>
      </c>
      <c r="Y73" s="7">
        <f>VLOOKUP($D73,NatureChart,4,0)</f>
        <v>1</v>
      </c>
      <c r="Z73" s="7">
        <f>VLOOKUP($D73,NatureChart,5,0)</f>
        <v>1</v>
      </c>
      <c r="AA73" s="84">
        <f>VLOOKUP($D73,NatureChart,6,0)</f>
        <v>1.1</v>
      </c>
      <c r="AB73" s="84">
        <f>IF($C73="Shedinja",1,(INT((2*VLOOKUP($C73,DexData,5,0)+INT(Q73/4)+K73)/2)+60))</f>
        <v>100</v>
      </c>
      <c r="AC73" s="84">
        <f>INT(INT((INT((2*VLOOKUP($C73,DexData,6,0)+INT(R73/4)+L73)/2)+5)*W73)*IF($E73="Choice Band",1.5,IF(OR($E73="Mawilite",$E73="Medichamite",$E73="Thick Club"),2,1)))</f>
        <v>31</v>
      </c>
      <c r="AD73" s="84">
        <f>INT(INT((INT((2*VLOOKUP($C73,DexData,7,0)+INT(S73/4)+M73)/2)+5)*X73)*IF($E73="Eviolite",1.5,1))</f>
        <v>40</v>
      </c>
      <c r="AE73" s="84">
        <f>INT(INT((INT((2*VLOOKUP($C73,DexData,9,0)+INT(T73/4)+N73)/2)+5)*Y73)*IF($E73="Choice Specs",1.5,1))</f>
        <v>84</v>
      </c>
      <c r="AF73" s="84">
        <f>INT(INT((INT((2*VLOOKUP($C73,DexData,10,0)+INT(U73/4)+O73)/2)+5)*Z73)*IF(OR($E73="Eviolite",$E73="Assault Vest"),1.5,1))</f>
        <v>75</v>
      </c>
      <c r="AG73" s="84">
        <f>INT(INT((INT((2*VLOOKUP($C73,DexData,11,0)+INT(V73/4)+P73)/2)+5)*AA73)*IF($E73="Choice Scarf",1.5,IF($E73="Iron Ball",0.5,1)))</f>
        <v>97</v>
      </c>
      <c r="AH73" s="84" t="str">
        <f>VLOOKUP(VLOOKUP($C73,DexData,3,0),Aliases!D$2:E$19,2,0)&amp;IFERROR("/"&amp;VLOOKUP(VLOOKUP($C73,DexData,4,0),Aliases!D$2:E$19,2,0),"")</f>
        <v>GRS/PSN</v>
      </c>
      <c r="AI73" s="7">
        <v>3.0</v>
      </c>
      <c r="AJ73" s="7">
        <f>IF(VLOOKUP(B73,'Set Odds'!A$2:AN$1067,40,0),1,IF(VLOOKUP(B73,'Set Odds'!A$2:AO$1067,41,0),2,0))</f>
        <v>0</v>
      </c>
      <c r="AK73" s="7"/>
      <c r="AL73" s="7" t="str">
        <f t="shared" si="1"/>
        <v/>
      </c>
    </row>
    <row r="74" ht="12.75" customHeight="1">
      <c r="A74" s="86">
        <v>73.0</v>
      </c>
      <c r="B74" s="84" t="s">
        <v>2899</v>
      </c>
      <c r="C74" s="7" t="s">
        <v>2710</v>
      </c>
      <c r="D74" s="7" t="s">
        <v>2692</v>
      </c>
      <c r="E74" s="7" t="s">
        <v>2711</v>
      </c>
      <c r="F74" s="84" t="s">
        <v>2900</v>
      </c>
      <c r="G74" s="84" t="s">
        <v>2688</v>
      </c>
      <c r="H74" s="84" t="s">
        <v>2713</v>
      </c>
      <c r="I74" s="84" t="s">
        <v>2901</v>
      </c>
      <c r="J74" s="7" t="s">
        <v>2714</v>
      </c>
      <c r="K74" s="7">
        <v>31.0</v>
      </c>
      <c r="L74" s="7">
        <v>0.0</v>
      </c>
      <c r="M74" s="7">
        <v>0.0</v>
      </c>
      <c r="N74" s="7">
        <v>0.0</v>
      </c>
      <c r="O74" s="7">
        <v>0.0</v>
      </c>
      <c r="P74" s="7">
        <v>31.0</v>
      </c>
      <c r="Q74" s="7">
        <v>108.0</v>
      </c>
      <c r="R74" s="7">
        <v>0.0</v>
      </c>
      <c r="S74" s="7">
        <v>0.0</v>
      </c>
      <c r="T74" s="7">
        <v>0.0</v>
      </c>
      <c r="U74" s="7">
        <v>0.0</v>
      </c>
      <c r="V74" s="7">
        <v>108.0</v>
      </c>
      <c r="W74" s="7">
        <f>VLOOKUP($D74,NatureChart,2,0)</f>
        <v>1</v>
      </c>
      <c r="X74" s="7">
        <f>VLOOKUP($D74,NatureChart,3,0)</f>
        <v>1</v>
      </c>
      <c r="Y74" s="7">
        <f>VLOOKUP($D74,NatureChart,4,0)</f>
        <v>0.9</v>
      </c>
      <c r="Z74" s="7">
        <f>VLOOKUP($D74,NatureChart,5,0)</f>
        <v>1</v>
      </c>
      <c r="AA74" s="84">
        <f>VLOOKUP($D74,NatureChart,6,0)</f>
        <v>1.1</v>
      </c>
      <c r="AB74" s="84">
        <f>IF($C74="Shedinja",1,(INT((2*VLOOKUP($C74,DexData,5,0)+INT(Q74/4)+K74)/2)+60))</f>
        <v>164</v>
      </c>
      <c r="AC74" s="84">
        <f>INT(INT((INT((2*VLOOKUP($C74,DexData,6,0)+INT(R74/4)+L74)/2)+5)*W74)*IF($E74="Choice Band",1.5,IF(OR($E74="Mawilite",$E74="Medichamite",$E74="Thick Club"),2,1)))</f>
        <v>55</v>
      </c>
      <c r="AD74" s="84">
        <f>INT(INT((INT((2*VLOOKUP($C74,DexData,7,0)+INT(S74/4)+M74)/2)+5)*X74)*IF($E74="Eviolite",1.5,1))</f>
        <v>85</v>
      </c>
      <c r="AE74" s="84">
        <f>INT(INT((INT((2*VLOOKUP($C74,DexData,9,0)+INT(T74/4)+N74)/2)+5)*Y74)*IF($E74="Choice Specs",1.5,1))</f>
        <v>90</v>
      </c>
      <c r="AF74" s="84">
        <f>INT(INT((INT((2*VLOOKUP($C74,DexData,10,0)+INT(U74/4)+O74)/2)+5)*Z74)*IF(OR($E74="Eviolite",$E74="Assault Vest"),1.5,1))</f>
        <v>95</v>
      </c>
      <c r="AG74" s="84">
        <f>INT(INT((INT((2*VLOOKUP($C74,DexData,11,0)+INT(V74/4)+P74)/2)+5)*AA74)*IF($E74="Choice Scarf",1.5,IF($E74="Iron Ball",0.5,1)))</f>
        <v>108</v>
      </c>
      <c r="AH74" s="84" t="str">
        <f>VLOOKUP(VLOOKUP($C74,DexData,3,0),Aliases!D$2:E$19,2,0)&amp;IFERROR("/"&amp;VLOOKUP(VLOOKUP($C74,DexData,4,0),Aliases!D$2:E$19,2,0),"")</f>
        <v>PSY</v>
      </c>
      <c r="AI74" s="7">
        <v>3.0</v>
      </c>
      <c r="AJ74" s="7">
        <f>IF(VLOOKUP(B74,'Set Odds'!A$2:AN$1067,40,0),1,IF(VLOOKUP(B74,'Set Odds'!A$2:AO$1067,41,0),2,0))</f>
        <v>0</v>
      </c>
      <c r="AK74" s="7"/>
      <c r="AL74" s="7" t="str">
        <f t="shared" si="1"/>
        <v/>
      </c>
    </row>
    <row r="75" ht="12.75" customHeight="1">
      <c r="A75" s="86">
        <v>74.0</v>
      </c>
      <c r="B75" s="84" t="s">
        <v>2902</v>
      </c>
      <c r="C75" s="7" t="s">
        <v>2716</v>
      </c>
      <c r="D75" s="7" t="s">
        <v>2571</v>
      </c>
      <c r="E75" s="7" t="s">
        <v>2515</v>
      </c>
      <c r="F75" s="84" t="s">
        <v>2717</v>
      </c>
      <c r="G75" s="84" t="s">
        <v>2718</v>
      </c>
      <c r="H75" s="84" t="s">
        <v>2719</v>
      </c>
      <c r="I75" s="84" t="s">
        <v>2608</v>
      </c>
      <c r="J75" s="7" t="s">
        <v>2720</v>
      </c>
      <c r="K75" s="7">
        <v>0.0</v>
      </c>
      <c r="L75" s="7">
        <v>31.0</v>
      </c>
      <c r="M75" s="7">
        <v>0.0</v>
      </c>
      <c r="N75" s="7">
        <v>0.0</v>
      </c>
      <c r="O75" s="7">
        <v>0.0</v>
      </c>
      <c r="P75" s="7">
        <v>31.0</v>
      </c>
      <c r="Q75" s="7">
        <v>0.0</v>
      </c>
      <c r="R75" s="7">
        <v>108.0</v>
      </c>
      <c r="S75" s="7">
        <v>0.0</v>
      </c>
      <c r="T75" s="7">
        <v>0.0</v>
      </c>
      <c r="U75" s="7">
        <v>0.0</v>
      </c>
      <c r="V75" s="7">
        <v>108.0</v>
      </c>
      <c r="W75" s="7">
        <f>VLOOKUP($D75,NatureChart,2,0)</f>
        <v>1.1</v>
      </c>
      <c r="X75" s="7">
        <f>VLOOKUP($D75,NatureChart,3,0)</f>
        <v>1</v>
      </c>
      <c r="Y75" s="7">
        <f>VLOOKUP($D75,NatureChart,4,0)</f>
        <v>0.9</v>
      </c>
      <c r="Z75" s="7">
        <f>VLOOKUP($D75,NatureChart,5,0)</f>
        <v>1</v>
      </c>
      <c r="AA75" s="84">
        <f>VLOOKUP($D75,NatureChart,6,0)</f>
        <v>1</v>
      </c>
      <c r="AB75" s="84">
        <f>IF($C75="Shedinja",1,(INT((2*VLOOKUP($C75,DexData,5,0)+INT(Q75/4)+K75)/2)+60))</f>
        <v>100</v>
      </c>
      <c r="AC75" s="84">
        <f>INT(INT((INT((2*VLOOKUP($C75,DexData,6,0)+INT(R75/4)+L75)/2)+5)*W75)*IF($E75="Choice Band",1.5,IF(OR($E75="Mawilite",$E75="Medichamite",$E75="Thick Club"),2,1)))</f>
        <v>114</v>
      </c>
      <c r="AD75" s="84">
        <f>INT(INT((INT((2*VLOOKUP($C75,DexData,7,0)+INT(S75/4)+M75)/2)+5)*X75)*IF($E75="Eviolite",1.5,1))</f>
        <v>45</v>
      </c>
      <c r="AE75" s="84">
        <f>INT(INT((INT((2*VLOOKUP($C75,DexData,9,0)+INT(T75/4)+N75)/2)+5)*Y75)*IF($E75="Choice Specs",1.5,1))</f>
        <v>36</v>
      </c>
      <c r="AF75" s="84">
        <f>INT(INT((INT((2*VLOOKUP($C75,DexData,10,0)+INT(U75/4)+O75)/2)+5)*Z75)*IF(OR($E75="Eviolite",$E75="Assault Vest"),1.5,1))</f>
        <v>45</v>
      </c>
      <c r="AG75" s="84">
        <f>INT(INT((INT((2*VLOOKUP($C75,DexData,11,0)+INT(V75/4)+P75)/2)+5)*AA75)*IF($E75="Choice Scarf",1.5,IF($E75="Iron Ball",0.5,1)))</f>
        <v>94</v>
      </c>
      <c r="AH75" s="84" t="str">
        <f>VLOOKUP(VLOOKUP($C75,DexData,3,0),Aliases!D$2:E$19,2,0)&amp;IFERROR("/"&amp;VLOOKUP(VLOOKUP($C75,DexData,4,0),Aliases!D$2:E$19,2,0),"")</f>
        <v>FTG</v>
      </c>
      <c r="AI75" s="7">
        <v>3.0</v>
      </c>
      <c r="AJ75" s="7">
        <f>IF(VLOOKUP(B75,'Set Odds'!A$2:AN$1067,40,0),1,IF(VLOOKUP(B75,'Set Odds'!A$2:AO$1067,41,0),2,0))</f>
        <v>0</v>
      </c>
      <c r="AK75" s="7"/>
      <c r="AL75" s="7" t="str">
        <f t="shared" si="1"/>
        <v/>
      </c>
    </row>
    <row r="76" ht="12.75" customHeight="1">
      <c r="A76" s="86">
        <v>75.0</v>
      </c>
      <c r="B76" s="84" t="s">
        <v>2903</v>
      </c>
      <c r="C76" s="7" t="s">
        <v>2722</v>
      </c>
      <c r="D76" s="7" t="s">
        <v>2723</v>
      </c>
      <c r="E76" s="7" t="s">
        <v>2724</v>
      </c>
      <c r="F76" s="84" t="s">
        <v>2725</v>
      </c>
      <c r="G76" s="84" t="s">
        <v>2726</v>
      </c>
      <c r="H76" s="84" t="s">
        <v>2719</v>
      </c>
      <c r="I76" s="84" t="s">
        <v>2727</v>
      </c>
      <c r="J76" s="7" t="s">
        <v>2728</v>
      </c>
      <c r="K76" s="7">
        <v>31.0</v>
      </c>
      <c r="L76" s="7">
        <v>0.0</v>
      </c>
      <c r="M76" s="7">
        <v>0.0</v>
      </c>
      <c r="N76" s="7">
        <v>0.0</v>
      </c>
      <c r="O76" s="7">
        <v>31.0</v>
      </c>
      <c r="P76" s="7">
        <v>0.0</v>
      </c>
      <c r="Q76" s="7">
        <v>108.0</v>
      </c>
      <c r="R76" s="7">
        <v>0.0</v>
      </c>
      <c r="S76" s="7">
        <v>0.0</v>
      </c>
      <c r="T76" s="7">
        <v>0.0</v>
      </c>
      <c r="U76" s="7">
        <v>108.0</v>
      </c>
      <c r="V76" s="7">
        <v>0.0</v>
      </c>
      <c r="W76" s="7">
        <f>VLOOKUP($D76,NatureChart,2,0)</f>
        <v>1</v>
      </c>
      <c r="X76" s="7">
        <f>VLOOKUP($D76,NatureChart,3,0)</f>
        <v>1</v>
      </c>
      <c r="Y76" s="7">
        <f>VLOOKUP($D76,NatureChart,4,0)</f>
        <v>0.9</v>
      </c>
      <c r="Z76" s="7">
        <f>VLOOKUP($D76,NatureChart,5,0)</f>
        <v>1.1</v>
      </c>
      <c r="AA76" s="84">
        <f>VLOOKUP($D76,NatureChart,6,0)</f>
        <v>1</v>
      </c>
      <c r="AB76" s="84">
        <f>IF($C76="Shedinja",1,(INT((2*VLOOKUP($C76,DexData,5,0)+INT(Q76/4)+K76)/2)+60))</f>
        <v>139</v>
      </c>
      <c r="AC76" s="84">
        <f>INT(INT((INT((2*VLOOKUP($C76,DexData,6,0)+INT(R76/4)+L76)/2)+5)*W76)*IF($E76="Choice Band",1.5,IF(OR($E76="Mawilite",$E76="Medichamite",$E76="Thick Club"),2,1)))</f>
        <v>85</v>
      </c>
      <c r="AD76" s="84">
        <f>INT(INT((INT((2*VLOOKUP($C76,DexData,7,0)+INT(S76/4)+M76)/2)+5)*X76)*IF($E76="Eviolite",1.5,1))</f>
        <v>100</v>
      </c>
      <c r="AE76" s="84">
        <f>INT(INT((INT((2*VLOOKUP($C76,DexData,9,0)+INT(T76/4)+N76)/2)+5)*Y76)*IF($E76="Choice Specs",1.5,1))</f>
        <v>13</v>
      </c>
      <c r="AF76" s="84">
        <f>INT(INT((INT((2*VLOOKUP($C76,DexData,10,0)+INT(U76/4)+O76)/2)+5)*Z76)*IF(OR($E76="Eviolite",$E76="Assault Vest"),1.5,1))</f>
        <v>86</v>
      </c>
      <c r="AG76" s="84">
        <f>INT(INT((INT((2*VLOOKUP($C76,DexData,11,0)+INT(V76/4)+P76)/2)+5)*AA76)*IF($E76="Choice Scarf",1.5,IF($E76="Iron Ball",0.5,1)))</f>
        <v>15</v>
      </c>
      <c r="AH76" s="84" t="str">
        <f>VLOOKUP(VLOOKUP($C76,DexData,3,0),Aliases!D$2:E$19,2,0)&amp;IFERROR("/"&amp;VLOOKUP(VLOOKUP($C76,DexData,4,0),Aliases!D$2:E$19,2,0),"")</f>
        <v>RCK</v>
      </c>
      <c r="AI76" s="7">
        <v>3.0</v>
      </c>
      <c r="AJ76" s="7">
        <f>IF(VLOOKUP(B76,'Set Odds'!A$2:AN$1067,40,0),1,IF(VLOOKUP(B76,'Set Odds'!A$2:AO$1067,41,0),2,0))</f>
        <v>0</v>
      </c>
      <c r="AK76" s="7"/>
      <c r="AL76" s="7" t="str">
        <f t="shared" si="1"/>
        <v/>
      </c>
    </row>
    <row r="77" ht="12.75" customHeight="1">
      <c r="A77" s="86">
        <v>76.0</v>
      </c>
      <c r="B77" s="84" t="s">
        <v>2904</v>
      </c>
      <c r="C77" s="7" t="s">
        <v>2730</v>
      </c>
      <c r="D77" s="7" t="s">
        <v>2571</v>
      </c>
      <c r="E77" s="7" t="s">
        <v>2731</v>
      </c>
      <c r="F77" s="84" t="s">
        <v>2732</v>
      </c>
      <c r="G77" s="84" t="s">
        <v>2670</v>
      </c>
      <c r="H77" s="84" t="s">
        <v>2733</v>
      </c>
      <c r="I77" s="84" t="s">
        <v>2734</v>
      </c>
      <c r="J77" s="7" t="s">
        <v>2735</v>
      </c>
      <c r="K77" s="7">
        <v>31.0</v>
      </c>
      <c r="L77" s="7">
        <v>31.0</v>
      </c>
      <c r="M77" s="7">
        <v>0.0</v>
      </c>
      <c r="N77" s="7">
        <v>0.0</v>
      </c>
      <c r="O77" s="7">
        <v>0.0</v>
      </c>
      <c r="P77" s="7">
        <v>0.0</v>
      </c>
      <c r="Q77" s="7">
        <v>108.0</v>
      </c>
      <c r="R77" s="7">
        <v>108.0</v>
      </c>
      <c r="S77" s="7">
        <v>0.0</v>
      </c>
      <c r="T77" s="7">
        <v>0.0</v>
      </c>
      <c r="U77" s="7">
        <v>0.0</v>
      </c>
      <c r="V77" s="7">
        <v>0.0</v>
      </c>
      <c r="W77" s="7">
        <f>VLOOKUP($D77,NatureChart,2,0)</f>
        <v>1.1</v>
      </c>
      <c r="X77" s="7">
        <f>VLOOKUP($D77,NatureChart,3,0)</f>
        <v>1</v>
      </c>
      <c r="Y77" s="7">
        <f>VLOOKUP($D77,NatureChart,4,0)</f>
        <v>0.9</v>
      </c>
      <c r="Z77" s="7">
        <f>VLOOKUP($D77,NatureChart,5,0)</f>
        <v>1</v>
      </c>
      <c r="AA77" s="84">
        <f>VLOOKUP($D77,NatureChart,6,0)</f>
        <v>1</v>
      </c>
      <c r="AB77" s="84">
        <f>IF($C77="Shedinja",1,(INT((2*VLOOKUP($C77,DexData,5,0)+INT(Q77/4)+K77)/2)+60))</f>
        <v>133</v>
      </c>
      <c r="AC77" s="84">
        <f>INT(INT((INT((2*VLOOKUP($C77,DexData,6,0)+INT(R77/4)+L77)/2)+5)*W77)*IF($E77="Choice Band",1.5,IF(OR($E77="Mawilite",$E77="Medichamite",$E77="Thick Club"),2,1)))</f>
        <v>119</v>
      </c>
      <c r="AD77" s="84">
        <f>INT(INT((INT((2*VLOOKUP($C77,DexData,7,0)+INT(S77/4)+M77)/2)+5)*X77)*IF($E77="Eviolite",1.5,1))</f>
        <v>40</v>
      </c>
      <c r="AE77" s="84">
        <f>INT(INT((INT((2*VLOOKUP($C77,DexData,9,0)+INT(T77/4)+N77)/2)+5)*Y77)*IF($E77="Choice Specs",1.5,1))</f>
        <v>61</v>
      </c>
      <c r="AF77" s="84">
        <f>INT(INT((INT((2*VLOOKUP($C77,DexData,10,0)+INT(U77/4)+O77)/2)+5)*Z77)*IF(OR($E77="Eviolite",$E77="Assault Vest"),1.5,1))</f>
        <v>38</v>
      </c>
      <c r="AG77" s="84">
        <f>INT(INT((INT((2*VLOOKUP($C77,DexData,11,0)+INT(V77/4)+P77)/2)+5)*AA77)*IF($E77="Choice Scarf",1.5,IF($E77="Iron Ball",0.5,1)))</f>
        <v>50</v>
      </c>
      <c r="AH77" s="84" t="str">
        <f>VLOOKUP(VLOOKUP($C77,DexData,3,0),Aliases!D$2:E$19,2,0)&amp;IFERROR("/"&amp;VLOOKUP(VLOOKUP($C77,DexData,4,0),Aliases!D$2:E$19,2,0),"")</f>
        <v>GHO</v>
      </c>
      <c r="AI77" s="7">
        <v>3.0</v>
      </c>
      <c r="AJ77" s="7">
        <f>IF(VLOOKUP(B77,'Set Odds'!A$2:AN$1067,40,0),1,IF(VLOOKUP(B77,'Set Odds'!A$2:AO$1067,41,0),2,0))</f>
        <v>0</v>
      </c>
      <c r="AK77" s="7"/>
      <c r="AL77" s="7" t="str">
        <f t="shared" si="1"/>
        <v/>
      </c>
    </row>
    <row r="78" ht="12.75" customHeight="1">
      <c r="A78" s="86">
        <v>77.0</v>
      </c>
      <c r="B78" s="84" t="s">
        <v>2905</v>
      </c>
      <c r="C78" s="7" t="s">
        <v>2737</v>
      </c>
      <c r="D78" s="7" t="s">
        <v>2648</v>
      </c>
      <c r="E78" s="7" t="s">
        <v>2738</v>
      </c>
      <c r="F78" s="84" t="s">
        <v>2670</v>
      </c>
      <c r="G78" s="84" t="s">
        <v>2732</v>
      </c>
      <c r="H78" s="84" t="s">
        <v>2739</v>
      </c>
      <c r="I78" s="84" t="s">
        <v>2536</v>
      </c>
      <c r="J78" s="7" t="s">
        <v>2714</v>
      </c>
      <c r="K78" s="7">
        <v>31.0</v>
      </c>
      <c r="L78" s="7">
        <v>0.0</v>
      </c>
      <c r="M78" s="7">
        <v>31.0</v>
      </c>
      <c r="N78" s="7">
        <v>0.0</v>
      </c>
      <c r="O78" s="7">
        <v>0.0</v>
      </c>
      <c r="P78" s="7">
        <v>0.0</v>
      </c>
      <c r="Q78" s="7">
        <v>108.0</v>
      </c>
      <c r="R78" s="7">
        <v>0.0</v>
      </c>
      <c r="S78" s="7">
        <v>108.0</v>
      </c>
      <c r="T78" s="7">
        <v>0.0</v>
      </c>
      <c r="U78" s="7">
        <v>0.0</v>
      </c>
      <c r="V78" s="7">
        <v>0.0</v>
      </c>
      <c r="W78" s="7">
        <f>VLOOKUP($D78,NatureChart,2,0)</f>
        <v>1</v>
      </c>
      <c r="X78" s="7">
        <f>VLOOKUP($D78,NatureChart,3,0)</f>
        <v>1.1</v>
      </c>
      <c r="Y78" s="7">
        <f>VLOOKUP($D78,NatureChart,4,0)</f>
        <v>0.9</v>
      </c>
      <c r="Z78" s="7">
        <f>VLOOKUP($D78,NatureChart,5,0)</f>
        <v>1</v>
      </c>
      <c r="AA78" s="84">
        <f>VLOOKUP($D78,NatureChart,6,0)</f>
        <v>1</v>
      </c>
      <c r="AB78" s="84">
        <f>IF($C78="Shedinja",1,(INT((2*VLOOKUP($C78,DexData,5,0)+INT(Q78/4)+K78)/2)+60))</f>
        <v>109</v>
      </c>
      <c r="AC78" s="84">
        <f>INT(INT((INT((2*VLOOKUP($C78,DexData,6,0)+INT(R78/4)+L78)/2)+5)*W78)*IF($E78="Choice Band",1.5,IF(OR($E78="Mawilite",$E78="Medichamite",$E78="Thick Club"),2,1)))</f>
        <v>45</v>
      </c>
      <c r="AD78" s="84">
        <f>INT(INT((INT((2*VLOOKUP($C78,DexData,7,0)+INT(S78/4)+M78)/2)+5)*X78)*IF($E78="Eviolite",1.5,1))</f>
        <v>136</v>
      </c>
      <c r="AE78" s="84">
        <f>INT(INT((INT((2*VLOOKUP($C78,DexData,9,0)+INT(T78/4)+N78)/2)+5)*Y78)*IF($E78="Choice Specs",1.5,1))</f>
        <v>31</v>
      </c>
      <c r="AF78" s="84">
        <f>INT(INT((INT((2*VLOOKUP($C78,DexData,10,0)+INT(U78/4)+O78)/2)+5)*Z78)*IF(OR($E78="Eviolite",$E78="Assault Vest"),1.5,1))</f>
        <v>95</v>
      </c>
      <c r="AG78" s="84">
        <f>INT(INT((INT((2*VLOOKUP($C78,DexData,11,0)+INT(V78/4)+P78)/2)+5)*AA78)*IF($E78="Choice Scarf",1.5,IF($E78="Iron Ball",0.5,1)))</f>
        <v>30</v>
      </c>
      <c r="AH78" s="84" t="str">
        <f>VLOOKUP(VLOOKUP($C78,DexData,3,0),Aliases!D$2:E$19,2,0)&amp;IFERROR("/"&amp;VLOOKUP(VLOOKUP($C78,DexData,4,0),Aliases!D$2:E$19,2,0),"")</f>
        <v>GHO</v>
      </c>
      <c r="AI78" s="7">
        <v>3.0</v>
      </c>
      <c r="AJ78" s="7">
        <f>IF(VLOOKUP(B78,'Set Odds'!A$2:AN$1067,40,0),1,IF(VLOOKUP(B78,'Set Odds'!A$2:AO$1067,41,0),2,0))</f>
        <v>0</v>
      </c>
      <c r="AK78" s="7"/>
      <c r="AL78" s="7" t="str">
        <f t="shared" si="1"/>
        <v/>
      </c>
    </row>
    <row r="79" ht="12.75" customHeight="1">
      <c r="A79" s="86">
        <v>78.0</v>
      </c>
      <c r="B79" s="84" t="s">
        <v>2906</v>
      </c>
      <c r="C79" s="7" t="s">
        <v>2741</v>
      </c>
      <c r="D79" s="7" t="s">
        <v>2656</v>
      </c>
      <c r="E79" s="7" t="s">
        <v>2515</v>
      </c>
      <c r="F79" s="84" t="s">
        <v>2732</v>
      </c>
      <c r="G79" s="84" t="s">
        <v>2536</v>
      </c>
      <c r="H79" s="84" t="s">
        <v>2637</v>
      </c>
      <c r="I79" s="84" t="s">
        <v>2602</v>
      </c>
      <c r="J79" s="7" t="s">
        <v>2742</v>
      </c>
      <c r="K79" s="7">
        <v>0.0</v>
      </c>
      <c r="L79" s="7">
        <v>0.0</v>
      </c>
      <c r="M79" s="7">
        <v>0.0</v>
      </c>
      <c r="N79" s="7">
        <v>31.0</v>
      </c>
      <c r="O79" s="7">
        <v>0.0</v>
      </c>
      <c r="P79" s="7">
        <v>31.0</v>
      </c>
      <c r="Q79" s="7">
        <v>0.0</v>
      </c>
      <c r="R79" s="7">
        <v>0.0</v>
      </c>
      <c r="S79" s="7">
        <v>0.0</v>
      </c>
      <c r="T79" s="7">
        <v>108.0</v>
      </c>
      <c r="U79" s="7">
        <v>0.0</v>
      </c>
      <c r="V79" s="7">
        <v>108.0</v>
      </c>
      <c r="W79" s="7">
        <f>VLOOKUP($D79,NatureChart,2,0)</f>
        <v>0.9</v>
      </c>
      <c r="X79" s="7">
        <f>VLOOKUP($D79,NatureChart,3,0)</f>
        <v>1</v>
      </c>
      <c r="Y79" s="7">
        <f>VLOOKUP($D79,NatureChart,4,0)</f>
        <v>1.1</v>
      </c>
      <c r="Z79" s="7">
        <f>VLOOKUP($D79,NatureChart,5,0)</f>
        <v>1</v>
      </c>
      <c r="AA79" s="84">
        <f>VLOOKUP($D79,NatureChart,6,0)</f>
        <v>1</v>
      </c>
      <c r="AB79" s="84">
        <f>IF($C79="Shedinja",1,(INT((2*VLOOKUP($C79,DexData,5,0)+INT(Q79/4)+K79)/2)+60))</f>
        <v>98</v>
      </c>
      <c r="AC79" s="84">
        <f>INT(INT((INT((2*VLOOKUP($C79,DexData,6,0)+INT(R79/4)+L79)/2)+5)*W79)*IF($E79="Choice Band",1.5,IF(OR($E79="Mawilite",$E79="Medichamite",$E79="Thick Club"),2,1)))</f>
        <v>41</v>
      </c>
      <c r="AD79" s="84">
        <f>INT(INT((INT((2*VLOOKUP($C79,DexData,7,0)+INT(S79/4)+M79)/2)+5)*X79)*IF($E79="Eviolite",1.5,1))</f>
        <v>45</v>
      </c>
      <c r="AE79" s="84">
        <f>INT(INT((INT((2*VLOOKUP($C79,DexData,9,0)+INT(T79/4)+N79)/2)+5)*Y79)*IF($E79="Choice Specs",1.5,1))</f>
        <v>92</v>
      </c>
      <c r="AF79" s="84">
        <f>INT(INT((INT((2*VLOOKUP($C79,DexData,10,0)+INT(U79/4)+O79)/2)+5)*Z79)*IF(OR($E79="Eviolite",$E79="Assault Vest"),1.5,1))</f>
        <v>70</v>
      </c>
      <c r="AG79" s="84">
        <f>INT(INT((INT((2*VLOOKUP($C79,DexData,11,0)+INT(V79/4)+P79)/2)+5)*AA79)*IF($E79="Choice Scarf",1.5,IF($E79="Iron Ball",0.5,1)))</f>
        <v>99</v>
      </c>
      <c r="AH79" s="84" t="str">
        <f>VLOOKUP(VLOOKUP($C79,DexData,3,0),Aliases!D$2:E$19,2,0)&amp;IFERROR("/"&amp;VLOOKUP(VLOOKUP($C79,DexData,4,0),Aliases!D$2:E$19,2,0),"")</f>
        <v>FIR</v>
      </c>
      <c r="AI79" s="7">
        <v>3.0</v>
      </c>
      <c r="AJ79" s="7">
        <f>IF(VLOOKUP(B79,'Set Odds'!A$2:AN$1067,40,0),1,IF(VLOOKUP(B79,'Set Odds'!A$2:AO$1067,41,0),2,0))</f>
        <v>0</v>
      </c>
      <c r="AK79" s="7"/>
      <c r="AL79" s="7" t="str">
        <f t="shared" si="1"/>
        <v/>
      </c>
    </row>
    <row r="80" ht="12.75" customHeight="1">
      <c r="A80" s="86">
        <v>79.0</v>
      </c>
      <c r="B80" s="84" t="s">
        <v>2907</v>
      </c>
      <c r="C80" s="7" t="s">
        <v>2744</v>
      </c>
      <c r="D80" s="7" t="s">
        <v>2692</v>
      </c>
      <c r="E80" s="7" t="s">
        <v>2745</v>
      </c>
      <c r="F80" s="84" t="s">
        <v>2693</v>
      </c>
      <c r="G80" s="84" t="s">
        <v>2581</v>
      </c>
      <c r="H80" s="84" t="s">
        <v>2746</v>
      </c>
      <c r="I80" s="84" t="s">
        <v>2602</v>
      </c>
      <c r="J80" s="7" t="s">
        <v>2747</v>
      </c>
      <c r="K80" s="7">
        <v>15.0</v>
      </c>
      <c r="L80" s="7">
        <v>31.0</v>
      </c>
      <c r="M80" s="7">
        <v>15.0</v>
      </c>
      <c r="N80" s="7">
        <v>0.0</v>
      </c>
      <c r="O80" s="7">
        <v>15.0</v>
      </c>
      <c r="P80" s="7">
        <v>31.0</v>
      </c>
      <c r="Q80" s="7">
        <v>0.0</v>
      </c>
      <c r="R80" s="7">
        <v>108.0</v>
      </c>
      <c r="S80" s="7">
        <v>0.0</v>
      </c>
      <c r="T80" s="7">
        <v>0.0</v>
      </c>
      <c r="U80" s="7">
        <v>0.0</v>
      </c>
      <c r="V80" s="7">
        <v>108.0</v>
      </c>
      <c r="W80" s="7">
        <f>VLOOKUP($D80,NatureChart,2,0)</f>
        <v>1</v>
      </c>
      <c r="X80" s="7">
        <f>VLOOKUP($D80,NatureChart,3,0)</f>
        <v>1</v>
      </c>
      <c r="Y80" s="7">
        <f>VLOOKUP($D80,NatureChart,4,0)</f>
        <v>0.9</v>
      </c>
      <c r="Z80" s="7">
        <f>VLOOKUP($D80,NatureChart,5,0)</f>
        <v>1</v>
      </c>
      <c r="AA80" s="84">
        <f>VLOOKUP($D80,NatureChart,6,0)</f>
        <v>1.1</v>
      </c>
      <c r="AB80" s="84">
        <f>IF($C80="Shedinja",1,(INT((2*VLOOKUP($C80,DexData,5,0)+INT(Q80/4)+K80)/2)+60))</f>
        <v>102</v>
      </c>
      <c r="AC80" s="84">
        <f>INT(INT((INT((2*VLOOKUP($C80,DexData,6,0)+INT(R80/4)+L80)/2)+5)*W80)*IF($E80="Choice Band",1.5,IF(OR($E80="Mawilite",$E80="Medichamite",$E80="Thick Club"),2,1)))</f>
        <v>89</v>
      </c>
      <c r="AD80" s="84">
        <f>INT(INT((INT((2*VLOOKUP($C80,DexData,7,0)+INT(S80/4)+M80)/2)+5)*X80)*IF($E80="Eviolite",1.5,1))</f>
        <v>52</v>
      </c>
      <c r="AE80" s="84">
        <f>INT(INT((INT((2*VLOOKUP($C80,DexData,9,0)+INT(T80/4)+N80)/2)+5)*Y80)*IF($E80="Choice Specs",1.5,1))</f>
        <v>49</v>
      </c>
      <c r="AF80" s="84">
        <f>INT(INT((INT((2*VLOOKUP($C80,DexData,10,0)+INT(U80/4)+O80)/2)+5)*Z80)*IF(OR($E80="Eviolite",$E80="Assault Vest"),1.5,1))</f>
        <v>62</v>
      </c>
      <c r="AG80" s="84">
        <f>INT(INT((INT((2*VLOOKUP($C80,DexData,11,0)+INT(V80/4)+P80)/2)+5)*AA80)*IF($E80="Choice Scarf",1.5,IF($E80="Iron Ball",0.5,1)))</f>
        <v>136</v>
      </c>
      <c r="AH80" s="84" t="str">
        <f>VLOOKUP(VLOOKUP($C80,DexData,3,0),Aliases!D$2:E$19,2,0)&amp;IFERROR("/"&amp;VLOOKUP(VLOOKUP($C80,DexData,4,0),Aliases!D$2:E$19,2,0),"")</f>
        <v>ELC</v>
      </c>
      <c r="AI80" s="7">
        <v>3.0</v>
      </c>
      <c r="AJ80" s="7">
        <f>IF(VLOOKUP(B80,'Set Odds'!A$2:AN$1067,40,0),1,IF(VLOOKUP(B80,'Set Odds'!A$2:AO$1067,41,0),2,0))</f>
        <v>0</v>
      </c>
      <c r="AK80" s="7"/>
      <c r="AL80" s="7" t="str">
        <f t="shared" si="1"/>
        <v/>
      </c>
    </row>
    <row r="81" ht="12.75" customHeight="1">
      <c r="A81" s="86">
        <v>80.0</v>
      </c>
      <c r="B81" s="84" t="s">
        <v>2908</v>
      </c>
      <c r="C81" s="7" t="s">
        <v>2749</v>
      </c>
      <c r="D81" s="7" t="s">
        <v>2571</v>
      </c>
      <c r="E81" s="7" t="s">
        <v>2750</v>
      </c>
      <c r="F81" s="84" t="s">
        <v>2626</v>
      </c>
      <c r="G81" s="84" t="s">
        <v>2751</v>
      </c>
      <c r="H81" s="84" t="s">
        <v>2752</v>
      </c>
      <c r="I81" s="84" t="s">
        <v>2620</v>
      </c>
      <c r="J81" s="7" t="s">
        <v>2753</v>
      </c>
      <c r="K81" s="7">
        <v>31.0</v>
      </c>
      <c r="L81" s="7">
        <v>31.0</v>
      </c>
      <c r="M81" s="7">
        <v>0.0</v>
      </c>
      <c r="N81" s="7">
        <v>0.0</v>
      </c>
      <c r="O81" s="7">
        <v>0.0</v>
      </c>
      <c r="P81" s="7">
        <v>0.0</v>
      </c>
      <c r="Q81" s="7">
        <v>108.0</v>
      </c>
      <c r="R81" s="7">
        <v>108.0</v>
      </c>
      <c r="S81" s="7">
        <v>0.0</v>
      </c>
      <c r="T81" s="7">
        <v>0.0</v>
      </c>
      <c r="U81" s="7">
        <v>0.0</v>
      </c>
      <c r="V81" s="7">
        <v>0.0</v>
      </c>
      <c r="W81" s="7">
        <f>VLOOKUP($D81,NatureChart,2,0)</f>
        <v>1.1</v>
      </c>
      <c r="X81" s="7">
        <f>VLOOKUP($D81,NatureChart,3,0)</f>
        <v>1</v>
      </c>
      <c r="Y81" s="7">
        <f>VLOOKUP($D81,NatureChart,4,0)</f>
        <v>0.9</v>
      </c>
      <c r="Z81" s="7">
        <f>VLOOKUP($D81,NatureChart,5,0)</f>
        <v>1</v>
      </c>
      <c r="AA81" s="84">
        <f>VLOOKUP($D81,NatureChart,6,0)</f>
        <v>1</v>
      </c>
      <c r="AB81" s="84">
        <f>IF($C81="Shedinja",1,(INT((2*VLOOKUP($C81,DexData,5,0)+INT(Q81/4)+K81)/2)+60))</f>
        <v>139</v>
      </c>
      <c r="AC81" s="84">
        <f>INT(INT((INT((2*VLOOKUP($C81,DexData,6,0)+INT(R81/4)+L81)/2)+5)*W81)*IF($E81="Choice Band",1.5,IF(OR($E81="Mawilite",$E81="Medichamite",$E81="Thick Club"),2,1)))</f>
        <v>119</v>
      </c>
      <c r="AD81" s="84">
        <f>INT(INT((INT((2*VLOOKUP($C81,DexData,7,0)+INT(S81/4)+M81)/2)+5)*X81)*IF($E81="Eviolite",1.5,1))</f>
        <v>90</v>
      </c>
      <c r="AE81" s="84">
        <f>INT(INT((INT((2*VLOOKUP($C81,DexData,9,0)+INT(T81/4)+N81)/2)+5)*Y81)*IF($E81="Choice Specs",1.5,1))</f>
        <v>22</v>
      </c>
      <c r="AF81" s="84">
        <f>INT(INT((INT((2*VLOOKUP($C81,DexData,10,0)+INT(U81/4)+O81)/2)+5)*Z81)*IF(OR($E81="Eviolite",$E81="Assault Vest"),1.5,1))</f>
        <v>35</v>
      </c>
      <c r="AG81" s="84">
        <f>INT(INT((INT((2*VLOOKUP($C81,DexData,11,0)+INT(V81/4)+P81)/2)+5)*AA81)*IF($E81="Choice Scarf",1.5,IF($E81="Iron Ball",0.5,1)))</f>
        <v>45</v>
      </c>
      <c r="AH81" s="84" t="str">
        <f>VLOOKUP(VLOOKUP($C81,DexData,3,0),Aliases!D$2:E$19,2,0)&amp;IFERROR("/"&amp;VLOOKUP(VLOOKUP($C81,DexData,4,0),Aliases!D$2:E$19,2,0),"")</f>
        <v>GRD</v>
      </c>
      <c r="AI81" s="7">
        <v>3.0</v>
      </c>
      <c r="AJ81" s="7">
        <f>IF(VLOOKUP(B81,'Set Odds'!A$2:AN$1067,40,0),1,IF(VLOOKUP(B81,'Set Odds'!A$2:AO$1067,41,0),2,0))</f>
        <v>0</v>
      </c>
      <c r="AK81" s="7"/>
      <c r="AL81" s="7" t="str">
        <f t="shared" si="1"/>
        <v/>
      </c>
    </row>
    <row r="82" ht="12.75" customHeight="1">
      <c r="A82" s="86">
        <v>81.0</v>
      </c>
      <c r="B82" s="84" t="s">
        <v>2909</v>
      </c>
      <c r="C82" s="7" t="s">
        <v>2755</v>
      </c>
      <c r="D82" s="7" t="s">
        <v>2629</v>
      </c>
      <c r="E82" s="7" t="s">
        <v>2636</v>
      </c>
      <c r="F82" s="84" t="s">
        <v>2756</v>
      </c>
      <c r="G82" s="84" t="s">
        <v>2757</v>
      </c>
      <c r="H82" s="84" t="s">
        <v>2758</v>
      </c>
      <c r="I82" s="84" t="s">
        <v>2517</v>
      </c>
      <c r="J82" s="7" t="s">
        <v>2728</v>
      </c>
      <c r="K82" s="7">
        <v>31.0</v>
      </c>
      <c r="L82" s="7">
        <v>31.0</v>
      </c>
      <c r="M82" s="7">
        <v>0.0</v>
      </c>
      <c r="N82" s="7">
        <v>0.0</v>
      </c>
      <c r="O82" s="7">
        <v>0.0</v>
      </c>
      <c r="P82" s="7">
        <v>0.0</v>
      </c>
      <c r="Q82" s="7">
        <v>108.0</v>
      </c>
      <c r="R82" s="7">
        <v>108.0</v>
      </c>
      <c r="S82" s="7">
        <v>0.0</v>
      </c>
      <c r="T82" s="7">
        <v>0.0</v>
      </c>
      <c r="U82" s="7">
        <v>0.0</v>
      </c>
      <c r="V82" s="7">
        <v>0.0</v>
      </c>
      <c r="W82" s="7">
        <f>VLOOKUP($D82,NatureChart,2,0)</f>
        <v>1.1</v>
      </c>
      <c r="X82" s="7">
        <f>VLOOKUP($D82,NatureChart,3,0)</f>
        <v>1</v>
      </c>
      <c r="Y82" s="7">
        <f>VLOOKUP($D82,NatureChart,4,0)</f>
        <v>1</v>
      </c>
      <c r="Z82" s="7">
        <f>VLOOKUP($D82,NatureChart,5,0)</f>
        <v>1</v>
      </c>
      <c r="AA82" s="84">
        <f>VLOOKUP($D82,NatureChart,6,0)</f>
        <v>0.9</v>
      </c>
      <c r="AB82" s="84">
        <f>IF($C82="Shedinja",1,(INT((2*VLOOKUP($C82,DexData,5,0)+INT(Q82/4)+K82)/2)+60))</f>
        <v>129</v>
      </c>
      <c r="AC82" s="84">
        <f>INT(INT((INT((2*VLOOKUP($C82,DexData,6,0)+INT(R82/4)+L82)/2)+5)*W82)*IF($E82="Choice Band",1.5,IF(OR($E82="Mawilite",$E82="Medichamite",$E82="Thick Club"),2,1)))</f>
        <v>125</v>
      </c>
      <c r="AD82" s="84">
        <f>INT(INT((INT((2*VLOOKUP($C82,DexData,7,0)+INT(S82/4)+M82)/2)+5)*X82)*IF($E82="Eviolite",1.5,1))</f>
        <v>105</v>
      </c>
      <c r="AE82" s="84">
        <f>INT(INT((INT((2*VLOOKUP($C82,DexData,9,0)+INT(T82/4)+N82)/2)+5)*Y82)*IF($E82="Choice Specs",1.5,1))</f>
        <v>35</v>
      </c>
      <c r="AF82" s="84">
        <f>INT(INT((INT((2*VLOOKUP($C82,DexData,10,0)+INT(U82/4)+O82)/2)+5)*Z82)*IF(OR($E82="Eviolite",$E82="Assault Vest"),1.5,1))</f>
        <v>35</v>
      </c>
      <c r="AG82" s="84">
        <f>INT(INT((INT((2*VLOOKUP($C82,DexData,11,0)+INT(V82/4)+P82)/2)+5)*AA82)*IF($E82="Choice Scarf",1.5,IF($E82="Iron Ball",0.5,1)))</f>
        <v>22</v>
      </c>
      <c r="AH82" s="84" t="str">
        <f>VLOOKUP(VLOOKUP($C82,DexData,3,0),Aliases!D$2:E$19,2,0)&amp;IFERROR("/"&amp;VLOOKUP(VLOOKUP($C82,DexData,4,0),Aliases!D$2:E$19,2,0),"")</f>
        <v>RCK/GRD</v>
      </c>
      <c r="AI82" s="7">
        <v>3.0</v>
      </c>
      <c r="AJ82" s="7">
        <f>IF(VLOOKUP(B82,'Set Odds'!A$2:AN$1067,40,0),1,IF(VLOOKUP(B82,'Set Odds'!A$2:AO$1067,41,0),2,0))</f>
        <v>0</v>
      </c>
      <c r="AK82" s="7"/>
      <c r="AL82" s="7" t="str">
        <f t="shared" si="1"/>
        <v/>
      </c>
    </row>
    <row r="83" ht="12.75" customHeight="1">
      <c r="A83" s="86">
        <v>82.0</v>
      </c>
      <c r="B83" s="84" t="s">
        <v>2910</v>
      </c>
      <c r="C83" s="7" t="s">
        <v>2760</v>
      </c>
      <c r="D83" s="7" t="s">
        <v>2599</v>
      </c>
      <c r="E83" s="7" t="s">
        <v>2761</v>
      </c>
      <c r="F83" s="84" t="s">
        <v>2762</v>
      </c>
      <c r="G83" s="84" t="s">
        <v>2763</v>
      </c>
      <c r="H83" s="84" t="s">
        <v>2764</v>
      </c>
      <c r="I83" s="84" t="s">
        <v>2607</v>
      </c>
      <c r="J83" s="7" t="s">
        <v>2653</v>
      </c>
      <c r="K83" s="7">
        <v>0.0</v>
      </c>
      <c r="L83" s="7">
        <v>31.0</v>
      </c>
      <c r="M83" s="7">
        <v>0.0</v>
      </c>
      <c r="N83" s="7">
        <v>31.0</v>
      </c>
      <c r="O83" s="7">
        <v>0.0</v>
      </c>
      <c r="P83" s="7">
        <v>0.0</v>
      </c>
      <c r="Q83" s="7">
        <v>0.0</v>
      </c>
      <c r="R83" s="7">
        <v>108.0</v>
      </c>
      <c r="S83" s="7">
        <v>0.0</v>
      </c>
      <c r="T83" s="7">
        <v>108.0</v>
      </c>
      <c r="U83" s="7">
        <v>0.0</v>
      </c>
      <c r="V83" s="7">
        <v>0.0</v>
      </c>
      <c r="W83" s="7">
        <f>VLOOKUP($D83,NatureChart,2,0)</f>
        <v>1</v>
      </c>
      <c r="X83" s="7">
        <f>VLOOKUP($D83,NatureChart,3,0)</f>
        <v>1</v>
      </c>
      <c r="Y83" s="7">
        <f>VLOOKUP($D83,NatureChart,4,0)</f>
        <v>1</v>
      </c>
      <c r="Z83" s="7">
        <f>VLOOKUP($D83,NatureChart,5,0)</f>
        <v>1</v>
      </c>
      <c r="AA83" s="84">
        <f>VLOOKUP($D83,NatureChart,6,0)</f>
        <v>1</v>
      </c>
      <c r="AB83" s="84">
        <f>IF($C83="Shedinja",1,(INT((2*VLOOKUP($C83,DexData,5,0)+INT(Q83/4)+K83)/2)+60))</f>
        <v>101</v>
      </c>
      <c r="AC83" s="84">
        <f>INT(INT((INT((2*VLOOKUP($C83,DexData,6,0)+INT(R83/4)+L83)/2)+5)*W83)*IF($E83="Choice Band",1.5,IF(OR($E83="Mawilite",$E83="Medichamite",$E83="Thick Club"),2,1)))</f>
        <v>98</v>
      </c>
      <c r="AD83" s="84">
        <f>INT(INT((INT((2*VLOOKUP($C83,DexData,7,0)+INT(S83/4)+M83)/2)+5)*X83)*IF($E83="Eviolite",1.5,1))</f>
        <v>50</v>
      </c>
      <c r="AE83" s="84">
        <f>INT(INT((INT((2*VLOOKUP($C83,DexData,9,0)+INT(T83/4)+N83)/2)+5)*Y83)*IF($E83="Choice Specs",1.5,1))</f>
        <v>84</v>
      </c>
      <c r="AF83" s="84">
        <f>INT(INT((INT((2*VLOOKUP($C83,DexData,10,0)+INT(U83/4)+O83)/2)+5)*Z83)*IF(OR($E83="Eviolite",$E83="Assault Vest"),1.5,1))</f>
        <v>55</v>
      </c>
      <c r="AG83" s="84">
        <f>INT(INT((INT((2*VLOOKUP($C83,DexData,11,0)+INT(V83/4)+P83)/2)+5)*AA83)*IF($E83="Choice Scarf",1.5,IF($E83="Iron Ball",0.5,1)))</f>
        <v>55</v>
      </c>
      <c r="AH83" s="84" t="str">
        <f>VLOOKUP(VLOOKUP($C83,DexData,3,0),Aliases!D$2:E$19,2,0)&amp;IFERROR("/"&amp;VLOOKUP(VLOOKUP($C83,DexData,4,0),Aliases!D$2:E$19,2,0),"")</f>
        <v>DRG</v>
      </c>
      <c r="AI83" s="7">
        <v>3.0</v>
      </c>
      <c r="AJ83" s="7">
        <f>IF(VLOOKUP(B83,'Set Odds'!A$2:AN$1067,40,0),1,IF(VLOOKUP(B83,'Set Odds'!A$2:AO$1067,41,0),2,0))</f>
        <v>0</v>
      </c>
      <c r="AK83" s="7"/>
      <c r="AL83" s="7" t="str">
        <f t="shared" si="1"/>
        <v/>
      </c>
    </row>
    <row r="84" ht="12.75" customHeight="1">
      <c r="A84" s="86">
        <v>83.0</v>
      </c>
      <c r="B84" s="84" t="s">
        <v>2911</v>
      </c>
      <c r="C84" s="7" t="s">
        <v>2766</v>
      </c>
      <c r="D84" s="7" t="s">
        <v>2629</v>
      </c>
      <c r="E84" s="7" t="s">
        <v>2579</v>
      </c>
      <c r="F84" s="84" t="s">
        <v>2588</v>
      </c>
      <c r="G84" s="84" t="s">
        <v>2767</v>
      </c>
      <c r="H84" s="84" t="s">
        <v>2534</v>
      </c>
      <c r="I84" s="84" t="s">
        <v>2583</v>
      </c>
      <c r="J84" s="7" t="s">
        <v>2696</v>
      </c>
      <c r="K84" s="7">
        <v>31.0</v>
      </c>
      <c r="L84" s="7">
        <v>31.0</v>
      </c>
      <c r="M84" s="7">
        <v>0.0</v>
      </c>
      <c r="N84" s="7">
        <v>0.0</v>
      </c>
      <c r="O84" s="7">
        <v>0.0</v>
      </c>
      <c r="P84" s="7">
        <v>0.0</v>
      </c>
      <c r="Q84" s="7">
        <v>108.0</v>
      </c>
      <c r="R84" s="7">
        <v>108.0</v>
      </c>
      <c r="S84" s="7">
        <v>0.0</v>
      </c>
      <c r="T84" s="7">
        <v>0.0</v>
      </c>
      <c r="U84" s="7">
        <v>0.0</v>
      </c>
      <c r="V84" s="7">
        <v>0.0</v>
      </c>
      <c r="W84" s="7">
        <f>VLOOKUP($D84,NatureChart,2,0)</f>
        <v>1.1</v>
      </c>
      <c r="X84" s="7">
        <f>VLOOKUP($D84,NatureChart,3,0)</f>
        <v>1</v>
      </c>
      <c r="Y84" s="7">
        <f>VLOOKUP($D84,NatureChart,4,0)</f>
        <v>1</v>
      </c>
      <c r="Z84" s="7">
        <f>VLOOKUP($D84,NatureChart,5,0)</f>
        <v>1</v>
      </c>
      <c r="AA84" s="84">
        <f>VLOOKUP($D84,NatureChart,6,0)</f>
        <v>0.9</v>
      </c>
      <c r="AB84" s="84">
        <f>IF($C84="Shedinja",1,(INT((2*VLOOKUP($C84,DexData,5,0)+INT(Q84/4)+K84)/2)+60))</f>
        <v>149</v>
      </c>
      <c r="AC84" s="84">
        <f>INT(INT((INT((2*VLOOKUP($C84,DexData,6,0)+INT(R84/4)+L84)/2)+5)*W84)*IF($E84="Choice Band",1.5,IF(OR($E84="Mawilite",$E84="Medichamite",$E84="Thick Club"),2,1)))</f>
        <v>125</v>
      </c>
      <c r="AD84" s="84">
        <f>INT(INT((INT((2*VLOOKUP($C84,DexData,7,0)+INT(S84/4)+M84)/2)+5)*X84)*IF($E84="Eviolite",1.5,1))</f>
        <v>55</v>
      </c>
      <c r="AE84" s="84">
        <f>INT(INT((INT((2*VLOOKUP($C84,DexData,9,0)+INT(T84/4)+N84)/2)+5)*Y84)*IF($E84="Choice Specs",1.5,1))</f>
        <v>45</v>
      </c>
      <c r="AF84" s="84">
        <f>INT(INT((INT((2*VLOOKUP($C84,DexData,10,0)+INT(U84/4)+O84)/2)+5)*Z84)*IF(OR($E84="Eviolite",$E84="Assault Vest"),1.5,1))</f>
        <v>45</v>
      </c>
      <c r="AG84" s="84">
        <f>INT(INT((INT((2*VLOOKUP($C84,DexData,11,0)+INT(V84/4)+P84)/2)+5)*AA84)*IF($E84="Choice Scarf",1.5,IF($E84="Iron Ball",0.5,1)))</f>
        <v>31</v>
      </c>
      <c r="AH84" s="84" t="str">
        <f>VLOOKUP(VLOOKUP($C84,DexData,3,0),Aliases!D$2:E$19,2,0)&amp;IFERROR("/"&amp;VLOOKUP(VLOOKUP($C84,DexData,4,0),Aliases!D$2:E$19,2,0),"")</f>
        <v>FAI</v>
      </c>
      <c r="AI84" s="7">
        <v>3.0</v>
      </c>
      <c r="AJ84" s="7">
        <f>IF(VLOOKUP(B84,'Set Odds'!A$2:AN$1067,40,0),1,IF(VLOOKUP(B84,'Set Odds'!A$2:AO$1067,41,0),2,0))</f>
        <v>0</v>
      </c>
      <c r="AK84" s="7"/>
      <c r="AL84" s="7" t="str">
        <f t="shared" si="1"/>
        <v/>
      </c>
    </row>
    <row r="85" ht="12.75" customHeight="1">
      <c r="A85" s="86">
        <v>84.0</v>
      </c>
      <c r="B85" s="84" t="s">
        <v>2912</v>
      </c>
      <c r="C85" s="7" t="s">
        <v>2769</v>
      </c>
      <c r="D85" s="7" t="s">
        <v>2611</v>
      </c>
      <c r="E85" s="7" t="s">
        <v>2770</v>
      </c>
      <c r="F85" s="84" t="s">
        <v>2643</v>
      </c>
      <c r="G85" s="84" t="s">
        <v>2771</v>
      </c>
      <c r="H85" s="84" t="s">
        <v>2772</v>
      </c>
      <c r="I85" s="84" t="s">
        <v>2517</v>
      </c>
      <c r="J85" s="7" t="s">
        <v>2773</v>
      </c>
      <c r="K85" s="7">
        <v>31.0</v>
      </c>
      <c r="L85" s="7">
        <v>0.0</v>
      </c>
      <c r="M85" s="7">
        <v>0.0</v>
      </c>
      <c r="N85" s="7">
        <v>31.0</v>
      </c>
      <c r="O85" s="7">
        <v>0.0</v>
      </c>
      <c r="P85" s="7">
        <v>0.0</v>
      </c>
      <c r="Q85" s="7">
        <v>108.0</v>
      </c>
      <c r="R85" s="7">
        <v>0.0</v>
      </c>
      <c r="S85" s="7">
        <v>0.0</v>
      </c>
      <c r="T85" s="7">
        <v>108.0</v>
      </c>
      <c r="U85" s="7">
        <v>0.0</v>
      </c>
      <c r="V85" s="7">
        <v>0.0</v>
      </c>
      <c r="W85" s="7">
        <f>VLOOKUP($D85,NatureChart,2,0)</f>
        <v>1</v>
      </c>
      <c r="X85" s="7">
        <f>VLOOKUP($D85,NatureChart,3,0)</f>
        <v>1</v>
      </c>
      <c r="Y85" s="7">
        <f>VLOOKUP($D85,NatureChart,4,0)</f>
        <v>1</v>
      </c>
      <c r="Z85" s="7">
        <f>VLOOKUP($D85,NatureChart,5,0)</f>
        <v>1</v>
      </c>
      <c r="AA85" s="84">
        <f>VLOOKUP($D85,NatureChart,6,0)</f>
        <v>1</v>
      </c>
      <c r="AB85" s="84">
        <f>IF($C85="Shedinja",1,(INT((2*VLOOKUP($C85,DexData,5,0)+INT(Q85/4)+K85)/2)+60))</f>
        <v>124</v>
      </c>
      <c r="AC85" s="84">
        <f>INT(INT((INT((2*VLOOKUP($C85,DexData,6,0)+INT(R85/4)+L85)/2)+5)*W85)*IF($E85="Choice Band",1.5,IF(OR($E85="Mawilite",$E85="Medichamite",$E85="Thick Club"),2,1)))</f>
        <v>70</v>
      </c>
      <c r="AD85" s="84">
        <f>INT(INT((INT((2*VLOOKUP($C85,DexData,7,0)+INT(S85/4)+M85)/2)+5)*X85)*IF($E85="Eviolite",1.5,1))</f>
        <v>40</v>
      </c>
      <c r="AE85" s="84">
        <f>INT(INT((INT((2*VLOOKUP($C85,DexData,9,0)+INT(T85/4)+N85)/2)+5)*Y85)*IF($E85="Choice Specs",1.5,1))</f>
        <v>99</v>
      </c>
      <c r="AF85" s="84">
        <f>INT(INT((INT((2*VLOOKUP($C85,DexData,10,0)+INT(U85/4)+O85)/2)+5)*Z85)*IF(OR($E85="Eviolite",$E85="Assault Vest"),1.5,1))</f>
        <v>40</v>
      </c>
      <c r="AG85" s="84">
        <f>INT(INT((INT((2*VLOOKUP($C85,DexData,11,0)+INT(V85/4)+P85)/2)+5)*AA85)*IF($E85="Choice Scarf",1.5,IF($E85="Iron Ball",0.5,1)))</f>
        <v>70</v>
      </c>
      <c r="AH85" s="84" t="str">
        <f>VLOOKUP(VLOOKUP($C85,DexData,3,0),Aliases!D$2:E$19,2,0)&amp;IFERROR("/"&amp;VLOOKUP(VLOOKUP($C85,DexData,4,0),Aliases!D$2:E$19,2,0),"")</f>
        <v>WTR</v>
      </c>
      <c r="AI85" s="7">
        <v>3.0</v>
      </c>
      <c r="AJ85" s="7">
        <f>IF(VLOOKUP(B85,'Set Odds'!A$2:AN$1067,40,0),1,IF(VLOOKUP(B85,'Set Odds'!A$2:AO$1067,41,0),2,0))</f>
        <v>0</v>
      </c>
      <c r="AK85" s="7"/>
      <c r="AL85" s="7" t="str">
        <f t="shared" si="1"/>
        <v/>
      </c>
    </row>
    <row r="86" ht="12.75" customHeight="1">
      <c r="A86" s="86">
        <v>85.0</v>
      </c>
      <c r="B86" s="84" t="s">
        <v>2913</v>
      </c>
      <c r="C86" s="7" t="s">
        <v>2775</v>
      </c>
      <c r="D86" s="7" t="s">
        <v>2789</v>
      </c>
      <c r="E86" s="7" t="s">
        <v>2761</v>
      </c>
      <c r="F86" s="84" t="s">
        <v>2776</v>
      </c>
      <c r="G86" s="84" t="s">
        <v>2625</v>
      </c>
      <c r="H86" s="84" t="s">
        <v>2626</v>
      </c>
      <c r="I86" s="84" t="s">
        <v>2588</v>
      </c>
      <c r="J86" s="7" t="s">
        <v>2777</v>
      </c>
      <c r="K86" s="7">
        <v>0.0</v>
      </c>
      <c r="L86" s="7">
        <v>31.0</v>
      </c>
      <c r="M86" s="7">
        <v>0.0</v>
      </c>
      <c r="N86" s="7">
        <v>0.0</v>
      </c>
      <c r="O86" s="7">
        <v>0.0</v>
      </c>
      <c r="P86" s="7">
        <v>31.0</v>
      </c>
      <c r="Q86" s="7">
        <v>0.0</v>
      </c>
      <c r="R86" s="7">
        <v>108.0</v>
      </c>
      <c r="S86" s="7">
        <v>0.0</v>
      </c>
      <c r="T86" s="7">
        <v>0.0</v>
      </c>
      <c r="U86" s="7">
        <v>0.0</v>
      </c>
      <c r="V86" s="7">
        <v>108.0</v>
      </c>
      <c r="W86" s="7">
        <f>VLOOKUP($D86,NatureChart,2,0)</f>
        <v>1.1</v>
      </c>
      <c r="X86" s="7">
        <f>VLOOKUP($D86,NatureChart,3,0)</f>
        <v>1</v>
      </c>
      <c r="Y86" s="7">
        <f>VLOOKUP($D86,NatureChart,4,0)</f>
        <v>1</v>
      </c>
      <c r="Z86" s="7">
        <f>VLOOKUP($D86,NatureChart,5,0)</f>
        <v>0.9</v>
      </c>
      <c r="AA86" s="84">
        <f>VLOOKUP($D86,NatureChart,6,0)</f>
        <v>1</v>
      </c>
      <c r="AB86" s="84">
        <f>IF($C86="Shedinja",1,(INT((2*VLOOKUP($C86,DexData,5,0)+INT(Q86/4)+K86)/2)+60))</f>
        <v>110</v>
      </c>
      <c r="AC86" s="84">
        <f>INT(INT((INT((2*VLOOKUP($C86,DexData,6,0)+INT(R86/4)+L86)/2)+5)*W86)*IF($E86="Choice Band",1.5,IF(OR($E86="Mawilite",$E86="Medichamite",$E86="Thick Club"),2,1)))</f>
        <v>107</v>
      </c>
      <c r="AD86" s="84">
        <f>INT(INT((INT((2*VLOOKUP($C86,DexData,7,0)+INT(S86/4)+M86)/2)+5)*X86)*IF($E86="Eviolite",1.5,1))</f>
        <v>55</v>
      </c>
      <c r="AE86" s="84">
        <f>INT(INT((INT((2*VLOOKUP($C86,DexData,9,0)+INT(T86/4)+N86)/2)+5)*Y86)*IF($E86="Choice Specs",1.5,1))</f>
        <v>50</v>
      </c>
      <c r="AF86" s="84">
        <f>INT(INT((INT((2*VLOOKUP($C86,DexData,10,0)+INT(U86/4)+O86)/2)+5)*Z86)*IF(OR($E86="Eviolite",$E86="Assault Vest"),1.5,1))</f>
        <v>49</v>
      </c>
      <c r="AG86" s="84">
        <f>INT(INT((INT((2*VLOOKUP($C86,DexData,11,0)+INT(V86/4)+P86)/2)+5)*AA86)*IF($E86="Choice Scarf",1.5,IF($E86="Iron Ball",0.5,1)))</f>
        <v>75</v>
      </c>
      <c r="AH86" s="84" t="str">
        <f>VLOOKUP(VLOOKUP($C86,DexData,3,0),Aliases!D$2:E$19,2,0)&amp;IFERROR("/"&amp;VLOOKUP(VLOOKUP($C86,DexData,4,0),Aliases!D$2:E$19,2,0),"")</f>
        <v>RCK/GRD</v>
      </c>
      <c r="AI86" s="7">
        <v>3.0</v>
      </c>
      <c r="AJ86" s="7">
        <f>IF(VLOOKUP(B86,'Set Odds'!A$2:AN$1067,40,0),1,IF(VLOOKUP(B86,'Set Odds'!A$2:AO$1067,41,0),2,0))</f>
        <v>0</v>
      </c>
      <c r="AK86" s="7"/>
      <c r="AL86" s="7" t="str">
        <f t="shared" si="1"/>
        <v/>
      </c>
    </row>
    <row r="87" ht="12.75" customHeight="1">
      <c r="A87" s="86">
        <v>86.0</v>
      </c>
      <c r="B87" s="84" t="s">
        <v>2914</v>
      </c>
      <c r="C87" s="7" t="s">
        <v>2779</v>
      </c>
      <c r="D87" s="7" t="s">
        <v>2789</v>
      </c>
      <c r="E87" s="7" t="s">
        <v>2780</v>
      </c>
      <c r="F87" s="84" t="s">
        <v>2772</v>
      </c>
      <c r="G87" s="84" t="s">
        <v>2781</v>
      </c>
      <c r="H87" s="84" t="s">
        <v>2596</v>
      </c>
      <c r="I87" s="84" t="s">
        <v>2782</v>
      </c>
      <c r="J87" s="7" t="s">
        <v>2714</v>
      </c>
      <c r="K87" s="7">
        <v>31.0</v>
      </c>
      <c r="L87" s="7">
        <v>0.0</v>
      </c>
      <c r="M87" s="7">
        <v>0.0</v>
      </c>
      <c r="N87" s="7">
        <v>31.0</v>
      </c>
      <c r="O87" s="7">
        <v>0.0</v>
      </c>
      <c r="P87" s="7">
        <v>0.0</v>
      </c>
      <c r="Q87" s="7">
        <v>108.0</v>
      </c>
      <c r="R87" s="7">
        <v>0.0</v>
      </c>
      <c r="S87" s="7">
        <v>0.0</v>
      </c>
      <c r="T87" s="7">
        <v>108.0</v>
      </c>
      <c r="U87" s="7">
        <v>0.0</v>
      </c>
      <c r="V87" s="7">
        <v>0.0</v>
      </c>
      <c r="W87" s="7">
        <f>VLOOKUP($D87,NatureChart,2,0)</f>
        <v>1.1</v>
      </c>
      <c r="X87" s="7">
        <f>VLOOKUP($D87,NatureChart,3,0)</f>
        <v>1</v>
      </c>
      <c r="Y87" s="7">
        <f>VLOOKUP($D87,NatureChart,4,0)</f>
        <v>1</v>
      </c>
      <c r="Z87" s="7">
        <f>VLOOKUP($D87,NatureChart,5,0)</f>
        <v>0.9</v>
      </c>
      <c r="AA87" s="84">
        <f>VLOOKUP($D87,NatureChart,6,0)</f>
        <v>1</v>
      </c>
      <c r="AB87" s="84">
        <f>IF($C87="Shedinja",1,(INT((2*VLOOKUP($C87,DexData,5,0)+INT(Q87/4)+K87)/2)+60))</f>
        <v>129</v>
      </c>
      <c r="AC87" s="84">
        <f>INT(INT((INT((2*VLOOKUP($C87,DexData,6,0)+INT(R87/4)+L87)/2)+5)*W87)*IF($E87="Choice Band",1.5,IF(OR($E87="Mawilite",$E87="Medichamite",$E87="Thick Club"),2,1)))</f>
        <v>49</v>
      </c>
      <c r="AD87" s="84">
        <f>INT(INT((INT((2*VLOOKUP($C87,DexData,7,0)+INT(S87/4)+M87)/2)+5)*X87)*IF($E87="Eviolite",1.5,1))</f>
        <v>60</v>
      </c>
      <c r="AE87" s="84">
        <f>INT(INT((INT((2*VLOOKUP($C87,DexData,9,0)+INT(T87/4)+N87)/2)+5)*Y87)*IF($E87="Choice Specs",1.5,1))</f>
        <v>74</v>
      </c>
      <c r="AF87" s="84">
        <f>INT(INT((INT((2*VLOOKUP($C87,DexData,10,0)+INT(U87/4)+O87)/2)+5)*Z87)*IF(OR($E87="Eviolite",$E87="Assault Vest"),1.5,1))</f>
        <v>67</v>
      </c>
      <c r="AG87" s="84">
        <f>INT(INT((INT((2*VLOOKUP($C87,DexData,11,0)+INT(V87/4)+P87)/2)+5)*AA87)*IF($E87="Choice Scarf",1.5,IF($E87="Iron Ball",0.5,1)))</f>
        <v>60</v>
      </c>
      <c r="AH87" s="84" t="str">
        <f>VLOOKUP(VLOOKUP($C87,DexData,3,0),Aliases!D$2:E$19,2,0)&amp;IFERROR("/"&amp;VLOOKUP(VLOOKUP($C87,DexData,4,0),Aliases!D$2:E$19,2,0),"")</f>
        <v>GRD/PSY</v>
      </c>
      <c r="AI87" s="7">
        <v>3.0</v>
      </c>
      <c r="AJ87" s="7">
        <f>IF(VLOOKUP(B87,'Set Odds'!A$2:AN$1067,40,0),1,IF(VLOOKUP(B87,'Set Odds'!A$2:AO$1067,41,0),2,0))</f>
        <v>0</v>
      </c>
      <c r="AK87" s="7"/>
      <c r="AL87" s="7" t="str">
        <f t="shared" si="1"/>
        <v/>
      </c>
    </row>
    <row r="88" ht="12.75" customHeight="1">
      <c r="A88" s="86">
        <v>87.0</v>
      </c>
      <c r="B88" s="84" t="s">
        <v>2915</v>
      </c>
      <c r="C88" s="7" t="s">
        <v>2784</v>
      </c>
      <c r="D88" s="7" t="s">
        <v>2629</v>
      </c>
      <c r="E88" s="7" t="s">
        <v>2519</v>
      </c>
      <c r="F88" s="84" t="s">
        <v>2785</v>
      </c>
      <c r="G88" s="84" t="s">
        <v>2686</v>
      </c>
      <c r="H88" s="84" t="s">
        <v>2517</v>
      </c>
      <c r="I88" s="84" t="s">
        <v>2588</v>
      </c>
      <c r="J88" s="7" t="s">
        <v>2786</v>
      </c>
      <c r="K88" s="7">
        <v>31.0</v>
      </c>
      <c r="L88" s="7">
        <v>31.0</v>
      </c>
      <c r="M88" s="7">
        <v>0.0</v>
      </c>
      <c r="N88" s="7">
        <v>0.0</v>
      </c>
      <c r="O88" s="7">
        <v>0.0</v>
      </c>
      <c r="P88" s="7">
        <v>0.0</v>
      </c>
      <c r="Q88" s="7">
        <v>108.0</v>
      </c>
      <c r="R88" s="7">
        <v>108.0</v>
      </c>
      <c r="S88" s="7">
        <v>0.0</v>
      </c>
      <c r="T88" s="7">
        <v>0.0</v>
      </c>
      <c r="U88" s="7">
        <v>0.0</v>
      </c>
      <c r="V88" s="7">
        <v>0.0</v>
      </c>
      <c r="W88" s="7">
        <f>VLOOKUP($D88,NatureChart,2,0)</f>
        <v>1.1</v>
      </c>
      <c r="X88" s="7">
        <f>VLOOKUP($D88,NatureChart,3,0)</f>
        <v>1</v>
      </c>
      <c r="Y88" s="7">
        <f>VLOOKUP($D88,NatureChart,4,0)</f>
        <v>1</v>
      </c>
      <c r="Z88" s="7">
        <f>VLOOKUP($D88,NatureChart,5,0)</f>
        <v>1</v>
      </c>
      <c r="AA88" s="84">
        <f>VLOOKUP($D88,NatureChart,6,0)</f>
        <v>0.9</v>
      </c>
      <c r="AB88" s="84">
        <f>IF($C88="Shedinja",1,(INT((2*VLOOKUP($C88,DexData,5,0)+INT(Q88/4)+K88)/2)+60))</f>
        <v>139</v>
      </c>
      <c r="AC88" s="84">
        <f>INT(INT((INT((2*VLOOKUP($C88,DexData,6,0)+INT(R88/4)+L88)/2)+5)*W88)*IF($E88="Choice Band",1.5,IF(OR($E88="Mawilite",$E88="Medichamite",$E88="Thick Club"),2,1)))</f>
        <v>92</v>
      </c>
      <c r="AD88" s="84">
        <f>INT(INT((INT((2*VLOOKUP($C88,DexData,7,0)+INT(S88/4)+M88)/2)+5)*X88)*IF($E88="Eviolite",1.5,1))</f>
        <v>55</v>
      </c>
      <c r="AE88" s="84">
        <f>INT(INT((INT((2*VLOOKUP($C88,DexData,9,0)+INT(T88/4)+N88)/2)+5)*Y88)*IF($E88="Choice Specs",1.5,1))</f>
        <v>55</v>
      </c>
      <c r="AF88" s="84">
        <f>INT(INT((INT((2*VLOOKUP($C88,DexData,10,0)+INT(U88/4)+O88)/2)+5)*Z88)*IF(OR($E88="Eviolite",$E88="Assault Vest"),1.5,1))</f>
        <v>55</v>
      </c>
      <c r="AG88" s="84">
        <f>INT(INT((INT((2*VLOOKUP($C88,DexData,11,0)+INT(V88/4)+P88)/2)+5)*AA88)*IF($E88="Choice Scarf",1.5,IF($E88="Iron Ball",0.5,1)))</f>
        <v>49</v>
      </c>
      <c r="AH88" s="84" t="str">
        <f>VLOOKUP(VLOOKUP($C88,DexData,3,0),Aliases!D$2:E$19,2,0)&amp;IFERROR("/"&amp;VLOOKUP(VLOOKUP($C88,DexData,4,0),Aliases!D$2:E$19,2,0),"")</f>
        <v>ICE</v>
      </c>
      <c r="AI88" s="7">
        <v>3.0</v>
      </c>
      <c r="AJ88" s="7">
        <f>IF(VLOOKUP(B88,'Set Odds'!A$2:AN$1067,40,0),1,IF(VLOOKUP(B88,'Set Odds'!A$2:AO$1067,41,0),2,0))</f>
        <v>0</v>
      </c>
      <c r="AK88" s="7"/>
      <c r="AL88" s="7" t="str">
        <f t="shared" si="1"/>
        <v/>
      </c>
    </row>
    <row r="89" ht="12.75" customHeight="1">
      <c r="A89" s="86">
        <v>88.0</v>
      </c>
      <c r="B89" s="84" t="s">
        <v>2916</v>
      </c>
      <c r="C89" s="7" t="s">
        <v>2788</v>
      </c>
      <c r="D89" s="7" t="s">
        <v>2789</v>
      </c>
      <c r="E89" s="7" t="s">
        <v>2790</v>
      </c>
      <c r="F89" s="84" t="s">
        <v>2791</v>
      </c>
      <c r="G89" s="84" t="s">
        <v>2686</v>
      </c>
      <c r="H89" s="84" t="s">
        <v>2581</v>
      </c>
      <c r="I89" s="84" t="s">
        <v>2583</v>
      </c>
      <c r="J89" s="7" t="s">
        <v>2792</v>
      </c>
      <c r="K89" s="7">
        <v>0.0</v>
      </c>
      <c r="L89" s="7">
        <v>31.0</v>
      </c>
      <c r="M89" s="7">
        <v>0.0</v>
      </c>
      <c r="N89" s="7">
        <v>0.0</v>
      </c>
      <c r="O89" s="7">
        <v>0.0</v>
      </c>
      <c r="P89" s="7">
        <v>31.0</v>
      </c>
      <c r="Q89" s="7">
        <v>0.0</v>
      </c>
      <c r="R89" s="7">
        <v>108.0</v>
      </c>
      <c r="S89" s="7">
        <v>0.0</v>
      </c>
      <c r="T89" s="7">
        <v>0.0</v>
      </c>
      <c r="U89" s="7">
        <v>0.0</v>
      </c>
      <c r="V89" s="7">
        <v>108.0</v>
      </c>
      <c r="W89" s="7">
        <f>VLOOKUP($D89,NatureChart,2,0)</f>
        <v>1.1</v>
      </c>
      <c r="X89" s="7">
        <f>VLOOKUP($D89,NatureChart,3,0)</f>
        <v>1</v>
      </c>
      <c r="Y89" s="7">
        <f>VLOOKUP($D89,NatureChart,4,0)</f>
        <v>1</v>
      </c>
      <c r="Z89" s="7">
        <f>VLOOKUP($D89,NatureChart,5,0)</f>
        <v>0.9</v>
      </c>
      <c r="AA89" s="84">
        <f>VLOOKUP($D89,NatureChart,6,0)</f>
        <v>1</v>
      </c>
      <c r="AB89" s="84">
        <f>IF($C89="Shedinja",1,(INT((2*VLOOKUP($C89,DexData,5,0)+INT(Q89/4)+K89)/2)+60))</f>
        <v>105</v>
      </c>
      <c r="AC89" s="84">
        <f>INT(INT((INT((2*VLOOKUP($C89,DexData,6,0)+INT(R89/4)+L89)/2)+5)*W89)*IF($E89="Choice Band",1.5,IF(OR($E89="Mawilite",$E89="Medichamite",$E89="Thick Club"),2,1)))</f>
        <v>119</v>
      </c>
      <c r="AD89" s="84">
        <f>INT(INT((INT((2*VLOOKUP($C89,DexData,7,0)+INT(S89/4)+M89)/2)+5)*X89)*IF($E89="Eviolite",1.5,1))</f>
        <v>65</v>
      </c>
      <c r="AE89" s="84">
        <f>INT(INT((INT((2*VLOOKUP($C89,DexData,9,0)+INT(T89/4)+N89)/2)+5)*Y89)*IF($E89="Choice Specs",1.5,1))</f>
        <v>45</v>
      </c>
      <c r="AF89" s="84">
        <f>INT(INT((INT((2*VLOOKUP($C89,DexData,10,0)+INT(U89/4)+O89)/2)+5)*Z89)*IF(OR($E89="Eviolite",$E89="Assault Vest"),1.5,1))</f>
        <v>31</v>
      </c>
      <c r="AG89" s="84">
        <f>INT(INT((INT((2*VLOOKUP($C89,DexData,11,0)+INT(V89/4)+P89)/2)+5)*AA89)*IF($E89="Choice Scarf",1.5,IF($E89="Iron Ball",0.5,1)))</f>
        <v>84</v>
      </c>
      <c r="AH89" s="84" t="str">
        <f>VLOOKUP(VLOOKUP($C89,DexData,3,0),Aliases!D$2:E$19,2,0)&amp;IFERROR("/"&amp;VLOOKUP(VLOOKUP($C89,DexData,4,0),Aliases!D$2:E$19,2,0),"")</f>
        <v>DRG</v>
      </c>
      <c r="AI89" s="7">
        <v>3.0</v>
      </c>
      <c r="AJ89" s="7">
        <f>IF(VLOOKUP(B89,'Set Odds'!A$2:AN$1067,40,0),1,IF(VLOOKUP(B89,'Set Odds'!A$2:AO$1067,41,0),2,0))</f>
        <v>0</v>
      </c>
      <c r="AK89" s="7"/>
      <c r="AL89" s="7" t="str">
        <f t="shared" si="1"/>
        <v/>
      </c>
    </row>
    <row r="90" ht="12.75" customHeight="1">
      <c r="A90" s="86">
        <v>89.0</v>
      </c>
      <c r="B90" s="84" t="s">
        <v>2917</v>
      </c>
      <c r="C90" s="7" t="s">
        <v>2794</v>
      </c>
      <c r="D90" s="7" t="s">
        <v>2795</v>
      </c>
      <c r="E90" s="7" t="s">
        <v>2636</v>
      </c>
      <c r="F90" s="84" t="s">
        <v>2796</v>
      </c>
      <c r="G90" s="84" t="s">
        <v>2797</v>
      </c>
      <c r="H90" s="84" t="s">
        <v>2536</v>
      </c>
      <c r="I90" s="84" t="s">
        <v>2798</v>
      </c>
      <c r="J90" s="7" t="s">
        <v>2714</v>
      </c>
      <c r="K90" s="7">
        <v>0.0</v>
      </c>
      <c r="L90" s="7">
        <v>31.0</v>
      </c>
      <c r="M90" s="7">
        <v>0.0</v>
      </c>
      <c r="N90" s="7">
        <v>31.0</v>
      </c>
      <c r="O90" s="7">
        <v>0.0</v>
      </c>
      <c r="P90" s="7">
        <v>0.0</v>
      </c>
      <c r="Q90" s="7">
        <v>0.0</v>
      </c>
      <c r="R90" s="7">
        <v>108.0</v>
      </c>
      <c r="S90" s="7">
        <v>0.0</v>
      </c>
      <c r="T90" s="7">
        <v>108.0</v>
      </c>
      <c r="U90" s="7">
        <v>0.0</v>
      </c>
      <c r="V90" s="7">
        <v>0.0</v>
      </c>
      <c r="W90" s="7">
        <f>VLOOKUP($D90,NatureChart,2,0)</f>
        <v>1</v>
      </c>
      <c r="X90" s="7">
        <f>VLOOKUP($D90,NatureChart,3,0)</f>
        <v>1</v>
      </c>
      <c r="Y90" s="7">
        <f>VLOOKUP($D90,NatureChart,4,0)</f>
        <v>1</v>
      </c>
      <c r="Z90" s="7">
        <f>VLOOKUP($D90,NatureChart,5,0)</f>
        <v>1</v>
      </c>
      <c r="AA90" s="84">
        <f>VLOOKUP($D90,NatureChart,6,0)</f>
        <v>1</v>
      </c>
      <c r="AB90" s="84">
        <f>IF($C90="Shedinja",1,(INT((2*VLOOKUP($C90,DexData,5,0)+INT(Q90/4)+K90)/2)+60))</f>
        <v>117</v>
      </c>
      <c r="AC90" s="84">
        <f>INT(INT((INT((2*VLOOKUP($C90,DexData,6,0)+INT(R90/4)+L90)/2)+5)*W90)*IF($E90="Choice Band",1.5,IF(OR($E90="Mawilite",$E90="Medichamite",$E90="Thick Club"),2,1)))</f>
        <v>58</v>
      </c>
      <c r="AD90" s="84">
        <f>INT(INT((INT((2*VLOOKUP($C90,DexData,7,0)+INT(S90/4)+M90)/2)+5)*X90)*IF($E90="Eviolite",1.5,1))</f>
        <v>91</v>
      </c>
      <c r="AE90" s="84">
        <f>INT(INT((INT((2*VLOOKUP($C90,DexData,9,0)+INT(T90/4)+N90)/2)+5)*Y90)*IF($E90="Choice Specs",1.5,1))</f>
        <v>58</v>
      </c>
      <c r="AF90" s="84">
        <f>INT(INT((INT((2*VLOOKUP($C90,DexData,10,0)+INT(U90/4)+O90)/2)+5)*Z90)*IF(OR($E90="Eviolite",$E90="Assault Vest"),1.5,1))</f>
        <v>91</v>
      </c>
      <c r="AG90" s="84">
        <f>INT(INT((INT((2*VLOOKUP($C90,DexData,11,0)+INT(V90/4)+P90)/2)+5)*AA90)*IF($E90="Choice Scarf",1.5,IF($E90="Iron Ball",0.5,1)))</f>
        <v>28</v>
      </c>
      <c r="AH90" s="84" t="str">
        <f>VLOOKUP(VLOOKUP($C90,DexData,3,0),Aliases!D$2:E$19,2,0)&amp;IFERROR("/"&amp;VLOOKUP(VLOOKUP($C90,DexData,4,0),Aliases!D$2:E$19,2,0),"")</f>
        <v>STL/PSY</v>
      </c>
      <c r="AI90" s="7">
        <v>3.0</v>
      </c>
      <c r="AJ90" s="7">
        <f>IF(VLOOKUP(B90,'Set Odds'!A$2:AN$1067,40,0),1,IF(VLOOKUP(B90,'Set Odds'!A$2:AO$1067,41,0),2,0))</f>
        <v>0</v>
      </c>
      <c r="AK90" s="7"/>
      <c r="AL90" s="7" t="str">
        <f t="shared" si="1"/>
        <v/>
      </c>
    </row>
    <row r="91" ht="12.75" customHeight="1">
      <c r="A91" s="86">
        <v>90.0</v>
      </c>
      <c r="B91" s="84" t="s">
        <v>2918</v>
      </c>
      <c r="C91" s="7" t="s">
        <v>2800</v>
      </c>
      <c r="D91" s="7" t="s">
        <v>2629</v>
      </c>
      <c r="E91" s="7" t="s">
        <v>2750</v>
      </c>
      <c r="F91" s="84" t="s">
        <v>2801</v>
      </c>
      <c r="G91" s="84" t="s">
        <v>2626</v>
      </c>
      <c r="H91" s="84" t="s">
        <v>2802</v>
      </c>
      <c r="I91" s="84" t="s">
        <v>2620</v>
      </c>
      <c r="J91" s="7" t="s">
        <v>2803</v>
      </c>
      <c r="K91" s="7">
        <v>31.0</v>
      </c>
      <c r="L91" s="7">
        <v>31.0</v>
      </c>
      <c r="M91" s="7">
        <v>0.0</v>
      </c>
      <c r="N91" s="7">
        <v>0.0</v>
      </c>
      <c r="O91" s="7">
        <v>0.0</v>
      </c>
      <c r="P91" s="7">
        <v>0.0</v>
      </c>
      <c r="Q91" s="7">
        <v>108.0</v>
      </c>
      <c r="R91" s="7">
        <v>108.0</v>
      </c>
      <c r="S91" s="7">
        <v>0.0</v>
      </c>
      <c r="T91" s="7">
        <v>0.0</v>
      </c>
      <c r="U91" s="7">
        <v>0.0</v>
      </c>
      <c r="V91" s="7">
        <v>0.0</v>
      </c>
      <c r="W91" s="7">
        <f>VLOOKUP($D91,NatureChart,2,0)</f>
        <v>1.1</v>
      </c>
      <c r="X91" s="7">
        <f>VLOOKUP($D91,NatureChart,3,0)</f>
        <v>1</v>
      </c>
      <c r="Y91" s="7">
        <f>VLOOKUP($D91,NatureChart,4,0)</f>
        <v>1</v>
      </c>
      <c r="Z91" s="7">
        <f>VLOOKUP($D91,NatureChart,5,0)</f>
        <v>1</v>
      </c>
      <c r="AA91" s="84">
        <f>VLOOKUP($D91,NatureChart,6,0)</f>
        <v>0.9</v>
      </c>
      <c r="AB91" s="84">
        <f>IF($C91="Shedinja",1,(INT((2*VLOOKUP($C91,DexData,5,0)+INT(Q91/4)+K91)/2)+60))</f>
        <v>147</v>
      </c>
      <c r="AC91" s="84">
        <f>INT(INT((INT((2*VLOOKUP($C91,DexData,6,0)+INT(R91/4)+L91)/2)+5)*W91)*IF($E91="Choice Band",1.5,IF(OR($E91="Mawilite",$E91="Medichamite",$E91="Thick Club"),2,1)))</f>
        <v>114</v>
      </c>
      <c r="AD91" s="84">
        <f>INT(INT((INT((2*VLOOKUP($C91,DexData,7,0)+INT(S91/4)+M91)/2)+5)*X91)*IF($E91="Eviolite",1.5,1))</f>
        <v>50</v>
      </c>
      <c r="AE91" s="84">
        <f>INT(INT((INT((2*VLOOKUP($C91,DexData,9,0)+INT(T91/4)+N91)/2)+5)*Y91)*IF($E91="Choice Specs",1.5,1))</f>
        <v>45</v>
      </c>
      <c r="AF91" s="84">
        <f>INT(INT((INT((2*VLOOKUP($C91,DexData,10,0)+INT(U91/4)+O91)/2)+5)*Z91)*IF(OR($E91="Eviolite",$E91="Assault Vest"),1.5,1))</f>
        <v>50</v>
      </c>
      <c r="AG91" s="84">
        <f>INT(INT((INT((2*VLOOKUP($C91,DexData,11,0)+INT(V91/4)+P91)/2)+5)*AA91)*IF($E91="Choice Scarf",1.5,IF($E91="Iron Ball",0.5,1)))</f>
        <v>42</v>
      </c>
      <c r="AH91" s="84" t="str">
        <f>VLOOKUP(VLOOKUP($C91,DexData,3,0),Aliases!D$2:E$19,2,0)&amp;IFERROR("/"&amp;VLOOKUP(VLOOKUP($C91,DexData,4,0),Aliases!D$2:E$19,2,0),"")</f>
        <v>DRG/GRD</v>
      </c>
      <c r="AI91" s="7">
        <v>3.0</v>
      </c>
      <c r="AJ91" s="7">
        <f>IF(VLOOKUP(B91,'Set Odds'!A$2:AN$1067,40,0),1,IF(VLOOKUP(B91,'Set Odds'!A$2:AO$1067,41,0),2,0))</f>
        <v>0</v>
      </c>
      <c r="AK91" s="7"/>
      <c r="AL91" s="7" t="str">
        <f t="shared" si="1"/>
        <v/>
      </c>
    </row>
    <row r="92" ht="12.75" customHeight="1">
      <c r="A92" s="86">
        <v>91.0</v>
      </c>
      <c r="B92" s="84" t="s">
        <v>2919</v>
      </c>
      <c r="C92" s="7" t="s">
        <v>2805</v>
      </c>
      <c r="D92" s="7" t="s">
        <v>2571</v>
      </c>
      <c r="E92" s="7" t="s">
        <v>2806</v>
      </c>
      <c r="F92" s="84" t="s">
        <v>2807</v>
      </c>
      <c r="G92" s="84" t="s">
        <v>2782</v>
      </c>
      <c r="H92" s="84" t="s">
        <v>2537</v>
      </c>
      <c r="I92" s="84" t="s">
        <v>2534</v>
      </c>
      <c r="J92" s="7" t="s">
        <v>2808</v>
      </c>
      <c r="K92" s="7">
        <v>31.0</v>
      </c>
      <c r="L92" s="7">
        <v>31.0</v>
      </c>
      <c r="M92" s="7">
        <v>0.0</v>
      </c>
      <c r="N92" s="7">
        <v>0.0</v>
      </c>
      <c r="O92" s="7">
        <v>0.0</v>
      </c>
      <c r="P92" s="7">
        <v>0.0</v>
      </c>
      <c r="Q92" s="7">
        <v>108.0</v>
      </c>
      <c r="R92" s="7">
        <v>108.0</v>
      </c>
      <c r="S92" s="7">
        <v>0.0</v>
      </c>
      <c r="T92" s="7">
        <v>0.0</v>
      </c>
      <c r="U92" s="7">
        <v>0.0</v>
      </c>
      <c r="V92" s="7">
        <v>0.0</v>
      </c>
      <c r="W92" s="7">
        <f>VLOOKUP($D92,NatureChart,2,0)</f>
        <v>1.1</v>
      </c>
      <c r="X92" s="7">
        <f>VLOOKUP($D92,NatureChart,3,0)</f>
        <v>1</v>
      </c>
      <c r="Y92" s="7">
        <f>VLOOKUP($D92,NatureChart,4,0)</f>
        <v>0.9</v>
      </c>
      <c r="Z92" s="7">
        <f>VLOOKUP($D92,NatureChart,5,0)</f>
        <v>1</v>
      </c>
      <c r="AA92" s="84">
        <f>VLOOKUP($D92,NatureChart,6,0)</f>
        <v>1</v>
      </c>
      <c r="AB92" s="84">
        <f>IF($C92="Shedinja",1,(INT((2*VLOOKUP($C92,DexData,5,0)+INT(Q92/4)+K92)/2)+60))</f>
        <v>137</v>
      </c>
      <c r="AC92" s="84">
        <f>INT(INT((INT((2*VLOOKUP($C92,DexData,6,0)+INT(R92/4)+L92)/2)+5)*W92)*IF($E92="Choice Band",1.5,IF(OR($E92="Mawilite",$E92="Medichamite",$E92="Thick Club"),2,1)))</f>
        <v>104</v>
      </c>
      <c r="AD92" s="84">
        <f>INT(INT((INT((2*VLOOKUP($C92,DexData,7,0)+INT(S92/4)+M92)/2)+5)*X92)*IF($E92="Eviolite",1.5,1))</f>
        <v>45</v>
      </c>
      <c r="AE92" s="84">
        <f>INT(INT((INT((2*VLOOKUP($C92,DexData,9,0)+INT(T92/4)+N92)/2)+5)*Y92)*IF($E92="Choice Specs",1.5,1))</f>
        <v>59</v>
      </c>
      <c r="AF92" s="84">
        <f>INT(INT((INT((2*VLOOKUP($C92,DexData,10,0)+INT(U92/4)+O92)/2)+5)*Z92)*IF(OR($E92="Eviolite",$E92="Assault Vest"),1.5,1))</f>
        <v>45</v>
      </c>
      <c r="AG92" s="84">
        <f>INT(INT((INT((2*VLOOKUP($C92,DexData,11,0)+INT(V92/4)+P92)/2)+5)*AA92)*IF($E92="Choice Scarf",1.5,IF($E92="Iron Ball",0.5,1)))</f>
        <v>55</v>
      </c>
      <c r="AH92" s="84" t="str">
        <f>VLOOKUP(VLOOKUP($C92,DexData,3,0),Aliases!D$2:E$19,2,0)&amp;IFERROR("/"&amp;VLOOKUP(VLOOKUP($C92,DexData,4,0),Aliases!D$2:E$19,2,0),"")</f>
        <v>PSN/FTG</v>
      </c>
      <c r="AI92" s="7">
        <v>3.0</v>
      </c>
      <c r="AJ92" s="7">
        <f>IF(VLOOKUP(B92,'Set Odds'!A$2:AN$1067,40,0),1,IF(VLOOKUP(B92,'Set Odds'!A$2:AO$1067,41,0),2,0))</f>
        <v>0</v>
      </c>
      <c r="AK92" s="7"/>
      <c r="AL92" s="7" t="str">
        <f t="shared" si="1"/>
        <v/>
      </c>
    </row>
    <row r="93" ht="12.75" customHeight="1">
      <c r="A93" s="86">
        <v>92.0</v>
      </c>
      <c r="B93" s="84" t="s">
        <v>2920</v>
      </c>
      <c r="C93" s="7" t="s">
        <v>2810</v>
      </c>
      <c r="D93" s="7" t="s">
        <v>2811</v>
      </c>
      <c r="E93" s="7" t="s">
        <v>2636</v>
      </c>
      <c r="F93" s="84" t="s">
        <v>2772</v>
      </c>
      <c r="G93" s="84" t="s">
        <v>2812</v>
      </c>
      <c r="H93" s="84" t="s">
        <v>2705</v>
      </c>
      <c r="I93" s="84" t="s">
        <v>2813</v>
      </c>
      <c r="J93" s="7" t="s">
        <v>2814</v>
      </c>
      <c r="K93" s="7">
        <v>31.0</v>
      </c>
      <c r="L93" s="7">
        <v>0.0</v>
      </c>
      <c r="M93" s="7">
        <v>31.0</v>
      </c>
      <c r="N93" s="7">
        <v>0.0</v>
      </c>
      <c r="O93" s="7">
        <v>0.0</v>
      </c>
      <c r="P93" s="7">
        <v>0.0</v>
      </c>
      <c r="Q93" s="7">
        <v>108.0</v>
      </c>
      <c r="R93" s="7">
        <v>0.0</v>
      </c>
      <c r="S93" s="7">
        <v>108.0</v>
      </c>
      <c r="T93" s="7">
        <v>0.0</v>
      </c>
      <c r="U93" s="7">
        <v>0.0</v>
      </c>
      <c r="V93" s="7">
        <v>0.0</v>
      </c>
      <c r="W93" s="7">
        <f>VLOOKUP($D93,NatureChart,2,0)</f>
        <v>1</v>
      </c>
      <c r="X93" s="7">
        <f>VLOOKUP($D93,NatureChart,3,0)</f>
        <v>1.1</v>
      </c>
      <c r="Y93" s="7">
        <f>VLOOKUP($D93,NatureChart,4,0)</f>
        <v>1</v>
      </c>
      <c r="Z93" s="7">
        <f>VLOOKUP($D93,NatureChart,5,0)</f>
        <v>1</v>
      </c>
      <c r="AA93" s="84">
        <f>VLOOKUP($D93,NatureChart,6,0)</f>
        <v>0.9</v>
      </c>
      <c r="AB93" s="84">
        <f>IF($C93="Shedinja",1,(INT((2*VLOOKUP($C93,DexData,5,0)+INT(Q93/4)+K93)/2)+60))</f>
        <v>149</v>
      </c>
      <c r="AC93" s="84">
        <f>INT(INT((INT((2*VLOOKUP($C93,DexData,6,0)+INT(R93/4)+L93)/2)+5)*W93)*IF($E93="Choice Band",1.5,IF(OR($E93="Mawilite",$E93="Medichamite",$E93="Thick Club"),2,1)))</f>
        <v>60</v>
      </c>
      <c r="AD93" s="84">
        <f>INT(INT((INT((2*VLOOKUP($C93,DexData,7,0)+INT(S93/4)+M93)/2)+5)*X93)*IF($E93="Eviolite",1.5,1))</f>
        <v>92</v>
      </c>
      <c r="AE93" s="84">
        <f>INT(INT((INT((2*VLOOKUP($C93,DexData,9,0)+INT(T93/4)+N93)/2)+5)*Y93)*IF($E93="Choice Specs",1.5,1))</f>
        <v>45</v>
      </c>
      <c r="AF93" s="84">
        <f>INT(INT((INT((2*VLOOKUP($C93,DexData,10,0)+INT(U93/4)+O93)/2)+5)*Z93)*IF(OR($E93="Eviolite",$E93="Assault Vest"),1.5,1))</f>
        <v>60</v>
      </c>
      <c r="AG93" s="84">
        <f>INT(INT((INT((2*VLOOKUP($C93,DexData,11,0)+INT(V93/4)+P93)/2)+5)*AA93)*IF($E93="Choice Scarf",1.5,IF($E93="Iron Ball",0.5,1)))</f>
        <v>45</v>
      </c>
      <c r="AH93" s="84" t="str">
        <f>VLOOKUP(VLOOKUP($C93,DexData,3,0),Aliases!D$2:E$19,2,0)&amp;IFERROR("/"&amp;VLOOKUP(VLOOKUP($C93,DexData,4,0),Aliases!D$2:E$19,2,0),"")</f>
        <v>BUG/PSN</v>
      </c>
      <c r="AI93" s="7">
        <v>3.0</v>
      </c>
      <c r="AJ93" s="7">
        <f>IF(VLOOKUP(B93,'Set Odds'!A$2:AN$1067,40,0),1,IF(VLOOKUP(B93,'Set Odds'!A$2:AO$1067,41,0),2,0))</f>
        <v>0</v>
      </c>
      <c r="AK93" s="7"/>
      <c r="AL93" s="7" t="str">
        <f t="shared" si="1"/>
        <v/>
      </c>
    </row>
    <row r="94" ht="12.75" customHeight="1">
      <c r="A94" s="86">
        <v>93.0</v>
      </c>
      <c r="B94" s="84" t="s">
        <v>2921</v>
      </c>
      <c r="C94" s="7" t="s">
        <v>2816</v>
      </c>
      <c r="D94" s="7" t="s">
        <v>2571</v>
      </c>
      <c r="E94" s="7" t="s">
        <v>2579</v>
      </c>
      <c r="F94" s="84" t="s">
        <v>2817</v>
      </c>
      <c r="G94" s="84" t="s">
        <v>2818</v>
      </c>
      <c r="H94" s="84" t="s">
        <v>2751</v>
      </c>
      <c r="I94" s="84" t="s">
        <v>2583</v>
      </c>
      <c r="J94" s="7" t="s">
        <v>2819</v>
      </c>
      <c r="K94" s="7">
        <v>31.0</v>
      </c>
      <c r="L94" s="7">
        <v>31.0</v>
      </c>
      <c r="M94" s="7">
        <v>0.0</v>
      </c>
      <c r="N94" s="7">
        <v>0.0</v>
      </c>
      <c r="O94" s="7">
        <v>0.0</v>
      </c>
      <c r="P94" s="7">
        <v>0.0</v>
      </c>
      <c r="Q94" s="7">
        <v>108.0</v>
      </c>
      <c r="R94" s="7">
        <v>108.0</v>
      </c>
      <c r="S94" s="7">
        <v>0.0</v>
      </c>
      <c r="T94" s="7">
        <v>0.0</v>
      </c>
      <c r="U94" s="7">
        <v>0.0</v>
      </c>
      <c r="V94" s="7">
        <v>0.0</v>
      </c>
      <c r="W94" s="7">
        <f>VLOOKUP($D94,NatureChart,2,0)</f>
        <v>1.1</v>
      </c>
      <c r="X94" s="7">
        <f>VLOOKUP($D94,NatureChart,3,0)</f>
        <v>1</v>
      </c>
      <c r="Y94" s="7">
        <f>VLOOKUP($D94,NatureChart,4,0)</f>
        <v>0.9</v>
      </c>
      <c r="Z94" s="7">
        <f>VLOOKUP($D94,NatureChart,5,0)</f>
        <v>1</v>
      </c>
      <c r="AA94" s="84">
        <f>VLOOKUP($D94,NatureChart,6,0)</f>
        <v>1</v>
      </c>
      <c r="AB94" s="84">
        <f>IF($C94="Shedinja",1,(INT((2*VLOOKUP($C94,DexData,5,0)+INT(Q94/4)+K94)/2)+60))</f>
        <v>159</v>
      </c>
      <c r="AC94" s="84">
        <f>INT(INT((INT((2*VLOOKUP($C94,DexData,6,0)+INT(R94/4)+L94)/2)+5)*W94)*IF($E94="Choice Band",1.5,IF(OR($E94="Mawilite",$E94="Medichamite",$E94="Thick Club"),2,1)))</f>
        <v>125</v>
      </c>
      <c r="AD94" s="84">
        <f>INT(INT((INT((2*VLOOKUP($C94,DexData,7,0)+INT(S94/4)+M94)/2)+5)*X94)*IF($E94="Eviolite",1.5,1))</f>
        <v>55</v>
      </c>
      <c r="AE94" s="84">
        <f>INT(INT((INT((2*VLOOKUP($C94,DexData,9,0)+INT(T94/4)+N94)/2)+5)*Y94)*IF($E94="Choice Specs",1.5,1))</f>
        <v>36</v>
      </c>
      <c r="AF94" s="84">
        <f>INT(INT((INT((2*VLOOKUP($C94,DexData,10,0)+INT(U94/4)+O94)/2)+5)*Z94)*IF(OR($E94="Eviolite",$E94="Assault Vest"),1.5,1))</f>
        <v>40</v>
      </c>
      <c r="AG94" s="84">
        <f>INT(INT((INT((2*VLOOKUP($C94,DexData,11,0)+INT(V94/4)+P94)/2)+5)*AA94)*IF($E94="Choice Scarf",1.5,IF($E94="Iron Ball",0.5,1)))</f>
        <v>40</v>
      </c>
      <c r="AH94" s="84" t="str">
        <f>VLOOKUP(VLOOKUP($C94,DexData,3,0),Aliases!D$2:E$19,2,0)&amp;IFERROR("/"&amp;VLOOKUP(VLOOKUP($C94,DexData,4,0),Aliases!D$2:E$19,2,0),"")</f>
        <v>FTG</v>
      </c>
      <c r="AI94" s="7">
        <v>3.0</v>
      </c>
      <c r="AJ94" s="7">
        <f>IF(VLOOKUP(B94,'Set Odds'!A$2:AN$1067,40,0),1,IF(VLOOKUP(B94,'Set Odds'!A$2:AO$1067,41,0),2,0))</f>
        <v>0</v>
      </c>
      <c r="AK94" s="7"/>
      <c r="AL94" s="7" t="str">
        <f t="shared" si="1"/>
        <v/>
      </c>
    </row>
    <row r="95" ht="12.75" customHeight="1">
      <c r="A95" s="86">
        <v>94.0</v>
      </c>
      <c r="B95" s="84" t="s">
        <v>2922</v>
      </c>
      <c r="C95" s="7" t="s">
        <v>2821</v>
      </c>
      <c r="D95" s="7" t="s">
        <v>2599</v>
      </c>
      <c r="E95" s="7" t="s">
        <v>2524</v>
      </c>
      <c r="F95" s="84" t="s">
        <v>2658</v>
      </c>
      <c r="G95" s="84" t="s">
        <v>2822</v>
      </c>
      <c r="H95" s="84" t="s">
        <v>2796</v>
      </c>
      <c r="I95" s="84" t="s">
        <v>2823</v>
      </c>
      <c r="J95" s="7" t="s">
        <v>2824</v>
      </c>
      <c r="K95" s="7">
        <v>31.0</v>
      </c>
      <c r="L95" s="7">
        <v>0.0</v>
      </c>
      <c r="M95" s="7">
        <v>0.0</v>
      </c>
      <c r="N95" s="7">
        <v>31.0</v>
      </c>
      <c r="O95" s="7">
        <v>0.0</v>
      </c>
      <c r="P95" s="7">
        <v>0.0</v>
      </c>
      <c r="Q95" s="7">
        <v>108.0</v>
      </c>
      <c r="R95" s="7">
        <v>0.0</v>
      </c>
      <c r="S95" s="7">
        <v>0.0</v>
      </c>
      <c r="T95" s="7">
        <v>108.0</v>
      </c>
      <c r="U95" s="7">
        <v>0.0</v>
      </c>
      <c r="V95" s="7">
        <v>0.0</v>
      </c>
      <c r="W95" s="7">
        <f>VLOOKUP($D95,NatureChart,2,0)</f>
        <v>1</v>
      </c>
      <c r="X95" s="7">
        <f>VLOOKUP($D95,NatureChart,3,0)</f>
        <v>1</v>
      </c>
      <c r="Y95" s="7">
        <f>VLOOKUP($D95,NatureChart,4,0)</f>
        <v>1</v>
      </c>
      <c r="Z95" s="7">
        <f>VLOOKUP($D95,NatureChart,5,0)</f>
        <v>1</v>
      </c>
      <c r="AA95" s="84">
        <f>VLOOKUP($D95,NatureChart,6,0)</f>
        <v>1</v>
      </c>
      <c r="AB95" s="84">
        <f>IF($C95="Shedinja",1,(INT((2*VLOOKUP($C95,DexData,5,0)+INT(Q95/4)+K95)/2)+60))</f>
        <v>134</v>
      </c>
      <c r="AC95" s="84">
        <f>INT(INT((INT((2*VLOOKUP($C95,DexData,6,0)+INT(R95/4)+L95)/2)+5)*W95)*IF($E95="Choice Band",1.5,IF(OR($E95="Mawilite",$E95="Medichamite",$E95="Thick Club"),2,1)))</f>
        <v>35</v>
      </c>
      <c r="AD95" s="84">
        <f>INT(INT((INT((2*VLOOKUP($C95,DexData,7,0)+INT(S95/4)+M95)/2)+5)*X95)*IF($E95="Eviolite",1.5,1))</f>
        <v>20</v>
      </c>
      <c r="AE95" s="84">
        <f>INT(INT((INT((2*VLOOKUP($C95,DexData,9,0)+INT(T95/4)+N95)/2)+5)*Y95)*IF($E95="Choice Specs",1.5,1))</f>
        <v>119</v>
      </c>
      <c r="AF95" s="84">
        <f>INT(INT((INT((2*VLOOKUP($C95,DexData,10,0)+INT(U95/4)+O95)/2)+5)*Z95)*IF(OR($E95="Eviolite",$E95="Assault Vest"),1.5,1))</f>
        <v>70</v>
      </c>
      <c r="AG95" s="84">
        <f>INT(INT((INT((2*VLOOKUP($C95,DexData,11,0)+INT(V95/4)+P95)/2)+5)*AA95)*IF($E95="Choice Scarf",1.5,IF($E95="Iron Ball",0.5,1)))</f>
        <v>70</v>
      </c>
      <c r="AH95" s="84" t="str">
        <f>VLOOKUP(VLOOKUP($C95,DexData,3,0),Aliases!D$2:E$19,2,0)&amp;IFERROR("/"&amp;VLOOKUP(VLOOKUP($C95,DexData,4,0),Aliases!D$2:E$19,2,0),"")</f>
        <v>ICE/PSY</v>
      </c>
      <c r="AI95" s="7">
        <v>3.0</v>
      </c>
      <c r="AJ95" s="7">
        <f>IF(VLOOKUP(B95,'Set Odds'!A$2:AN$1067,40,0),1,IF(VLOOKUP(B95,'Set Odds'!A$2:AO$1067,41,0),2,0))</f>
        <v>0</v>
      </c>
      <c r="AK95" s="7"/>
      <c r="AL95" s="7" t="str">
        <f t="shared" si="1"/>
        <v/>
      </c>
    </row>
    <row r="96" ht="12.75" customHeight="1">
      <c r="A96" s="86">
        <v>95.0</v>
      </c>
      <c r="B96" s="84" t="s">
        <v>2923</v>
      </c>
      <c r="C96" s="7" t="s">
        <v>2826</v>
      </c>
      <c r="D96" s="7" t="s">
        <v>2827</v>
      </c>
      <c r="E96" s="7" t="s">
        <v>2828</v>
      </c>
      <c r="F96" s="84" t="s">
        <v>2588</v>
      </c>
      <c r="G96" s="84" t="s">
        <v>2608</v>
      </c>
      <c r="H96" s="84" t="s">
        <v>2583</v>
      </c>
      <c r="I96" s="84" t="s">
        <v>2534</v>
      </c>
      <c r="J96" s="7" t="s">
        <v>2803</v>
      </c>
      <c r="K96" s="7">
        <v>31.0</v>
      </c>
      <c r="L96" s="7">
        <v>0.0</v>
      </c>
      <c r="M96" s="7">
        <v>0.0</v>
      </c>
      <c r="N96" s="7">
        <v>31.0</v>
      </c>
      <c r="O96" s="7">
        <v>0.0</v>
      </c>
      <c r="P96" s="7">
        <v>0.0</v>
      </c>
      <c r="Q96" s="7">
        <v>108.0</v>
      </c>
      <c r="R96" s="7">
        <v>0.0</v>
      </c>
      <c r="S96" s="7">
        <v>0.0</v>
      </c>
      <c r="T96" s="7">
        <v>108.0</v>
      </c>
      <c r="U96" s="7">
        <v>0.0</v>
      </c>
      <c r="V96" s="7">
        <v>0.0</v>
      </c>
      <c r="W96" s="7">
        <f>VLOOKUP($D96,NatureChart,2,0)</f>
        <v>1</v>
      </c>
      <c r="X96" s="7">
        <f>VLOOKUP($D96,NatureChart,3,0)</f>
        <v>1</v>
      </c>
      <c r="Y96" s="7">
        <f>VLOOKUP($D96,NatureChart,4,0)</f>
        <v>1.1</v>
      </c>
      <c r="Z96" s="7">
        <f>VLOOKUP($D96,NatureChart,5,0)</f>
        <v>1</v>
      </c>
      <c r="AA96" s="84">
        <f>VLOOKUP($D96,NatureChart,6,0)</f>
        <v>0.9</v>
      </c>
      <c r="AB96" s="84">
        <f>IF($C96="Shedinja",1,(INT((2*VLOOKUP($C96,DexData,5,0)+INT(Q96/4)+K96)/2)+60))</f>
        <v>134</v>
      </c>
      <c r="AC96" s="84">
        <f>INT(INT((INT((2*VLOOKUP($C96,DexData,6,0)+INT(R96/4)+L96)/2)+5)*W96)*IF($E96="Choice Band",1.5,IF(OR($E96="Mawilite",$E96="Medichamite",$E96="Thick Club"),2,1)))</f>
        <v>95</v>
      </c>
      <c r="AD96" s="84">
        <f>INT(INT((INT((2*VLOOKUP($C96,DexData,7,0)+INT(S96/4)+M96)/2)+5)*X96)*IF($E96="Eviolite",1.5,1))</f>
        <v>25</v>
      </c>
      <c r="AE96" s="84">
        <f>INT(INT((INT((2*VLOOKUP($C96,DexData,9,0)+INT(T96/4)+N96)/2)+5)*Y96)*IF($E96="Choice Specs",1.5,1))</f>
        <v>108</v>
      </c>
      <c r="AF96" s="84">
        <f>INT(INT((INT((2*VLOOKUP($C96,DexData,10,0)+INT(U96/4)+O96)/2)+5)*Z96)*IF(OR($E96="Eviolite",$E96="Assault Vest"),1.5,1))</f>
        <v>25</v>
      </c>
      <c r="AG96" s="84">
        <f>INT(INT((INT((2*VLOOKUP($C96,DexData,11,0)+INT(V96/4)+P96)/2)+5)*AA96)*IF($E96="Choice Scarf",1.5,IF($E96="Iron Ball",0.5,1)))</f>
        <v>63</v>
      </c>
      <c r="AH96" s="84" t="str">
        <f>VLOOKUP(VLOOKUP($C96,DexData,3,0),Aliases!D$2:E$19,2,0)&amp;IFERROR("/"&amp;VLOOKUP(VLOOKUP($C96,DexData,4,0),Aliases!D$2:E$19,2,0),"")</f>
        <v>WTR/DRK</v>
      </c>
      <c r="AI96" s="7">
        <v>3.0</v>
      </c>
      <c r="AJ96" s="7">
        <f>IF(VLOOKUP(B96,'Set Odds'!A$2:AN$1067,40,0),1,IF(VLOOKUP(B96,'Set Odds'!A$2:AO$1067,41,0),2,0))</f>
        <v>0</v>
      </c>
      <c r="AK96" s="7"/>
      <c r="AL96" s="7" t="str">
        <f t="shared" si="1"/>
        <v/>
      </c>
    </row>
    <row r="97" ht="12.75" customHeight="1">
      <c r="A97" s="86">
        <v>96.0</v>
      </c>
      <c r="B97" s="84" t="s">
        <v>2924</v>
      </c>
      <c r="C97" s="7" t="s">
        <v>2830</v>
      </c>
      <c r="D97" s="7" t="s">
        <v>2795</v>
      </c>
      <c r="E97" s="7" t="s">
        <v>2528</v>
      </c>
      <c r="F97" s="84" t="s">
        <v>2831</v>
      </c>
      <c r="G97" s="84" t="s">
        <v>2832</v>
      </c>
      <c r="H97" s="84" t="s">
        <v>2751</v>
      </c>
      <c r="I97" s="84" t="s">
        <v>2752</v>
      </c>
      <c r="J97" s="7" t="s">
        <v>2824</v>
      </c>
      <c r="K97" s="7">
        <v>0.0</v>
      </c>
      <c r="L97" s="7">
        <v>31.0</v>
      </c>
      <c r="M97" s="7">
        <v>0.0</v>
      </c>
      <c r="N97" s="7">
        <v>31.0</v>
      </c>
      <c r="O97" s="7">
        <v>0.0</v>
      </c>
      <c r="P97" s="7">
        <v>0.0</v>
      </c>
      <c r="Q97" s="7">
        <v>0.0</v>
      </c>
      <c r="R97" s="7">
        <v>108.0</v>
      </c>
      <c r="S97" s="7">
        <v>0.0</v>
      </c>
      <c r="T97" s="7">
        <v>108.0</v>
      </c>
      <c r="U97" s="7">
        <v>0.0</v>
      </c>
      <c r="V97" s="7">
        <v>0.0</v>
      </c>
      <c r="W97" s="7">
        <f>VLOOKUP($D97,NatureChart,2,0)</f>
        <v>1</v>
      </c>
      <c r="X97" s="7">
        <f>VLOOKUP($D97,NatureChart,3,0)</f>
        <v>1</v>
      </c>
      <c r="Y97" s="7">
        <f>VLOOKUP($D97,NatureChart,4,0)</f>
        <v>1</v>
      </c>
      <c r="Z97" s="7">
        <f>VLOOKUP($D97,NatureChart,5,0)</f>
        <v>1</v>
      </c>
      <c r="AA97" s="84">
        <f>VLOOKUP($D97,NatureChart,6,0)</f>
        <v>1</v>
      </c>
      <c r="AB97" s="84">
        <f>IF($C97="Shedinja",1,(INT((2*VLOOKUP($C97,DexData,5,0)+INT(Q97/4)+K97)/2)+60))</f>
        <v>120</v>
      </c>
      <c r="AC97" s="84">
        <f>INT(INT((INT((2*VLOOKUP($C97,DexData,6,0)+INT(R97/4)+L97)/2)+5)*W97)*IF($E97="Choice Band",1.5,IF(OR($E97="Mawilite",$E97="Medichamite",$E97="Thick Club"),2,1)))</f>
        <v>94</v>
      </c>
      <c r="AD97" s="84">
        <f>INT(INT((INT((2*VLOOKUP($C97,DexData,7,0)+INT(S97/4)+M97)/2)+5)*X97)*IF($E97="Eviolite",1.5,1))</f>
        <v>45</v>
      </c>
      <c r="AE97" s="84">
        <f>INT(INT((INT((2*VLOOKUP($C97,DexData,9,0)+INT(T97/4)+N97)/2)+5)*Y97)*IF($E97="Choice Specs",1.5,1))</f>
        <v>99</v>
      </c>
      <c r="AF97" s="84">
        <f>INT(INT((INT((2*VLOOKUP($C97,DexData,10,0)+INT(U97/4)+O97)/2)+5)*Z97)*IF(OR($E97="Eviolite",$E97="Assault Vest"),1.5,1))</f>
        <v>50</v>
      </c>
      <c r="AG97" s="84">
        <f>INT(INT((INT((2*VLOOKUP($C97,DexData,11,0)+INT(V97/4)+P97)/2)+5)*AA97)*IF($E97="Choice Scarf",1.5,IF($E97="Iron Ball",0.5,1)))</f>
        <v>40</v>
      </c>
      <c r="AH97" s="84" t="str">
        <f>VLOOKUP(VLOOKUP($C97,DexData,3,0),Aliases!D$2:E$19,2,0)&amp;IFERROR("/"&amp;VLOOKUP(VLOOKUP($C97,DexData,4,0),Aliases!D$2:E$19,2,0),"")</f>
        <v>FIR/GRD</v>
      </c>
      <c r="AI97" s="7">
        <v>3.0</v>
      </c>
      <c r="AJ97" s="7">
        <f>IF(VLOOKUP(B97,'Set Odds'!A$2:AN$1067,40,0),1,IF(VLOOKUP(B97,'Set Odds'!A$2:AO$1067,41,0),2,0))</f>
        <v>0</v>
      </c>
      <c r="AK97" s="7"/>
      <c r="AL97" s="7" t="str">
        <f t="shared" si="1"/>
        <v/>
      </c>
    </row>
    <row r="98" ht="12.75" customHeight="1">
      <c r="A98" s="86">
        <v>97.0</v>
      </c>
      <c r="B98" s="84" t="s">
        <v>2925</v>
      </c>
      <c r="C98" s="7" t="s">
        <v>2834</v>
      </c>
      <c r="D98" s="7" t="s">
        <v>2629</v>
      </c>
      <c r="E98" s="7" t="s">
        <v>2835</v>
      </c>
      <c r="F98" s="84" t="s">
        <v>2836</v>
      </c>
      <c r="G98" s="84" t="s">
        <v>2607</v>
      </c>
      <c r="H98" s="84" t="s">
        <v>2734</v>
      </c>
      <c r="I98" s="84" t="s">
        <v>2517</v>
      </c>
      <c r="J98" s="7" t="s">
        <v>2837</v>
      </c>
      <c r="K98" s="7">
        <v>31.0</v>
      </c>
      <c r="L98" s="7">
        <v>31.0</v>
      </c>
      <c r="M98" s="7">
        <v>0.0</v>
      </c>
      <c r="N98" s="7">
        <v>0.0</v>
      </c>
      <c r="O98" s="7">
        <v>0.0</v>
      </c>
      <c r="P98" s="7">
        <v>0.0</v>
      </c>
      <c r="Q98" s="7">
        <v>108.0</v>
      </c>
      <c r="R98" s="7">
        <v>108.0</v>
      </c>
      <c r="S98" s="7">
        <v>0.0</v>
      </c>
      <c r="T98" s="7">
        <v>0.0</v>
      </c>
      <c r="U98" s="7">
        <v>0.0</v>
      </c>
      <c r="V98" s="7">
        <v>0.0</v>
      </c>
      <c r="W98" s="7">
        <f>VLOOKUP($D98,NatureChart,2,0)</f>
        <v>1.1</v>
      </c>
      <c r="X98" s="7">
        <f>VLOOKUP($D98,NatureChart,3,0)</f>
        <v>1</v>
      </c>
      <c r="Y98" s="7">
        <f>VLOOKUP($D98,NatureChart,4,0)</f>
        <v>1</v>
      </c>
      <c r="Z98" s="7">
        <f>VLOOKUP($D98,NatureChart,5,0)</f>
        <v>1</v>
      </c>
      <c r="AA98" s="84">
        <f>VLOOKUP($D98,NatureChart,6,0)</f>
        <v>0.9</v>
      </c>
      <c r="AB98" s="84">
        <f>IF($C98="Shedinja",1,(INT((2*VLOOKUP($C98,DexData,5,0)+INT(Q98/4)+K98)/2)+60))</f>
        <v>132</v>
      </c>
      <c r="AC98" s="84">
        <f>INT(INT((INT((2*VLOOKUP($C98,DexData,6,0)+INT(R98/4)+L98)/2)+5)*W98)*IF($E98="Choice Band",1.5,IF(OR($E98="Mawilite",$E98="Medichamite",$E98="Thick Club"),2,1)))</f>
        <v>125</v>
      </c>
      <c r="AD98" s="84">
        <f>INT(INT((INT((2*VLOOKUP($C98,DexData,7,0)+INT(S98/4)+M98)/2)+5)*X98)*IF($E98="Eviolite",1.5,1))</f>
        <v>70</v>
      </c>
      <c r="AE98" s="84">
        <f>INT(INT((INT((2*VLOOKUP($C98,DexData,9,0)+INT(T98/4)+N98)/2)+5)*Y98)*IF($E98="Choice Specs",1.5,1))</f>
        <v>55</v>
      </c>
      <c r="AF98" s="84">
        <f>INT(INT((INT((2*VLOOKUP($C98,DexData,10,0)+INT(U98/4)+O98)/2)+5)*Z98)*IF(OR($E98="Eviolite",$E98="Assault Vest"),1.5,1))</f>
        <v>40</v>
      </c>
      <c r="AG98" s="84">
        <f>INT(INT((INT((2*VLOOKUP($C98,DexData,11,0)+INT(V98/4)+P98)/2)+5)*AA98)*IF($E98="Choice Scarf",1.5,IF($E98="Iron Ball",0.5,1)))</f>
        <v>36</v>
      </c>
      <c r="AH98" s="84" t="str">
        <f>VLOOKUP(VLOOKUP($C98,DexData,3,0),Aliases!D$2:E$19,2,0)&amp;IFERROR("/"&amp;VLOOKUP(VLOOKUP($C98,DexData,4,0),Aliases!D$2:E$19,2,0),"")</f>
        <v>WTR</v>
      </c>
      <c r="AI98" s="7">
        <v>3.0</v>
      </c>
      <c r="AJ98" s="7">
        <f>IF(VLOOKUP(B98,'Set Odds'!A$2:AN$1067,40,0),1,IF(VLOOKUP(B98,'Set Odds'!A$2:AO$1067,41,0),2,0))</f>
        <v>0</v>
      </c>
      <c r="AK98" s="7"/>
      <c r="AL98" s="7" t="str">
        <f t="shared" si="1"/>
        <v/>
      </c>
    </row>
    <row r="99" ht="12.75" customHeight="1">
      <c r="A99" s="86">
        <v>98.0</v>
      </c>
      <c r="B99" s="84" t="s">
        <v>2926</v>
      </c>
      <c r="C99" s="7" t="s">
        <v>2839</v>
      </c>
      <c r="D99" s="7" t="s">
        <v>2845</v>
      </c>
      <c r="E99" s="7" t="s">
        <v>2790</v>
      </c>
      <c r="F99" s="84" t="s">
        <v>2840</v>
      </c>
      <c r="G99" s="84" t="s">
        <v>2713</v>
      </c>
      <c r="H99" s="84" t="s">
        <v>2602</v>
      </c>
      <c r="I99" s="84" t="s">
        <v>2841</v>
      </c>
      <c r="J99" s="7" t="s">
        <v>2842</v>
      </c>
      <c r="K99" s="7">
        <v>0.0</v>
      </c>
      <c r="L99" s="7">
        <v>31.0</v>
      </c>
      <c r="M99" s="7">
        <v>0.0</v>
      </c>
      <c r="N99" s="7">
        <v>0.0</v>
      </c>
      <c r="O99" s="7">
        <v>0.0</v>
      </c>
      <c r="P99" s="7">
        <v>31.0</v>
      </c>
      <c r="Q99" s="7">
        <v>0.0</v>
      </c>
      <c r="R99" s="7">
        <v>108.0</v>
      </c>
      <c r="S99" s="7">
        <v>0.0</v>
      </c>
      <c r="T99" s="7">
        <v>0.0</v>
      </c>
      <c r="U99" s="7">
        <v>0.0</v>
      </c>
      <c r="V99" s="7">
        <v>108.0</v>
      </c>
      <c r="W99" s="7">
        <f>VLOOKUP($D99,NatureChart,2,0)</f>
        <v>1.1</v>
      </c>
      <c r="X99" s="7">
        <f>VLOOKUP($D99,NatureChart,3,0)</f>
        <v>0.9</v>
      </c>
      <c r="Y99" s="7">
        <f>VLOOKUP($D99,NatureChart,4,0)</f>
        <v>1</v>
      </c>
      <c r="Z99" s="7">
        <f>VLOOKUP($D99,NatureChart,5,0)</f>
        <v>1</v>
      </c>
      <c r="AA99" s="84">
        <f>VLOOKUP($D99,NatureChart,6,0)</f>
        <v>1</v>
      </c>
      <c r="AB99" s="84">
        <f>IF($C99="Shedinja",1,(INT((2*VLOOKUP($C99,DexData,5,0)+INT(Q99/4)+K99)/2)+60))</f>
        <v>95</v>
      </c>
      <c r="AC99" s="84">
        <f>INT(INT((INT((2*VLOOKUP($C99,DexData,6,0)+INT(R99/4)+L99)/2)+5)*W99)*IF($E99="Choice Band",1.5,IF(OR($E99="Mawilite",$E99="Medichamite",$E99="Thick Club"),2,1)))</f>
        <v>130</v>
      </c>
      <c r="AD99" s="84">
        <f>INT(INT((INT((2*VLOOKUP($C99,DexData,7,0)+INT(S99/4)+M99)/2)+5)*X99)*IF($E99="Eviolite",1.5,1))</f>
        <v>45</v>
      </c>
      <c r="AE99" s="84">
        <f>INT(INT((INT((2*VLOOKUP($C99,DexData,9,0)+INT(T99/4)+N99)/2)+5)*Y99)*IF($E99="Choice Specs",1.5,1))</f>
        <v>40</v>
      </c>
      <c r="AF99" s="84">
        <f>INT(INT((INT((2*VLOOKUP($C99,DexData,10,0)+INT(U99/4)+O99)/2)+5)*Z99)*IF(OR($E99="Eviolite",$E99="Assault Vest"),1.5,1))</f>
        <v>40</v>
      </c>
      <c r="AG99" s="84">
        <f>INT(INT((INT((2*VLOOKUP($C99,DexData,11,0)+INT(V99/4)+P99)/2)+5)*AA99)*IF($E99="Choice Scarf",1.5,IF($E99="Iron Ball",0.5,1)))</f>
        <v>109</v>
      </c>
      <c r="AH99" s="84" t="str">
        <f>VLOOKUP(VLOOKUP($C99,DexData,3,0),Aliases!D$2:E$19,2,0)&amp;IFERROR("/"&amp;VLOOKUP(VLOOKUP($C99,DexData,4,0),Aliases!D$2:E$19,2,0),"")</f>
        <v>NRM/FLY</v>
      </c>
      <c r="AI99" s="7">
        <v>3.0</v>
      </c>
      <c r="AJ99" s="7">
        <f>IF(VLOOKUP(B99,'Set Odds'!A$2:AN$1067,40,0),1,IF(VLOOKUP(B99,'Set Odds'!A$2:AO$1067,41,0),2,0))</f>
        <v>0</v>
      </c>
      <c r="AK99" s="7"/>
      <c r="AL99" s="7" t="str">
        <f t="shared" si="1"/>
        <v/>
      </c>
    </row>
    <row r="100" ht="12.75" customHeight="1">
      <c r="A100" s="86">
        <v>99.0</v>
      </c>
      <c r="B100" s="84" t="s">
        <v>2927</v>
      </c>
      <c r="C100" s="7" t="s">
        <v>2844</v>
      </c>
      <c r="D100" s="7" t="s">
        <v>2845</v>
      </c>
      <c r="E100" s="7" t="s">
        <v>2846</v>
      </c>
      <c r="F100" s="84" t="s">
        <v>2573</v>
      </c>
      <c r="G100" s="84" t="s">
        <v>2847</v>
      </c>
      <c r="H100" s="84" t="s">
        <v>2822</v>
      </c>
      <c r="I100" s="84" t="s">
        <v>2848</v>
      </c>
      <c r="J100" s="7" t="s">
        <v>2849</v>
      </c>
      <c r="K100" s="7">
        <v>0.0</v>
      </c>
      <c r="L100" s="7">
        <v>31.0</v>
      </c>
      <c r="M100" s="7">
        <v>0.0</v>
      </c>
      <c r="N100" s="7">
        <v>0.0</v>
      </c>
      <c r="O100" s="7">
        <v>0.0</v>
      </c>
      <c r="P100" s="7">
        <v>31.0</v>
      </c>
      <c r="Q100" s="7">
        <v>0.0</v>
      </c>
      <c r="R100" s="7">
        <v>108.0</v>
      </c>
      <c r="S100" s="7">
        <v>0.0</v>
      </c>
      <c r="T100" s="7">
        <v>0.0</v>
      </c>
      <c r="U100" s="7">
        <v>0.0</v>
      </c>
      <c r="V100" s="7">
        <v>108.0</v>
      </c>
      <c r="W100" s="7">
        <f>VLOOKUP($D100,NatureChart,2,0)</f>
        <v>1.1</v>
      </c>
      <c r="X100" s="7">
        <f>VLOOKUP($D100,NatureChart,3,0)</f>
        <v>0.9</v>
      </c>
      <c r="Y100" s="7">
        <f>VLOOKUP($D100,NatureChart,4,0)</f>
        <v>1</v>
      </c>
      <c r="Z100" s="7">
        <f>VLOOKUP($D100,NatureChart,5,0)</f>
        <v>1</v>
      </c>
      <c r="AA100" s="84">
        <f>VLOOKUP($D100,NatureChart,6,0)</f>
        <v>1</v>
      </c>
      <c r="AB100" s="84">
        <f>IF($C100="Shedinja",1,(INT((2*VLOOKUP($C100,DexData,5,0)+INT(Q100/4)+K100)/2)+60))</f>
        <v>105</v>
      </c>
      <c r="AC100" s="84">
        <f>INT(INT((INT((2*VLOOKUP($C100,DexData,6,0)+INT(R100/4)+L100)/2)+5)*W100)*IF($E100="Choice Band",1.5,IF(OR($E100="Mawilite",$E100="Medichamite",$E100="Thick Club"),2,1)))</f>
        <v>81</v>
      </c>
      <c r="AD100" s="84">
        <f>INT(INT((INT((2*VLOOKUP($C100,DexData,7,0)+INT(S100/4)+M100)/2)+5)*X100)*IF($E100="Eviolite",1.5,1))</f>
        <v>58</v>
      </c>
      <c r="AE100" s="84">
        <f>INT(INT((INT((2*VLOOKUP($C100,DexData,9,0)+INT(T100/4)+N100)/2)+5)*Y100)*IF($E100="Choice Specs",1.5,1))</f>
        <v>45</v>
      </c>
      <c r="AF100" s="84">
        <f>INT(INT((INT((2*VLOOKUP($C100,DexData,10,0)+INT(U100/4)+O100)/2)+5)*Z100)*IF(OR($E100="Eviolite",$E100="Assault Vest"),1.5,1))</f>
        <v>80</v>
      </c>
      <c r="AG100" s="84">
        <f>INT(INT((INT((2*VLOOKUP($C100,DexData,11,0)+INT(V100/4)+P100)/2)+5)*AA100)*IF($E100="Choice Scarf",1.5,IF($E100="Iron Ball",0.5,1)))</f>
        <v>84</v>
      </c>
      <c r="AH100" s="84" t="str">
        <f>VLOOKUP(VLOOKUP($C100,DexData,3,0),Aliases!D$2:E$19,2,0)&amp;IFERROR("/"&amp;VLOOKUP(VLOOKUP($C100,DexData,4,0),Aliases!D$2:E$19,2,0),"")</f>
        <v>NRM/FLY</v>
      </c>
      <c r="AI100" s="7">
        <v>3.0</v>
      </c>
      <c r="AJ100" s="7">
        <f>IF(VLOOKUP(B100,'Set Odds'!A$2:AN$1067,40,0),1,IF(VLOOKUP(B100,'Set Odds'!A$2:AO$1067,41,0),2,0))</f>
        <v>0</v>
      </c>
      <c r="AK100" s="7"/>
      <c r="AL100" s="7" t="str">
        <f t="shared" si="1"/>
        <v/>
      </c>
    </row>
    <row r="101" ht="12.75" customHeight="1">
      <c r="A101" s="86">
        <v>100.0</v>
      </c>
      <c r="B101" s="84" t="s">
        <v>2928</v>
      </c>
      <c r="C101" s="7" t="s">
        <v>2851</v>
      </c>
      <c r="D101" s="7" t="s">
        <v>2571</v>
      </c>
      <c r="E101" s="7" t="s">
        <v>2516</v>
      </c>
      <c r="F101" s="84" t="s">
        <v>2513</v>
      </c>
      <c r="G101" s="84" t="s">
        <v>2852</v>
      </c>
      <c r="H101" s="84" t="s">
        <v>2595</v>
      </c>
      <c r="I101" s="84" t="s">
        <v>2848</v>
      </c>
      <c r="J101" s="7" t="s">
        <v>2853</v>
      </c>
      <c r="K101" s="7">
        <v>31.0</v>
      </c>
      <c r="L101" s="7">
        <v>31.0</v>
      </c>
      <c r="M101" s="7">
        <v>0.0</v>
      </c>
      <c r="N101" s="7">
        <v>0.0</v>
      </c>
      <c r="O101" s="7">
        <v>0.0</v>
      </c>
      <c r="P101" s="7">
        <v>0.0</v>
      </c>
      <c r="Q101" s="7">
        <v>108.0</v>
      </c>
      <c r="R101" s="7">
        <v>108.0</v>
      </c>
      <c r="S101" s="7">
        <v>0.0</v>
      </c>
      <c r="T101" s="7">
        <v>0.0</v>
      </c>
      <c r="U101" s="7">
        <v>0.0</v>
      </c>
      <c r="V101" s="7">
        <v>0.0</v>
      </c>
      <c r="W101" s="7">
        <f>VLOOKUP($D101,NatureChart,2,0)</f>
        <v>1.1</v>
      </c>
      <c r="X101" s="7">
        <f>VLOOKUP($D101,NatureChart,3,0)</f>
        <v>1</v>
      </c>
      <c r="Y101" s="7">
        <f>VLOOKUP($D101,NatureChart,4,0)</f>
        <v>0.9</v>
      </c>
      <c r="Z101" s="7">
        <f>VLOOKUP($D101,NatureChart,5,0)</f>
        <v>1</v>
      </c>
      <c r="AA101" s="84">
        <f>VLOOKUP($D101,NatureChart,6,0)</f>
        <v>1</v>
      </c>
      <c r="AB101" s="84">
        <f>IF($C101="Shedinja",1,(INT((2*VLOOKUP($C101,DexData,5,0)+INT(Q101/4)+K101)/2)+60))</f>
        <v>138</v>
      </c>
      <c r="AC101" s="84">
        <f>INT(INT((INT((2*VLOOKUP($C101,DexData,6,0)+INT(R101/4)+L101)/2)+5)*W101)*IF($E101="Choice Band",1.5,IF(OR($E101="Mawilite",$E101="Medichamite",$E101="Thick Club"),2,1)))</f>
        <v>97</v>
      </c>
      <c r="AD101" s="84">
        <f>INT(INT((INT((2*VLOOKUP($C101,DexData,7,0)+INT(S101/4)+M101)/2)+5)*X101)*IF($E101="Eviolite",1.5,1))</f>
        <v>47</v>
      </c>
      <c r="AE101" s="84">
        <f>INT(INT((INT((2*VLOOKUP($C101,DexData,9,0)+INT(T101/4)+N101)/2)+5)*Y101)*IF($E101="Choice Specs",1.5,1))</f>
        <v>42</v>
      </c>
      <c r="AF101" s="84">
        <f>INT(INT((INT((2*VLOOKUP($C101,DexData,10,0)+INT(U101/4)+O101)/2)+5)*Z101)*IF(OR($E101="Eviolite",$E101="Assault Vest"),1.5,1))</f>
        <v>42</v>
      </c>
      <c r="AG101" s="84">
        <f>INT(INT((INT((2*VLOOKUP($C101,DexData,11,0)+INT(V101/4)+P101)/2)+5)*AA101)*IF($E101="Choice Scarf",1.5,IF($E101="Iron Ball",0.5,1)))</f>
        <v>90</v>
      </c>
      <c r="AH101" s="84" t="str">
        <f>VLOOKUP(VLOOKUP($C101,DexData,3,0),Aliases!D$2:E$19,2,0)&amp;IFERROR("/"&amp;VLOOKUP(VLOOKUP($C101,DexData,4,0),Aliases!D$2:E$19,2,0),"")</f>
        <v>NRM</v>
      </c>
      <c r="AI101" s="7">
        <v>3.0</v>
      </c>
      <c r="AJ101" s="7">
        <f>IF(VLOOKUP(B101,'Set Odds'!A$2:AN$1067,40,0),1,IF(VLOOKUP(B101,'Set Odds'!A$2:AO$1067,41,0),2,0))</f>
        <v>0</v>
      </c>
      <c r="AK101" s="7"/>
      <c r="AL101" s="7" t="str">
        <f t="shared" si="1"/>
        <v/>
      </c>
    </row>
    <row r="102" ht="12.75" customHeight="1">
      <c r="A102" s="86">
        <v>101.0</v>
      </c>
      <c r="B102" s="84" t="s">
        <v>2929</v>
      </c>
      <c r="C102" s="7" t="s">
        <v>2930</v>
      </c>
      <c r="D102" s="7" t="s">
        <v>2862</v>
      </c>
      <c r="E102" s="7" t="s">
        <v>2528</v>
      </c>
      <c r="F102" s="84" t="s">
        <v>2719</v>
      </c>
      <c r="G102" s="84" t="s">
        <v>2796</v>
      </c>
      <c r="H102" s="84" t="s">
        <v>2863</v>
      </c>
      <c r="I102" s="84" t="s">
        <v>2596</v>
      </c>
      <c r="J102" s="7" t="s">
        <v>2931</v>
      </c>
      <c r="K102" s="7">
        <v>31.0</v>
      </c>
      <c r="L102" s="7">
        <v>0.0</v>
      </c>
      <c r="M102" s="7">
        <v>31.0</v>
      </c>
      <c r="N102" s="7">
        <v>0.0</v>
      </c>
      <c r="O102" s="7">
        <v>0.0</v>
      </c>
      <c r="P102" s="7">
        <v>0.0</v>
      </c>
      <c r="Q102" s="7">
        <v>108.0</v>
      </c>
      <c r="R102" s="7">
        <v>0.0</v>
      </c>
      <c r="S102" s="7">
        <v>108.0</v>
      </c>
      <c r="T102" s="7">
        <v>0.0</v>
      </c>
      <c r="U102" s="7">
        <v>0.0</v>
      </c>
      <c r="V102" s="7">
        <v>0.0</v>
      </c>
      <c r="W102" s="7">
        <f>VLOOKUP($D102,NatureChart,2,0)</f>
        <v>0.9</v>
      </c>
      <c r="X102" s="7">
        <f>VLOOKUP($D102,NatureChart,3,0)</f>
        <v>1.1</v>
      </c>
      <c r="Y102" s="7">
        <f>VLOOKUP($D102,NatureChart,4,0)</f>
        <v>1</v>
      </c>
      <c r="Z102" s="7">
        <f>VLOOKUP($D102,NatureChart,5,0)</f>
        <v>1</v>
      </c>
      <c r="AA102" s="84">
        <f>VLOOKUP($D102,NatureChart,6,0)</f>
        <v>1</v>
      </c>
      <c r="AB102" s="84">
        <f>IF($C102="Shedinja",1,(INT((2*VLOOKUP($C102,DexData,5,0)+INT(Q102/4)+K102)/2)+60))</f>
        <v>109</v>
      </c>
      <c r="AC102" s="84">
        <f>INT(INT((INT((2*VLOOKUP($C102,DexData,6,0)+INT(R102/4)+L102)/2)+5)*W102)*IF($E102="Choice Band",1.5,IF(OR($E102="Mawilite",$E102="Medichamite",$E102="Thick Club"),2,1)))</f>
        <v>27</v>
      </c>
      <c r="AD102" s="84">
        <f>INT(INT((INT((2*VLOOKUP($C102,DexData,7,0)+INT(S102/4)+M102)/2)+5)*X102)*IF($E102="Eviolite",1.5,1))</f>
        <v>86</v>
      </c>
      <c r="AE102" s="84">
        <f>INT(INT((INT((2*VLOOKUP($C102,DexData,9,0)+INT(T102/4)+N102)/2)+5)*Y102)*IF($E102="Choice Specs",1.5,1))</f>
        <v>75</v>
      </c>
      <c r="AF102" s="84">
        <f>INT(INT((INT((2*VLOOKUP($C102,DexData,10,0)+INT(U102/4)+O102)/2)+5)*Z102)*IF(OR($E102="Eviolite",$E102="Assault Vest"),1.5,1))</f>
        <v>95</v>
      </c>
      <c r="AG102" s="84">
        <f>INT(INT((INT((2*VLOOKUP($C102,DexData,11,0)+INT(V102/4)+P102)/2)+5)*AA102)*IF($E102="Choice Scarf",1.5,IF($E102="Iron Ball",0.5,1)))</f>
        <v>65</v>
      </c>
      <c r="AH102" s="84" t="str">
        <f>VLOOKUP(VLOOKUP($C102,DexData,3,0),Aliases!D$2:E$19,2,0)&amp;IFERROR("/"&amp;VLOOKUP(VLOOKUP($C102,DexData,4,0),Aliases!D$2:E$19,2,0),"")</f>
        <v>PSY/FAI</v>
      </c>
      <c r="AI102" s="7">
        <v>3.0</v>
      </c>
      <c r="AJ102" s="7">
        <f>IF(VLOOKUP(B102,'Set Odds'!A$2:AN$1067,40,0),1,IF(VLOOKUP(B102,'Set Odds'!A$2:AO$1067,41,0),2,0))</f>
        <v>0</v>
      </c>
      <c r="AK102" s="7"/>
      <c r="AL102" s="7" t="str">
        <f t="shared" si="1"/>
        <v/>
      </c>
    </row>
    <row r="103" ht="12.75" customHeight="1">
      <c r="A103" s="86">
        <v>102.0</v>
      </c>
      <c r="B103" s="84" t="s">
        <v>2932</v>
      </c>
      <c r="C103" s="7" t="s">
        <v>2933</v>
      </c>
      <c r="D103" s="7" t="s">
        <v>2656</v>
      </c>
      <c r="E103" s="7" t="s">
        <v>2636</v>
      </c>
      <c r="F103" s="84" t="s">
        <v>2796</v>
      </c>
      <c r="G103" s="84" t="s">
        <v>2739</v>
      </c>
      <c r="H103" s="84" t="s">
        <v>2607</v>
      </c>
      <c r="I103" s="84" t="s">
        <v>2688</v>
      </c>
      <c r="J103" s="7" t="s">
        <v>2824</v>
      </c>
      <c r="K103" s="7">
        <v>31.0</v>
      </c>
      <c r="L103" s="7">
        <v>0.0</v>
      </c>
      <c r="M103" s="7">
        <v>0.0</v>
      </c>
      <c r="N103" s="7">
        <v>31.0</v>
      </c>
      <c r="O103" s="7">
        <v>0.0</v>
      </c>
      <c r="P103" s="7">
        <v>0.0</v>
      </c>
      <c r="Q103" s="7">
        <v>108.0</v>
      </c>
      <c r="R103" s="7">
        <v>0.0</v>
      </c>
      <c r="S103" s="7">
        <v>0.0</v>
      </c>
      <c r="T103" s="7">
        <v>108.0</v>
      </c>
      <c r="U103" s="7">
        <v>0.0</v>
      </c>
      <c r="V103" s="7">
        <v>0.0</v>
      </c>
      <c r="W103" s="7">
        <f>VLOOKUP($D103,NatureChart,2,0)</f>
        <v>0.9</v>
      </c>
      <c r="X103" s="7">
        <f>VLOOKUP($D103,NatureChart,3,0)</f>
        <v>1</v>
      </c>
      <c r="Y103" s="7">
        <f>VLOOKUP($D103,NatureChart,4,0)</f>
        <v>1.1</v>
      </c>
      <c r="Z103" s="7">
        <f>VLOOKUP($D103,NatureChart,5,0)</f>
        <v>1</v>
      </c>
      <c r="AA103" s="84">
        <f>VLOOKUP($D103,NatureChart,6,0)</f>
        <v>1</v>
      </c>
      <c r="AB103" s="84">
        <f>IF($C103="Shedinja",1,(INT((2*VLOOKUP($C103,DexData,5,0)+INT(Q103/4)+K103)/2)+60))</f>
        <v>179</v>
      </c>
      <c r="AC103" s="84">
        <f>INT(INT((INT((2*VLOOKUP($C103,DexData,6,0)+INT(R103/4)+L103)/2)+5)*W103)*IF($E103="Choice Band",1.5,IF(OR($E103="Mawilite",$E103="Medichamite",$E103="Thick Club"),2,1)))</f>
        <v>63</v>
      </c>
      <c r="AD103" s="84">
        <f>INT(INT((INT((2*VLOOKUP($C103,DexData,7,0)+INT(S103/4)+M103)/2)+5)*X103)*IF($E103="Eviolite",1.5,1))</f>
        <v>70</v>
      </c>
      <c r="AE103" s="84">
        <f>INT(INT((INT((2*VLOOKUP($C103,DexData,9,0)+INT(T103/4)+N103)/2)+5)*Y103)*IF($E103="Choice Specs",1.5,1))</f>
        <v>81</v>
      </c>
      <c r="AF103" s="84">
        <f>INT(INT((INT((2*VLOOKUP($C103,DexData,10,0)+INT(U103/4)+O103)/2)+5)*Z103)*IF(OR($E103="Eviolite",$E103="Assault Vest"),1.5,1))</f>
        <v>45</v>
      </c>
      <c r="AG103" s="84">
        <f>INT(INT((INT((2*VLOOKUP($C103,DexData,11,0)+INT(V103/4)+P103)/2)+5)*AA103)*IF($E103="Choice Scarf",1.5,IF($E103="Iron Ball",0.5,1)))</f>
        <v>20</v>
      </c>
      <c r="AH103" s="84" t="str">
        <f>VLOOKUP(VLOOKUP($C103,DexData,3,0),Aliases!D$2:E$19,2,0)&amp;IFERROR("/"&amp;VLOOKUP(VLOOKUP($C103,DexData,4,0),Aliases!D$2:E$19,2,0),"")</f>
        <v>WTR/PSY</v>
      </c>
      <c r="AI103" s="7">
        <v>3.0</v>
      </c>
      <c r="AJ103" s="7">
        <f>IF(VLOOKUP(B103,'Set Odds'!A$2:AN$1067,40,0),1,IF(VLOOKUP(B103,'Set Odds'!A$2:AO$1067,41,0),2,0))</f>
        <v>0</v>
      </c>
      <c r="AK103" s="7"/>
      <c r="AL103" s="7" t="str">
        <f t="shared" si="1"/>
        <v/>
      </c>
    </row>
    <row r="104" ht="12.75" customHeight="1">
      <c r="A104" s="86">
        <v>103.0</v>
      </c>
      <c r="B104" s="84" t="s">
        <v>2934</v>
      </c>
      <c r="C104" s="7" t="s">
        <v>2935</v>
      </c>
      <c r="D104" s="7" t="s">
        <v>2811</v>
      </c>
      <c r="E104" s="7" t="s">
        <v>2936</v>
      </c>
      <c r="F104" s="84" t="s">
        <v>2937</v>
      </c>
      <c r="G104" s="84" t="s">
        <v>2705</v>
      </c>
      <c r="H104" s="84" t="s">
        <v>2680</v>
      </c>
      <c r="I104" s="84" t="s">
        <v>2938</v>
      </c>
      <c r="J104" s="7" t="s">
        <v>2701</v>
      </c>
      <c r="K104" s="7">
        <v>31.0</v>
      </c>
      <c r="L104" s="7">
        <v>0.0</v>
      </c>
      <c r="M104" s="7">
        <v>31.0</v>
      </c>
      <c r="N104" s="7">
        <v>0.0</v>
      </c>
      <c r="O104" s="7">
        <v>0.0</v>
      </c>
      <c r="P104" s="7">
        <v>0.0</v>
      </c>
      <c r="Q104" s="7">
        <v>108.0</v>
      </c>
      <c r="R104" s="7">
        <v>0.0</v>
      </c>
      <c r="S104" s="7">
        <v>108.0</v>
      </c>
      <c r="T104" s="7">
        <v>0.0</v>
      </c>
      <c r="U104" s="7">
        <v>0.0</v>
      </c>
      <c r="V104" s="7">
        <v>0.0</v>
      </c>
      <c r="W104" s="7">
        <f>VLOOKUP($D104,NatureChart,2,0)</f>
        <v>1</v>
      </c>
      <c r="X104" s="7">
        <f>VLOOKUP($D104,NatureChart,3,0)</f>
        <v>1.1</v>
      </c>
      <c r="Y104" s="7">
        <f>VLOOKUP($D104,NatureChart,4,0)</f>
        <v>1</v>
      </c>
      <c r="Z104" s="7">
        <f>VLOOKUP($D104,NatureChart,5,0)</f>
        <v>1</v>
      </c>
      <c r="AA104" s="84">
        <f>VLOOKUP($D104,NatureChart,6,0)</f>
        <v>0.9</v>
      </c>
      <c r="AB104" s="84">
        <f>IF($C104="Shedinja",1,(INT((2*VLOOKUP($C104,DexData,5,0)+INT(Q104/4)+K104)/2)+60))</f>
        <v>134</v>
      </c>
      <c r="AC104" s="84">
        <f>INT(INT((INT((2*VLOOKUP($C104,DexData,6,0)+INT(R104/4)+L104)/2)+5)*W104)*IF($E104="Choice Band",1.5,IF(OR($E104="Mawilite",$E104="Medichamite",$E104="Thick Club"),2,1)))</f>
        <v>55</v>
      </c>
      <c r="AD104" s="84">
        <f>INT(INT((INT((2*VLOOKUP($C104,DexData,7,0)+INT(S104/4)+M104)/2)+5)*X104)*IF($E104="Eviolite",1.5,1))</f>
        <v>97</v>
      </c>
      <c r="AE104" s="84">
        <f>INT(INT((INT((2*VLOOKUP($C104,DexData,9,0)+INT(T104/4)+N104)/2)+5)*Y104)*IF($E104="Choice Specs",1.5,1))</f>
        <v>80</v>
      </c>
      <c r="AF104" s="84">
        <f>INT(INT((INT((2*VLOOKUP($C104,DexData,10,0)+INT(U104/4)+O104)/2)+5)*Z104)*IF(OR($E104="Eviolite",$E104="Assault Vest"),1.5,1))</f>
        <v>70</v>
      </c>
      <c r="AG104" s="84">
        <f>INT(INT((INT((2*VLOOKUP($C104,DexData,11,0)+INT(V104/4)+P104)/2)+5)*AA104)*IF($E104="Choice Scarf",1.5,IF($E104="Iron Ball",0.5,1)))</f>
        <v>31</v>
      </c>
      <c r="AH104" s="84" t="str">
        <f>VLOOKUP(VLOOKUP($C104,DexData,3,0),Aliases!D$2:E$19,2,0)&amp;IFERROR("/"&amp;VLOOKUP(VLOOKUP($C104,DexData,4,0),Aliases!D$2:E$19,2,0),"")</f>
        <v>GRS/PSN</v>
      </c>
      <c r="AI104" s="7">
        <v>3.0</v>
      </c>
      <c r="AJ104" s="7">
        <f>IF(VLOOKUP(B104,'Set Odds'!A$2:AN$1067,40,0),1,IF(VLOOKUP(B104,'Set Odds'!A$2:AO$1067,41,0),2,0))</f>
        <v>0</v>
      </c>
      <c r="AK104" s="7"/>
      <c r="AL104" s="7" t="str">
        <f t="shared" si="1"/>
        <v/>
      </c>
    </row>
    <row r="105" ht="12.75" customHeight="1">
      <c r="A105" s="86">
        <v>104.0</v>
      </c>
      <c r="B105" s="84" t="s">
        <v>2939</v>
      </c>
      <c r="C105" s="7" t="s">
        <v>2940</v>
      </c>
      <c r="D105" s="7" t="s">
        <v>2941</v>
      </c>
      <c r="E105" s="7" t="s">
        <v>2761</v>
      </c>
      <c r="F105" s="84" t="s">
        <v>2796</v>
      </c>
      <c r="G105" s="84" t="s">
        <v>2852</v>
      </c>
      <c r="H105" s="84" t="s">
        <v>2614</v>
      </c>
      <c r="I105" s="84" t="s">
        <v>2739</v>
      </c>
      <c r="J105" s="7" t="s">
        <v>2849</v>
      </c>
      <c r="K105" s="7">
        <v>0.0</v>
      </c>
      <c r="L105" s="7">
        <v>0.0</v>
      </c>
      <c r="M105" s="7">
        <v>0.0</v>
      </c>
      <c r="N105" s="7">
        <v>31.0</v>
      </c>
      <c r="O105" s="7">
        <v>0.0</v>
      </c>
      <c r="P105" s="7">
        <v>31.0</v>
      </c>
      <c r="Q105" s="7">
        <v>0.0</v>
      </c>
      <c r="R105" s="7">
        <v>0.0</v>
      </c>
      <c r="S105" s="7">
        <v>0.0</v>
      </c>
      <c r="T105" s="7">
        <v>108.0</v>
      </c>
      <c r="U105" s="7">
        <v>0.0</v>
      </c>
      <c r="V105" s="7">
        <v>108.0</v>
      </c>
      <c r="W105" s="7">
        <f>VLOOKUP($D105,NatureChart,2,0)</f>
        <v>1</v>
      </c>
      <c r="X105" s="7">
        <f>VLOOKUP($D105,NatureChart,3,0)</f>
        <v>0.9</v>
      </c>
      <c r="Y105" s="7">
        <f>VLOOKUP($D105,NatureChart,4,0)</f>
        <v>1</v>
      </c>
      <c r="Z105" s="7">
        <f>VLOOKUP($D105,NatureChart,5,0)</f>
        <v>1</v>
      </c>
      <c r="AA105" s="84">
        <f>VLOOKUP($D105,NatureChart,6,0)</f>
        <v>1.1</v>
      </c>
      <c r="AB105" s="84">
        <f>IF($C105="Shedinja",1,(INT((2*VLOOKUP($C105,DexData,5,0)+INT(Q105/4)+K105)/2)+60))</f>
        <v>110</v>
      </c>
      <c r="AC105" s="84">
        <f>INT(INT((INT((2*VLOOKUP($C105,DexData,6,0)+INT(R105/4)+L105)/2)+5)*W105)*IF($E105="Choice Band",1.5,IF(OR($E105="Mawilite",$E105="Medichamite",$E105="Thick Club"),2,1)))</f>
        <v>57</v>
      </c>
      <c r="AD105" s="84">
        <f>INT(INT((INT((2*VLOOKUP($C105,DexData,7,0)+INT(S105/4)+M105)/2)+5)*X105)*IF($E105="Eviolite",1.5,1))</f>
        <v>47</v>
      </c>
      <c r="AE105" s="84">
        <f>INT(INT((INT((2*VLOOKUP($C105,DexData,9,0)+INT(T105/4)+N105)/2)+5)*Y105)*IF($E105="Choice Specs",1.5,1))</f>
        <v>99</v>
      </c>
      <c r="AF105" s="84">
        <f>INT(INT((INT((2*VLOOKUP($C105,DexData,10,0)+INT(U105/4)+O105)/2)+5)*Z105)*IF(OR($E105="Eviolite",$E105="Assault Vest"),1.5,1))</f>
        <v>55</v>
      </c>
      <c r="AG105" s="84">
        <f>INT(INT((INT((2*VLOOKUP($C105,DexData,11,0)+INT(V105/4)+P105)/2)+5)*AA105)*IF($E105="Choice Scarf",1.5,IF($E105="Iron Ball",0.5,1)))</f>
        <v>97</v>
      </c>
      <c r="AH105" s="84" t="str">
        <f>VLOOKUP(VLOOKUP($C105,DexData,3,0),Aliases!D$2:E$19,2,0)&amp;IFERROR("/"&amp;VLOOKUP(VLOOKUP($C105,DexData,4,0),Aliases!D$2:E$19,2,0),"")</f>
        <v>WTR</v>
      </c>
      <c r="AI105" s="7">
        <v>3.0</v>
      </c>
      <c r="AJ105" s="7">
        <f>IF(VLOOKUP(B105,'Set Odds'!A$2:AN$1067,40,0),1,IF(VLOOKUP(B105,'Set Odds'!A$2:AO$1067,41,0),2,0))</f>
        <v>0</v>
      </c>
      <c r="AK105" s="7"/>
      <c r="AL105" s="7" t="str">
        <f t="shared" si="1"/>
        <v/>
      </c>
    </row>
    <row r="106" ht="12.75" customHeight="1">
      <c r="A106" s="86">
        <v>105.0</v>
      </c>
      <c r="B106" s="84" t="s">
        <v>2942</v>
      </c>
      <c r="C106" s="7" t="s">
        <v>2943</v>
      </c>
      <c r="D106" s="7" t="s">
        <v>2571</v>
      </c>
      <c r="E106" s="7" t="s">
        <v>2750</v>
      </c>
      <c r="F106" s="84" t="s">
        <v>2944</v>
      </c>
      <c r="G106" s="84" t="s">
        <v>2686</v>
      </c>
      <c r="H106" s="84" t="s">
        <v>2581</v>
      </c>
      <c r="I106" s="84" t="s">
        <v>2614</v>
      </c>
      <c r="J106" s="7" t="s">
        <v>2945</v>
      </c>
      <c r="K106" s="7">
        <v>31.0</v>
      </c>
      <c r="L106" s="7">
        <v>31.0</v>
      </c>
      <c r="M106" s="7">
        <v>0.0</v>
      </c>
      <c r="N106" s="7">
        <v>0.0</v>
      </c>
      <c r="O106" s="7">
        <v>0.0</v>
      </c>
      <c r="P106" s="7">
        <v>0.0</v>
      </c>
      <c r="Q106" s="7">
        <v>108.0</v>
      </c>
      <c r="R106" s="7">
        <v>108.0</v>
      </c>
      <c r="S106" s="7">
        <v>0.0</v>
      </c>
      <c r="T106" s="7">
        <v>0.0</v>
      </c>
      <c r="U106" s="7">
        <v>0.0</v>
      </c>
      <c r="V106" s="7">
        <v>0.0</v>
      </c>
      <c r="W106" s="7">
        <f>VLOOKUP($D106,NatureChart,2,0)</f>
        <v>1.1</v>
      </c>
      <c r="X106" s="7">
        <f>VLOOKUP($D106,NatureChart,3,0)</f>
        <v>1</v>
      </c>
      <c r="Y106" s="7">
        <f>VLOOKUP($D106,NatureChart,4,0)</f>
        <v>0.9</v>
      </c>
      <c r="Z106" s="7">
        <f>VLOOKUP($D106,NatureChart,5,0)</f>
        <v>1</v>
      </c>
      <c r="AA106" s="84">
        <f>VLOOKUP($D106,NatureChart,6,0)</f>
        <v>1</v>
      </c>
      <c r="AB106" s="84">
        <f>IF($C106="Shedinja",1,(INT((2*VLOOKUP($C106,DexData,5,0)+INT(Q106/4)+K106)/2)+60))</f>
        <v>139</v>
      </c>
      <c r="AC106" s="84">
        <f>INT(INT((INT((2*VLOOKUP($C106,DexData,6,0)+INT(R106/4)+L106)/2)+5)*W106)*IF($E106="Choice Band",1.5,IF(OR($E106="Mawilite",$E106="Medichamite",$E106="Thick Club"),2,1)))</f>
        <v>92</v>
      </c>
      <c r="AD106" s="84">
        <f>INT(INT((INT((2*VLOOKUP($C106,DexData,7,0)+INT(S106/4)+M106)/2)+5)*X106)*IF($E106="Eviolite",1.5,1))</f>
        <v>100</v>
      </c>
      <c r="AE106" s="84">
        <f>INT(INT((INT((2*VLOOKUP($C106,DexData,9,0)+INT(T106/4)+N106)/2)+5)*Y106)*IF($E106="Choice Specs",1.5,1))</f>
        <v>40</v>
      </c>
      <c r="AF106" s="84">
        <f>INT(INT((INT((2*VLOOKUP($C106,DexData,10,0)+INT(U106/4)+O106)/2)+5)*Z106)*IF(OR($E106="Eviolite",$E106="Assault Vest"),1.5,1))</f>
        <v>55</v>
      </c>
      <c r="AG106" s="84">
        <f>INT(INT((INT((2*VLOOKUP($C106,DexData,11,0)+INT(V106/4)+P106)/2)+5)*AA106)*IF($E106="Choice Scarf",1.5,IF($E106="Iron Ball",0.5,1)))</f>
        <v>40</v>
      </c>
      <c r="AH106" s="84" t="str">
        <f>VLOOKUP(VLOOKUP($C106,DexData,3,0),Aliases!D$2:E$19,2,0)&amp;IFERROR("/"&amp;VLOOKUP(VLOOKUP($C106,DexData,4,0),Aliases!D$2:E$19,2,0),"")</f>
        <v>GRD</v>
      </c>
      <c r="AI106" s="7">
        <v>3.0</v>
      </c>
      <c r="AJ106" s="7">
        <f>IF(VLOOKUP(B106,'Set Odds'!A$2:AN$1067,40,0),1,IF(VLOOKUP(B106,'Set Odds'!A$2:AO$1067,41,0),2,0))</f>
        <v>0</v>
      </c>
      <c r="AK106" s="7"/>
      <c r="AL106" s="7" t="str">
        <f t="shared" si="1"/>
        <v/>
      </c>
    </row>
    <row r="107" ht="12.75" customHeight="1">
      <c r="A107" s="86">
        <v>106.0</v>
      </c>
      <c r="B107" s="84" t="s">
        <v>2946</v>
      </c>
      <c r="C107" s="7" t="s">
        <v>2947</v>
      </c>
      <c r="D107" s="7" t="s">
        <v>2571</v>
      </c>
      <c r="E107" s="7" t="s">
        <v>2770</v>
      </c>
      <c r="F107" s="84" t="s">
        <v>2869</v>
      </c>
      <c r="G107" s="84" t="s">
        <v>2644</v>
      </c>
      <c r="H107" s="84" t="s">
        <v>2948</v>
      </c>
      <c r="I107" s="84" t="s">
        <v>2518</v>
      </c>
      <c r="J107" s="7" t="s">
        <v>2747</v>
      </c>
      <c r="K107" s="7">
        <v>31.0</v>
      </c>
      <c r="L107" s="7">
        <v>31.0</v>
      </c>
      <c r="M107" s="7">
        <v>0.0</v>
      </c>
      <c r="N107" s="7">
        <v>0.0</v>
      </c>
      <c r="O107" s="7">
        <v>0.0</v>
      </c>
      <c r="P107" s="7">
        <v>0.0</v>
      </c>
      <c r="Q107" s="7">
        <v>108.0</v>
      </c>
      <c r="R107" s="7">
        <v>108.0</v>
      </c>
      <c r="S107" s="7">
        <v>0.0</v>
      </c>
      <c r="T107" s="7">
        <v>0.0</v>
      </c>
      <c r="U107" s="7">
        <v>0.0</v>
      </c>
      <c r="V107" s="7">
        <v>0.0</v>
      </c>
      <c r="W107" s="7">
        <f>VLOOKUP($D107,NatureChart,2,0)</f>
        <v>1.1</v>
      </c>
      <c r="X107" s="7">
        <f>VLOOKUP($D107,NatureChart,3,0)</f>
        <v>1</v>
      </c>
      <c r="Y107" s="7">
        <f>VLOOKUP($D107,NatureChart,4,0)</f>
        <v>0.9</v>
      </c>
      <c r="Z107" s="7">
        <f>VLOOKUP($D107,NatureChart,5,0)</f>
        <v>1</v>
      </c>
      <c r="AA107" s="84">
        <f>VLOOKUP($D107,NatureChart,6,0)</f>
        <v>1</v>
      </c>
      <c r="AB107" s="84">
        <f>IF($C107="Shedinja",1,(INT((2*VLOOKUP($C107,DexData,5,0)+INT(Q107/4)+K107)/2)+60))</f>
        <v>134</v>
      </c>
      <c r="AC107" s="84">
        <f>INT(INT((INT((2*VLOOKUP($C107,DexData,6,0)+INT(R107/4)+L107)/2)+5)*W107)*IF($E107="Choice Band",1.5,IF(OR($E107="Mawilite",$E107="Medichamite",$E107="Thick Club"),2,1)))</f>
        <v>111</v>
      </c>
      <c r="AD107" s="84">
        <f>INT(INT((INT((2*VLOOKUP($C107,DexData,7,0)+INT(S107/4)+M107)/2)+5)*X107)*IF($E107="Eviolite",1.5,1))</f>
        <v>65</v>
      </c>
      <c r="AE107" s="84">
        <f>INT(INT((INT((2*VLOOKUP($C107,DexData,9,0)+INT(T107/4)+N107)/2)+5)*Y107)*IF($E107="Choice Specs",1.5,1))</f>
        <v>36</v>
      </c>
      <c r="AF107" s="84">
        <f>INT(INT((INT((2*VLOOKUP($C107,DexData,10,0)+INT(U107/4)+O107)/2)+5)*Z107)*IF(OR($E107="Eviolite",$E107="Assault Vest"),1.5,1))</f>
        <v>55</v>
      </c>
      <c r="AG107" s="84">
        <f>INT(INT((INT((2*VLOOKUP($C107,DexData,11,0)+INT(V107/4)+P107)/2)+5)*AA107)*IF($E107="Choice Scarf",1.5,IF($E107="Iron Ball",0.5,1)))</f>
        <v>68</v>
      </c>
      <c r="AH107" s="84" t="str">
        <f>VLOOKUP(VLOOKUP($C107,DexData,3,0),Aliases!D$2:E$19,2,0)&amp;IFERROR("/"&amp;VLOOKUP(VLOOKUP($C107,DexData,4,0),Aliases!D$2:E$19,2,0),"")</f>
        <v>WTR</v>
      </c>
      <c r="AI107" s="7">
        <v>3.0</v>
      </c>
      <c r="AJ107" s="7">
        <f>IF(VLOOKUP(B107,'Set Odds'!A$2:AN$1067,40,0),1,IF(VLOOKUP(B107,'Set Odds'!A$2:AO$1067,41,0),2,0))</f>
        <v>0</v>
      </c>
      <c r="AK107" s="7"/>
      <c r="AL107" s="7" t="str">
        <f t="shared" si="1"/>
        <v/>
      </c>
    </row>
    <row r="108" ht="12.75" customHeight="1">
      <c r="A108" s="86">
        <v>107.0</v>
      </c>
      <c r="B108" s="84" t="s">
        <v>2949</v>
      </c>
      <c r="C108" s="7" t="s">
        <v>2950</v>
      </c>
      <c r="D108" s="7" t="s">
        <v>2811</v>
      </c>
      <c r="E108" s="7" t="s">
        <v>2780</v>
      </c>
      <c r="F108" s="84" t="s">
        <v>2951</v>
      </c>
      <c r="G108" s="84" t="s">
        <v>2952</v>
      </c>
      <c r="H108" s="84" t="s">
        <v>2659</v>
      </c>
      <c r="I108" s="84" t="s">
        <v>2615</v>
      </c>
      <c r="J108" s="7" t="s">
        <v>2953</v>
      </c>
      <c r="K108" s="7">
        <v>31.0</v>
      </c>
      <c r="L108" s="7">
        <v>0.0</v>
      </c>
      <c r="M108" s="7">
        <v>31.0</v>
      </c>
      <c r="N108" s="7">
        <v>0.0</v>
      </c>
      <c r="O108" s="7">
        <v>0.0</v>
      </c>
      <c r="P108" s="7">
        <v>0.0</v>
      </c>
      <c r="Q108" s="7">
        <v>108.0</v>
      </c>
      <c r="R108" s="7">
        <v>0.0</v>
      </c>
      <c r="S108" s="7">
        <v>108.0</v>
      </c>
      <c r="T108" s="7">
        <v>0.0</v>
      </c>
      <c r="U108" s="7">
        <v>0.0</v>
      </c>
      <c r="V108" s="7">
        <v>0.0</v>
      </c>
      <c r="W108" s="7">
        <f>VLOOKUP($D108,NatureChart,2,0)</f>
        <v>1</v>
      </c>
      <c r="X108" s="7">
        <f>VLOOKUP($D108,NatureChart,3,0)</f>
        <v>1.1</v>
      </c>
      <c r="Y108" s="7">
        <f>VLOOKUP($D108,NatureChart,4,0)</f>
        <v>1</v>
      </c>
      <c r="Z108" s="7">
        <f>VLOOKUP($D108,NatureChart,5,0)</f>
        <v>1</v>
      </c>
      <c r="AA108" s="84">
        <f>VLOOKUP($D108,NatureChart,6,0)</f>
        <v>0.9</v>
      </c>
      <c r="AB108" s="84">
        <f>IF($C108="Shedinja",1,(INT((2*VLOOKUP($C108,DexData,5,0)+INT(Q108/4)+K108)/2)+60))</f>
        <v>129</v>
      </c>
      <c r="AC108" s="84">
        <f>INT(INT((INT((2*VLOOKUP($C108,DexData,6,0)+INT(R108/4)+L108)/2)+5)*W108)*IF($E108="Choice Band",1.5,IF(OR($E108="Mawilite",$E108="Medichamite",$E108="Thick Club"),2,1)))</f>
        <v>55</v>
      </c>
      <c r="AD108" s="84">
        <f>INT(INT((INT((2*VLOOKUP($C108,DexData,7,0)+INT(S108/4)+M108)/2)+5)*X108)*IF($E108="Eviolite",1.5,1))</f>
        <v>86</v>
      </c>
      <c r="AE108" s="84">
        <f>INT(INT((INT((2*VLOOKUP($C108,DexData,9,0)+INT(T108/4)+N108)/2)+5)*Y108)*IF($E108="Choice Specs",1.5,1))</f>
        <v>75</v>
      </c>
      <c r="AF108" s="84">
        <f>INT(INT((INT((2*VLOOKUP($C108,DexData,10,0)+INT(U108/4)+O108)/2)+5)*Z108)*IF(OR($E108="Eviolite",$E108="Assault Vest"),1.5,1))</f>
        <v>50</v>
      </c>
      <c r="AG108" s="84">
        <f>INT(INT((INT((2*VLOOKUP($C108,DexData,11,0)+INT(V108/4)+P108)/2)+5)*AA108)*IF($E108="Choice Scarf",1.5,IF($E108="Iron Ball",0.5,1)))</f>
        <v>67</v>
      </c>
      <c r="AH108" s="84" t="str">
        <f>VLOOKUP(VLOOKUP($C108,DexData,3,0),Aliases!D$2:E$19,2,0)&amp;IFERROR("/"&amp;VLOOKUP(VLOOKUP($C108,DexData,4,0),Aliases!D$2:E$19,2,0),"")</f>
        <v>PSY/FLY</v>
      </c>
      <c r="AI108" s="7">
        <v>3.0</v>
      </c>
      <c r="AJ108" s="7">
        <f>IF(VLOOKUP(B108,'Set Odds'!A$2:AN$1067,40,0),1,IF(VLOOKUP(B108,'Set Odds'!A$2:AO$1067,41,0),2,0))</f>
        <v>0</v>
      </c>
      <c r="AK108" s="7"/>
      <c r="AL108" s="7" t="str">
        <f t="shared" si="1"/>
        <v/>
      </c>
    </row>
    <row r="109" ht="12.75" customHeight="1">
      <c r="A109" s="86">
        <v>108.0</v>
      </c>
      <c r="B109" s="84" t="s">
        <v>2954</v>
      </c>
      <c r="C109" s="7" t="s">
        <v>2955</v>
      </c>
      <c r="D109" s="7" t="s">
        <v>2656</v>
      </c>
      <c r="E109" s="7" t="s">
        <v>2528</v>
      </c>
      <c r="F109" s="84" t="s">
        <v>2956</v>
      </c>
      <c r="G109" s="84" t="s">
        <v>2894</v>
      </c>
      <c r="H109" s="84" t="s">
        <v>2957</v>
      </c>
      <c r="I109" s="84" t="s">
        <v>2822</v>
      </c>
      <c r="J109" s="7" t="s">
        <v>2958</v>
      </c>
      <c r="K109" s="7">
        <v>31.0</v>
      </c>
      <c r="L109" s="7">
        <v>0.0</v>
      </c>
      <c r="M109" s="7">
        <v>0.0</v>
      </c>
      <c r="N109" s="7">
        <v>31.0</v>
      </c>
      <c r="O109" s="7">
        <v>0.0</v>
      </c>
      <c r="P109" s="7">
        <v>0.0</v>
      </c>
      <c r="Q109" s="7">
        <v>108.0</v>
      </c>
      <c r="R109" s="7">
        <v>0.0</v>
      </c>
      <c r="S109" s="7">
        <v>0.0</v>
      </c>
      <c r="T109" s="7">
        <v>108.0</v>
      </c>
      <c r="U109" s="7">
        <v>0.0</v>
      </c>
      <c r="V109" s="7">
        <v>0.0</v>
      </c>
      <c r="W109" s="7">
        <f>VLOOKUP($D109,NatureChart,2,0)</f>
        <v>0.9</v>
      </c>
      <c r="X109" s="7">
        <f>VLOOKUP($D109,NatureChart,3,0)</f>
        <v>1</v>
      </c>
      <c r="Y109" s="7">
        <f>VLOOKUP($D109,NatureChart,4,0)</f>
        <v>1.1</v>
      </c>
      <c r="Z109" s="7">
        <f>VLOOKUP($D109,NatureChart,5,0)</f>
        <v>1</v>
      </c>
      <c r="AA109" s="84">
        <f>VLOOKUP($D109,NatureChart,6,0)</f>
        <v>1</v>
      </c>
      <c r="AB109" s="84">
        <f>IF($C109="Shedinja",1,(INT((2*VLOOKUP($C109,DexData,5,0)+INT(Q109/4)+K109)/2)+60))</f>
        <v>159</v>
      </c>
      <c r="AC109" s="84">
        <f>INT(INT((INT((2*VLOOKUP($C109,DexData,6,0)+INT(R109/4)+L109)/2)+5)*W109)*IF($E109="Choice Band",1.5,IF(OR($E109="Mawilite",$E109="Medichamite",$E109="Thick Club"),2,1)))</f>
        <v>45</v>
      </c>
      <c r="AD109" s="84">
        <f>INT(INT((INT((2*VLOOKUP($C109,DexData,7,0)+INT(S109/4)+M109)/2)+5)*X109)*IF($E109="Eviolite",1.5,1))</f>
        <v>53</v>
      </c>
      <c r="AE109" s="84">
        <f>INT(INT((INT((2*VLOOKUP($C109,DexData,9,0)+INT(T109/4)+N109)/2)+5)*Y109)*IF($E109="Choice Specs",1.5,1))</f>
        <v>103</v>
      </c>
      <c r="AF109" s="84">
        <f>INT(INT((INT((2*VLOOKUP($C109,DexData,10,0)+INT(U109/4)+O109)/2)+5)*Z109)*IF(OR($E109="Eviolite",$E109="Assault Vest"),1.5,1))</f>
        <v>70</v>
      </c>
      <c r="AG109" s="84">
        <f>INT(INT((INT((2*VLOOKUP($C109,DexData,11,0)+INT(V109/4)+P109)/2)+5)*AA109)*IF($E109="Choice Scarf",1.5,IF($E109="Iron Ball",0.5,1)))</f>
        <v>40</v>
      </c>
      <c r="AH109" s="84" t="str">
        <f>VLOOKUP(VLOOKUP($C109,DexData,3,0),Aliases!D$2:E$19,2,0)&amp;IFERROR("/"&amp;VLOOKUP(VLOOKUP($C109,DexData,4,0),Aliases!D$2:E$19,2,0),"")</f>
        <v>FAI</v>
      </c>
      <c r="AI109" s="7">
        <v>3.0</v>
      </c>
      <c r="AJ109" s="7">
        <f>IF(VLOOKUP(B109,'Set Odds'!A$2:AN$1067,40,0),1,IF(VLOOKUP(B109,'Set Odds'!A$2:AO$1067,41,0),2,0))</f>
        <v>0</v>
      </c>
      <c r="AK109" s="7"/>
      <c r="AL109" s="7" t="str">
        <f t="shared" si="1"/>
        <v/>
      </c>
    </row>
    <row r="110" ht="12.75" customHeight="1">
      <c r="A110" s="86">
        <v>109.0</v>
      </c>
      <c r="B110" s="84" t="s">
        <v>2959</v>
      </c>
      <c r="C110" s="7" t="s">
        <v>2960</v>
      </c>
      <c r="D110" s="7" t="s">
        <v>2656</v>
      </c>
      <c r="E110" s="7" t="s">
        <v>2731</v>
      </c>
      <c r="F110" s="84" t="s">
        <v>2961</v>
      </c>
      <c r="G110" s="84" t="s">
        <v>2812</v>
      </c>
      <c r="H110" s="84" t="s">
        <v>2962</v>
      </c>
      <c r="I110" s="84" t="s">
        <v>2863</v>
      </c>
      <c r="J110" s="7" t="s">
        <v>2728</v>
      </c>
      <c r="K110" s="7">
        <v>31.0</v>
      </c>
      <c r="L110" s="7">
        <v>0.0</v>
      </c>
      <c r="M110" s="7">
        <v>0.0</v>
      </c>
      <c r="N110" s="7">
        <v>31.0</v>
      </c>
      <c r="O110" s="7">
        <v>0.0</v>
      </c>
      <c r="P110" s="7">
        <v>0.0</v>
      </c>
      <c r="Q110" s="7">
        <v>108.0</v>
      </c>
      <c r="R110" s="7">
        <v>0.0</v>
      </c>
      <c r="S110" s="7">
        <v>0.0</v>
      </c>
      <c r="T110" s="7">
        <v>108.0</v>
      </c>
      <c r="U110" s="7">
        <v>0.0</v>
      </c>
      <c r="V110" s="7">
        <v>0.0</v>
      </c>
      <c r="W110" s="7">
        <f>VLOOKUP($D110,NatureChart,2,0)</f>
        <v>0.9</v>
      </c>
      <c r="X110" s="7">
        <f>VLOOKUP($D110,NatureChart,3,0)</f>
        <v>1</v>
      </c>
      <c r="Y110" s="7">
        <f>VLOOKUP($D110,NatureChart,4,0)</f>
        <v>1.1</v>
      </c>
      <c r="Z110" s="7">
        <f>VLOOKUP($D110,NatureChart,5,0)</f>
        <v>1</v>
      </c>
      <c r="AA110" s="84">
        <f>VLOOKUP($D110,NatureChart,6,0)</f>
        <v>1</v>
      </c>
      <c r="AB110" s="84">
        <f>IF($C110="Shedinja",1,(INT((2*VLOOKUP($C110,DexData,5,0)+INT(Q110/4)+K110)/2)+60))</f>
        <v>114</v>
      </c>
      <c r="AC110" s="84">
        <f>INT(INT((INT((2*VLOOKUP($C110,DexData,6,0)+INT(R110/4)+L110)/2)+5)*W110)*IF($E110="Choice Band",1.5,IF(OR($E110="Mawilite",$E110="Medichamite",$E110="Thick Club"),2,1)))</f>
        <v>36</v>
      </c>
      <c r="AD110" s="84">
        <f>INT(INT((INT((2*VLOOKUP($C110,DexData,7,0)+INT(S110/4)+M110)/2)+5)*X110)*IF($E110="Eviolite",1.5,1))</f>
        <v>75</v>
      </c>
      <c r="AE110" s="84">
        <f>INT(INT((INT((2*VLOOKUP($C110,DexData,9,0)+INT(T110/4)+N110)/2)+5)*Y110)*IF($E110="Choice Specs",1.5,1))</f>
        <v>141</v>
      </c>
      <c r="AF110" s="84">
        <f>INT(INT((INT((2*VLOOKUP($C110,DexData,10,0)+INT(U110/4)+O110)/2)+5)*Z110)*IF(OR($E110="Eviolite",$E110="Assault Vest"),1.5,1))</f>
        <v>60</v>
      </c>
      <c r="AG110" s="84">
        <f>INT(INT((INT((2*VLOOKUP($C110,DexData,11,0)+INT(V110/4)+P110)/2)+5)*AA110)*IF($E110="Choice Scarf",1.5,IF($E110="Iron Ball",0.5,1)))</f>
        <v>50</v>
      </c>
      <c r="AH110" s="84" t="str">
        <f>VLOOKUP(VLOOKUP($C110,DexData,3,0),Aliases!D$2:E$19,2,0)&amp;IFERROR("/"&amp;VLOOKUP(VLOOKUP($C110,DexData,4,0),Aliases!D$2:E$19,2,0),"")</f>
        <v>ELC/STL</v>
      </c>
      <c r="AI110" s="7">
        <v>3.0</v>
      </c>
      <c r="AJ110" s="7">
        <f>IF(VLOOKUP(B110,'Set Odds'!A$2:AN$1067,40,0),1,IF(VLOOKUP(B110,'Set Odds'!A$2:AO$1067,41,0),2,0))</f>
        <v>0</v>
      </c>
      <c r="AK110" s="7"/>
      <c r="AL110" s="7" t="str">
        <f t="shared" si="1"/>
        <v/>
      </c>
    </row>
    <row r="111" ht="12.75" customHeight="1">
      <c r="A111" s="86">
        <v>110.0</v>
      </c>
      <c r="B111" s="84" t="s">
        <v>2963</v>
      </c>
      <c r="C111" s="7" t="s">
        <v>2964</v>
      </c>
      <c r="D111" s="7" t="s">
        <v>2795</v>
      </c>
      <c r="E111" s="7" t="s">
        <v>2965</v>
      </c>
      <c r="F111" s="84" t="s">
        <v>2771</v>
      </c>
      <c r="G111" s="84" t="s">
        <v>2966</v>
      </c>
      <c r="H111" s="84" t="s">
        <v>2957</v>
      </c>
      <c r="I111" s="84" t="s">
        <v>2967</v>
      </c>
      <c r="J111" s="7" t="s">
        <v>2968</v>
      </c>
      <c r="K111" s="7">
        <v>31.0</v>
      </c>
      <c r="L111" s="7">
        <v>0.0</v>
      </c>
      <c r="M111" s="7">
        <v>0.0</v>
      </c>
      <c r="N111" s="7">
        <v>0.0</v>
      </c>
      <c r="O111" s="7">
        <v>0.0</v>
      </c>
      <c r="P111" s="7">
        <v>31.0</v>
      </c>
      <c r="Q111" s="7">
        <v>108.0</v>
      </c>
      <c r="R111" s="7">
        <v>0.0</v>
      </c>
      <c r="S111" s="7">
        <v>0.0</v>
      </c>
      <c r="T111" s="7">
        <v>0.0</v>
      </c>
      <c r="U111" s="7">
        <v>0.0</v>
      </c>
      <c r="V111" s="7">
        <v>108.0</v>
      </c>
      <c r="W111" s="7">
        <f>VLOOKUP($D111,NatureChart,2,0)</f>
        <v>1</v>
      </c>
      <c r="X111" s="7">
        <f>VLOOKUP($D111,NatureChart,3,0)</f>
        <v>1</v>
      </c>
      <c r="Y111" s="7">
        <f>VLOOKUP($D111,NatureChart,4,0)</f>
        <v>1</v>
      </c>
      <c r="Z111" s="7">
        <f>VLOOKUP($D111,NatureChart,5,0)</f>
        <v>1</v>
      </c>
      <c r="AA111" s="84">
        <f>VLOOKUP($D111,NatureChart,6,0)</f>
        <v>1</v>
      </c>
      <c r="AB111" s="84">
        <f>IF($C111="Shedinja",1,(INT((2*VLOOKUP($C111,DexData,5,0)+INT(Q111/4)+K111)/2)+60))</f>
        <v>154</v>
      </c>
      <c r="AC111" s="84">
        <f>INT(INT((INT((2*VLOOKUP($C111,DexData,6,0)+INT(R111/4)+L111)/2)+5)*W111)*IF($E111="Choice Band",1.5,IF(OR($E111="Mawilite",$E111="Medichamite",$E111="Thick Club"),2,1)))</f>
        <v>50</v>
      </c>
      <c r="AD111" s="84">
        <f>INT(INT((INT((2*VLOOKUP($C111,DexData,7,0)+INT(S111/4)+M111)/2)+5)*X111)*IF($E111="Eviolite",1.5,1))</f>
        <v>60</v>
      </c>
      <c r="AE111" s="84">
        <f>INT(INT((INT((2*VLOOKUP($C111,DexData,9,0)+INT(T111/4)+N111)/2)+5)*Y111)*IF($E111="Choice Specs",1.5,1))</f>
        <v>50</v>
      </c>
      <c r="AF111" s="84">
        <f>INT(INT((INT((2*VLOOKUP($C111,DexData,10,0)+INT(U111/4)+O111)/2)+5)*Z111)*IF(OR($E111="Eviolite",$E111="Assault Vest"),1.5,1))</f>
        <v>75</v>
      </c>
      <c r="AG111" s="84">
        <f>INT(INT((INT((2*VLOOKUP($C111,DexData,11,0)+INT(V111/4)+P111)/2)+5)*AA111)*IF($E111="Choice Scarf",1.5,IF($E111="Iron Ball",0.5,1)))</f>
        <v>79</v>
      </c>
      <c r="AH111" s="84" t="str">
        <f>VLOOKUP(VLOOKUP($C111,DexData,3,0),Aliases!D$2:E$19,2,0)&amp;IFERROR("/"&amp;VLOOKUP(VLOOKUP($C111,DexData,4,0),Aliases!D$2:E$19,2,0),"")</f>
        <v>WTR</v>
      </c>
      <c r="AI111" s="7">
        <v>3.0</v>
      </c>
      <c r="AJ111" s="7">
        <f>IF(VLOOKUP(B111,'Set Odds'!A$2:AN$1067,40,0),1,IF(VLOOKUP(B111,'Set Odds'!A$2:AO$1067,41,0),2,0))</f>
        <v>0</v>
      </c>
      <c r="AK111" s="7"/>
      <c r="AL111" s="7" t="str">
        <f t="shared" si="1"/>
        <v/>
      </c>
    </row>
    <row r="112" ht="12.75" customHeight="1">
      <c r="A112" s="86">
        <v>111.0</v>
      </c>
      <c r="B112" s="84" t="s">
        <v>2969</v>
      </c>
      <c r="C112" s="7" t="s">
        <v>2970</v>
      </c>
      <c r="D112" s="7" t="s">
        <v>2571</v>
      </c>
      <c r="E112" s="7" t="s">
        <v>2806</v>
      </c>
      <c r="F112" s="84" t="s">
        <v>2971</v>
      </c>
      <c r="G112" s="84" t="s">
        <v>2751</v>
      </c>
      <c r="H112" s="84" t="s">
        <v>2972</v>
      </c>
      <c r="I112" s="84" t="s">
        <v>2530</v>
      </c>
      <c r="J112" s="7" t="s">
        <v>2973</v>
      </c>
      <c r="K112" s="7">
        <v>31.0</v>
      </c>
      <c r="L112" s="7">
        <v>31.0</v>
      </c>
      <c r="M112" s="7">
        <v>0.0</v>
      </c>
      <c r="N112" s="7">
        <v>0.0</v>
      </c>
      <c r="O112" s="7">
        <v>0.0</v>
      </c>
      <c r="P112" s="7">
        <v>0.0</v>
      </c>
      <c r="Q112" s="7">
        <v>108.0</v>
      </c>
      <c r="R112" s="7">
        <v>108.0</v>
      </c>
      <c r="S112" s="7">
        <v>0.0</v>
      </c>
      <c r="T112" s="7">
        <v>0.0</v>
      </c>
      <c r="U112" s="7">
        <v>0.0</v>
      </c>
      <c r="V112" s="7">
        <v>0.0</v>
      </c>
      <c r="W112" s="7">
        <f>VLOOKUP($D112,NatureChart,2,0)</f>
        <v>1.1</v>
      </c>
      <c r="X112" s="7">
        <f>VLOOKUP($D112,NatureChart,3,0)</f>
        <v>1</v>
      </c>
      <c r="Y112" s="7">
        <f>VLOOKUP($D112,NatureChart,4,0)</f>
        <v>0.9</v>
      </c>
      <c r="Z112" s="7">
        <f>VLOOKUP($D112,NatureChart,5,0)</f>
        <v>1</v>
      </c>
      <c r="AA112" s="84">
        <f>VLOOKUP($D112,NatureChart,6,0)</f>
        <v>1</v>
      </c>
      <c r="AB112" s="84">
        <f>IF($C112="Shedinja",1,(INT((2*VLOOKUP($C112,DexData,5,0)+INT(Q112/4)+K112)/2)+60))</f>
        <v>169</v>
      </c>
      <c r="AC112" s="84">
        <f>INT(INT((INT((2*VLOOKUP($C112,DexData,6,0)+INT(R112/4)+L112)/2)+5)*W112)*IF($E112="Choice Band",1.5,IF(OR($E112="Mawilite",$E112="Medichamite",$E112="Thick Club"),2,1)))</f>
        <v>125</v>
      </c>
      <c r="AD112" s="84">
        <f>INT(INT((INT((2*VLOOKUP($C112,DexData,7,0)+INT(S112/4)+M112)/2)+5)*X112)*IF($E112="Eviolite",1.5,1))</f>
        <v>55</v>
      </c>
      <c r="AE112" s="84">
        <f>INT(INT((INT((2*VLOOKUP($C112,DexData,9,0)+INT(T112/4)+N112)/2)+5)*Y112)*IF($E112="Choice Specs",1.5,1))</f>
        <v>40</v>
      </c>
      <c r="AF112" s="84">
        <f>INT(INT((INT((2*VLOOKUP($C112,DexData,10,0)+INT(U112/4)+O112)/2)+5)*Z112)*IF(OR($E112="Eviolite",$E112="Assault Vest"),1.5,1))</f>
        <v>55</v>
      </c>
      <c r="AG112" s="84">
        <f>INT(INT((INT((2*VLOOKUP($C112,DexData,11,0)+INT(V112/4)+P112)/2)+5)*AA112)*IF($E112="Choice Scarf",1.5,IF($E112="Iron Ball",0.5,1)))</f>
        <v>30</v>
      </c>
      <c r="AH112" s="84" t="str">
        <f>VLOOKUP(VLOOKUP($C112,DexData,3,0),Aliases!D$2:E$19,2,0)&amp;IFERROR("/"&amp;VLOOKUP(VLOOKUP($C112,DexData,4,0),Aliases!D$2:E$19,2,0),"")</f>
        <v>PSN</v>
      </c>
      <c r="AI112" s="7">
        <v>3.0</v>
      </c>
      <c r="AJ112" s="7">
        <f>IF(VLOOKUP(B112,'Set Odds'!A$2:AN$1067,40,0),1,IF(VLOOKUP(B112,'Set Odds'!A$2:AO$1067,41,0),2,0))</f>
        <v>0</v>
      </c>
      <c r="AK112" s="7"/>
      <c r="AL112" s="7" t="str">
        <f t="shared" si="1"/>
        <v/>
      </c>
    </row>
    <row r="113" ht="12.75" customHeight="1">
      <c r="A113" s="86">
        <v>112.0</v>
      </c>
      <c r="B113" s="84" t="s">
        <v>2974</v>
      </c>
      <c r="C113" s="7" t="s">
        <v>2975</v>
      </c>
      <c r="D113" s="7" t="s">
        <v>2571</v>
      </c>
      <c r="E113" s="7" t="s">
        <v>2515</v>
      </c>
      <c r="F113" s="84" t="s">
        <v>2836</v>
      </c>
      <c r="G113" s="84" t="s">
        <v>2976</v>
      </c>
      <c r="H113" s="84" t="s">
        <v>2977</v>
      </c>
      <c r="I113" s="84" t="s">
        <v>2522</v>
      </c>
      <c r="J113" s="7" t="s">
        <v>2978</v>
      </c>
      <c r="K113" s="7">
        <v>0.0</v>
      </c>
      <c r="L113" s="7">
        <v>31.0</v>
      </c>
      <c r="M113" s="7">
        <v>0.0</v>
      </c>
      <c r="N113" s="7">
        <v>0.0</v>
      </c>
      <c r="O113" s="7">
        <v>0.0</v>
      </c>
      <c r="P113" s="7">
        <v>31.0</v>
      </c>
      <c r="Q113" s="7">
        <v>0.0</v>
      </c>
      <c r="R113" s="7">
        <v>108.0</v>
      </c>
      <c r="S113" s="7">
        <v>0.0</v>
      </c>
      <c r="T113" s="7">
        <v>0.0</v>
      </c>
      <c r="U113" s="7">
        <v>0.0</v>
      </c>
      <c r="V113" s="7">
        <v>108.0</v>
      </c>
      <c r="W113" s="7">
        <f>VLOOKUP($D113,NatureChart,2,0)</f>
        <v>1.1</v>
      </c>
      <c r="X113" s="7">
        <f>VLOOKUP($D113,NatureChart,3,0)</f>
        <v>1</v>
      </c>
      <c r="Y113" s="7">
        <f>VLOOKUP($D113,NatureChart,4,0)</f>
        <v>0.9</v>
      </c>
      <c r="Z113" s="7">
        <f>VLOOKUP($D113,NatureChart,5,0)</f>
        <v>1</v>
      </c>
      <c r="AA113" s="84">
        <f>VLOOKUP($D113,NatureChart,6,0)</f>
        <v>1</v>
      </c>
      <c r="AB113" s="84">
        <f>IF($C113="Shedinja",1,(INT((2*VLOOKUP($C113,DexData,5,0)+INT(Q113/4)+K113)/2)+60))</f>
        <v>90</v>
      </c>
      <c r="AC113" s="84">
        <f>INT(INT((INT((2*VLOOKUP($C113,DexData,6,0)+INT(R113/4)+L113)/2)+5)*W113)*IF($E113="Choice Band",1.5,IF(OR($E113="Mawilite",$E113="Medichamite",$E113="Thick Club"),2,1)))</f>
        <v>152</v>
      </c>
      <c r="AD113" s="84">
        <f>INT(INT((INT((2*VLOOKUP($C113,DexData,7,0)+INT(S113/4)+M113)/2)+5)*X113)*IF($E113="Eviolite",1.5,1))</f>
        <v>95</v>
      </c>
      <c r="AE113" s="84">
        <f>INT(INT((INT((2*VLOOKUP($C113,DexData,9,0)+INT(T113/4)+N113)/2)+5)*Y113)*IF($E113="Choice Specs",1.5,1))</f>
        <v>27</v>
      </c>
      <c r="AF113" s="84">
        <f>INT(INT((INT((2*VLOOKUP($C113,DexData,10,0)+INT(U113/4)+O113)/2)+5)*Z113)*IF(OR($E113="Eviolite",$E113="Assault Vest"),1.5,1))</f>
        <v>30</v>
      </c>
      <c r="AG113" s="84">
        <f>INT(INT((INT((2*VLOOKUP($C113,DexData,11,0)+INT(V113/4)+P113)/2)+5)*AA113)*IF($E113="Choice Scarf",1.5,IF($E113="Iron Ball",0.5,1)))</f>
        <v>84</v>
      </c>
      <c r="AH113" s="84" t="str">
        <f>VLOOKUP(VLOOKUP($C113,DexData,3,0),Aliases!D$2:E$19,2,0)&amp;IFERROR("/"&amp;VLOOKUP(VLOOKUP($C113,DexData,4,0),Aliases!D$2:E$19,2,0),"")</f>
        <v>WTR</v>
      </c>
      <c r="AI113" s="7">
        <v>3.0</v>
      </c>
      <c r="AJ113" s="7">
        <f>IF(VLOOKUP(B113,'Set Odds'!A$2:AN$1067,40,0),1,IF(VLOOKUP(B113,'Set Odds'!A$2:AO$1067,41,0),2,0))</f>
        <v>0</v>
      </c>
      <c r="AK113" s="7"/>
      <c r="AL113" s="7" t="str">
        <f t="shared" si="1"/>
        <v/>
      </c>
    </row>
    <row r="114" ht="12.75" customHeight="1">
      <c r="A114" s="86">
        <v>113.0</v>
      </c>
      <c r="B114" s="84" t="s">
        <v>2979</v>
      </c>
      <c r="C114" s="7" t="s">
        <v>2980</v>
      </c>
      <c r="D114" s="7" t="s">
        <v>2656</v>
      </c>
      <c r="E114" s="7" t="s">
        <v>2761</v>
      </c>
      <c r="F114" s="84" t="s">
        <v>2796</v>
      </c>
      <c r="G114" s="84" t="s">
        <v>2704</v>
      </c>
      <c r="H114" s="84" t="s">
        <v>2575</v>
      </c>
      <c r="I114" s="84" t="s">
        <v>2596</v>
      </c>
      <c r="J114" s="7" t="s">
        <v>2701</v>
      </c>
      <c r="K114" s="7">
        <v>31.0</v>
      </c>
      <c r="L114" s="7">
        <v>0.0</v>
      </c>
      <c r="M114" s="7">
        <v>0.0</v>
      </c>
      <c r="N114" s="7">
        <v>31.0</v>
      </c>
      <c r="O114" s="7">
        <v>0.0</v>
      </c>
      <c r="P114" s="7">
        <v>0.0</v>
      </c>
      <c r="Q114" s="7">
        <v>108.0</v>
      </c>
      <c r="R114" s="7">
        <v>0.0</v>
      </c>
      <c r="S114" s="7">
        <v>0.0</v>
      </c>
      <c r="T114" s="7">
        <v>108.0</v>
      </c>
      <c r="U114" s="7">
        <v>0.0</v>
      </c>
      <c r="V114" s="7">
        <v>0.0</v>
      </c>
      <c r="W114" s="7">
        <f>VLOOKUP($D114,NatureChart,2,0)</f>
        <v>0.9</v>
      </c>
      <c r="X114" s="7">
        <f>VLOOKUP($D114,NatureChart,3,0)</f>
        <v>1</v>
      </c>
      <c r="Y114" s="7">
        <f>VLOOKUP($D114,NatureChart,4,0)</f>
        <v>1.1</v>
      </c>
      <c r="Z114" s="7">
        <f>VLOOKUP($D114,NatureChart,5,0)</f>
        <v>1</v>
      </c>
      <c r="AA114" s="84">
        <f>VLOOKUP($D114,NatureChart,6,0)</f>
        <v>1</v>
      </c>
      <c r="AB114" s="84">
        <f>IF($C114="Shedinja",1,(INT((2*VLOOKUP($C114,DexData,5,0)+INT(Q114/4)+K114)/2)+60))</f>
        <v>149</v>
      </c>
      <c r="AC114" s="84">
        <f>INT(INT((INT((2*VLOOKUP($C114,DexData,6,0)+INT(R114/4)+L114)/2)+5)*W114)*IF($E114="Choice Band",1.5,IF(OR($E114="Mawilite",$E114="Medichamite",$E114="Thick Club"),2,1)))</f>
        <v>40</v>
      </c>
      <c r="AD114" s="84">
        <f>INT(INT((INT((2*VLOOKUP($C114,DexData,7,0)+INT(S114/4)+M114)/2)+5)*X114)*IF($E114="Eviolite",1.5,1))</f>
        <v>85</v>
      </c>
      <c r="AE114" s="84">
        <f>INT(INT((INT((2*VLOOKUP($C114,DexData,9,0)+INT(T114/4)+N114)/2)+5)*Y114)*IF($E114="Choice Specs",1.5,1))</f>
        <v>103</v>
      </c>
      <c r="AF114" s="84">
        <f>INT(INT((INT((2*VLOOKUP($C114,DexData,10,0)+INT(U114/4)+O114)/2)+5)*Z114)*IF(OR($E114="Eviolite",$E114="Assault Vest"),1.5,1))</f>
        <v>50</v>
      </c>
      <c r="AG114" s="84">
        <f>INT(INT((INT((2*VLOOKUP($C114,DexData,11,0)+INT(V114/4)+P114)/2)+5)*AA114)*IF($E114="Choice Scarf",1.5,IF($E114="Iron Ball",0.5,1)))</f>
        <v>45</v>
      </c>
      <c r="AH114" s="84" t="str">
        <f>VLOOKUP(VLOOKUP($C114,DexData,3,0),Aliases!D$2:E$19,2,0)&amp;IFERROR("/"&amp;VLOOKUP(VLOOKUP($C114,DexData,4,0),Aliases!D$2:E$19,2,0),"")</f>
        <v>GRS/PSY</v>
      </c>
      <c r="AI114" s="7">
        <v>3.0</v>
      </c>
      <c r="AJ114" s="7">
        <f>IF(VLOOKUP(B114,'Set Odds'!A$2:AN$1067,40,0),1,IF(VLOOKUP(B114,'Set Odds'!A$2:AO$1067,41,0),2,0))</f>
        <v>0</v>
      </c>
      <c r="AK114" s="7"/>
      <c r="AL114" s="7" t="str">
        <f t="shared" si="1"/>
        <v/>
      </c>
    </row>
    <row r="115" ht="12.75" customHeight="1">
      <c r="A115" s="86">
        <v>114.0</v>
      </c>
      <c r="B115" s="84" t="s">
        <v>2981</v>
      </c>
      <c r="C115" s="7" t="s">
        <v>2982</v>
      </c>
      <c r="D115" s="7" t="s">
        <v>2599</v>
      </c>
      <c r="E115" s="7" t="s">
        <v>2983</v>
      </c>
      <c r="F115" s="84" t="s">
        <v>2767</v>
      </c>
      <c r="G115" s="84" t="s">
        <v>2848</v>
      </c>
      <c r="H115" s="84" t="s">
        <v>2573</v>
      </c>
      <c r="I115" s="84" t="s">
        <v>2525</v>
      </c>
      <c r="J115" s="7" t="s">
        <v>2837</v>
      </c>
      <c r="K115" s="7">
        <v>31.0</v>
      </c>
      <c r="L115" s="7">
        <v>31.0</v>
      </c>
      <c r="M115" s="7">
        <v>0.0</v>
      </c>
      <c r="N115" s="7">
        <v>0.0</v>
      </c>
      <c r="O115" s="7">
        <v>0.0</v>
      </c>
      <c r="P115" s="7">
        <v>0.0</v>
      </c>
      <c r="Q115" s="7">
        <v>108.0</v>
      </c>
      <c r="R115" s="7">
        <v>108.0</v>
      </c>
      <c r="S115" s="7">
        <v>0.0</v>
      </c>
      <c r="T115" s="7">
        <v>0.0</v>
      </c>
      <c r="U115" s="7">
        <v>0.0</v>
      </c>
      <c r="V115" s="7">
        <v>0.0</v>
      </c>
      <c r="W115" s="7">
        <f>VLOOKUP($D115,NatureChart,2,0)</f>
        <v>1</v>
      </c>
      <c r="X115" s="7">
        <f>VLOOKUP($D115,NatureChart,3,0)</f>
        <v>1</v>
      </c>
      <c r="Y115" s="7">
        <f>VLOOKUP($D115,NatureChart,4,0)</f>
        <v>1</v>
      </c>
      <c r="Z115" s="7">
        <f>VLOOKUP($D115,NatureChart,5,0)</f>
        <v>1</v>
      </c>
      <c r="AA115" s="84">
        <f>VLOOKUP($D115,NatureChart,6,0)</f>
        <v>1</v>
      </c>
      <c r="AB115" s="84">
        <f>IF($C115="Shedinja",1,(INT((2*VLOOKUP($C115,DexData,5,0)+INT(Q115/4)+K115)/2)+60))</f>
        <v>144</v>
      </c>
      <c r="AC115" s="84">
        <f>INT(INT((INT((2*VLOOKUP($C115,DexData,6,0)+INT(R115/4)+L115)/2)+5)*W115)*IF($E115="Choice Band",1.5,IF(OR($E115="Mawilite",$E115="Medichamite",$E115="Thick Club"),2,1)))</f>
        <v>89</v>
      </c>
      <c r="AD115" s="84">
        <f>INT(INT((INT((2*VLOOKUP($C115,DexData,7,0)+INT(S115/4)+M115)/2)+5)*X115)*IF($E115="Eviolite",1.5,1))</f>
        <v>55</v>
      </c>
      <c r="AE115" s="84">
        <f>INT(INT((INT((2*VLOOKUP($C115,DexData,9,0)+INT(T115/4)+N115)/2)+5)*Y115)*IF($E115="Choice Specs",1.5,1))</f>
        <v>50</v>
      </c>
      <c r="AF115" s="84">
        <f>INT(INT((INT((2*VLOOKUP($C115,DexData,10,0)+INT(U115/4)+O115)/2)+5)*Z115)*IF(OR($E115="Eviolite",$E115="Assault Vest"),1.5,1))</f>
        <v>70</v>
      </c>
      <c r="AG115" s="84">
        <f>INT(INT((INT((2*VLOOKUP($C115,DexData,11,0)+INT(V115/4)+P115)/2)+5)*AA115)*IF($E115="Choice Scarf",1.5,IF($E115="Iron Ball",0.5,1)))</f>
        <v>60</v>
      </c>
      <c r="AH115" s="84" t="str">
        <f>VLOOKUP(VLOOKUP($C115,DexData,3,0),Aliases!D$2:E$19,2,0)&amp;IFERROR("/"&amp;VLOOKUP(VLOOKUP($C115,DexData,4,0),Aliases!D$2:E$19,2,0),"")</f>
        <v>NRM</v>
      </c>
      <c r="AI115" s="7">
        <v>3.0</v>
      </c>
      <c r="AJ115" s="7">
        <f>IF(VLOOKUP(B115,'Set Odds'!A$2:AN$1067,40,0),1,IF(VLOOKUP(B115,'Set Odds'!A$2:AO$1067,41,0),2,0))</f>
        <v>0</v>
      </c>
      <c r="AK115" s="7"/>
      <c r="AL115" s="7" t="str">
        <f t="shared" si="1"/>
        <v/>
      </c>
    </row>
    <row r="116" ht="12.75" customHeight="1">
      <c r="A116" s="86">
        <v>115.0</v>
      </c>
      <c r="B116" s="84" t="s">
        <v>2984</v>
      </c>
      <c r="C116" s="7" t="s">
        <v>2985</v>
      </c>
      <c r="D116" s="7" t="s">
        <v>2811</v>
      </c>
      <c r="E116" s="7" t="s">
        <v>2528</v>
      </c>
      <c r="F116" s="84" t="s">
        <v>2607</v>
      </c>
      <c r="G116" s="84" t="s">
        <v>2782</v>
      </c>
      <c r="H116" s="84" t="s">
        <v>2986</v>
      </c>
      <c r="I116" s="84" t="s">
        <v>2987</v>
      </c>
      <c r="J116" s="7" t="s">
        <v>2988</v>
      </c>
      <c r="K116" s="7">
        <v>31.0</v>
      </c>
      <c r="L116" s="7">
        <v>0.0</v>
      </c>
      <c r="M116" s="7">
        <v>31.0</v>
      </c>
      <c r="N116" s="7">
        <v>0.0</v>
      </c>
      <c r="O116" s="7">
        <v>0.0</v>
      </c>
      <c r="P116" s="7">
        <v>0.0</v>
      </c>
      <c r="Q116" s="7">
        <v>108.0</v>
      </c>
      <c r="R116" s="7">
        <v>0.0</v>
      </c>
      <c r="S116" s="7">
        <v>108.0</v>
      </c>
      <c r="T116" s="7">
        <v>0.0</v>
      </c>
      <c r="U116" s="7">
        <v>0.0</v>
      </c>
      <c r="V116" s="7">
        <v>0.0</v>
      </c>
      <c r="W116" s="7">
        <f>VLOOKUP($D116,NatureChart,2,0)</f>
        <v>1</v>
      </c>
      <c r="X116" s="7">
        <f>VLOOKUP($D116,NatureChart,3,0)</f>
        <v>1.1</v>
      </c>
      <c r="Y116" s="7">
        <f>VLOOKUP($D116,NatureChart,4,0)</f>
        <v>1</v>
      </c>
      <c r="Z116" s="7">
        <f>VLOOKUP($D116,NatureChart,5,0)</f>
        <v>1</v>
      </c>
      <c r="AA116" s="84">
        <f>VLOOKUP($D116,NatureChart,6,0)</f>
        <v>0.9</v>
      </c>
      <c r="AB116" s="84">
        <f>IF($C116="Shedinja",1,(INT((2*VLOOKUP($C116,DexData,5,0)+INT(Q116/4)+K116)/2)+60))</f>
        <v>165</v>
      </c>
      <c r="AC116" s="84">
        <f>INT(INT((INT((2*VLOOKUP($C116,DexData,6,0)+INT(R116/4)+L116)/2)+5)*W116)*IF($E116="Choice Band",1.5,IF(OR($E116="Mawilite",$E116="Medichamite",$E116="Thick Club"),2,1)))</f>
        <v>53</v>
      </c>
      <c r="AD116" s="84">
        <f>INT(INT((INT((2*VLOOKUP($C116,DexData,7,0)+INT(S116/4)+M116)/2)+5)*X116)*IF($E116="Eviolite",1.5,1))</f>
        <v>90</v>
      </c>
      <c r="AE116" s="84">
        <f>INT(INT((INT((2*VLOOKUP($C116,DexData,9,0)+INT(T116/4)+N116)/2)+5)*Y116)*IF($E116="Choice Specs",1.5,1))</f>
        <v>62</v>
      </c>
      <c r="AF116" s="84">
        <f>INT(INT((INT((2*VLOOKUP($C116,DexData,10,0)+INT(U116/4)+O116)/2)+5)*Z116)*IF(OR($E116="Eviolite",$E116="Assault Vest"),1.5,1))</f>
        <v>67</v>
      </c>
      <c r="AG116" s="84">
        <f>INT(INT((INT((2*VLOOKUP($C116,DexData,11,0)+INT(V116/4)+P116)/2)+5)*AA116)*IF($E116="Choice Scarf",1.5,IF($E116="Iron Ball",0.5,1)))</f>
        <v>35</v>
      </c>
      <c r="AH116" s="84" t="str">
        <f>VLOOKUP(VLOOKUP($C116,DexData,3,0),Aliases!D$2:E$19,2,0)&amp;IFERROR("/"&amp;VLOOKUP(VLOOKUP($C116,DexData,4,0),Aliases!D$2:E$19,2,0),"")</f>
        <v>WTR</v>
      </c>
      <c r="AI116" s="7">
        <v>3.0</v>
      </c>
      <c r="AJ116" s="7">
        <f>IF(VLOOKUP(B116,'Set Odds'!A$2:AN$1067,40,0),1,IF(VLOOKUP(B116,'Set Odds'!A$2:AO$1067,41,0),2,0))</f>
        <v>0</v>
      </c>
      <c r="AK116" s="7"/>
      <c r="AL116" s="7" t="str">
        <f t="shared" si="1"/>
        <v/>
      </c>
    </row>
    <row r="117" ht="12.75" customHeight="1">
      <c r="A117" s="86">
        <v>116.0</v>
      </c>
      <c r="B117" s="84" t="s">
        <v>2989</v>
      </c>
      <c r="C117" s="7" t="s">
        <v>2990</v>
      </c>
      <c r="D117" s="7" t="s">
        <v>2611</v>
      </c>
      <c r="E117" s="7" t="s">
        <v>2636</v>
      </c>
      <c r="F117" s="84" t="s">
        <v>2796</v>
      </c>
      <c r="G117" s="84" t="s">
        <v>2686</v>
      </c>
      <c r="H117" s="84" t="s">
        <v>2739</v>
      </c>
      <c r="I117" s="84" t="s">
        <v>2661</v>
      </c>
      <c r="J117" s="7" t="s">
        <v>2735</v>
      </c>
      <c r="K117" s="7">
        <v>31.0</v>
      </c>
      <c r="L117" s="7">
        <v>0.0</v>
      </c>
      <c r="M117" s="7">
        <v>0.0</v>
      </c>
      <c r="N117" s="7">
        <v>0.0</v>
      </c>
      <c r="O117" s="7">
        <v>0.0</v>
      </c>
      <c r="P117" s="7">
        <v>31.0</v>
      </c>
      <c r="Q117" s="7">
        <v>108.0</v>
      </c>
      <c r="R117" s="7">
        <v>0.0</v>
      </c>
      <c r="S117" s="7">
        <v>0.0</v>
      </c>
      <c r="T117" s="7">
        <v>0.0</v>
      </c>
      <c r="U117" s="7">
        <v>0.0</v>
      </c>
      <c r="V117" s="7">
        <v>108.0</v>
      </c>
      <c r="W117" s="7">
        <f>VLOOKUP($D117,NatureChart,2,0)</f>
        <v>1</v>
      </c>
      <c r="X117" s="7">
        <f>VLOOKUP($D117,NatureChart,3,0)</f>
        <v>1</v>
      </c>
      <c r="Y117" s="7">
        <f>VLOOKUP($D117,NatureChart,4,0)</f>
        <v>1</v>
      </c>
      <c r="Z117" s="7">
        <f>VLOOKUP($D117,NatureChart,5,0)</f>
        <v>1</v>
      </c>
      <c r="AA117" s="84">
        <f>VLOOKUP($D117,NatureChart,6,0)</f>
        <v>1</v>
      </c>
      <c r="AB117" s="84">
        <f>IF($C117="Shedinja",1,(INT((2*VLOOKUP($C117,DexData,5,0)+INT(Q117/4)+K117)/2)+60))</f>
        <v>149</v>
      </c>
      <c r="AC117" s="84">
        <f>INT(INT((INT((2*VLOOKUP($C117,DexData,6,0)+INT(R117/4)+L117)/2)+5)*W117)*IF($E117="Choice Band",1.5,IF(OR($E117="Mawilite",$E117="Medichamite",$E117="Thick Club"),2,1)))</f>
        <v>53</v>
      </c>
      <c r="AD117" s="84">
        <f>INT(INT((INT((2*VLOOKUP($C117,DexData,7,0)+INT(S117/4)+M117)/2)+5)*X117)*IF($E117="Eviolite",1.5,1))</f>
        <v>50</v>
      </c>
      <c r="AE117" s="84">
        <f>INT(INT((INT((2*VLOOKUP($C117,DexData,9,0)+INT(T117/4)+N117)/2)+5)*Y117)*IF($E117="Choice Specs",1.5,1))</f>
        <v>48</v>
      </c>
      <c r="AF117" s="84">
        <f>INT(INT((INT((2*VLOOKUP($C117,DexData,10,0)+INT(U117/4)+O117)/2)+5)*Z117)*IF(OR($E117="Eviolite",$E117="Assault Vest"),1.5,1))</f>
        <v>95</v>
      </c>
      <c r="AG117" s="84">
        <f>INT(INT((INT((2*VLOOKUP($C117,DexData,11,0)+INT(V117/4)+P117)/2)+5)*AA117)*IF($E117="Choice Scarf",1.5,IF($E117="Iron Ball",0.5,1)))</f>
        <v>76</v>
      </c>
      <c r="AH117" s="84" t="str">
        <f>VLOOKUP(VLOOKUP($C117,DexData,3,0),Aliases!D$2:E$19,2,0)&amp;IFERROR("/"&amp;VLOOKUP(VLOOKUP($C117,DexData,4,0),Aliases!D$2:E$19,2,0),"")</f>
        <v>PSY</v>
      </c>
      <c r="AI117" s="7">
        <v>3.0</v>
      </c>
      <c r="AJ117" s="7">
        <f>IF(VLOOKUP(B117,'Set Odds'!A$2:AN$1067,40,0),1,IF(VLOOKUP(B117,'Set Odds'!A$2:AO$1067,41,0),2,0))</f>
        <v>0</v>
      </c>
      <c r="AK117" s="7"/>
      <c r="AL117" s="7" t="str">
        <f t="shared" si="1"/>
        <v/>
      </c>
    </row>
    <row r="118" ht="12.75" customHeight="1">
      <c r="A118" s="86">
        <v>117.0</v>
      </c>
      <c r="B118" s="84" t="s">
        <v>2991</v>
      </c>
      <c r="C118" s="7" t="s">
        <v>2992</v>
      </c>
      <c r="D118" s="7" t="s">
        <v>2795</v>
      </c>
      <c r="E118" s="7" t="s">
        <v>2993</v>
      </c>
      <c r="F118" s="84" t="s">
        <v>2994</v>
      </c>
      <c r="G118" s="84" t="s">
        <v>2852</v>
      </c>
      <c r="H118" s="84" t="s">
        <v>2608</v>
      </c>
      <c r="I118" s="84" t="s">
        <v>2582</v>
      </c>
      <c r="J118" s="7" t="s">
        <v>2995</v>
      </c>
      <c r="K118" s="7">
        <v>31.0</v>
      </c>
      <c r="L118" s="7">
        <v>0.0</v>
      </c>
      <c r="M118" s="7">
        <v>0.0</v>
      </c>
      <c r="N118" s="7">
        <v>0.0</v>
      </c>
      <c r="O118" s="7">
        <v>0.0</v>
      </c>
      <c r="P118" s="7">
        <v>31.0</v>
      </c>
      <c r="Q118" s="7">
        <v>108.0</v>
      </c>
      <c r="R118" s="7">
        <v>0.0</v>
      </c>
      <c r="S118" s="7">
        <v>0.0</v>
      </c>
      <c r="T118" s="7">
        <v>0.0</v>
      </c>
      <c r="U118" s="7">
        <v>0.0</v>
      </c>
      <c r="V118" s="7">
        <v>108.0</v>
      </c>
      <c r="W118" s="7">
        <f>VLOOKUP($D118,NatureChart,2,0)</f>
        <v>1</v>
      </c>
      <c r="X118" s="7">
        <f>VLOOKUP($D118,NatureChart,3,0)</f>
        <v>1</v>
      </c>
      <c r="Y118" s="7">
        <f>VLOOKUP($D118,NatureChart,4,0)</f>
        <v>1</v>
      </c>
      <c r="Z118" s="7">
        <f>VLOOKUP($D118,NatureChart,5,0)</f>
        <v>1</v>
      </c>
      <c r="AA118" s="84">
        <f>VLOOKUP($D118,NatureChart,6,0)</f>
        <v>1</v>
      </c>
      <c r="AB118" s="84">
        <f>IF($C118="Shedinja",1,(INT((2*VLOOKUP($C118,DexData,5,0)+INT(Q118/4)+K118)/2)+60))</f>
        <v>152</v>
      </c>
      <c r="AC118" s="84">
        <f>INT(INT((INT((2*VLOOKUP($C118,DexData,6,0)+INT(R118/4)+L118)/2)+5)*W118)*IF($E118="Choice Band",1.5,IF(OR($E118="Mawilite",$E118="Medichamite",$E118="Thick Club"),2,1)))</f>
        <v>68</v>
      </c>
      <c r="AD118" s="84">
        <f>INT(INT((INT((2*VLOOKUP($C118,DexData,7,0)+INT(S118/4)+M118)/2)+5)*X118)*IF($E118="Eviolite",1.5,1))</f>
        <v>52</v>
      </c>
      <c r="AE118" s="84">
        <f>INT(INT((INT((2*VLOOKUP($C118,DexData,9,0)+INT(T118/4)+N118)/2)+5)*Y118)*IF($E118="Choice Specs",1.5,1))</f>
        <v>46</v>
      </c>
      <c r="AF118" s="84">
        <f>INT(INT((INT((2*VLOOKUP($C118,DexData,10,0)+INT(U118/4)+O118)/2)+5)*Z118)*IF(OR($E118="Eviolite",$E118="Assault Vest"),1.5,1))</f>
        <v>46</v>
      </c>
      <c r="AG118" s="84">
        <f>INT(INT((INT((2*VLOOKUP($C118,DexData,11,0)+INT(V118/4)+P118)/2)+5)*AA118)*IF($E118="Choice Scarf",1.5,IF($E118="Iron Ball",0.5,1)))</f>
        <v>108</v>
      </c>
      <c r="AH118" s="84" t="str">
        <f>VLOOKUP(VLOOKUP($C118,DexData,3,0),Aliases!D$2:E$19,2,0)&amp;IFERROR("/"&amp;VLOOKUP(VLOOKUP($C118,DexData,4,0),Aliases!D$2:E$19,2,0),"")</f>
        <v>PSN/DRK</v>
      </c>
      <c r="AI118" s="7">
        <v>3.0</v>
      </c>
      <c r="AJ118" s="7">
        <f>IF(VLOOKUP(B118,'Set Odds'!A$2:AN$1067,40,0),1,IF(VLOOKUP(B118,'Set Odds'!A$2:AO$1067,41,0),2,0))</f>
        <v>0</v>
      </c>
      <c r="AK118" s="7"/>
      <c r="AL118" s="7" t="str">
        <f t="shared" si="1"/>
        <v/>
      </c>
    </row>
    <row r="119" ht="12.75" customHeight="1">
      <c r="A119" s="86">
        <v>118.0</v>
      </c>
      <c r="B119" s="84" t="s">
        <v>2996</v>
      </c>
      <c r="C119" s="7" t="s">
        <v>2997</v>
      </c>
      <c r="D119" s="7" t="s">
        <v>2571</v>
      </c>
      <c r="E119" s="7" t="s">
        <v>2528</v>
      </c>
      <c r="F119" s="84" t="s">
        <v>2693</v>
      </c>
      <c r="G119" s="84" t="s">
        <v>2608</v>
      </c>
      <c r="H119" s="84" t="s">
        <v>2867</v>
      </c>
      <c r="I119" s="84" t="s">
        <v>2596</v>
      </c>
      <c r="J119" s="7" t="s">
        <v>2995</v>
      </c>
      <c r="K119" s="7">
        <v>0.0</v>
      </c>
      <c r="L119" s="7">
        <v>31.0</v>
      </c>
      <c r="M119" s="7">
        <v>0.0</v>
      </c>
      <c r="N119" s="7">
        <v>0.0</v>
      </c>
      <c r="O119" s="7">
        <v>0.0</v>
      </c>
      <c r="P119" s="7">
        <v>31.0</v>
      </c>
      <c r="Q119" s="7">
        <v>0.0</v>
      </c>
      <c r="R119" s="7">
        <v>108.0</v>
      </c>
      <c r="S119" s="7">
        <v>0.0</v>
      </c>
      <c r="T119" s="7">
        <v>0.0</v>
      </c>
      <c r="U119" s="7">
        <v>0.0</v>
      </c>
      <c r="V119" s="7">
        <v>108.0</v>
      </c>
      <c r="W119" s="7">
        <f>VLOOKUP($D119,NatureChart,2,0)</f>
        <v>1.1</v>
      </c>
      <c r="X119" s="7">
        <f>VLOOKUP($D119,NatureChart,3,0)</f>
        <v>1</v>
      </c>
      <c r="Y119" s="7">
        <f>VLOOKUP($D119,NatureChart,4,0)</f>
        <v>0.9</v>
      </c>
      <c r="Z119" s="7">
        <f>VLOOKUP($D119,NatureChart,5,0)</f>
        <v>1</v>
      </c>
      <c r="AA119" s="84">
        <f>VLOOKUP($D119,NatureChart,6,0)</f>
        <v>1</v>
      </c>
      <c r="AB119" s="84">
        <f>IF($C119="Shedinja",1,(INT((2*VLOOKUP($C119,DexData,5,0)+INT(Q119/4)+K119)/2)+60))</f>
        <v>100</v>
      </c>
      <c r="AC119" s="84">
        <f>INT(INT((INT((2*VLOOKUP($C119,DexData,6,0)+INT(R119/4)+L119)/2)+5)*W119)*IF($E119="Choice Band",1.5,IF(OR($E119="Mawilite",$E119="Medichamite",$E119="Thick Club"),2,1)))</f>
        <v>70</v>
      </c>
      <c r="AD119" s="84">
        <f>INT(INT((INT((2*VLOOKUP($C119,DexData,7,0)+INT(S119/4)+M119)/2)+5)*X119)*IF($E119="Eviolite",1.5,1))</f>
        <v>55</v>
      </c>
      <c r="AE119" s="84">
        <f>INT(INT((INT((2*VLOOKUP($C119,DexData,9,0)+INT(T119/4)+N119)/2)+5)*Y119)*IF($E119="Choice Specs",1.5,1))</f>
        <v>54</v>
      </c>
      <c r="AF119" s="84">
        <f>INT(INT((INT((2*VLOOKUP($C119,DexData,10,0)+INT(U119/4)+O119)/2)+5)*Z119)*IF(OR($E119="Eviolite",$E119="Assault Vest"),1.5,1))</f>
        <v>60</v>
      </c>
      <c r="AG119" s="84">
        <f>INT(INT((INT((2*VLOOKUP($C119,DexData,11,0)+INT(V119/4)+P119)/2)+5)*AA119)*IF($E119="Choice Scarf",1.5,IF($E119="Iron Ball",0.5,1)))</f>
        <v>134</v>
      </c>
      <c r="AH119" s="84" t="str">
        <f>VLOOKUP(VLOOKUP($C119,DexData,3,0),Aliases!D$2:E$19,2,0)&amp;IFERROR("/"&amp;VLOOKUP(VLOOKUP($C119,DexData,4,0),Aliases!D$2:E$19,2,0),"")</f>
        <v>ELC</v>
      </c>
      <c r="AI119" s="7">
        <v>3.0</v>
      </c>
      <c r="AJ119" s="7">
        <f>IF(VLOOKUP(B119,'Set Odds'!A$2:AN$1067,40,0),1,IF(VLOOKUP(B119,'Set Odds'!A$2:AO$1067,41,0),2,0))</f>
        <v>0</v>
      </c>
      <c r="AK119" s="7"/>
      <c r="AL119" s="7" t="str">
        <f t="shared" si="1"/>
        <v/>
      </c>
    </row>
    <row r="120" ht="12.75" customHeight="1">
      <c r="A120" s="86">
        <v>119.0</v>
      </c>
      <c r="B120" s="84" t="s">
        <v>2998</v>
      </c>
      <c r="C120" s="7" t="s">
        <v>2999</v>
      </c>
      <c r="D120" s="7" t="s">
        <v>2795</v>
      </c>
      <c r="E120" s="7" t="s">
        <v>2528</v>
      </c>
      <c r="F120" s="84" t="s">
        <v>2693</v>
      </c>
      <c r="G120" s="84" t="s">
        <v>2643</v>
      </c>
      <c r="H120" s="84" t="s">
        <v>2536</v>
      </c>
      <c r="I120" s="84" t="s">
        <v>2573</v>
      </c>
      <c r="J120" s="7" t="s">
        <v>3000</v>
      </c>
      <c r="K120" s="7">
        <v>31.0</v>
      </c>
      <c r="L120" s="7">
        <v>0.0</v>
      </c>
      <c r="M120" s="7">
        <v>0.0</v>
      </c>
      <c r="N120" s="7">
        <v>0.0</v>
      </c>
      <c r="O120" s="7">
        <v>0.0</v>
      </c>
      <c r="P120" s="7">
        <v>31.0</v>
      </c>
      <c r="Q120" s="7">
        <v>108.0</v>
      </c>
      <c r="R120" s="7">
        <v>0.0</v>
      </c>
      <c r="S120" s="7">
        <v>0.0</v>
      </c>
      <c r="T120" s="7">
        <v>0.0</v>
      </c>
      <c r="U120" s="7">
        <v>0.0</v>
      </c>
      <c r="V120" s="7">
        <v>108.0</v>
      </c>
      <c r="W120" s="7">
        <f>VLOOKUP($D120,NatureChart,2,0)</f>
        <v>1</v>
      </c>
      <c r="X120" s="7">
        <f>VLOOKUP($D120,NatureChart,3,0)</f>
        <v>1</v>
      </c>
      <c r="Y120" s="7">
        <f>VLOOKUP($D120,NatureChart,4,0)</f>
        <v>1</v>
      </c>
      <c r="Z120" s="7">
        <f>VLOOKUP($D120,NatureChart,5,0)</f>
        <v>1</v>
      </c>
      <c r="AA120" s="84">
        <f>VLOOKUP($D120,NatureChart,6,0)</f>
        <v>1</v>
      </c>
      <c r="AB120" s="84">
        <f>IF($C120="Shedinja",1,(INT((2*VLOOKUP($C120,DexData,5,0)+INT(Q120/4)+K120)/2)+60))</f>
        <v>164</v>
      </c>
      <c r="AC120" s="84">
        <f>INT(INT((INT((2*VLOOKUP($C120,DexData,6,0)+INT(R120/4)+L120)/2)+5)*W120)*IF($E120="Choice Band",1.5,IF(OR($E120="Mawilite",$E120="Medichamite",$E120="Thick Club"),2,1)))</f>
        <v>43</v>
      </c>
      <c r="AD120" s="84">
        <f>INT(INT((INT((2*VLOOKUP($C120,DexData,7,0)+INT(S120/4)+M120)/2)+5)*X120)*IF($E120="Eviolite",1.5,1))</f>
        <v>43</v>
      </c>
      <c r="AE120" s="84">
        <f>INT(INT((INT((2*VLOOKUP($C120,DexData,9,0)+INT(T120/4)+N120)/2)+5)*Y120)*IF($E120="Choice Specs",1.5,1))</f>
        <v>61</v>
      </c>
      <c r="AF120" s="84">
        <f>INT(INT((INT((2*VLOOKUP($C120,DexData,10,0)+INT(U120/4)+O120)/2)+5)*Z120)*IF(OR($E120="Eviolite",$E120="Assault Vest"),1.5,1))</f>
        <v>61</v>
      </c>
      <c r="AG120" s="84">
        <f>INT(INT((INT((2*VLOOKUP($C120,DexData,11,0)+INT(V120/4)+P120)/2)+5)*AA120)*IF($E120="Choice Scarf",1.5,IF($E120="Iron Ball",0.5,1)))</f>
        <v>101</v>
      </c>
      <c r="AH120" s="84" t="str">
        <f>VLOOKUP(VLOOKUP($C120,DexData,3,0),Aliases!D$2:E$19,2,0)&amp;IFERROR("/"&amp;VLOOKUP(VLOOKUP($C120,DexData,4,0),Aliases!D$2:E$19,2,0),"")</f>
        <v>WTR/ELC</v>
      </c>
      <c r="AI120" s="7">
        <v>3.0</v>
      </c>
      <c r="AJ120" s="7">
        <f>IF(VLOOKUP(B120,'Set Odds'!A$2:AN$1067,40,0),1,IF(VLOOKUP(B120,'Set Odds'!A$2:AO$1067,41,0),2,0))</f>
        <v>0</v>
      </c>
      <c r="AK120" s="7"/>
      <c r="AL120" s="7" t="str">
        <f t="shared" si="1"/>
        <v/>
      </c>
    </row>
    <row r="121" ht="12.75" customHeight="1">
      <c r="A121" s="86">
        <v>120.0</v>
      </c>
      <c r="B121" s="84" t="s">
        <v>3001</v>
      </c>
      <c r="C121" s="7" t="s">
        <v>3002</v>
      </c>
      <c r="D121" s="7" t="s">
        <v>2811</v>
      </c>
      <c r="E121" s="7" t="s">
        <v>3003</v>
      </c>
      <c r="F121" s="84" t="s">
        <v>3004</v>
      </c>
      <c r="G121" s="84" t="s">
        <v>2725</v>
      </c>
      <c r="H121" s="84" t="s">
        <v>2581</v>
      </c>
      <c r="I121" s="84" t="s">
        <v>2841</v>
      </c>
      <c r="J121" s="7" t="s">
        <v>3005</v>
      </c>
      <c r="K121" s="7">
        <v>31.0</v>
      </c>
      <c r="L121" s="7">
        <v>0.0</v>
      </c>
      <c r="M121" s="7">
        <v>31.0</v>
      </c>
      <c r="N121" s="7">
        <v>0.0</v>
      </c>
      <c r="O121" s="7">
        <v>0.0</v>
      </c>
      <c r="P121" s="7">
        <v>0.0</v>
      </c>
      <c r="Q121" s="7">
        <v>108.0</v>
      </c>
      <c r="R121" s="7">
        <v>0.0</v>
      </c>
      <c r="S121" s="7">
        <v>108.0</v>
      </c>
      <c r="T121" s="7">
        <v>0.0</v>
      </c>
      <c r="U121" s="7">
        <v>0.0</v>
      </c>
      <c r="V121" s="7">
        <v>0.0</v>
      </c>
      <c r="W121" s="7">
        <f>VLOOKUP($D121,NatureChart,2,0)</f>
        <v>1</v>
      </c>
      <c r="X121" s="7">
        <f>VLOOKUP($D121,NatureChart,3,0)</f>
        <v>1.1</v>
      </c>
      <c r="Y121" s="7">
        <f>VLOOKUP($D121,NatureChart,4,0)</f>
        <v>1</v>
      </c>
      <c r="Z121" s="7">
        <f>VLOOKUP($D121,NatureChart,5,0)</f>
        <v>1</v>
      </c>
      <c r="AA121" s="84">
        <f>VLOOKUP($D121,NatureChart,6,0)</f>
        <v>0.9</v>
      </c>
      <c r="AB121" s="84">
        <f>IF($C121="Shedinja",1,(INT((2*VLOOKUP($C121,DexData,5,0)+INT(Q121/4)+K121)/2)+60))</f>
        <v>149</v>
      </c>
      <c r="AC121" s="84">
        <f>INT(INT((INT((2*VLOOKUP($C121,DexData,6,0)+INT(R121/4)+L121)/2)+5)*W121)*IF($E121="Choice Band",1.5,IF(OR($E121="Mawilite",$E121="Medichamite",$E121="Thick Club"),2,1)))</f>
        <v>85</v>
      </c>
      <c r="AD121" s="84">
        <f>INT(INT((INT((2*VLOOKUP($C121,DexData,7,0)+INT(S121/4)+M121)/2)+5)*X121)*IF($E121="Eviolite",1.5,1))</f>
        <v>92</v>
      </c>
      <c r="AE121" s="84">
        <f>INT(INT((INT((2*VLOOKUP($C121,DexData,9,0)+INT(T121/4)+N121)/2)+5)*Y121)*IF($E121="Choice Specs",1.5,1))</f>
        <v>55</v>
      </c>
      <c r="AF121" s="84">
        <f>INT(INT((INT((2*VLOOKUP($C121,DexData,10,0)+INT(U121/4)+O121)/2)+5)*Z121)*IF(OR($E121="Eviolite",$E121="Assault Vest"),1.5,1))</f>
        <v>55</v>
      </c>
      <c r="AG121" s="84">
        <f>INT(INT((INT((2*VLOOKUP($C121,DexData,11,0)+INT(V121/4)+P121)/2)+5)*AA121)*IF($E121="Choice Scarf",1.5,IF($E121="Iron Ball",0.5,1)))</f>
        <v>40</v>
      </c>
      <c r="AH121" s="84" t="str">
        <f>VLOOKUP(VLOOKUP($C121,DexData,3,0),Aliases!D$2:E$19,2,0)&amp;IFERROR("/"&amp;VLOOKUP(VLOOKUP($C121,DexData,4,0),Aliases!D$2:E$19,2,0),"")</f>
        <v>NRM</v>
      </c>
      <c r="AI121" s="7">
        <v>3.0</v>
      </c>
      <c r="AJ121" s="7">
        <f>IF(VLOOKUP(B121,'Set Odds'!A$2:AN$1067,40,0),1,IF(VLOOKUP(B121,'Set Odds'!A$2:AO$1067,41,0),2,0))</f>
        <v>0</v>
      </c>
      <c r="AK121" s="7"/>
      <c r="AL121" s="7" t="str">
        <f t="shared" si="1"/>
        <v/>
      </c>
    </row>
    <row r="122" ht="12.75" customHeight="1">
      <c r="A122" s="86">
        <v>121.0</v>
      </c>
      <c r="B122" s="84" t="s">
        <v>3006</v>
      </c>
      <c r="C122" s="7" t="s">
        <v>3007</v>
      </c>
      <c r="D122" s="7" t="s">
        <v>2599</v>
      </c>
      <c r="E122" s="7" t="s">
        <v>3008</v>
      </c>
      <c r="F122" s="84" t="s">
        <v>3009</v>
      </c>
      <c r="G122" s="84" t="s">
        <v>2823</v>
      </c>
      <c r="H122" s="84" t="s">
        <v>2614</v>
      </c>
      <c r="I122" s="84" t="s">
        <v>3010</v>
      </c>
      <c r="J122" s="7" t="s">
        <v>3011</v>
      </c>
      <c r="K122" s="7">
        <v>31.0</v>
      </c>
      <c r="L122" s="7">
        <v>0.0</v>
      </c>
      <c r="M122" s="7">
        <v>0.0</v>
      </c>
      <c r="N122" s="7">
        <v>0.0</v>
      </c>
      <c r="O122" s="7">
        <v>0.0</v>
      </c>
      <c r="P122" s="7">
        <v>31.0</v>
      </c>
      <c r="Q122" s="7">
        <v>108.0</v>
      </c>
      <c r="R122" s="7">
        <v>0.0</v>
      </c>
      <c r="S122" s="7">
        <v>0.0</v>
      </c>
      <c r="T122" s="7">
        <v>0.0</v>
      </c>
      <c r="U122" s="7">
        <v>0.0</v>
      </c>
      <c r="V122" s="7">
        <v>108.0</v>
      </c>
      <c r="W122" s="7">
        <f>VLOOKUP($D122,NatureChart,2,0)</f>
        <v>1</v>
      </c>
      <c r="X122" s="7">
        <f>VLOOKUP($D122,NatureChart,3,0)</f>
        <v>1</v>
      </c>
      <c r="Y122" s="7">
        <f>VLOOKUP($D122,NatureChart,4,0)</f>
        <v>1</v>
      </c>
      <c r="Z122" s="7">
        <f>VLOOKUP($D122,NatureChart,5,0)</f>
        <v>1</v>
      </c>
      <c r="AA122" s="84">
        <f>VLOOKUP($D122,NatureChart,6,0)</f>
        <v>1</v>
      </c>
      <c r="AB122" s="84">
        <f>IF($C122="Shedinja",1,(INT((2*VLOOKUP($C122,DexData,5,0)+INT(Q122/4)+K122)/2)+60))</f>
        <v>134</v>
      </c>
      <c r="AC122" s="84">
        <f>INT(INT((INT((2*VLOOKUP($C122,DexData,6,0)+INT(R122/4)+L122)/2)+5)*W122)*IF($E122="Choice Band",1.5,IF(OR($E122="Mawilite",$E122="Medichamite",$E122="Thick Club"),2,1)))</f>
        <v>60</v>
      </c>
      <c r="AD122" s="84">
        <f>INT(INT((INT((2*VLOOKUP($C122,DexData,7,0)+INT(S122/4)+M122)/2)+5)*X122)*IF($E122="Eviolite",1.5,1))</f>
        <v>50</v>
      </c>
      <c r="AE122" s="84">
        <f>INT(INT((INT((2*VLOOKUP($C122,DexData,9,0)+INT(T122/4)+N122)/2)+5)*Y122)*IF($E122="Choice Specs",1.5,1))</f>
        <v>70</v>
      </c>
      <c r="AF122" s="84">
        <f>INT(INT((INT((2*VLOOKUP($C122,DexData,10,0)+INT(U122/4)+O122)/2)+5)*Z122)*IF(OR($E122="Eviolite",$E122="Assault Vest"),1.5,1))</f>
        <v>50</v>
      </c>
      <c r="AG122" s="84">
        <f>INT(INT((INT((2*VLOOKUP($C122,DexData,11,0)+INT(V122/4)+P122)/2)+5)*AA122)*IF($E122="Choice Scarf",1.5,IF($E122="Iron Ball",0.5,1)))</f>
        <v>109</v>
      </c>
      <c r="AH122" s="84" t="str">
        <f>VLOOKUP(VLOOKUP($C122,DexData,3,0),Aliases!D$2:E$19,2,0)&amp;IFERROR("/"&amp;VLOOKUP(VLOOKUP($C122,DexData,4,0),Aliases!D$2:E$19,2,0),"")</f>
        <v>ICE/FLY</v>
      </c>
      <c r="AI122" s="7">
        <v>3.0</v>
      </c>
      <c r="AJ122" s="7">
        <f>IF(VLOOKUP(B122,'Set Odds'!A$2:AN$1067,40,0),1,IF(VLOOKUP(B122,'Set Odds'!A$2:AO$1067,41,0),2,0))</f>
        <v>0</v>
      </c>
      <c r="AK122" s="7"/>
      <c r="AL122" s="7" t="str">
        <f t="shared" si="1"/>
        <v/>
      </c>
    </row>
    <row r="123" ht="12.75" customHeight="1">
      <c r="A123" s="86">
        <v>122.0</v>
      </c>
      <c r="B123" s="84" t="s">
        <v>3012</v>
      </c>
      <c r="C123" s="7" t="s">
        <v>3013</v>
      </c>
      <c r="D123" s="7" t="s">
        <v>2599</v>
      </c>
      <c r="E123" s="7" t="s">
        <v>3014</v>
      </c>
      <c r="F123" s="84" t="s">
        <v>3015</v>
      </c>
      <c r="G123" s="84" t="s">
        <v>2831</v>
      </c>
      <c r="H123" s="84" t="s">
        <v>2694</v>
      </c>
      <c r="I123" s="84" t="s">
        <v>2517</v>
      </c>
      <c r="J123" s="7" t="s">
        <v>3016</v>
      </c>
      <c r="K123" s="7">
        <v>31.0</v>
      </c>
      <c r="L123" s="7">
        <v>0.0</v>
      </c>
      <c r="M123" s="7">
        <v>0.0</v>
      </c>
      <c r="N123" s="7">
        <v>0.0</v>
      </c>
      <c r="O123" s="7">
        <v>0.0</v>
      </c>
      <c r="P123" s="7">
        <v>31.0</v>
      </c>
      <c r="Q123" s="7">
        <v>108.0</v>
      </c>
      <c r="R123" s="7">
        <v>0.0</v>
      </c>
      <c r="S123" s="7">
        <v>0.0</v>
      </c>
      <c r="T123" s="7">
        <v>0.0</v>
      </c>
      <c r="U123" s="7">
        <v>0.0</v>
      </c>
      <c r="V123" s="7">
        <v>108.0</v>
      </c>
      <c r="W123" s="7">
        <f>VLOOKUP($D123,NatureChart,2,0)</f>
        <v>1</v>
      </c>
      <c r="X123" s="7">
        <f>VLOOKUP($D123,NatureChart,3,0)</f>
        <v>1</v>
      </c>
      <c r="Y123" s="7">
        <f>VLOOKUP($D123,NatureChart,4,0)</f>
        <v>1</v>
      </c>
      <c r="Z123" s="7">
        <f>VLOOKUP($D123,NatureChart,5,0)</f>
        <v>1</v>
      </c>
      <c r="AA123" s="84">
        <f>VLOOKUP($D123,NatureChart,6,0)</f>
        <v>1</v>
      </c>
      <c r="AB123" s="84">
        <f>IF($C123="Shedinja",1,(INT((2*VLOOKUP($C123,DexData,5,0)+INT(Q123/4)+K123)/2)+60))</f>
        <v>134</v>
      </c>
      <c r="AC123" s="84">
        <f>INT(INT((INT((2*VLOOKUP($C123,DexData,6,0)+INT(R123/4)+L123)/2)+5)*W123)*IF($E123="Choice Band",1.5,IF(OR($E123="Mawilite",$E123="Medichamite",$E123="Thick Club"),2,1)))</f>
        <v>65</v>
      </c>
      <c r="AD123" s="84">
        <f>INT(INT((INT((2*VLOOKUP($C123,DexData,7,0)+INT(S123/4)+M123)/2)+5)*X123)*IF($E123="Eviolite",1.5,1))</f>
        <v>35</v>
      </c>
      <c r="AE123" s="84">
        <f>INT(INT((INT((2*VLOOKUP($C123,DexData,9,0)+INT(T123/4)+N123)/2)+5)*Y123)*IF($E123="Choice Specs",1.5,1))</f>
        <v>85</v>
      </c>
      <c r="AF123" s="84">
        <f>INT(INT((INT((2*VLOOKUP($C123,DexData,10,0)+INT(U123/4)+O123)/2)+5)*Z123)*IF(OR($E123="Eviolite",$E123="Assault Vest"),1.5,1))</f>
        <v>55</v>
      </c>
      <c r="AG123" s="84">
        <f>INT(INT((INT((2*VLOOKUP($C123,DexData,11,0)+INT(V123/4)+P123)/2)+5)*AA123)*IF($E123="Choice Scarf",1.5,IF($E123="Iron Ball",0.5,1)))</f>
        <v>99</v>
      </c>
      <c r="AH123" s="84" t="str">
        <f>VLOOKUP(VLOOKUP($C123,DexData,3,0),Aliases!D$2:E$19,2,0)&amp;IFERROR("/"&amp;VLOOKUP(VLOOKUP($C123,DexData,4,0),Aliases!D$2:E$19,2,0),"")</f>
        <v>DRK/FIR</v>
      </c>
      <c r="AI123" s="7">
        <v>3.0</v>
      </c>
      <c r="AJ123" s="7">
        <f>IF(VLOOKUP(B123,'Set Odds'!A$2:AN$1067,40,0),1,IF(VLOOKUP(B123,'Set Odds'!A$2:AO$1067,41,0),2,0))</f>
        <v>0</v>
      </c>
      <c r="AK123" s="7"/>
      <c r="AL123" s="7" t="str">
        <f t="shared" si="1"/>
        <v/>
      </c>
    </row>
    <row r="124" ht="12.75" customHeight="1">
      <c r="A124" s="86">
        <v>123.0</v>
      </c>
      <c r="B124" s="84" t="s">
        <v>3017</v>
      </c>
      <c r="C124" s="7" t="s">
        <v>3018</v>
      </c>
      <c r="D124" s="7" t="s">
        <v>2571</v>
      </c>
      <c r="E124" s="7" t="s">
        <v>2528</v>
      </c>
      <c r="F124" s="84" t="s">
        <v>2867</v>
      </c>
      <c r="G124" s="84" t="s">
        <v>2895</v>
      </c>
      <c r="H124" s="84" t="s">
        <v>2751</v>
      </c>
      <c r="I124" s="84" t="s">
        <v>2752</v>
      </c>
      <c r="J124" s="7" t="s">
        <v>3005</v>
      </c>
      <c r="K124" s="7">
        <v>0.0</v>
      </c>
      <c r="L124" s="7">
        <v>31.0</v>
      </c>
      <c r="M124" s="7">
        <v>0.0</v>
      </c>
      <c r="N124" s="7">
        <v>0.0</v>
      </c>
      <c r="O124" s="7">
        <v>0.0</v>
      </c>
      <c r="P124" s="7">
        <v>31.0</v>
      </c>
      <c r="Q124" s="7">
        <v>0.0</v>
      </c>
      <c r="R124" s="7">
        <v>108.0</v>
      </c>
      <c r="S124" s="7">
        <v>0.0</v>
      </c>
      <c r="T124" s="7">
        <v>0.0</v>
      </c>
      <c r="U124" s="7">
        <v>0.0</v>
      </c>
      <c r="V124" s="7">
        <v>108.0</v>
      </c>
      <c r="W124" s="7">
        <f>VLOOKUP($D124,NatureChart,2,0)</f>
        <v>1.1</v>
      </c>
      <c r="X124" s="7">
        <f>VLOOKUP($D124,NatureChart,3,0)</f>
        <v>1</v>
      </c>
      <c r="Y124" s="7">
        <f>VLOOKUP($D124,NatureChart,4,0)</f>
        <v>0.9</v>
      </c>
      <c r="Z124" s="7">
        <f>VLOOKUP($D124,NatureChart,5,0)</f>
        <v>1</v>
      </c>
      <c r="AA124" s="84">
        <f>VLOOKUP($D124,NatureChart,6,0)</f>
        <v>1</v>
      </c>
      <c r="AB124" s="84">
        <f>IF($C124="Shedinja",1,(INT((2*VLOOKUP($C124,DexData,5,0)+INT(Q124/4)+K124)/2)+60))</f>
        <v>150</v>
      </c>
      <c r="AC124" s="84">
        <f>INT(INT((INT((2*VLOOKUP($C124,DexData,6,0)+INT(R124/4)+L124)/2)+5)*W124)*IF($E124="Choice Band",1.5,IF(OR($E124="Mawilite",$E124="Medichamite",$E124="Thick Club"),2,1)))</f>
        <v>103</v>
      </c>
      <c r="AD124" s="84">
        <f>INT(INT((INT((2*VLOOKUP($C124,DexData,7,0)+INT(S124/4)+M124)/2)+5)*X124)*IF($E124="Eviolite",1.5,1))</f>
        <v>65</v>
      </c>
      <c r="AE124" s="84">
        <f>INT(INT((INT((2*VLOOKUP($C124,DexData,9,0)+INT(T124/4)+N124)/2)+5)*Y124)*IF($E124="Choice Specs",1.5,1))</f>
        <v>40</v>
      </c>
      <c r="AF124" s="84">
        <f>INT(INT((INT((2*VLOOKUP($C124,DexData,10,0)+INT(U124/4)+O124)/2)+5)*Z124)*IF(OR($E124="Eviolite",$E124="Assault Vest"),1.5,1))</f>
        <v>45</v>
      </c>
      <c r="AG124" s="84">
        <f>INT(INT((INT((2*VLOOKUP($C124,DexData,11,0)+INT(V124/4)+P124)/2)+5)*AA124)*IF($E124="Choice Scarf",1.5,IF($E124="Iron Ball",0.5,1)))</f>
        <v>74</v>
      </c>
      <c r="AH124" s="84" t="str">
        <f>VLOOKUP(VLOOKUP($C124,DexData,3,0),Aliases!D$2:E$19,2,0)&amp;IFERROR("/"&amp;VLOOKUP(VLOOKUP($C124,DexData,4,0),Aliases!D$2:E$19,2,0),"")</f>
        <v>GRD</v>
      </c>
      <c r="AI124" s="7">
        <v>3.0</v>
      </c>
      <c r="AJ124" s="7">
        <f>IF(VLOOKUP(B124,'Set Odds'!A$2:AN$1067,40,0),1,IF(VLOOKUP(B124,'Set Odds'!A$2:AO$1067,41,0),2,0))</f>
        <v>0</v>
      </c>
      <c r="AK124" s="7"/>
      <c r="AL124" s="7" t="str">
        <f t="shared" si="1"/>
        <v/>
      </c>
    </row>
    <row r="125" ht="12.75" customHeight="1">
      <c r="A125" s="86">
        <v>124.0</v>
      </c>
      <c r="B125" s="84" t="s">
        <v>3019</v>
      </c>
      <c r="C125" s="7" t="s">
        <v>3020</v>
      </c>
      <c r="D125" s="7" t="s">
        <v>2571</v>
      </c>
      <c r="E125" s="7" t="s">
        <v>3021</v>
      </c>
      <c r="F125" s="84" t="s">
        <v>2887</v>
      </c>
      <c r="G125" s="84" t="s">
        <v>2614</v>
      </c>
      <c r="H125" s="84" t="s">
        <v>2962</v>
      </c>
      <c r="I125" s="84" t="s">
        <v>2694</v>
      </c>
      <c r="J125" s="7" t="s">
        <v>2728</v>
      </c>
      <c r="K125" s="7">
        <v>31.0</v>
      </c>
      <c r="L125" s="7">
        <v>31.0</v>
      </c>
      <c r="M125" s="7">
        <v>0.0</v>
      </c>
      <c r="N125" s="7">
        <v>0.0</v>
      </c>
      <c r="O125" s="7">
        <v>0.0</v>
      </c>
      <c r="P125" s="7">
        <v>0.0</v>
      </c>
      <c r="Q125" s="7">
        <v>108.0</v>
      </c>
      <c r="R125" s="7">
        <v>108.0</v>
      </c>
      <c r="S125" s="7">
        <v>0.0</v>
      </c>
      <c r="T125" s="7">
        <v>0.0</v>
      </c>
      <c r="U125" s="7">
        <v>0.0</v>
      </c>
      <c r="V125" s="7">
        <v>0.0</v>
      </c>
      <c r="W125" s="7">
        <f>VLOOKUP($D125,NatureChart,2,0)</f>
        <v>1.1</v>
      </c>
      <c r="X125" s="7">
        <f>VLOOKUP($D125,NatureChart,3,0)</f>
        <v>1</v>
      </c>
      <c r="Y125" s="7">
        <f>VLOOKUP($D125,NatureChart,4,0)</f>
        <v>0.9</v>
      </c>
      <c r="Z125" s="7">
        <f>VLOOKUP($D125,NatureChart,5,0)</f>
        <v>1</v>
      </c>
      <c r="AA125" s="84">
        <f>VLOOKUP($D125,NatureChart,6,0)</f>
        <v>1</v>
      </c>
      <c r="AB125" s="84">
        <f>IF($C125="Shedinja",1,(INT((2*VLOOKUP($C125,DexData,5,0)+INT(Q125/4)+K125)/2)+60))</f>
        <v>139</v>
      </c>
      <c r="AC125" s="84">
        <f>INT(INT((INT((2*VLOOKUP($C125,DexData,6,0)+INT(R125/4)+L125)/2)+5)*W125)*IF($E125="Choice Band",1.5,IF(OR($E125="Mawilite",$E125="Medichamite",$E125="Thick Club"),2,1)))</f>
        <v>114</v>
      </c>
      <c r="AD125" s="84">
        <f>INT(INT((INT((2*VLOOKUP($C125,DexData,7,0)+INT(S125/4)+M125)/2)+5)*X125)*IF($E125="Eviolite",1.5,1))</f>
        <v>105</v>
      </c>
      <c r="AE125" s="84">
        <f>INT(INT((INT((2*VLOOKUP($C125,DexData,9,0)+INT(T125/4)+N125)/2)+5)*Y125)*IF($E125="Choice Specs",1.5,1))</f>
        <v>40</v>
      </c>
      <c r="AF125" s="84">
        <f>INT(INT((INT((2*VLOOKUP($C125,DexData,10,0)+INT(U125/4)+O125)/2)+5)*Z125)*IF(OR($E125="Eviolite",$E125="Assault Vest"),1.5,1))</f>
        <v>45</v>
      </c>
      <c r="AG125" s="84">
        <f>INT(INT((INT((2*VLOOKUP($C125,DexData,11,0)+INT(V125/4)+P125)/2)+5)*AA125)*IF($E125="Choice Scarf",1.5,IF($E125="Iron Ball",0.5,1)))</f>
        <v>35</v>
      </c>
      <c r="AH125" s="84" t="str">
        <f>VLOOKUP(VLOOKUP($C125,DexData,3,0),Aliases!D$2:E$19,2,0)&amp;IFERROR("/"&amp;VLOOKUP(VLOOKUP($C125,DexData,4,0),Aliases!D$2:E$19,2,0),"")</f>
        <v>STL/RCK</v>
      </c>
      <c r="AI125" s="7">
        <v>3.0</v>
      </c>
      <c r="AJ125" s="7">
        <f>IF(VLOOKUP(B125,'Set Odds'!A$2:AN$1067,40,0),1,IF(VLOOKUP(B125,'Set Odds'!A$2:AO$1067,41,0),2,0))</f>
        <v>0</v>
      </c>
      <c r="AK125" s="7"/>
      <c r="AL125" s="7" t="str">
        <f t="shared" si="1"/>
        <v/>
      </c>
    </row>
    <row r="126" ht="12.75" customHeight="1">
      <c r="A126" s="86">
        <v>125.0</v>
      </c>
      <c r="B126" s="84" t="s">
        <v>3022</v>
      </c>
      <c r="C126" s="7" t="s">
        <v>3023</v>
      </c>
      <c r="D126" s="7" t="s">
        <v>2811</v>
      </c>
      <c r="E126" s="7" t="s">
        <v>2636</v>
      </c>
      <c r="F126" s="84" t="s">
        <v>2659</v>
      </c>
      <c r="G126" s="84" t="s">
        <v>3024</v>
      </c>
      <c r="H126" s="84" t="s">
        <v>3025</v>
      </c>
      <c r="I126" s="84" t="s">
        <v>2536</v>
      </c>
      <c r="J126" s="7" t="s">
        <v>2968</v>
      </c>
      <c r="K126" s="7">
        <v>31.0</v>
      </c>
      <c r="L126" s="7">
        <v>0.0</v>
      </c>
      <c r="M126" s="7">
        <v>31.0</v>
      </c>
      <c r="N126" s="7">
        <v>0.0</v>
      </c>
      <c r="O126" s="7">
        <v>0.0</v>
      </c>
      <c r="P126" s="7">
        <v>0.0</v>
      </c>
      <c r="Q126" s="7">
        <v>108.0</v>
      </c>
      <c r="R126" s="7">
        <v>0.0</v>
      </c>
      <c r="S126" s="7">
        <v>108.0</v>
      </c>
      <c r="T126" s="7">
        <v>0.0</v>
      </c>
      <c r="U126" s="7">
        <v>0.0</v>
      </c>
      <c r="V126" s="7">
        <v>0.0</v>
      </c>
      <c r="W126" s="7">
        <f>VLOOKUP($D126,NatureChart,2,0)</f>
        <v>1</v>
      </c>
      <c r="X126" s="7">
        <f>VLOOKUP($D126,NatureChart,3,0)</f>
        <v>1.1</v>
      </c>
      <c r="Y126" s="7">
        <f>VLOOKUP($D126,NatureChart,4,0)</f>
        <v>1</v>
      </c>
      <c r="Z126" s="7">
        <f>VLOOKUP($D126,NatureChart,5,0)</f>
        <v>1</v>
      </c>
      <c r="AA126" s="84">
        <f>VLOOKUP($D126,NatureChart,6,0)</f>
        <v>0.9</v>
      </c>
      <c r="AB126" s="84">
        <f>IF($C126="Shedinja",1,(INT((2*VLOOKUP($C126,DexData,5,0)+INT(Q126/4)+K126)/2)+60))</f>
        <v>149</v>
      </c>
      <c r="AC126" s="84">
        <f>INT(INT((INT((2*VLOOKUP($C126,DexData,6,0)+INT(R126/4)+L126)/2)+5)*W126)*IF($E126="Choice Band",1.5,IF(OR($E126="Mawilite",$E126="Medichamite",$E126="Thick Club"),2,1)))</f>
        <v>30</v>
      </c>
      <c r="AD126" s="84">
        <f>INT(INT((INT((2*VLOOKUP($C126,DexData,7,0)+INT(S126/4)+M126)/2)+5)*X126)*IF($E126="Eviolite",1.5,1))</f>
        <v>75</v>
      </c>
      <c r="AE126" s="84">
        <f>INT(INT((INT((2*VLOOKUP($C126,DexData,9,0)+INT(T126/4)+N126)/2)+5)*Y126)*IF($E126="Choice Specs",1.5,1))</f>
        <v>75</v>
      </c>
      <c r="AF126" s="84">
        <f>INT(INT((INT((2*VLOOKUP($C126,DexData,10,0)+INT(U126/4)+O126)/2)+5)*Z126)*IF(OR($E126="Eviolite",$E126="Assault Vest"),1.5,1))</f>
        <v>85</v>
      </c>
      <c r="AG126" s="84">
        <f>INT(INT((INT((2*VLOOKUP($C126,DexData,11,0)+INT(V126/4)+P126)/2)+5)*AA126)*IF($E126="Choice Scarf",1.5,IF($E126="Iron Ball",0.5,1)))</f>
        <v>58</v>
      </c>
      <c r="AH126" s="84" t="str">
        <f>VLOOKUP(VLOOKUP($C126,DexData,3,0),Aliases!D$2:E$19,2,0)&amp;IFERROR("/"&amp;VLOOKUP(VLOOKUP($C126,DexData,4,0),Aliases!D$2:E$19,2,0),"")</f>
        <v>PSY</v>
      </c>
      <c r="AI126" s="7">
        <v>3.0</v>
      </c>
      <c r="AJ126" s="7">
        <f>IF(VLOOKUP(B126,'Set Odds'!A$2:AN$1067,40,0),1,IF(VLOOKUP(B126,'Set Odds'!A$2:AO$1067,41,0),2,0))</f>
        <v>0</v>
      </c>
      <c r="AK126" s="7"/>
      <c r="AL126" s="7" t="str">
        <f t="shared" si="1"/>
        <v/>
      </c>
    </row>
    <row r="127" ht="12.75" customHeight="1">
      <c r="A127" s="86">
        <v>126.0</v>
      </c>
      <c r="B127" s="84" t="s">
        <v>3026</v>
      </c>
      <c r="C127" s="7" t="s">
        <v>3027</v>
      </c>
      <c r="D127" s="7" t="s">
        <v>2811</v>
      </c>
      <c r="E127" s="7" t="s">
        <v>2516</v>
      </c>
      <c r="F127" s="84" t="s">
        <v>2658</v>
      </c>
      <c r="G127" s="84" t="s">
        <v>2848</v>
      </c>
      <c r="H127" s="84" t="s">
        <v>2607</v>
      </c>
      <c r="I127" s="84" t="s">
        <v>2987</v>
      </c>
      <c r="J127" s="7" t="s">
        <v>3028</v>
      </c>
      <c r="K127" s="7">
        <v>31.0</v>
      </c>
      <c r="L127" s="7">
        <v>0.0</v>
      </c>
      <c r="M127" s="7">
        <v>31.0</v>
      </c>
      <c r="N127" s="7">
        <v>0.0</v>
      </c>
      <c r="O127" s="7">
        <v>0.0</v>
      </c>
      <c r="P127" s="7">
        <v>0.0</v>
      </c>
      <c r="Q127" s="7">
        <v>108.0</v>
      </c>
      <c r="R127" s="7">
        <v>0.0</v>
      </c>
      <c r="S127" s="7">
        <v>108.0</v>
      </c>
      <c r="T127" s="7">
        <v>0.0</v>
      </c>
      <c r="U127" s="7">
        <v>0.0</v>
      </c>
      <c r="V127" s="7">
        <v>0.0</v>
      </c>
      <c r="W127" s="7">
        <f>VLOOKUP($D127,NatureChart,2,0)</f>
        <v>1</v>
      </c>
      <c r="X127" s="7">
        <f>VLOOKUP($D127,NatureChart,3,0)</f>
        <v>1.1</v>
      </c>
      <c r="Y127" s="7">
        <f>VLOOKUP($D127,NatureChart,4,0)</f>
        <v>1</v>
      </c>
      <c r="Z127" s="7">
        <f>VLOOKUP($D127,NatureChart,5,0)</f>
        <v>1</v>
      </c>
      <c r="AA127" s="84">
        <f>VLOOKUP($D127,NatureChart,6,0)</f>
        <v>0.9</v>
      </c>
      <c r="AB127" s="84">
        <f>IF($C127="Shedinja",1,(INT((2*VLOOKUP($C127,DexData,5,0)+INT(Q127/4)+K127)/2)+60))</f>
        <v>132</v>
      </c>
      <c r="AC127" s="84">
        <f>INT(INT((INT((2*VLOOKUP($C127,DexData,6,0)+INT(R127/4)+L127)/2)+5)*W127)*IF($E127="Choice Band",1.5,IF(OR($E127="Mawilite",$E127="Medichamite",$E127="Thick Club"),2,1)))</f>
        <v>35</v>
      </c>
      <c r="AD127" s="84">
        <f>INT(INT((INT((2*VLOOKUP($C127,DexData,7,0)+INT(S127/4)+M127)/2)+5)*X127)*IF($E127="Eviolite",1.5,1))</f>
        <v>97</v>
      </c>
      <c r="AE127" s="84">
        <f>INT(INT((INT((2*VLOOKUP($C127,DexData,9,0)+INT(T127/4)+N127)/2)+5)*Y127)*IF($E127="Choice Specs",1.5,1))</f>
        <v>45</v>
      </c>
      <c r="AF127" s="84">
        <f>INT(INT((INT((2*VLOOKUP($C127,DexData,10,0)+INT(U127/4)+O127)/2)+5)*Z127)*IF(OR($E127="Eviolite",$E127="Assault Vest"),1.5,1))</f>
        <v>70</v>
      </c>
      <c r="AG127" s="84">
        <f>INT(INT((INT((2*VLOOKUP($C127,DexData,11,0)+INT(V127/4)+P127)/2)+5)*AA127)*IF($E127="Choice Scarf",1.5,IF($E127="Iron Ball",0.5,1)))</f>
        <v>91</v>
      </c>
      <c r="AH127" s="84" t="str">
        <f>VLOOKUP(VLOOKUP($C127,DexData,3,0),Aliases!D$2:E$19,2,0)&amp;IFERROR("/"&amp;VLOOKUP(VLOOKUP($C127,DexData,4,0),Aliases!D$2:E$19,2,0),"")</f>
        <v>WTR</v>
      </c>
      <c r="AI127" s="7">
        <v>3.0</v>
      </c>
      <c r="AJ127" s="7">
        <f>IF(VLOOKUP(B127,'Set Odds'!A$2:AN$1067,40,0),1,IF(VLOOKUP(B127,'Set Odds'!A$2:AO$1067,41,0),2,0))</f>
        <v>0</v>
      </c>
      <c r="AK127" s="7"/>
      <c r="AL127" s="7" t="str">
        <f t="shared" si="1"/>
        <v/>
      </c>
    </row>
    <row r="128" ht="12.75" customHeight="1">
      <c r="A128" s="86">
        <v>127.0</v>
      </c>
      <c r="B128" s="84" t="s">
        <v>3029</v>
      </c>
      <c r="C128" s="7" t="s">
        <v>3030</v>
      </c>
      <c r="D128" s="7" t="s">
        <v>2692</v>
      </c>
      <c r="E128" s="7" t="s">
        <v>2642</v>
      </c>
      <c r="F128" s="84" t="s">
        <v>3031</v>
      </c>
      <c r="G128" s="84" t="s">
        <v>2602</v>
      </c>
      <c r="H128" s="84" t="s">
        <v>2581</v>
      </c>
      <c r="I128" s="84" t="s">
        <v>2595</v>
      </c>
      <c r="J128" s="7" t="s">
        <v>3028</v>
      </c>
      <c r="K128" s="7">
        <v>0.0</v>
      </c>
      <c r="L128" s="7">
        <v>31.0</v>
      </c>
      <c r="M128" s="7">
        <v>0.0</v>
      </c>
      <c r="N128" s="7">
        <v>0.0</v>
      </c>
      <c r="O128" s="7">
        <v>0.0</v>
      </c>
      <c r="P128" s="7">
        <v>31.0</v>
      </c>
      <c r="Q128" s="7">
        <v>0.0</v>
      </c>
      <c r="R128" s="7">
        <v>108.0</v>
      </c>
      <c r="S128" s="7">
        <v>0.0</v>
      </c>
      <c r="T128" s="7">
        <v>0.0</v>
      </c>
      <c r="U128" s="7">
        <v>0.0</v>
      </c>
      <c r="V128" s="7">
        <v>108.0</v>
      </c>
      <c r="W128" s="7">
        <f>VLOOKUP($D128,NatureChart,2,0)</f>
        <v>1</v>
      </c>
      <c r="X128" s="7">
        <f>VLOOKUP($D128,NatureChart,3,0)</f>
        <v>1</v>
      </c>
      <c r="Y128" s="7">
        <f>VLOOKUP($D128,NatureChart,4,0)</f>
        <v>0.9</v>
      </c>
      <c r="Z128" s="7">
        <f>VLOOKUP($D128,NatureChart,5,0)</f>
        <v>1</v>
      </c>
      <c r="AA128" s="84">
        <f>VLOOKUP($D128,NatureChart,6,0)</f>
        <v>1.1</v>
      </c>
      <c r="AB128" s="84">
        <f>IF($C128="Shedinja",1,(INT((2*VLOOKUP($C128,DexData,5,0)+INT(Q128/4)+K128)/2)+60))</f>
        <v>115</v>
      </c>
      <c r="AC128" s="84">
        <f>INT(INT((INT((2*VLOOKUP($C128,DexData,6,0)+INT(R128/4)+L128)/2)+5)*W128)*IF($E128="Choice Band",1.5,IF(OR($E128="Mawilite",$E128="Medichamite",$E128="Thick Club"),2,1)))</f>
        <v>99</v>
      </c>
      <c r="AD128" s="84">
        <f>INT(INT((INT((2*VLOOKUP($C128,DexData,7,0)+INT(S128/4)+M128)/2)+5)*X128)*IF($E128="Eviolite",1.5,1))</f>
        <v>40</v>
      </c>
      <c r="AE128" s="84">
        <f>INT(INT((INT((2*VLOOKUP($C128,DexData,9,0)+INT(T128/4)+N128)/2)+5)*Y128)*IF($E128="Choice Specs",1.5,1))</f>
        <v>58</v>
      </c>
      <c r="AF128" s="84">
        <f>INT(INT((INT((2*VLOOKUP($C128,DexData,10,0)+INT(U128/4)+O128)/2)+5)*Z128)*IF(OR($E128="Eviolite",$E128="Assault Vest"),1.5,1))</f>
        <v>35</v>
      </c>
      <c r="AG128" s="84">
        <f>INT(INT((INT((2*VLOOKUP($C128,DexData,11,0)+INT(V128/4)+P128)/2)+5)*AA128)*IF($E128="Choice Scarf",1.5,IF($E128="Iron Ball",0.5,1)))</f>
        <v>130</v>
      </c>
      <c r="AH128" s="84" t="str">
        <f>VLOOKUP(VLOOKUP($C128,DexData,3,0),Aliases!D$2:E$19,2,0)&amp;IFERROR("/"&amp;VLOOKUP(VLOOKUP($C128,DexData,4,0),Aliases!D$2:E$19,2,0),"")</f>
        <v>WTR</v>
      </c>
      <c r="AI128" s="7">
        <v>3.0</v>
      </c>
      <c r="AJ128" s="7">
        <f>IF(VLOOKUP(B128,'Set Odds'!A$2:AN$1067,40,0),1,IF(VLOOKUP(B128,'Set Odds'!A$2:AO$1067,41,0),2,0))</f>
        <v>0</v>
      </c>
      <c r="AK128" s="7"/>
      <c r="AL128" s="7" t="str">
        <f t="shared" si="1"/>
        <v/>
      </c>
    </row>
    <row r="129" ht="12.75" customHeight="1">
      <c r="A129" s="86">
        <v>128.0</v>
      </c>
      <c r="B129" s="84" t="s">
        <v>3032</v>
      </c>
      <c r="C129" s="7" t="s">
        <v>3033</v>
      </c>
      <c r="D129" s="7" t="s">
        <v>2629</v>
      </c>
      <c r="E129" s="7" t="s">
        <v>2724</v>
      </c>
      <c r="F129" s="84" t="s">
        <v>2588</v>
      </c>
      <c r="G129" s="84" t="s">
        <v>2620</v>
      </c>
      <c r="H129" s="84" t="s">
        <v>2802</v>
      </c>
      <c r="I129" s="84" t="s">
        <v>2688</v>
      </c>
      <c r="J129" s="7" t="s">
        <v>3034</v>
      </c>
      <c r="K129" s="7">
        <v>31.0</v>
      </c>
      <c r="L129" s="7">
        <v>31.0</v>
      </c>
      <c r="M129" s="7">
        <v>0.0</v>
      </c>
      <c r="N129" s="7">
        <v>0.0</v>
      </c>
      <c r="O129" s="7">
        <v>0.0</v>
      </c>
      <c r="P129" s="7">
        <v>0.0</v>
      </c>
      <c r="Q129" s="7">
        <v>108.0</v>
      </c>
      <c r="R129" s="7">
        <v>108.0</v>
      </c>
      <c r="S129" s="7">
        <v>0.0</v>
      </c>
      <c r="T129" s="7">
        <v>0.0</v>
      </c>
      <c r="U129" s="7">
        <v>0.0</v>
      </c>
      <c r="V129" s="7">
        <v>0.0</v>
      </c>
      <c r="W129" s="7">
        <f>VLOOKUP($D129,NatureChart,2,0)</f>
        <v>1.1</v>
      </c>
      <c r="X129" s="7">
        <f>VLOOKUP($D129,NatureChart,3,0)</f>
        <v>1</v>
      </c>
      <c r="Y129" s="7">
        <f>VLOOKUP($D129,NatureChart,4,0)</f>
        <v>1</v>
      </c>
      <c r="Z129" s="7">
        <f>VLOOKUP($D129,NatureChart,5,0)</f>
        <v>1</v>
      </c>
      <c r="AA129" s="84">
        <f>VLOOKUP($D129,NatureChart,6,0)</f>
        <v>0.9</v>
      </c>
      <c r="AB129" s="84">
        <f>IF($C129="Shedinja",1,(INT((2*VLOOKUP($C129,DexData,5,0)+INT(Q129/4)+K129)/2)+60))</f>
        <v>157</v>
      </c>
      <c r="AC129" s="84">
        <f>INT(INT((INT((2*VLOOKUP($C129,DexData,6,0)+INT(R129/4)+L129)/2)+5)*W129)*IF($E129="Choice Band",1.5,IF(OR($E129="Mawilite",$E129="Medichamite",$E129="Thick Club"),2,1)))</f>
        <v>116</v>
      </c>
      <c r="AD129" s="84">
        <f>INT(INT((INT((2*VLOOKUP($C129,DexData,7,0)+INT(S129/4)+M129)/2)+5)*X129)*IF($E129="Eviolite",1.5,1))</f>
        <v>83</v>
      </c>
      <c r="AE129" s="84">
        <f>INT(INT((INT((2*VLOOKUP($C129,DexData,9,0)+INT(T129/4)+N129)/2)+5)*Y129)*IF($E129="Choice Specs",1.5,1))</f>
        <v>43</v>
      </c>
      <c r="AF129" s="84">
        <f>INT(INT((INT((2*VLOOKUP($C129,DexData,10,0)+INT(U129/4)+O129)/2)+5)*Z129)*IF(OR($E129="Eviolite",$E129="Assault Vest"),1.5,1))</f>
        <v>47</v>
      </c>
      <c r="AG129" s="84">
        <f>INT(INT((INT((2*VLOOKUP($C129,DexData,11,0)+INT(V129/4)+P129)/2)+5)*AA129)*IF($E129="Choice Scarf",1.5,IF($E129="Iron Ball",0.5,1)))</f>
        <v>33</v>
      </c>
      <c r="AH129" s="84" t="str">
        <f>VLOOKUP(VLOOKUP($C129,DexData,3,0),Aliases!D$2:E$19,2,0)&amp;IFERROR("/"&amp;VLOOKUP(VLOOKUP($C129,DexData,4,0),Aliases!D$2:E$19,2,0),"")</f>
        <v>GRD</v>
      </c>
      <c r="AI129" s="7">
        <v>3.0</v>
      </c>
      <c r="AJ129" s="7">
        <f>IF(VLOOKUP(B129,'Set Odds'!A$2:AN$1067,40,0),1,IF(VLOOKUP(B129,'Set Odds'!A$2:AO$1067,41,0),2,0))</f>
        <v>0</v>
      </c>
      <c r="AK129" s="7"/>
      <c r="AL129" s="7" t="str">
        <f t="shared" si="1"/>
        <v/>
      </c>
    </row>
    <row r="130" ht="12.75" customHeight="1">
      <c r="A130" s="86">
        <v>129.0</v>
      </c>
      <c r="B130" s="84" t="s">
        <v>3035</v>
      </c>
      <c r="C130" s="7" t="s">
        <v>3036</v>
      </c>
      <c r="D130" s="7" t="s">
        <v>2648</v>
      </c>
      <c r="E130" s="7" t="s">
        <v>3037</v>
      </c>
      <c r="F130" s="84" t="s">
        <v>3038</v>
      </c>
      <c r="G130" s="84" t="s">
        <v>2588</v>
      </c>
      <c r="H130" s="84" t="s">
        <v>2583</v>
      </c>
      <c r="I130" s="84" t="s">
        <v>3039</v>
      </c>
      <c r="J130" s="7" t="s">
        <v>2945</v>
      </c>
      <c r="K130" s="7">
        <v>31.0</v>
      </c>
      <c r="L130" s="7">
        <v>0.0</v>
      </c>
      <c r="M130" s="7">
        <v>31.0</v>
      </c>
      <c r="N130" s="7">
        <v>0.0</v>
      </c>
      <c r="O130" s="7">
        <v>0.0</v>
      </c>
      <c r="P130" s="7">
        <v>0.0</v>
      </c>
      <c r="Q130" s="7">
        <v>108.0</v>
      </c>
      <c r="R130" s="7">
        <v>0.0</v>
      </c>
      <c r="S130" s="7">
        <v>108.0</v>
      </c>
      <c r="T130" s="7">
        <v>0.0</v>
      </c>
      <c r="U130" s="7">
        <v>0.0</v>
      </c>
      <c r="V130" s="7">
        <v>0.0</v>
      </c>
      <c r="W130" s="7">
        <f>VLOOKUP($D130,NatureChart,2,0)</f>
        <v>1</v>
      </c>
      <c r="X130" s="7">
        <f>VLOOKUP($D130,NatureChart,3,0)</f>
        <v>1.1</v>
      </c>
      <c r="Y130" s="7">
        <f>VLOOKUP($D130,NatureChart,4,0)</f>
        <v>0.9</v>
      </c>
      <c r="Z130" s="7">
        <f>VLOOKUP($D130,NatureChart,5,0)</f>
        <v>1</v>
      </c>
      <c r="AA130" s="84">
        <f>VLOOKUP($D130,NatureChart,6,0)</f>
        <v>1</v>
      </c>
      <c r="AB130" s="84">
        <f>IF($C130="Shedinja",1,(INT((2*VLOOKUP($C130,DexData,5,0)+INT(Q130/4)+K130)/2)+60))</f>
        <v>129</v>
      </c>
      <c r="AC130" s="84">
        <f>INT(INT((INT((2*VLOOKUP($C130,DexData,6,0)+INT(R130/4)+L130)/2)+5)*W130)*IF($E130="Choice Band",1.5,IF(OR($E130="Mawilite",$E130="Medichamite",$E130="Thick Club"),2,1)))</f>
        <v>55</v>
      </c>
      <c r="AD130" s="84">
        <f>INT(INT((INT((2*VLOOKUP($C130,DexData,7,0)+INT(S130/4)+M130)/2)+5)*X130)*IF($E130="Eviolite",1.5,1))</f>
        <v>136</v>
      </c>
      <c r="AE130" s="84">
        <f>INT(INT((INT((2*VLOOKUP($C130,DexData,9,0)+INT(T130/4)+N130)/2)+5)*Y130)*IF($E130="Choice Specs",1.5,1))</f>
        <v>31</v>
      </c>
      <c r="AF130" s="84">
        <f>INT(INT((INT((2*VLOOKUP($C130,DexData,10,0)+INT(U130/4)+O130)/2)+5)*Z130)*IF(OR($E130="Eviolite",$E130="Assault Vest"),1.5,1))</f>
        <v>60</v>
      </c>
      <c r="AG130" s="84">
        <f>INT(INT((INT((2*VLOOKUP($C130,DexData,11,0)+INT(V130/4)+P130)/2)+5)*AA130)*IF($E130="Choice Scarf",1.5,IF($E130="Iron Ball",0.5,1)))</f>
        <v>70</v>
      </c>
      <c r="AH130" s="84" t="str">
        <f>VLOOKUP(VLOOKUP($C130,DexData,3,0),Aliases!D$2:E$19,2,0)&amp;IFERROR("/"&amp;VLOOKUP(VLOOKUP($C130,DexData,4,0),Aliases!D$2:E$19,2,0),"")</f>
        <v>PSN/BUG</v>
      </c>
      <c r="AI130" s="7">
        <v>3.0</v>
      </c>
      <c r="AJ130" s="7">
        <f>IF(VLOOKUP(B130,'Set Odds'!A$2:AN$1067,40,0),1,IF(VLOOKUP(B130,'Set Odds'!A$2:AO$1067,41,0),2,0))</f>
        <v>0</v>
      </c>
      <c r="AK130" s="7"/>
      <c r="AL130" s="7" t="str">
        <f t="shared" si="1"/>
        <v/>
      </c>
    </row>
    <row r="131" ht="12.75" customHeight="1">
      <c r="A131" s="86">
        <v>130.0</v>
      </c>
      <c r="B131" s="84" t="s">
        <v>3040</v>
      </c>
      <c r="C131" s="7" t="s">
        <v>3041</v>
      </c>
      <c r="D131" s="7" t="s">
        <v>2656</v>
      </c>
      <c r="E131" s="7" t="s">
        <v>3042</v>
      </c>
      <c r="F131" s="84" t="s">
        <v>2607</v>
      </c>
      <c r="G131" s="84" t="s">
        <v>2681</v>
      </c>
      <c r="H131" s="84" t="s">
        <v>2848</v>
      </c>
      <c r="I131" s="84" t="s">
        <v>3043</v>
      </c>
      <c r="J131" s="7" t="s">
        <v>3028</v>
      </c>
      <c r="K131" s="7">
        <v>31.0</v>
      </c>
      <c r="L131" s="7">
        <v>0.0</v>
      </c>
      <c r="M131" s="7">
        <v>0.0</v>
      </c>
      <c r="N131" s="7">
        <v>31.0</v>
      </c>
      <c r="O131" s="7">
        <v>0.0</v>
      </c>
      <c r="P131" s="7">
        <v>0.0</v>
      </c>
      <c r="Q131" s="7">
        <v>108.0</v>
      </c>
      <c r="R131" s="7">
        <v>0.0</v>
      </c>
      <c r="S131" s="7">
        <v>0.0</v>
      </c>
      <c r="T131" s="7">
        <v>108.0</v>
      </c>
      <c r="U131" s="7">
        <v>0.0</v>
      </c>
      <c r="V131" s="7">
        <v>0.0</v>
      </c>
      <c r="W131" s="7">
        <f>VLOOKUP($D131,NatureChart,2,0)</f>
        <v>0.9</v>
      </c>
      <c r="X131" s="7">
        <f>VLOOKUP($D131,NatureChart,3,0)</f>
        <v>1</v>
      </c>
      <c r="Y131" s="7">
        <f>VLOOKUP($D131,NatureChart,4,0)</f>
        <v>1.1</v>
      </c>
      <c r="Z131" s="7">
        <f>VLOOKUP($D131,NatureChart,5,0)</f>
        <v>1</v>
      </c>
      <c r="AA131" s="84">
        <f>VLOOKUP($D131,NatureChart,6,0)</f>
        <v>1</v>
      </c>
      <c r="AB131" s="84">
        <f>IF($C131="Shedinja",1,(INT((2*VLOOKUP($C131,DexData,5,0)+INT(Q131/4)+K131)/2)+60))</f>
        <v>138</v>
      </c>
      <c r="AC131" s="84">
        <f>INT(INT((INT((2*VLOOKUP($C131,DexData,6,0)+INT(R131/4)+L131)/2)+5)*W131)*IF($E131="Choice Band",1.5,IF(OR($E131="Mawilite",$E131="Medichamite",$E131="Thick Club"),2,1)))</f>
        <v>48</v>
      </c>
      <c r="AD131" s="84">
        <f>INT(INT((INT((2*VLOOKUP($C131,DexData,7,0)+INT(S131/4)+M131)/2)+5)*X131)*IF($E131="Eviolite",1.5,1))</f>
        <v>61</v>
      </c>
      <c r="AE131" s="84">
        <f>INT(INT((INT((2*VLOOKUP($C131,DexData,9,0)+INT(T131/4)+N131)/2)+5)*Y131)*IF($E131="Choice Specs",1.5,1))</f>
        <v>91</v>
      </c>
      <c r="AF131" s="84">
        <f>INT(INT((INT((2*VLOOKUP($C131,DexData,10,0)+INT(U131/4)+O131)/2)+5)*Z131)*IF(OR($E131="Eviolite",$E131="Assault Vest"),1.5,1))</f>
        <v>66</v>
      </c>
      <c r="AG131" s="84">
        <f>INT(INT((INT((2*VLOOKUP($C131,DexData,11,0)+INT(V131/4)+P131)/2)+5)*AA131)*IF($E131="Choice Scarf",1.5,IF($E131="Iron Ball",0.5,1)))</f>
        <v>71</v>
      </c>
      <c r="AH131" s="84" t="str">
        <f>VLOOKUP(VLOOKUP($C131,DexData,3,0),Aliases!D$2:E$19,2,0)&amp;IFERROR("/"&amp;VLOOKUP(VLOOKUP($C131,DexData,4,0),Aliases!D$2:E$19,2,0),"")</f>
        <v>WTR</v>
      </c>
      <c r="AI131" s="7">
        <v>3.0</v>
      </c>
      <c r="AJ131" s="7">
        <f>IF(VLOOKUP(B131,'Set Odds'!A$2:AN$1067,40,0),1,IF(VLOOKUP(B131,'Set Odds'!A$2:AO$1067,41,0),2,0))</f>
        <v>0</v>
      </c>
      <c r="AK131" s="7"/>
      <c r="AL131" s="7" t="str">
        <f t="shared" si="1"/>
        <v/>
      </c>
    </row>
    <row r="132" ht="12.75" customHeight="1">
      <c r="A132" s="86">
        <v>131.0</v>
      </c>
      <c r="B132" s="84" t="s">
        <v>3044</v>
      </c>
      <c r="C132" s="7" t="s">
        <v>3045</v>
      </c>
      <c r="D132" s="7" t="s">
        <v>2811</v>
      </c>
      <c r="E132" s="7" t="s">
        <v>3046</v>
      </c>
      <c r="F132" s="84" t="s">
        <v>2572</v>
      </c>
      <c r="G132" s="84" t="s">
        <v>2785</v>
      </c>
      <c r="H132" s="84" t="s">
        <v>3047</v>
      </c>
      <c r="I132" s="84" t="s">
        <v>3048</v>
      </c>
      <c r="J132" s="7" t="s">
        <v>3049</v>
      </c>
      <c r="K132" s="7">
        <v>31.0</v>
      </c>
      <c r="L132" s="7">
        <v>0.0</v>
      </c>
      <c r="M132" s="7">
        <v>31.0</v>
      </c>
      <c r="N132" s="7">
        <v>0.0</v>
      </c>
      <c r="O132" s="7">
        <v>0.0</v>
      </c>
      <c r="P132" s="7">
        <v>0.0</v>
      </c>
      <c r="Q132" s="7">
        <v>108.0</v>
      </c>
      <c r="R132" s="7">
        <v>0.0</v>
      </c>
      <c r="S132" s="7">
        <v>108.0</v>
      </c>
      <c r="T132" s="7">
        <v>0.0</v>
      </c>
      <c r="U132" s="7">
        <v>0.0</v>
      </c>
      <c r="V132" s="7">
        <v>0.0</v>
      </c>
      <c r="W132" s="7">
        <f>VLOOKUP($D132,NatureChart,2,0)</f>
        <v>1</v>
      </c>
      <c r="X132" s="7">
        <f>VLOOKUP($D132,NatureChart,3,0)</f>
        <v>1.1</v>
      </c>
      <c r="Y132" s="7">
        <f>VLOOKUP($D132,NatureChart,4,0)</f>
        <v>1</v>
      </c>
      <c r="Z132" s="7">
        <f>VLOOKUP($D132,NatureChart,5,0)</f>
        <v>1</v>
      </c>
      <c r="AA132" s="84">
        <f>VLOOKUP($D132,NatureChart,6,0)</f>
        <v>0.9</v>
      </c>
      <c r="AB132" s="84">
        <f>IF($C132="Shedinja",1,(INT((2*VLOOKUP($C132,DexData,5,0)+INT(Q132/4)+K132)/2)+60))</f>
        <v>149</v>
      </c>
      <c r="AC132" s="84">
        <f>INT(INT((INT((2*VLOOKUP($C132,DexData,6,0)+INT(R132/4)+L132)/2)+5)*W132)*IF($E132="Choice Band",1.5,IF(OR($E132="Mawilite",$E132="Medichamite",$E132="Thick Club"),2,1)))</f>
        <v>67</v>
      </c>
      <c r="AD132" s="84">
        <f>INT(INT((INT((2*VLOOKUP($C132,DexData,7,0)+INT(S132/4)+M132)/2)+5)*X132)*IF($E132="Eviolite",1.5,1))</f>
        <v>92</v>
      </c>
      <c r="AE132" s="84">
        <f>INT(INT((INT((2*VLOOKUP($C132,DexData,9,0)+INT(T132/4)+N132)/2)+5)*Y132)*IF($E132="Choice Specs",1.5,1))</f>
        <v>67</v>
      </c>
      <c r="AF132" s="84">
        <f>INT(INT((INT((2*VLOOKUP($C132,DexData,10,0)+INT(U132/4)+O132)/2)+5)*Z132)*IF(OR($E132="Eviolite",$E132="Assault Vest"),1.5,1))</f>
        <v>65</v>
      </c>
      <c r="AG132" s="84">
        <f>INT(INT((INT((2*VLOOKUP($C132,DexData,11,0)+INT(V132/4)+P132)/2)+5)*AA132)*IF($E132="Choice Scarf",1.5,IF($E132="Iron Ball",0.5,1)))</f>
        <v>40</v>
      </c>
      <c r="AH132" s="84" t="str">
        <f>VLOOKUP(VLOOKUP($C132,DexData,3,0),Aliases!D$2:E$19,2,0)&amp;IFERROR("/"&amp;VLOOKUP(VLOOKUP($C132,DexData,4,0),Aliases!D$2:E$19,2,0),"")</f>
        <v>GRS/ICE</v>
      </c>
      <c r="AI132" s="7">
        <v>3.0</v>
      </c>
      <c r="AJ132" s="7">
        <f>IF(VLOOKUP(B132,'Set Odds'!A$2:AN$1067,40,0),1,IF(VLOOKUP(B132,'Set Odds'!A$2:AO$1067,41,0),2,0))</f>
        <v>0</v>
      </c>
      <c r="AK132" s="7"/>
      <c r="AL132" s="7" t="str">
        <f t="shared" si="1"/>
        <v/>
      </c>
    </row>
    <row r="133" ht="12.75" customHeight="1">
      <c r="A133" s="86">
        <v>132.0</v>
      </c>
      <c r="B133" s="84" t="s">
        <v>3050</v>
      </c>
      <c r="C133" s="7" t="s">
        <v>3051</v>
      </c>
      <c r="D133" s="7" t="s">
        <v>2656</v>
      </c>
      <c r="E133" s="7" t="s">
        <v>2936</v>
      </c>
      <c r="F133" s="84" t="s">
        <v>2643</v>
      </c>
      <c r="G133" s="84" t="s">
        <v>2937</v>
      </c>
      <c r="H133" s="84" t="s">
        <v>3052</v>
      </c>
      <c r="I133" s="84" t="s">
        <v>2900</v>
      </c>
      <c r="J133" s="7" t="s">
        <v>3053</v>
      </c>
      <c r="K133" s="7">
        <v>0.0</v>
      </c>
      <c r="L133" s="7">
        <v>0.0</v>
      </c>
      <c r="M133" s="7">
        <v>0.0</v>
      </c>
      <c r="N133" s="7">
        <v>31.0</v>
      </c>
      <c r="O133" s="7">
        <v>0.0</v>
      </c>
      <c r="P133" s="7">
        <v>31.0</v>
      </c>
      <c r="Q133" s="7">
        <v>0.0</v>
      </c>
      <c r="R133" s="7">
        <v>0.0</v>
      </c>
      <c r="S133" s="7">
        <v>0.0</v>
      </c>
      <c r="T133" s="7">
        <v>108.0</v>
      </c>
      <c r="U133" s="7">
        <v>0.0</v>
      </c>
      <c r="V133" s="7">
        <v>108.0</v>
      </c>
      <c r="W133" s="7">
        <f>VLOOKUP($D133,NatureChart,2,0)</f>
        <v>0.9</v>
      </c>
      <c r="X133" s="7">
        <f>VLOOKUP($D133,NatureChart,3,0)</f>
        <v>1</v>
      </c>
      <c r="Y133" s="7">
        <f>VLOOKUP($D133,NatureChart,4,0)</f>
        <v>1.1</v>
      </c>
      <c r="Z133" s="7">
        <f>VLOOKUP($D133,NatureChart,5,0)</f>
        <v>1</v>
      </c>
      <c r="AA133" s="84">
        <f>VLOOKUP($D133,NatureChart,6,0)</f>
        <v>1</v>
      </c>
      <c r="AB133" s="84">
        <f>IF($C133="Shedinja",1,(INT((2*VLOOKUP($C133,DexData,5,0)+INT(Q133/4)+K133)/2)+60))</f>
        <v>100</v>
      </c>
      <c r="AC133" s="84">
        <f>INT(INT((INT((2*VLOOKUP($C133,DexData,6,0)+INT(R133/4)+L133)/2)+5)*W133)*IF($E133="Choice Band",1.5,IF(OR($E133="Mawilite",$E133="Medichamite",$E133="Thick Club"),2,1)))</f>
        <v>40</v>
      </c>
      <c r="AD133" s="84">
        <f>INT(INT((INT((2*VLOOKUP($C133,DexData,7,0)+INT(S133/4)+M133)/2)+5)*X133)*IF($E133="Eviolite",1.5,1))</f>
        <v>40</v>
      </c>
      <c r="AE133" s="84">
        <f>INT(INT((INT((2*VLOOKUP($C133,DexData,9,0)+INT(T133/4)+N133)/2)+5)*Y133)*IF($E133="Choice Specs",1.5,1))</f>
        <v>92</v>
      </c>
      <c r="AF133" s="84">
        <f>INT(INT((INT((2*VLOOKUP($C133,DexData,10,0)+INT(U133/4)+O133)/2)+5)*Z133)*IF(OR($E133="Eviolite",$E133="Assault Vest"),1.5,1))</f>
        <v>105</v>
      </c>
      <c r="AG133" s="84">
        <f>INT(INT((INT((2*VLOOKUP($C133,DexData,11,0)+INT(V133/4)+P133)/2)+5)*AA133)*IF($E133="Choice Scarf",1.5,IF($E133="Iron Ball",0.5,1)))</f>
        <v>104</v>
      </c>
      <c r="AH133" s="84" t="str">
        <f>VLOOKUP(VLOOKUP($C133,DexData,3,0),Aliases!D$2:E$19,2,0)&amp;IFERROR("/"&amp;VLOOKUP(VLOOKUP($C133,DexData,4,0),Aliases!D$2:E$19,2,0),"")</f>
        <v>WTR/PSN</v>
      </c>
      <c r="AI133" s="7">
        <v>3.0</v>
      </c>
      <c r="AJ133" s="7">
        <f>IF(VLOOKUP(B133,'Set Odds'!A$2:AN$1067,40,0),1,IF(VLOOKUP(B133,'Set Odds'!A$2:AO$1067,41,0),2,0))</f>
        <v>0</v>
      </c>
      <c r="AK133" s="7"/>
      <c r="AL133" s="7" t="str">
        <f t="shared" si="1"/>
        <v/>
      </c>
    </row>
    <row r="134" ht="12.75" customHeight="1">
      <c r="A134" s="86">
        <v>133.0</v>
      </c>
      <c r="B134" s="84" t="s">
        <v>3054</v>
      </c>
      <c r="C134" s="7" t="s">
        <v>3055</v>
      </c>
      <c r="D134" s="7" t="s">
        <v>2571</v>
      </c>
      <c r="E134" s="7" t="s">
        <v>2636</v>
      </c>
      <c r="F134" s="84" t="s">
        <v>3056</v>
      </c>
      <c r="G134" s="84" t="s">
        <v>3057</v>
      </c>
      <c r="H134" s="84" t="s">
        <v>3058</v>
      </c>
      <c r="I134" s="84" t="s">
        <v>2620</v>
      </c>
      <c r="J134" s="7" t="s">
        <v>3059</v>
      </c>
      <c r="K134" s="7">
        <v>0.0</v>
      </c>
      <c r="L134" s="7">
        <v>31.0</v>
      </c>
      <c r="M134" s="7">
        <v>0.0</v>
      </c>
      <c r="N134" s="7">
        <v>0.0</v>
      </c>
      <c r="O134" s="7">
        <v>0.0</v>
      </c>
      <c r="P134" s="7">
        <v>31.0</v>
      </c>
      <c r="Q134" s="7">
        <v>0.0</v>
      </c>
      <c r="R134" s="7">
        <v>108.0</v>
      </c>
      <c r="S134" s="7">
        <v>0.0</v>
      </c>
      <c r="T134" s="7">
        <v>0.0</v>
      </c>
      <c r="U134" s="7">
        <v>0.0</v>
      </c>
      <c r="V134" s="7">
        <v>108.0</v>
      </c>
      <c r="W134" s="7">
        <f>VLOOKUP($D134,NatureChart,2,0)</f>
        <v>1.1</v>
      </c>
      <c r="X134" s="7">
        <f>VLOOKUP($D134,NatureChart,3,0)</f>
        <v>1</v>
      </c>
      <c r="Y134" s="7">
        <f>VLOOKUP($D134,NatureChart,4,0)</f>
        <v>0.9</v>
      </c>
      <c r="Z134" s="7">
        <f>VLOOKUP($D134,NatureChart,5,0)</f>
        <v>1</v>
      </c>
      <c r="AA134" s="84">
        <f>VLOOKUP($D134,NatureChart,6,0)</f>
        <v>1</v>
      </c>
      <c r="AB134" s="84">
        <f>IF($C134="Shedinja",1,(INT((2*VLOOKUP($C134,DexData,5,0)+INT(Q134/4)+K134)/2)+60))</f>
        <v>110</v>
      </c>
      <c r="AC134" s="84">
        <f>INT(INT((INT((2*VLOOKUP($C134,DexData,6,0)+INT(R134/4)+L134)/2)+5)*W134)*IF($E134="Choice Band",1.5,IF(OR($E134="Mawilite",$E134="Medichamite",$E134="Thick Club"),2,1)))</f>
        <v>130</v>
      </c>
      <c r="AD134" s="84">
        <f>INT(INT((INT((2*VLOOKUP($C134,DexData,7,0)+INT(S134/4)+M134)/2)+5)*X134)*IF($E134="Eviolite",1.5,1))</f>
        <v>45</v>
      </c>
      <c r="AE134" s="84">
        <f>INT(INT((INT((2*VLOOKUP($C134,DexData,9,0)+INT(T134/4)+N134)/2)+5)*Y134)*IF($E134="Choice Specs",1.5,1))</f>
        <v>81</v>
      </c>
      <c r="AF134" s="84">
        <f>INT(INT((INT((2*VLOOKUP($C134,DexData,10,0)+INT(U134/4)+O134)/2)+5)*Z134)*IF(OR($E134="Eviolite",$E134="Assault Vest"),1.5,1))</f>
        <v>45</v>
      </c>
      <c r="AG134" s="84">
        <f>INT(INT((INT((2*VLOOKUP($C134,DexData,11,0)+INT(V134/4)+P134)/2)+5)*AA134)*IF($E134="Choice Scarf",1.5,IF($E134="Iron Ball",0.5,1)))</f>
        <v>69</v>
      </c>
      <c r="AH134" s="84" t="str">
        <f>VLOOKUP(VLOOKUP($C134,DexData,3,0),Aliases!D$2:E$19,2,0)&amp;IFERROR("/"&amp;VLOOKUP(VLOOKUP($C134,DexData,4,0),Aliases!D$2:E$19,2,0),"")</f>
        <v>GRS</v>
      </c>
      <c r="AI134" s="7">
        <v>3.0</v>
      </c>
      <c r="AJ134" s="7">
        <f>IF(VLOOKUP(B134,'Set Odds'!A$2:AN$1067,40,0),1,IF(VLOOKUP(B134,'Set Odds'!A$2:AO$1067,41,0),2,0))</f>
        <v>0</v>
      </c>
      <c r="AK134" s="7"/>
      <c r="AL134" s="7" t="str">
        <f t="shared" si="1"/>
        <v/>
      </c>
    </row>
    <row r="135" ht="12.75" customHeight="1">
      <c r="A135" s="86">
        <v>134.0</v>
      </c>
      <c r="B135" s="84" t="s">
        <v>3060</v>
      </c>
      <c r="C135" s="7" t="s">
        <v>3061</v>
      </c>
      <c r="D135" s="7" t="s">
        <v>2571</v>
      </c>
      <c r="E135" s="7" t="s">
        <v>2993</v>
      </c>
      <c r="F135" s="84" t="s">
        <v>2971</v>
      </c>
      <c r="G135" s="84" t="s">
        <v>2582</v>
      </c>
      <c r="H135" s="84" t="s">
        <v>3062</v>
      </c>
      <c r="I135" s="84" t="s">
        <v>3063</v>
      </c>
      <c r="J135" s="7" t="s">
        <v>2714</v>
      </c>
      <c r="K135" s="7">
        <v>31.0</v>
      </c>
      <c r="L135" s="7">
        <v>31.0</v>
      </c>
      <c r="M135" s="7">
        <v>0.0</v>
      </c>
      <c r="N135" s="7">
        <v>0.0</v>
      </c>
      <c r="O135" s="7">
        <v>0.0</v>
      </c>
      <c r="P135" s="7">
        <v>0.0</v>
      </c>
      <c r="Q135" s="7">
        <v>108.0</v>
      </c>
      <c r="R135" s="7">
        <v>108.0</v>
      </c>
      <c r="S135" s="7">
        <v>0.0</v>
      </c>
      <c r="T135" s="7">
        <v>0.0</v>
      </c>
      <c r="U135" s="7">
        <v>0.0</v>
      </c>
      <c r="V135" s="7">
        <v>0.0</v>
      </c>
      <c r="W135" s="7">
        <f>VLOOKUP($D135,NatureChart,2,0)</f>
        <v>1.1</v>
      </c>
      <c r="X135" s="7">
        <f>VLOOKUP($D135,NatureChart,3,0)</f>
        <v>1</v>
      </c>
      <c r="Y135" s="7">
        <f>VLOOKUP($D135,NatureChart,4,0)</f>
        <v>0.9</v>
      </c>
      <c r="Z135" s="7">
        <f>VLOOKUP($D135,NatureChart,5,0)</f>
        <v>1</v>
      </c>
      <c r="AA135" s="84">
        <f>VLOOKUP($D135,NatureChart,6,0)</f>
        <v>1</v>
      </c>
      <c r="AB135" s="84">
        <f>IF($C135="Shedinja",1,(INT((2*VLOOKUP($C135,DexData,5,0)+INT(Q135/4)+K135)/2)+60))</f>
        <v>129</v>
      </c>
      <c r="AC135" s="84">
        <f>INT(INT((INT((2*VLOOKUP($C135,DexData,6,0)+INT(R135/4)+L135)/2)+5)*W135)*IF($E135="Choice Band",1.5,IF(OR($E135="Mawilite",$E135="Medichamite",$E135="Thick Club"),2,1)))</f>
        <v>108</v>
      </c>
      <c r="AD135" s="84">
        <f>INT(INT((INT((2*VLOOKUP($C135,DexData,7,0)+INT(S135/4)+M135)/2)+5)*X135)*IF($E135="Eviolite",1.5,1))</f>
        <v>100</v>
      </c>
      <c r="AE135" s="84">
        <f>INT(INT((INT((2*VLOOKUP($C135,DexData,9,0)+INT(T135/4)+N135)/2)+5)*Y135)*IF($E135="Choice Specs",1.5,1))</f>
        <v>58</v>
      </c>
      <c r="AF135" s="84">
        <f>INT(INT((INT((2*VLOOKUP($C135,DexData,10,0)+INT(U135/4)+O135)/2)+5)*Z135)*IF(OR($E135="Eviolite",$E135="Assault Vest"),1.5,1))</f>
        <v>50</v>
      </c>
      <c r="AG135" s="84">
        <f>INT(INT((INT((2*VLOOKUP($C135,DexData,11,0)+INT(V135/4)+P135)/2)+5)*AA135)*IF($E135="Choice Scarf",1.5,IF($E135="Iron Ball",0.5,1)))</f>
        <v>40</v>
      </c>
      <c r="AH135" s="84" t="str">
        <f>VLOOKUP(VLOOKUP($C135,DexData,3,0),Aliases!D$2:E$19,2,0)&amp;IFERROR("/"&amp;VLOOKUP(VLOOKUP($C135,DexData,4,0),Aliases!D$2:E$19,2,0),"")</f>
        <v>PSN</v>
      </c>
      <c r="AI135" s="7">
        <v>3.0</v>
      </c>
      <c r="AJ135" s="7">
        <f>IF(VLOOKUP(B135,'Set Odds'!A$2:AN$1067,40,0),1,IF(VLOOKUP(B135,'Set Odds'!A$2:AO$1067,41,0),2,0))</f>
        <v>0</v>
      </c>
      <c r="AK135" s="7"/>
      <c r="AL135" s="7" t="str">
        <f t="shared" si="1"/>
        <v/>
      </c>
    </row>
    <row r="136" ht="12.75" customHeight="1">
      <c r="A136" s="86">
        <v>135.0</v>
      </c>
      <c r="B136" s="84" t="s">
        <v>3064</v>
      </c>
      <c r="C136" s="7" t="s">
        <v>3065</v>
      </c>
      <c r="D136" s="7" t="s">
        <v>2656</v>
      </c>
      <c r="E136" s="7" t="s">
        <v>2828</v>
      </c>
      <c r="F136" s="84" t="s">
        <v>2967</v>
      </c>
      <c r="G136" s="84" t="s">
        <v>2530</v>
      </c>
      <c r="H136" s="84" t="s">
        <v>2601</v>
      </c>
      <c r="I136" s="84" t="s">
        <v>2596</v>
      </c>
      <c r="J136" s="7" t="s">
        <v>3066</v>
      </c>
      <c r="K136" s="7">
        <v>0.0</v>
      </c>
      <c r="L136" s="7">
        <v>0.0</v>
      </c>
      <c r="M136" s="7">
        <v>0.0</v>
      </c>
      <c r="N136" s="7">
        <v>31.0</v>
      </c>
      <c r="O136" s="7">
        <v>0.0</v>
      </c>
      <c r="P136" s="7">
        <v>31.0</v>
      </c>
      <c r="Q136" s="7">
        <v>0.0</v>
      </c>
      <c r="R136" s="7">
        <v>0.0</v>
      </c>
      <c r="S136" s="7">
        <v>0.0</v>
      </c>
      <c r="T136" s="7">
        <v>108.0</v>
      </c>
      <c r="U136" s="7">
        <v>0.0</v>
      </c>
      <c r="V136" s="7">
        <v>108.0</v>
      </c>
      <c r="W136" s="7">
        <f>VLOOKUP($D136,NatureChart,2,0)</f>
        <v>0.9</v>
      </c>
      <c r="X136" s="7">
        <f>VLOOKUP($D136,NatureChart,3,0)</f>
        <v>1</v>
      </c>
      <c r="Y136" s="7">
        <f>VLOOKUP($D136,NatureChart,4,0)</f>
        <v>1.1</v>
      </c>
      <c r="Z136" s="7">
        <f>VLOOKUP($D136,NatureChart,5,0)</f>
        <v>1</v>
      </c>
      <c r="AA136" s="84">
        <f>VLOOKUP($D136,NatureChart,6,0)</f>
        <v>1</v>
      </c>
      <c r="AB136" s="84">
        <f>IF($C136="Shedinja",1,(INT((2*VLOOKUP($C136,DexData,5,0)+INT(Q136/4)+K136)/2)+60))</f>
        <v>90</v>
      </c>
      <c r="AC136" s="84">
        <f>INT(INT((INT((2*VLOOKUP($C136,DexData,6,0)+INT(R136/4)+L136)/2)+5)*W136)*IF($E136="Choice Band",1.5,IF(OR($E136="Mawilite",$E136="Medichamite",$E136="Thick Club"),2,1)))</f>
        <v>45</v>
      </c>
      <c r="AD136" s="84">
        <f>INT(INT((INT((2*VLOOKUP($C136,DexData,7,0)+INT(S136/4)+M136)/2)+5)*X136)*IF($E136="Eviolite",1.5,1))</f>
        <v>60</v>
      </c>
      <c r="AE136" s="84">
        <f>INT(INT((INT((2*VLOOKUP($C136,DexData,9,0)+INT(T136/4)+N136)/2)+5)*Y136)*IF($E136="Choice Specs",1.5,1))</f>
        <v>114</v>
      </c>
      <c r="AF136" s="84">
        <f>INT(INT((INT((2*VLOOKUP($C136,DexData,10,0)+INT(U136/4)+O136)/2)+5)*Z136)*IF(OR($E136="Eviolite",$E136="Assault Vest"),1.5,1))</f>
        <v>60</v>
      </c>
      <c r="AG136" s="84">
        <f>INT(INT((INT((2*VLOOKUP($C136,DexData,11,0)+INT(V136/4)+P136)/2)+5)*AA136)*IF($E136="Choice Scarf",1.5,IF($E136="Iron Ball",0.5,1)))</f>
        <v>119</v>
      </c>
      <c r="AH136" s="84" t="str">
        <f>VLOOKUP(VLOOKUP($C136,DexData,3,0),Aliases!D$2:E$19,2,0)&amp;IFERROR("/"&amp;VLOOKUP(VLOOKUP($C136,DexData,4,0),Aliases!D$2:E$19,2,0),"")</f>
        <v>WTR</v>
      </c>
      <c r="AI136" s="7">
        <v>3.0</v>
      </c>
      <c r="AJ136" s="7">
        <f>IF(VLOOKUP(B136,'Set Odds'!A$2:AN$1067,40,0),1,IF(VLOOKUP(B136,'Set Odds'!A$2:AO$1067,41,0),2,0))</f>
        <v>0</v>
      </c>
      <c r="AK136" s="7"/>
      <c r="AL136" s="7" t="str">
        <f t="shared" si="1"/>
        <v/>
      </c>
    </row>
    <row r="137" ht="12.75" customHeight="1">
      <c r="A137" s="86">
        <v>136.0</v>
      </c>
      <c r="B137" s="84" t="s">
        <v>3067</v>
      </c>
      <c r="C137" s="7" t="s">
        <v>3068</v>
      </c>
      <c r="D137" s="7" t="s">
        <v>2635</v>
      </c>
      <c r="E137" s="7" t="s">
        <v>2612</v>
      </c>
      <c r="F137" s="84" t="s">
        <v>2613</v>
      </c>
      <c r="G137" s="84" t="s">
        <v>2575</v>
      </c>
      <c r="H137" s="84" t="s">
        <v>3058</v>
      </c>
      <c r="I137" s="84" t="s">
        <v>2856</v>
      </c>
      <c r="J137" s="7" t="s">
        <v>2701</v>
      </c>
      <c r="K137" s="7">
        <v>31.0</v>
      </c>
      <c r="L137" s="7">
        <v>0.0</v>
      </c>
      <c r="M137" s="7">
        <v>0.0</v>
      </c>
      <c r="N137" s="7">
        <v>0.0</v>
      </c>
      <c r="O137" s="7">
        <v>0.0</v>
      </c>
      <c r="P137" s="7">
        <v>31.0</v>
      </c>
      <c r="Q137" s="7">
        <v>108.0</v>
      </c>
      <c r="R137" s="7">
        <v>0.0</v>
      </c>
      <c r="S137" s="7">
        <v>0.0</v>
      </c>
      <c r="T137" s="7">
        <v>0.0</v>
      </c>
      <c r="U137" s="7">
        <v>0.0</v>
      </c>
      <c r="V137" s="7">
        <v>108.0</v>
      </c>
      <c r="W137" s="7">
        <f>VLOOKUP($D137,NatureChart,2,0)</f>
        <v>0.9</v>
      </c>
      <c r="X137" s="7">
        <f>VLOOKUP($D137,NatureChart,3,0)</f>
        <v>1</v>
      </c>
      <c r="Y137" s="7">
        <f>VLOOKUP($D137,NatureChart,4,0)</f>
        <v>1</v>
      </c>
      <c r="Z137" s="7">
        <f>VLOOKUP($D137,NatureChart,5,0)</f>
        <v>1</v>
      </c>
      <c r="AA137" s="84">
        <f>VLOOKUP($D137,NatureChart,6,0)</f>
        <v>1.1</v>
      </c>
      <c r="AB137" s="84">
        <f>IF($C137="Shedinja",1,(INT((2*VLOOKUP($C137,DexData,5,0)+INT(Q137/4)+K137)/2)+60))</f>
        <v>144</v>
      </c>
      <c r="AC137" s="84">
        <f>INT(INT((INT((2*VLOOKUP($C137,DexData,6,0)+INT(R137/4)+L137)/2)+5)*W137)*IF($E137="Choice Band",1.5,IF(OR($E137="Mawilite",$E137="Medichamite",$E137="Thick Club"),2,1)))</f>
        <v>45</v>
      </c>
      <c r="AD137" s="84">
        <f>INT(INT((INT((2*VLOOKUP($C137,DexData,7,0)+INT(S137/4)+M137)/2)+5)*X137)*IF($E137="Eviolite",1.5,1))</f>
        <v>55</v>
      </c>
      <c r="AE137" s="84">
        <f>INT(INT((INT((2*VLOOKUP($C137,DexData,9,0)+INT(T137/4)+N137)/2)+5)*Y137)*IF($E137="Choice Specs",1.5,1))</f>
        <v>50</v>
      </c>
      <c r="AF137" s="84">
        <f>INT(INT((INT((2*VLOOKUP($C137,DexData,10,0)+INT(U137/4)+O137)/2)+5)*Z137)*IF(OR($E137="Eviolite",$E137="Assault Vest"),1.5,1))</f>
        <v>70</v>
      </c>
      <c r="AG137" s="84">
        <f>INT(INT((INT((2*VLOOKUP($C137,DexData,11,0)+INT(V137/4)+P137)/2)+5)*AA137)*IF($E137="Choice Scarf",1.5,IF($E137="Iron Ball",0.5,1)))</f>
        <v>125</v>
      </c>
      <c r="AH137" s="84" t="str">
        <f>VLOOKUP(VLOOKUP($C137,DexData,3,0),Aliases!D$2:E$19,2,0)&amp;IFERROR("/"&amp;VLOOKUP(VLOOKUP($C137,DexData,4,0),Aliases!D$2:E$19,2,0),"")</f>
        <v>GRS/FLY</v>
      </c>
      <c r="AI137" s="7">
        <v>3.0</v>
      </c>
      <c r="AJ137" s="7">
        <f>IF(VLOOKUP(B137,'Set Odds'!A$2:AN$1067,40,0),1,IF(VLOOKUP(B137,'Set Odds'!A$2:AO$1067,41,0),2,0))</f>
        <v>0</v>
      </c>
      <c r="AK137" s="7"/>
      <c r="AL137" s="7" t="str">
        <f t="shared" si="1"/>
        <v/>
      </c>
    </row>
    <row r="138" ht="12.75" customHeight="1">
      <c r="A138" s="86">
        <v>137.0</v>
      </c>
      <c r="B138" s="84" t="s">
        <v>3069</v>
      </c>
      <c r="C138" s="7" t="s">
        <v>3070</v>
      </c>
      <c r="D138" s="7" t="s">
        <v>2611</v>
      </c>
      <c r="E138" s="7" t="s">
        <v>3071</v>
      </c>
      <c r="F138" s="84" t="s">
        <v>2607</v>
      </c>
      <c r="G138" s="84" t="s">
        <v>2513</v>
      </c>
      <c r="H138" s="84" t="s">
        <v>2581</v>
      </c>
      <c r="I138" s="84" t="s">
        <v>3072</v>
      </c>
      <c r="J138" s="7" t="s">
        <v>3028</v>
      </c>
      <c r="K138" s="7">
        <v>31.0</v>
      </c>
      <c r="L138" s="7">
        <v>0.0</v>
      </c>
      <c r="M138" s="7">
        <v>0.0</v>
      </c>
      <c r="N138" s="7">
        <v>0.0</v>
      </c>
      <c r="O138" s="7">
        <v>0.0</v>
      </c>
      <c r="P138" s="7">
        <v>31.0</v>
      </c>
      <c r="Q138" s="7">
        <v>108.0</v>
      </c>
      <c r="R138" s="7">
        <v>0.0</v>
      </c>
      <c r="S138" s="7">
        <v>0.0</v>
      </c>
      <c r="T138" s="7">
        <v>0.0</v>
      </c>
      <c r="U138" s="7">
        <v>0.0</v>
      </c>
      <c r="V138" s="7">
        <v>108.0</v>
      </c>
      <c r="W138" s="7">
        <f>VLOOKUP($D138,NatureChart,2,0)</f>
        <v>1</v>
      </c>
      <c r="X138" s="7">
        <f>VLOOKUP($D138,NatureChart,3,0)</f>
        <v>1</v>
      </c>
      <c r="Y138" s="7">
        <f>VLOOKUP($D138,NatureChart,4,0)</f>
        <v>1</v>
      </c>
      <c r="Z138" s="7">
        <f>VLOOKUP($D138,NatureChart,5,0)</f>
        <v>1</v>
      </c>
      <c r="AA138" s="84">
        <f>VLOOKUP($D138,NatureChart,6,0)</f>
        <v>1</v>
      </c>
      <c r="AB138" s="84">
        <f>IF($C138="Shedinja",1,(INT((2*VLOOKUP($C138,DexData,5,0)+INT(Q138/4)+K138)/2)+60))</f>
        <v>149</v>
      </c>
      <c r="AC138" s="84">
        <f>INT(INT((INT((2*VLOOKUP($C138,DexData,6,0)+INT(R138/4)+L138)/2)+5)*W138)*IF($E138="Choice Band",1.5,IF(OR($E138="Mawilite",$E138="Medichamite",$E138="Thick Club"),2,1)))</f>
        <v>55</v>
      </c>
      <c r="AD138" s="84">
        <f>INT(INT((INT((2*VLOOKUP($C138,DexData,7,0)+INT(S138/4)+M138)/2)+5)*X138)*IF($E138="Eviolite",1.5,1))</f>
        <v>55</v>
      </c>
      <c r="AE138" s="84">
        <f>INT(INT((INT((2*VLOOKUP($C138,DexData,9,0)+INT(T138/4)+N138)/2)+5)*Y138)*IF($E138="Choice Specs",1.5,1))</f>
        <v>65</v>
      </c>
      <c r="AF138" s="84">
        <f>INT(INT((INT((2*VLOOKUP($C138,DexData,10,0)+INT(U138/4)+O138)/2)+5)*Z138)*IF(OR($E138="Eviolite",$E138="Assault Vest"),1.5,1))</f>
        <v>75</v>
      </c>
      <c r="AG138" s="84">
        <f>INT(INT((INT((2*VLOOKUP($C138,DexData,11,0)+INT(V138/4)+P138)/2)+5)*AA138)*IF($E138="Choice Scarf",1.5,IF($E138="Iron Ball",0.5,1)))</f>
        <v>84</v>
      </c>
      <c r="AH138" s="84" t="str">
        <f>VLOOKUP(VLOOKUP($C138,DexData,3,0),Aliases!D$2:E$19,2,0)&amp;IFERROR("/"&amp;VLOOKUP(VLOOKUP($C138,DexData,4,0),Aliases!D$2:E$19,2,0),"")</f>
        <v>WTR/GRS</v>
      </c>
      <c r="AI138" s="7">
        <v>3.0</v>
      </c>
      <c r="AJ138" s="7">
        <f>IF(VLOOKUP(B138,'Set Odds'!A$2:AN$1067,40,0),1,IF(VLOOKUP(B138,'Set Odds'!A$2:AO$1067,41,0),2,0))</f>
        <v>0</v>
      </c>
      <c r="AK138" s="7"/>
      <c r="AL138" s="7" t="str">
        <f t="shared" si="1"/>
        <v/>
      </c>
    </row>
    <row r="139" ht="12.75" customHeight="1">
      <c r="A139" s="86">
        <v>138.0</v>
      </c>
      <c r="B139" s="84" t="s">
        <v>3073</v>
      </c>
      <c r="C139" s="7" t="s">
        <v>3074</v>
      </c>
      <c r="D139" s="7" t="s">
        <v>2795</v>
      </c>
      <c r="E139" s="7" t="s">
        <v>2636</v>
      </c>
      <c r="F139" s="84" t="s">
        <v>2712</v>
      </c>
      <c r="G139" s="84" t="s">
        <v>2513</v>
      </c>
      <c r="H139" s="84" t="s">
        <v>2572</v>
      </c>
      <c r="I139" s="84" t="s">
        <v>2751</v>
      </c>
      <c r="J139" s="7" t="s">
        <v>2701</v>
      </c>
      <c r="K139" s="7">
        <v>31.0</v>
      </c>
      <c r="L139" s="7">
        <v>0.0</v>
      </c>
      <c r="M139" s="7">
        <v>0.0</v>
      </c>
      <c r="N139" s="7">
        <v>0.0</v>
      </c>
      <c r="O139" s="7">
        <v>0.0</v>
      </c>
      <c r="P139" s="7">
        <v>31.0</v>
      </c>
      <c r="Q139" s="7">
        <v>108.0</v>
      </c>
      <c r="R139" s="7">
        <v>0.0</v>
      </c>
      <c r="S139" s="7">
        <v>0.0</v>
      </c>
      <c r="T139" s="7">
        <v>0.0</v>
      </c>
      <c r="U139" s="7">
        <v>0.0</v>
      </c>
      <c r="V139" s="7">
        <v>108.0</v>
      </c>
      <c r="W139" s="7">
        <f>VLOOKUP($D139,NatureChart,2,0)</f>
        <v>1</v>
      </c>
      <c r="X139" s="7">
        <f>VLOOKUP($D139,NatureChart,3,0)</f>
        <v>1</v>
      </c>
      <c r="Y139" s="7">
        <f>VLOOKUP($D139,NatureChart,4,0)</f>
        <v>1</v>
      </c>
      <c r="Z139" s="7">
        <f>VLOOKUP($D139,NatureChart,5,0)</f>
        <v>1</v>
      </c>
      <c r="AA139" s="84">
        <f>VLOOKUP($D139,NatureChart,6,0)</f>
        <v>1</v>
      </c>
      <c r="AB139" s="84">
        <f>IF($C139="Shedinja",1,(INT((2*VLOOKUP($C139,DexData,5,0)+INT(Q139/4)+K139)/2)+60))</f>
        <v>159</v>
      </c>
      <c r="AC139" s="84">
        <f>INT(INT((INT((2*VLOOKUP($C139,DexData,6,0)+INT(R139/4)+L139)/2)+5)*W139)*IF($E139="Choice Band",1.5,IF(OR($E139="Mawilite",$E139="Medichamite",$E139="Thick Club"),2,1)))</f>
        <v>75</v>
      </c>
      <c r="AD139" s="84">
        <f>INT(INT((INT((2*VLOOKUP($C139,DexData,7,0)+INT(S139/4)+M139)/2)+5)*X139)*IF($E139="Eviolite",1.5,1))</f>
        <v>45</v>
      </c>
      <c r="AE139" s="84">
        <f>INT(INT((INT((2*VLOOKUP($C139,DexData,9,0)+INT(T139/4)+N139)/2)+5)*Y139)*IF($E139="Choice Specs",1.5,1))</f>
        <v>65</v>
      </c>
      <c r="AF139" s="84">
        <f>INT(INT((INT((2*VLOOKUP($C139,DexData,10,0)+INT(U139/4)+O139)/2)+5)*Z139)*IF(OR($E139="Eviolite",$E139="Assault Vest"),1.5,1))</f>
        <v>45</v>
      </c>
      <c r="AG139" s="84">
        <f>INT(INT((INT((2*VLOOKUP($C139,DexData,11,0)+INT(V139/4)+P139)/2)+5)*AA139)*IF($E139="Choice Scarf",1.5,IF($E139="Iron Ball",0.5,1)))</f>
        <v>94</v>
      </c>
      <c r="AH139" s="84" t="str">
        <f>VLOOKUP(VLOOKUP($C139,DexData,3,0),Aliases!D$2:E$19,2,0)&amp;IFERROR("/"&amp;VLOOKUP(VLOOKUP($C139,DexData,4,0),Aliases!D$2:E$19,2,0),"")</f>
        <v>GRS/DRK</v>
      </c>
      <c r="AI139" s="7">
        <v>3.0</v>
      </c>
      <c r="AJ139" s="7">
        <f>IF(VLOOKUP(B139,'Set Odds'!A$2:AN$1067,40,0),1,IF(VLOOKUP(B139,'Set Odds'!A$2:AO$1067,41,0),2,0))</f>
        <v>0</v>
      </c>
      <c r="AK139" s="7"/>
      <c r="AL139" s="7" t="str">
        <f t="shared" si="1"/>
        <v/>
      </c>
    </row>
    <row r="140" ht="12.75" customHeight="1">
      <c r="A140" s="86">
        <v>139.0</v>
      </c>
      <c r="B140" s="84" t="s">
        <v>3075</v>
      </c>
      <c r="C140" s="7" t="s">
        <v>3076</v>
      </c>
      <c r="D140" s="7" t="s">
        <v>2611</v>
      </c>
      <c r="E140" s="7" t="s">
        <v>3077</v>
      </c>
      <c r="F140" s="84" t="s">
        <v>2791</v>
      </c>
      <c r="G140" s="84" t="s">
        <v>2626</v>
      </c>
      <c r="H140" s="84" t="s">
        <v>2608</v>
      </c>
      <c r="I140" s="84" t="s">
        <v>2751</v>
      </c>
      <c r="J140" s="7" t="s">
        <v>2714</v>
      </c>
      <c r="K140" s="7">
        <v>31.0</v>
      </c>
      <c r="L140" s="7">
        <v>0.0</v>
      </c>
      <c r="M140" s="7">
        <v>0.0</v>
      </c>
      <c r="N140" s="7">
        <v>0.0</v>
      </c>
      <c r="O140" s="7">
        <v>0.0</v>
      </c>
      <c r="P140" s="7">
        <v>31.0</v>
      </c>
      <c r="Q140" s="7">
        <v>108.0</v>
      </c>
      <c r="R140" s="7">
        <v>0.0</v>
      </c>
      <c r="S140" s="7">
        <v>0.0</v>
      </c>
      <c r="T140" s="7">
        <v>0.0</v>
      </c>
      <c r="U140" s="7">
        <v>0.0</v>
      </c>
      <c r="V140" s="7">
        <v>108.0</v>
      </c>
      <c r="W140" s="7">
        <f>VLOOKUP($D140,NatureChart,2,0)</f>
        <v>1</v>
      </c>
      <c r="X140" s="7">
        <f>VLOOKUP($D140,NatureChart,3,0)</f>
        <v>1</v>
      </c>
      <c r="Y140" s="7">
        <f>VLOOKUP($D140,NatureChart,4,0)</f>
        <v>1</v>
      </c>
      <c r="Z140" s="7">
        <f>VLOOKUP($D140,NatureChart,5,0)</f>
        <v>1</v>
      </c>
      <c r="AA140" s="84">
        <f>VLOOKUP($D140,NatureChart,6,0)</f>
        <v>1</v>
      </c>
      <c r="AB140" s="84">
        <f>IF($C140="Shedinja",1,(INT((2*VLOOKUP($C140,DexData,5,0)+INT(Q140/4)+K140)/2)+60))</f>
        <v>139</v>
      </c>
      <c r="AC140" s="84">
        <f>INT(INT((INT((2*VLOOKUP($C140,DexData,6,0)+INT(R140/4)+L140)/2)+5)*W140)*IF($E140="Choice Band",1.5,IF(OR($E140="Mawilite",$E140="Medichamite",$E140="Thick Club"),2,1)))</f>
        <v>75</v>
      </c>
      <c r="AD140" s="84">
        <f>INT(INT((INT((2*VLOOKUP($C140,DexData,7,0)+INT(S140/4)+M140)/2)+5)*X140)*IF($E140="Eviolite",1.5,1))</f>
        <v>55</v>
      </c>
      <c r="AE140" s="84">
        <f>INT(INT((INT((2*VLOOKUP($C140,DexData,9,0)+INT(T140/4)+N140)/2)+5)*Y140)*IF($E140="Choice Specs",1.5,1))</f>
        <v>55</v>
      </c>
      <c r="AF140" s="84">
        <f>INT(INT((INT((2*VLOOKUP($C140,DexData,10,0)+INT(U140/4)+O140)/2)+5)*Z140)*IF(OR($E140="Eviolite",$E140="Assault Vest"),1.5,1))</f>
        <v>55</v>
      </c>
      <c r="AG140" s="84">
        <f>INT(INT((INT((2*VLOOKUP($C140,DexData,11,0)+INT(V140/4)+P140)/2)+5)*AA140)*IF($E140="Choice Scarf",1.5,IF($E140="Iron Ball",0.5,1)))</f>
        <v>104</v>
      </c>
      <c r="AH140" s="84" t="str">
        <f>VLOOKUP(VLOOKUP($C140,DexData,3,0),Aliases!D$2:E$19,2,0)&amp;IFERROR("/"&amp;VLOOKUP(VLOOKUP($C140,DexData,4,0),Aliases!D$2:E$19,2,0),"")</f>
        <v>GRD/DRG</v>
      </c>
      <c r="AI140" s="7">
        <v>3.0</v>
      </c>
      <c r="AJ140" s="7">
        <f>IF(VLOOKUP(B140,'Set Odds'!A$2:AN$1067,40,0),1,IF(VLOOKUP(B140,'Set Odds'!A$2:AO$1067,41,0),2,0))</f>
        <v>0</v>
      </c>
      <c r="AK140" s="7"/>
      <c r="AL140" s="7" t="str">
        <f t="shared" si="1"/>
        <v/>
      </c>
    </row>
    <row r="141" ht="12.75" customHeight="1">
      <c r="A141" s="86">
        <v>140.0</v>
      </c>
      <c r="B141" s="84" t="s">
        <v>3078</v>
      </c>
      <c r="C141" s="7" t="s">
        <v>3079</v>
      </c>
      <c r="D141" s="7" t="s">
        <v>2571</v>
      </c>
      <c r="E141" s="7" t="s">
        <v>3080</v>
      </c>
      <c r="F141" s="84" t="s">
        <v>2624</v>
      </c>
      <c r="G141" s="84" t="s">
        <v>2614</v>
      </c>
      <c r="H141" s="84" t="s">
        <v>3081</v>
      </c>
      <c r="I141" s="84" t="s">
        <v>2602</v>
      </c>
      <c r="J141" s="7" t="s">
        <v>2696</v>
      </c>
      <c r="K141" s="7">
        <v>0.0</v>
      </c>
      <c r="L141" s="7">
        <v>31.0</v>
      </c>
      <c r="M141" s="7">
        <v>0.0</v>
      </c>
      <c r="N141" s="7">
        <v>0.0</v>
      </c>
      <c r="O141" s="7">
        <v>0.0</v>
      </c>
      <c r="P141" s="7">
        <v>31.0</v>
      </c>
      <c r="Q141" s="7">
        <v>0.0</v>
      </c>
      <c r="R141" s="7">
        <v>108.0</v>
      </c>
      <c r="S141" s="7">
        <v>0.0</v>
      </c>
      <c r="T141" s="7">
        <v>0.0</v>
      </c>
      <c r="U141" s="7">
        <v>0.0</v>
      </c>
      <c r="V141" s="7">
        <v>108.0</v>
      </c>
      <c r="W141" s="7">
        <f>VLOOKUP($D141,NatureChart,2,0)</f>
        <v>1.1</v>
      </c>
      <c r="X141" s="7">
        <f>VLOOKUP($D141,NatureChart,3,0)</f>
        <v>1</v>
      </c>
      <c r="Y141" s="7">
        <f>VLOOKUP($D141,NatureChart,4,0)</f>
        <v>0.9</v>
      </c>
      <c r="Z141" s="7">
        <f>VLOOKUP($D141,NatureChart,5,0)</f>
        <v>1</v>
      </c>
      <c r="AA141" s="84">
        <f>VLOOKUP($D141,NatureChart,6,0)</f>
        <v>1</v>
      </c>
      <c r="AB141" s="84">
        <f>IF($C141="Shedinja",1,(INT((2*VLOOKUP($C141,DexData,5,0)+INT(Q141/4)+K141)/2)+60))</f>
        <v>115</v>
      </c>
      <c r="AC141" s="84">
        <f>INT(INT((INT((2*VLOOKUP($C141,DexData,6,0)+INT(R141/4)+L141)/2)+5)*W141)*IF($E141="Choice Band",1.5,IF(OR($E141="Mawilite",$E141="Medichamite",$E141="Thick Club"),2,1)))</f>
        <v>119</v>
      </c>
      <c r="AD141" s="84">
        <f>INT(INT((INT((2*VLOOKUP($C141,DexData,7,0)+INT(S141/4)+M141)/2)+5)*X141)*IF($E141="Eviolite",1.5,1))</f>
        <v>55</v>
      </c>
      <c r="AE141" s="84">
        <f>INT(INT((INT((2*VLOOKUP($C141,DexData,9,0)+INT(T141/4)+N141)/2)+5)*Y141)*IF($E141="Choice Specs",1.5,1))</f>
        <v>40</v>
      </c>
      <c r="AF141" s="84">
        <f>INT(INT((INT((2*VLOOKUP($C141,DexData,10,0)+INT(U141/4)+O141)/2)+5)*Z141)*IF(OR($E141="Eviolite",$E141="Assault Vest"),1.5,1))</f>
        <v>45</v>
      </c>
      <c r="AG141" s="84">
        <f>INT(INT((INT((2*VLOOKUP($C141,DexData,11,0)+INT(V141/4)+P141)/2)+5)*AA141)*IF($E141="Choice Scarf",1.5,IF($E141="Iron Ball",0.5,1)))</f>
        <v>114</v>
      </c>
      <c r="AH141" s="84" t="str">
        <f>VLOOKUP(VLOOKUP($C141,DexData,3,0),Aliases!D$2:E$19,2,0)&amp;IFERROR("/"&amp;VLOOKUP(VLOOKUP($C141,DexData,4,0),Aliases!D$2:E$19,2,0),"")</f>
        <v>NRM/FLY</v>
      </c>
      <c r="AI141" s="7">
        <v>3.0</v>
      </c>
      <c r="AJ141" s="7">
        <f>IF(VLOOKUP(B141,'Set Odds'!A$2:AN$1067,40,0),1,IF(VLOOKUP(B141,'Set Odds'!A$2:AO$1067,41,0),2,0))</f>
        <v>0</v>
      </c>
      <c r="AK141" s="7"/>
      <c r="AL141" s="7" t="str">
        <f t="shared" si="1"/>
        <v/>
      </c>
    </row>
    <row r="142" ht="12.75" customHeight="1">
      <c r="A142" s="86">
        <v>141.0</v>
      </c>
      <c r="B142" s="84" t="s">
        <v>3082</v>
      </c>
      <c r="C142" s="7" t="s">
        <v>3083</v>
      </c>
      <c r="D142" s="7" t="s">
        <v>2571</v>
      </c>
      <c r="E142" s="7" t="s">
        <v>2520</v>
      </c>
      <c r="F142" s="84" t="s">
        <v>2757</v>
      </c>
      <c r="G142" s="84" t="s">
        <v>2626</v>
      </c>
      <c r="H142" s="84" t="s">
        <v>2583</v>
      </c>
      <c r="I142" s="84" t="s">
        <v>2694</v>
      </c>
      <c r="J142" s="7" t="s">
        <v>2792</v>
      </c>
      <c r="K142" s="7">
        <v>0.0</v>
      </c>
      <c r="L142" s="7">
        <v>31.0</v>
      </c>
      <c r="M142" s="7">
        <v>0.0</v>
      </c>
      <c r="N142" s="7">
        <v>0.0</v>
      </c>
      <c r="O142" s="7">
        <v>0.0</v>
      </c>
      <c r="P142" s="7">
        <v>31.0</v>
      </c>
      <c r="Q142" s="7">
        <v>0.0</v>
      </c>
      <c r="R142" s="7">
        <v>108.0</v>
      </c>
      <c r="S142" s="7">
        <v>0.0</v>
      </c>
      <c r="T142" s="7">
        <v>0.0</v>
      </c>
      <c r="U142" s="7">
        <v>0.0</v>
      </c>
      <c r="V142" s="7">
        <v>108.0</v>
      </c>
      <c r="W142" s="7">
        <f>VLOOKUP($D142,NatureChart,2,0)</f>
        <v>1.1</v>
      </c>
      <c r="X142" s="7">
        <f>VLOOKUP($D142,NatureChart,3,0)</f>
        <v>1</v>
      </c>
      <c r="Y142" s="7">
        <f>VLOOKUP($D142,NatureChart,4,0)</f>
        <v>0.9</v>
      </c>
      <c r="Z142" s="7">
        <f>VLOOKUP($D142,NatureChart,5,0)</f>
        <v>1</v>
      </c>
      <c r="AA142" s="84">
        <f>VLOOKUP($D142,NatureChart,6,0)</f>
        <v>1</v>
      </c>
      <c r="AB142" s="84">
        <f>IF($C142="Shedinja",1,(INT((2*VLOOKUP($C142,DexData,5,0)+INT(Q142/4)+K142)/2)+60))</f>
        <v>140</v>
      </c>
      <c r="AC142" s="84">
        <f>INT(INT((INT((2*VLOOKUP($C142,DexData,6,0)+INT(R142/4)+L142)/2)+5)*W142)*IF($E142="Choice Band",1.5,IF(OR($E142="Mawilite",$E142="Medichamite",$E142="Thick Club"),2,1)))</f>
        <v>130</v>
      </c>
      <c r="AD142" s="84">
        <f>INT(INT((INT((2*VLOOKUP($C142,DexData,7,0)+INT(S142/4)+M142)/2)+5)*X142)*IF($E142="Eviolite",1.5,1))</f>
        <v>100</v>
      </c>
      <c r="AE142" s="84">
        <f>INT(INT((INT((2*VLOOKUP($C142,DexData,9,0)+INT(T142/4)+N142)/2)+5)*Y142)*IF($E142="Choice Specs",1.5,1))</f>
        <v>31</v>
      </c>
      <c r="AF142" s="84">
        <f>INT(INT((INT((2*VLOOKUP($C142,DexData,10,0)+INT(U142/4)+O142)/2)+5)*Z142)*IF(OR($E142="Eviolite",$E142="Assault Vest"),1.5,1))</f>
        <v>35</v>
      </c>
      <c r="AG142" s="84">
        <f>INT(INT((INT((2*VLOOKUP($C142,DexData,11,0)+INT(V142/4)+P142)/2)+5)*AA142)*IF($E142="Choice Scarf",1.5,IF($E142="Iron Ball",0.5,1)))</f>
        <v>59</v>
      </c>
      <c r="AH142" s="84" t="str">
        <f>VLOOKUP(VLOOKUP($C142,DexData,3,0),Aliases!D$2:E$19,2,0)&amp;IFERROR("/"&amp;VLOOKUP(VLOOKUP($C142,DexData,4,0),Aliases!D$2:E$19,2,0),"")</f>
        <v>RCK/GRD</v>
      </c>
      <c r="AI142" s="7">
        <v>3.0</v>
      </c>
      <c r="AJ142" s="7">
        <f>IF(VLOOKUP(B142,'Set Odds'!A$2:AN$1067,40,0),1,IF(VLOOKUP(B142,'Set Odds'!A$2:AO$1067,41,0),2,0))</f>
        <v>0</v>
      </c>
      <c r="AK142" s="7"/>
      <c r="AL142" s="7" t="str">
        <f t="shared" si="1"/>
        <v/>
      </c>
    </row>
    <row r="143" ht="12.75" customHeight="1">
      <c r="A143" s="86">
        <v>142.0</v>
      </c>
      <c r="B143" s="84" t="s">
        <v>3084</v>
      </c>
      <c r="C143" s="7" t="s">
        <v>3085</v>
      </c>
      <c r="D143" s="7" t="s">
        <v>2656</v>
      </c>
      <c r="E143" s="7" t="s">
        <v>3086</v>
      </c>
      <c r="F143" s="84" t="s">
        <v>2967</v>
      </c>
      <c r="G143" s="84" t="s">
        <v>2517</v>
      </c>
      <c r="H143" s="84" t="s">
        <v>3087</v>
      </c>
      <c r="I143" s="84" t="s">
        <v>2532</v>
      </c>
      <c r="J143" s="7" t="s">
        <v>3088</v>
      </c>
      <c r="K143" s="7">
        <v>0.0</v>
      </c>
      <c r="L143" s="7">
        <v>0.0</v>
      </c>
      <c r="M143" s="7">
        <v>0.0</v>
      </c>
      <c r="N143" s="7">
        <v>31.0</v>
      </c>
      <c r="O143" s="7">
        <v>0.0</v>
      </c>
      <c r="P143" s="7">
        <v>31.0</v>
      </c>
      <c r="Q143" s="7">
        <v>0.0</v>
      </c>
      <c r="R143" s="7">
        <v>0.0</v>
      </c>
      <c r="S143" s="7">
        <v>0.0</v>
      </c>
      <c r="T143" s="7">
        <v>108.0</v>
      </c>
      <c r="U143" s="7">
        <v>0.0</v>
      </c>
      <c r="V143" s="7">
        <v>108.0</v>
      </c>
      <c r="W143" s="7">
        <f>VLOOKUP($D143,NatureChart,2,0)</f>
        <v>0.9</v>
      </c>
      <c r="X143" s="7">
        <f>VLOOKUP($D143,NatureChart,3,0)</f>
        <v>1</v>
      </c>
      <c r="Y143" s="7">
        <f>VLOOKUP($D143,NatureChart,4,0)</f>
        <v>1.1</v>
      </c>
      <c r="Z143" s="7">
        <f>VLOOKUP($D143,NatureChart,5,0)</f>
        <v>1</v>
      </c>
      <c r="AA143" s="84">
        <f>VLOOKUP($D143,NatureChart,6,0)</f>
        <v>1</v>
      </c>
      <c r="AB143" s="84">
        <f>IF($C143="Shedinja",1,(INT((2*VLOOKUP($C143,DexData,5,0)+INT(Q143/4)+K143)/2)+60))</f>
        <v>95</v>
      </c>
      <c r="AC143" s="84">
        <f>INT(INT((INT((2*VLOOKUP($C143,DexData,6,0)+INT(R143/4)+L143)/2)+5)*W143)*IF($E143="Choice Band",1.5,IF(OR($E143="Mawilite",$E143="Medichamite",$E143="Thick Club"),2,1)))</f>
        <v>62</v>
      </c>
      <c r="AD143" s="84">
        <f>INT(INT((INT((2*VLOOKUP($C143,DexData,7,0)+INT(S143/4)+M143)/2)+5)*X143)*IF($E143="Eviolite",1.5,1))</f>
        <v>90</v>
      </c>
      <c r="AE143" s="84">
        <f>INT(INT((INT((2*VLOOKUP($C143,DexData,9,0)+INT(T143/4)+N143)/2)+5)*Y143)*IF($E143="Choice Specs",1.5,1))</f>
        <v>118</v>
      </c>
      <c r="AF143" s="84">
        <f>INT(INT((INT((2*VLOOKUP($C143,DexData,10,0)+INT(U143/4)+O143)/2)+5)*Z143)*IF(OR($E143="Eviolite",$E143="Assault Vest"),1.5,1))</f>
        <v>60</v>
      </c>
      <c r="AG143" s="84">
        <f>INT(INT((INT((2*VLOOKUP($C143,DexData,11,0)+INT(V143/4)+P143)/2)+5)*AA143)*IF($E143="Choice Scarf",1.5,IF($E143="Iron Ball",0.5,1)))</f>
        <v>66</v>
      </c>
      <c r="AH143" s="84" t="str">
        <f>VLOOKUP(VLOOKUP($C143,DexData,3,0),Aliases!D$2:E$19,2,0)&amp;IFERROR("/"&amp;VLOOKUP(VLOOKUP($C143,DexData,4,0),Aliases!D$2:E$19,2,0),"")</f>
        <v>WTR</v>
      </c>
      <c r="AI143" s="7">
        <v>3.0</v>
      </c>
      <c r="AJ143" s="7">
        <f>IF(VLOOKUP(B143,'Set Odds'!A$2:AN$1067,40,0),1,IF(VLOOKUP(B143,'Set Odds'!A$2:AO$1067,41,0),2,0))</f>
        <v>0</v>
      </c>
      <c r="AK143" s="7"/>
      <c r="AL143" s="7" t="str">
        <f t="shared" si="1"/>
        <v/>
      </c>
    </row>
    <row r="144" ht="12.75" customHeight="1">
      <c r="A144" s="86">
        <v>143.0</v>
      </c>
      <c r="B144" s="84" t="s">
        <v>3089</v>
      </c>
      <c r="C144" s="7" t="s">
        <v>3090</v>
      </c>
      <c r="D144" s="7" t="s">
        <v>2656</v>
      </c>
      <c r="E144" s="7" t="s">
        <v>2524</v>
      </c>
      <c r="F144" s="84" t="s">
        <v>2643</v>
      </c>
      <c r="G144" s="84" t="s">
        <v>2948</v>
      </c>
      <c r="H144" s="84" t="s">
        <v>3043</v>
      </c>
      <c r="I144" s="84" t="s">
        <v>3091</v>
      </c>
      <c r="J144" s="7" t="s">
        <v>3028</v>
      </c>
      <c r="K144" s="7">
        <v>0.0</v>
      </c>
      <c r="L144" s="7">
        <v>0.0</v>
      </c>
      <c r="M144" s="7">
        <v>0.0</v>
      </c>
      <c r="N144" s="7">
        <v>31.0</v>
      </c>
      <c r="O144" s="7">
        <v>0.0</v>
      </c>
      <c r="P144" s="7">
        <v>31.0</v>
      </c>
      <c r="Q144" s="7">
        <v>0.0</v>
      </c>
      <c r="R144" s="7">
        <v>0.0</v>
      </c>
      <c r="S144" s="7">
        <v>0.0</v>
      </c>
      <c r="T144" s="7">
        <v>108.0</v>
      </c>
      <c r="U144" s="7">
        <v>0.0</v>
      </c>
      <c r="V144" s="7">
        <v>108.0</v>
      </c>
      <c r="W144" s="7">
        <f>VLOOKUP($D144,NatureChart,2,0)</f>
        <v>0.9</v>
      </c>
      <c r="X144" s="7">
        <f>VLOOKUP($D144,NatureChart,3,0)</f>
        <v>1</v>
      </c>
      <c r="Y144" s="7">
        <f>VLOOKUP($D144,NatureChart,4,0)</f>
        <v>1.1</v>
      </c>
      <c r="Z144" s="7">
        <f>VLOOKUP($D144,NatureChart,5,0)</f>
        <v>1</v>
      </c>
      <c r="AA144" s="84">
        <f>VLOOKUP($D144,NatureChart,6,0)</f>
        <v>1</v>
      </c>
      <c r="AB144" s="84">
        <f>IF($C144="Shedinja",1,(INT((2*VLOOKUP($C144,DexData,5,0)+INT(Q144/4)+K144)/2)+60))</f>
        <v>105</v>
      </c>
      <c r="AC144" s="84">
        <f>INT(INT((INT((2*VLOOKUP($C144,DexData,6,0)+INT(R144/4)+L144)/2)+5)*W144)*IF($E144="Choice Band",1.5,IF(OR($E144="Mawilite",$E144="Medichamite",$E144="Thick Club"),2,1)))</f>
        <v>22</v>
      </c>
      <c r="AD144" s="84">
        <f>INT(INT((INT((2*VLOOKUP($C144,DexData,7,0)+INT(S144/4)+M144)/2)+5)*X144)*IF($E144="Eviolite",1.5,1))</f>
        <v>55</v>
      </c>
      <c r="AE144" s="84">
        <f>INT(INT((INT((2*VLOOKUP($C144,DexData,9,0)+INT(T144/4)+N144)/2)+5)*Y144)*IF($E144="Choice Specs",1.5,1))</f>
        <v>103</v>
      </c>
      <c r="AF144" s="84">
        <f>INT(INT((INT((2*VLOOKUP($C144,DexData,10,0)+INT(U144/4)+O144)/2)+5)*Z144)*IF(OR($E144="Eviolite",$E144="Assault Vest"),1.5,1))</f>
        <v>125</v>
      </c>
      <c r="AG144" s="84">
        <f>INT(INT((INT((2*VLOOKUP($C144,DexData,11,0)+INT(V144/4)+P144)/2)+5)*AA144)*IF($E144="Choice Scarf",1.5,IF($E144="Iron Ball",0.5,1)))</f>
        <v>84</v>
      </c>
      <c r="AH144" s="84" t="str">
        <f>VLOOKUP(VLOOKUP($C144,DexData,3,0),Aliases!D$2:E$19,2,0)&amp;IFERROR("/"&amp;VLOOKUP(VLOOKUP($C144,DexData,4,0),Aliases!D$2:E$19,2,0),"")</f>
        <v>WTR/FLY</v>
      </c>
      <c r="AI144" s="7">
        <v>3.0</v>
      </c>
      <c r="AJ144" s="7">
        <f>IF(VLOOKUP(B144,'Set Odds'!A$2:AN$1067,40,0),1,IF(VLOOKUP(B144,'Set Odds'!A$2:AO$1067,41,0),2,0))</f>
        <v>0</v>
      </c>
      <c r="AK144" s="7"/>
      <c r="AL144" s="7" t="str">
        <f t="shared" si="1"/>
        <v/>
      </c>
    </row>
    <row r="145" ht="12.75" customHeight="1">
      <c r="A145" s="86">
        <v>144.0</v>
      </c>
      <c r="B145" s="84" t="s">
        <v>3092</v>
      </c>
      <c r="C145" s="7" t="s">
        <v>3093</v>
      </c>
      <c r="D145" s="7" t="s">
        <v>2611</v>
      </c>
      <c r="E145" s="7" t="s">
        <v>2711</v>
      </c>
      <c r="F145" s="84" t="s">
        <v>2661</v>
      </c>
      <c r="G145" s="84" t="s">
        <v>2732</v>
      </c>
      <c r="H145" s="84" t="s">
        <v>2681</v>
      </c>
      <c r="I145" s="84" t="s">
        <v>2901</v>
      </c>
      <c r="J145" s="7" t="s">
        <v>2995</v>
      </c>
      <c r="K145" s="7">
        <v>31.0</v>
      </c>
      <c r="L145" s="7">
        <v>0.0</v>
      </c>
      <c r="M145" s="7">
        <v>0.0</v>
      </c>
      <c r="N145" s="7">
        <v>0.0</v>
      </c>
      <c r="O145" s="7">
        <v>0.0</v>
      </c>
      <c r="P145" s="7">
        <v>31.0</v>
      </c>
      <c r="Q145" s="7">
        <v>108.0</v>
      </c>
      <c r="R145" s="7">
        <v>0.0</v>
      </c>
      <c r="S145" s="7">
        <v>0.0</v>
      </c>
      <c r="T145" s="7">
        <v>0.0</v>
      </c>
      <c r="U145" s="7">
        <v>0.0</v>
      </c>
      <c r="V145" s="7">
        <v>108.0</v>
      </c>
      <c r="W145" s="7">
        <f>VLOOKUP($D145,NatureChart,2,0)</f>
        <v>1</v>
      </c>
      <c r="X145" s="7">
        <f>VLOOKUP($D145,NatureChart,3,0)</f>
        <v>1</v>
      </c>
      <c r="Y145" s="7">
        <f>VLOOKUP($D145,NatureChart,4,0)</f>
        <v>1</v>
      </c>
      <c r="Z145" s="7">
        <f>VLOOKUP($D145,NatureChart,5,0)</f>
        <v>1</v>
      </c>
      <c r="AA145" s="84">
        <f>VLOOKUP($D145,NatureChart,6,0)</f>
        <v>1</v>
      </c>
      <c r="AB145" s="84">
        <f>IF($C145="Shedinja",1,(INT((2*VLOOKUP($C145,DexData,5,0)+INT(Q145/4)+K145)/2)+60))</f>
        <v>179</v>
      </c>
      <c r="AC145" s="84">
        <f>INT(INT((INT((2*VLOOKUP($C145,DexData,6,0)+INT(R145/4)+L145)/2)+5)*W145)*IF($E145="Choice Band",1.5,IF(OR($E145="Mawilite",$E145="Medichamite",$E145="Thick Club"),2,1)))</f>
        <v>55</v>
      </c>
      <c r="AD145" s="84">
        <f>INT(INT((INT((2*VLOOKUP($C145,DexData,7,0)+INT(S145/4)+M145)/2)+5)*X145)*IF($E145="Eviolite",1.5,1))</f>
        <v>39</v>
      </c>
      <c r="AE145" s="84">
        <f>INT(INT((INT((2*VLOOKUP($C145,DexData,9,0)+INT(T145/4)+N145)/2)+5)*Y145)*IF($E145="Choice Specs",1.5,1))</f>
        <v>65</v>
      </c>
      <c r="AF145" s="84">
        <f>INT(INT((INT((2*VLOOKUP($C145,DexData,10,0)+INT(U145/4)+O145)/2)+5)*Z145)*IF(OR($E145="Eviolite",$E145="Assault Vest"),1.5,1))</f>
        <v>49</v>
      </c>
      <c r="AG145" s="84">
        <f>INT(INT((INT((2*VLOOKUP($C145,DexData,11,0)+INT(V145/4)+P145)/2)+5)*AA145)*IF($E145="Choice Scarf",1.5,IF($E145="Iron Ball",0.5,1)))</f>
        <v>104</v>
      </c>
      <c r="AH145" s="84" t="str">
        <f>VLOOKUP(VLOOKUP($C145,DexData,3,0),Aliases!D$2:E$19,2,0)&amp;IFERROR("/"&amp;VLOOKUP(VLOOKUP($C145,DexData,4,0),Aliases!D$2:E$19,2,0),"")</f>
        <v>GHO/FLY</v>
      </c>
      <c r="AI145" s="7">
        <v>3.0</v>
      </c>
      <c r="AJ145" s="7">
        <f>IF(VLOOKUP(B145,'Set Odds'!A$2:AN$1067,40,0),1,IF(VLOOKUP(B145,'Set Odds'!A$2:AO$1067,41,0),2,0))</f>
        <v>0</v>
      </c>
      <c r="AK145" s="7"/>
      <c r="AL145" s="7" t="str">
        <f t="shared" si="1"/>
        <v/>
      </c>
    </row>
    <row r="146" ht="12.75" customHeight="1">
      <c r="A146" s="86">
        <v>145.0</v>
      </c>
      <c r="B146" s="84" t="s">
        <v>3094</v>
      </c>
      <c r="C146" s="7" t="s">
        <v>3095</v>
      </c>
      <c r="D146" s="7" t="s">
        <v>2571</v>
      </c>
      <c r="E146" s="7" t="s">
        <v>3096</v>
      </c>
      <c r="F146" s="84" t="s">
        <v>2614</v>
      </c>
      <c r="G146" s="84" t="s">
        <v>2602</v>
      </c>
      <c r="H146" s="84" t="s">
        <v>2872</v>
      </c>
      <c r="I146" s="84" t="s">
        <v>2620</v>
      </c>
      <c r="J146" s="7" t="s">
        <v>3097</v>
      </c>
      <c r="K146" s="7">
        <v>0.0</v>
      </c>
      <c r="L146" s="7">
        <v>31.0</v>
      </c>
      <c r="M146" s="7">
        <v>0.0</v>
      </c>
      <c r="N146" s="7">
        <v>0.0</v>
      </c>
      <c r="O146" s="7">
        <v>0.0</v>
      </c>
      <c r="P146" s="7">
        <v>31.0</v>
      </c>
      <c r="Q146" s="7">
        <v>0.0</v>
      </c>
      <c r="R146" s="7">
        <v>108.0</v>
      </c>
      <c r="S146" s="7">
        <v>0.0</v>
      </c>
      <c r="T146" s="7">
        <v>0.0</v>
      </c>
      <c r="U146" s="7">
        <v>0.0</v>
      </c>
      <c r="V146" s="7">
        <v>108.0</v>
      </c>
      <c r="W146" s="7">
        <f>VLOOKUP($D146,NatureChart,2,0)</f>
        <v>1.1</v>
      </c>
      <c r="X146" s="7">
        <f>VLOOKUP($D146,NatureChart,3,0)</f>
        <v>1</v>
      </c>
      <c r="Y146" s="7">
        <f>VLOOKUP($D146,NatureChart,4,0)</f>
        <v>0.9</v>
      </c>
      <c r="Z146" s="7">
        <f>VLOOKUP($D146,NatureChart,5,0)</f>
        <v>1</v>
      </c>
      <c r="AA146" s="84">
        <f>VLOOKUP($D146,NatureChart,6,0)</f>
        <v>1</v>
      </c>
      <c r="AB146" s="84">
        <f>IF($C146="Shedinja",1,(INT((2*VLOOKUP($C146,DexData,5,0)+INT(Q146/4)+K146)/2)+60))</f>
        <v>123</v>
      </c>
      <c r="AC146" s="84">
        <f>INT(INT((INT((2*VLOOKUP($C146,DexData,6,0)+INT(R146/4)+L146)/2)+5)*W146)*IF($E146="Choice Band",1.5,IF(OR($E146="Mawilite",$E146="Medichamite",$E146="Thick Club"),2,1)))</f>
        <v>103</v>
      </c>
      <c r="AD146" s="84">
        <f>INT(INT((INT((2*VLOOKUP($C146,DexData,7,0)+INT(S146/4)+M146)/2)+5)*X146)*IF($E146="Eviolite",1.5,1))</f>
        <v>60</v>
      </c>
      <c r="AE146" s="84">
        <f>INT(INT((INT((2*VLOOKUP($C146,DexData,9,0)+INT(T146/4)+N146)/2)+5)*Y146)*IF($E146="Choice Specs",1.5,1))</f>
        <v>49</v>
      </c>
      <c r="AF146" s="84">
        <f>INT(INT((INT((2*VLOOKUP($C146,DexData,10,0)+INT(U146/4)+O146)/2)+5)*Z146)*IF(OR($E146="Eviolite",$E146="Assault Vest"),1.5,1))</f>
        <v>55</v>
      </c>
      <c r="AG146" s="84">
        <f>INT(INT((INT((2*VLOOKUP($C146,DexData,11,0)+INT(V146/4)+P146)/2)+5)*AA146)*IF($E146="Choice Scarf",1.5,IF($E146="Iron Ball",0.5,1)))</f>
        <v>105</v>
      </c>
      <c r="AH146" s="84" t="str">
        <f>VLOOKUP(VLOOKUP($C146,DexData,3,0),Aliases!D$2:E$19,2,0)&amp;IFERROR("/"&amp;VLOOKUP(VLOOKUP($C146,DexData,4,0),Aliases!D$2:E$19,2,0),"")</f>
        <v>NRM/FLY</v>
      </c>
      <c r="AI146" s="7">
        <v>3.0</v>
      </c>
      <c r="AJ146" s="7">
        <f>IF(VLOOKUP(B146,'Set Odds'!A$2:AN$1067,40,0),1,IF(VLOOKUP(B146,'Set Odds'!A$2:AO$1067,41,0),2,0))</f>
        <v>0</v>
      </c>
      <c r="AK146" s="7"/>
      <c r="AL146" s="7" t="str">
        <f t="shared" si="1"/>
        <v/>
      </c>
    </row>
    <row r="147" ht="12.75" customHeight="1">
      <c r="A147" s="86">
        <v>146.0</v>
      </c>
      <c r="B147" s="84" t="s">
        <v>3098</v>
      </c>
      <c r="C147" s="7" t="s">
        <v>3099</v>
      </c>
      <c r="D147" s="7" t="s">
        <v>2571</v>
      </c>
      <c r="E147" s="7" t="s">
        <v>2618</v>
      </c>
      <c r="F147" s="84" t="s">
        <v>2600</v>
      </c>
      <c r="G147" s="84" t="s">
        <v>2588</v>
      </c>
      <c r="H147" s="84" t="s">
        <v>2694</v>
      </c>
      <c r="I147" s="84" t="s">
        <v>2948</v>
      </c>
      <c r="J147" s="7" t="s">
        <v>2696</v>
      </c>
      <c r="K147" s="7">
        <v>0.0</v>
      </c>
      <c r="L147" s="7">
        <v>31.0</v>
      </c>
      <c r="M147" s="7">
        <v>0.0</v>
      </c>
      <c r="N147" s="7">
        <v>0.0</v>
      </c>
      <c r="O147" s="7">
        <v>0.0</v>
      </c>
      <c r="P147" s="7">
        <v>31.0</v>
      </c>
      <c r="Q147" s="7">
        <v>0.0</v>
      </c>
      <c r="R147" s="7">
        <v>108.0</v>
      </c>
      <c r="S147" s="7">
        <v>0.0</v>
      </c>
      <c r="T147" s="7">
        <v>0.0</v>
      </c>
      <c r="U147" s="7">
        <v>0.0</v>
      </c>
      <c r="V147" s="7">
        <v>108.0</v>
      </c>
      <c r="W147" s="7">
        <f>VLOOKUP($D147,NatureChart,2,0)</f>
        <v>1.1</v>
      </c>
      <c r="X147" s="7">
        <f>VLOOKUP($D147,NatureChart,3,0)</f>
        <v>1</v>
      </c>
      <c r="Y147" s="7">
        <f>VLOOKUP($D147,NatureChart,4,0)</f>
        <v>0.9</v>
      </c>
      <c r="Z147" s="7">
        <f>VLOOKUP($D147,NatureChart,5,0)</f>
        <v>1</v>
      </c>
      <c r="AA147" s="84">
        <f>VLOOKUP($D147,NatureChart,6,0)</f>
        <v>1</v>
      </c>
      <c r="AB147" s="84">
        <f>IF($C147="Shedinja",1,(INT((2*VLOOKUP($C147,DexData,5,0)+INT(Q147/4)+K147)/2)+60))</f>
        <v>115</v>
      </c>
      <c r="AC147" s="84">
        <f>INT(INT((INT((2*VLOOKUP($C147,DexData,6,0)+INT(R147/4)+L147)/2)+5)*W147)*IF($E147="Choice Band",1.5,IF(OR($E147="Mawilite",$E147="Medichamite",$E147="Thick Club"),2,1)))</f>
        <v>114</v>
      </c>
      <c r="AD147" s="84">
        <f>INT(INT((INT((2*VLOOKUP($C147,DexData,7,0)+INT(S147/4)+M147)/2)+5)*X147)*IF($E147="Eviolite",1.5,1))</f>
        <v>50</v>
      </c>
      <c r="AE147" s="84">
        <f>INT(INT((INT((2*VLOOKUP($C147,DexData,9,0)+INT(T147/4)+N147)/2)+5)*Y147)*IF($E147="Choice Specs",1.5,1))</f>
        <v>67</v>
      </c>
      <c r="AF147" s="84">
        <f>INT(INT((INT((2*VLOOKUP($C147,DexData,10,0)+INT(U147/4)+O147)/2)+5)*Z147)*IF(OR($E147="Eviolite",$E147="Assault Vest"),1.5,1))</f>
        <v>55</v>
      </c>
      <c r="AG147" s="84">
        <f>INT(INT((INT((2*VLOOKUP($C147,DexData,11,0)+INT(V147/4)+P147)/2)+5)*AA147)*IF($E147="Choice Scarf",1.5,IF($E147="Iron Ball",0.5,1)))</f>
        <v>94</v>
      </c>
      <c r="AH147" s="84" t="str">
        <f>VLOOKUP(VLOOKUP($C147,DexData,3,0),Aliases!D$2:E$19,2,0)&amp;IFERROR("/"&amp;VLOOKUP(VLOOKUP($C147,DexData,4,0),Aliases!D$2:E$19,2,0),"")</f>
        <v>FIR</v>
      </c>
      <c r="AI147" s="7">
        <v>3.0</v>
      </c>
      <c r="AJ147" s="7">
        <f>IF(VLOOKUP(B147,'Set Odds'!A$2:AN$1067,40,0),1,IF(VLOOKUP(B147,'Set Odds'!A$2:AO$1067,41,0),2,0))</f>
        <v>0</v>
      </c>
      <c r="AK147" s="7"/>
      <c r="AL147" s="7" t="str">
        <f t="shared" si="1"/>
        <v/>
      </c>
    </row>
    <row r="148" ht="12.75" customHeight="1">
      <c r="A148" s="86">
        <v>147.0</v>
      </c>
      <c r="B148" s="84" t="s">
        <v>3100</v>
      </c>
      <c r="C148" s="7" t="s">
        <v>3101</v>
      </c>
      <c r="D148" s="7" t="s">
        <v>2571</v>
      </c>
      <c r="E148" s="7" t="s">
        <v>2519</v>
      </c>
      <c r="F148" s="84" t="s">
        <v>2686</v>
      </c>
      <c r="G148" s="84" t="s">
        <v>2625</v>
      </c>
      <c r="H148" s="84" t="s">
        <v>2583</v>
      </c>
      <c r="I148" s="84" t="s">
        <v>2695</v>
      </c>
      <c r="J148" s="7" t="s">
        <v>3102</v>
      </c>
      <c r="K148" s="7">
        <v>0.0</v>
      </c>
      <c r="L148" s="7">
        <v>31.0</v>
      </c>
      <c r="M148" s="7">
        <v>0.0</v>
      </c>
      <c r="N148" s="7">
        <v>0.0</v>
      </c>
      <c r="O148" s="7">
        <v>0.0</v>
      </c>
      <c r="P148" s="7">
        <v>31.0</v>
      </c>
      <c r="Q148" s="7">
        <v>0.0</v>
      </c>
      <c r="R148" s="7">
        <v>108.0</v>
      </c>
      <c r="S148" s="7">
        <v>0.0</v>
      </c>
      <c r="T148" s="7">
        <v>0.0</v>
      </c>
      <c r="U148" s="7">
        <v>0.0</v>
      </c>
      <c r="V148" s="7">
        <v>108.0</v>
      </c>
      <c r="W148" s="7">
        <f>VLOOKUP($D148,NatureChart,2,0)</f>
        <v>1.1</v>
      </c>
      <c r="X148" s="7">
        <f>VLOOKUP($D148,NatureChart,3,0)</f>
        <v>1</v>
      </c>
      <c r="Y148" s="7">
        <f>VLOOKUP($D148,NatureChart,4,0)</f>
        <v>0.9</v>
      </c>
      <c r="Z148" s="7">
        <f>VLOOKUP($D148,NatureChart,5,0)</f>
        <v>1</v>
      </c>
      <c r="AA148" s="84">
        <f>VLOOKUP($D148,NatureChart,6,0)</f>
        <v>1</v>
      </c>
      <c r="AB148" s="84">
        <f>IF($C148="Shedinja",1,(INT((2*VLOOKUP($C148,DexData,5,0)+INT(Q148/4)+K148)/2)+60))</f>
        <v>127</v>
      </c>
      <c r="AC148" s="84">
        <f>INT(INT((INT((2*VLOOKUP($C148,DexData,6,0)+INT(R148/4)+L148)/2)+5)*W148)*IF($E148="Choice Band",1.5,IF(OR($E148="Mawilite",$E148="Medichamite",$E148="Thick Club"),2,1)))</f>
        <v>174</v>
      </c>
      <c r="AD148" s="84">
        <f>INT(INT((INT((2*VLOOKUP($C148,DexData,7,0)+INT(S148/4)+M148)/2)+5)*X148)*IF($E148="Eviolite",1.5,1))</f>
        <v>45</v>
      </c>
      <c r="AE148" s="84">
        <f>INT(INT((INT((2*VLOOKUP($C148,DexData,9,0)+INT(T148/4)+N148)/2)+5)*Y148)*IF($E148="Choice Specs",1.5,1))</f>
        <v>31</v>
      </c>
      <c r="AF148" s="84">
        <f>INT(INT((INT((2*VLOOKUP($C148,DexData,10,0)+INT(U148/4)+O148)/2)+5)*Z148)*IF(OR($E148="Eviolite",$E148="Assault Vest"),1.5,1))</f>
        <v>35</v>
      </c>
      <c r="AG148" s="84">
        <f>INT(INT((INT((2*VLOOKUP($C148,DexData,11,0)+INT(V148/4)+P148)/2)+5)*AA148)*IF($E148="Choice Scarf",1.5,IF($E148="Iron Ball",0.5,1)))</f>
        <v>92</v>
      </c>
      <c r="AH148" s="84" t="str">
        <f>VLOOKUP(VLOOKUP($C148,DexData,3,0),Aliases!D$2:E$19,2,0)&amp;IFERROR("/"&amp;VLOOKUP(VLOOKUP($C148,DexData,4,0),Aliases!D$2:E$19,2,0),"")</f>
        <v>RCK</v>
      </c>
      <c r="AI148" s="7">
        <v>3.0</v>
      </c>
      <c r="AJ148" s="7">
        <f>IF(VLOOKUP(B148,'Set Odds'!A$2:AN$1067,40,0),1,IF(VLOOKUP(B148,'Set Odds'!A$2:AO$1067,41,0),2,0))</f>
        <v>0</v>
      </c>
      <c r="AK148" s="7"/>
      <c r="AL148" s="7" t="str">
        <f t="shared" si="1"/>
        <v/>
      </c>
    </row>
    <row r="149" ht="12.75" customHeight="1">
      <c r="A149" s="86">
        <v>148.0</v>
      </c>
      <c r="B149" s="84" t="s">
        <v>3103</v>
      </c>
      <c r="C149" s="7" t="s">
        <v>3104</v>
      </c>
      <c r="D149" s="7" t="s">
        <v>3105</v>
      </c>
      <c r="E149" s="7" t="s">
        <v>2515</v>
      </c>
      <c r="F149" s="84" t="s">
        <v>2573</v>
      </c>
      <c r="G149" s="84" t="s">
        <v>2517</v>
      </c>
      <c r="H149" s="84" t="s">
        <v>3087</v>
      </c>
      <c r="I149" s="84" t="s">
        <v>2962</v>
      </c>
      <c r="J149" s="7" t="s">
        <v>2728</v>
      </c>
      <c r="K149" s="7">
        <v>31.0</v>
      </c>
      <c r="L149" s="7">
        <v>0.0</v>
      </c>
      <c r="M149" s="7">
        <v>31.0</v>
      </c>
      <c r="N149" s="7">
        <v>0.0</v>
      </c>
      <c r="O149" s="7">
        <v>0.0</v>
      </c>
      <c r="P149" s="7">
        <v>0.0</v>
      </c>
      <c r="Q149" s="7">
        <v>108.0</v>
      </c>
      <c r="R149" s="7">
        <v>0.0</v>
      </c>
      <c r="S149" s="7">
        <v>108.0</v>
      </c>
      <c r="T149" s="7">
        <v>0.0</v>
      </c>
      <c r="U149" s="7">
        <v>0.0</v>
      </c>
      <c r="V149" s="7">
        <v>0.0</v>
      </c>
      <c r="W149" s="7">
        <f>VLOOKUP($D149,NatureChart,2,0)</f>
        <v>1</v>
      </c>
      <c r="X149" s="7">
        <f>VLOOKUP($D149,NatureChart,3,0)</f>
        <v>1</v>
      </c>
      <c r="Y149" s="7">
        <f>VLOOKUP($D149,NatureChart,4,0)</f>
        <v>1</v>
      </c>
      <c r="Z149" s="7">
        <f>VLOOKUP($D149,NatureChart,5,0)</f>
        <v>1.1</v>
      </c>
      <c r="AA149" s="84">
        <f>VLOOKUP($D149,NatureChart,6,0)</f>
        <v>0.9</v>
      </c>
      <c r="AB149" s="84">
        <f>IF($C149="Shedinja",1,(INT((2*VLOOKUP($C149,DexData,5,0)+INT(Q149/4)+K149)/2)+60))</f>
        <v>119</v>
      </c>
      <c r="AC149" s="84">
        <f>INT(INT((INT((2*VLOOKUP($C149,DexData,6,0)+INT(R149/4)+L149)/2)+5)*W149)*IF($E149="Choice Band",1.5,IF(OR($E149="Mawilite",$E149="Medichamite",$E149="Thick Club"),2,1)))</f>
        <v>47</v>
      </c>
      <c r="AD149" s="84">
        <f>INT(INT((INT((2*VLOOKUP($C149,DexData,7,0)+INT(S149/4)+M149)/2)+5)*X149)*IF($E149="Eviolite",1.5,1))</f>
        <v>152</v>
      </c>
      <c r="AE149" s="84">
        <f>INT(INT((INT((2*VLOOKUP($C149,DexData,9,0)+INT(T149/4)+N149)/2)+5)*Y149)*IF($E149="Choice Specs",1.5,1))</f>
        <v>47</v>
      </c>
      <c r="AF149" s="84">
        <f>INT(INT((INT((2*VLOOKUP($C149,DexData,10,0)+INT(U149/4)+O149)/2)+5)*Z149)*IF(OR($E149="Eviolite",$E149="Assault Vest"),1.5,1))</f>
        <v>102</v>
      </c>
      <c r="AG149" s="84">
        <f>INT(INT((INT((2*VLOOKUP($C149,DexData,11,0)+INT(V149/4)+P149)/2)+5)*AA149)*IF($E149="Choice Scarf",1.5,IF($E149="Iron Ball",0.5,1)))</f>
        <v>31</v>
      </c>
      <c r="AH149" s="84" t="str">
        <f>VLOOKUP(VLOOKUP($C149,DexData,3,0),Aliases!D$2:E$19,2,0)&amp;IFERROR("/"&amp;VLOOKUP(VLOOKUP($C149,DexData,4,0),Aliases!D$2:E$19,2,0),"")</f>
        <v>RCK/STL</v>
      </c>
      <c r="AI149" s="7">
        <v>3.0</v>
      </c>
      <c r="AJ149" s="7">
        <f>IF(VLOOKUP(B149,'Set Odds'!A$2:AN$1067,40,0),1,IF(VLOOKUP(B149,'Set Odds'!A$2:AO$1067,41,0),2,0))</f>
        <v>0</v>
      </c>
      <c r="AK149" s="7"/>
      <c r="AL149" s="7" t="str">
        <f t="shared" si="1"/>
        <v/>
      </c>
    </row>
    <row r="150" ht="12.75" customHeight="1">
      <c r="A150" s="86">
        <v>149.0</v>
      </c>
      <c r="B150" s="84" t="s">
        <v>3106</v>
      </c>
      <c r="C150" s="7" t="s">
        <v>3107</v>
      </c>
      <c r="D150" s="7" t="s">
        <v>2571</v>
      </c>
      <c r="E150" s="7" t="s">
        <v>3108</v>
      </c>
      <c r="F150" s="84" t="s">
        <v>3024</v>
      </c>
      <c r="G150" s="84" t="s">
        <v>2602</v>
      </c>
      <c r="H150" s="84" t="s">
        <v>2767</v>
      </c>
      <c r="I150" s="84" t="s">
        <v>3109</v>
      </c>
      <c r="J150" s="7" t="s">
        <v>2853</v>
      </c>
      <c r="K150" s="7">
        <v>0.0</v>
      </c>
      <c r="L150" s="7">
        <v>31.0</v>
      </c>
      <c r="M150" s="7">
        <v>0.0</v>
      </c>
      <c r="N150" s="7">
        <v>0.0</v>
      </c>
      <c r="O150" s="7">
        <v>0.0</v>
      </c>
      <c r="P150" s="7">
        <v>31.0</v>
      </c>
      <c r="Q150" s="7">
        <v>0.0</v>
      </c>
      <c r="R150" s="7">
        <v>108.0</v>
      </c>
      <c r="S150" s="7">
        <v>0.0</v>
      </c>
      <c r="T150" s="7">
        <v>0.0</v>
      </c>
      <c r="U150" s="7">
        <v>0.0</v>
      </c>
      <c r="V150" s="7">
        <v>108.0</v>
      </c>
      <c r="W150" s="7">
        <f>VLOOKUP($D150,NatureChart,2,0)</f>
        <v>1.1</v>
      </c>
      <c r="X150" s="7">
        <f>VLOOKUP($D150,NatureChart,3,0)</f>
        <v>1</v>
      </c>
      <c r="Y150" s="7">
        <f>VLOOKUP($D150,NatureChart,4,0)</f>
        <v>0.9</v>
      </c>
      <c r="Z150" s="7">
        <f>VLOOKUP($D150,NatureChart,5,0)</f>
        <v>1</v>
      </c>
      <c r="AA150" s="84">
        <f>VLOOKUP($D150,NatureChart,6,0)</f>
        <v>1</v>
      </c>
      <c r="AB150" s="84">
        <f>IF($C150="Shedinja",1,(INT((2*VLOOKUP($C150,DexData,5,0)+INT(Q150/4)+K150)/2)+60))</f>
        <v>115</v>
      </c>
      <c r="AC150" s="84">
        <f>INT(INT((INT((2*VLOOKUP($C150,DexData,6,0)+INT(R150/4)+L150)/2)+5)*W150)*IF($E150="Choice Band",1.5,IF(OR($E150="Mawilite",$E150="Medichamite",$E150="Thick Club"),2,1)))</f>
        <v>110</v>
      </c>
      <c r="AD150" s="84">
        <f>INT(INT((INT((2*VLOOKUP($C150,DexData,7,0)+INT(S150/4)+M150)/2)+5)*X150)*IF($E150="Eviolite",1.5,1))</f>
        <v>49</v>
      </c>
      <c r="AE150" s="84">
        <f>INT(INT((INT((2*VLOOKUP($C150,DexData,9,0)+INT(T150/4)+N150)/2)+5)*Y150)*IF($E150="Choice Specs",1.5,1))</f>
        <v>44</v>
      </c>
      <c r="AF150" s="84">
        <f>INT(INT((INT((2*VLOOKUP($C150,DexData,10,0)+INT(U150/4)+O150)/2)+5)*Z150)*IF(OR($E150="Eviolite",$E150="Assault Vest"),1.5,1))</f>
        <v>61</v>
      </c>
      <c r="AG150" s="84">
        <f>INT(INT((INT((2*VLOOKUP($C150,DexData,11,0)+INT(V150/4)+P150)/2)+5)*AA150)*IF($E150="Choice Scarf",1.5,IF($E150="Iron Ball",0.5,1)))</f>
        <v>119</v>
      </c>
      <c r="AH150" s="84" t="str">
        <f>VLOOKUP(VLOOKUP($C150,DexData,3,0),Aliases!D$2:E$19,2,0)&amp;IFERROR("/"&amp;VLOOKUP(VLOOKUP($C150,DexData,4,0),Aliases!D$2:E$19,2,0),"")</f>
        <v>NRM</v>
      </c>
      <c r="AI150" s="7">
        <v>3.0</v>
      </c>
      <c r="AJ150" s="7">
        <f>IF(VLOOKUP(B150,'Set Odds'!A$2:AN$1067,40,0),1,IF(VLOOKUP(B150,'Set Odds'!A$2:AO$1067,41,0),2,0))</f>
        <v>0</v>
      </c>
      <c r="AK150" s="7"/>
      <c r="AL150" s="7" t="str">
        <f t="shared" si="1"/>
        <v/>
      </c>
    </row>
    <row r="151" ht="12.75" customHeight="1">
      <c r="A151" s="86">
        <v>150.0</v>
      </c>
      <c r="B151" s="84" t="s">
        <v>3110</v>
      </c>
      <c r="C151" s="7" t="s">
        <v>3111</v>
      </c>
      <c r="D151" s="7" t="s">
        <v>2571</v>
      </c>
      <c r="E151" s="7" t="s">
        <v>3112</v>
      </c>
      <c r="F151" s="84" t="s">
        <v>2606</v>
      </c>
      <c r="G151" s="84" t="s">
        <v>2734</v>
      </c>
      <c r="H151" s="84" t="s">
        <v>3113</v>
      </c>
      <c r="I151" s="84" t="s">
        <v>2948</v>
      </c>
      <c r="J151" s="7" t="s">
        <v>3114</v>
      </c>
      <c r="K151" s="7">
        <v>0.0</v>
      </c>
      <c r="L151" s="7">
        <v>31.0</v>
      </c>
      <c r="M151" s="7">
        <v>0.0</v>
      </c>
      <c r="N151" s="7">
        <v>0.0</v>
      </c>
      <c r="O151" s="7">
        <v>0.0</v>
      </c>
      <c r="P151" s="7">
        <v>31.0</v>
      </c>
      <c r="Q151" s="7">
        <v>0.0</v>
      </c>
      <c r="R151" s="7">
        <v>108.0</v>
      </c>
      <c r="S151" s="7">
        <v>0.0</v>
      </c>
      <c r="T151" s="7">
        <v>0.0</v>
      </c>
      <c r="U151" s="7">
        <v>0.0</v>
      </c>
      <c r="V151" s="7">
        <v>108.0</v>
      </c>
      <c r="W151" s="7">
        <f>VLOOKUP($D151,NatureChart,2,0)</f>
        <v>1.1</v>
      </c>
      <c r="X151" s="7">
        <f>VLOOKUP($D151,NatureChart,3,0)</f>
        <v>1</v>
      </c>
      <c r="Y151" s="7">
        <f>VLOOKUP($D151,NatureChart,4,0)</f>
        <v>0.9</v>
      </c>
      <c r="Z151" s="7">
        <f>VLOOKUP($D151,NatureChart,5,0)</f>
        <v>1</v>
      </c>
      <c r="AA151" s="84">
        <f>VLOOKUP($D151,NatureChart,6,0)</f>
        <v>1</v>
      </c>
      <c r="AB151" s="84">
        <f>IF($C151="Shedinja",1,(INT((2*VLOOKUP($C151,DexData,5,0)+INT(Q151/4)+K151)/2)+60))</f>
        <v>112</v>
      </c>
      <c r="AC151" s="84">
        <f>INT(INT((INT((2*VLOOKUP($C151,DexData,6,0)+INT(R151/4)+L151)/2)+5)*W151)*IF($E151="Choice Band",1.5,IF(OR($E151="Mawilite",$E151="Medichamite",$E151="Thick Club"),2,1)))</f>
        <v>136</v>
      </c>
      <c r="AD151" s="84">
        <f>INT(INT((INT((2*VLOOKUP($C151,DexData,7,0)+INT(S151/4)+M151)/2)+5)*X151)*IF($E151="Eviolite",1.5,1))</f>
        <v>60</v>
      </c>
      <c r="AE151" s="84">
        <f>INT(INT((INT((2*VLOOKUP($C151,DexData,9,0)+INT(T151/4)+N151)/2)+5)*Y151)*IF($E151="Choice Specs",1.5,1))</f>
        <v>56</v>
      </c>
      <c r="AF151" s="84">
        <f>INT(INT((INT((2*VLOOKUP($C151,DexData,10,0)+INT(U151/4)+O151)/2)+5)*Z151)*IF(OR($E151="Eviolite",$E151="Assault Vest"),1.5,1))</f>
        <v>67</v>
      </c>
      <c r="AG151" s="84">
        <f>INT(INT((INT((2*VLOOKUP($C151,DexData,11,0)+INT(V151/4)+P151)/2)+5)*AA151)*IF($E151="Choice Scarf",1.5,IF($E151="Iron Ball",0.5,1)))</f>
        <v>94</v>
      </c>
      <c r="AH151" s="84" t="str">
        <f>VLOOKUP(VLOOKUP($C151,DexData,3,0),Aliases!D$2:E$19,2,0)&amp;IFERROR("/"&amp;VLOOKUP(VLOOKUP($C151,DexData,4,0),Aliases!D$2:E$19,2,0),"")</f>
        <v>NRM/FLY</v>
      </c>
      <c r="AI151" s="7">
        <v>3.0</v>
      </c>
      <c r="AJ151" s="7">
        <f>IF(VLOOKUP(B151,'Set Odds'!A$2:AN$1067,40,0),1,IF(VLOOKUP(B151,'Set Odds'!A$2:AO$1067,41,0),2,0))</f>
        <v>0</v>
      </c>
      <c r="AK151" s="7"/>
      <c r="AL151" s="7" t="str">
        <f t="shared" si="1"/>
        <v/>
      </c>
    </row>
    <row r="152" ht="12.75" customHeight="1">
      <c r="A152" s="86">
        <v>151.0</v>
      </c>
      <c r="B152" s="84" t="s">
        <v>3115</v>
      </c>
      <c r="C152" s="7" t="s">
        <v>3116</v>
      </c>
      <c r="D152" s="7" t="s">
        <v>2611</v>
      </c>
      <c r="E152" s="7" t="s">
        <v>2636</v>
      </c>
      <c r="F152" s="84" t="s">
        <v>2976</v>
      </c>
      <c r="G152" s="84" t="s">
        <v>3117</v>
      </c>
      <c r="H152" s="84" t="s">
        <v>2781</v>
      </c>
      <c r="I152" s="84" t="s">
        <v>3118</v>
      </c>
      <c r="J152" s="7" t="s">
        <v>3088</v>
      </c>
      <c r="K152" s="7">
        <v>31.0</v>
      </c>
      <c r="L152" s="7">
        <v>31.0</v>
      </c>
      <c r="M152" s="7">
        <v>0.0</v>
      </c>
      <c r="N152" s="7">
        <v>0.0</v>
      </c>
      <c r="O152" s="7">
        <v>0.0</v>
      </c>
      <c r="P152" s="7">
        <v>0.0</v>
      </c>
      <c r="Q152" s="7">
        <v>108.0</v>
      </c>
      <c r="R152" s="7">
        <v>108.0</v>
      </c>
      <c r="S152" s="7">
        <v>0.0</v>
      </c>
      <c r="T152" s="7">
        <v>0.0</v>
      </c>
      <c r="U152" s="7">
        <v>0.0</v>
      </c>
      <c r="V152" s="7">
        <v>0.0</v>
      </c>
      <c r="W152" s="7">
        <f>VLOOKUP($D152,NatureChart,2,0)</f>
        <v>1</v>
      </c>
      <c r="X152" s="7">
        <f>VLOOKUP($D152,NatureChart,3,0)</f>
        <v>1</v>
      </c>
      <c r="Y152" s="7">
        <f>VLOOKUP($D152,NatureChart,4,0)</f>
        <v>1</v>
      </c>
      <c r="Z152" s="7">
        <f>VLOOKUP($D152,NatureChart,5,0)</f>
        <v>1</v>
      </c>
      <c r="AA152" s="84">
        <f>VLOOKUP($D152,NatureChart,6,0)</f>
        <v>1</v>
      </c>
      <c r="AB152" s="84">
        <f>IF($C152="Shedinja",1,(INT((2*VLOOKUP($C152,DexData,5,0)+INT(Q152/4)+K152)/2)+60))</f>
        <v>124</v>
      </c>
      <c r="AC152" s="84">
        <f>INT(INT((INT((2*VLOOKUP($C152,DexData,6,0)+INT(R152/4)+L152)/2)+5)*W152)*IF($E152="Choice Band",1.5,IF(OR($E152="Mawilite",$E152="Medichamite",$E152="Thick Club"),2,1)))</f>
        <v>74</v>
      </c>
      <c r="AD152" s="84">
        <f>INT(INT((INT((2*VLOOKUP($C152,DexData,7,0)+INT(S152/4)+M152)/2)+5)*X152)*IF($E152="Eviolite",1.5,1))</f>
        <v>105</v>
      </c>
      <c r="AE152" s="84">
        <f>INT(INT((INT((2*VLOOKUP($C152,DexData,9,0)+INT(T152/4)+N152)/2)+5)*Y152)*IF($E152="Choice Specs",1.5,1))</f>
        <v>95</v>
      </c>
      <c r="AF152" s="84">
        <f>INT(INT((INT((2*VLOOKUP($C152,DexData,10,0)+INT(U152/4)+O152)/2)+5)*Z152)*IF(OR($E152="Eviolite",$E152="Assault Vest"),1.5,1))</f>
        <v>60</v>
      </c>
      <c r="AG152" s="84">
        <f>INT(INT((INT((2*VLOOKUP($C152,DexData,11,0)+INT(V152/4)+P152)/2)+5)*AA152)*IF($E152="Choice Scarf",1.5,IF($E152="Iron Ball",0.5,1)))</f>
        <v>40</v>
      </c>
      <c r="AH152" s="84" t="str">
        <f>VLOOKUP(VLOOKUP($C152,DexData,3,0),Aliases!D$2:E$19,2,0)&amp;IFERROR("/"&amp;VLOOKUP(VLOOKUP($C152,DexData,4,0),Aliases!D$2:E$19,2,0),"")</f>
        <v>RCK/WTR</v>
      </c>
      <c r="AI152" s="7">
        <v>3.0</v>
      </c>
      <c r="AJ152" s="7">
        <f>IF(VLOOKUP(B152,'Set Odds'!A$2:AN$1067,40,0),1,IF(VLOOKUP(B152,'Set Odds'!A$2:AO$1067,41,0),2,0))</f>
        <v>0</v>
      </c>
      <c r="AK152" s="7"/>
      <c r="AL152" s="7" t="str">
        <f t="shared" si="1"/>
        <v/>
      </c>
    </row>
    <row r="153" ht="12.75" customHeight="1">
      <c r="A153" s="86">
        <v>152.0</v>
      </c>
      <c r="B153" s="84" t="s">
        <v>3119</v>
      </c>
      <c r="C153" s="7" t="s">
        <v>3120</v>
      </c>
      <c r="D153" s="7" t="s">
        <v>2795</v>
      </c>
      <c r="E153" s="7" t="s">
        <v>2636</v>
      </c>
      <c r="F153" s="84" t="s">
        <v>2613</v>
      </c>
      <c r="G153" s="84" t="s">
        <v>2781</v>
      </c>
      <c r="H153" s="84" t="s">
        <v>2620</v>
      </c>
      <c r="I153" s="84" t="s">
        <v>2517</v>
      </c>
      <c r="J153" s="7" t="s">
        <v>2945</v>
      </c>
      <c r="K153" s="7">
        <v>31.0</v>
      </c>
      <c r="L153" s="7">
        <v>0.0</v>
      </c>
      <c r="M153" s="7">
        <v>0.0</v>
      </c>
      <c r="N153" s="7">
        <v>31.0</v>
      </c>
      <c r="O153" s="7">
        <v>0.0</v>
      </c>
      <c r="P153" s="7">
        <v>0.0</v>
      </c>
      <c r="Q153" s="7">
        <v>108.0</v>
      </c>
      <c r="R153" s="7">
        <v>0.0</v>
      </c>
      <c r="S153" s="7">
        <v>0.0</v>
      </c>
      <c r="T153" s="7">
        <v>108.0</v>
      </c>
      <c r="U153" s="7">
        <v>0.0</v>
      </c>
      <c r="V153" s="7">
        <v>0.0</v>
      </c>
      <c r="W153" s="7">
        <f>VLOOKUP($D153,NatureChart,2,0)</f>
        <v>1</v>
      </c>
      <c r="X153" s="7">
        <f>VLOOKUP($D153,NatureChart,3,0)</f>
        <v>1</v>
      </c>
      <c r="Y153" s="7">
        <f>VLOOKUP($D153,NatureChart,4,0)</f>
        <v>1</v>
      </c>
      <c r="Z153" s="7">
        <f>VLOOKUP($D153,NatureChart,5,0)</f>
        <v>1</v>
      </c>
      <c r="AA153" s="84">
        <f>VLOOKUP($D153,NatureChart,6,0)</f>
        <v>1</v>
      </c>
      <c r="AB153" s="84">
        <f>IF($C153="Shedinja",1,(INT((2*VLOOKUP($C153,DexData,5,0)+INT(Q153/4)+K153)/2)+60))</f>
        <v>119</v>
      </c>
      <c r="AC153" s="84">
        <f>INT(INT((INT((2*VLOOKUP($C153,DexData,6,0)+INT(R153/4)+L153)/2)+5)*W153)*IF($E153="Choice Band",1.5,IF(OR($E153="Mawilite",$E153="Medichamite",$E153="Thick Club"),2,1)))</f>
        <v>85</v>
      </c>
      <c r="AD153" s="84">
        <f>INT(INT((INT((2*VLOOKUP($C153,DexData,7,0)+INT(S153/4)+M153)/2)+5)*X153)*IF($E153="Eviolite",1.5,1))</f>
        <v>95</v>
      </c>
      <c r="AE153" s="84">
        <f>INT(INT((INT((2*VLOOKUP($C153,DexData,9,0)+INT(T153/4)+N153)/2)+5)*Y153)*IF($E153="Choice Specs",1.5,1))</f>
        <v>89</v>
      </c>
      <c r="AF153" s="84">
        <f>INT(INT((INT((2*VLOOKUP($C153,DexData,10,0)+INT(U153/4)+O153)/2)+5)*Z153)*IF(OR($E153="Eviolite",$E153="Assault Vest"),1.5,1))</f>
        <v>50</v>
      </c>
      <c r="AG153" s="84">
        <f>INT(INT((INT((2*VLOOKUP($C153,DexData,11,0)+INT(V153/4)+P153)/2)+5)*AA153)*IF($E153="Choice Scarf",1.5,IF($E153="Iron Ball",0.5,1)))</f>
        <v>60</v>
      </c>
      <c r="AH153" s="84" t="str">
        <f>VLOOKUP(VLOOKUP($C153,DexData,3,0),Aliases!D$2:E$19,2,0)&amp;IFERROR("/"&amp;VLOOKUP(VLOOKUP($C153,DexData,4,0),Aliases!D$2:E$19,2,0),"")</f>
        <v>RCK/WTR</v>
      </c>
      <c r="AI153" s="7">
        <v>3.0</v>
      </c>
      <c r="AJ153" s="7">
        <f>IF(VLOOKUP(B153,'Set Odds'!A$2:AN$1067,40,0),1,IF(VLOOKUP(B153,'Set Odds'!A$2:AO$1067,41,0),2,0))</f>
        <v>0</v>
      </c>
      <c r="AK153" s="7"/>
      <c r="AL153" s="7" t="str">
        <f t="shared" si="1"/>
        <v/>
      </c>
    </row>
    <row r="154" ht="12.75" customHeight="1">
      <c r="A154" s="86">
        <v>153.0</v>
      </c>
      <c r="B154" s="84" t="s">
        <v>3121</v>
      </c>
      <c r="C154" s="7" t="s">
        <v>3122</v>
      </c>
      <c r="D154" s="7" t="s">
        <v>2599</v>
      </c>
      <c r="E154" s="7" t="s">
        <v>2528</v>
      </c>
      <c r="F154" s="84" t="s">
        <v>2704</v>
      </c>
      <c r="G154" s="84" t="s">
        <v>2937</v>
      </c>
      <c r="H154" s="84" t="s">
        <v>3123</v>
      </c>
      <c r="I154" s="84" t="s">
        <v>2536</v>
      </c>
      <c r="J154" s="7" t="s">
        <v>2988</v>
      </c>
      <c r="K154" s="7">
        <v>31.0</v>
      </c>
      <c r="L154" s="7">
        <v>0.0</v>
      </c>
      <c r="M154" s="7">
        <v>0.0</v>
      </c>
      <c r="N154" s="7">
        <v>31.0</v>
      </c>
      <c r="O154" s="7">
        <v>0.0</v>
      </c>
      <c r="P154" s="7">
        <v>0.0</v>
      </c>
      <c r="Q154" s="7">
        <v>108.0</v>
      </c>
      <c r="R154" s="7">
        <v>0.0</v>
      </c>
      <c r="S154" s="7">
        <v>0.0</v>
      </c>
      <c r="T154" s="7">
        <v>108.0</v>
      </c>
      <c r="U154" s="7">
        <v>0.0</v>
      </c>
      <c r="V154" s="7">
        <v>0.0</v>
      </c>
      <c r="W154" s="7">
        <f>VLOOKUP($D154,NatureChart,2,0)</f>
        <v>1</v>
      </c>
      <c r="X154" s="7">
        <f>VLOOKUP($D154,NatureChart,3,0)</f>
        <v>1</v>
      </c>
      <c r="Y154" s="7">
        <f>VLOOKUP($D154,NatureChart,4,0)</f>
        <v>1</v>
      </c>
      <c r="Z154" s="7">
        <f>VLOOKUP($D154,NatureChart,5,0)</f>
        <v>1</v>
      </c>
      <c r="AA154" s="84">
        <f>VLOOKUP($D154,NatureChart,6,0)</f>
        <v>1</v>
      </c>
      <c r="AB154" s="84">
        <f>IF($C154="Shedinja",1,(INT((2*VLOOKUP($C154,DexData,5,0)+INT(Q154/4)+K154)/2)+60))</f>
        <v>155</v>
      </c>
      <c r="AC154" s="84">
        <f>INT(INT((INT((2*VLOOKUP($C154,DexData,6,0)+INT(R154/4)+L154)/2)+5)*W154)*IF($E154="Choice Band",1.5,IF(OR($E154="Mawilite",$E154="Medichamite",$E154="Thick Club"),2,1)))</f>
        <v>46</v>
      </c>
      <c r="AD154" s="84">
        <f>INT(INT((INT((2*VLOOKUP($C154,DexData,7,0)+INT(S154/4)+M154)/2)+5)*X154)*IF($E154="Eviolite",1.5,1))</f>
        <v>82</v>
      </c>
      <c r="AE154" s="84">
        <f>INT(INT((INT((2*VLOOKUP($C154,DexData,9,0)+INT(T154/4)+N154)/2)+5)*Y154)*IF($E154="Choice Specs",1.5,1))</f>
        <v>95</v>
      </c>
      <c r="AF154" s="84">
        <f>INT(INT((INT((2*VLOOKUP($C154,DexData,10,0)+INT(U154/4)+O154)/2)+5)*Z154)*IF(OR($E154="Eviolite",$E154="Assault Vest"),1.5,1))</f>
        <v>92</v>
      </c>
      <c r="AG154" s="84">
        <f>INT(INT((INT((2*VLOOKUP($C154,DexData,11,0)+INT(V154/4)+P154)/2)+5)*AA154)*IF($E154="Choice Scarf",1.5,IF($E154="Iron Ball",0.5,1)))</f>
        <v>28</v>
      </c>
      <c r="AH154" s="84" t="str">
        <f>VLOOKUP(VLOOKUP($C154,DexData,3,0),Aliases!D$2:E$19,2,0)&amp;IFERROR("/"&amp;VLOOKUP(VLOOKUP($C154,DexData,4,0),Aliases!D$2:E$19,2,0),"")</f>
        <v>RCK/GRS</v>
      </c>
      <c r="AI154" s="7">
        <v>3.0</v>
      </c>
      <c r="AJ154" s="7">
        <f>IF(VLOOKUP(B154,'Set Odds'!A$2:AN$1067,40,0),1,IF(VLOOKUP(B154,'Set Odds'!A$2:AO$1067,41,0),2,0))</f>
        <v>0</v>
      </c>
      <c r="AK154" s="7"/>
      <c r="AL154" s="7" t="str">
        <f t="shared" si="1"/>
        <v/>
      </c>
    </row>
    <row r="155" ht="12.75" customHeight="1">
      <c r="A155" s="86">
        <v>154.0</v>
      </c>
      <c r="B155" s="84" t="s">
        <v>3124</v>
      </c>
      <c r="C155" s="7" t="s">
        <v>3125</v>
      </c>
      <c r="D155" s="7" t="s">
        <v>2571</v>
      </c>
      <c r="E155" s="7" t="s">
        <v>2579</v>
      </c>
      <c r="F155" s="84" t="s">
        <v>2887</v>
      </c>
      <c r="G155" s="84" t="s">
        <v>3126</v>
      </c>
      <c r="H155" s="84" t="s">
        <v>2781</v>
      </c>
      <c r="I155" s="84" t="s">
        <v>3117</v>
      </c>
      <c r="J155" s="7" t="s">
        <v>2945</v>
      </c>
      <c r="K155" s="7">
        <v>0.0</v>
      </c>
      <c r="L155" s="7">
        <v>31.0</v>
      </c>
      <c r="M155" s="7">
        <v>0.0</v>
      </c>
      <c r="N155" s="7">
        <v>0.0</v>
      </c>
      <c r="O155" s="7">
        <v>0.0</v>
      </c>
      <c r="P155" s="7">
        <v>31.0</v>
      </c>
      <c r="Q155" s="7">
        <v>0.0</v>
      </c>
      <c r="R155" s="7">
        <v>108.0</v>
      </c>
      <c r="S155" s="7">
        <v>0.0</v>
      </c>
      <c r="T155" s="7">
        <v>0.0</v>
      </c>
      <c r="U155" s="7">
        <v>0.0</v>
      </c>
      <c r="V155" s="7">
        <v>108.0</v>
      </c>
      <c r="W155" s="7">
        <f>VLOOKUP($D155,NatureChart,2,0)</f>
        <v>1.1</v>
      </c>
      <c r="X155" s="7">
        <f>VLOOKUP($D155,NatureChart,3,0)</f>
        <v>1</v>
      </c>
      <c r="Y155" s="7">
        <f>VLOOKUP($D155,NatureChart,4,0)</f>
        <v>0.9</v>
      </c>
      <c r="Z155" s="7">
        <f>VLOOKUP($D155,NatureChart,5,0)</f>
        <v>1</v>
      </c>
      <c r="AA155" s="84">
        <f>VLOOKUP($D155,NatureChart,6,0)</f>
        <v>1</v>
      </c>
      <c r="AB155" s="84">
        <f>IF($C155="Shedinja",1,(INT((2*VLOOKUP($C155,DexData,5,0)+INT(Q155/4)+K155)/2)+60))</f>
        <v>105</v>
      </c>
      <c r="AC155" s="84">
        <f>INT(INT((INT((2*VLOOKUP($C155,DexData,6,0)+INT(R155/4)+L155)/2)+5)*W155)*IF($E155="Choice Band",1.5,IF(OR($E155="Mawilite",$E155="Medichamite",$E155="Thick Club"),2,1)))</f>
        <v>141</v>
      </c>
      <c r="AD155" s="84">
        <f>INT(INT((INT((2*VLOOKUP($C155,DexData,7,0)+INT(S155/4)+M155)/2)+5)*X155)*IF($E155="Eviolite",1.5,1))</f>
        <v>55</v>
      </c>
      <c r="AE155" s="84">
        <f>INT(INT((INT((2*VLOOKUP($C155,DexData,9,0)+INT(T155/4)+N155)/2)+5)*Y155)*IF($E155="Choice Specs",1.5,1))</f>
        <v>40</v>
      </c>
      <c r="AF155" s="84">
        <f>INT(INT((INT((2*VLOOKUP($C155,DexData,10,0)+INT(U155/4)+O155)/2)+5)*Z155)*IF(OR($E155="Eviolite",$E155="Assault Vest"),1.5,1))</f>
        <v>55</v>
      </c>
      <c r="AG155" s="84">
        <f>INT(INT((INT((2*VLOOKUP($C155,DexData,11,0)+INT(V155/4)+P155)/2)+5)*AA155)*IF($E155="Choice Scarf",1.5,IF($E155="Iron Ball",0.5,1)))</f>
        <v>109</v>
      </c>
      <c r="AH155" s="84" t="str">
        <f>VLOOKUP(VLOOKUP($C155,DexData,3,0),Aliases!D$2:E$19,2,0)&amp;IFERROR("/"&amp;VLOOKUP(VLOOKUP($C155,DexData,4,0),Aliases!D$2:E$19,2,0),"")</f>
        <v>RCK/BUG</v>
      </c>
      <c r="AI155" s="7">
        <v>3.0</v>
      </c>
      <c r="AJ155" s="7">
        <f>IF(VLOOKUP(B155,'Set Odds'!A$2:AN$1067,40,0),1,IF(VLOOKUP(B155,'Set Odds'!A$2:AO$1067,41,0),2,0))</f>
        <v>0</v>
      </c>
      <c r="AK155" s="7"/>
      <c r="AL155" s="7" t="str">
        <f t="shared" si="1"/>
        <v/>
      </c>
    </row>
    <row r="156" ht="12.75" customHeight="1">
      <c r="A156" s="86">
        <v>155.0</v>
      </c>
      <c r="B156" s="84" t="s">
        <v>3127</v>
      </c>
      <c r="C156" s="7" t="s">
        <v>3128</v>
      </c>
      <c r="D156" s="7" t="s">
        <v>2692</v>
      </c>
      <c r="E156" s="7" t="s">
        <v>3129</v>
      </c>
      <c r="F156" s="84" t="s">
        <v>2852</v>
      </c>
      <c r="G156" s="84" t="s">
        <v>2620</v>
      </c>
      <c r="H156" s="84" t="s">
        <v>3130</v>
      </c>
      <c r="I156" s="84" t="s">
        <v>2948</v>
      </c>
      <c r="J156" s="7" t="s">
        <v>3131</v>
      </c>
      <c r="K156" s="7">
        <v>0.0</v>
      </c>
      <c r="L156" s="7">
        <v>31.0</v>
      </c>
      <c r="M156" s="7">
        <v>0.0</v>
      </c>
      <c r="N156" s="7">
        <v>0.0</v>
      </c>
      <c r="O156" s="7">
        <v>0.0</v>
      </c>
      <c r="P156" s="7">
        <v>31.0</v>
      </c>
      <c r="Q156" s="7">
        <v>0.0</v>
      </c>
      <c r="R156" s="7">
        <v>108.0</v>
      </c>
      <c r="S156" s="7">
        <v>0.0</v>
      </c>
      <c r="T156" s="7">
        <v>0.0</v>
      </c>
      <c r="U156" s="7">
        <v>0.0</v>
      </c>
      <c r="V156" s="7">
        <v>108.0</v>
      </c>
      <c r="W156" s="7">
        <f>VLOOKUP($D156,NatureChart,2,0)</f>
        <v>1</v>
      </c>
      <c r="X156" s="7">
        <f>VLOOKUP($D156,NatureChart,3,0)</f>
        <v>1</v>
      </c>
      <c r="Y156" s="7">
        <f>VLOOKUP($D156,NatureChart,4,0)</f>
        <v>0.9</v>
      </c>
      <c r="Z156" s="7">
        <f>VLOOKUP($D156,NatureChart,5,0)</f>
        <v>1</v>
      </c>
      <c r="AA156" s="84">
        <f>VLOOKUP($D156,NatureChart,6,0)</f>
        <v>1.1</v>
      </c>
      <c r="AB156" s="84">
        <f>IF($C156="Shedinja",1,(INT((2*VLOOKUP($C156,DexData,5,0)+INT(Q156/4)+K156)/2)+60))</f>
        <v>115</v>
      </c>
      <c r="AC156" s="84">
        <f>INT(INT((INT((2*VLOOKUP($C156,DexData,6,0)+INT(R156/4)+L156)/2)+5)*W156)*IF($E156="Choice Band",1.5,IF(OR($E156="Mawilite",$E156="Medichamite",$E156="Thick Club"),2,1)))</f>
        <v>104</v>
      </c>
      <c r="AD156" s="84">
        <f>INT(INT((INT((2*VLOOKUP($C156,DexData,7,0)+INT(S156/4)+M156)/2)+5)*X156)*IF($E156="Eviolite",1.5,1))</f>
        <v>60</v>
      </c>
      <c r="AE156" s="84">
        <f>INT(INT((INT((2*VLOOKUP($C156,DexData,9,0)+INT(T156/4)+N156)/2)+5)*Y156)*IF($E156="Choice Specs",1.5,1))</f>
        <v>40</v>
      </c>
      <c r="AF156" s="84">
        <f>INT(INT((INT((2*VLOOKUP($C156,DexData,10,0)+INT(U156/4)+O156)/2)+5)*Z156)*IF(OR($E156="Eviolite",$E156="Assault Vest"),1.5,1))</f>
        <v>60</v>
      </c>
      <c r="AG156" s="84">
        <f>INT(INT((INT((2*VLOOKUP($C156,DexData,11,0)+INT(V156/4)+P156)/2)+5)*AA156)*IF($E156="Choice Scarf",1.5,IF($E156="Iron Ball",0.5,1)))</f>
        <v>130</v>
      </c>
      <c r="AH156" s="84" t="str">
        <f>VLOOKUP(VLOOKUP($C156,DexData,3,0),Aliases!D$2:E$19,2,0)&amp;IFERROR("/"&amp;VLOOKUP(VLOOKUP($C156,DexData,4,0),Aliases!D$2:E$19,2,0),"")</f>
        <v>NRM</v>
      </c>
      <c r="AI156" s="7">
        <v>3.0</v>
      </c>
      <c r="AJ156" s="7">
        <f>IF(VLOOKUP(B156,'Set Odds'!A$2:AN$1067,40,0),1,IF(VLOOKUP(B156,'Set Odds'!A$2:AO$1067,41,0),2,0))</f>
        <v>0</v>
      </c>
      <c r="AK156" s="7"/>
      <c r="AL156" s="7" t="str">
        <f t="shared" si="1"/>
        <v/>
      </c>
    </row>
    <row r="157" ht="12.75" customHeight="1">
      <c r="A157" s="86">
        <v>156.0</v>
      </c>
      <c r="B157" s="84" t="s">
        <v>3132</v>
      </c>
      <c r="C157" s="7" t="s">
        <v>3133</v>
      </c>
      <c r="D157" s="7" t="s">
        <v>3134</v>
      </c>
      <c r="E157" s="7" t="s">
        <v>3077</v>
      </c>
      <c r="F157" s="84" t="s">
        <v>3135</v>
      </c>
      <c r="G157" s="84" t="s">
        <v>2602</v>
      </c>
      <c r="H157" s="84" t="s">
        <v>2601</v>
      </c>
      <c r="I157" s="84" t="s">
        <v>2596</v>
      </c>
      <c r="J157" s="7" t="s">
        <v>3136</v>
      </c>
      <c r="K157" s="7">
        <v>0.0</v>
      </c>
      <c r="L157" s="7">
        <v>31.0</v>
      </c>
      <c r="M157" s="7">
        <v>0.0</v>
      </c>
      <c r="N157" s="7">
        <v>0.0</v>
      </c>
      <c r="O157" s="7">
        <v>0.0</v>
      </c>
      <c r="P157" s="7">
        <v>31.0</v>
      </c>
      <c r="Q157" s="7">
        <v>0.0</v>
      </c>
      <c r="R157" s="7">
        <v>108.0</v>
      </c>
      <c r="S157" s="7">
        <v>0.0</v>
      </c>
      <c r="T157" s="7">
        <v>0.0</v>
      </c>
      <c r="U157" s="7">
        <v>0.0</v>
      </c>
      <c r="V157" s="7">
        <v>108.0</v>
      </c>
      <c r="W157" s="7">
        <f>VLOOKUP($D157,NatureChart,2,0)</f>
        <v>1</v>
      </c>
      <c r="X157" s="7">
        <f>VLOOKUP($D157,NatureChart,3,0)</f>
        <v>1</v>
      </c>
      <c r="Y157" s="7">
        <f>VLOOKUP($D157,NatureChart,4,0)</f>
        <v>1</v>
      </c>
      <c r="Z157" s="7">
        <f>VLOOKUP($D157,NatureChart,5,0)</f>
        <v>0.9</v>
      </c>
      <c r="AA157" s="84">
        <f>VLOOKUP($D157,NatureChart,6,0)</f>
        <v>1.1</v>
      </c>
      <c r="AB157" s="84">
        <f>IF($C157="Shedinja",1,(INT((2*VLOOKUP($C157,DexData,5,0)+INT(Q157/4)+K157)/2)+60))</f>
        <v>105</v>
      </c>
      <c r="AC157" s="84">
        <f>INT(INT((INT((2*VLOOKUP($C157,DexData,6,0)+INT(R157/4)+L157)/2)+5)*W157)*IF($E157="Choice Band",1.5,IF(OR($E157="Mawilite",$E157="Medichamite",$E157="Thick Club"),2,1)))</f>
        <v>97</v>
      </c>
      <c r="AD157" s="84">
        <f>INT(INT((INT((2*VLOOKUP($C157,DexData,7,0)+INT(S157/4)+M157)/2)+5)*X157)*IF($E157="Eviolite",1.5,1))</f>
        <v>42</v>
      </c>
      <c r="AE157" s="84">
        <f>INT(INT((INT((2*VLOOKUP($C157,DexData,9,0)+INT(T157/4)+N157)/2)+5)*Y157)*IF($E157="Choice Specs",1.5,1))</f>
        <v>70</v>
      </c>
      <c r="AF157" s="84">
        <f>INT(INT((INT((2*VLOOKUP($C157,DexData,10,0)+INT(U157/4)+O157)/2)+5)*Z157)*IF(OR($E157="Eviolite",$E157="Assault Vest"),1.5,1))</f>
        <v>54</v>
      </c>
      <c r="AG157" s="84">
        <f>INT(INT((INT((2*VLOOKUP($C157,DexData,11,0)+INT(V157/4)+P157)/2)+5)*AA157)*IF($E157="Choice Scarf",1.5,IF($E157="Iron Ball",0.5,1)))</f>
        <v>141</v>
      </c>
      <c r="AH157" s="84" t="str">
        <f>VLOOKUP(VLOOKUP($C157,DexData,3,0),Aliases!D$2:E$19,2,0)&amp;IFERROR("/"&amp;VLOOKUP(VLOOKUP($C157,DexData,4,0),Aliases!D$2:E$19,2,0),"")</f>
        <v>ELC</v>
      </c>
      <c r="AI157" s="7">
        <v>3.0</v>
      </c>
      <c r="AJ157" s="7">
        <f>IF(VLOOKUP(B157,'Set Odds'!A$2:AN$1067,40,0),1,IF(VLOOKUP(B157,'Set Odds'!A$2:AO$1067,41,0),2,0))</f>
        <v>0</v>
      </c>
      <c r="AK157" s="7"/>
      <c r="AL157" s="7" t="str">
        <f t="shared" si="1"/>
        <v/>
      </c>
    </row>
    <row r="158" ht="12.75" customHeight="1">
      <c r="A158" s="86">
        <v>157.0</v>
      </c>
      <c r="B158" s="84" t="s">
        <v>3137</v>
      </c>
      <c r="C158" s="7" t="s">
        <v>3138</v>
      </c>
      <c r="D158" s="7" t="s">
        <v>2656</v>
      </c>
      <c r="E158" s="7" t="s">
        <v>2520</v>
      </c>
      <c r="F158" s="84" t="s">
        <v>3139</v>
      </c>
      <c r="G158" s="84" t="s">
        <v>3140</v>
      </c>
      <c r="H158" s="84" t="s">
        <v>2901</v>
      </c>
      <c r="I158" s="84" t="s">
        <v>2812</v>
      </c>
      <c r="J158" s="7" t="s">
        <v>3141</v>
      </c>
      <c r="K158" s="7">
        <v>31.0</v>
      </c>
      <c r="L158" s="7">
        <v>0.0</v>
      </c>
      <c r="M158" s="7">
        <v>0.0</v>
      </c>
      <c r="N158" s="7">
        <v>31.0</v>
      </c>
      <c r="O158" s="7">
        <v>0.0</v>
      </c>
      <c r="P158" s="7">
        <v>0.0</v>
      </c>
      <c r="Q158" s="7">
        <v>108.0</v>
      </c>
      <c r="R158" s="7">
        <v>0.0</v>
      </c>
      <c r="S158" s="7">
        <v>0.0</v>
      </c>
      <c r="T158" s="7">
        <v>108.0</v>
      </c>
      <c r="U158" s="7">
        <v>0.0</v>
      </c>
      <c r="V158" s="7">
        <v>0.0</v>
      </c>
      <c r="W158" s="7">
        <f>VLOOKUP($D158,NatureChart,2,0)</f>
        <v>0.9</v>
      </c>
      <c r="X158" s="7">
        <f>VLOOKUP($D158,NatureChart,3,0)</f>
        <v>1</v>
      </c>
      <c r="Y158" s="7">
        <f>VLOOKUP($D158,NatureChart,4,0)</f>
        <v>1.1</v>
      </c>
      <c r="Z158" s="7">
        <f>VLOOKUP($D158,NatureChart,5,0)</f>
        <v>1</v>
      </c>
      <c r="AA158" s="84">
        <f>VLOOKUP($D158,NatureChart,6,0)</f>
        <v>1</v>
      </c>
      <c r="AB158" s="84">
        <f>IF($C158="Shedinja",1,(INT((2*VLOOKUP($C158,DexData,5,0)+INT(Q158/4)+K158)/2)+60))</f>
        <v>173</v>
      </c>
      <c r="AC158" s="84">
        <f>INT(INT((INT((2*VLOOKUP($C158,DexData,6,0)+INT(R158/4)+L158)/2)+5)*W158)*IF($E158="Choice Band",1.5,IF(OR($E158="Mawilite",$E158="Medichamite",$E158="Thick Club"),2,1)))</f>
        <v>68</v>
      </c>
      <c r="AD158" s="84">
        <f>INT(INT((INT((2*VLOOKUP($C158,DexData,7,0)+INT(S158/4)+M158)/2)+5)*X158)*IF($E158="Eviolite",1.5,1))</f>
        <v>48</v>
      </c>
      <c r="AE158" s="84">
        <f>INT(INT((INT((2*VLOOKUP($C158,DexData,9,0)+INT(T158/4)+N158)/2)+5)*Y158)*IF($E158="Choice Specs",1.5,1))</f>
        <v>115</v>
      </c>
      <c r="AF158" s="84">
        <f>INT(INT((INT((2*VLOOKUP($C158,DexData,10,0)+INT(U158/4)+O158)/2)+5)*Z158)*IF(OR($E158="Eviolite",$E158="Assault Vest"),1.5,1))</f>
        <v>48</v>
      </c>
      <c r="AG158" s="84">
        <f>INT(INT((INT((2*VLOOKUP($C158,DexData,11,0)+INT(V158/4)+P158)/2)+5)*AA158)*IF($E158="Choice Scarf",1.5,IF($E158="Iron Ball",0.5,1)))</f>
        <v>53</v>
      </c>
      <c r="AH158" s="84" t="str">
        <f>VLOOKUP(VLOOKUP($C158,DexData,3,0),Aliases!D$2:E$19,2,0)&amp;IFERROR("/"&amp;VLOOKUP(VLOOKUP($C158,DexData,4,0),Aliases!D$2:E$19,2,0),"")</f>
        <v>NRM</v>
      </c>
      <c r="AI158" s="7">
        <v>3.0</v>
      </c>
      <c r="AJ158" s="7">
        <f>IF(VLOOKUP(B158,'Set Odds'!A$2:AN$1067,40,0),1,IF(VLOOKUP(B158,'Set Odds'!A$2:AO$1067,41,0),2,0))</f>
        <v>0</v>
      </c>
      <c r="AK158" s="7"/>
      <c r="AL158" s="7" t="str">
        <f t="shared" si="1"/>
        <v/>
      </c>
    </row>
    <row r="159" ht="12.75" customHeight="1">
      <c r="A159" s="86">
        <v>158.0</v>
      </c>
      <c r="B159" s="84" t="s">
        <v>3142</v>
      </c>
      <c r="C159" s="7" t="s">
        <v>3143</v>
      </c>
      <c r="D159" s="7" t="s">
        <v>2811</v>
      </c>
      <c r="E159" s="7" t="s">
        <v>3129</v>
      </c>
      <c r="F159" s="84" t="s">
        <v>2977</v>
      </c>
      <c r="G159" s="84" t="s">
        <v>3144</v>
      </c>
      <c r="H159" s="84" t="s">
        <v>2772</v>
      </c>
      <c r="I159" s="84" t="s">
        <v>2785</v>
      </c>
      <c r="J159" s="7" t="s">
        <v>3145</v>
      </c>
      <c r="K159" s="7">
        <v>31.0</v>
      </c>
      <c r="L159" s="7">
        <v>0.0</v>
      </c>
      <c r="M159" s="7">
        <v>31.0</v>
      </c>
      <c r="N159" s="7">
        <v>0.0</v>
      </c>
      <c r="O159" s="7">
        <v>0.0</v>
      </c>
      <c r="P159" s="7">
        <v>0.0</v>
      </c>
      <c r="Q159" s="7">
        <v>108.0</v>
      </c>
      <c r="R159" s="7">
        <v>0.0</v>
      </c>
      <c r="S159" s="7">
        <v>108.0</v>
      </c>
      <c r="T159" s="7">
        <v>0.0</v>
      </c>
      <c r="U159" s="7">
        <v>0.0</v>
      </c>
      <c r="V159" s="7">
        <v>0.0</v>
      </c>
      <c r="W159" s="7">
        <f>VLOOKUP($D159,NatureChart,2,0)</f>
        <v>1</v>
      </c>
      <c r="X159" s="7">
        <f>VLOOKUP($D159,NatureChart,3,0)</f>
        <v>1.1</v>
      </c>
      <c r="Y159" s="7">
        <f>VLOOKUP($D159,NatureChart,4,0)</f>
        <v>1</v>
      </c>
      <c r="Z159" s="7">
        <f>VLOOKUP($D159,NatureChart,5,0)</f>
        <v>1</v>
      </c>
      <c r="AA159" s="84">
        <f>VLOOKUP($D159,NatureChart,6,0)</f>
        <v>0.9</v>
      </c>
      <c r="AB159" s="84">
        <f>IF($C159="Shedinja",1,(INT((2*VLOOKUP($C159,DexData,5,0)+INT(Q159/4)+K159)/2)+60))</f>
        <v>149</v>
      </c>
      <c r="AC159" s="84">
        <f>INT(INT((INT((2*VLOOKUP($C159,DexData,6,0)+INT(R159/4)+L159)/2)+5)*W159)*IF($E159="Choice Band",1.5,IF(OR($E159="Mawilite",$E159="Medichamite",$E159="Thick Club"),2,1)))</f>
        <v>65</v>
      </c>
      <c r="AD159" s="84">
        <f>INT(INT((INT((2*VLOOKUP($C159,DexData,7,0)+INT(S159/4)+M159)/2)+5)*X159)*IF($E159="Eviolite",1.5,1))</f>
        <v>103</v>
      </c>
      <c r="AE159" s="84">
        <f>INT(INT((INT((2*VLOOKUP($C159,DexData,9,0)+INT(T159/4)+N159)/2)+5)*Y159)*IF($E159="Choice Specs",1.5,1))</f>
        <v>65</v>
      </c>
      <c r="AF159" s="84">
        <f>INT(INT((INT((2*VLOOKUP($C159,DexData,10,0)+INT(U159/4)+O159)/2)+5)*Z159)*IF(OR($E159="Eviolite",$E159="Assault Vest"),1.5,1))</f>
        <v>65</v>
      </c>
      <c r="AG159" s="84">
        <f>INT(INT((INT((2*VLOOKUP($C159,DexData,11,0)+INT(V159/4)+P159)/2)+5)*AA159)*IF($E159="Choice Scarf",1.5,IF($E159="Iron Ball",0.5,1)))</f>
        <v>58</v>
      </c>
      <c r="AH159" s="84" t="str">
        <f>VLOOKUP(VLOOKUP($C159,DexData,3,0),Aliases!D$2:E$19,2,0)&amp;IFERROR("/"&amp;VLOOKUP(VLOOKUP($C159,DexData,4,0),Aliases!D$2:E$19,2,0),"")</f>
        <v>NRM</v>
      </c>
      <c r="AI159" s="7">
        <v>3.0</v>
      </c>
      <c r="AJ159" s="7">
        <f>IF(VLOOKUP(B159,'Set Odds'!A$2:AN$1067,40,0),1,IF(VLOOKUP(B159,'Set Odds'!A$2:AO$1067,41,0),2,0))</f>
        <v>0</v>
      </c>
      <c r="AK159" s="7"/>
      <c r="AL159" s="7" t="str">
        <f t="shared" si="1"/>
        <v/>
      </c>
    </row>
    <row r="160" ht="12.75" customHeight="1">
      <c r="A160" s="86">
        <v>159.0</v>
      </c>
      <c r="B160" s="84" t="s">
        <v>3146</v>
      </c>
      <c r="C160" s="7" t="s">
        <v>3147</v>
      </c>
      <c r="D160" s="7" t="s">
        <v>2571</v>
      </c>
      <c r="E160" s="7" t="s">
        <v>3148</v>
      </c>
      <c r="F160" s="84" t="s">
        <v>2693</v>
      </c>
      <c r="G160" s="84" t="s">
        <v>2588</v>
      </c>
      <c r="H160" s="84" t="s">
        <v>2694</v>
      </c>
      <c r="I160" s="84" t="s">
        <v>2534</v>
      </c>
      <c r="J160" s="7" t="s">
        <v>2696</v>
      </c>
      <c r="K160" s="7">
        <v>0.0</v>
      </c>
      <c r="L160" s="7">
        <v>31.0</v>
      </c>
      <c r="M160" s="7">
        <v>0.0</v>
      </c>
      <c r="N160" s="7">
        <v>0.0</v>
      </c>
      <c r="O160" s="7">
        <v>0.0</v>
      </c>
      <c r="P160" s="7">
        <v>31.0</v>
      </c>
      <c r="Q160" s="7">
        <v>0.0</v>
      </c>
      <c r="R160" s="7">
        <v>108.0</v>
      </c>
      <c r="S160" s="7">
        <v>0.0</v>
      </c>
      <c r="T160" s="7">
        <v>0.0</v>
      </c>
      <c r="U160" s="7">
        <v>0.0</v>
      </c>
      <c r="V160" s="7">
        <v>108.0</v>
      </c>
      <c r="W160" s="7">
        <f>VLOOKUP($D160,NatureChart,2,0)</f>
        <v>1.1</v>
      </c>
      <c r="X160" s="7">
        <f>VLOOKUP($D160,NatureChart,3,0)</f>
        <v>1</v>
      </c>
      <c r="Y160" s="7">
        <f>VLOOKUP($D160,NatureChart,4,0)</f>
        <v>0.9</v>
      </c>
      <c r="Z160" s="7">
        <f>VLOOKUP($D160,NatureChart,5,0)</f>
        <v>1</v>
      </c>
      <c r="AA160" s="84">
        <f>VLOOKUP($D160,NatureChart,6,0)</f>
        <v>1</v>
      </c>
      <c r="AB160" s="84">
        <f>IF($C160="Shedinja",1,(INT((2*VLOOKUP($C160,DexData,5,0)+INT(Q160/4)+K160)/2)+60))</f>
        <v>120</v>
      </c>
      <c r="AC160" s="84">
        <f>INT(INT((INT((2*VLOOKUP($C160,DexData,6,0)+INT(R160/4)+L160)/2)+5)*W160)*IF($E160="Choice Band",1.5,IF(OR($E160="Mawilite",$E160="Medichamite",$E160="Thick Club"),2,1)))</f>
        <v>130</v>
      </c>
      <c r="AD160" s="84">
        <f>INT(INT((INT((2*VLOOKUP($C160,DexData,7,0)+INT(S160/4)+M160)/2)+5)*X160)*IF($E160="Eviolite",1.5,1))</f>
        <v>54</v>
      </c>
      <c r="AE160" s="84">
        <f>INT(INT((INT((2*VLOOKUP($C160,DexData,9,0)+INT(T160/4)+N160)/2)+5)*Y160)*IF($E160="Choice Specs",1.5,1))</f>
        <v>58</v>
      </c>
      <c r="AF160" s="84">
        <f>INT(INT((INT((2*VLOOKUP($C160,DexData,10,0)+INT(U160/4)+O160)/2)+5)*Z160)*IF(OR($E160="Eviolite",$E160="Assault Vest"),1.5,1))</f>
        <v>54</v>
      </c>
      <c r="AG160" s="84">
        <f>INT(INT((INT((2*VLOOKUP($C160,DexData,11,0)+INT(V160/4)+P160)/2)+5)*AA160)*IF($E160="Choice Scarf",1.5,IF($E160="Iron Ball",0.5,1)))</f>
        <v>94</v>
      </c>
      <c r="AH160" s="84" t="str">
        <f>VLOOKUP(VLOOKUP($C160,DexData,3,0),Aliases!D$2:E$19,2,0)&amp;IFERROR("/"&amp;VLOOKUP(VLOOKUP($C160,DexData,4,0),Aliases!D$2:E$19,2,0),"")</f>
        <v>ELC</v>
      </c>
      <c r="AI160" s="7">
        <v>3.0</v>
      </c>
      <c r="AJ160" s="7">
        <f>IF(VLOOKUP(B160,'Set Odds'!A$2:AN$1067,40,0),1,IF(VLOOKUP(B160,'Set Odds'!A$2:AO$1067,41,0),2,0))</f>
        <v>0</v>
      </c>
      <c r="AK160" s="7"/>
      <c r="AL160" s="7" t="str">
        <f t="shared" si="1"/>
        <v/>
      </c>
    </row>
    <row r="161" ht="12.75" customHeight="1">
      <c r="A161" s="86">
        <v>160.0</v>
      </c>
      <c r="B161" s="84" t="s">
        <v>3149</v>
      </c>
      <c r="C161" s="7" t="s">
        <v>3150</v>
      </c>
      <c r="D161" s="7" t="s">
        <v>2571</v>
      </c>
      <c r="E161" s="7" t="s">
        <v>2520</v>
      </c>
      <c r="F161" s="84" t="s">
        <v>3151</v>
      </c>
      <c r="G161" s="84" t="s">
        <v>2588</v>
      </c>
      <c r="H161" s="84" t="s">
        <v>2614</v>
      </c>
      <c r="I161" s="84" t="s">
        <v>3152</v>
      </c>
      <c r="J161" s="7" t="s">
        <v>2708</v>
      </c>
      <c r="K161" s="7">
        <v>31.0</v>
      </c>
      <c r="L161" s="7">
        <v>31.0</v>
      </c>
      <c r="M161" s="7">
        <v>0.0</v>
      </c>
      <c r="N161" s="7">
        <v>0.0</v>
      </c>
      <c r="O161" s="7">
        <v>0.0</v>
      </c>
      <c r="P161" s="7">
        <v>0.0</v>
      </c>
      <c r="Q161" s="7">
        <v>108.0</v>
      </c>
      <c r="R161" s="7">
        <v>108.0</v>
      </c>
      <c r="S161" s="7">
        <v>0.0</v>
      </c>
      <c r="T161" s="7">
        <v>0.0</v>
      </c>
      <c r="U161" s="7">
        <v>0.0</v>
      </c>
      <c r="V161" s="7">
        <v>0.0</v>
      </c>
      <c r="W161" s="7">
        <f>VLOOKUP($D161,NatureChart,2,0)</f>
        <v>1.1</v>
      </c>
      <c r="X161" s="7">
        <f>VLOOKUP($D161,NatureChart,3,0)</f>
        <v>1</v>
      </c>
      <c r="Y161" s="7">
        <f>VLOOKUP($D161,NatureChart,4,0)</f>
        <v>0.9</v>
      </c>
      <c r="Z161" s="7">
        <f>VLOOKUP($D161,NatureChart,5,0)</f>
        <v>1</v>
      </c>
      <c r="AA161" s="84">
        <f>VLOOKUP($D161,NatureChart,6,0)</f>
        <v>1</v>
      </c>
      <c r="AB161" s="84">
        <f>IF($C161="Shedinja",1,(INT((2*VLOOKUP($C161,DexData,5,0)+INT(Q161/4)+K161)/2)+60))</f>
        <v>159</v>
      </c>
      <c r="AC161" s="84">
        <f>INT(INT((INT((2*VLOOKUP($C161,DexData,6,0)+INT(R161/4)+L161)/2)+5)*W161)*IF($E161="Choice Band",1.5,IF(OR($E161="Mawilite",$E161="Medichamite",$E161="Thick Club"),2,1)))</f>
        <v>105</v>
      </c>
      <c r="AD161" s="84">
        <f>INT(INT((INT((2*VLOOKUP($C161,DexData,7,0)+INT(S161/4)+M161)/2)+5)*X161)*IF($E161="Eviolite",1.5,1))</f>
        <v>72</v>
      </c>
      <c r="AE161" s="84">
        <f>INT(INT((INT((2*VLOOKUP($C161,DexData,9,0)+INT(T161/4)+N161)/2)+5)*Y161)*IF($E161="Choice Specs",1.5,1))</f>
        <v>54</v>
      </c>
      <c r="AF161" s="84">
        <f>INT(INT((INT((2*VLOOKUP($C161,DexData,10,0)+INT(U161/4)+O161)/2)+5)*Z161)*IF(OR($E161="Eviolite",$E161="Assault Vest"),1.5,1))</f>
        <v>60</v>
      </c>
      <c r="AG161" s="84">
        <f>INT(INT((INT((2*VLOOKUP($C161,DexData,11,0)+INT(V161/4)+P161)/2)+5)*AA161)*IF($E161="Choice Scarf",1.5,IF($E161="Iron Ball",0.5,1)))</f>
        <v>61</v>
      </c>
      <c r="AH161" s="84" t="str">
        <f>VLOOKUP(VLOOKUP($C161,DexData,3,0),Aliases!D$2:E$19,2,0)&amp;IFERROR("/"&amp;VLOOKUP(VLOOKUP($C161,DexData,4,0),Aliases!D$2:E$19,2,0),"")</f>
        <v>PSN</v>
      </c>
      <c r="AI161" s="7">
        <v>3.0</v>
      </c>
      <c r="AJ161" s="7">
        <f>IF(VLOOKUP(B161,'Set Odds'!A$2:AN$1067,40,0),1,IF(VLOOKUP(B161,'Set Odds'!A$2:AO$1067,41,0),2,0))</f>
        <v>0</v>
      </c>
      <c r="AK161" s="7"/>
      <c r="AL161" s="7" t="str">
        <f t="shared" si="1"/>
        <v/>
      </c>
    </row>
    <row r="162" ht="12.75" customHeight="1">
      <c r="A162" s="86">
        <v>161.0</v>
      </c>
      <c r="B162" s="84" t="s">
        <v>3153</v>
      </c>
      <c r="C162" s="7" t="s">
        <v>3154</v>
      </c>
      <c r="D162" s="7" t="s">
        <v>2611</v>
      </c>
      <c r="E162" s="7" t="s">
        <v>2520</v>
      </c>
      <c r="F162" s="84" t="s">
        <v>3151</v>
      </c>
      <c r="G162" s="84" t="s">
        <v>2607</v>
      </c>
      <c r="H162" s="84" t="s">
        <v>3039</v>
      </c>
      <c r="I162" s="84" t="s">
        <v>3152</v>
      </c>
      <c r="J162" s="7" t="s">
        <v>2708</v>
      </c>
      <c r="K162" s="7">
        <v>0.0</v>
      </c>
      <c r="L162" s="7">
        <v>31.0</v>
      </c>
      <c r="M162" s="7">
        <v>0.0</v>
      </c>
      <c r="N162" s="7">
        <v>31.0</v>
      </c>
      <c r="O162" s="7">
        <v>0.0</v>
      </c>
      <c r="P162" s="7">
        <v>0.0</v>
      </c>
      <c r="Q162" s="7">
        <v>0.0</v>
      </c>
      <c r="R162" s="7">
        <v>108.0</v>
      </c>
      <c r="S162" s="7">
        <v>0.0</v>
      </c>
      <c r="T162" s="7">
        <v>108.0</v>
      </c>
      <c r="U162" s="7">
        <v>0.0</v>
      </c>
      <c r="V162" s="7">
        <v>0.0</v>
      </c>
      <c r="W162" s="7">
        <f>VLOOKUP($D162,NatureChart,2,0)</f>
        <v>1</v>
      </c>
      <c r="X162" s="7">
        <f>VLOOKUP($D162,NatureChart,3,0)</f>
        <v>1</v>
      </c>
      <c r="Y162" s="7">
        <f>VLOOKUP($D162,NatureChart,4,0)</f>
        <v>1</v>
      </c>
      <c r="Z162" s="7">
        <f>VLOOKUP($D162,NatureChart,5,0)</f>
        <v>1</v>
      </c>
      <c r="AA162" s="84">
        <f>VLOOKUP($D162,NatureChart,6,0)</f>
        <v>1</v>
      </c>
      <c r="AB162" s="84">
        <f>IF($C162="Shedinja",1,(INT((2*VLOOKUP($C162,DexData,5,0)+INT(Q162/4)+K162)/2)+60))</f>
        <v>121</v>
      </c>
      <c r="AC162" s="84">
        <f>INT(INT((INT((2*VLOOKUP($C162,DexData,6,0)+INT(R162/4)+L162)/2)+5)*W162)*IF($E162="Choice Band",1.5,IF(OR($E162="Mawilite",$E162="Medichamite",$E162="Thick Club"),2,1)))</f>
        <v>106</v>
      </c>
      <c r="AD162" s="84">
        <f>INT(INT((INT((2*VLOOKUP($C162,DexData,7,0)+INT(S162/4)+M162)/2)+5)*X162)*IF($E162="Eviolite",1.5,1))</f>
        <v>62</v>
      </c>
      <c r="AE162" s="84">
        <f>INT(INT((INT((2*VLOOKUP($C162,DexData,9,0)+INT(T162/4)+N162)/2)+5)*Y162)*IF($E162="Choice Specs",1.5,1))</f>
        <v>89</v>
      </c>
      <c r="AF162" s="84">
        <f>INT(INT((INT((2*VLOOKUP($C162,DexData,10,0)+INT(U162/4)+O162)/2)+5)*Z162)*IF(OR($E162="Eviolite",$E162="Assault Vest"),1.5,1))</f>
        <v>60</v>
      </c>
      <c r="AG162" s="84">
        <f>INT(INT((INT((2*VLOOKUP($C162,DexData,11,0)+INT(V162/4)+P162)/2)+5)*AA162)*IF($E162="Choice Scarf",1.5,IF($E162="Iron Ball",0.5,1)))</f>
        <v>70</v>
      </c>
      <c r="AH162" s="84" t="str">
        <f>VLOOKUP(VLOOKUP($C162,DexData,3,0),Aliases!D$2:E$19,2,0)&amp;IFERROR("/"&amp;VLOOKUP(VLOOKUP($C162,DexData,4,0),Aliases!D$2:E$19,2,0),"")</f>
        <v>PSN</v>
      </c>
      <c r="AI162" s="7">
        <v>3.0</v>
      </c>
      <c r="AJ162" s="7">
        <f>IF(VLOOKUP(B162,'Set Odds'!A$2:AN$1067,40,0),1,IF(VLOOKUP(B162,'Set Odds'!A$2:AO$1067,41,0),2,0))</f>
        <v>0</v>
      </c>
      <c r="AK162" s="7"/>
      <c r="AL162" s="7" t="str">
        <f t="shared" si="1"/>
        <v/>
      </c>
    </row>
    <row r="163" ht="12.75" customHeight="1">
      <c r="A163" s="86">
        <v>162.0</v>
      </c>
      <c r="B163" s="84" t="s">
        <v>3155</v>
      </c>
      <c r="C163" s="7" t="s">
        <v>3156</v>
      </c>
      <c r="D163" s="7" t="s">
        <v>3157</v>
      </c>
      <c r="E163" s="7" t="s">
        <v>2618</v>
      </c>
      <c r="F163" s="84" t="s">
        <v>2961</v>
      </c>
      <c r="G163" s="84" t="s">
        <v>2763</v>
      </c>
      <c r="H163" s="84" t="s">
        <v>3058</v>
      </c>
      <c r="I163" s="84" t="s">
        <v>2596</v>
      </c>
      <c r="J163" s="7" t="s">
        <v>3136</v>
      </c>
      <c r="K163" s="7">
        <v>31.0</v>
      </c>
      <c r="L163" s="7">
        <v>0.0</v>
      </c>
      <c r="M163" s="7">
        <v>0.0</v>
      </c>
      <c r="N163" s="7">
        <v>31.0</v>
      </c>
      <c r="O163" s="7">
        <v>0.0</v>
      </c>
      <c r="P163" s="7">
        <v>0.0</v>
      </c>
      <c r="Q163" s="7">
        <v>108.0</v>
      </c>
      <c r="R163" s="7">
        <v>0.0</v>
      </c>
      <c r="S163" s="7">
        <v>0.0</v>
      </c>
      <c r="T163" s="7">
        <v>108.0</v>
      </c>
      <c r="U163" s="7">
        <v>0.0</v>
      </c>
      <c r="V163" s="7">
        <v>0.0</v>
      </c>
      <c r="W163" s="7">
        <f>VLOOKUP($D163,NatureChart,2,0)</f>
        <v>1</v>
      </c>
      <c r="X163" s="7">
        <f>VLOOKUP($D163,NatureChart,3,0)</f>
        <v>0.9</v>
      </c>
      <c r="Y163" s="7">
        <f>VLOOKUP($D163,NatureChart,4,0)</f>
        <v>1.1</v>
      </c>
      <c r="Z163" s="7">
        <f>VLOOKUP($D163,NatureChart,5,0)</f>
        <v>1</v>
      </c>
      <c r="AA163" s="84">
        <f>VLOOKUP($D163,NatureChart,6,0)</f>
        <v>1</v>
      </c>
      <c r="AB163" s="84">
        <f>IF($C163="Shedinja",1,(INT((2*VLOOKUP($C163,DexData,5,0)+INT(Q163/4)+K163)/2)+60))</f>
        <v>159</v>
      </c>
      <c r="AC163" s="84">
        <f>INT(INT((INT((2*VLOOKUP($C163,DexData,6,0)+INT(R163/4)+L163)/2)+5)*W163)*IF($E163="Choice Band",1.5,IF(OR($E163="Mawilite",$E163="Medichamite",$E163="Thick Club"),2,1)))</f>
        <v>60</v>
      </c>
      <c r="AD163" s="84">
        <f>INT(INT((INT((2*VLOOKUP($C163,DexData,7,0)+INT(S163/4)+M163)/2)+5)*X163)*IF($E163="Eviolite",1.5,1))</f>
        <v>54</v>
      </c>
      <c r="AE163" s="84">
        <f>INT(INT((INT((2*VLOOKUP($C163,DexData,9,0)+INT(T163/4)+N163)/2)+5)*Y163)*IF($E163="Choice Specs",1.5,1))</f>
        <v>125</v>
      </c>
      <c r="AF163" s="84">
        <f>INT(INT((INT((2*VLOOKUP($C163,DexData,10,0)+INT(U163/4)+O163)/2)+5)*Z163)*IF(OR($E163="Eviolite",$E163="Assault Vest"),1.5,1))</f>
        <v>65</v>
      </c>
      <c r="AG163" s="84">
        <f>INT(INT((INT((2*VLOOKUP($C163,DexData,11,0)+INT(V163/4)+P163)/2)+5)*AA163)*IF($E163="Choice Scarf",1.5,IF($E163="Iron Ball",0.5,1)))</f>
        <v>50</v>
      </c>
      <c r="AH163" s="84" t="str">
        <f>VLOOKUP(VLOOKUP($C163,DexData,3,0),Aliases!D$2:E$19,2,0)&amp;IFERROR("/"&amp;VLOOKUP(VLOOKUP($C163,DexData,4,0),Aliases!D$2:E$19,2,0),"")</f>
        <v>ELC</v>
      </c>
      <c r="AI163" s="7">
        <v>3.0</v>
      </c>
      <c r="AJ163" s="7">
        <f>IF(VLOOKUP(B163,'Set Odds'!A$2:AN$1067,40,0),1,IF(VLOOKUP(B163,'Set Odds'!A$2:AO$1067,41,0),2,0))</f>
        <v>0</v>
      </c>
      <c r="AK163" s="7"/>
      <c r="AL163" s="7" t="str">
        <f t="shared" si="1"/>
        <v/>
      </c>
    </row>
    <row r="164" ht="12.75" customHeight="1">
      <c r="A164" s="86">
        <v>163.0</v>
      </c>
      <c r="B164" s="84" t="s">
        <v>3158</v>
      </c>
      <c r="C164" s="7" t="s">
        <v>3159</v>
      </c>
      <c r="D164" s="7" t="s">
        <v>2571</v>
      </c>
      <c r="E164" s="7" t="s">
        <v>2528</v>
      </c>
      <c r="F164" s="84" t="s">
        <v>3160</v>
      </c>
      <c r="G164" s="84" t="s">
        <v>2582</v>
      </c>
      <c r="H164" s="84" t="s">
        <v>2536</v>
      </c>
      <c r="I164" s="84" t="s">
        <v>3161</v>
      </c>
      <c r="J164" s="7" t="s">
        <v>3162</v>
      </c>
      <c r="K164" s="7">
        <v>31.0</v>
      </c>
      <c r="L164" s="7">
        <v>31.0</v>
      </c>
      <c r="M164" s="7">
        <v>0.0</v>
      </c>
      <c r="N164" s="7">
        <v>0.0</v>
      </c>
      <c r="O164" s="7">
        <v>0.0</v>
      </c>
      <c r="P164" s="7">
        <v>0.0</v>
      </c>
      <c r="Q164" s="7">
        <v>108.0</v>
      </c>
      <c r="R164" s="7">
        <v>108.0</v>
      </c>
      <c r="S164" s="7">
        <v>0.0</v>
      </c>
      <c r="T164" s="7">
        <v>0.0</v>
      </c>
      <c r="U164" s="7">
        <v>0.0</v>
      </c>
      <c r="V164" s="7">
        <v>0.0</v>
      </c>
      <c r="W164" s="7">
        <f>VLOOKUP($D164,NatureChart,2,0)</f>
        <v>1.1</v>
      </c>
      <c r="X164" s="7">
        <f>VLOOKUP($D164,NatureChart,3,0)</f>
        <v>1</v>
      </c>
      <c r="Y164" s="7">
        <f>VLOOKUP($D164,NatureChart,4,0)</f>
        <v>0.9</v>
      </c>
      <c r="Z164" s="7">
        <f>VLOOKUP($D164,NatureChart,5,0)</f>
        <v>1</v>
      </c>
      <c r="AA164" s="84">
        <f>VLOOKUP($D164,NatureChart,6,0)</f>
        <v>1</v>
      </c>
      <c r="AB164" s="84">
        <f>IF($C164="Shedinja",1,(INT((2*VLOOKUP($C164,DexData,5,0)+INT(Q164/4)+K164)/2)+60))</f>
        <v>134</v>
      </c>
      <c r="AC164" s="84">
        <f>INT(INT((INT((2*VLOOKUP($C164,DexData,6,0)+INT(R164/4)+L164)/2)+5)*W164)*IF($E164="Choice Band",1.5,IF(OR($E164="Mawilite",$E164="Medichamite",$E164="Thick Club"),2,1)))</f>
        <v>119</v>
      </c>
      <c r="AD164" s="84">
        <f>INT(INT((INT((2*VLOOKUP($C164,DexData,7,0)+INT(S164/4)+M164)/2)+5)*X164)*IF($E164="Eviolite",1.5,1))</f>
        <v>42</v>
      </c>
      <c r="AE164" s="84">
        <f>INT(INT((INT((2*VLOOKUP($C164,DexData,9,0)+INT(T164/4)+N164)/2)+5)*Y164)*IF($E164="Choice Specs",1.5,1))</f>
        <v>67</v>
      </c>
      <c r="AF164" s="84">
        <f>INT(INT((INT((2*VLOOKUP($C164,DexData,10,0)+INT(U164/4)+O164)/2)+5)*Z164)*IF(OR($E164="Eviolite",$E164="Assault Vest"),1.5,1))</f>
        <v>60</v>
      </c>
      <c r="AG164" s="84">
        <f>INT(INT((INT((2*VLOOKUP($C164,DexData,11,0)+INT(V164/4)+P164)/2)+5)*AA164)*IF($E164="Choice Scarf",1.5,IF($E164="Iron Ball",0.5,1)))</f>
        <v>88</v>
      </c>
      <c r="AH164" s="84" t="str">
        <f>VLOOKUP(VLOOKUP($C164,DexData,3,0),Aliases!D$2:E$19,2,0)&amp;IFERROR("/"&amp;VLOOKUP(VLOOKUP($C164,DexData,4,0),Aliases!D$2:E$19,2,0),"")</f>
        <v>FIR</v>
      </c>
      <c r="AI164" s="7">
        <v>3.0</v>
      </c>
      <c r="AJ164" s="7">
        <f>IF(VLOOKUP(B164,'Set Odds'!A$2:AN$1067,40,0),1,IF(VLOOKUP(B164,'Set Odds'!A$2:AO$1067,41,0),2,0))</f>
        <v>0</v>
      </c>
      <c r="AK164" s="7"/>
      <c r="AL164" s="7" t="str">
        <f t="shared" si="1"/>
        <v/>
      </c>
    </row>
    <row r="165" ht="12.75" customHeight="1">
      <c r="A165" s="86">
        <v>164.0</v>
      </c>
      <c r="B165" s="84" t="s">
        <v>3163</v>
      </c>
      <c r="C165" s="7" t="s">
        <v>3164</v>
      </c>
      <c r="D165" s="7" t="s">
        <v>3105</v>
      </c>
      <c r="E165" s="7" t="s">
        <v>3165</v>
      </c>
      <c r="F165" s="84" t="s">
        <v>2625</v>
      </c>
      <c r="G165" s="84" t="s">
        <v>2961</v>
      </c>
      <c r="H165" s="84" t="s">
        <v>2763</v>
      </c>
      <c r="I165" s="84" t="s">
        <v>2752</v>
      </c>
      <c r="J165" s="7" t="s">
        <v>2728</v>
      </c>
      <c r="K165" s="7">
        <v>0.0</v>
      </c>
      <c r="L165" s="7">
        <v>31.0</v>
      </c>
      <c r="M165" s="7">
        <v>0.0</v>
      </c>
      <c r="N165" s="7">
        <v>31.0</v>
      </c>
      <c r="O165" s="7">
        <v>0.0</v>
      </c>
      <c r="P165" s="7">
        <v>0.0</v>
      </c>
      <c r="Q165" s="7">
        <v>0.0</v>
      </c>
      <c r="R165" s="7">
        <v>108.0</v>
      </c>
      <c r="S165" s="7">
        <v>0.0</v>
      </c>
      <c r="T165" s="7">
        <v>108.0</v>
      </c>
      <c r="U165" s="7">
        <v>0.0</v>
      </c>
      <c r="V165" s="7">
        <v>0.0</v>
      </c>
      <c r="W165" s="7">
        <f>VLOOKUP($D165,NatureChart,2,0)</f>
        <v>1</v>
      </c>
      <c r="X165" s="7">
        <f>VLOOKUP($D165,NatureChart,3,0)</f>
        <v>1</v>
      </c>
      <c r="Y165" s="7">
        <f>VLOOKUP($D165,NatureChart,4,0)</f>
        <v>1</v>
      </c>
      <c r="Z165" s="7">
        <f>VLOOKUP($D165,NatureChart,5,0)</f>
        <v>1.1</v>
      </c>
      <c r="AA165" s="84">
        <f>VLOOKUP($D165,NatureChart,6,0)</f>
        <v>0.9</v>
      </c>
      <c r="AB165" s="84">
        <f>IF($C165="Shedinja",1,(INT((2*VLOOKUP($C165,DexData,5,0)+INT(Q165/4)+K165)/2)+60))</f>
        <v>90</v>
      </c>
      <c r="AC165" s="84">
        <f>INT(INT((INT((2*VLOOKUP($C165,DexData,6,0)+INT(R165/4)+L165)/2)+5)*W165)*IF($E165="Choice Band",1.5,IF(OR($E165="Mawilite",$E165="Medichamite",$E165="Thick Club"),2,1)))</f>
        <v>79</v>
      </c>
      <c r="AD165" s="84">
        <f>INT(INT((INT((2*VLOOKUP($C165,DexData,7,0)+INT(S165/4)+M165)/2)+5)*X165)*IF($E165="Eviolite",1.5,1))</f>
        <v>140</v>
      </c>
      <c r="AE165" s="84">
        <f>INT(INT((INT((2*VLOOKUP($C165,DexData,9,0)+INT(T165/4)+N165)/2)+5)*Y165)*IF($E165="Choice Specs",1.5,1))</f>
        <v>79</v>
      </c>
      <c r="AF165" s="84">
        <f>INT(INT((INT((2*VLOOKUP($C165,DexData,10,0)+INT(U165/4)+O165)/2)+5)*Z165)*IF(OR($E165="Eviolite",$E165="Assault Vest"),1.5,1))</f>
        <v>104</v>
      </c>
      <c r="AG165" s="84">
        <f>INT(INT((INT((2*VLOOKUP($C165,DexData,11,0)+INT(V165/4)+P165)/2)+5)*AA165)*IF($E165="Choice Scarf",1.5,IF($E165="Iron Ball",0.5,1)))</f>
        <v>31</v>
      </c>
      <c r="AH165" s="84" t="str">
        <f>VLOOKUP(VLOOKUP($C165,DexData,3,0),Aliases!D$2:E$19,2,0)&amp;IFERROR("/"&amp;VLOOKUP(VLOOKUP($C165,DexData,4,0),Aliases!D$2:E$19,2,0),"")</f>
        <v>RCK</v>
      </c>
      <c r="AI165" s="7">
        <v>3.0</v>
      </c>
      <c r="AJ165" s="7">
        <f>IF(VLOOKUP(B165,'Set Odds'!A$2:AN$1067,40,0),1,IF(VLOOKUP(B165,'Set Odds'!A$2:AO$1067,41,0),2,0))</f>
        <v>0</v>
      </c>
      <c r="AK165" s="7"/>
      <c r="AL165" s="7" t="str">
        <f t="shared" si="1"/>
        <v/>
      </c>
    </row>
    <row r="166" ht="12.75" customHeight="1">
      <c r="A166" s="86">
        <v>165.0</v>
      </c>
      <c r="B166" s="84" t="s">
        <v>3166</v>
      </c>
      <c r="C166" s="7" t="s">
        <v>3167</v>
      </c>
      <c r="D166" s="7" t="s">
        <v>2648</v>
      </c>
      <c r="E166" s="7" t="s">
        <v>2515</v>
      </c>
      <c r="F166" s="84" t="s">
        <v>2643</v>
      </c>
      <c r="G166" s="84" t="s">
        <v>3168</v>
      </c>
      <c r="H166" s="84" t="s">
        <v>2848</v>
      </c>
      <c r="I166" s="84" t="s">
        <v>2781</v>
      </c>
      <c r="J166" s="7" t="s">
        <v>3169</v>
      </c>
      <c r="K166" s="7">
        <v>31.0</v>
      </c>
      <c r="L166" s="7">
        <v>0.0</v>
      </c>
      <c r="M166" s="7">
        <v>0.0</v>
      </c>
      <c r="N166" s="7">
        <v>31.0</v>
      </c>
      <c r="O166" s="7">
        <v>0.0</v>
      </c>
      <c r="P166" s="7">
        <v>0.0</v>
      </c>
      <c r="Q166" s="7">
        <v>108.0</v>
      </c>
      <c r="R166" s="7">
        <v>0.0</v>
      </c>
      <c r="S166" s="7">
        <v>0.0</v>
      </c>
      <c r="T166" s="7">
        <v>108.0</v>
      </c>
      <c r="U166" s="7">
        <v>0.0</v>
      </c>
      <c r="V166" s="7">
        <v>0.0</v>
      </c>
      <c r="W166" s="7">
        <f>VLOOKUP($D166,NatureChart,2,0)</f>
        <v>1</v>
      </c>
      <c r="X166" s="7">
        <f>VLOOKUP($D166,NatureChart,3,0)</f>
        <v>1.1</v>
      </c>
      <c r="Y166" s="7">
        <f>VLOOKUP($D166,NatureChart,4,0)</f>
        <v>0.9</v>
      </c>
      <c r="Z166" s="7">
        <f>VLOOKUP($D166,NatureChart,5,0)</f>
        <v>1</v>
      </c>
      <c r="AA166" s="84">
        <f>VLOOKUP($D166,NatureChart,6,0)</f>
        <v>1</v>
      </c>
      <c r="AB166" s="84">
        <f>IF($C166="Shedinja",1,(INT((2*VLOOKUP($C166,DexData,5,0)+INT(Q166/4)+K166)/2)+60))</f>
        <v>154</v>
      </c>
      <c r="AC166" s="84">
        <f>INT(INT((INT((2*VLOOKUP($C166,DexData,6,0)+INT(R166/4)+L166)/2)+5)*W166)*IF($E166="Choice Band",1.5,IF(OR($E166="Mawilite",$E166="Medichamite",$E166="Thick Club"),2,1)))</f>
        <v>60</v>
      </c>
      <c r="AD166" s="84">
        <f>INT(INT((INT((2*VLOOKUP($C166,DexData,7,0)+INT(S166/4)+M166)/2)+5)*X166)*IF($E166="Eviolite",1.5,1))</f>
        <v>110</v>
      </c>
      <c r="AE166" s="84">
        <f>INT(INT((INT((2*VLOOKUP($C166,DexData,9,0)+INT(T166/4)+N166)/2)+5)*Y166)*IF($E166="Choice Specs",1.5,1))</f>
        <v>89</v>
      </c>
      <c r="AF166" s="84">
        <f>INT(INT((INT((2*VLOOKUP($C166,DexData,10,0)+INT(U166/4)+O166)/2)+5)*Z166)*IF(OR($E166="Eviolite",$E166="Assault Vest"),1.5,1))</f>
        <v>100</v>
      </c>
      <c r="AG166" s="84">
        <f>INT(INT((INT((2*VLOOKUP($C166,DexData,11,0)+INT(V166/4)+P166)/2)+5)*AA166)*IF($E166="Choice Scarf",1.5,IF($E166="Iron Ball",0.5,1)))</f>
        <v>40</v>
      </c>
      <c r="AH166" s="84" t="str">
        <f>VLOOKUP(VLOOKUP($C166,DexData,3,0),Aliases!D$2:E$19,2,0)&amp;IFERROR("/"&amp;VLOOKUP(VLOOKUP($C166,DexData,4,0),Aliases!D$2:E$19,2,0),"")</f>
        <v>WTR/RCK</v>
      </c>
      <c r="AI166" s="7">
        <v>3.0</v>
      </c>
      <c r="AJ166" s="7">
        <f>IF(VLOOKUP(B166,'Set Odds'!A$2:AN$1067,40,0),1,IF(VLOOKUP(B166,'Set Odds'!A$2:AO$1067,41,0),2,0))</f>
        <v>0</v>
      </c>
      <c r="AK166" s="7"/>
      <c r="AL166" s="7" t="str">
        <f t="shared" si="1"/>
        <v/>
      </c>
    </row>
    <row r="167" ht="12.75" customHeight="1">
      <c r="A167" s="86">
        <v>166.0</v>
      </c>
      <c r="B167" s="84" t="s">
        <v>3170</v>
      </c>
      <c r="C167" s="7" t="s">
        <v>3171</v>
      </c>
      <c r="D167" s="7" t="s">
        <v>2845</v>
      </c>
      <c r="E167" s="7" t="s">
        <v>2636</v>
      </c>
      <c r="F167" s="84" t="s">
        <v>2513</v>
      </c>
      <c r="G167" s="84" t="s">
        <v>2822</v>
      </c>
      <c r="H167" s="84" t="s">
        <v>2532</v>
      </c>
      <c r="I167" s="84" t="s">
        <v>2661</v>
      </c>
      <c r="J167" s="7" t="s">
        <v>3172</v>
      </c>
      <c r="K167" s="7">
        <v>0.0</v>
      </c>
      <c r="L167" s="7">
        <v>0.0</v>
      </c>
      <c r="M167" s="7">
        <v>0.0</v>
      </c>
      <c r="N167" s="7">
        <v>31.0</v>
      </c>
      <c r="O167" s="7">
        <v>0.0</v>
      </c>
      <c r="P167" s="7">
        <v>31.0</v>
      </c>
      <c r="Q167" s="7">
        <v>0.0</v>
      </c>
      <c r="R167" s="7">
        <v>0.0</v>
      </c>
      <c r="S167" s="7">
        <v>0.0</v>
      </c>
      <c r="T167" s="7">
        <v>108.0</v>
      </c>
      <c r="U167" s="7">
        <v>0.0</v>
      </c>
      <c r="V167" s="7">
        <v>108.0</v>
      </c>
      <c r="W167" s="7">
        <f>VLOOKUP($D167,NatureChart,2,0)</f>
        <v>1.1</v>
      </c>
      <c r="X167" s="7">
        <f>VLOOKUP($D167,NatureChart,3,0)</f>
        <v>0.9</v>
      </c>
      <c r="Y167" s="7">
        <f>VLOOKUP($D167,NatureChart,4,0)</f>
        <v>1</v>
      </c>
      <c r="Z167" s="7">
        <f>VLOOKUP($D167,NatureChart,5,0)</f>
        <v>1</v>
      </c>
      <c r="AA167" s="84">
        <f>VLOOKUP($D167,NatureChart,6,0)</f>
        <v>1</v>
      </c>
      <c r="AB167" s="84">
        <f>IF($C167="Shedinja",1,(INT((2*VLOOKUP($C167,DexData,5,0)+INT(Q167/4)+K167)/2)+60))</f>
        <v>130</v>
      </c>
      <c r="AC167" s="84">
        <f>INT(INT((INT((2*VLOOKUP($C167,DexData,6,0)+INT(R167/4)+L167)/2)+5)*W167)*IF($E167="Choice Band",1.5,IF(OR($E167="Mawilite",$E167="Medichamite",$E167="Thick Club"),2,1)))</f>
        <v>77</v>
      </c>
      <c r="AD167" s="84">
        <f>INT(INT((INT((2*VLOOKUP($C167,DexData,7,0)+INT(S167/4)+M167)/2)+5)*X167)*IF($E167="Eviolite",1.5,1))</f>
        <v>63</v>
      </c>
      <c r="AE167" s="84">
        <f>INT(INT((INT((2*VLOOKUP($C167,DexData,9,0)+INT(T167/4)+N167)/2)+5)*Y167)*IF($E167="Choice Specs",1.5,1))</f>
        <v>89</v>
      </c>
      <c r="AF167" s="84">
        <f>INT(INT((INT((2*VLOOKUP($C167,DexData,10,0)+INT(U167/4)+O167)/2)+5)*Z167)*IF(OR($E167="Eviolite",$E167="Assault Vest"),1.5,1))</f>
        <v>60</v>
      </c>
      <c r="AG167" s="84">
        <f>INT(INT((INT((2*VLOOKUP($C167,DexData,11,0)+INT(V167/4)+P167)/2)+5)*AA167)*IF($E167="Choice Scarf",1.5,IF($E167="Iron Ball",0.5,1)))</f>
        <v>124</v>
      </c>
      <c r="AH167" s="84" t="str">
        <f>VLOOKUP(VLOOKUP($C167,DexData,3,0),Aliases!D$2:E$19,2,0)&amp;IFERROR("/"&amp;VLOOKUP(VLOOKUP($C167,DexData,4,0),Aliases!D$2:E$19,2,0),"")</f>
        <v>NRM</v>
      </c>
      <c r="AI167" s="7">
        <v>3.0</v>
      </c>
      <c r="AJ167" s="7">
        <f>IF(VLOOKUP(B167,'Set Odds'!A$2:AN$1067,40,0),1,IF(VLOOKUP(B167,'Set Odds'!A$2:AO$1067,41,0),2,0))</f>
        <v>0</v>
      </c>
      <c r="AK167" s="7"/>
      <c r="AL167" s="7" t="str">
        <f t="shared" si="1"/>
        <v/>
      </c>
    </row>
    <row r="168" ht="12.75" customHeight="1">
      <c r="A168" s="86">
        <v>167.0</v>
      </c>
      <c r="B168" s="84" t="s">
        <v>3173</v>
      </c>
      <c r="C168" s="7" t="s">
        <v>3174</v>
      </c>
      <c r="D168" s="7" t="s">
        <v>2845</v>
      </c>
      <c r="E168" s="7" t="s">
        <v>3175</v>
      </c>
      <c r="F168" s="84" t="s">
        <v>2732</v>
      </c>
      <c r="G168" s="84" t="s">
        <v>2536</v>
      </c>
      <c r="H168" s="84" t="s">
        <v>2951</v>
      </c>
      <c r="I168" s="84" t="s">
        <v>2513</v>
      </c>
      <c r="J168" s="7" t="s">
        <v>2720</v>
      </c>
      <c r="K168" s="7">
        <v>31.0</v>
      </c>
      <c r="L168" s="7">
        <v>0.0</v>
      </c>
      <c r="M168" s="7">
        <v>0.0</v>
      </c>
      <c r="N168" s="7">
        <v>0.0</v>
      </c>
      <c r="O168" s="7">
        <v>0.0</v>
      </c>
      <c r="P168" s="7">
        <v>31.0</v>
      </c>
      <c r="Q168" s="7">
        <v>108.0</v>
      </c>
      <c r="R168" s="7">
        <v>0.0</v>
      </c>
      <c r="S168" s="7">
        <v>0.0</v>
      </c>
      <c r="T168" s="7">
        <v>0.0</v>
      </c>
      <c r="U168" s="7">
        <v>0.0</v>
      </c>
      <c r="V168" s="7">
        <v>108.0</v>
      </c>
      <c r="W168" s="7">
        <f>VLOOKUP($D168,NatureChart,2,0)</f>
        <v>1.1</v>
      </c>
      <c r="X168" s="7">
        <f>VLOOKUP($D168,NatureChart,3,0)</f>
        <v>0.9</v>
      </c>
      <c r="Y168" s="7">
        <f>VLOOKUP($D168,NatureChart,4,0)</f>
        <v>1</v>
      </c>
      <c r="Z168" s="7">
        <f>VLOOKUP($D168,NatureChart,5,0)</f>
        <v>1</v>
      </c>
      <c r="AA168" s="84">
        <f>VLOOKUP($D168,NatureChart,6,0)</f>
        <v>1</v>
      </c>
      <c r="AB168" s="84">
        <f>IF($C168="Shedinja",1,(INT((2*VLOOKUP($C168,DexData,5,0)+INT(Q168/4)+K168)/2)+60))</f>
        <v>139</v>
      </c>
      <c r="AC168" s="84">
        <f>INT(INT((INT((2*VLOOKUP($C168,DexData,6,0)+INT(R168/4)+L168)/2)+5)*W168)*IF($E168="Choice Band",1.5,IF(OR($E168="Mawilite",$E168="Medichamite",$E168="Thick Club"),2,1)))</f>
        <v>88</v>
      </c>
      <c r="AD168" s="84">
        <f>INT(INT((INT((2*VLOOKUP($C168,DexData,7,0)+INT(S168/4)+M168)/2)+5)*X168)*IF($E168="Eviolite",1.5,1))</f>
        <v>72</v>
      </c>
      <c r="AE168" s="84">
        <f>INT(INT((INT((2*VLOOKUP($C168,DexData,9,0)+INT(T168/4)+N168)/2)+5)*Y168)*IF($E168="Choice Specs",1.5,1))</f>
        <v>70</v>
      </c>
      <c r="AF168" s="84">
        <f>INT(INT((INT((2*VLOOKUP($C168,DexData,10,0)+INT(U168/4)+O168)/2)+5)*Z168)*IF(OR($E168="Eviolite",$E168="Assault Vest"),1.5,1))</f>
        <v>70</v>
      </c>
      <c r="AG168" s="84">
        <f>INT(INT((INT((2*VLOOKUP($C168,DexData,11,0)+INT(V168/4)+P168)/2)+5)*AA168)*IF($E168="Choice Scarf",1.5,IF($E168="Iron Ball",0.5,1)))</f>
        <v>84</v>
      </c>
      <c r="AH168" s="84" t="str">
        <f>VLOOKUP(VLOOKUP($C168,DexData,3,0),Aliases!D$2:E$19,2,0)&amp;IFERROR("/"&amp;VLOOKUP(VLOOKUP($C168,DexData,4,0),Aliases!D$2:E$19,2,0),"")</f>
        <v>DRK/GHO</v>
      </c>
      <c r="AI168" s="7">
        <v>3.0</v>
      </c>
      <c r="AJ168" s="7">
        <f>IF(VLOOKUP(B168,'Set Odds'!A$2:AN$1067,40,0),1,IF(VLOOKUP(B168,'Set Odds'!A$2:AO$1067,41,0),2,0))</f>
        <v>0</v>
      </c>
      <c r="AK168" s="7"/>
      <c r="AL168" s="7" t="str">
        <f t="shared" si="1"/>
        <v/>
      </c>
    </row>
    <row r="169" ht="12.75" customHeight="1">
      <c r="A169" s="86">
        <v>168.0</v>
      </c>
      <c r="B169" s="84" t="s">
        <v>3176</v>
      </c>
      <c r="C169" s="7" t="s">
        <v>3177</v>
      </c>
      <c r="D169" s="7" t="s">
        <v>2571</v>
      </c>
      <c r="E169" s="7" t="s">
        <v>2524</v>
      </c>
      <c r="F169" s="84" t="s">
        <v>3015</v>
      </c>
      <c r="G169" s="84" t="s">
        <v>2725</v>
      </c>
      <c r="H169" s="84" t="s">
        <v>3087</v>
      </c>
      <c r="I169" s="84" t="s">
        <v>3130</v>
      </c>
      <c r="J169" s="7" t="s">
        <v>2696</v>
      </c>
      <c r="K169" s="7">
        <v>31.0</v>
      </c>
      <c r="L169" s="7">
        <v>31.0</v>
      </c>
      <c r="M169" s="7">
        <v>0.0</v>
      </c>
      <c r="N169" s="7">
        <v>0.0</v>
      </c>
      <c r="O169" s="7">
        <v>0.0</v>
      </c>
      <c r="P169" s="7">
        <v>0.0</v>
      </c>
      <c r="Q169" s="7">
        <v>108.0</v>
      </c>
      <c r="R169" s="7">
        <v>108.0</v>
      </c>
      <c r="S169" s="7">
        <v>0.0</v>
      </c>
      <c r="T169" s="7">
        <v>0.0</v>
      </c>
      <c r="U169" s="7">
        <v>0.0</v>
      </c>
      <c r="V169" s="7">
        <v>0.0</v>
      </c>
      <c r="W169" s="7">
        <f>VLOOKUP($D169,NatureChart,2,0)</f>
        <v>1.1</v>
      </c>
      <c r="X169" s="7">
        <f>VLOOKUP($D169,NatureChart,3,0)</f>
        <v>1</v>
      </c>
      <c r="Y169" s="7">
        <f>VLOOKUP($D169,NatureChart,4,0)</f>
        <v>0.9</v>
      </c>
      <c r="Z169" s="7">
        <f>VLOOKUP($D169,NatureChart,5,0)</f>
        <v>1</v>
      </c>
      <c r="AA169" s="84">
        <f>VLOOKUP($D169,NatureChart,6,0)</f>
        <v>1</v>
      </c>
      <c r="AB169" s="84">
        <f>IF($C169="Shedinja",1,(INT((2*VLOOKUP($C169,DexData,5,0)+INT(Q169/4)+K169)/2)+60))</f>
        <v>139</v>
      </c>
      <c r="AC169" s="84">
        <f>INT(INT((INT((2*VLOOKUP($C169,DexData,6,0)+INT(R169/4)+L169)/2)+5)*W169)*IF($E169="Choice Band",1.5,IF(OR($E169="Mawilite",$E169="Medichamite",$E169="Thick Club"),2,1)))</f>
        <v>130</v>
      </c>
      <c r="AD169" s="84">
        <f>INT(INT((INT((2*VLOOKUP($C169,DexData,7,0)+INT(S169/4)+M169)/2)+5)*X169)*IF($E169="Eviolite",1.5,1))</f>
        <v>90</v>
      </c>
      <c r="AE169" s="84">
        <f>INT(INT((INT((2*VLOOKUP($C169,DexData,9,0)+INT(T169/4)+N169)/2)+5)*Y169)*IF($E169="Choice Specs",1.5,1))</f>
        <v>54</v>
      </c>
      <c r="AF169" s="84">
        <f>INT(INT((INT((2*VLOOKUP($C169,DexData,10,0)+INT(U169/4)+O169)/2)+5)*Z169)*IF(OR($E169="Eviolite",$E169="Assault Vest"),1.5,1))</f>
        <v>60</v>
      </c>
      <c r="AG169" s="84">
        <f>INT(INT((INT((2*VLOOKUP($C169,DexData,11,0)+INT(V169/4)+P169)/2)+5)*AA169)*IF($E169="Choice Scarf",1.5,IF($E169="Iron Ball",0.5,1)))</f>
        <v>55</v>
      </c>
      <c r="AH169" s="84" t="str">
        <f>VLOOKUP(VLOOKUP($C169,DexData,3,0),Aliases!D$2:E$19,2,0)&amp;IFERROR("/"&amp;VLOOKUP(VLOOKUP($C169,DexData,4,0),Aliases!D$2:E$19,2,0),"")</f>
        <v>STL/FAI</v>
      </c>
      <c r="AI169" s="7">
        <v>3.0</v>
      </c>
      <c r="AJ169" s="7">
        <f>IF(VLOOKUP(B169,'Set Odds'!A$2:AN$1067,40,0),1,IF(VLOOKUP(B169,'Set Odds'!A$2:AO$1067,41,0),2,0))</f>
        <v>0</v>
      </c>
      <c r="AK169" s="7"/>
      <c r="AL169" s="7" t="str">
        <f t="shared" si="1"/>
        <v/>
      </c>
    </row>
    <row r="170" ht="12.75" customHeight="1">
      <c r="A170" s="86">
        <v>169.0</v>
      </c>
      <c r="B170" s="84" t="s">
        <v>3178</v>
      </c>
      <c r="C170" s="7" t="s">
        <v>3179</v>
      </c>
      <c r="D170" s="7" t="s">
        <v>2692</v>
      </c>
      <c r="E170" s="7" t="s">
        <v>2894</v>
      </c>
      <c r="F170" s="84" t="s">
        <v>3126</v>
      </c>
      <c r="G170" s="84" t="s">
        <v>3180</v>
      </c>
      <c r="H170" s="84" t="s">
        <v>2822</v>
      </c>
      <c r="I170" s="84" t="s">
        <v>2595</v>
      </c>
      <c r="J170" s="7" t="s">
        <v>3181</v>
      </c>
      <c r="K170" s="7">
        <v>31.0</v>
      </c>
      <c r="L170" s="7">
        <v>0.0</v>
      </c>
      <c r="M170" s="7">
        <v>0.0</v>
      </c>
      <c r="N170" s="7">
        <v>0.0</v>
      </c>
      <c r="O170" s="7">
        <v>0.0</v>
      </c>
      <c r="P170" s="7">
        <v>31.0</v>
      </c>
      <c r="Q170" s="7">
        <v>108.0</v>
      </c>
      <c r="R170" s="7">
        <v>0.0</v>
      </c>
      <c r="S170" s="7">
        <v>0.0</v>
      </c>
      <c r="T170" s="7">
        <v>0.0</v>
      </c>
      <c r="U170" s="7">
        <v>0.0</v>
      </c>
      <c r="V170" s="7">
        <v>108.0</v>
      </c>
      <c r="W170" s="7">
        <f>VLOOKUP($D170,NatureChart,2,0)</f>
        <v>1</v>
      </c>
      <c r="X170" s="7">
        <f>VLOOKUP($D170,NatureChart,3,0)</f>
        <v>1</v>
      </c>
      <c r="Y170" s="7">
        <f>VLOOKUP($D170,NatureChart,4,0)</f>
        <v>0.9</v>
      </c>
      <c r="Z170" s="7">
        <f>VLOOKUP($D170,NatureChart,5,0)</f>
        <v>1</v>
      </c>
      <c r="AA170" s="84">
        <f>VLOOKUP($D170,NatureChart,6,0)</f>
        <v>1.1</v>
      </c>
      <c r="AB170" s="84">
        <f>IF($C170="Shedinja",1,(INT((2*VLOOKUP($C170,DexData,5,0)+INT(Q170/4)+K170)/2)+60))</f>
        <v>166</v>
      </c>
      <c r="AC170" s="84">
        <f>INT(INT((INT((2*VLOOKUP($C170,DexData,6,0)+INT(R170/4)+L170)/2)+5)*W170)*IF($E170="Choice Band",1.5,IF(OR($E170="Mawilite",$E170="Medichamite",$E170="Thick Club"),2,1)))</f>
        <v>90</v>
      </c>
      <c r="AD170" s="84">
        <f>INT(INT((INT((2*VLOOKUP($C170,DexData,7,0)+INT(S170/4)+M170)/2)+5)*X170)*IF($E170="Eviolite",1.5,1))</f>
        <v>56</v>
      </c>
      <c r="AE170" s="84">
        <f>INT(INT((INT((2*VLOOKUP($C170,DexData,9,0)+INT(T170/4)+N170)/2)+5)*Y170)*IF($E170="Choice Specs",1.5,1))</f>
        <v>54</v>
      </c>
      <c r="AF170" s="84">
        <f>INT(INT((INT((2*VLOOKUP($C170,DexData,10,0)+INT(U170/4)+O170)/2)+5)*Z170)*IF(OR($E170="Eviolite",$E170="Assault Vest"),1.5,1))</f>
        <v>56</v>
      </c>
      <c r="AG170" s="84">
        <f>INT(INT((INT((2*VLOOKUP($C170,DexData,11,0)+INT(V170/4)+P170)/2)+5)*AA170)*IF($E170="Choice Scarf",1.5,IF($E170="Iron Ball",0.5,1)))</f>
        <v>108</v>
      </c>
      <c r="AH170" s="84" t="str">
        <f>VLOOKUP(VLOOKUP($C170,DexData,3,0),Aliases!D$2:E$19,2,0)&amp;IFERROR("/"&amp;VLOOKUP(VLOOKUP($C170,DexData,4,0),Aliases!D$2:E$19,2,0),"")</f>
        <v>BUG</v>
      </c>
      <c r="AI170" s="7">
        <v>3.0</v>
      </c>
      <c r="AJ170" s="7">
        <f>IF(VLOOKUP(B170,'Set Odds'!A$2:AN$1067,40,0),1,IF(VLOOKUP(B170,'Set Odds'!A$2:AO$1067,41,0),2,0))</f>
        <v>0</v>
      </c>
      <c r="AK170" s="7"/>
      <c r="AL170" s="7" t="str">
        <f t="shared" si="1"/>
        <v/>
      </c>
    </row>
    <row r="171" ht="12.75" customHeight="1">
      <c r="A171" s="86">
        <v>170.0</v>
      </c>
      <c r="B171" s="84" t="s">
        <v>3182</v>
      </c>
      <c r="C171" s="7" t="s">
        <v>3183</v>
      </c>
      <c r="D171" s="7" t="s">
        <v>2635</v>
      </c>
      <c r="E171" s="7" t="s">
        <v>2685</v>
      </c>
      <c r="F171" s="84" t="s">
        <v>2574</v>
      </c>
      <c r="G171" s="84" t="s">
        <v>3184</v>
      </c>
      <c r="H171" s="84" t="s">
        <v>3185</v>
      </c>
      <c r="I171" s="84" t="s">
        <v>3186</v>
      </c>
      <c r="J171" s="7" t="s">
        <v>2814</v>
      </c>
      <c r="K171" s="7">
        <v>31.0</v>
      </c>
      <c r="L171" s="7">
        <v>0.0</v>
      </c>
      <c r="M171" s="7">
        <v>0.0</v>
      </c>
      <c r="N171" s="7">
        <v>0.0</v>
      </c>
      <c r="O171" s="7">
        <v>0.0</v>
      </c>
      <c r="P171" s="7">
        <v>31.0</v>
      </c>
      <c r="Q171" s="7">
        <v>108.0</v>
      </c>
      <c r="R171" s="7">
        <v>0.0</v>
      </c>
      <c r="S171" s="7">
        <v>0.0</v>
      </c>
      <c r="T171" s="7">
        <v>0.0</v>
      </c>
      <c r="U171" s="7">
        <v>0.0</v>
      </c>
      <c r="V171" s="7">
        <v>108.0</v>
      </c>
      <c r="W171" s="7">
        <f>VLOOKUP($D171,NatureChart,2,0)</f>
        <v>0.9</v>
      </c>
      <c r="X171" s="7">
        <f>VLOOKUP($D171,NatureChart,3,0)</f>
        <v>1</v>
      </c>
      <c r="Y171" s="7">
        <f>VLOOKUP($D171,NatureChart,4,0)</f>
        <v>1</v>
      </c>
      <c r="Z171" s="7">
        <f>VLOOKUP($D171,NatureChart,5,0)</f>
        <v>1</v>
      </c>
      <c r="AA171" s="84">
        <f>VLOOKUP($D171,NatureChart,6,0)</f>
        <v>1.1</v>
      </c>
      <c r="AB171" s="84">
        <f>IF($C171="Shedinja",1,(INT((2*VLOOKUP($C171,DexData,5,0)+INT(Q171/4)+K171)/2)+60))</f>
        <v>149</v>
      </c>
      <c r="AC171" s="84">
        <f>INT(INT((INT((2*VLOOKUP($C171,DexData,6,0)+INT(R171/4)+L171)/2)+5)*W171)*IF($E171="Choice Band",1.5,IF(OR($E171="Mawilite",$E171="Medichamite",$E171="Thick Club"),2,1)))</f>
        <v>45</v>
      </c>
      <c r="AD171" s="84">
        <f>INT(INT((INT((2*VLOOKUP($C171,DexData,7,0)+INT(S171/4)+M171)/2)+5)*X171)*IF($E171="Eviolite",1.5,1))</f>
        <v>55</v>
      </c>
      <c r="AE171" s="84">
        <f>INT(INT((INT((2*VLOOKUP($C171,DexData,9,0)+INT(T171/4)+N171)/2)+5)*Y171)*IF($E171="Choice Specs",1.5,1))</f>
        <v>95</v>
      </c>
      <c r="AF171" s="84">
        <f>INT(INT((INT((2*VLOOKUP($C171,DexData,10,0)+INT(U171/4)+O171)/2)+5)*Z171)*IF(OR($E171="Eviolite",$E171="Assault Vest"),1.5,1))</f>
        <v>85</v>
      </c>
      <c r="AG171" s="84">
        <f>INT(INT((INT((2*VLOOKUP($C171,DexData,11,0)+INT(V171/4)+P171)/2)+5)*AA171)*IF($E171="Choice Scarf",1.5,IF($E171="Iron Ball",0.5,1)))</f>
        <v>114</v>
      </c>
      <c r="AH171" s="84" t="str">
        <f>VLOOKUP(VLOOKUP($C171,DexData,3,0),Aliases!D$2:E$19,2,0)&amp;IFERROR("/"&amp;VLOOKUP(VLOOKUP($C171,DexData,4,0),Aliases!D$2:E$19,2,0),"")</f>
        <v>BUG/FLY</v>
      </c>
      <c r="AI171" s="7">
        <v>3.0</v>
      </c>
      <c r="AJ171" s="7">
        <f>IF(VLOOKUP(B171,'Set Odds'!A$2:AN$1067,40,0),1,IF(VLOOKUP(B171,'Set Odds'!A$2:AO$1067,41,0),2,0))</f>
        <v>0</v>
      </c>
      <c r="AK171" s="7"/>
      <c r="AL171" s="7" t="str">
        <f t="shared" si="1"/>
        <v/>
      </c>
    </row>
    <row r="172" ht="12.75" customHeight="1">
      <c r="A172" s="86">
        <v>171.0</v>
      </c>
      <c r="B172" s="84" t="s">
        <v>3187</v>
      </c>
      <c r="C172" s="7" t="s">
        <v>3188</v>
      </c>
      <c r="D172" s="7" t="s">
        <v>2692</v>
      </c>
      <c r="E172" s="7" t="s">
        <v>2515</v>
      </c>
      <c r="F172" s="84" t="s">
        <v>2807</v>
      </c>
      <c r="G172" s="84" t="s">
        <v>3189</v>
      </c>
      <c r="H172" s="84" t="s">
        <v>2624</v>
      </c>
      <c r="I172" s="84" t="s">
        <v>2948</v>
      </c>
      <c r="J172" s="7" t="s">
        <v>3181</v>
      </c>
      <c r="K172" s="7">
        <v>0.0</v>
      </c>
      <c r="L172" s="7">
        <v>31.0</v>
      </c>
      <c r="M172" s="7">
        <v>0.0</v>
      </c>
      <c r="N172" s="7">
        <v>0.0</v>
      </c>
      <c r="O172" s="7">
        <v>0.0</v>
      </c>
      <c r="P172" s="7">
        <v>31.0</v>
      </c>
      <c r="Q172" s="7">
        <v>0.0</v>
      </c>
      <c r="R172" s="7">
        <v>108.0</v>
      </c>
      <c r="S172" s="7">
        <v>0.0</v>
      </c>
      <c r="T172" s="7">
        <v>0.0</v>
      </c>
      <c r="U172" s="7">
        <v>0.0</v>
      </c>
      <c r="V172" s="7">
        <v>108.0</v>
      </c>
      <c r="W172" s="7">
        <f>VLOOKUP($D172,NatureChart,2,0)</f>
        <v>1</v>
      </c>
      <c r="X172" s="7">
        <f>VLOOKUP($D172,NatureChart,3,0)</f>
        <v>1</v>
      </c>
      <c r="Y172" s="7">
        <f>VLOOKUP($D172,NatureChart,4,0)</f>
        <v>0.9</v>
      </c>
      <c r="Z172" s="7">
        <f>VLOOKUP($D172,NatureChart,5,0)</f>
        <v>1</v>
      </c>
      <c r="AA172" s="84">
        <f>VLOOKUP($D172,NatureChart,6,0)</f>
        <v>1.1</v>
      </c>
      <c r="AB172" s="84">
        <f>IF($C172="Shedinja",1,(INT((2*VLOOKUP($C172,DexData,5,0)+INT(Q172/4)+K172)/2)+60))</f>
        <v>125</v>
      </c>
      <c r="AC172" s="84">
        <f>INT(INT((INT((2*VLOOKUP($C172,DexData,6,0)+INT(R172/4)+L172)/2)+5)*W172)*IF($E172="Choice Band",1.5,IF(OR($E172="Mawilite",$E172="Medichamite",$E172="Thick Club"),2,1)))</f>
        <v>124</v>
      </c>
      <c r="AD172" s="84">
        <f>INT(INT((INT((2*VLOOKUP($C172,DexData,7,0)+INT(S172/4)+M172)/2)+5)*X172)*IF($E172="Eviolite",1.5,1))</f>
        <v>45</v>
      </c>
      <c r="AE172" s="84">
        <f>INT(INT((INT((2*VLOOKUP($C172,DexData,9,0)+INT(T172/4)+N172)/2)+5)*Y172)*IF($E172="Choice Specs",1.5,1))</f>
        <v>45</v>
      </c>
      <c r="AF172" s="84">
        <f>INT(INT((INT((2*VLOOKUP($C172,DexData,10,0)+INT(U172/4)+O172)/2)+5)*Z172)*IF(OR($E172="Eviolite",$E172="Assault Vest"),1.5,1))</f>
        <v>85</v>
      </c>
      <c r="AG172" s="84">
        <f>INT(INT((INT((2*VLOOKUP($C172,DexData,11,0)+INT(V172/4)+P172)/2)+5)*AA172)*IF($E172="Choice Scarf",1.5,IF($E172="Iron Ball",0.5,1)))</f>
        <v>119</v>
      </c>
      <c r="AH172" s="84" t="str">
        <f>VLOOKUP(VLOOKUP($C172,DexData,3,0),Aliases!D$2:E$19,2,0)&amp;IFERROR("/"&amp;VLOOKUP(VLOOKUP($C172,DexData,4,0),Aliases!D$2:E$19,2,0),"")</f>
        <v>BUG/PSN</v>
      </c>
      <c r="AI172" s="7">
        <v>3.0</v>
      </c>
      <c r="AJ172" s="7">
        <f>IF(VLOOKUP(B172,'Set Odds'!A$2:AN$1067,40,0),1,IF(VLOOKUP(B172,'Set Odds'!A$2:AO$1067,41,0),2,0))</f>
        <v>0</v>
      </c>
      <c r="AK172" s="7"/>
      <c r="AL172" s="7" t="str">
        <f t="shared" si="1"/>
        <v/>
      </c>
    </row>
    <row r="173" ht="12.75" customHeight="1">
      <c r="A173" s="86">
        <v>172.0</v>
      </c>
      <c r="B173" s="84" t="s">
        <v>3190</v>
      </c>
      <c r="C173" s="7" t="s">
        <v>3191</v>
      </c>
      <c r="D173" s="7" t="s">
        <v>2611</v>
      </c>
      <c r="E173" s="7" t="s">
        <v>2770</v>
      </c>
      <c r="F173" s="84" t="s">
        <v>2607</v>
      </c>
      <c r="G173" s="84" t="s">
        <v>2832</v>
      </c>
      <c r="H173" s="84" t="s">
        <v>2797</v>
      </c>
      <c r="I173" s="84" t="s">
        <v>2987</v>
      </c>
      <c r="J173" s="7" t="s">
        <v>3059</v>
      </c>
      <c r="K173" s="7">
        <v>31.0</v>
      </c>
      <c r="L173" s="7">
        <v>0.0</v>
      </c>
      <c r="M173" s="7">
        <v>0.0</v>
      </c>
      <c r="N173" s="7">
        <v>31.0</v>
      </c>
      <c r="O173" s="7">
        <v>0.0</v>
      </c>
      <c r="P173" s="7">
        <v>0.0</v>
      </c>
      <c r="Q173" s="7">
        <v>108.0</v>
      </c>
      <c r="R173" s="7">
        <v>0.0</v>
      </c>
      <c r="S173" s="7">
        <v>0.0</v>
      </c>
      <c r="T173" s="7">
        <v>108.0</v>
      </c>
      <c r="U173" s="7">
        <v>0.0</v>
      </c>
      <c r="V173" s="7">
        <v>0.0</v>
      </c>
      <c r="W173" s="7">
        <f>VLOOKUP($D173,NatureChart,2,0)</f>
        <v>1</v>
      </c>
      <c r="X173" s="7">
        <f>VLOOKUP($D173,NatureChart,3,0)</f>
        <v>1</v>
      </c>
      <c r="Y173" s="7">
        <f>VLOOKUP($D173,NatureChart,4,0)</f>
        <v>1</v>
      </c>
      <c r="Z173" s="7">
        <f>VLOOKUP($D173,NatureChart,5,0)</f>
        <v>1</v>
      </c>
      <c r="AA173" s="84">
        <f>VLOOKUP($D173,NatureChart,6,0)</f>
        <v>1</v>
      </c>
      <c r="AB173" s="84">
        <f>IF($C173="Shedinja",1,(INT((2*VLOOKUP($C173,DexData,5,0)+INT(Q173/4)+K173)/2)+60))</f>
        <v>154</v>
      </c>
      <c r="AC173" s="84">
        <f>INT(INT((INT((2*VLOOKUP($C173,DexData,6,0)+INT(R173/4)+L173)/2)+5)*W173)*IF($E173="Choice Band",1.5,IF(OR($E173="Mawilite",$E173="Medichamite",$E173="Thick Club"),2,1)))</f>
        <v>70</v>
      </c>
      <c r="AD173" s="84">
        <f>INT(INT((INT((2*VLOOKUP($C173,DexData,7,0)+INT(S173/4)+M173)/2)+5)*X173)*IF($E173="Eviolite",1.5,1))</f>
        <v>70</v>
      </c>
      <c r="AE173" s="84">
        <f>INT(INT((INT((2*VLOOKUP($C173,DexData,9,0)+INT(T173/4)+N173)/2)+5)*Y173)*IF($E173="Choice Specs",1.5,1))</f>
        <v>84</v>
      </c>
      <c r="AF173" s="84">
        <f>INT(INT((INT((2*VLOOKUP($C173,DexData,10,0)+INT(U173/4)+O173)/2)+5)*Z173)*IF(OR($E173="Eviolite",$E173="Assault Vest"),1.5,1))</f>
        <v>55</v>
      </c>
      <c r="AG173" s="84">
        <f>INT(INT((INT((2*VLOOKUP($C173,DexData,11,0)+INT(V173/4)+P173)/2)+5)*AA173)*IF($E173="Choice Scarf",1.5,IF($E173="Iron Ball",0.5,1)))</f>
        <v>95</v>
      </c>
      <c r="AH173" s="84" t="str">
        <f>VLOOKUP(VLOOKUP($C173,DexData,3,0),Aliases!D$2:E$19,2,0)&amp;IFERROR("/"&amp;VLOOKUP(VLOOKUP($C173,DexData,4,0),Aliases!D$2:E$19,2,0),"")</f>
        <v>WTR</v>
      </c>
      <c r="AI173" s="7">
        <v>3.0</v>
      </c>
      <c r="AJ173" s="7">
        <f>IF(VLOOKUP(B173,'Set Odds'!A$2:AN$1067,40,0),1,IF(VLOOKUP(B173,'Set Odds'!A$2:AO$1067,41,0),2,0))</f>
        <v>0</v>
      </c>
      <c r="AK173" s="7"/>
      <c r="AL173" s="7" t="str">
        <f t="shared" si="1"/>
        <v/>
      </c>
    </row>
    <row r="174" ht="12.75" customHeight="1">
      <c r="A174" s="86">
        <v>173.0</v>
      </c>
      <c r="B174" s="84" t="s">
        <v>3192</v>
      </c>
      <c r="C174" s="7" t="s">
        <v>3193</v>
      </c>
      <c r="D174" s="7" t="s">
        <v>2571</v>
      </c>
      <c r="E174" s="7" t="s">
        <v>2636</v>
      </c>
      <c r="F174" s="84" t="s">
        <v>2625</v>
      </c>
      <c r="G174" s="84" t="s">
        <v>3194</v>
      </c>
      <c r="H174" s="84" t="s">
        <v>2791</v>
      </c>
      <c r="I174" s="84" t="s">
        <v>2752</v>
      </c>
      <c r="J174" s="7" t="s">
        <v>2728</v>
      </c>
      <c r="K174" s="7">
        <v>31.0</v>
      </c>
      <c r="L174" s="7">
        <v>31.0</v>
      </c>
      <c r="M174" s="7">
        <v>0.0</v>
      </c>
      <c r="N174" s="7">
        <v>0.0</v>
      </c>
      <c r="O174" s="7">
        <v>0.0</v>
      </c>
      <c r="P174" s="7">
        <v>0.0</v>
      </c>
      <c r="Q174" s="7">
        <v>108.0</v>
      </c>
      <c r="R174" s="7">
        <v>108.0</v>
      </c>
      <c r="S174" s="7">
        <v>0.0</v>
      </c>
      <c r="T174" s="7">
        <v>0.0</v>
      </c>
      <c r="U174" s="7">
        <v>0.0</v>
      </c>
      <c r="V174" s="7">
        <v>0.0</v>
      </c>
      <c r="W174" s="7">
        <f>VLOOKUP($D174,NatureChart,2,0)</f>
        <v>1.1</v>
      </c>
      <c r="X174" s="7">
        <f>VLOOKUP($D174,NatureChart,3,0)</f>
        <v>1</v>
      </c>
      <c r="Y174" s="7">
        <f>VLOOKUP($D174,NatureChart,4,0)</f>
        <v>0.9</v>
      </c>
      <c r="Z174" s="7">
        <f>VLOOKUP($D174,NatureChart,5,0)</f>
        <v>1</v>
      </c>
      <c r="AA174" s="84">
        <f>VLOOKUP($D174,NatureChart,6,0)</f>
        <v>1</v>
      </c>
      <c r="AB174" s="84">
        <f>IF($C174="Shedinja",1,(INT((2*VLOOKUP($C174,DexData,5,0)+INT(Q174/4)+K174)/2)+60))</f>
        <v>124</v>
      </c>
      <c r="AC174" s="84">
        <f>INT(INT((INT((2*VLOOKUP($C174,DexData,6,0)+INT(R174/4)+L174)/2)+5)*W174)*IF($E174="Choice Band",1.5,IF(OR($E174="Mawilite",$E174="Medichamite",$E174="Thick Club"),2,1)))</f>
        <v>86</v>
      </c>
      <c r="AD174" s="84">
        <f>INT(INT((INT((2*VLOOKUP($C174,DexData,7,0)+INT(S174/4)+M174)/2)+5)*X174)*IF($E174="Eviolite",1.5,1))</f>
        <v>165</v>
      </c>
      <c r="AE174" s="84">
        <f>INT(INT((INT((2*VLOOKUP($C174,DexData,9,0)+INT(T174/4)+N174)/2)+5)*Y174)*IF($E174="Choice Specs",1.5,1))</f>
        <v>31</v>
      </c>
      <c r="AF174" s="84">
        <f>INT(INT((INT((2*VLOOKUP($C174,DexData,10,0)+INT(U174/4)+O174)/2)+5)*Z174)*IF(OR($E174="Eviolite",$E174="Assault Vest"),1.5,1))</f>
        <v>50</v>
      </c>
      <c r="AG174" s="84">
        <f>INT(INT((INT((2*VLOOKUP($C174,DexData,11,0)+INT(V174/4)+P174)/2)+5)*AA174)*IF($E174="Choice Scarf",1.5,IF($E174="Iron Ball",0.5,1)))</f>
        <v>75</v>
      </c>
      <c r="AH174" s="84" t="str">
        <f>VLOOKUP(VLOOKUP($C174,DexData,3,0),Aliases!D$2:E$19,2,0)&amp;IFERROR("/"&amp;VLOOKUP(VLOOKUP($C174,DexData,4,0),Aliases!D$2:E$19,2,0),"")</f>
        <v>RCK/GRD</v>
      </c>
      <c r="AI174" s="7">
        <v>3.0</v>
      </c>
      <c r="AJ174" s="7">
        <f>IF(VLOOKUP(B174,'Set Odds'!A$2:AN$1067,40,0),1,IF(VLOOKUP(B174,'Set Odds'!A$2:AO$1067,41,0),2,0))</f>
        <v>0</v>
      </c>
      <c r="AK174" s="7"/>
      <c r="AL174" s="7" t="str">
        <f t="shared" si="1"/>
        <v/>
      </c>
    </row>
    <row r="175" ht="12.75" customHeight="1">
      <c r="A175" s="86">
        <v>174.0</v>
      </c>
      <c r="B175" s="84" t="s">
        <v>3195</v>
      </c>
      <c r="C175" s="7" t="s">
        <v>3196</v>
      </c>
      <c r="D175" s="7" t="s">
        <v>2571</v>
      </c>
      <c r="E175" s="7" t="s">
        <v>2636</v>
      </c>
      <c r="F175" s="84" t="s">
        <v>3197</v>
      </c>
      <c r="G175" s="84" t="s">
        <v>2581</v>
      </c>
      <c r="H175" s="84" t="s">
        <v>3004</v>
      </c>
      <c r="I175" s="84" t="s">
        <v>2608</v>
      </c>
      <c r="J175" s="7" t="s">
        <v>3145</v>
      </c>
      <c r="K175" s="7">
        <v>31.0</v>
      </c>
      <c r="L175" s="7">
        <v>31.0</v>
      </c>
      <c r="M175" s="7">
        <v>0.0</v>
      </c>
      <c r="N175" s="7">
        <v>0.0</v>
      </c>
      <c r="O175" s="7">
        <v>0.0</v>
      </c>
      <c r="P175" s="7">
        <v>0.0</v>
      </c>
      <c r="Q175" s="7">
        <v>108.0</v>
      </c>
      <c r="R175" s="7">
        <v>108.0</v>
      </c>
      <c r="S175" s="7">
        <v>0.0</v>
      </c>
      <c r="T175" s="7">
        <v>0.0</v>
      </c>
      <c r="U175" s="7">
        <v>0.0</v>
      </c>
      <c r="V175" s="7">
        <v>0.0</v>
      </c>
      <c r="W175" s="7">
        <f>VLOOKUP($D175,NatureChart,2,0)</f>
        <v>1.1</v>
      </c>
      <c r="X175" s="7">
        <f>VLOOKUP($D175,NatureChart,3,0)</f>
        <v>1</v>
      </c>
      <c r="Y175" s="7">
        <f>VLOOKUP($D175,NatureChart,4,0)</f>
        <v>0.9</v>
      </c>
      <c r="Z175" s="7">
        <f>VLOOKUP($D175,NatureChart,5,0)</f>
        <v>1</v>
      </c>
      <c r="AA175" s="84">
        <f>VLOOKUP($D175,NatureChart,6,0)</f>
        <v>1</v>
      </c>
      <c r="AB175" s="84">
        <f>IF($C175="Shedinja",1,(INT((2*VLOOKUP($C175,DexData,5,0)+INT(Q175/4)+K175)/2)+60))</f>
        <v>179</v>
      </c>
      <c r="AC175" s="84">
        <f>INT(INT((INT((2*VLOOKUP($C175,DexData,6,0)+INT(R175/4)+L175)/2)+5)*W175)*IF($E175="Choice Band",1.5,IF(OR($E175="Mawilite",$E175="Medichamite",$E175="Thick Club"),2,1)))</f>
        <v>97</v>
      </c>
      <c r="AD175" s="84">
        <f>INT(INT((INT((2*VLOOKUP($C175,DexData,7,0)+INT(S175/4)+M175)/2)+5)*X175)*IF($E175="Eviolite",1.5,1))</f>
        <v>80</v>
      </c>
      <c r="AE175" s="84">
        <f>INT(INT((INT((2*VLOOKUP($C175,DexData,9,0)+INT(T175/4)+N175)/2)+5)*Y175)*IF($E175="Choice Specs",1.5,1))</f>
        <v>58</v>
      </c>
      <c r="AF175" s="84">
        <f>INT(INT((INT((2*VLOOKUP($C175,DexData,10,0)+INT(U175/4)+O175)/2)+5)*Z175)*IF(OR($E175="Eviolite",$E175="Assault Vest"),1.5,1))</f>
        <v>80</v>
      </c>
      <c r="AG175" s="84">
        <f>INT(INT((INT((2*VLOOKUP($C175,DexData,11,0)+INT(V175/4)+P175)/2)+5)*AA175)*IF($E175="Choice Scarf",1.5,IF($E175="Iron Ball",0.5,1)))</f>
        <v>35</v>
      </c>
      <c r="AH175" s="84" t="str">
        <f>VLOOKUP(VLOOKUP($C175,DexData,3,0),Aliases!D$2:E$19,2,0)&amp;IFERROR("/"&amp;VLOOKUP(VLOOKUP($C175,DexData,4,0),Aliases!D$2:E$19,2,0),"")</f>
        <v>NRM</v>
      </c>
      <c r="AI175" s="7">
        <v>3.0</v>
      </c>
      <c r="AJ175" s="7">
        <f>IF(VLOOKUP(B175,'Set Odds'!A$2:AN$1067,40,0),1,IF(VLOOKUP(B175,'Set Odds'!A$2:AO$1067,41,0),2,0))</f>
        <v>0</v>
      </c>
      <c r="AK175" s="7"/>
      <c r="AL175" s="7" t="str">
        <f t="shared" si="1"/>
        <v/>
      </c>
    </row>
    <row r="176" ht="12.75" customHeight="1">
      <c r="A176" s="86">
        <v>175.0</v>
      </c>
      <c r="B176" s="84" t="s">
        <v>3198</v>
      </c>
      <c r="C176" s="7" t="s">
        <v>3199</v>
      </c>
      <c r="D176" s="7" t="s">
        <v>2656</v>
      </c>
      <c r="E176" s="7" t="s">
        <v>2846</v>
      </c>
      <c r="F176" s="84" t="s">
        <v>3186</v>
      </c>
      <c r="G176" s="84" t="s">
        <v>2613</v>
      </c>
      <c r="H176" s="84" t="s">
        <v>2848</v>
      </c>
      <c r="I176" s="84" t="s">
        <v>3184</v>
      </c>
      <c r="J176" s="7" t="s">
        <v>3181</v>
      </c>
      <c r="K176" s="7">
        <v>0.0</v>
      </c>
      <c r="L176" s="7">
        <v>0.0</v>
      </c>
      <c r="M176" s="7">
        <v>0.0</v>
      </c>
      <c r="N176" s="7">
        <v>31.0</v>
      </c>
      <c r="O176" s="7">
        <v>0.0</v>
      </c>
      <c r="P176" s="7">
        <v>31.0</v>
      </c>
      <c r="Q176" s="7">
        <v>0.0</v>
      </c>
      <c r="R176" s="7">
        <v>0.0</v>
      </c>
      <c r="S176" s="7">
        <v>0.0</v>
      </c>
      <c r="T176" s="7">
        <v>108.0</v>
      </c>
      <c r="U176" s="7">
        <v>0.0</v>
      </c>
      <c r="V176" s="7">
        <v>108.0</v>
      </c>
      <c r="W176" s="7">
        <f>VLOOKUP($D176,NatureChart,2,0)</f>
        <v>0.9</v>
      </c>
      <c r="X176" s="7">
        <f>VLOOKUP($D176,NatureChart,3,0)</f>
        <v>1</v>
      </c>
      <c r="Y176" s="7">
        <f>VLOOKUP($D176,NatureChart,4,0)</f>
        <v>1.1</v>
      </c>
      <c r="Z176" s="7">
        <f>VLOOKUP($D176,NatureChart,5,0)</f>
        <v>1</v>
      </c>
      <c r="AA176" s="84">
        <f>VLOOKUP($D176,NatureChart,6,0)</f>
        <v>1</v>
      </c>
      <c r="AB176" s="84">
        <f>IF($C176="Shedinja",1,(INT((2*VLOOKUP($C176,DexData,5,0)+INT(Q176/4)+K176)/2)+60))</f>
        <v>120</v>
      </c>
      <c r="AC176" s="84">
        <f>INT(INT((INT((2*VLOOKUP($C176,DexData,6,0)+INT(R176/4)+L176)/2)+5)*W176)*IF($E176="Choice Band",1.5,IF(OR($E176="Mawilite",$E176="Medichamite",$E176="Thick Club"),2,1)))</f>
        <v>67</v>
      </c>
      <c r="AD176" s="84">
        <f>INT(INT((INT((2*VLOOKUP($C176,DexData,7,0)+INT(S176/4)+M176)/2)+5)*X176)*IF($E176="Eviolite",1.5,1))</f>
        <v>55</v>
      </c>
      <c r="AE176" s="84">
        <f>INT(INT((INT((2*VLOOKUP($C176,DexData,9,0)+INT(T176/4)+N176)/2)+5)*Y176)*IF($E176="Choice Specs",1.5,1))</f>
        <v>147</v>
      </c>
      <c r="AF176" s="84">
        <f>INT(INT((INT((2*VLOOKUP($C176,DexData,10,0)+INT(U176/4)+O176)/2)+5)*Z176)*IF(OR($E176="Eviolite",$E176="Assault Vest"),1.5,1))</f>
        <v>55</v>
      </c>
      <c r="AG176" s="84">
        <f>INT(INT((INT((2*VLOOKUP($C176,DexData,11,0)+INT(V176/4)+P176)/2)+5)*AA176)*IF($E176="Choice Scarf",1.5,IF($E176="Iron Ball",0.5,1)))</f>
        <v>99</v>
      </c>
      <c r="AH176" s="84" t="str">
        <f>VLOOKUP(VLOOKUP($C176,DexData,3,0),Aliases!D$2:E$19,2,0)&amp;IFERROR("/"&amp;VLOOKUP(VLOOKUP($C176,DexData,4,0),Aliases!D$2:E$19,2,0),"")</f>
        <v>BUG/FLY</v>
      </c>
      <c r="AI176" s="7">
        <v>3.0</v>
      </c>
      <c r="AJ176" s="7">
        <f>IF(VLOOKUP(B176,'Set Odds'!A$2:AN$1067,40,0),1,IF(VLOOKUP(B176,'Set Odds'!A$2:AO$1067,41,0),2,0))</f>
        <v>0</v>
      </c>
      <c r="AK176" s="7"/>
      <c r="AL176" s="7" t="str">
        <f t="shared" si="1"/>
        <v/>
      </c>
    </row>
    <row r="177" ht="12.75" customHeight="1">
      <c r="A177" s="86">
        <v>176.0</v>
      </c>
      <c r="B177" s="84" t="s">
        <v>3200</v>
      </c>
      <c r="C177" s="7" t="s">
        <v>3201</v>
      </c>
      <c r="D177" s="7" t="s">
        <v>2656</v>
      </c>
      <c r="E177" s="7" t="s">
        <v>3202</v>
      </c>
      <c r="F177" s="84" t="s">
        <v>3186</v>
      </c>
      <c r="G177" s="84" t="s">
        <v>2855</v>
      </c>
      <c r="H177" s="84" t="s">
        <v>2772</v>
      </c>
      <c r="I177" s="84" t="s">
        <v>3081</v>
      </c>
      <c r="J177" s="7" t="s">
        <v>3203</v>
      </c>
      <c r="K177" s="7">
        <v>31.0</v>
      </c>
      <c r="L177" s="7">
        <v>0.0</v>
      </c>
      <c r="M177" s="7">
        <v>0.0</v>
      </c>
      <c r="N177" s="7">
        <v>31.0</v>
      </c>
      <c r="O177" s="7">
        <v>0.0</v>
      </c>
      <c r="P177" s="7">
        <v>0.0</v>
      </c>
      <c r="Q177" s="7">
        <v>108.0</v>
      </c>
      <c r="R177" s="7">
        <v>0.0</v>
      </c>
      <c r="S177" s="7">
        <v>0.0</v>
      </c>
      <c r="T177" s="7">
        <v>108.0</v>
      </c>
      <c r="U177" s="7">
        <v>0.0</v>
      </c>
      <c r="V177" s="7">
        <v>0.0</v>
      </c>
      <c r="W177" s="7">
        <f>VLOOKUP($D177,NatureChart,2,0)</f>
        <v>0.9</v>
      </c>
      <c r="X177" s="7">
        <f>VLOOKUP($D177,NatureChart,3,0)</f>
        <v>1</v>
      </c>
      <c r="Y177" s="7">
        <f>VLOOKUP($D177,NatureChart,4,0)</f>
        <v>1.1</v>
      </c>
      <c r="Z177" s="7">
        <f>VLOOKUP($D177,NatureChart,5,0)</f>
        <v>1</v>
      </c>
      <c r="AA177" s="84">
        <f>VLOOKUP($D177,NatureChart,6,0)</f>
        <v>1</v>
      </c>
      <c r="AB177" s="84">
        <f>IF($C177="Shedinja",1,(INT((2*VLOOKUP($C177,DexData,5,0)+INT(Q177/4)+K177)/2)+60))</f>
        <v>149</v>
      </c>
      <c r="AC177" s="84">
        <f>INT(INT((INT((2*VLOOKUP($C177,DexData,6,0)+INT(R177/4)+L177)/2)+5)*W177)*IF($E177="Choice Band",1.5,IF(OR($E177="Mawilite",$E177="Medichamite",$E177="Thick Club"),2,1)))</f>
        <v>49</v>
      </c>
      <c r="AD177" s="84">
        <f>INT(INT((INT((2*VLOOKUP($C177,DexData,7,0)+INT(S177/4)+M177)/2)+5)*X177)*IF($E177="Eviolite",1.5,1))</f>
        <v>75</v>
      </c>
      <c r="AE177" s="84">
        <f>INT(INT((INT((2*VLOOKUP($C177,DexData,9,0)+INT(T177/4)+N177)/2)+5)*Y177)*IF($E177="Choice Specs",1.5,1))</f>
        <v>92</v>
      </c>
      <c r="AF177" s="84">
        <f>INT(INT((INT((2*VLOOKUP($C177,DexData,10,0)+INT(U177/4)+O177)/2)+5)*Z177)*IF(OR($E177="Eviolite",$E177="Assault Vest"),1.5,1))</f>
        <v>95</v>
      </c>
      <c r="AG177" s="84">
        <f>INT(INT((INT((2*VLOOKUP($C177,DexData,11,0)+INT(V177/4)+P177)/2)+5)*AA177)*IF($E177="Choice Scarf",1.5,IF($E177="Iron Ball",0.5,1)))</f>
        <v>70</v>
      </c>
      <c r="AH177" s="84" t="str">
        <f>VLOOKUP(VLOOKUP($C177,DexData,3,0),Aliases!D$2:E$19,2,0)&amp;IFERROR("/"&amp;VLOOKUP(VLOOKUP($C177,DexData,4,0),Aliases!D$2:E$19,2,0),"")</f>
        <v>BUG/PSN</v>
      </c>
      <c r="AI177" s="7">
        <v>3.0</v>
      </c>
      <c r="AJ177" s="7">
        <f>IF(VLOOKUP(B177,'Set Odds'!A$2:AN$1067,40,0),1,IF(VLOOKUP(B177,'Set Odds'!A$2:AO$1067,41,0),2,0))</f>
        <v>0</v>
      </c>
      <c r="AK177" s="7"/>
      <c r="AL177" s="7" t="str">
        <f t="shared" si="1"/>
        <v/>
      </c>
    </row>
    <row r="178" ht="12.75" customHeight="1">
      <c r="A178" s="86">
        <v>177.0</v>
      </c>
      <c r="B178" s="84" t="s">
        <v>3204</v>
      </c>
      <c r="C178" s="7" t="s">
        <v>3205</v>
      </c>
      <c r="D178" s="7" t="s">
        <v>2827</v>
      </c>
      <c r="E178" s="7" t="s">
        <v>3206</v>
      </c>
      <c r="F178" s="84" t="s">
        <v>2572</v>
      </c>
      <c r="G178" s="84" t="s">
        <v>2937</v>
      </c>
      <c r="H178" s="84" t="s">
        <v>2900</v>
      </c>
      <c r="I178" s="84" t="s">
        <v>2680</v>
      </c>
      <c r="J178" s="7" t="s">
        <v>3207</v>
      </c>
      <c r="K178" s="7">
        <v>31.0</v>
      </c>
      <c r="L178" s="7">
        <v>0.0</v>
      </c>
      <c r="M178" s="7">
        <v>0.0</v>
      </c>
      <c r="N178" s="7">
        <v>31.0</v>
      </c>
      <c r="O178" s="7">
        <v>0.0</v>
      </c>
      <c r="P178" s="7">
        <v>0.0</v>
      </c>
      <c r="Q178" s="7">
        <v>108.0</v>
      </c>
      <c r="R178" s="7">
        <v>0.0</v>
      </c>
      <c r="S178" s="7">
        <v>0.0</v>
      </c>
      <c r="T178" s="7">
        <v>108.0</v>
      </c>
      <c r="U178" s="7">
        <v>0.0</v>
      </c>
      <c r="V178" s="7">
        <v>0.0</v>
      </c>
      <c r="W178" s="7">
        <f>VLOOKUP($D178,NatureChart,2,0)</f>
        <v>1</v>
      </c>
      <c r="X178" s="7">
        <f>VLOOKUP($D178,NatureChart,3,0)</f>
        <v>1</v>
      </c>
      <c r="Y178" s="7">
        <f>VLOOKUP($D178,NatureChart,4,0)</f>
        <v>1.1</v>
      </c>
      <c r="Z178" s="7">
        <f>VLOOKUP($D178,NatureChart,5,0)</f>
        <v>1</v>
      </c>
      <c r="AA178" s="84">
        <f>VLOOKUP($D178,NatureChart,6,0)</f>
        <v>0.9</v>
      </c>
      <c r="AB178" s="84">
        <f>IF($C178="Shedinja",1,(INT((2*VLOOKUP($C178,DexData,5,0)+INT(Q178/4)+K178)/2)+60))</f>
        <v>154</v>
      </c>
      <c r="AC178" s="84">
        <f>INT(INT((INT((2*VLOOKUP($C178,DexData,6,0)+INT(R178/4)+L178)/2)+5)*W178)*IF($E178="Choice Band",1.5,IF(OR($E178="Mawilite",$E178="Medichamite",$E178="Thick Club"),2,1)))</f>
        <v>95</v>
      </c>
      <c r="AD178" s="84">
        <f>INT(INT((INT((2*VLOOKUP($C178,DexData,7,0)+INT(S178/4)+M178)/2)+5)*X178)*IF($E178="Eviolite",1.5,1))</f>
        <v>55</v>
      </c>
      <c r="AE178" s="84">
        <f>INT(INT((INT((2*VLOOKUP($C178,DexData,9,0)+INT(T178/4)+N178)/2)+5)*Y178)*IF($E178="Choice Specs",1.5,1))</f>
        <v>130</v>
      </c>
      <c r="AF178" s="84">
        <f>INT(INT((INT((2*VLOOKUP($C178,DexData,10,0)+INT(U178/4)+O178)/2)+5)*Z178)*IF(OR($E178="Eviolite",$E178="Assault Vest"),1.5,1))</f>
        <v>50</v>
      </c>
      <c r="AG178" s="84">
        <f>INT(INT((INT((2*VLOOKUP($C178,DexData,11,0)+INT(V178/4)+P178)/2)+5)*AA178)*IF($E178="Choice Scarf",1.5,IF($E178="Iron Ball",0.5,1)))</f>
        <v>54</v>
      </c>
      <c r="AH178" s="84" t="str">
        <f>VLOOKUP(VLOOKUP($C178,DexData,3,0),Aliases!D$2:E$19,2,0)&amp;IFERROR("/"&amp;VLOOKUP(VLOOKUP($C178,DexData,4,0),Aliases!D$2:E$19,2,0),"")</f>
        <v>GRS/PSN</v>
      </c>
      <c r="AI178" s="7">
        <v>3.0</v>
      </c>
      <c r="AJ178" s="7">
        <f>IF(VLOOKUP(B178,'Set Odds'!A$2:AN$1067,40,0),1,IF(VLOOKUP(B178,'Set Odds'!A$2:AO$1067,41,0),2,0))</f>
        <v>0</v>
      </c>
      <c r="AK178" s="7"/>
      <c r="AL178" s="7" t="str">
        <f t="shared" si="1"/>
        <v/>
      </c>
    </row>
    <row r="179" ht="12.75" customHeight="1">
      <c r="A179" s="86">
        <v>178.0</v>
      </c>
      <c r="B179" s="84" t="s">
        <v>3208</v>
      </c>
      <c r="C179" s="7" t="s">
        <v>3209</v>
      </c>
      <c r="D179" s="7" t="s">
        <v>2571</v>
      </c>
      <c r="E179" s="7" t="s">
        <v>2520</v>
      </c>
      <c r="F179" s="84" t="s">
        <v>2867</v>
      </c>
      <c r="G179" s="84" t="s">
        <v>2726</v>
      </c>
      <c r="H179" s="84" t="s">
        <v>2895</v>
      </c>
      <c r="I179" s="84" t="s">
        <v>2581</v>
      </c>
      <c r="J179" s="7" t="s">
        <v>2728</v>
      </c>
      <c r="K179" s="7">
        <v>0.0</v>
      </c>
      <c r="L179" s="7">
        <v>31.0</v>
      </c>
      <c r="M179" s="7">
        <v>0.0</v>
      </c>
      <c r="N179" s="7">
        <v>0.0</v>
      </c>
      <c r="O179" s="7">
        <v>0.0</v>
      </c>
      <c r="P179" s="7">
        <v>31.0</v>
      </c>
      <c r="Q179" s="7">
        <v>0.0</v>
      </c>
      <c r="R179" s="7">
        <v>108.0</v>
      </c>
      <c r="S179" s="7">
        <v>0.0</v>
      </c>
      <c r="T179" s="7">
        <v>0.0</v>
      </c>
      <c r="U179" s="7">
        <v>0.0</v>
      </c>
      <c r="V179" s="7">
        <v>108.0</v>
      </c>
      <c r="W179" s="7">
        <f>VLOOKUP($D179,NatureChart,2,0)</f>
        <v>1.1</v>
      </c>
      <c r="X179" s="7">
        <f>VLOOKUP($D179,NatureChart,3,0)</f>
        <v>1</v>
      </c>
      <c r="Y179" s="7">
        <f>VLOOKUP($D179,NatureChart,4,0)</f>
        <v>0.9</v>
      </c>
      <c r="Z179" s="7">
        <f>VLOOKUP($D179,NatureChart,5,0)</f>
        <v>1</v>
      </c>
      <c r="AA179" s="84">
        <f>VLOOKUP($D179,NatureChart,6,0)</f>
        <v>1</v>
      </c>
      <c r="AB179" s="84">
        <f>IF($C179="Shedinja",1,(INT((2*VLOOKUP($C179,DexData,5,0)+INT(Q179/4)+K179)/2)+60))</f>
        <v>115</v>
      </c>
      <c r="AC179" s="84">
        <f>INT(INT((INT((2*VLOOKUP($C179,DexData,6,0)+INT(R179/4)+L179)/2)+5)*W179)*IF($E179="Choice Band",1.5,IF(OR($E179="Mawilite",$E179="Medichamite",$E179="Thick Club"),2,1)))</f>
        <v>141</v>
      </c>
      <c r="AD179" s="84">
        <f>INT(INT((INT((2*VLOOKUP($C179,DexData,7,0)+INT(S179/4)+M179)/2)+5)*X179)*IF($E179="Eviolite",1.5,1))</f>
        <v>120</v>
      </c>
      <c r="AE179" s="84">
        <f>INT(INT((INT((2*VLOOKUP($C179,DexData,9,0)+INT(T179/4)+N179)/2)+5)*Y179)*IF($E179="Choice Specs",1.5,1))</f>
        <v>45</v>
      </c>
      <c r="AF179" s="84">
        <f>INT(INT((INT((2*VLOOKUP($C179,DexData,10,0)+INT(U179/4)+O179)/2)+5)*Z179)*IF(OR($E179="Eviolite",$E179="Assault Vest"),1.5,1))</f>
        <v>50</v>
      </c>
      <c r="AG179" s="84">
        <f>INT(INT((INT((2*VLOOKUP($C179,DexData,11,0)+INT(V179/4)+P179)/2)+5)*AA179)*IF($E179="Choice Scarf",1.5,IF($E179="Iron Ball",0.5,1)))</f>
        <v>69</v>
      </c>
      <c r="AH179" s="84" t="str">
        <f>VLOOKUP(VLOOKUP($C179,DexData,3,0),Aliases!D$2:E$19,2,0)&amp;IFERROR("/"&amp;VLOOKUP(VLOOKUP($C179,DexData,4,0),Aliases!D$2:E$19,2,0),"")</f>
        <v>RCK/GRD</v>
      </c>
      <c r="AI179" s="7">
        <v>3.0</v>
      </c>
      <c r="AJ179" s="7">
        <f>IF(VLOOKUP(B179,'Set Odds'!A$2:AN$1067,40,0),1,IF(VLOOKUP(B179,'Set Odds'!A$2:AO$1067,41,0),2,0))</f>
        <v>0</v>
      </c>
      <c r="AK179" s="7"/>
      <c r="AL179" s="7" t="str">
        <f t="shared" si="1"/>
        <v/>
      </c>
    </row>
    <row r="180" ht="12.75" customHeight="1">
      <c r="A180" s="86">
        <v>179.0</v>
      </c>
      <c r="B180" s="84" t="s">
        <v>3210</v>
      </c>
      <c r="C180" s="7" t="s">
        <v>3211</v>
      </c>
      <c r="D180" s="7" t="s">
        <v>2605</v>
      </c>
      <c r="E180" s="7" t="s">
        <v>2520</v>
      </c>
      <c r="F180" s="84" t="s">
        <v>2596</v>
      </c>
      <c r="G180" s="84" t="s">
        <v>3130</v>
      </c>
      <c r="H180" s="84" t="s">
        <v>3113</v>
      </c>
      <c r="I180" s="84" t="s">
        <v>2948</v>
      </c>
      <c r="J180" s="7" t="s">
        <v>2842</v>
      </c>
      <c r="K180" s="7">
        <v>31.0</v>
      </c>
      <c r="L180" s="7">
        <v>0.0</v>
      </c>
      <c r="M180" s="7">
        <v>0.0</v>
      </c>
      <c r="N180" s="7">
        <v>0.0</v>
      </c>
      <c r="O180" s="7">
        <v>31.0</v>
      </c>
      <c r="P180" s="7">
        <v>0.0</v>
      </c>
      <c r="Q180" s="7">
        <v>108.0</v>
      </c>
      <c r="R180" s="7">
        <v>0.0</v>
      </c>
      <c r="S180" s="7">
        <v>0.0</v>
      </c>
      <c r="T180" s="7">
        <v>0.0</v>
      </c>
      <c r="U180" s="7">
        <v>108.0</v>
      </c>
      <c r="V180" s="7">
        <v>0.0</v>
      </c>
      <c r="W180" s="7">
        <f>VLOOKUP($D180,NatureChart,2,0)</f>
        <v>1</v>
      </c>
      <c r="X180" s="7">
        <f>VLOOKUP($D180,NatureChart,3,0)</f>
        <v>1</v>
      </c>
      <c r="Y180" s="7">
        <f>VLOOKUP($D180,NatureChart,4,0)</f>
        <v>1</v>
      </c>
      <c r="Z180" s="7">
        <f>VLOOKUP($D180,NatureChart,5,0)</f>
        <v>1</v>
      </c>
      <c r="AA180" s="84">
        <f>VLOOKUP($D180,NatureChart,6,0)</f>
        <v>1</v>
      </c>
      <c r="AB180" s="84">
        <f>IF($C180="Shedinja",1,(INT((2*VLOOKUP($C180,DexData,5,0)+INT(Q180/4)+K180)/2)+60))</f>
        <v>144</v>
      </c>
      <c r="AC180" s="84">
        <f>INT(INT((INT((2*VLOOKUP($C180,DexData,6,0)+INT(R180/4)+L180)/2)+5)*W180)*IF($E180="Choice Band",1.5,IF(OR($E180="Mawilite",$E180="Medichamite",$E180="Thick Club"),2,1)))</f>
        <v>40</v>
      </c>
      <c r="AD180" s="84">
        <f>INT(INT((INT((2*VLOOKUP($C180,DexData,7,0)+INT(S180/4)+M180)/2)+5)*X180)*IF($E180="Eviolite",1.5,1))</f>
        <v>55</v>
      </c>
      <c r="AE180" s="84">
        <f>INT(INT((INT((2*VLOOKUP($C180,DexData,9,0)+INT(T180/4)+N180)/2)+5)*Y180)*IF($E180="Choice Specs",1.5,1))</f>
        <v>60</v>
      </c>
      <c r="AF180" s="84">
        <f>INT(INT((INT((2*VLOOKUP($C180,DexData,10,0)+INT(U180/4)+O180)/2)+5)*Z180)*IF(OR($E180="Eviolite",$E180="Assault Vest"),1.5,1))</f>
        <v>144</v>
      </c>
      <c r="AG180" s="84">
        <f>INT(INT((INT((2*VLOOKUP($C180,DexData,11,0)+INT(V180/4)+P180)/2)+5)*AA180)*IF($E180="Choice Scarf",1.5,IF($E180="Iron Ball",0.5,1)))</f>
        <v>90</v>
      </c>
      <c r="AH180" s="84" t="str">
        <f>VLOOKUP(VLOOKUP($C180,DexData,3,0),Aliases!D$2:E$19,2,0)&amp;IFERROR("/"&amp;VLOOKUP(VLOOKUP($C180,DexData,4,0),Aliases!D$2:E$19,2,0),"")</f>
        <v>BUG/FLY</v>
      </c>
      <c r="AI180" s="7">
        <v>3.0</v>
      </c>
      <c r="AJ180" s="7">
        <f>IF(VLOOKUP(B180,'Set Odds'!A$2:AN$1067,40,0),1,IF(VLOOKUP(B180,'Set Odds'!A$2:AO$1067,41,0),2,0))</f>
        <v>0</v>
      </c>
      <c r="AK180" s="7"/>
      <c r="AL180" s="7" t="str">
        <f t="shared" si="1"/>
        <v/>
      </c>
    </row>
    <row r="181" ht="12.75" customHeight="1">
      <c r="A181" s="86">
        <v>180.0</v>
      </c>
      <c r="B181" s="84" t="s">
        <v>3212</v>
      </c>
      <c r="C181" s="7" t="s">
        <v>3213</v>
      </c>
      <c r="D181" s="7" t="s">
        <v>2635</v>
      </c>
      <c r="E181" s="7" t="s">
        <v>2515</v>
      </c>
      <c r="F181" s="84" t="s">
        <v>3180</v>
      </c>
      <c r="G181" s="84" t="s">
        <v>3039</v>
      </c>
      <c r="H181" s="84" t="s">
        <v>2951</v>
      </c>
      <c r="I181" s="84" t="s">
        <v>3214</v>
      </c>
      <c r="J181" s="7" t="s">
        <v>2735</v>
      </c>
      <c r="K181" s="7">
        <v>31.0</v>
      </c>
      <c r="L181" s="7">
        <v>0.0</v>
      </c>
      <c r="M181" s="7">
        <v>0.0</v>
      </c>
      <c r="N181" s="7">
        <v>0.0</v>
      </c>
      <c r="O181" s="7">
        <v>0.0</v>
      </c>
      <c r="P181" s="7">
        <v>31.0</v>
      </c>
      <c r="Q181" s="7">
        <v>108.0</v>
      </c>
      <c r="R181" s="7">
        <v>0.0</v>
      </c>
      <c r="S181" s="7">
        <v>0.0</v>
      </c>
      <c r="T181" s="7">
        <v>0.0</v>
      </c>
      <c r="U181" s="7">
        <v>0.0</v>
      </c>
      <c r="V181" s="7">
        <v>108.0</v>
      </c>
      <c r="W181" s="7">
        <f>VLOOKUP($D181,NatureChart,2,0)</f>
        <v>0.9</v>
      </c>
      <c r="X181" s="7">
        <f>VLOOKUP($D181,NatureChart,3,0)</f>
        <v>1</v>
      </c>
      <c r="Y181" s="7">
        <f>VLOOKUP($D181,NatureChart,4,0)</f>
        <v>1</v>
      </c>
      <c r="Z181" s="7">
        <f>VLOOKUP($D181,NatureChart,5,0)</f>
        <v>1</v>
      </c>
      <c r="AA181" s="84">
        <f>VLOOKUP($D181,NatureChart,6,0)</f>
        <v>1.1</v>
      </c>
      <c r="AB181" s="84">
        <f>IF($C181="Shedinja",1,(INT((2*VLOOKUP($C181,DexData,5,0)+INT(Q181/4)+K181)/2)+60))</f>
        <v>159</v>
      </c>
      <c r="AC181" s="84">
        <f>INT(INT((INT((2*VLOOKUP($C181,DexData,6,0)+INT(R181/4)+L181)/2)+5)*W181)*IF($E181="Choice Band",1.5,IF(OR($E181="Mawilite",$E181="Medichamite",$E181="Thick Club"),2,1)))</f>
        <v>85</v>
      </c>
      <c r="AD181" s="84">
        <f>INT(INT((INT((2*VLOOKUP($C181,DexData,7,0)+INT(S181/4)+M181)/2)+5)*X181)*IF($E181="Eviolite",1.5,1))</f>
        <v>75</v>
      </c>
      <c r="AE181" s="84">
        <f>INT(INT((INT((2*VLOOKUP($C181,DexData,9,0)+INT(T181/4)+N181)/2)+5)*Y181)*IF($E181="Choice Specs",1.5,1))</f>
        <v>65</v>
      </c>
      <c r="AF181" s="84">
        <f>INT(INT((INT((2*VLOOKUP($C181,DexData,10,0)+INT(U181/4)+O181)/2)+5)*Z181)*IF(OR($E181="Eviolite",$E181="Assault Vest"),1.5,1))</f>
        <v>75</v>
      </c>
      <c r="AG181" s="84">
        <f>INT(INT((INT((2*VLOOKUP($C181,DexData,11,0)+INT(V181/4)+P181)/2)+5)*AA181)*IF($E181="Choice Scarf",1.5,IF($E181="Iron Ball",0.5,1)))</f>
        <v>81</v>
      </c>
      <c r="AH181" s="84" t="str">
        <f>VLOOKUP(VLOOKUP($C181,DexData,3,0),Aliases!D$2:E$19,2,0)&amp;IFERROR("/"&amp;VLOOKUP(VLOOKUP($C181,DexData,4,0),Aliases!D$2:E$19,2,0),"")</f>
        <v>BUG/PSN</v>
      </c>
      <c r="AI181" s="7">
        <v>3.0</v>
      </c>
      <c r="AJ181" s="7">
        <f>IF(VLOOKUP(B181,'Set Odds'!A$2:AN$1067,40,0),1,IF(VLOOKUP(B181,'Set Odds'!A$2:AO$1067,41,0),2,0))</f>
        <v>0</v>
      </c>
      <c r="AK181" s="7"/>
      <c r="AL181" s="7" t="str">
        <f t="shared" si="1"/>
        <v/>
      </c>
    </row>
    <row r="182" ht="12.75" customHeight="1">
      <c r="A182" s="86">
        <v>181.0</v>
      </c>
      <c r="B182" s="84" t="s">
        <v>3215</v>
      </c>
      <c r="C182" s="7" t="s">
        <v>3216</v>
      </c>
      <c r="D182" s="7" t="s">
        <v>2656</v>
      </c>
      <c r="E182" s="7" t="s">
        <v>2528</v>
      </c>
      <c r="F182" s="84" t="s">
        <v>3186</v>
      </c>
      <c r="G182" s="84" t="s">
        <v>3091</v>
      </c>
      <c r="H182" s="84" t="s">
        <v>2532</v>
      </c>
      <c r="I182" s="84" t="s">
        <v>2521</v>
      </c>
      <c r="J182" s="7" t="s">
        <v>3217</v>
      </c>
      <c r="K182" s="7">
        <v>0.0</v>
      </c>
      <c r="L182" s="7">
        <v>0.0</v>
      </c>
      <c r="M182" s="7">
        <v>0.0</v>
      </c>
      <c r="N182" s="7">
        <v>31.0</v>
      </c>
      <c r="O182" s="7">
        <v>0.0</v>
      </c>
      <c r="P182" s="7">
        <v>31.0</v>
      </c>
      <c r="Q182" s="7">
        <v>0.0</v>
      </c>
      <c r="R182" s="7">
        <v>0.0</v>
      </c>
      <c r="S182" s="7">
        <v>0.0</v>
      </c>
      <c r="T182" s="7">
        <v>108.0</v>
      </c>
      <c r="U182" s="7">
        <v>0.0</v>
      </c>
      <c r="V182" s="7">
        <v>108.0</v>
      </c>
      <c r="W182" s="7">
        <f>VLOOKUP($D182,NatureChart,2,0)</f>
        <v>0.9</v>
      </c>
      <c r="X182" s="7">
        <f>VLOOKUP($D182,NatureChart,3,0)</f>
        <v>1</v>
      </c>
      <c r="Y182" s="7">
        <f>VLOOKUP($D182,NatureChart,4,0)</f>
        <v>1.1</v>
      </c>
      <c r="Z182" s="7">
        <f>VLOOKUP($D182,NatureChart,5,0)</f>
        <v>1</v>
      </c>
      <c r="AA182" s="84">
        <f>VLOOKUP($D182,NatureChart,6,0)</f>
        <v>1</v>
      </c>
      <c r="AB182" s="84">
        <f>IF($C182="Shedinja",1,(INT((2*VLOOKUP($C182,DexData,5,0)+INT(Q182/4)+K182)/2)+60))</f>
        <v>125</v>
      </c>
      <c r="AC182" s="84">
        <f>INT(INT((INT((2*VLOOKUP($C182,DexData,6,0)+INT(R182/4)+L182)/2)+5)*W182)*IF($E182="Choice Band",1.5,IF(OR($E182="Mawilite",$E182="Medichamite",$E182="Thick Club"),2,1)))</f>
        <v>63</v>
      </c>
      <c r="AD182" s="84">
        <f>INT(INT((INT((2*VLOOKUP($C182,DexData,7,0)+INT(S182/4)+M182)/2)+5)*X182)*IF($E182="Eviolite",1.5,1))</f>
        <v>50</v>
      </c>
      <c r="AE182" s="84">
        <f>INT(INT((INT((2*VLOOKUP($C182,DexData,9,0)+INT(T182/4)+N182)/2)+5)*Y182)*IF($E182="Choice Specs",1.5,1))</f>
        <v>119</v>
      </c>
      <c r="AF182" s="84">
        <f>INT(INT((INT((2*VLOOKUP($C182,DexData,10,0)+INT(U182/4)+O182)/2)+5)*Z182)*IF(OR($E182="Eviolite",$E182="Assault Vest"),1.5,1))</f>
        <v>50</v>
      </c>
      <c r="AG182" s="84">
        <f>INT(INT((INT((2*VLOOKUP($C182,DexData,11,0)+INT(V182/4)+P182)/2)+5)*AA182)*IF($E182="Choice Scarf",1.5,IF($E182="Iron Ball",0.5,1)))</f>
        <v>129</v>
      </c>
      <c r="AH182" s="84" t="str">
        <f>VLOOKUP(VLOOKUP($C182,DexData,3,0),Aliases!D$2:E$19,2,0)&amp;IFERROR("/"&amp;VLOOKUP(VLOOKUP($C182,DexData,4,0),Aliases!D$2:E$19,2,0),"")</f>
        <v>BUG/FLY</v>
      </c>
      <c r="AI182" s="7">
        <v>3.0</v>
      </c>
      <c r="AJ182" s="7">
        <f>IF(VLOOKUP(B182,'Set Odds'!A$2:AN$1067,40,0),1,IF(VLOOKUP(B182,'Set Odds'!A$2:AO$1067,41,0),2,0))</f>
        <v>0</v>
      </c>
      <c r="AK182" s="7"/>
      <c r="AL182" s="7" t="str">
        <f t="shared" si="1"/>
        <v/>
      </c>
    </row>
    <row r="183" ht="12.75" customHeight="1">
      <c r="A183" s="86">
        <v>182.0</v>
      </c>
      <c r="B183" s="84" t="s">
        <v>3218</v>
      </c>
      <c r="C183" s="7" t="s">
        <v>3219</v>
      </c>
      <c r="D183" s="7" t="s">
        <v>2811</v>
      </c>
      <c r="E183" s="7" t="s">
        <v>3220</v>
      </c>
      <c r="F183" s="84" t="s">
        <v>2894</v>
      </c>
      <c r="G183" s="84" t="s">
        <v>3221</v>
      </c>
      <c r="H183" s="84" t="s">
        <v>3222</v>
      </c>
      <c r="I183" s="84" t="s">
        <v>2514</v>
      </c>
      <c r="J183" s="7" t="s">
        <v>3207</v>
      </c>
      <c r="K183" s="7">
        <v>31.0</v>
      </c>
      <c r="L183" s="7">
        <v>0.0</v>
      </c>
      <c r="M183" s="7">
        <v>31.0</v>
      </c>
      <c r="N183" s="7">
        <v>0.0</v>
      </c>
      <c r="O183" s="7">
        <v>0.0</v>
      </c>
      <c r="P183" s="7">
        <v>0.0</v>
      </c>
      <c r="Q183" s="7">
        <v>108.0</v>
      </c>
      <c r="R183" s="7">
        <v>0.0</v>
      </c>
      <c r="S183" s="7">
        <v>108.0</v>
      </c>
      <c r="T183" s="7">
        <v>0.0</v>
      </c>
      <c r="U183" s="7">
        <v>0.0</v>
      </c>
      <c r="V183" s="7">
        <v>0.0</v>
      </c>
      <c r="W183" s="7">
        <f>VLOOKUP($D183,NatureChart,2,0)</f>
        <v>1</v>
      </c>
      <c r="X183" s="7">
        <f>VLOOKUP($D183,NatureChart,3,0)</f>
        <v>1.1</v>
      </c>
      <c r="Y183" s="7">
        <f>VLOOKUP($D183,NatureChart,4,0)</f>
        <v>1</v>
      </c>
      <c r="Z183" s="7">
        <f>VLOOKUP($D183,NatureChart,5,0)</f>
        <v>1</v>
      </c>
      <c r="AA183" s="84">
        <f>VLOOKUP($D183,NatureChart,6,0)</f>
        <v>0.9</v>
      </c>
      <c r="AB183" s="84">
        <f>IF($C183="Shedinja",1,(INT((2*VLOOKUP($C183,DexData,5,0)+INT(Q183/4)+K183)/2)+60))</f>
        <v>224</v>
      </c>
      <c r="AC183" s="84">
        <f>INT(INT((INT((2*VLOOKUP($C183,DexData,6,0)+INT(R183/4)+L183)/2)+5)*W183)*IF($E183="Choice Band",1.5,IF(OR($E183="Mawilite",$E183="Medichamite",$E183="Thick Club"),2,1)))</f>
        <v>90</v>
      </c>
      <c r="AD183" s="84">
        <f>INT(INT((INT((2*VLOOKUP($C183,DexData,7,0)+INT(S183/4)+M183)/2)+5)*X183)*IF($E183="Eviolite",1.5,1))</f>
        <v>81</v>
      </c>
      <c r="AE183" s="84">
        <f>INT(INT((INT((2*VLOOKUP($C183,DexData,9,0)+INT(T183/4)+N183)/2)+5)*Y183)*IF($E183="Choice Specs",1.5,1))</f>
        <v>45</v>
      </c>
      <c r="AF183" s="84">
        <f>INT(INT((INT((2*VLOOKUP($C183,DexData,10,0)+INT(U183/4)+O183)/2)+5)*Z183)*IF(OR($E183="Eviolite",$E183="Assault Vest"),1.5,1))</f>
        <v>90</v>
      </c>
      <c r="AG183" s="84">
        <f>INT(INT((INT((2*VLOOKUP($C183,DexData,11,0)+INT(V183/4)+P183)/2)+5)*AA183)*IF($E183="Choice Scarf",1.5,IF($E183="Iron Ball",0.5,1)))</f>
        <v>9</v>
      </c>
      <c r="AH183" s="84" t="str">
        <f>VLOOKUP(VLOOKUP($C183,DexData,3,0),Aliases!D$2:E$19,2,0)&amp;IFERROR("/"&amp;VLOOKUP(VLOOKUP($C183,DexData,4,0),Aliases!D$2:E$19,2,0),"")</f>
        <v>NRM</v>
      </c>
      <c r="AI183" s="7">
        <v>3.0</v>
      </c>
      <c r="AJ183" s="7">
        <f>IF(VLOOKUP(B183,'Set Odds'!A$2:AN$1067,40,0),1,IF(VLOOKUP(B183,'Set Odds'!A$2:AO$1067,41,0),2,0))</f>
        <v>0</v>
      </c>
      <c r="AK183" s="7"/>
      <c r="AL183" s="7" t="str">
        <f t="shared" si="1"/>
        <v/>
      </c>
    </row>
    <row r="184" ht="12.75" customHeight="1">
      <c r="A184" s="86">
        <v>183.0</v>
      </c>
      <c r="B184" s="84" t="s">
        <v>3223</v>
      </c>
      <c r="C184" s="7" t="s">
        <v>3224</v>
      </c>
      <c r="D184" s="7" t="s">
        <v>2656</v>
      </c>
      <c r="E184" s="7" t="s">
        <v>2761</v>
      </c>
      <c r="F184" s="84" t="s">
        <v>3225</v>
      </c>
      <c r="G184" s="84" t="s">
        <v>2937</v>
      </c>
      <c r="H184" s="84" t="s">
        <v>2705</v>
      </c>
      <c r="I184" s="84" t="s">
        <v>2938</v>
      </c>
      <c r="J184" s="7" t="s">
        <v>2701</v>
      </c>
      <c r="K184" s="7">
        <v>31.0</v>
      </c>
      <c r="L184" s="7">
        <v>0.0</v>
      </c>
      <c r="M184" s="7">
        <v>0.0</v>
      </c>
      <c r="N184" s="7">
        <v>31.0</v>
      </c>
      <c r="O184" s="7">
        <v>0.0</v>
      </c>
      <c r="P184" s="7">
        <v>0.0</v>
      </c>
      <c r="Q184" s="7">
        <v>108.0</v>
      </c>
      <c r="R184" s="7">
        <v>0.0</v>
      </c>
      <c r="S184" s="7">
        <v>0.0</v>
      </c>
      <c r="T184" s="7">
        <v>108.0</v>
      </c>
      <c r="U184" s="7">
        <v>0.0</v>
      </c>
      <c r="V184" s="7">
        <v>0.0</v>
      </c>
      <c r="W184" s="7">
        <f>VLOOKUP($D184,NatureChart,2,0)</f>
        <v>0.9</v>
      </c>
      <c r="X184" s="7">
        <f>VLOOKUP($D184,NatureChart,3,0)</f>
        <v>1</v>
      </c>
      <c r="Y184" s="7">
        <f>VLOOKUP($D184,NatureChart,4,0)</f>
        <v>1.1</v>
      </c>
      <c r="Z184" s="7">
        <f>VLOOKUP($D184,NatureChart,5,0)</f>
        <v>1</v>
      </c>
      <c r="AA184" s="84">
        <f>VLOOKUP($D184,NatureChart,6,0)</f>
        <v>1</v>
      </c>
      <c r="AB184" s="84">
        <f>IF($C184="Shedinja",1,(INT((2*VLOOKUP($C184,DexData,5,0)+INT(Q184/4)+K184)/2)+60))</f>
        <v>149</v>
      </c>
      <c r="AC184" s="84">
        <f>INT(INT((INT((2*VLOOKUP($C184,DexData,6,0)+INT(R184/4)+L184)/2)+5)*W184)*IF($E184="Choice Band",1.5,IF(OR($E184="Mawilite",$E184="Medichamite",$E184="Thick Club"),2,1)))</f>
        <v>63</v>
      </c>
      <c r="AD184" s="84">
        <f>INT(INT((INT((2*VLOOKUP($C184,DexData,7,0)+INT(S184/4)+M184)/2)+5)*X184)*IF($E184="Eviolite",1.5,1))</f>
        <v>75</v>
      </c>
      <c r="AE184" s="84">
        <f>INT(INT((INT((2*VLOOKUP($C184,DexData,9,0)+INT(T184/4)+N184)/2)+5)*Y184)*IF($E184="Choice Specs",1.5,1))</f>
        <v>130</v>
      </c>
      <c r="AF184" s="84">
        <f>INT(INT((INT((2*VLOOKUP($C184,DexData,10,0)+INT(U184/4)+O184)/2)+5)*Z184)*IF(OR($E184="Eviolite",$E184="Assault Vest"),1.5,1))</f>
        <v>80</v>
      </c>
      <c r="AG184" s="84">
        <f>INT(INT((INT((2*VLOOKUP($C184,DexData,11,0)+INT(V184/4)+P184)/2)+5)*AA184)*IF($E184="Choice Scarf",1.5,IF($E184="Iron Ball",0.5,1)))</f>
        <v>45</v>
      </c>
      <c r="AH184" s="84" t="str">
        <f>VLOOKUP(VLOOKUP($C184,DexData,3,0),Aliases!D$2:E$19,2,0)&amp;IFERROR("/"&amp;VLOOKUP(VLOOKUP($C184,DexData,4,0),Aliases!D$2:E$19,2,0),"")</f>
        <v>GRS/PSN</v>
      </c>
      <c r="AI184" s="7">
        <v>3.0</v>
      </c>
      <c r="AJ184" s="7">
        <f>IF(VLOOKUP(B184,'Set Odds'!A$2:AN$1067,40,0),1,IF(VLOOKUP(B184,'Set Odds'!A$2:AO$1067,41,0),2,0))</f>
        <v>0</v>
      </c>
      <c r="AK184" s="7"/>
      <c r="AL184" s="7" t="str">
        <f t="shared" si="1"/>
        <v/>
      </c>
    </row>
    <row r="185" ht="12.75" customHeight="1">
      <c r="A185" s="86">
        <v>184.0</v>
      </c>
      <c r="B185" s="84" t="s">
        <v>3226</v>
      </c>
      <c r="C185" s="7" t="s">
        <v>3227</v>
      </c>
      <c r="D185" s="7" t="s">
        <v>2811</v>
      </c>
      <c r="E185" s="7" t="s">
        <v>2636</v>
      </c>
      <c r="F185" s="84" t="s">
        <v>2772</v>
      </c>
      <c r="G185" s="84" t="s">
        <v>3228</v>
      </c>
      <c r="H185" s="84" t="s">
        <v>3221</v>
      </c>
      <c r="I185" s="84" t="s">
        <v>2948</v>
      </c>
      <c r="J185" s="7" t="s">
        <v>3229</v>
      </c>
      <c r="K185" s="7">
        <v>31.0</v>
      </c>
      <c r="L185" s="7">
        <v>0.0</v>
      </c>
      <c r="M185" s="7">
        <v>31.0</v>
      </c>
      <c r="N185" s="7">
        <v>0.0</v>
      </c>
      <c r="O185" s="7">
        <v>0.0</v>
      </c>
      <c r="P185" s="7">
        <v>0.0</v>
      </c>
      <c r="Q185" s="7">
        <v>108.0</v>
      </c>
      <c r="R185" s="7">
        <v>0.0</v>
      </c>
      <c r="S185" s="7">
        <v>108.0</v>
      </c>
      <c r="T185" s="7">
        <v>0.0</v>
      </c>
      <c r="U185" s="7">
        <v>0.0</v>
      </c>
      <c r="V185" s="7">
        <v>0.0</v>
      </c>
      <c r="W185" s="7">
        <f>VLOOKUP($D185,NatureChart,2,0)</f>
        <v>1</v>
      </c>
      <c r="X185" s="7">
        <f>VLOOKUP($D185,NatureChart,3,0)</f>
        <v>1.1</v>
      </c>
      <c r="Y185" s="7">
        <f>VLOOKUP($D185,NatureChart,4,0)</f>
        <v>1</v>
      </c>
      <c r="Z185" s="7">
        <f>VLOOKUP($D185,NatureChart,5,0)</f>
        <v>1</v>
      </c>
      <c r="AA185" s="84">
        <f>VLOOKUP($D185,NatureChart,6,0)</f>
        <v>0.9</v>
      </c>
      <c r="AB185" s="84">
        <f>IF($C185="Shedinja",1,(INT((2*VLOOKUP($C185,DexData,5,0)+INT(Q185/4)+K185)/2)+60))</f>
        <v>154</v>
      </c>
      <c r="AC185" s="84">
        <f>INT(INT((INT((2*VLOOKUP($C185,DexData,6,0)+INT(R185/4)+L185)/2)+5)*W185)*IF($E185="Choice Band",1.5,IF(OR($E185="Mawilite",$E185="Medichamite",$E185="Thick Club"),2,1)))</f>
        <v>65</v>
      </c>
      <c r="AD185" s="84">
        <f>INT(INT((INT((2*VLOOKUP($C185,DexData,7,0)+INT(S185/4)+M185)/2)+5)*X185)*IF($E185="Eviolite",1.5,1))</f>
        <v>114</v>
      </c>
      <c r="AE185" s="84">
        <f>INT(INT((INT((2*VLOOKUP($C185,DexData,9,0)+INT(T185/4)+N185)/2)+5)*Y185)*IF($E185="Choice Specs",1.5,1))</f>
        <v>90</v>
      </c>
      <c r="AF185" s="84">
        <f>INT(INT((INT((2*VLOOKUP($C185,DexData,10,0)+INT(U185/4)+O185)/2)+5)*Z185)*IF(OR($E185="Eviolite",$E185="Assault Vest"),1.5,1))</f>
        <v>80</v>
      </c>
      <c r="AG185" s="84">
        <f>INT(INT((INT((2*VLOOKUP($C185,DexData,11,0)+INT(V185/4)+P185)/2)+5)*AA185)*IF($E185="Choice Scarf",1.5,IF($E185="Iron Ball",0.5,1)))</f>
        <v>40</v>
      </c>
      <c r="AH185" s="84" t="str">
        <f>VLOOKUP(VLOOKUP($C185,DexData,3,0),Aliases!D$2:E$19,2,0)&amp;IFERROR("/"&amp;VLOOKUP(VLOOKUP($C185,DexData,4,0),Aliases!D$2:E$19,2,0),"")</f>
        <v>NRM</v>
      </c>
      <c r="AI185" s="7">
        <v>3.0</v>
      </c>
      <c r="AJ185" s="7">
        <f>IF(VLOOKUP(B185,'Set Odds'!A$2:AN$1067,40,0),1,IF(VLOOKUP(B185,'Set Odds'!A$2:AO$1067,41,0),2,0))</f>
        <v>0</v>
      </c>
      <c r="AK185" s="7"/>
      <c r="AL185" s="7" t="str">
        <f t="shared" si="1"/>
        <v/>
      </c>
    </row>
    <row r="186" ht="12.75" customHeight="1">
      <c r="A186" s="86">
        <v>185.0</v>
      </c>
      <c r="B186" s="84" t="s">
        <v>3230</v>
      </c>
      <c r="C186" s="7" t="s">
        <v>3231</v>
      </c>
      <c r="D186" s="7" t="s">
        <v>2656</v>
      </c>
      <c r="E186" s="7" t="s">
        <v>2780</v>
      </c>
      <c r="F186" s="84" t="s">
        <v>2796</v>
      </c>
      <c r="G186" s="84" t="s">
        <v>3232</v>
      </c>
      <c r="H186" s="84" t="s">
        <v>2952</v>
      </c>
      <c r="I186" s="84" t="s">
        <v>2739</v>
      </c>
      <c r="J186" s="7" t="s">
        <v>3233</v>
      </c>
      <c r="K186" s="7">
        <v>0.0</v>
      </c>
      <c r="L186" s="7">
        <v>0.0</v>
      </c>
      <c r="M186" s="7">
        <v>0.0</v>
      </c>
      <c r="N186" s="7">
        <v>31.0</v>
      </c>
      <c r="O186" s="7">
        <v>0.0</v>
      </c>
      <c r="P186" s="7">
        <v>31.0</v>
      </c>
      <c r="Q186" s="7">
        <v>0.0</v>
      </c>
      <c r="R186" s="7">
        <v>0.0</v>
      </c>
      <c r="S186" s="7">
        <v>0.0</v>
      </c>
      <c r="T186" s="7">
        <v>108.0</v>
      </c>
      <c r="U186" s="7">
        <v>0.0</v>
      </c>
      <c r="V186" s="7">
        <v>108.0</v>
      </c>
      <c r="W186" s="7">
        <f>VLOOKUP($D186,NatureChart,2,0)</f>
        <v>0.9</v>
      </c>
      <c r="X186" s="7">
        <f>VLOOKUP($D186,NatureChart,3,0)</f>
        <v>1</v>
      </c>
      <c r="Y186" s="7">
        <f>VLOOKUP($D186,NatureChart,4,0)</f>
        <v>1.1</v>
      </c>
      <c r="Z186" s="7">
        <f>VLOOKUP($D186,NatureChart,5,0)</f>
        <v>1</v>
      </c>
      <c r="AA186" s="84">
        <f>VLOOKUP($D186,NatureChart,6,0)</f>
        <v>1</v>
      </c>
      <c r="AB186" s="84">
        <f>IF($C186="Shedinja",1,(INT((2*VLOOKUP($C186,DexData,5,0)+INT(Q186/4)+K186)/2)+60))</f>
        <v>100</v>
      </c>
      <c r="AC186" s="84">
        <f>INT(INT((INT((2*VLOOKUP($C186,DexData,6,0)+INT(R186/4)+L186)/2)+5)*W186)*IF($E186="Choice Band",1.5,IF(OR($E186="Mawilite",$E186="Medichamite",$E186="Thick Club"),2,1)))</f>
        <v>36</v>
      </c>
      <c r="AD186" s="84">
        <f>INT(INT((INT((2*VLOOKUP($C186,DexData,7,0)+INT(S186/4)+M186)/2)+5)*X186)*IF($E186="Eviolite",1.5,1))</f>
        <v>35</v>
      </c>
      <c r="AE186" s="84">
        <f>INT(INT((INT((2*VLOOKUP($C186,DexData,9,0)+INT(T186/4)+N186)/2)+5)*Y186)*IF($E186="Choice Specs",1.5,1))</f>
        <v>169</v>
      </c>
      <c r="AF186" s="84">
        <f>INT(INT((INT((2*VLOOKUP($C186,DexData,10,0)+INT(U186/4)+O186)/2)+5)*Z186)*IF(OR($E186="Eviolite",$E186="Assault Vest"),1.5,1))</f>
        <v>75</v>
      </c>
      <c r="AG186" s="84">
        <f>INT(INT((INT((2*VLOOKUP($C186,DexData,11,0)+INT(V186/4)+P186)/2)+5)*AA186)*IF($E186="Choice Scarf",1.5,IF($E186="Iron Ball",0.5,1)))</f>
        <v>139</v>
      </c>
      <c r="AH186" s="84" t="str">
        <f>VLOOKUP(VLOOKUP($C186,DexData,3,0),Aliases!D$2:E$19,2,0)&amp;IFERROR("/"&amp;VLOOKUP(VLOOKUP($C186,DexData,4,0),Aliases!D$2:E$19,2,0),"")</f>
        <v>PSY</v>
      </c>
      <c r="AI186" s="7">
        <v>3.0</v>
      </c>
      <c r="AJ186" s="7">
        <f>IF(VLOOKUP(B186,'Set Odds'!A$2:AN$1067,40,0),1,IF(VLOOKUP(B186,'Set Odds'!A$2:AO$1067,41,0),2,0))</f>
        <v>0</v>
      </c>
      <c r="AK186" s="7"/>
      <c r="AL186" s="7" t="str">
        <f t="shared" si="1"/>
        <v/>
      </c>
    </row>
    <row r="187" ht="12.75" customHeight="1">
      <c r="A187" s="86">
        <v>186.0</v>
      </c>
      <c r="B187" s="84" t="s">
        <v>3234</v>
      </c>
      <c r="C187" s="7" t="s">
        <v>3235</v>
      </c>
      <c r="D187" s="7" t="s">
        <v>2611</v>
      </c>
      <c r="E187" s="7" t="s">
        <v>2790</v>
      </c>
      <c r="F187" s="84" t="s">
        <v>3186</v>
      </c>
      <c r="G187" s="84" t="s">
        <v>2536</v>
      </c>
      <c r="H187" s="84" t="s">
        <v>2602</v>
      </c>
      <c r="I187" s="84" t="s">
        <v>3236</v>
      </c>
      <c r="J187" s="7" t="s">
        <v>3181</v>
      </c>
      <c r="K187" s="7">
        <v>31.0</v>
      </c>
      <c r="L187" s="7">
        <v>0.0</v>
      </c>
      <c r="M187" s="7">
        <v>0.0</v>
      </c>
      <c r="N187" s="7">
        <v>31.0</v>
      </c>
      <c r="O187" s="7">
        <v>0.0</v>
      </c>
      <c r="P187" s="7">
        <v>0.0</v>
      </c>
      <c r="Q187" s="7">
        <v>108.0</v>
      </c>
      <c r="R187" s="7">
        <v>0.0</v>
      </c>
      <c r="S187" s="7">
        <v>0.0</v>
      </c>
      <c r="T187" s="7">
        <v>108.0</v>
      </c>
      <c r="U187" s="7">
        <v>0.0</v>
      </c>
      <c r="V187" s="7">
        <v>0.0</v>
      </c>
      <c r="W187" s="7">
        <f>VLOOKUP($D187,NatureChart,2,0)</f>
        <v>1</v>
      </c>
      <c r="X187" s="7">
        <f>VLOOKUP($D187,NatureChart,3,0)</f>
        <v>1</v>
      </c>
      <c r="Y187" s="7">
        <f>VLOOKUP($D187,NatureChart,4,0)</f>
        <v>1</v>
      </c>
      <c r="Z187" s="7">
        <f>VLOOKUP($D187,NatureChart,5,0)</f>
        <v>1</v>
      </c>
      <c r="AA187" s="84">
        <f>VLOOKUP($D187,NatureChart,6,0)</f>
        <v>1</v>
      </c>
      <c r="AB187" s="84">
        <f>IF($C187="Shedinja",1,(INT((2*VLOOKUP($C187,DexData,5,0)+INT(Q187/4)+K187)/2)+60))</f>
        <v>154</v>
      </c>
      <c r="AC187" s="84">
        <f>INT(INT((INT((2*VLOOKUP($C187,DexData,6,0)+INT(R187/4)+L187)/2)+5)*W187)*IF($E187="Choice Band",1.5,IF(OR($E187="Mawilite",$E187="Medichamite",$E187="Thick Club"),2,1)))</f>
        <v>78</v>
      </c>
      <c r="AD187" s="84">
        <f>INT(INT((INT((2*VLOOKUP($C187,DexData,7,0)+INT(S187/4)+M187)/2)+5)*X187)*IF($E187="Eviolite",1.5,1))</f>
        <v>80</v>
      </c>
      <c r="AE187" s="84">
        <f>INT(INT((INT((2*VLOOKUP($C187,DexData,9,0)+INT(T187/4)+N187)/2)+5)*Y187)*IF($E187="Choice Specs",1.5,1))</f>
        <v>81</v>
      </c>
      <c r="AF187" s="84">
        <f>INT(INT((INT((2*VLOOKUP($C187,DexData,10,0)+INT(U187/4)+O187)/2)+5)*Z187)*IF(OR($E187="Eviolite",$E187="Assault Vest"),1.5,1))</f>
        <v>90</v>
      </c>
      <c r="AG187" s="84">
        <f>INT(INT((INT((2*VLOOKUP($C187,DexData,11,0)+INT(V187/4)+P187)/2)+5)*AA187)*IF($E187="Choice Scarf",1.5,IF($E187="Iron Ball",0.5,1)))</f>
        <v>90</v>
      </c>
      <c r="AH187" s="84" t="str">
        <f>VLOOKUP(VLOOKUP($C187,DexData,3,0),Aliases!D$2:E$19,2,0)&amp;IFERROR("/"&amp;VLOOKUP(VLOOKUP($C187,DexData,4,0),Aliases!D$2:E$19,2,0),"")</f>
        <v>BUG</v>
      </c>
      <c r="AI187" s="7">
        <v>3.0</v>
      </c>
      <c r="AJ187" s="7">
        <f>IF(VLOOKUP(B187,'Set Odds'!A$2:AN$1067,40,0),1,IF(VLOOKUP(B187,'Set Odds'!A$2:AO$1067,41,0),2,0))</f>
        <v>0</v>
      </c>
      <c r="AK187" s="7"/>
      <c r="AL187" s="7" t="str">
        <f t="shared" si="1"/>
        <v/>
      </c>
    </row>
    <row r="188" ht="12.75" customHeight="1">
      <c r="A188" s="86">
        <v>187.0</v>
      </c>
      <c r="B188" s="84" t="s">
        <v>3237</v>
      </c>
      <c r="C188" s="7" t="s">
        <v>3238</v>
      </c>
      <c r="D188" s="7" t="s">
        <v>2611</v>
      </c>
      <c r="E188" s="7" t="s">
        <v>2790</v>
      </c>
      <c r="F188" s="84" t="s">
        <v>3186</v>
      </c>
      <c r="G188" s="84" t="s">
        <v>3239</v>
      </c>
      <c r="H188" s="84" t="s">
        <v>2602</v>
      </c>
      <c r="I188" s="84" t="s">
        <v>3236</v>
      </c>
      <c r="J188" s="7" t="s">
        <v>3240</v>
      </c>
      <c r="K188" s="7">
        <v>31.0</v>
      </c>
      <c r="L188" s="7">
        <v>0.0</v>
      </c>
      <c r="M188" s="7">
        <v>0.0</v>
      </c>
      <c r="N188" s="7">
        <v>31.0</v>
      </c>
      <c r="O188" s="7">
        <v>0.0</v>
      </c>
      <c r="P188" s="7">
        <v>0.0</v>
      </c>
      <c r="Q188" s="7">
        <v>108.0</v>
      </c>
      <c r="R188" s="7">
        <v>0.0</v>
      </c>
      <c r="S188" s="7">
        <v>0.0</v>
      </c>
      <c r="T188" s="7">
        <v>108.0</v>
      </c>
      <c r="U188" s="7">
        <v>0.0</v>
      </c>
      <c r="V188" s="7">
        <v>0.0</v>
      </c>
      <c r="W188" s="7">
        <f>VLOOKUP($D188,NatureChart,2,0)</f>
        <v>1</v>
      </c>
      <c r="X188" s="7">
        <f>VLOOKUP($D188,NatureChart,3,0)</f>
        <v>1</v>
      </c>
      <c r="Y188" s="7">
        <f>VLOOKUP($D188,NatureChart,4,0)</f>
        <v>1</v>
      </c>
      <c r="Z188" s="7">
        <f>VLOOKUP($D188,NatureChart,5,0)</f>
        <v>1</v>
      </c>
      <c r="AA188" s="84">
        <f>VLOOKUP($D188,NatureChart,6,0)</f>
        <v>1</v>
      </c>
      <c r="AB188" s="84">
        <f>IF($C188="Shedinja",1,(INT((2*VLOOKUP($C188,DexData,5,0)+INT(Q188/4)+K188)/2)+60))</f>
        <v>154</v>
      </c>
      <c r="AC188" s="84">
        <f>INT(INT((INT((2*VLOOKUP($C188,DexData,6,0)+INT(R188/4)+L188)/2)+5)*W188)*IF($E188="Choice Band",1.5,IF(OR($E188="Mawilite",$E188="Medichamite",$E188="Thick Club"),2,1)))</f>
        <v>52</v>
      </c>
      <c r="AD188" s="84">
        <f>INT(INT((INT((2*VLOOKUP($C188,DexData,7,0)+INT(S188/4)+M188)/2)+5)*X188)*IF($E188="Eviolite",1.5,1))</f>
        <v>80</v>
      </c>
      <c r="AE188" s="84">
        <f>INT(INT((INT((2*VLOOKUP($C188,DexData,9,0)+INT(T188/4)+N188)/2)+5)*Y188)*IF($E188="Choice Specs",1.5,1))</f>
        <v>107</v>
      </c>
      <c r="AF188" s="84">
        <f>INT(INT((INT((2*VLOOKUP($C188,DexData,10,0)+INT(U188/4)+O188)/2)+5)*Z188)*IF(OR($E188="Eviolite",$E188="Assault Vest"),1.5,1))</f>
        <v>90</v>
      </c>
      <c r="AG188" s="84">
        <f>INT(INT((INT((2*VLOOKUP($C188,DexData,11,0)+INT(V188/4)+P188)/2)+5)*AA188)*IF($E188="Choice Scarf",1.5,IF($E188="Iron Ball",0.5,1)))</f>
        <v>90</v>
      </c>
      <c r="AH188" s="84" t="str">
        <f>VLOOKUP(VLOOKUP($C188,DexData,3,0),Aliases!D$2:E$19,2,0)&amp;IFERROR("/"&amp;VLOOKUP(VLOOKUP($C188,DexData,4,0),Aliases!D$2:E$19,2,0),"")</f>
        <v>BUG</v>
      </c>
      <c r="AI188" s="7">
        <v>3.0</v>
      </c>
      <c r="AJ188" s="7">
        <f>IF(VLOOKUP(B188,'Set Odds'!A$2:AN$1067,40,0),1,IF(VLOOKUP(B188,'Set Odds'!A$2:AO$1067,41,0),2,0))</f>
        <v>0</v>
      </c>
      <c r="AK188" s="7"/>
      <c r="AL188" s="7" t="str">
        <f t="shared" si="1"/>
        <v/>
      </c>
    </row>
    <row r="189" ht="12.75" customHeight="1">
      <c r="A189" s="86">
        <v>188.0</v>
      </c>
      <c r="B189" s="84" t="s">
        <v>3241</v>
      </c>
      <c r="C189" s="7" t="s">
        <v>3242</v>
      </c>
      <c r="D189" s="7" t="s">
        <v>2656</v>
      </c>
      <c r="E189" s="7" t="s">
        <v>2806</v>
      </c>
      <c r="F189" s="84" t="s">
        <v>2699</v>
      </c>
      <c r="G189" s="84" t="s">
        <v>2855</v>
      </c>
      <c r="H189" s="84" t="s">
        <v>3052</v>
      </c>
      <c r="I189" s="84" t="s">
        <v>3058</v>
      </c>
      <c r="J189" s="7" t="s">
        <v>2708</v>
      </c>
      <c r="K189" s="7">
        <v>0.0</v>
      </c>
      <c r="L189" s="7">
        <v>0.0</v>
      </c>
      <c r="M189" s="7">
        <v>0.0</v>
      </c>
      <c r="N189" s="7">
        <v>31.0</v>
      </c>
      <c r="O189" s="7">
        <v>0.0</v>
      </c>
      <c r="P189" s="7">
        <v>31.0</v>
      </c>
      <c r="Q189" s="7">
        <v>0.0</v>
      </c>
      <c r="R189" s="7">
        <v>0.0</v>
      </c>
      <c r="S189" s="7">
        <v>0.0</v>
      </c>
      <c r="T189" s="7">
        <v>108.0</v>
      </c>
      <c r="U189" s="7">
        <v>0.0</v>
      </c>
      <c r="V189" s="7">
        <v>108.0</v>
      </c>
      <c r="W189" s="7">
        <f>VLOOKUP($D189,NatureChart,2,0)</f>
        <v>0.9</v>
      </c>
      <c r="X189" s="7">
        <f>VLOOKUP($D189,NatureChart,3,0)</f>
        <v>1</v>
      </c>
      <c r="Y189" s="7">
        <f>VLOOKUP($D189,NatureChart,4,0)</f>
        <v>1.1</v>
      </c>
      <c r="Z189" s="7">
        <f>VLOOKUP($D189,NatureChart,5,0)</f>
        <v>1</v>
      </c>
      <c r="AA189" s="84">
        <f>VLOOKUP($D189,NatureChart,6,0)</f>
        <v>1</v>
      </c>
      <c r="AB189" s="84">
        <f>IF($C189="Shedinja",1,(INT((2*VLOOKUP($C189,DexData,5,0)+INT(Q189/4)+K189)/2)+60))</f>
        <v>110</v>
      </c>
      <c r="AC189" s="84">
        <f>INT(INT((INT((2*VLOOKUP($C189,DexData,6,0)+INT(R189/4)+L189)/2)+5)*W189)*IF($E189="Choice Band",1.5,IF(OR($E189="Mawilite",$E189="Medichamite",$E189="Thick Club"),2,1)))</f>
        <v>58</v>
      </c>
      <c r="AD189" s="84">
        <f>INT(INT((INT((2*VLOOKUP($C189,DexData,7,0)+INT(S189/4)+M189)/2)+5)*X189)*IF($E189="Eviolite",1.5,1))</f>
        <v>50</v>
      </c>
      <c r="AE189" s="84">
        <f>INT(INT((INT((2*VLOOKUP($C189,DexData,9,0)+INT(T189/4)+N189)/2)+5)*Y189)*IF($E189="Choice Specs",1.5,1))</f>
        <v>147</v>
      </c>
      <c r="AF189" s="84">
        <f>INT(INT((INT((2*VLOOKUP($C189,DexData,10,0)+INT(U189/4)+O189)/2)+5)*Z189)*IF(OR($E189="Eviolite",$E189="Assault Vest"),1.5,1))</f>
        <v>85</v>
      </c>
      <c r="AG189" s="84">
        <f>INT(INT((INT((2*VLOOKUP($C189,DexData,11,0)+INT(V189/4)+P189)/2)+5)*AA189)*IF($E189="Choice Scarf",1.5,IF($E189="Iron Ball",0.5,1)))</f>
        <v>99</v>
      </c>
      <c r="AH189" s="84" t="str">
        <f>VLOOKUP(VLOOKUP($C189,DexData,3,0),Aliases!D$2:E$19,2,0)&amp;IFERROR("/"&amp;VLOOKUP(VLOOKUP($C189,DexData,4,0),Aliases!D$2:E$19,2,0),"")</f>
        <v>GRS/PSN</v>
      </c>
      <c r="AI189" s="7">
        <v>3.0</v>
      </c>
      <c r="AJ189" s="7">
        <f>IF(VLOOKUP(B189,'Set Odds'!A$2:AN$1067,40,0),1,IF(VLOOKUP(B189,'Set Odds'!A$2:AO$1067,41,0),2,0))</f>
        <v>0</v>
      </c>
      <c r="AK189" s="7"/>
      <c r="AL189" s="7" t="str">
        <f t="shared" si="1"/>
        <v/>
      </c>
    </row>
    <row r="190" ht="12.75" customHeight="1">
      <c r="A190" s="86">
        <v>189.0</v>
      </c>
      <c r="B190" s="84" t="s">
        <v>3243</v>
      </c>
      <c r="C190" s="7" t="s">
        <v>3244</v>
      </c>
      <c r="D190" s="7" t="s">
        <v>2599</v>
      </c>
      <c r="E190" s="7" t="s">
        <v>2835</v>
      </c>
      <c r="F190" s="84" t="s">
        <v>3245</v>
      </c>
      <c r="G190" s="84" t="s">
        <v>2694</v>
      </c>
      <c r="H190" s="84" t="s">
        <v>2895</v>
      </c>
      <c r="I190" s="84" t="s">
        <v>2867</v>
      </c>
      <c r="J190" s="7" t="s">
        <v>2824</v>
      </c>
      <c r="K190" s="7">
        <v>31.0</v>
      </c>
      <c r="L190" s="7">
        <v>0.0</v>
      </c>
      <c r="M190" s="7">
        <v>31.0</v>
      </c>
      <c r="N190" s="7">
        <v>0.0</v>
      </c>
      <c r="O190" s="7">
        <v>0.0</v>
      </c>
      <c r="P190" s="7">
        <v>0.0</v>
      </c>
      <c r="Q190" s="7">
        <v>108.0</v>
      </c>
      <c r="R190" s="7">
        <v>0.0</v>
      </c>
      <c r="S190" s="7">
        <v>108.0</v>
      </c>
      <c r="T190" s="7">
        <v>0.0</v>
      </c>
      <c r="U190" s="7">
        <v>0.0</v>
      </c>
      <c r="V190" s="7">
        <v>0.0</v>
      </c>
      <c r="W190" s="7">
        <f>VLOOKUP($D190,NatureChart,2,0)</f>
        <v>1</v>
      </c>
      <c r="X190" s="7">
        <f>VLOOKUP($D190,NatureChart,3,0)</f>
        <v>1</v>
      </c>
      <c r="Y190" s="7">
        <f>VLOOKUP($D190,NatureChart,4,0)</f>
        <v>1</v>
      </c>
      <c r="Z190" s="7">
        <f>VLOOKUP($D190,NatureChart,5,0)</f>
        <v>1</v>
      </c>
      <c r="AA190" s="84">
        <f>VLOOKUP($D190,NatureChart,6,0)</f>
        <v>1</v>
      </c>
      <c r="AB190" s="84">
        <f>IF($C190="Shedinja",1,(INT((2*VLOOKUP($C190,DexData,5,0)+INT(Q190/4)+K190)/2)+60))</f>
        <v>219</v>
      </c>
      <c r="AC190" s="84">
        <f>INT(INT((INT((2*VLOOKUP($C190,DexData,6,0)+INT(R190/4)+L190)/2)+5)*W190)*IF($E190="Choice Band",1.5,IF(OR($E190="Mawilite",$E190="Medichamite",$E190="Thick Club"),2,1)))</f>
        <v>75</v>
      </c>
      <c r="AD190" s="84">
        <f>INT(INT((INT((2*VLOOKUP($C190,DexData,7,0)+INT(S190/4)+M190)/2)+5)*X190)*IF($E190="Eviolite",1.5,1))</f>
        <v>69</v>
      </c>
      <c r="AE190" s="84">
        <f>INT(INT((INT((2*VLOOKUP($C190,DexData,9,0)+INT(T190/4)+N190)/2)+5)*Y190)*IF($E190="Choice Specs",1.5,1))</f>
        <v>75</v>
      </c>
      <c r="AF190" s="84">
        <f>INT(INT((INT((2*VLOOKUP($C190,DexData,10,0)+INT(U190/4)+O190)/2)+5)*Z190)*IF(OR($E190="Eviolite",$E190="Assault Vest"),1.5,1))</f>
        <v>40</v>
      </c>
      <c r="AG190" s="84">
        <f>INT(INT((INT((2*VLOOKUP($C190,DexData,11,0)+INT(V190/4)+P190)/2)+5)*AA190)*IF($E190="Choice Scarf",1.5,IF($E190="Iron Ball",0.5,1)))</f>
        <v>65</v>
      </c>
      <c r="AH190" s="84" t="str">
        <f>VLOOKUP(VLOOKUP($C190,DexData,3,0),Aliases!D$2:E$19,2,0)&amp;IFERROR("/"&amp;VLOOKUP(VLOOKUP($C190,DexData,4,0),Aliases!D$2:E$19,2,0),"")</f>
        <v>WTR</v>
      </c>
      <c r="AI190" s="7">
        <v>3.0</v>
      </c>
      <c r="AJ190" s="7">
        <f>IF(VLOOKUP(B190,'Set Odds'!A$2:AN$1067,40,0),1,IF(VLOOKUP(B190,'Set Odds'!A$2:AO$1067,41,0),2,0))</f>
        <v>0</v>
      </c>
      <c r="AK190" s="7"/>
      <c r="AL190" s="7" t="str">
        <f t="shared" si="1"/>
        <v/>
      </c>
    </row>
    <row r="191" ht="12.75" customHeight="1">
      <c r="A191" s="86">
        <v>190.0</v>
      </c>
      <c r="B191" s="84" t="s">
        <v>3246</v>
      </c>
      <c r="C191" s="7" t="s">
        <v>3247</v>
      </c>
      <c r="D191" s="7" t="s">
        <v>3248</v>
      </c>
      <c r="E191" s="7" t="s">
        <v>2649</v>
      </c>
      <c r="F191" s="84" t="s">
        <v>2606</v>
      </c>
      <c r="G191" s="84" t="s">
        <v>2772</v>
      </c>
      <c r="H191" s="84" t="s">
        <v>3249</v>
      </c>
      <c r="I191" s="84" t="s">
        <v>2615</v>
      </c>
      <c r="J191" s="7" t="s">
        <v>3250</v>
      </c>
      <c r="K191" s="7">
        <v>31.0</v>
      </c>
      <c r="L191" s="7">
        <v>0.0</v>
      </c>
      <c r="M191" s="7">
        <v>0.0</v>
      </c>
      <c r="N191" s="7">
        <v>0.0</v>
      </c>
      <c r="O191" s="7">
        <v>0.0</v>
      </c>
      <c r="P191" s="7">
        <v>31.0</v>
      </c>
      <c r="Q191" s="7">
        <v>108.0</v>
      </c>
      <c r="R191" s="7">
        <v>0.0</v>
      </c>
      <c r="S191" s="7">
        <v>0.0</v>
      </c>
      <c r="T191" s="7">
        <v>0.0</v>
      </c>
      <c r="U191" s="7">
        <v>0.0</v>
      </c>
      <c r="V191" s="7">
        <v>108.0</v>
      </c>
      <c r="W191" s="7">
        <f>VLOOKUP($D191,NatureChart,2,0)</f>
        <v>1</v>
      </c>
      <c r="X191" s="7">
        <f>VLOOKUP($D191,NatureChart,3,0)</f>
        <v>1</v>
      </c>
      <c r="Y191" s="7">
        <f>VLOOKUP($D191,NatureChart,4,0)</f>
        <v>1.1</v>
      </c>
      <c r="Z191" s="7">
        <f>VLOOKUP($D191,NatureChart,5,0)</f>
        <v>0.9</v>
      </c>
      <c r="AA191" s="84">
        <f>VLOOKUP($D191,NatureChart,6,0)</f>
        <v>1</v>
      </c>
      <c r="AB191" s="84">
        <f>IF($C191="Shedinja",1,(INT((2*VLOOKUP($C191,DexData,5,0)+INT(Q191/4)+K191)/2)+60))</f>
        <v>149</v>
      </c>
      <c r="AC191" s="84">
        <f>INT(INT((INT((2*VLOOKUP($C191,DexData,6,0)+INT(R191/4)+L191)/2)+5)*W191)*IF($E191="Choice Band",1.5,IF(OR($E191="Mawilite",$E191="Medichamite",$E191="Thick Club"),2,1)))</f>
        <v>100</v>
      </c>
      <c r="AD191" s="84">
        <f>INT(INT((INT((2*VLOOKUP($C191,DexData,7,0)+INT(S191/4)+M191)/2)+5)*X191)*IF($E191="Eviolite",1.5,1))</f>
        <v>85</v>
      </c>
      <c r="AE191" s="84">
        <f>INT(INT((INT((2*VLOOKUP($C191,DexData,9,0)+INT(T191/4)+N191)/2)+5)*Y191)*IF($E191="Choice Specs",1.5,1))</f>
        <v>71</v>
      </c>
      <c r="AF191" s="84">
        <f>INT(INT((INT((2*VLOOKUP($C191,DexData,10,0)+INT(U191/4)+O191)/2)+5)*Z191)*IF(OR($E191="Eviolite",$E191="Assault Vest"),1.5,1))</f>
        <v>76</v>
      </c>
      <c r="AG191" s="84">
        <f>INT(INT((INT((2*VLOOKUP($C191,DexData,11,0)+INT(V191/4)+P191)/2)+5)*AA191)*IF($E191="Choice Scarf",1.5,IF($E191="Iron Ball",0.5,1)))</f>
        <v>64</v>
      </c>
      <c r="AH191" s="84" t="str">
        <f>VLOOKUP(VLOOKUP($C191,DexData,3,0),Aliases!D$2:E$19,2,0)&amp;IFERROR("/"&amp;VLOOKUP(VLOOKUP($C191,DexData,4,0),Aliases!D$2:E$19,2,0),"")</f>
        <v>BUG/GRS</v>
      </c>
      <c r="AI191" s="7">
        <v>3.0</v>
      </c>
      <c r="AJ191" s="7">
        <f>IF(VLOOKUP(B191,'Set Odds'!A$2:AN$1067,40,0),1,IF(VLOOKUP(B191,'Set Odds'!A$2:AO$1067,41,0),2,0))</f>
        <v>0</v>
      </c>
      <c r="AK191" s="7"/>
      <c r="AL191" s="7" t="str">
        <f t="shared" si="1"/>
        <v/>
      </c>
    </row>
    <row r="192" ht="12.75" customHeight="1">
      <c r="A192" s="86">
        <v>191.0</v>
      </c>
      <c r="B192" s="84" t="s">
        <v>3251</v>
      </c>
      <c r="C192" s="7" t="s">
        <v>3252</v>
      </c>
      <c r="D192" s="7" t="s">
        <v>2571</v>
      </c>
      <c r="E192" s="7" t="s">
        <v>2520</v>
      </c>
      <c r="F192" s="84" t="s">
        <v>2727</v>
      </c>
      <c r="G192" s="84" t="s">
        <v>2751</v>
      </c>
      <c r="H192" s="84" t="s">
        <v>3253</v>
      </c>
      <c r="I192" s="84" t="s">
        <v>2583</v>
      </c>
      <c r="J192" s="7" t="s">
        <v>2777</v>
      </c>
      <c r="K192" s="7">
        <v>0.0</v>
      </c>
      <c r="L192" s="7">
        <v>31.0</v>
      </c>
      <c r="M192" s="7">
        <v>0.0</v>
      </c>
      <c r="N192" s="7">
        <v>0.0</v>
      </c>
      <c r="O192" s="7">
        <v>0.0</v>
      </c>
      <c r="P192" s="7">
        <v>31.0</v>
      </c>
      <c r="Q192" s="7">
        <v>0.0</v>
      </c>
      <c r="R192" s="7">
        <v>108.0</v>
      </c>
      <c r="S192" s="7">
        <v>0.0</v>
      </c>
      <c r="T192" s="7">
        <v>0.0</v>
      </c>
      <c r="U192" s="7">
        <v>0.0</v>
      </c>
      <c r="V192" s="7">
        <v>108.0</v>
      </c>
      <c r="W192" s="7">
        <f>VLOOKUP($D192,NatureChart,2,0)</f>
        <v>1.1</v>
      </c>
      <c r="X192" s="7">
        <f>VLOOKUP($D192,NatureChart,3,0)</f>
        <v>1</v>
      </c>
      <c r="Y192" s="7">
        <f>VLOOKUP($D192,NatureChart,4,0)</f>
        <v>0.9</v>
      </c>
      <c r="Z192" s="7">
        <f>VLOOKUP($D192,NatureChart,5,0)</f>
        <v>1</v>
      </c>
      <c r="AA192" s="84">
        <f>VLOOKUP($D192,NatureChart,6,0)</f>
        <v>1</v>
      </c>
      <c r="AB192" s="84">
        <f>IF($C192="Shedinja",1,(INT((2*VLOOKUP($C192,DexData,5,0)+INT(Q192/4)+K192)/2)+60))</f>
        <v>140</v>
      </c>
      <c r="AC192" s="84">
        <f>INT(INT((INT((2*VLOOKUP($C192,DexData,6,0)+INT(R192/4)+L192)/2)+5)*W192)*IF($E192="Choice Band",1.5,IF(OR($E192="Mawilite",$E192="Medichamite",$E192="Thick Club"),2,1)))</f>
        <v>147</v>
      </c>
      <c r="AD192" s="84">
        <f>INT(INT((INT((2*VLOOKUP($C192,DexData,7,0)+INT(S192/4)+M192)/2)+5)*X192)*IF($E192="Eviolite",1.5,1))</f>
        <v>75</v>
      </c>
      <c r="AE192" s="84">
        <f>INT(INT((INT((2*VLOOKUP($C192,DexData,9,0)+INT(T192/4)+N192)/2)+5)*Y192)*IF($E192="Choice Specs",1.5,1))</f>
        <v>49</v>
      </c>
      <c r="AF192" s="84">
        <f>INT(INT((INT((2*VLOOKUP($C192,DexData,10,0)+INT(U192/4)+O192)/2)+5)*Z192)*IF(OR($E192="Eviolite",$E192="Assault Vest"),1.5,1))</f>
        <v>65</v>
      </c>
      <c r="AG192" s="84">
        <f>INT(INT((INT((2*VLOOKUP($C192,DexData,11,0)+INT(V192/4)+P192)/2)+5)*AA192)*IF($E192="Choice Scarf",1.5,IF($E192="Iron Ball",0.5,1)))</f>
        <v>79</v>
      </c>
      <c r="AH192" s="84" t="str">
        <f>VLOOKUP(VLOOKUP($C192,DexData,3,0),Aliases!D$2:E$19,2,0)&amp;IFERROR("/"&amp;VLOOKUP(VLOOKUP($C192,DexData,4,0),Aliases!D$2:E$19,2,0),"")</f>
        <v>FTG</v>
      </c>
      <c r="AI192" s="7">
        <v>3.0</v>
      </c>
      <c r="AJ192" s="7">
        <f>IF(VLOOKUP(B192,'Set Odds'!A$2:AN$1067,40,0),1,IF(VLOOKUP(B192,'Set Odds'!A$2:AO$1067,41,0),2,0))</f>
        <v>0</v>
      </c>
      <c r="AK192" s="7"/>
      <c r="AL192" s="7" t="str">
        <f t="shared" si="1"/>
        <v/>
      </c>
    </row>
    <row r="193" ht="12.75" customHeight="1">
      <c r="A193" s="86">
        <v>192.0</v>
      </c>
      <c r="B193" s="84" t="s">
        <v>3254</v>
      </c>
      <c r="C193" s="7" t="s">
        <v>3255</v>
      </c>
      <c r="D193" s="7" t="s">
        <v>3248</v>
      </c>
      <c r="E193" s="7" t="s">
        <v>2761</v>
      </c>
      <c r="F193" s="84" t="s">
        <v>3256</v>
      </c>
      <c r="G193" s="84" t="s">
        <v>2536</v>
      </c>
      <c r="H193" s="84" t="s">
        <v>3257</v>
      </c>
      <c r="I193" s="84" t="s">
        <v>2733</v>
      </c>
      <c r="J193" s="7" t="s">
        <v>2714</v>
      </c>
      <c r="K193" s="7">
        <v>0.0</v>
      </c>
      <c r="L193" s="7">
        <v>31.0</v>
      </c>
      <c r="M193" s="7">
        <v>0.0</v>
      </c>
      <c r="N193" s="7">
        <v>0.0</v>
      </c>
      <c r="O193" s="7">
        <v>0.0</v>
      </c>
      <c r="P193" s="7">
        <v>31.0</v>
      </c>
      <c r="Q193" s="7">
        <v>0.0</v>
      </c>
      <c r="R193" s="7">
        <v>108.0</v>
      </c>
      <c r="S193" s="7">
        <v>0.0</v>
      </c>
      <c r="T193" s="7">
        <v>0.0</v>
      </c>
      <c r="U193" s="7">
        <v>0.0</v>
      </c>
      <c r="V193" s="7">
        <v>108.0</v>
      </c>
      <c r="W193" s="7">
        <f>VLOOKUP($D193,NatureChart,2,0)</f>
        <v>1</v>
      </c>
      <c r="X193" s="7">
        <f>VLOOKUP($D193,NatureChart,3,0)</f>
        <v>1</v>
      </c>
      <c r="Y193" s="7">
        <f>VLOOKUP($D193,NatureChart,4,0)</f>
        <v>1.1</v>
      </c>
      <c r="Z193" s="7">
        <f>VLOOKUP($D193,NatureChart,5,0)</f>
        <v>0.9</v>
      </c>
      <c r="AA193" s="84">
        <f>VLOOKUP($D193,NatureChart,6,0)</f>
        <v>1</v>
      </c>
      <c r="AB193" s="84">
        <f>IF($C193="Shedinja",1,(INT((2*VLOOKUP($C193,DexData,5,0)+INT(Q193/4)+K193)/2)+60))</f>
        <v>105</v>
      </c>
      <c r="AC193" s="84">
        <f>INT(INT((INT((2*VLOOKUP($C193,DexData,6,0)+INT(R193/4)+L193)/2)+5)*W193)*IF($E193="Choice Band",1.5,IF(OR($E193="Mawilite",$E193="Medichamite",$E193="Thick Club"),2,1)))</f>
        <v>84</v>
      </c>
      <c r="AD193" s="84">
        <f>INT(INT((INT((2*VLOOKUP($C193,DexData,7,0)+INT(S193/4)+M193)/2)+5)*X193)*IF($E193="Eviolite",1.5,1))</f>
        <v>50</v>
      </c>
      <c r="AE193" s="84">
        <f>INT(INT((INT((2*VLOOKUP($C193,DexData,9,0)+INT(T193/4)+N193)/2)+5)*Y193)*IF($E193="Choice Specs",1.5,1))</f>
        <v>132</v>
      </c>
      <c r="AF193" s="84">
        <f>INT(INT((INT((2*VLOOKUP($C193,DexData,10,0)+INT(U193/4)+O193)/2)+5)*Z193)*IF(OR($E193="Eviolite",$E193="Assault Vest"),1.5,1))</f>
        <v>54</v>
      </c>
      <c r="AG193" s="84">
        <f>INT(INT((INT((2*VLOOKUP($C193,DexData,11,0)+INT(V193/4)+P193)/2)+5)*AA193)*IF($E193="Choice Scarf",1.5,IF($E193="Iron Ball",0.5,1)))</f>
        <v>129</v>
      </c>
      <c r="AH193" s="84" t="str">
        <f>VLOOKUP(VLOOKUP($C193,DexData,3,0),Aliases!D$2:E$19,2,0)&amp;IFERROR("/"&amp;VLOOKUP(VLOOKUP($C193,DexData,4,0),Aliases!D$2:E$19,2,0),"")</f>
        <v>GHO/PSN</v>
      </c>
      <c r="AI193" s="7">
        <v>3.0</v>
      </c>
      <c r="AJ193" s="7">
        <f>IF(VLOOKUP(B193,'Set Odds'!A$2:AN$1067,40,0),1,IF(VLOOKUP(B193,'Set Odds'!A$2:AO$1067,41,0),2,0))</f>
        <v>0</v>
      </c>
      <c r="AK193" s="7"/>
      <c r="AL193" s="7" t="str">
        <f t="shared" si="1"/>
        <v/>
      </c>
    </row>
    <row r="194" ht="12.75" customHeight="1">
      <c r="A194" s="86">
        <v>193.0</v>
      </c>
      <c r="B194" s="84" t="s">
        <v>3258</v>
      </c>
      <c r="C194" s="7" t="s">
        <v>3259</v>
      </c>
      <c r="D194" s="7" t="s">
        <v>2811</v>
      </c>
      <c r="E194" s="7" t="s">
        <v>2528</v>
      </c>
      <c r="F194" s="84" t="s">
        <v>2614</v>
      </c>
      <c r="G194" s="84" t="s">
        <v>3260</v>
      </c>
      <c r="H194" s="84" t="s">
        <v>3239</v>
      </c>
      <c r="I194" s="84" t="s">
        <v>3261</v>
      </c>
      <c r="J194" s="7" t="s">
        <v>2662</v>
      </c>
      <c r="K194" s="7">
        <v>31.0</v>
      </c>
      <c r="L194" s="7">
        <v>0.0</v>
      </c>
      <c r="M194" s="7">
        <v>31.0</v>
      </c>
      <c r="N194" s="7">
        <v>0.0</v>
      </c>
      <c r="O194" s="7">
        <v>0.0</v>
      </c>
      <c r="P194" s="7">
        <v>0.0</v>
      </c>
      <c r="Q194" s="7">
        <v>108.0</v>
      </c>
      <c r="R194" s="7">
        <v>0.0</v>
      </c>
      <c r="S194" s="7">
        <v>108.0</v>
      </c>
      <c r="T194" s="7">
        <v>0.0</v>
      </c>
      <c r="U194" s="7">
        <v>0.0</v>
      </c>
      <c r="V194" s="7">
        <v>0.0</v>
      </c>
      <c r="W194" s="7">
        <f>VLOOKUP($D194,NatureChart,2,0)</f>
        <v>1</v>
      </c>
      <c r="X194" s="7">
        <f>VLOOKUP($D194,NatureChart,3,0)</f>
        <v>1.1</v>
      </c>
      <c r="Y194" s="7">
        <f>VLOOKUP($D194,NatureChart,4,0)</f>
        <v>1</v>
      </c>
      <c r="Z194" s="7">
        <f>VLOOKUP($D194,NatureChart,5,0)</f>
        <v>1</v>
      </c>
      <c r="AA194" s="84">
        <f>VLOOKUP($D194,NatureChart,6,0)</f>
        <v>0.9</v>
      </c>
      <c r="AB194" s="84">
        <f>IF($C194="Shedinja",1,(INT((2*VLOOKUP($C194,DexData,5,0)+INT(Q194/4)+K194)/2)+60))</f>
        <v>144</v>
      </c>
      <c r="AC194" s="84">
        <f>INT(INT((INT((2*VLOOKUP($C194,DexData,6,0)+INT(R194/4)+L194)/2)+5)*W194)*IF($E194="Choice Band",1.5,IF(OR($E194="Mawilite",$E194="Medichamite",$E194="Thick Club"),2,1)))</f>
        <v>45</v>
      </c>
      <c r="AD194" s="84">
        <f>INT(INT((INT((2*VLOOKUP($C194,DexData,7,0)+INT(S194/4)+M194)/2)+5)*X194)*IF($E194="Eviolite",1.5,1))</f>
        <v>130</v>
      </c>
      <c r="AE194" s="84">
        <f>INT(INT((INT((2*VLOOKUP($C194,DexData,9,0)+INT(T194/4)+N194)/2)+5)*Y194)*IF($E194="Choice Specs",1.5,1))</f>
        <v>85</v>
      </c>
      <c r="AF194" s="84">
        <f>INT(INT((INT((2*VLOOKUP($C194,DexData,10,0)+INT(U194/4)+O194)/2)+5)*Z194)*IF(OR($E194="Eviolite",$E194="Assault Vest"),1.5,1))</f>
        <v>110</v>
      </c>
      <c r="AG194" s="84">
        <f>INT(INT((INT((2*VLOOKUP($C194,DexData,11,0)+INT(V194/4)+P194)/2)+5)*AA194)*IF($E194="Choice Scarf",1.5,IF($E194="Iron Ball",0.5,1)))</f>
        <v>40</v>
      </c>
      <c r="AH194" s="84" t="str">
        <f>VLOOKUP(VLOOKUP($C194,DexData,3,0),Aliases!D$2:E$19,2,0)&amp;IFERROR("/"&amp;VLOOKUP(VLOOKUP($C194,DexData,4,0),Aliases!D$2:E$19,2,0),"")</f>
        <v>FAI/FLY</v>
      </c>
      <c r="AI194" s="7">
        <v>3.0</v>
      </c>
      <c r="AJ194" s="7">
        <f>IF(VLOOKUP(B194,'Set Odds'!A$2:AN$1067,40,0),1,IF(VLOOKUP(B194,'Set Odds'!A$2:AO$1067,41,0),2,0))</f>
        <v>0</v>
      </c>
      <c r="AK194" s="7"/>
      <c r="AL194" s="7" t="str">
        <f t="shared" si="1"/>
        <v/>
      </c>
    </row>
    <row r="195" ht="12.75" customHeight="1">
      <c r="A195" s="86">
        <v>194.0</v>
      </c>
      <c r="B195" s="84" t="s">
        <v>3262</v>
      </c>
      <c r="C195" s="7" t="s">
        <v>3263</v>
      </c>
      <c r="D195" s="7" t="s">
        <v>2571</v>
      </c>
      <c r="E195" s="7" t="s">
        <v>2642</v>
      </c>
      <c r="F195" s="84" t="s">
        <v>3264</v>
      </c>
      <c r="G195" s="84" t="s">
        <v>3265</v>
      </c>
      <c r="H195" s="84" t="s">
        <v>3062</v>
      </c>
      <c r="I195" s="84" t="s">
        <v>2537</v>
      </c>
      <c r="J195" s="7" t="s">
        <v>2720</v>
      </c>
      <c r="K195" s="7">
        <v>0.0</v>
      </c>
      <c r="L195" s="7">
        <v>31.0</v>
      </c>
      <c r="M195" s="7">
        <v>0.0</v>
      </c>
      <c r="N195" s="7">
        <v>0.0</v>
      </c>
      <c r="O195" s="7">
        <v>0.0</v>
      </c>
      <c r="P195" s="7">
        <v>31.0</v>
      </c>
      <c r="Q195" s="7">
        <v>0.0</v>
      </c>
      <c r="R195" s="7">
        <v>108.0</v>
      </c>
      <c r="S195" s="7">
        <v>0.0</v>
      </c>
      <c r="T195" s="7">
        <v>0.0</v>
      </c>
      <c r="U195" s="7">
        <v>0.0</v>
      </c>
      <c r="V195" s="7">
        <v>108.0</v>
      </c>
      <c r="W195" s="7">
        <f>VLOOKUP($D195,NatureChart,2,0)</f>
        <v>1.1</v>
      </c>
      <c r="X195" s="7">
        <f>VLOOKUP($D195,NatureChart,3,0)</f>
        <v>1</v>
      </c>
      <c r="Y195" s="7">
        <f>VLOOKUP($D195,NatureChart,4,0)</f>
        <v>0.9</v>
      </c>
      <c r="Z195" s="7">
        <f>VLOOKUP($D195,NatureChart,5,0)</f>
        <v>1</v>
      </c>
      <c r="AA195" s="84">
        <f>VLOOKUP($D195,NatureChart,6,0)</f>
        <v>1</v>
      </c>
      <c r="AB195" s="84">
        <f>IF($C195="Shedinja",1,(INT((2*VLOOKUP($C195,DexData,5,0)+INT(Q195/4)+K195)/2)+60))</f>
        <v>120</v>
      </c>
      <c r="AC195" s="84">
        <f>INT(INT((INT((2*VLOOKUP($C195,DexData,6,0)+INT(R195/4)+L195)/2)+5)*W195)*IF($E195="Choice Band",1.5,IF(OR($E195="Mawilite",$E195="Medichamite",$E195="Thick Club"),2,1)))</f>
        <v>130</v>
      </c>
      <c r="AD195" s="84">
        <f>INT(INT((INT((2*VLOOKUP($C195,DexData,7,0)+INT(S195/4)+M195)/2)+5)*X195)*IF($E195="Eviolite",1.5,1))</f>
        <v>47</v>
      </c>
      <c r="AE195" s="84">
        <f>INT(INT((INT((2*VLOOKUP($C195,DexData,9,0)+INT(T195/4)+N195)/2)+5)*Y195)*IF($E195="Choice Specs",1.5,1))</f>
        <v>81</v>
      </c>
      <c r="AF195" s="84">
        <f>INT(INT((INT((2*VLOOKUP($C195,DexData,10,0)+INT(U195/4)+O195)/2)+5)*Z195)*IF(OR($E195="Eviolite",$E195="Assault Vest"),1.5,1))</f>
        <v>47</v>
      </c>
      <c r="AG195" s="84">
        <f>INT(INT((INT((2*VLOOKUP($C195,DexData,11,0)+INT(V195/4)+P195)/2)+5)*AA195)*IF($E195="Choice Scarf",1.5,IF($E195="Iron Ball",0.5,1)))</f>
        <v>125</v>
      </c>
      <c r="AH195" s="84" t="str">
        <f>VLOOKUP(VLOOKUP($C195,DexData,3,0),Aliases!D$2:E$19,2,0)&amp;IFERROR("/"&amp;VLOOKUP(VLOOKUP($C195,DexData,4,0),Aliases!D$2:E$19,2,0),"")</f>
        <v>DRK/FLY</v>
      </c>
      <c r="AI195" s="7">
        <v>3.0</v>
      </c>
      <c r="AJ195" s="7">
        <f>IF(VLOOKUP(B195,'Set Odds'!A$2:AN$1067,40,0),1,IF(VLOOKUP(B195,'Set Odds'!A$2:AO$1067,41,0),2,0))</f>
        <v>0</v>
      </c>
      <c r="AK195" s="7"/>
      <c r="AL195" s="7" t="str">
        <f t="shared" si="1"/>
        <v/>
      </c>
    </row>
    <row r="196" ht="12.75" customHeight="1">
      <c r="A196" s="86">
        <v>195.0</v>
      </c>
      <c r="B196" s="84" t="s">
        <v>3266</v>
      </c>
      <c r="C196" s="7" t="s">
        <v>3267</v>
      </c>
      <c r="D196" s="7" t="s">
        <v>2723</v>
      </c>
      <c r="E196" s="7" t="s">
        <v>2685</v>
      </c>
      <c r="F196" s="84" t="s">
        <v>2718</v>
      </c>
      <c r="G196" s="84" t="s">
        <v>3168</v>
      </c>
      <c r="H196" s="84" t="s">
        <v>2957</v>
      </c>
      <c r="I196" s="84" t="s">
        <v>3268</v>
      </c>
      <c r="J196" s="7" t="s">
        <v>3269</v>
      </c>
      <c r="K196" s="7">
        <v>31.0</v>
      </c>
      <c r="L196" s="7">
        <v>0.0</v>
      </c>
      <c r="M196" s="7">
        <v>0.0</v>
      </c>
      <c r="N196" s="7">
        <v>0.0</v>
      </c>
      <c r="O196" s="7">
        <v>31.0</v>
      </c>
      <c r="P196" s="7">
        <v>0.0</v>
      </c>
      <c r="Q196" s="7">
        <v>108.0</v>
      </c>
      <c r="R196" s="7">
        <v>0.0</v>
      </c>
      <c r="S196" s="7">
        <v>0.0</v>
      </c>
      <c r="T196" s="7">
        <v>0.0</v>
      </c>
      <c r="U196" s="7">
        <v>108.0</v>
      </c>
      <c r="V196" s="7">
        <v>0.0</v>
      </c>
      <c r="W196" s="7">
        <f>VLOOKUP($D196,NatureChart,2,0)</f>
        <v>1</v>
      </c>
      <c r="X196" s="7">
        <f>VLOOKUP($D196,NatureChart,3,0)</f>
        <v>1</v>
      </c>
      <c r="Y196" s="7">
        <f>VLOOKUP($D196,NatureChart,4,0)</f>
        <v>0.9</v>
      </c>
      <c r="Z196" s="7">
        <f>VLOOKUP($D196,NatureChart,5,0)</f>
        <v>1.1</v>
      </c>
      <c r="AA196" s="84">
        <f>VLOOKUP($D196,NatureChart,6,0)</f>
        <v>1</v>
      </c>
      <c r="AB196" s="84">
        <f>IF($C196="Shedinja",1,(INT((2*VLOOKUP($C196,DexData,5,0)+INT(Q196/4)+K196)/2)+60))</f>
        <v>279</v>
      </c>
      <c r="AC196" s="84">
        <f>INT(INT((INT((2*VLOOKUP($C196,DexData,6,0)+INT(R196/4)+L196)/2)+5)*W196)*IF($E196="Choice Band",1.5,IF(OR($E196="Mawilite",$E196="Medichamite",$E196="Thick Club"),2,1)))</f>
        <v>38</v>
      </c>
      <c r="AD196" s="84">
        <f>INT(INT((INT((2*VLOOKUP($C196,DexData,7,0)+INT(S196/4)+M196)/2)+5)*X196)*IF($E196="Eviolite",1.5,1))</f>
        <v>63</v>
      </c>
      <c r="AE196" s="84">
        <f>INT(INT((INT((2*VLOOKUP($C196,DexData,9,0)+INT(T196/4)+N196)/2)+5)*Y196)*IF($E196="Choice Specs",1.5,1))</f>
        <v>34</v>
      </c>
      <c r="AF196" s="84">
        <f>INT(INT((INT((2*VLOOKUP($C196,DexData,10,0)+INT(U196/4)+O196)/2)+5)*Z196)*IF(OR($E196="Eviolite",$E196="Assault Vest"),1.5,1))</f>
        <v>101</v>
      </c>
      <c r="AG196" s="84">
        <f>INT(INT((INT((2*VLOOKUP($C196,DexData,11,0)+INT(V196/4)+P196)/2)+5)*AA196)*IF($E196="Choice Scarf",1.5,IF($E196="Iron Ball",0.5,1)))</f>
        <v>38</v>
      </c>
      <c r="AH196" s="84" t="str">
        <f>VLOOKUP(VLOOKUP($C196,DexData,3,0),Aliases!D$2:E$19,2,0)&amp;IFERROR("/"&amp;VLOOKUP(VLOOKUP($C196,DexData,4,0),Aliases!D$2:E$19,2,0),"")</f>
        <v>PSY</v>
      </c>
      <c r="AI196" s="7">
        <v>3.0</v>
      </c>
      <c r="AJ196" s="7">
        <f>IF(VLOOKUP(B196,'Set Odds'!A$2:AN$1067,40,0),1,IF(VLOOKUP(B196,'Set Odds'!A$2:AO$1067,41,0),2,0))</f>
        <v>0</v>
      </c>
      <c r="AK196" s="7"/>
      <c r="AL196" s="7" t="str">
        <f t="shared" si="1"/>
        <v/>
      </c>
    </row>
    <row r="197" ht="12.75" customHeight="1">
      <c r="A197" s="86">
        <v>196.0</v>
      </c>
      <c r="B197" s="84" t="s">
        <v>3270</v>
      </c>
      <c r="C197" s="7" t="s">
        <v>3271</v>
      </c>
      <c r="D197" s="7" t="s">
        <v>2599</v>
      </c>
      <c r="E197" s="7" t="s">
        <v>2770</v>
      </c>
      <c r="F197" s="84" t="s">
        <v>2693</v>
      </c>
      <c r="G197" s="84" t="s">
        <v>2725</v>
      </c>
      <c r="H197" s="84" t="s">
        <v>2602</v>
      </c>
      <c r="I197" s="84" t="s">
        <v>3236</v>
      </c>
      <c r="J197" s="7" t="s">
        <v>3272</v>
      </c>
      <c r="K197" s="7">
        <v>0.0</v>
      </c>
      <c r="L197" s="7">
        <v>31.0</v>
      </c>
      <c r="M197" s="7">
        <v>0.0</v>
      </c>
      <c r="N197" s="7">
        <v>0.0</v>
      </c>
      <c r="O197" s="7">
        <v>0.0</v>
      </c>
      <c r="P197" s="7">
        <v>31.0</v>
      </c>
      <c r="Q197" s="7">
        <v>0.0</v>
      </c>
      <c r="R197" s="7">
        <v>108.0</v>
      </c>
      <c r="S197" s="7">
        <v>0.0</v>
      </c>
      <c r="T197" s="7">
        <v>0.0</v>
      </c>
      <c r="U197" s="7">
        <v>0.0</v>
      </c>
      <c r="V197" s="7">
        <v>108.0</v>
      </c>
      <c r="W197" s="7">
        <f>VLOOKUP($D197,NatureChart,2,0)</f>
        <v>1</v>
      </c>
      <c r="X197" s="7">
        <f>VLOOKUP($D197,NatureChart,3,0)</f>
        <v>1</v>
      </c>
      <c r="Y197" s="7">
        <f>VLOOKUP($D197,NatureChart,4,0)</f>
        <v>1</v>
      </c>
      <c r="Z197" s="7">
        <f>VLOOKUP($D197,NatureChart,5,0)</f>
        <v>1</v>
      </c>
      <c r="AA197" s="84">
        <f>VLOOKUP($D197,NatureChart,6,0)</f>
        <v>1</v>
      </c>
      <c r="AB197" s="84">
        <f>IF($C197="Shedinja",1,(INT((2*VLOOKUP($C197,DexData,5,0)+INT(Q197/4)+K197)/2)+60))</f>
        <v>120</v>
      </c>
      <c r="AC197" s="84">
        <f>INT(INT((INT((2*VLOOKUP($C197,DexData,6,0)+INT(R197/4)+L197)/2)+5)*W197)*IF($E197="Choice Band",1.5,IF(OR($E197="Mawilite",$E197="Medichamite",$E197="Thick Club"),2,1)))</f>
        <v>84</v>
      </c>
      <c r="AD197" s="84">
        <f>INT(INT((INT((2*VLOOKUP($C197,DexData,7,0)+INT(S197/4)+M197)/2)+5)*X197)*IF($E197="Eviolite",1.5,1))</f>
        <v>45</v>
      </c>
      <c r="AE197" s="84">
        <f>INT(INT((INT((2*VLOOKUP($C197,DexData,9,0)+INT(T197/4)+N197)/2)+5)*Y197)*IF($E197="Choice Specs",1.5,1))</f>
        <v>90</v>
      </c>
      <c r="AF197" s="84">
        <f>INT(INT((INT((2*VLOOKUP($C197,DexData,10,0)+INT(U197/4)+O197)/2)+5)*Z197)*IF(OR($E197="Eviolite",$E197="Assault Vest"),1.5,1))</f>
        <v>80</v>
      </c>
      <c r="AG197" s="84">
        <f>INT(INT((INT((2*VLOOKUP($C197,DexData,11,0)+INT(V197/4)+P197)/2)+5)*AA197)*IF($E197="Choice Scarf",1.5,IF($E197="Iron Ball",0.5,1)))</f>
        <v>129</v>
      </c>
      <c r="AH197" s="84" t="str">
        <f>VLOOKUP(VLOOKUP($C197,DexData,3,0),Aliases!D$2:E$19,2,0)&amp;IFERROR("/"&amp;VLOOKUP(VLOOKUP($C197,DexData,4,0),Aliases!D$2:E$19,2,0),"")</f>
        <v>ELC</v>
      </c>
      <c r="AI197" s="7">
        <v>3.0</v>
      </c>
      <c r="AJ197" s="7">
        <f>IF(VLOOKUP(B197,'Set Odds'!A$2:AN$1067,40,0),1,IF(VLOOKUP(B197,'Set Odds'!A$2:AO$1067,41,0),2,0))</f>
        <v>0</v>
      </c>
      <c r="AK197" s="7"/>
      <c r="AL197" s="7" t="str">
        <f t="shared" si="1"/>
        <v/>
      </c>
    </row>
    <row r="198" ht="12.75" customHeight="1">
      <c r="A198" s="86">
        <v>197.0</v>
      </c>
      <c r="B198" s="84" t="s">
        <v>3273</v>
      </c>
      <c r="C198" s="7" t="s">
        <v>3274</v>
      </c>
      <c r="D198" s="7" t="s">
        <v>2599</v>
      </c>
      <c r="E198" s="7" t="s">
        <v>2983</v>
      </c>
      <c r="F198" s="84" t="s">
        <v>2693</v>
      </c>
      <c r="G198" s="84" t="s">
        <v>2767</v>
      </c>
      <c r="H198" s="84" t="s">
        <v>2957</v>
      </c>
      <c r="I198" s="84" t="s">
        <v>3236</v>
      </c>
      <c r="J198" s="7" t="s">
        <v>3275</v>
      </c>
      <c r="K198" s="7">
        <v>0.0</v>
      </c>
      <c r="L198" s="7">
        <v>31.0</v>
      </c>
      <c r="M198" s="7">
        <v>0.0</v>
      </c>
      <c r="N198" s="7">
        <v>0.0</v>
      </c>
      <c r="O198" s="7">
        <v>0.0</v>
      </c>
      <c r="P198" s="7">
        <v>31.0</v>
      </c>
      <c r="Q198" s="7">
        <v>0.0</v>
      </c>
      <c r="R198" s="7">
        <v>108.0</v>
      </c>
      <c r="S198" s="7">
        <v>0.0</v>
      </c>
      <c r="T198" s="7">
        <v>0.0</v>
      </c>
      <c r="U198" s="7">
        <v>0.0</v>
      </c>
      <c r="V198" s="7">
        <v>108.0</v>
      </c>
      <c r="W198" s="7">
        <f>VLOOKUP($D198,NatureChart,2,0)</f>
        <v>1</v>
      </c>
      <c r="X198" s="7">
        <f>VLOOKUP($D198,NatureChart,3,0)</f>
        <v>1</v>
      </c>
      <c r="Y198" s="7">
        <f>VLOOKUP($D198,NatureChart,4,0)</f>
        <v>1</v>
      </c>
      <c r="Z198" s="7">
        <f>VLOOKUP($D198,NatureChart,5,0)</f>
        <v>1</v>
      </c>
      <c r="AA198" s="84">
        <f>VLOOKUP($D198,NatureChart,6,0)</f>
        <v>1</v>
      </c>
      <c r="AB198" s="84">
        <f>IF($C198="Shedinja",1,(INT((2*VLOOKUP($C198,DexData,5,0)+INT(Q198/4)+K198)/2)+60))</f>
        <v>120</v>
      </c>
      <c r="AC198" s="84">
        <f>INT(INT((INT((2*VLOOKUP($C198,DexData,6,0)+INT(R198/4)+L198)/2)+5)*W198)*IF($E198="Choice Band",1.5,IF(OR($E198="Mawilite",$E198="Medichamite",$E198="Thick Club"),2,1)))</f>
        <v>74</v>
      </c>
      <c r="AD198" s="84">
        <f>INT(INT((INT((2*VLOOKUP($C198,DexData,7,0)+INT(S198/4)+M198)/2)+5)*X198)*IF($E198="Eviolite",1.5,1))</f>
        <v>55</v>
      </c>
      <c r="AE198" s="84">
        <f>INT(INT((INT((2*VLOOKUP($C198,DexData,9,0)+INT(T198/4)+N198)/2)+5)*Y198)*IF($E198="Choice Specs",1.5,1))</f>
        <v>80</v>
      </c>
      <c r="AF198" s="84">
        <f>INT(INT((INT((2*VLOOKUP($C198,DexData,10,0)+INT(U198/4)+O198)/2)+5)*Z198)*IF(OR($E198="Eviolite",$E198="Assault Vest"),1.5,1))</f>
        <v>90</v>
      </c>
      <c r="AG198" s="84">
        <f>INT(INT((INT((2*VLOOKUP($C198,DexData,11,0)+INT(V198/4)+P198)/2)+5)*AA198)*IF($E198="Choice Scarf",1.5,IF($E198="Iron Ball",0.5,1)))</f>
        <v>129</v>
      </c>
      <c r="AH198" s="84" t="str">
        <f>VLOOKUP(VLOOKUP($C198,DexData,3,0),Aliases!D$2:E$19,2,0)&amp;IFERROR("/"&amp;VLOOKUP(VLOOKUP($C198,DexData,4,0),Aliases!D$2:E$19,2,0),"")</f>
        <v>ELC</v>
      </c>
      <c r="AI198" s="7">
        <v>3.0</v>
      </c>
      <c r="AJ198" s="7">
        <f>IF(VLOOKUP(B198,'Set Odds'!A$2:AN$1067,40,0),1,IF(VLOOKUP(B198,'Set Odds'!A$2:AO$1067,41,0),2,0))</f>
        <v>0</v>
      </c>
      <c r="AK198" s="7"/>
      <c r="AL198" s="7" t="str">
        <f t="shared" si="1"/>
        <v/>
      </c>
    </row>
    <row r="199" ht="12.75" customHeight="1">
      <c r="A199" s="86">
        <v>198.0</v>
      </c>
      <c r="B199" s="84" t="s">
        <v>3276</v>
      </c>
      <c r="C199" s="7" t="s">
        <v>3277</v>
      </c>
      <c r="D199" s="7" t="s">
        <v>2656</v>
      </c>
      <c r="E199" s="7" t="s">
        <v>2618</v>
      </c>
      <c r="F199" s="84" t="s">
        <v>3278</v>
      </c>
      <c r="G199" s="84" t="s">
        <v>2658</v>
      </c>
      <c r="H199" s="84" t="s">
        <v>2602</v>
      </c>
      <c r="I199" s="84" t="s">
        <v>3279</v>
      </c>
      <c r="J199" s="7" t="s">
        <v>3000</v>
      </c>
      <c r="K199" s="7">
        <v>31.0</v>
      </c>
      <c r="L199" s="7">
        <v>0.0</v>
      </c>
      <c r="M199" s="7">
        <v>0.0</v>
      </c>
      <c r="N199" s="7">
        <v>0.0</v>
      </c>
      <c r="O199" s="7">
        <v>0.0</v>
      </c>
      <c r="P199" s="7">
        <v>31.0</v>
      </c>
      <c r="Q199" s="7">
        <v>108.0</v>
      </c>
      <c r="R199" s="7">
        <v>0.0</v>
      </c>
      <c r="S199" s="7">
        <v>0.0</v>
      </c>
      <c r="T199" s="7">
        <v>0.0</v>
      </c>
      <c r="U199" s="7">
        <v>0.0</v>
      </c>
      <c r="V199" s="7">
        <v>108.0</v>
      </c>
      <c r="W199" s="7">
        <f>VLOOKUP($D199,NatureChart,2,0)</f>
        <v>0.9</v>
      </c>
      <c r="X199" s="7">
        <f>VLOOKUP($D199,NatureChart,3,0)</f>
        <v>1</v>
      </c>
      <c r="Y199" s="7">
        <f>VLOOKUP($D199,NatureChart,4,0)</f>
        <v>1.1</v>
      </c>
      <c r="Z199" s="7">
        <f>VLOOKUP($D199,NatureChart,5,0)</f>
        <v>1</v>
      </c>
      <c r="AA199" s="84">
        <f>VLOOKUP($D199,NatureChart,6,0)</f>
        <v>1</v>
      </c>
      <c r="AB199" s="84">
        <f>IF($C199="Shedinja",1,(INT((2*VLOOKUP($C199,DexData,5,0)+INT(Q199/4)+K199)/2)+60))</f>
        <v>149</v>
      </c>
      <c r="AC199" s="84">
        <f>INT(INT((INT((2*VLOOKUP($C199,DexData,6,0)+INT(R199/4)+L199)/2)+5)*W199)*IF($E199="Choice Band",1.5,IF(OR($E199="Mawilite",$E199="Medichamite",$E199="Thick Club"),2,1)))</f>
        <v>45</v>
      </c>
      <c r="AD199" s="84">
        <f>INT(INT((INT((2*VLOOKUP($C199,DexData,7,0)+INT(S199/4)+M199)/2)+5)*X199)*IF($E199="Eviolite",1.5,1))</f>
        <v>75</v>
      </c>
      <c r="AE199" s="84">
        <f>INT(INT((INT((2*VLOOKUP($C199,DexData,9,0)+INT(T199/4)+N199)/2)+5)*Y199)*IF($E199="Choice Specs",1.5,1))</f>
        <v>55</v>
      </c>
      <c r="AF199" s="84">
        <f>INT(INT((INT((2*VLOOKUP($C199,DexData,10,0)+INT(U199/4)+O199)/2)+5)*Z199)*IF(OR($E199="Eviolite",$E199="Assault Vest"),1.5,1))</f>
        <v>95</v>
      </c>
      <c r="AG199" s="84">
        <f>INT(INT((INT((2*VLOOKUP($C199,DexData,11,0)+INT(V199/4)+P199)/2)+5)*AA199)*IF($E199="Choice Scarf",1.5,IF($E199="Iron Ball",0.5,1)))</f>
        <v>129</v>
      </c>
      <c r="AH199" s="84" t="str">
        <f>VLOOKUP(VLOOKUP($C199,DexData,3,0),Aliases!D$2:E$19,2,0)&amp;IFERROR("/"&amp;VLOOKUP(VLOOKUP($C199,DexData,4,0),Aliases!D$2:E$19,2,0),"")</f>
        <v>ELC</v>
      </c>
      <c r="AI199" s="7">
        <v>3.0</v>
      </c>
      <c r="AJ199" s="7">
        <f>IF(VLOOKUP(B199,'Set Odds'!A$2:AN$1067,40,0),1,IF(VLOOKUP(B199,'Set Odds'!A$2:AO$1067,41,0),2,0))</f>
        <v>0</v>
      </c>
      <c r="AK199" s="7"/>
      <c r="AL199" s="7" t="str">
        <f t="shared" si="1"/>
        <v/>
      </c>
    </row>
    <row r="200" ht="12.75" customHeight="1">
      <c r="A200" s="86">
        <v>199.0</v>
      </c>
      <c r="B200" s="84" t="s">
        <v>3280</v>
      </c>
      <c r="C200" s="7" t="s">
        <v>3281</v>
      </c>
      <c r="D200" s="7" t="s">
        <v>2571</v>
      </c>
      <c r="E200" s="7" t="s">
        <v>2724</v>
      </c>
      <c r="F200" s="84" t="s">
        <v>2619</v>
      </c>
      <c r="G200" s="84" t="s">
        <v>2746</v>
      </c>
      <c r="H200" s="84" t="s">
        <v>2573</v>
      </c>
      <c r="I200" s="84" t="s">
        <v>3282</v>
      </c>
      <c r="J200" s="7" t="s">
        <v>3162</v>
      </c>
      <c r="K200" s="7">
        <v>0.0</v>
      </c>
      <c r="L200" s="7">
        <v>31.0</v>
      </c>
      <c r="M200" s="7">
        <v>0.0</v>
      </c>
      <c r="N200" s="7">
        <v>0.0</v>
      </c>
      <c r="O200" s="7">
        <v>0.0</v>
      </c>
      <c r="P200" s="7">
        <v>31.0</v>
      </c>
      <c r="Q200" s="7">
        <v>0.0</v>
      </c>
      <c r="R200" s="7">
        <v>108.0</v>
      </c>
      <c r="S200" s="7">
        <v>0.0</v>
      </c>
      <c r="T200" s="7">
        <v>0.0</v>
      </c>
      <c r="U200" s="7">
        <v>0.0</v>
      </c>
      <c r="V200" s="7">
        <v>108.0</v>
      </c>
      <c r="W200" s="7">
        <f>VLOOKUP($D200,NatureChart,2,0)</f>
        <v>1.1</v>
      </c>
      <c r="X200" s="7">
        <f>VLOOKUP($D200,NatureChart,3,0)</f>
        <v>1</v>
      </c>
      <c r="Y200" s="7">
        <f>VLOOKUP($D200,NatureChart,4,0)</f>
        <v>0.9</v>
      </c>
      <c r="Z200" s="7">
        <f>VLOOKUP($D200,NatureChart,5,0)</f>
        <v>1</v>
      </c>
      <c r="AA200" s="84">
        <f>VLOOKUP($D200,NatureChart,6,0)</f>
        <v>1</v>
      </c>
      <c r="AB200" s="84">
        <f>IF($C200="Shedinja",1,(INT((2*VLOOKUP($C200,DexData,5,0)+INT(Q200/4)+K200)/2)+60))</f>
        <v>110</v>
      </c>
      <c r="AC200" s="84">
        <f>INT(INT((INT((2*VLOOKUP($C200,DexData,6,0)+INT(R200/4)+L200)/2)+5)*W200)*IF($E200="Choice Band",1.5,IF(OR($E200="Mawilite",$E200="Medichamite",$E200="Thick Club"),2,1)))</f>
        <v>130</v>
      </c>
      <c r="AD200" s="84">
        <f>INT(INT((INT((2*VLOOKUP($C200,DexData,7,0)+INT(S200/4)+M200)/2)+5)*X200)*IF($E200="Eviolite",1.5,1))</f>
        <v>60</v>
      </c>
      <c r="AE200" s="84">
        <f>INT(INT((INT((2*VLOOKUP($C200,DexData,9,0)+INT(T200/4)+N200)/2)+5)*Y200)*IF($E200="Choice Specs",1.5,1))</f>
        <v>63</v>
      </c>
      <c r="AF200" s="84">
        <f>INT(INT((INT((2*VLOOKUP($C200,DexData,10,0)+INT(U200/4)+O200)/2)+5)*Z200)*IF(OR($E200="Eviolite",$E200="Assault Vest"),1.5,1))</f>
        <v>70</v>
      </c>
      <c r="AG200" s="84">
        <f>INT(INT((INT((2*VLOOKUP($C200,DexData,11,0)+INT(V200/4)+P200)/2)+5)*AA200)*IF($E200="Choice Scarf",1.5,IF($E200="Iron Ball",0.5,1)))</f>
        <v>124</v>
      </c>
      <c r="AH200" s="84" t="str">
        <f>VLOOKUP(VLOOKUP($C200,DexData,3,0),Aliases!D$2:E$19,2,0)&amp;IFERROR("/"&amp;VLOOKUP(VLOOKUP($C200,DexData,4,0),Aliases!D$2:E$19,2,0),"")</f>
        <v>FIR</v>
      </c>
      <c r="AI200" s="7">
        <v>3.0</v>
      </c>
      <c r="AJ200" s="7">
        <f>IF(VLOOKUP(B200,'Set Odds'!A$2:AN$1067,40,0),1,IF(VLOOKUP(B200,'Set Odds'!A$2:AO$1067,41,0),2,0))</f>
        <v>0</v>
      </c>
      <c r="AK200" s="7"/>
      <c r="AL200" s="7" t="str">
        <f t="shared" si="1"/>
        <v/>
      </c>
    </row>
    <row r="201" ht="12.75" customHeight="1">
      <c r="A201" s="86">
        <v>200.0</v>
      </c>
      <c r="B201" s="84" t="s">
        <v>3283</v>
      </c>
      <c r="C201" s="7" t="s">
        <v>3284</v>
      </c>
      <c r="D201" s="7" t="s">
        <v>2571</v>
      </c>
      <c r="E201" s="7" t="s">
        <v>2636</v>
      </c>
      <c r="F201" s="84" t="s">
        <v>2869</v>
      </c>
      <c r="G201" s="84" t="s">
        <v>3253</v>
      </c>
      <c r="H201" s="84" t="s">
        <v>3285</v>
      </c>
      <c r="I201" s="84" t="s">
        <v>3031</v>
      </c>
      <c r="J201" s="7" t="s">
        <v>3286</v>
      </c>
      <c r="K201" s="7">
        <v>31.0</v>
      </c>
      <c r="L201" s="7">
        <v>31.0</v>
      </c>
      <c r="M201" s="7">
        <v>0.0</v>
      </c>
      <c r="N201" s="7">
        <v>0.0</v>
      </c>
      <c r="O201" s="7">
        <v>0.0</v>
      </c>
      <c r="P201" s="7">
        <v>0.0</v>
      </c>
      <c r="Q201" s="7">
        <v>108.0</v>
      </c>
      <c r="R201" s="7">
        <v>108.0</v>
      </c>
      <c r="S201" s="7">
        <v>0.0</v>
      </c>
      <c r="T201" s="7">
        <v>0.0</v>
      </c>
      <c r="U201" s="7">
        <v>0.0</v>
      </c>
      <c r="V201" s="7">
        <v>0.0</v>
      </c>
      <c r="W201" s="7">
        <f>VLOOKUP($D201,NatureChart,2,0)</f>
        <v>1.1</v>
      </c>
      <c r="X201" s="7">
        <f>VLOOKUP($D201,NatureChart,3,0)</f>
        <v>1</v>
      </c>
      <c r="Y201" s="7">
        <f>VLOOKUP($D201,NatureChart,4,0)</f>
        <v>0.9</v>
      </c>
      <c r="Z201" s="7">
        <f>VLOOKUP($D201,NatureChart,5,0)</f>
        <v>1</v>
      </c>
      <c r="AA201" s="84">
        <f>VLOOKUP($D201,NatureChart,6,0)</f>
        <v>1</v>
      </c>
      <c r="AB201" s="84">
        <f>IF($C201="Shedinja",1,(INT((2*VLOOKUP($C201,DexData,5,0)+INT(Q201/4)+K201)/2)+60))</f>
        <v>189</v>
      </c>
      <c r="AC201" s="84">
        <f>INT(INT((INT((2*VLOOKUP($C201,DexData,6,0)+INT(R201/4)+L201)/2)+5)*W201)*IF($E201="Choice Band",1.5,IF(OR($E201="Mawilite",$E201="Medichamite",$E201="Thick Club"),2,1)))</f>
        <v>92</v>
      </c>
      <c r="AD201" s="84">
        <f>INT(INT((INT((2*VLOOKUP($C201,DexData,7,0)+INT(S201/4)+M201)/2)+5)*X201)*IF($E201="Eviolite",1.5,1))</f>
        <v>85</v>
      </c>
      <c r="AE201" s="84">
        <f>INT(INT((INT((2*VLOOKUP($C201,DexData,9,0)+INT(T201/4)+N201)/2)+5)*Y201)*IF($E201="Choice Specs",1.5,1))</f>
        <v>58</v>
      </c>
      <c r="AF201" s="84">
        <f>INT(INT((INT((2*VLOOKUP($C201,DexData,10,0)+INT(U201/4)+O201)/2)+5)*Z201)*IF(OR($E201="Eviolite",$E201="Assault Vest"),1.5,1))</f>
        <v>85</v>
      </c>
      <c r="AG201" s="84">
        <f>INT(INT((INT((2*VLOOKUP($C201,DexData,11,0)+INT(V201/4)+P201)/2)+5)*AA201)*IF($E201="Choice Scarf",1.5,IF($E201="Iron Ball",0.5,1)))</f>
        <v>55</v>
      </c>
      <c r="AH201" s="84" t="str">
        <f>VLOOKUP(VLOOKUP($C201,DexData,3,0),Aliases!D$2:E$19,2,0)&amp;IFERROR("/"&amp;VLOOKUP(VLOOKUP($C201,DexData,4,0),Aliases!D$2:E$19,2,0),"")</f>
        <v>WTR/FAI</v>
      </c>
      <c r="AI201" s="7">
        <v>3.0</v>
      </c>
      <c r="AJ201" s="7">
        <f>IF(VLOOKUP(B201,'Set Odds'!A$2:AN$1067,40,0),1,IF(VLOOKUP(B201,'Set Odds'!A$2:AO$1067,41,0),2,0))</f>
        <v>0</v>
      </c>
      <c r="AK201" s="7"/>
      <c r="AL201" s="7" t="str">
        <f t="shared" si="1"/>
        <v/>
      </c>
    </row>
    <row r="202" ht="12.75" customHeight="1">
      <c r="A202" s="86">
        <v>201.0</v>
      </c>
      <c r="B202" s="84" t="s">
        <v>3287</v>
      </c>
      <c r="C202" s="7" t="s">
        <v>3288</v>
      </c>
      <c r="D202" s="7" t="s">
        <v>3289</v>
      </c>
      <c r="E202" s="7" t="s">
        <v>2761</v>
      </c>
      <c r="F202" s="84" t="s">
        <v>3225</v>
      </c>
      <c r="G202" s="84" t="s">
        <v>2707</v>
      </c>
      <c r="H202" s="84" t="s">
        <v>2680</v>
      </c>
      <c r="I202" s="84" t="s">
        <v>2573</v>
      </c>
      <c r="J202" s="7" t="s">
        <v>2576</v>
      </c>
      <c r="K202" s="7">
        <v>31.0</v>
      </c>
      <c r="L202" s="7">
        <v>0.0</v>
      </c>
      <c r="M202" s="7">
        <v>31.0</v>
      </c>
      <c r="N202" s="7">
        <v>0.0</v>
      </c>
      <c r="O202" s="7">
        <v>31.0</v>
      </c>
      <c r="P202" s="7">
        <v>0.0</v>
      </c>
      <c r="Q202" s="7">
        <v>108.0</v>
      </c>
      <c r="R202" s="7">
        <v>0.0</v>
      </c>
      <c r="S202" s="7">
        <v>108.0</v>
      </c>
      <c r="T202" s="7">
        <v>0.0</v>
      </c>
      <c r="U202" s="7">
        <v>108.0</v>
      </c>
      <c r="V202" s="7">
        <v>0.0</v>
      </c>
      <c r="W202" s="7">
        <f>VLOOKUP($D202,NatureChart,2,0)</f>
        <v>1</v>
      </c>
      <c r="X202" s="7">
        <f>VLOOKUP($D202,NatureChart,3,0)</f>
        <v>0.9</v>
      </c>
      <c r="Y202" s="7">
        <f>VLOOKUP($D202,NatureChart,4,0)</f>
        <v>1</v>
      </c>
      <c r="Z202" s="7">
        <f>VLOOKUP($D202,NatureChart,5,0)</f>
        <v>1.1</v>
      </c>
      <c r="AA202" s="84">
        <f>VLOOKUP($D202,NatureChart,6,0)</f>
        <v>1</v>
      </c>
      <c r="AB202" s="84">
        <f>IF($C202="Shedinja",1,(INT((2*VLOOKUP($C202,DexData,5,0)+INT(Q202/4)+K202)/2)+60))</f>
        <v>149</v>
      </c>
      <c r="AC202" s="84">
        <f>INT(INT((INT((2*VLOOKUP($C202,DexData,6,0)+INT(R202/4)+L202)/2)+5)*W202)*IF($E202="Choice Band",1.5,IF(OR($E202="Mawilite",$E202="Medichamite",$E202="Thick Club"),2,1)))</f>
        <v>67</v>
      </c>
      <c r="AD202" s="84">
        <f>INT(INT((INT((2*VLOOKUP($C202,DexData,7,0)+INT(S202/4)+M202)/2)+5)*X202)*IF($E202="Eviolite",1.5,1))</f>
        <v>87</v>
      </c>
      <c r="AE202" s="84">
        <f>INT(INT((INT((2*VLOOKUP($C202,DexData,9,0)+INT(T202/4)+N202)/2)+5)*Y202)*IF($E202="Choice Specs",1.5,1))</f>
        <v>85</v>
      </c>
      <c r="AF202" s="84">
        <f>INT(INT((INT((2*VLOOKUP($C202,DexData,10,0)+INT(U202/4)+O202)/2)+5)*Z202)*IF(OR($E202="Eviolite",$E202="Assault Vest"),1.5,1))</f>
        <v>125</v>
      </c>
      <c r="AG202" s="84">
        <f>INT(INT((INT((2*VLOOKUP($C202,DexData,11,0)+INT(V202/4)+P202)/2)+5)*AA202)*IF($E202="Choice Scarf",1.5,IF($E202="Iron Ball",0.5,1)))</f>
        <v>65</v>
      </c>
      <c r="AH202" s="84" t="str">
        <f>VLOOKUP(VLOOKUP($C202,DexData,3,0),Aliases!D$2:E$19,2,0)&amp;IFERROR("/"&amp;VLOOKUP(VLOOKUP($C202,DexData,4,0),Aliases!D$2:E$19,2,0),"")</f>
        <v>GRS/PSN</v>
      </c>
      <c r="AI202" s="7">
        <v>3.0</v>
      </c>
      <c r="AJ202" s="7">
        <f>IF(VLOOKUP(B202,'Set Odds'!A$2:AN$1067,40,0),1,IF(VLOOKUP(B202,'Set Odds'!A$2:AO$1067,41,0),2,0))</f>
        <v>0</v>
      </c>
      <c r="AK202" s="7"/>
      <c r="AL202" s="7" t="str">
        <f t="shared" si="1"/>
        <v/>
      </c>
    </row>
    <row r="203" ht="12.75" customHeight="1">
      <c r="A203" s="86">
        <v>202.0</v>
      </c>
      <c r="B203" s="84" t="s">
        <v>3290</v>
      </c>
      <c r="C203" s="7" t="s">
        <v>3291</v>
      </c>
      <c r="D203" s="7" t="s">
        <v>2789</v>
      </c>
      <c r="E203" s="7" t="s">
        <v>2579</v>
      </c>
      <c r="F203" s="84" t="s">
        <v>2606</v>
      </c>
      <c r="G203" s="84" t="s">
        <v>2637</v>
      </c>
      <c r="H203" s="84" t="s">
        <v>3113</v>
      </c>
      <c r="I203" s="84" t="s">
        <v>2614</v>
      </c>
      <c r="J203" s="7" t="s">
        <v>2584</v>
      </c>
      <c r="K203" s="7">
        <v>31.0</v>
      </c>
      <c r="L203" s="7">
        <v>31.0</v>
      </c>
      <c r="M203" s="7">
        <v>0.0</v>
      </c>
      <c r="N203" s="7">
        <v>0.0</v>
      </c>
      <c r="O203" s="7">
        <v>0.0</v>
      </c>
      <c r="P203" s="7">
        <v>31.0</v>
      </c>
      <c r="Q203" s="7">
        <v>108.0</v>
      </c>
      <c r="R203" s="7">
        <v>108.0</v>
      </c>
      <c r="S203" s="7">
        <v>0.0</v>
      </c>
      <c r="T203" s="7">
        <v>0.0</v>
      </c>
      <c r="U203" s="7">
        <v>0.0</v>
      </c>
      <c r="V203" s="7">
        <v>108.0</v>
      </c>
      <c r="W203" s="7">
        <f>VLOOKUP($D203,NatureChart,2,0)</f>
        <v>1.1</v>
      </c>
      <c r="X203" s="7">
        <f>VLOOKUP($D203,NatureChart,3,0)</f>
        <v>1</v>
      </c>
      <c r="Y203" s="7">
        <f>VLOOKUP($D203,NatureChart,4,0)</f>
        <v>1</v>
      </c>
      <c r="Z203" s="7">
        <f>VLOOKUP($D203,NatureChart,5,0)</f>
        <v>0.9</v>
      </c>
      <c r="AA203" s="84">
        <f>VLOOKUP($D203,NatureChart,6,0)</f>
        <v>1</v>
      </c>
      <c r="AB203" s="84">
        <f>IF($C203="Shedinja",1,(INT((2*VLOOKUP($C203,DexData,5,0)+INT(Q203/4)+K203)/2)+60))</f>
        <v>147</v>
      </c>
      <c r="AC203" s="84">
        <f>INT(INT((INT((2*VLOOKUP($C203,DexData,6,0)+INT(R203/4)+L203)/2)+5)*W203)*IF($E203="Choice Band",1.5,IF(OR($E203="Mawilite",$E203="Medichamite",$E203="Thick Club"),2,1)))</f>
        <v>107</v>
      </c>
      <c r="AD203" s="84">
        <f>INT(INT((INT((2*VLOOKUP($C203,DexData,7,0)+INT(S203/4)+M203)/2)+5)*X203)*IF($E203="Eviolite",1.5,1))</f>
        <v>63</v>
      </c>
      <c r="AE203" s="84">
        <f>INT(INT((INT((2*VLOOKUP($C203,DexData,9,0)+INT(T203/4)+N203)/2)+5)*Y203)*IF($E203="Choice Specs",1.5,1))</f>
        <v>85</v>
      </c>
      <c r="AF203" s="84">
        <f>INT(INT((INT((2*VLOOKUP($C203,DexData,10,0)+INT(U203/4)+O203)/2)+5)*Z203)*IF(OR($E203="Eviolite",$E203="Assault Vest"),1.5,1))</f>
        <v>63</v>
      </c>
      <c r="AG203" s="84">
        <f>INT(INT((INT((2*VLOOKUP($C203,DexData,11,0)+INT(V203/4)+P203)/2)+5)*AA203)*IF($E203="Choice Scarf",1.5,IF($E203="Iron Ball",0.5,1)))</f>
        <v>114</v>
      </c>
      <c r="AH203" s="84" t="str">
        <f>VLOOKUP(VLOOKUP($C203,DexData,3,0),Aliases!D$2:E$19,2,0)&amp;IFERROR("/"&amp;VLOOKUP(VLOOKUP($C203,DexData,4,0),Aliases!D$2:E$19,2,0),"")</f>
        <v>FIR</v>
      </c>
      <c r="AI203" s="7">
        <v>3.0</v>
      </c>
      <c r="AJ203" s="7">
        <f>IF(VLOOKUP(B203,'Set Odds'!A$2:AN$1067,40,0),1,IF(VLOOKUP(B203,'Set Odds'!A$2:AO$1067,41,0),2,0))</f>
        <v>0</v>
      </c>
      <c r="AK203" s="7"/>
      <c r="AL203" s="7" t="str">
        <f t="shared" si="1"/>
        <v/>
      </c>
    </row>
    <row r="204" ht="12.75" customHeight="1">
      <c r="A204" s="86">
        <v>203.0</v>
      </c>
      <c r="B204" s="84" t="s">
        <v>3292</v>
      </c>
      <c r="C204" s="7" t="s">
        <v>3293</v>
      </c>
      <c r="D204" s="7" t="s">
        <v>2571</v>
      </c>
      <c r="E204" s="7" t="s">
        <v>2520</v>
      </c>
      <c r="F204" s="84" t="s">
        <v>2587</v>
      </c>
      <c r="G204" s="84" t="s">
        <v>2588</v>
      </c>
      <c r="H204" s="84" t="s">
        <v>3294</v>
      </c>
      <c r="I204" s="84" t="s">
        <v>2688</v>
      </c>
      <c r="J204" s="7" t="s">
        <v>2590</v>
      </c>
      <c r="K204" s="7">
        <v>31.0</v>
      </c>
      <c r="L204" s="7">
        <v>31.0</v>
      </c>
      <c r="M204" s="7">
        <v>0.0</v>
      </c>
      <c r="N204" s="7">
        <v>0.0</v>
      </c>
      <c r="O204" s="7">
        <v>31.0</v>
      </c>
      <c r="P204" s="7">
        <v>0.0</v>
      </c>
      <c r="Q204" s="7">
        <v>108.0</v>
      </c>
      <c r="R204" s="7">
        <v>108.0</v>
      </c>
      <c r="S204" s="7">
        <v>0.0</v>
      </c>
      <c r="T204" s="7">
        <v>0.0</v>
      </c>
      <c r="U204" s="7">
        <v>108.0</v>
      </c>
      <c r="V204" s="7">
        <v>0.0</v>
      </c>
      <c r="W204" s="7">
        <f>VLOOKUP($D204,NatureChart,2,0)</f>
        <v>1.1</v>
      </c>
      <c r="X204" s="7">
        <f>VLOOKUP($D204,NatureChart,3,0)</f>
        <v>1</v>
      </c>
      <c r="Y204" s="7">
        <f>VLOOKUP($D204,NatureChart,4,0)</f>
        <v>0.9</v>
      </c>
      <c r="Z204" s="7">
        <f>VLOOKUP($D204,NatureChart,5,0)</f>
        <v>1</v>
      </c>
      <c r="AA204" s="84">
        <f>VLOOKUP($D204,NatureChart,6,0)</f>
        <v>1</v>
      </c>
      <c r="AB204" s="84">
        <f>IF($C204="Shedinja",1,(INT((2*VLOOKUP($C204,DexData,5,0)+INT(Q204/4)+K204)/2)+60))</f>
        <v>148</v>
      </c>
      <c r="AC204" s="84">
        <f>INT(INT((INT((2*VLOOKUP($C204,DexData,6,0)+INT(R204/4)+L204)/2)+5)*W204)*IF($E204="Choice Band",1.5,IF(OR($E204="Mawilite",$E204="Medichamite",$E204="Thick Club"),2,1)))</f>
        <v>106</v>
      </c>
      <c r="AD204" s="84">
        <f>INT(INT((INT((2*VLOOKUP($C204,DexData,7,0)+INT(S204/4)+M204)/2)+5)*X204)*IF($E204="Eviolite",1.5,1))</f>
        <v>85</v>
      </c>
      <c r="AE204" s="84">
        <f>INT(INT((INT((2*VLOOKUP($C204,DexData,9,0)+INT(T204/4)+N204)/2)+5)*Y204)*IF($E204="Choice Specs",1.5,1))</f>
        <v>63</v>
      </c>
      <c r="AF204" s="84">
        <f>INT(INT((INT((2*VLOOKUP($C204,DexData,10,0)+INT(U204/4)+O204)/2)+5)*Z204)*IF(OR($E204="Eviolite",$E204="Assault Vest"),1.5,1))</f>
        <v>114</v>
      </c>
      <c r="AG204" s="84">
        <f>INT(INT((INT((2*VLOOKUP($C204,DexData,11,0)+INT(V204/4)+P204)/2)+5)*AA204)*IF($E204="Choice Scarf",1.5,IF($E204="Iron Ball",0.5,1)))</f>
        <v>63</v>
      </c>
      <c r="AH204" s="84" t="str">
        <f>VLOOKUP(VLOOKUP($C204,DexData,3,0),Aliases!D$2:E$19,2,0)&amp;IFERROR("/"&amp;VLOOKUP(VLOOKUP($C204,DexData,4,0),Aliases!D$2:E$19,2,0),"")</f>
        <v>WTR</v>
      </c>
      <c r="AI204" s="7">
        <v>3.0</v>
      </c>
      <c r="AJ204" s="7">
        <f>IF(VLOOKUP(B204,'Set Odds'!A$2:AN$1067,40,0),1,IF(VLOOKUP(B204,'Set Odds'!A$2:AO$1067,41,0),2,0))</f>
        <v>0</v>
      </c>
      <c r="AK204" s="7"/>
      <c r="AL204" s="7" t="str">
        <f t="shared" si="1"/>
        <v/>
      </c>
    </row>
    <row r="205" ht="12.75" customHeight="1">
      <c r="A205" s="86">
        <v>204.0</v>
      </c>
      <c r="B205" s="84" t="s">
        <v>3295</v>
      </c>
      <c r="C205" s="7" t="s">
        <v>3296</v>
      </c>
      <c r="D205" s="7" t="s">
        <v>2599</v>
      </c>
      <c r="E205" s="7" t="s">
        <v>2524</v>
      </c>
      <c r="F205" s="84" t="s">
        <v>2572</v>
      </c>
      <c r="G205" s="84" t="s">
        <v>2856</v>
      </c>
      <c r="H205" s="84" t="s">
        <v>3268</v>
      </c>
      <c r="I205" s="84" t="s">
        <v>2596</v>
      </c>
      <c r="J205" s="7" t="s">
        <v>2576</v>
      </c>
      <c r="K205" s="7">
        <v>31.0</v>
      </c>
      <c r="L205" s="7">
        <v>0.0</v>
      </c>
      <c r="M205" s="7">
        <v>0.0</v>
      </c>
      <c r="N205" s="7">
        <v>31.0</v>
      </c>
      <c r="O205" s="7">
        <v>0.0</v>
      </c>
      <c r="P205" s="7">
        <v>31.0</v>
      </c>
      <c r="Q205" s="7">
        <v>108.0</v>
      </c>
      <c r="R205" s="7">
        <v>0.0</v>
      </c>
      <c r="S205" s="7">
        <v>0.0</v>
      </c>
      <c r="T205" s="7">
        <v>108.0</v>
      </c>
      <c r="U205" s="7">
        <v>0.0</v>
      </c>
      <c r="V205" s="7">
        <v>108.0</v>
      </c>
      <c r="W205" s="7">
        <f>VLOOKUP($D205,NatureChart,2,0)</f>
        <v>1</v>
      </c>
      <c r="X205" s="7">
        <f>VLOOKUP($D205,NatureChart,3,0)</f>
        <v>1</v>
      </c>
      <c r="Y205" s="7">
        <f>VLOOKUP($D205,NatureChart,4,0)</f>
        <v>1</v>
      </c>
      <c r="Z205" s="7">
        <f>VLOOKUP($D205,NatureChart,5,0)</f>
        <v>1</v>
      </c>
      <c r="AA205" s="84">
        <f>VLOOKUP($D205,NatureChart,6,0)</f>
        <v>1</v>
      </c>
      <c r="AB205" s="84">
        <f>IF($C205="Shedinja",1,(INT((2*VLOOKUP($C205,DexData,5,0)+INT(Q205/4)+K205)/2)+60))</f>
        <v>149</v>
      </c>
      <c r="AC205" s="84">
        <f>INT(INT((INT((2*VLOOKUP($C205,DexData,6,0)+INT(R205/4)+L205)/2)+5)*W205)*IF($E205="Choice Band",1.5,IF(OR($E205="Mawilite",$E205="Medichamite",$E205="Thick Club"),2,1)))</f>
        <v>67</v>
      </c>
      <c r="AD205" s="84">
        <f>INT(INT((INT((2*VLOOKUP($C205,DexData,7,0)+INT(S205/4)+M205)/2)+5)*X205)*IF($E205="Eviolite",1.5,1))</f>
        <v>85</v>
      </c>
      <c r="AE205" s="84">
        <f>INT(INT((INT((2*VLOOKUP($C205,DexData,9,0)+INT(T205/4)+N205)/2)+5)*Y205)*IF($E205="Choice Specs",1.5,1))</f>
        <v>97</v>
      </c>
      <c r="AF205" s="84">
        <f>INT(INT((INT((2*VLOOKUP($C205,DexData,10,0)+INT(U205/4)+O205)/2)+5)*Z205)*IF(OR($E205="Eviolite",$E205="Assault Vest"),1.5,1))</f>
        <v>85</v>
      </c>
      <c r="AG205" s="84">
        <f>INT(INT((INT((2*VLOOKUP($C205,DexData,11,0)+INT(V205/4)+P205)/2)+5)*AA205)*IF($E205="Choice Scarf",1.5,IF($E205="Iron Ball",0.5,1)))</f>
        <v>94</v>
      </c>
      <c r="AH205" s="84" t="str">
        <f>VLOOKUP(VLOOKUP($C205,DexData,3,0),Aliases!D$2:E$19,2,0)&amp;IFERROR("/"&amp;VLOOKUP(VLOOKUP($C205,DexData,4,0),Aliases!D$2:E$19,2,0),"")</f>
        <v>GRS</v>
      </c>
      <c r="AI205" s="7">
        <v>3.0</v>
      </c>
      <c r="AJ205" s="7">
        <f>IF(VLOOKUP(B205,'Set Odds'!A$2:AN$1067,40,0),1,IF(VLOOKUP(B205,'Set Odds'!A$2:AO$1067,41,0),2,0))</f>
        <v>0</v>
      </c>
      <c r="AK205" s="7"/>
      <c r="AL205" s="7" t="str">
        <f t="shared" si="1"/>
        <v/>
      </c>
    </row>
    <row r="206" ht="12.75" customHeight="1">
      <c r="A206" s="86">
        <v>205.0</v>
      </c>
      <c r="B206" s="84" t="s">
        <v>3297</v>
      </c>
      <c r="C206" s="7" t="s">
        <v>3298</v>
      </c>
      <c r="D206" s="7" t="s">
        <v>2571</v>
      </c>
      <c r="E206" s="7" t="s">
        <v>2520</v>
      </c>
      <c r="F206" s="84" t="s">
        <v>2600</v>
      </c>
      <c r="G206" s="84" t="s">
        <v>2852</v>
      </c>
      <c r="H206" s="84" t="s">
        <v>2601</v>
      </c>
      <c r="I206" s="84" t="s">
        <v>2582</v>
      </c>
      <c r="J206" s="7" t="s">
        <v>2584</v>
      </c>
      <c r="K206" s="7">
        <v>31.0</v>
      </c>
      <c r="L206" s="7">
        <v>31.0</v>
      </c>
      <c r="M206" s="7">
        <v>0.0</v>
      </c>
      <c r="N206" s="7">
        <v>0.0</v>
      </c>
      <c r="O206" s="7">
        <v>31.0</v>
      </c>
      <c r="P206" s="7">
        <v>0.0</v>
      </c>
      <c r="Q206" s="7">
        <v>108.0</v>
      </c>
      <c r="R206" s="7">
        <v>108.0</v>
      </c>
      <c r="S206" s="7">
        <v>0.0</v>
      </c>
      <c r="T206" s="7">
        <v>0.0</v>
      </c>
      <c r="U206" s="7">
        <v>108.0</v>
      </c>
      <c r="V206" s="7">
        <v>0.0</v>
      </c>
      <c r="W206" s="7">
        <f>VLOOKUP($D206,NatureChart,2,0)</f>
        <v>1.1</v>
      </c>
      <c r="X206" s="7">
        <f>VLOOKUP($D206,NatureChart,3,0)</f>
        <v>1</v>
      </c>
      <c r="Y206" s="7">
        <f>VLOOKUP($D206,NatureChart,4,0)</f>
        <v>0.9</v>
      </c>
      <c r="Z206" s="7">
        <f>VLOOKUP($D206,NatureChart,5,0)</f>
        <v>1</v>
      </c>
      <c r="AA206" s="84">
        <f>VLOOKUP($D206,NatureChart,6,0)</f>
        <v>1</v>
      </c>
      <c r="AB206" s="84">
        <f>IF($C206="Shedinja",1,(INT((2*VLOOKUP($C206,DexData,5,0)+INT(Q206/4)+K206)/2)+60))</f>
        <v>147</v>
      </c>
      <c r="AC206" s="84">
        <f>INT(INT((INT((2*VLOOKUP($C206,DexData,6,0)+INT(R206/4)+L206)/2)+5)*W206)*IF($E206="Choice Band",1.5,IF(OR($E206="Mawilite",$E206="Medichamite",$E206="Thick Club"),2,1)))</f>
        <v>107</v>
      </c>
      <c r="AD206" s="84">
        <f>INT(INT((INT((2*VLOOKUP($C206,DexData,7,0)+INT(S206/4)+M206)/2)+5)*X206)*IF($E206="Eviolite",1.5,1))</f>
        <v>63</v>
      </c>
      <c r="AE206" s="84">
        <f>INT(INT((INT((2*VLOOKUP($C206,DexData,9,0)+INT(T206/4)+N206)/2)+5)*Y206)*IF($E206="Choice Specs",1.5,1))</f>
        <v>76</v>
      </c>
      <c r="AF206" s="84">
        <f>INT(INT((INT((2*VLOOKUP($C206,DexData,10,0)+INT(U206/4)+O206)/2)+5)*Z206)*IF(OR($E206="Eviolite",$E206="Assault Vest"),1.5,1))</f>
        <v>99</v>
      </c>
      <c r="AG206" s="84">
        <f>INT(INT((INT((2*VLOOKUP($C206,DexData,11,0)+INT(V206/4)+P206)/2)+5)*AA206)*IF($E206="Choice Scarf",1.5,IF($E206="Iron Ball",0.5,1)))</f>
        <v>85</v>
      </c>
      <c r="AH206" s="84" t="str">
        <f>VLOOKUP(VLOOKUP($C206,DexData,3,0),Aliases!D$2:E$19,2,0)&amp;IFERROR("/"&amp;VLOOKUP(VLOOKUP($C206,DexData,4,0),Aliases!D$2:E$19,2,0),"")</f>
        <v>FIR</v>
      </c>
      <c r="AI206" s="7">
        <v>3.0</v>
      </c>
      <c r="AJ206" s="7">
        <f>IF(VLOOKUP(B206,'Set Odds'!A$2:AN$1067,40,0),1,IF(VLOOKUP(B206,'Set Odds'!A$2:AO$1067,41,0),2,0))</f>
        <v>0</v>
      </c>
      <c r="AK206" s="7"/>
      <c r="AL206" s="7" t="str">
        <f t="shared" si="1"/>
        <v/>
      </c>
    </row>
    <row r="207" ht="12.75" customHeight="1">
      <c r="A207" s="86">
        <v>206.0</v>
      </c>
      <c r="B207" s="84" t="s">
        <v>3299</v>
      </c>
      <c r="C207" s="7" t="s">
        <v>3300</v>
      </c>
      <c r="D207" s="7" t="s">
        <v>2599</v>
      </c>
      <c r="E207" s="7" t="s">
        <v>2579</v>
      </c>
      <c r="F207" s="84" t="s">
        <v>2606</v>
      </c>
      <c r="G207" s="84" t="s">
        <v>2607</v>
      </c>
      <c r="H207" s="84" t="s">
        <v>2588</v>
      </c>
      <c r="I207" s="84" t="s">
        <v>2583</v>
      </c>
      <c r="J207" s="7" t="s">
        <v>2590</v>
      </c>
      <c r="K207" s="7">
        <v>31.0</v>
      </c>
      <c r="L207" s="7">
        <v>31.0</v>
      </c>
      <c r="M207" s="7">
        <v>31.0</v>
      </c>
      <c r="N207" s="7">
        <v>0.0</v>
      </c>
      <c r="O207" s="7">
        <v>0.0</v>
      </c>
      <c r="P207" s="7">
        <v>0.0</v>
      </c>
      <c r="Q207" s="7">
        <v>108.0</v>
      </c>
      <c r="R207" s="7">
        <v>108.0</v>
      </c>
      <c r="S207" s="7">
        <v>108.0</v>
      </c>
      <c r="T207" s="7">
        <v>0.0</v>
      </c>
      <c r="U207" s="7">
        <v>0.0</v>
      </c>
      <c r="V207" s="7">
        <v>0.0</v>
      </c>
      <c r="W207" s="7">
        <f>VLOOKUP($D207,NatureChart,2,0)</f>
        <v>1</v>
      </c>
      <c r="X207" s="7">
        <f>VLOOKUP($D207,NatureChart,3,0)</f>
        <v>1</v>
      </c>
      <c r="Y207" s="7">
        <f>VLOOKUP($D207,NatureChart,4,0)</f>
        <v>1</v>
      </c>
      <c r="Z207" s="7">
        <f>VLOOKUP($D207,NatureChart,5,0)</f>
        <v>1</v>
      </c>
      <c r="AA207" s="84">
        <f>VLOOKUP($D207,NatureChart,6,0)</f>
        <v>1</v>
      </c>
      <c r="AB207" s="84">
        <f>IF($C207="Shedinja",1,(INT((2*VLOOKUP($C207,DexData,5,0)+INT(Q207/4)+K207)/2)+60))</f>
        <v>154</v>
      </c>
      <c r="AC207" s="84">
        <f>INT(INT((INT((2*VLOOKUP($C207,DexData,6,0)+INT(R207/4)+L207)/2)+5)*W207)*IF($E207="Choice Band",1.5,IF(OR($E207="Mawilite",$E207="Medichamite",$E207="Thick Club"),2,1)))</f>
        <v>114</v>
      </c>
      <c r="AD207" s="84">
        <f>INT(INT((INT((2*VLOOKUP($C207,DexData,7,0)+INT(S207/4)+M207)/2)+5)*X207)*IF($E207="Eviolite",1.5,1))</f>
        <v>114</v>
      </c>
      <c r="AE207" s="84">
        <f>INT(INT((INT((2*VLOOKUP($C207,DexData,9,0)+INT(T207/4)+N207)/2)+5)*Y207)*IF($E207="Choice Specs",1.5,1))</f>
        <v>64</v>
      </c>
      <c r="AF207" s="84">
        <f>INT(INT((INT((2*VLOOKUP($C207,DexData,10,0)+INT(U207/4)+O207)/2)+5)*Z207)*IF(OR($E207="Eviolite",$E207="Assault Vest"),1.5,1))</f>
        <v>68</v>
      </c>
      <c r="AG207" s="84">
        <f>INT(INT((INT((2*VLOOKUP($C207,DexData,11,0)+INT(V207/4)+P207)/2)+5)*AA207)*IF($E207="Choice Scarf",1.5,IF($E207="Iron Ball",0.5,1)))</f>
        <v>63</v>
      </c>
      <c r="AH207" s="84" t="str">
        <f>VLOOKUP(VLOOKUP($C207,DexData,3,0),Aliases!D$2:E$19,2,0)&amp;IFERROR("/"&amp;VLOOKUP(VLOOKUP($C207,DexData,4,0),Aliases!D$2:E$19,2,0),"")</f>
        <v>WTR</v>
      </c>
      <c r="AI207" s="7">
        <v>3.0</v>
      </c>
      <c r="AJ207" s="7">
        <f>IF(VLOOKUP(B207,'Set Odds'!A$2:AN$1067,40,0),1,IF(VLOOKUP(B207,'Set Odds'!A$2:AO$1067,41,0),2,0))</f>
        <v>0</v>
      </c>
      <c r="AK207" s="7"/>
      <c r="AL207" s="7" t="str">
        <f t="shared" si="1"/>
        <v/>
      </c>
    </row>
    <row r="208" ht="12.75" customHeight="1">
      <c r="A208" s="86">
        <v>207.0</v>
      </c>
      <c r="B208" s="84" t="s">
        <v>3301</v>
      </c>
      <c r="C208" s="7" t="s">
        <v>3302</v>
      </c>
      <c r="D208" s="7" t="s">
        <v>2811</v>
      </c>
      <c r="E208" s="7" t="s">
        <v>2524</v>
      </c>
      <c r="F208" s="84" t="s">
        <v>3126</v>
      </c>
      <c r="G208" s="84" t="s">
        <v>2624</v>
      </c>
      <c r="H208" s="84" t="s">
        <v>2581</v>
      </c>
      <c r="I208" s="84" t="s">
        <v>2532</v>
      </c>
      <c r="J208" s="7" t="s">
        <v>2576</v>
      </c>
      <c r="K208" s="7">
        <v>31.0</v>
      </c>
      <c r="L208" s="7">
        <v>31.0</v>
      </c>
      <c r="M208" s="7">
        <v>0.0</v>
      </c>
      <c r="N208" s="7">
        <v>0.0</v>
      </c>
      <c r="O208" s="7">
        <v>0.0</v>
      </c>
      <c r="P208" s="7">
        <v>31.0</v>
      </c>
      <c r="Q208" s="7">
        <v>108.0</v>
      </c>
      <c r="R208" s="7">
        <v>108.0</v>
      </c>
      <c r="S208" s="7">
        <v>0.0</v>
      </c>
      <c r="T208" s="7">
        <v>0.0</v>
      </c>
      <c r="U208" s="7">
        <v>0.0</v>
      </c>
      <c r="V208" s="7">
        <v>108.0</v>
      </c>
      <c r="W208" s="7">
        <f>VLOOKUP($D208,NatureChart,2,0)</f>
        <v>1</v>
      </c>
      <c r="X208" s="7">
        <f>VLOOKUP($D208,NatureChart,3,0)</f>
        <v>1.1</v>
      </c>
      <c r="Y208" s="7">
        <f>VLOOKUP($D208,NatureChart,4,0)</f>
        <v>1</v>
      </c>
      <c r="Z208" s="7">
        <f>VLOOKUP($D208,NatureChart,5,0)</f>
        <v>1</v>
      </c>
      <c r="AA208" s="84">
        <f>VLOOKUP($D208,NatureChart,6,0)</f>
        <v>0.9</v>
      </c>
      <c r="AB208" s="84">
        <f>IF($C208="Shedinja",1,(INT((2*VLOOKUP($C208,DexData,5,0)+INT(Q208/4)+K208)/2)+60))</f>
        <v>139</v>
      </c>
      <c r="AC208" s="84">
        <f>INT(INT((INT((2*VLOOKUP($C208,DexData,6,0)+INT(R208/4)+L208)/2)+5)*W208)*IF($E208="Choice Band",1.5,IF(OR($E208="Mawilite",$E208="Medichamite",$E208="Thick Club"),2,1)))</f>
        <v>99</v>
      </c>
      <c r="AD208" s="84">
        <f>INT(INT((INT((2*VLOOKUP($C208,DexData,7,0)+INT(S208/4)+M208)/2)+5)*X208)*IF($E208="Eviolite",1.5,1))</f>
        <v>55</v>
      </c>
      <c r="AE208" s="84">
        <f>INT(INT((INT((2*VLOOKUP($C208,DexData,9,0)+INT(T208/4)+N208)/2)+5)*Y208)*IF($E208="Choice Specs",1.5,1))</f>
        <v>90</v>
      </c>
      <c r="AF208" s="84">
        <f>INT(INT((INT((2*VLOOKUP($C208,DexData,10,0)+INT(U208/4)+O208)/2)+5)*Z208)*IF(OR($E208="Eviolite",$E208="Assault Vest"),1.5,1))</f>
        <v>70</v>
      </c>
      <c r="AG208" s="84">
        <f>INT(INT((INT((2*VLOOKUP($C208,DexData,11,0)+INT(V208/4)+P208)/2)+5)*AA208)*IF($E208="Choice Scarf",1.5,IF($E208="Iron Ball",0.5,1)))</f>
        <v>116</v>
      </c>
      <c r="AH208" s="84" t="str">
        <f>VLOOKUP(VLOOKUP($C208,DexData,3,0),Aliases!D$2:E$19,2,0)&amp;IFERROR("/"&amp;VLOOKUP(VLOOKUP($C208,DexData,4,0),Aliases!D$2:E$19,2,0),"")</f>
        <v>GRS</v>
      </c>
      <c r="AI208" s="7">
        <v>3.0</v>
      </c>
      <c r="AJ208" s="7">
        <f>IF(VLOOKUP(B208,'Set Odds'!A$2:AN$1067,40,0),1,IF(VLOOKUP(B208,'Set Odds'!A$2:AO$1067,41,0),2,0))</f>
        <v>0</v>
      </c>
      <c r="AK208" s="7"/>
      <c r="AL208" s="7" t="str">
        <f t="shared" si="1"/>
        <v/>
      </c>
    </row>
    <row r="209" ht="12.75" customHeight="1">
      <c r="A209" s="86">
        <v>208.0</v>
      </c>
      <c r="B209" s="84" t="s">
        <v>3303</v>
      </c>
      <c r="C209" s="7" t="s">
        <v>3304</v>
      </c>
      <c r="D209" s="7" t="s">
        <v>2599</v>
      </c>
      <c r="E209" s="7" t="s">
        <v>2579</v>
      </c>
      <c r="F209" s="84" t="s">
        <v>2831</v>
      </c>
      <c r="G209" s="84" t="s">
        <v>3151</v>
      </c>
      <c r="H209" s="84" t="s">
        <v>2602</v>
      </c>
      <c r="I209" s="84" t="s">
        <v>2620</v>
      </c>
      <c r="J209" s="7" t="s">
        <v>2584</v>
      </c>
      <c r="K209" s="7">
        <v>0.0</v>
      </c>
      <c r="L209" s="7">
        <v>31.0</v>
      </c>
      <c r="M209" s="7">
        <v>31.0</v>
      </c>
      <c r="N209" s="7">
        <v>0.0</v>
      </c>
      <c r="O209" s="7">
        <v>0.0</v>
      </c>
      <c r="P209" s="7">
        <v>31.0</v>
      </c>
      <c r="Q209" s="7">
        <v>0.0</v>
      </c>
      <c r="R209" s="7">
        <v>108.0</v>
      </c>
      <c r="S209" s="7">
        <v>108.0</v>
      </c>
      <c r="T209" s="7">
        <v>0.0</v>
      </c>
      <c r="U209" s="7">
        <v>0.0</v>
      </c>
      <c r="V209" s="7">
        <v>108.0</v>
      </c>
      <c r="W209" s="7">
        <f>VLOOKUP($D209,NatureChart,2,0)</f>
        <v>1</v>
      </c>
      <c r="X209" s="7">
        <f>VLOOKUP($D209,NatureChart,3,0)</f>
        <v>1</v>
      </c>
      <c r="Y209" s="7">
        <f>VLOOKUP($D209,NatureChart,4,0)</f>
        <v>1</v>
      </c>
      <c r="Z209" s="7">
        <f>VLOOKUP($D209,NatureChart,5,0)</f>
        <v>1</v>
      </c>
      <c r="AA209" s="84">
        <f>VLOOKUP($D209,NatureChart,6,0)</f>
        <v>1</v>
      </c>
      <c r="AB209" s="84">
        <f>IF($C209="Shedinja",1,(INT((2*VLOOKUP($C209,DexData,5,0)+INT(Q209/4)+K209)/2)+60))</f>
        <v>120</v>
      </c>
      <c r="AC209" s="84">
        <f>INT(INT((INT((2*VLOOKUP($C209,DexData,6,0)+INT(R209/4)+L209)/2)+5)*W209)*IF($E209="Choice Band",1.5,IF(OR($E209="Mawilite",$E209="Medichamite",$E209="Thick Club"),2,1)))</f>
        <v>119</v>
      </c>
      <c r="AD209" s="84">
        <f>INT(INT((INT((2*VLOOKUP($C209,DexData,7,0)+INT(S209/4)+M209)/2)+5)*X209)*IF($E209="Eviolite",1.5,1))</f>
        <v>94</v>
      </c>
      <c r="AE209" s="84">
        <f>INT(INT((INT((2*VLOOKUP($C209,DexData,9,0)+INT(T209/4)+N209)/2)+5)*Y209)*IF($E209="Choice Specs",1.5,1))</f>
        <v>90</v>
      </c>
      <c r="AF209" s="84">
        <f>INT(INT((INT((2*VLOOKUP($C209,DexData,10,0)+INT(U209/4)+O209)/2)+5)*Z209)*IF(OR($E209="Eviolite",$E209="Assault Vest"),1.5,1))</f>
        <v>65</v>
      </c>
      <c r="AG209" s="84">
        <f>INT(INT((INT((2*VLOOKUP($C209,DexData,11,0)+INT(V209/4)+P209)/2)+5)*AA209)*IF($E209="Choice Scarf",1.5,IF($E209="Iron Ball",0.5,1)))</f>
        <v>89</v>
      </c>
      <c r="AH209" s="84" t="str">
        <f>VLOOKUP(VLOOKUP($C209,DexData,3,0),Aliases!D$2:E$19,2,0)&amp;IFERROR("/"&amp;VLOOKUP(VLOOKUP($C209,DexData,4,0),Aliases!D$2:E$19,2,0),"")</f>
        <v>FIR/FTG</v>
      </c>
      <c r="AI209" s="7">
        <v>3.0</v>
      </c>
      <c r="AJ209" s="7">
        <f>IF(VLOOKUP(B209,'Set Odds'!A$2:AN$1067,40,0),1,IF(VLOOKUP(B209,'Set Odds'!A$2:AO$1067,41,0),2,0))</f>
        <v>0</v>
      </c>
      <c r="AK209" s="7"/>
      <c r="AL209" s="7" t="str">
        <f t="shared" si="1"/>
        <v/>
      </c>
    </row>
    <row r="210" ht="12.75" customHeight="1">
      <c r="A210" s="86">
        <v>209.0</v>
      </c>
      <c r="B210" s="84" t="s">
        <v>3305</v>
      </c>
      <c r="C210" s="7" t="s">
        <v>3306</v>
      </c>
      <c r="D210" s="7" t="s">
        <v>2795</v>
      </c>
      <c r="E210" s="7" t="s">
        <v>2520</v>
      </c>
      <c r="F210" s="84" t="s">
        <v>2976</v>
      </c>
      <c r="G210" s="84" t="s">
        <v>3117</v>
      </c>
      <c r="H210" s="84" t="s">
        <v>2751</v>
      </c>
      <c r="I210" s="84" t="s">
        <v>2782</v>
      </c>
      <c r="J210" s="7" t="s">
        <v>2590</v>
      </c>
      <c r="K210" s="7">
        <v>31.0</v>
      </c>
      <c r="L210" s="7">
        <v>31.0</v>
      </c>
      <c r="M210" s="7">
        <v>0.0</v>
      </c>
      <c r="N210" s="7">
        <v>31.0</v>
      </c>
      <c r="O210" s="7">
        <v>0.0</v>
      </c>
      <c r="P210" s="7">
        <v>0.0</v>
      </c>
      <c r="Q210" s="7">
        <v>108.0</v>
      </c>
      <c r="R210" s="7">
        <v>108.0</v>
      </c>
      <c r="S210" s="7">
        <v>0.0</v>
      </c>
      <c r="T210" s="7">
        <v>108.0</v>
      </c>
      <c r="U210" s="7">
        <v>0.0</v>
      </c>
      <c r="V210" s="7">
        <v>0.0</v>
      </c>
      <c r="W210" s="7">
        <f>VLOOKUP($D210,NatureChart,2,0)</f>
        <v>1</v>
      </c>
      <c r="X210" s="7">
        <f>VLOOKUP($D210,NatureChart,3,0)</f>
        <v>1</v>
      </c>
      <c r="Y210" s="7">
        <f>VLOOKUP($D210,NatureChart,4,0)</f>
        <v>1</v>
      </c>
      <c r="Z210" s="7">
        <f>VLOOKUP($D210,NatureChart,5,0)</f>
        <v>1</v>
      </c>
      <c r="AA210" s="84">
        <f>VLOOKUP($D210,NatureChart,6,0)</f>
        <v>1</v>
      </c>
      <c r="AB210" s="84">
        <f>IF($C210="Shedinja",1,(INT((2*VLOOKUP($C210,DexData,5,0)+INT(Q210/4)+K210)/2)+60))</f>
        <v>159</v>
      </c>
      <c r="AC210" s="84">
        <f>INT(INT((INT((2*VLOOKUP($C210,DexData,6,0)+INT(R210/4)+L210)/2)+5)*W210)*IF($E210="Choice Band",1.5,IF(OR($E210="Mawilite",$E210="Medichamite",$E210="Thick Club"),2,1)))</f>
        <v>119</v>
      </c>
      <c r="AD210" s="84">
        <f>INT(INT((INT((2*VLOOKUP($C210,DexData,7,0)+INT(S210/4)+M210)/2)+5)*X210)*IF($E210="Eviolite",1.5,1))</f>
        <v>75</v>
      </c>
      <c r="AE210" s="84">
        <f>INT(INT((INT((2*VLOOKUP($C210,DexData,9,0)+INT(T210/4)+N210)/2)+5)*Y210)*IF($E210="Choice Specs",1.5,1))</f>
        <v>94</v>
      </c>
      <c r="AF210" s="84">
        <f>INT(INT((INT((2*VLOOKUP($C210,DexData,10,0)+INT(U210/4)+O210)/2)+5)*Z210)*IF(OR($E210="Eviolite",$E210="Assault Vest"),1.5,1))</f>
        <v>75</v>
      </c>
      <c r="AG210" s="84">
        <f>INT(INT((INT((2*VLOOKUP($C210,DexData,11,0)+INT(V210/4)+P210)/2)+5)*AA210)*IF($E210="Choice Scarf",1.5,IF($E210="Iron Ball",0.5,1)))</f>
        <v>55</v>
      </c>
      <c r="AH210" s="84" t="str">
        <f>VLOOKUP(VLOOKUP($C210,DexData,3,0),Aliases!D$2:E$19,2,0)&amp;IFERROR("/"&amp;VLOOKUP(VLOOKUP($C210,DexData,4,0),Aliases!D$2:E$19,2,0),"")</f>
        <v>WTR/GRD</v>
      </c>
      <c r="AI210" s="7">
        <v>3.0</v>
      </c>
      <c r="AJ210" s="7">
        <f>IF(VLOOKUP(B210,'Set Odds'!A$2:AN$1067,40,0),1,IF(VLOOKUP(B210,'Set Odds'!A$2:AO$1067,41,0),2,0))</f>
        <v>0</v>
      </c>
      <c r="AK210" s="7"/>
      <c r="AL210" s="7" t="str">
        <f t="shared" si="1"/>
        <v/>
      </c>
    </row>
    <row r="211" ht="12.75" customHeight="1">
      <c r="A211" s="86">
        <v>210.0</v>
      </c>
      <c r="B211" s="84" t="s">
        <v>3307</v>
      </c>
      <c r="C211" s="7" t="s">
        <v>3308</v>
      </c>
      <c r="D211" s="7" t="s">
        <v>2795</v>
      </c>
      <c r="E211" s="7" t="s">
        <v>2612</v>
      </c>
      <c r="F211" s="84" t="s">
        <v>2613</v>
      </c>
      <c r="G211" s="84" t="s">
        <v>2588</v>
      </c>
      <c r="H211" s="84" t="s">
        <v>2575</v>
      </c>
      <c r="I211" s="84" t="s">
        <v>2856</v>
      </c>
      <c r="J211" s="7" t="s">
        <v>2576</v>
      </c>
      <c r="K211" s="7">
        <v>31.0</v>
      </c>
      <c r="L211" s="7">
        <v>0.0</v>
      </c>
      <c r="M211" s="7">
        <v>0.0</v>
      </c>
      <c r="N211" s="7">
        <v>31.0</v>
      </c>
      <c r="O211" s="7">
        <v>0.0</v>
      </c>
      <c r="P211" s="7">
        <v>31.0</v>
      </c>
      <c r="Q211" s="7">
        <v>108.0</v>
      </c>
      <c r="R211" s="7">
        <v>0.0</v>
      </c>
      <c r="S211" s="7">
        <v>0.0</v>
      </c>
      <c r="T211" s="7">
        <v>108.0</v>
      </c>
      <c r="U211" s="7">
        <v>0.0</v>
      </c>
      <c r="V211" s="7">
        <v>108.0</v>
      </c>
      <c r="W211" s="7">
        <f>VLOOKUP($D211,NatureChart,2,0)</f>
        <v>1</v>
      </c>
      <c r="X211" s="7">
        <f>VLOOKUP($D211,NatureChart,3,0)</f>
        <v>1</v>
      </c>
      <c r="Y211" s="7">
        <f>VLOOKUP($D211,NatureChart,4,0)</f>
        <v>1</v>
      </c>
      <c r="Z211" s="7">
        <f>VLOOKUP($D211,NatureChart,5,0)</f>
        <v>1</v>
      </c>
      <c r="AA211" s="84">
        <f>VLOOKUP($D211,NatureChart,6,0)</f>
        <v>1</v>
      </c>
      <c r="AB211" s="84">
        <f>IF($C211="Shedinja",1,(INT((2*VLOOKUP($C211,DexData,5,0)+INT(Q211/4)+K211)/2)+60))</f>
        <v>164</v>
      </c>
      <c r="AC211" s="84">
        <f>INT(INT((INT((2*VLOOKUP($C211,DexData,6,0)+INT(R211/4)+L211)/2)+5)*W211)*IF($E211="Choice Band",1.5,IF(OR($E211="Mawilite",$E211="Medichamite",$E211="Thick Club"),2,1)))</f>
        <v>94</v>
      </c>
      <c r="AD211" s="84">
        <f>INT(INT((INT((2*VLOOKUP($C211,DexData,7,0)+INT(S211/4)+M211)/2)+5)*X211)*IF($E211="Eviolite",1.5,1))</f>
        <v>90</v>
      </c>
      <c r="AE211" s="84">
        <f>INT(INT((INT((2*VLOOKUP($C211,DexData,9,0)+INT(T211/4)+N211)/2)+5)*Y211)*IF($E211="Choice Specs",1.5,1))</f>
        <v>89</v>
      </c>
      <c r="AF211" s="84">
        <f>INT(INT((INT((2*VLOOKUP($C211,DexData,10,0)+INT(U211/4)+O211)/2)+5)*Z211)*IF(OR($E211="Eviolite",$E211="Assault Vest"),1.5,1))</f>
        <v>70</v>
      </c>
      <c r="AG211" s="84">
        <f>INT(INT((INT((2*VLOOKUP($C211,DexData,11,0)+INT(V211/4)+P211)/2)+5)*AA211)*IF($E211="Choice Scarf",1.5,IF($E211="Iron Ball",0.5,1)))</f>
        <v>70</v>
      </c>
      <c r="AH211" s="84" t="str">
        <f>VLOOKUP(VLOOKUP($C211,DexData,3,0),Aliases!D$2:E$19,2,0)&amp;IFERROR("/"&amp;VLOOKUP(VLOOKUP($C211,DexData,4,0),Aliases!D$2:E$19,2,0),"")</f>
        <v>GRS</v>
      </c>
      <c r="AI211" s="7">
        <v>3.0</v>
      </c>
      <c r="AJ211" s="7">
        <f>IF(VLOOKUP(B211,'Set Odds'!A$2:AN$1067,40,0),1,IF(VLOOKUP(B211,'Set Odds'!A$2:AO$1067,41,0),2,0))</f>
        <v>0</v>
      </c>
      <c r="AK211" s="7"/>
      <c r="AL211" s="7" t="str">
        <f t="shared" si="1"/>
        <v/>
      </c>
    </row>
    <row r="212" ht="12.75" customHeight="1">
      <c r="A212" s="86">
        <v>211.0</v>
      </c>
      <c r="B212" s="84" t="s">
        <v>3309</v>
      </c>
      <c r="C212" s="7" t="s">
        <v>3310</v>
      </c>
      <c r="D212" s="7" t="s">
        <v>2795</v>
      </c>
      <c r="E212" s="7" t="s">
        <v>3311</v>
      </c>
      <c r="F212" s="84" t="s">
        <v>3312</v>
      </c>
      <c r="G212" s="84" t="s">
        <v>3313</v>
      </c>
      <c r="H212" s="84" t="s">
        <v>3062</v>
      </c>
      <c r="I212" s="84" t="s">
        <v>3314</v>
      </c>
      <c r="J212" s="7" t="s">
        <v>2584</v>
      </c>
      <c r="K212" s="7">
        <v>31.0</v>
      </c>
      <c r="L212" s="7">
        <v>31.0</v>
      </c>
      <c r="M212" s="7">
        <v>0.0</v>
      </c>
      <c r="N212" s="7">
        <v>0.0</v>
      </c>
      <c r="O212" s="7">
        <v>0.0</v>
      </c>
      <c r="P212" s="7">
        <v>31.0</v>
      </c>
      <c r="Q212" s="7">
        <v>108.0</v>
      </c>
      <c r="R212" s="7">
        <v>108.0</v>
      </c>
      <c r="S212" s="7">
        <v>0.0</v>
      </c>
      <c r="T212" s="7">
        <v>0.0</v>
      </c>
      <c r="U212" s="7">
        <v>0.0</v>
      </c>
      <c r="V212" s="7">
        <v>108.0</v>
      </c>
      <c r="W212" s="7">
        <f>VLOOKUP($D212,NatureChart,2,0)</f>
        <v>1</v>
      </c>
      <c r="X212" s="7">
        <f>VLOOKUP($D212,NatureChart,3,0)</f>
        <v>1</v>
      </c>
      <c r="Y212" s="7">
        <f>VLOOKUP($D212,NatureChart,4,0)</f>
        <v>1</v>
      </c>
      <c r="Z212" s="7">
        <f>VLOOKUP($D212,NatureChart,5,0)</f>
        <v>1</v>
      </c>
      <c r="AA212" s="84">
        <f>VLOOKUP($D212,NatureChart,6,0)</f>
        <v>1</v>
      </c>
      <c r="AB212" s="84">
        <f>IF($C212="Shedinja",1,(INT((2*VLOOKUP($C212,DexData,5,0)+INT(Q212/4)+K212)/2)+60))</f>
        <v>153</v>
      </c>
      <c r="AC212" s="84">
        <f>INT(INT((INT((2*VLOOKUP($C212,DexData,6,0)+INT(R212/4)+L212)/2)+5)*W212)*IF($E212="Choice Band",1.5,IF(OR($E212="Mawilite",$E212="Medichamite",$E212="Thick Club"),2,1)))</f>
        <v>112</v>
      </c>
      <c r="AD212" s="84">
        <f>INT(INT((INT((2*VLOOKUP($C212,DexData,7,0)+INT(S212/4)+M212)/2)+5)*X212)*IF($E212="Eviolite",1.5,1))</f>
        <v>57</v>
      </c>
      <c r="AE212" s="84">
        <f>INT(INT((INT((2*VLOOKUP($C212,DexData,9,0)+INT(T212/4)+N212)/2)+5)*Y212)*IF($E212="Choice Specs",1.5,1))</f>
        <v>83</v>
      </c>
      <c r="AF212" s="84">
        <f>INT(INT((INT((2*VLOOKUP($C212,DexData,10,0)+INT(U212/4)+O212)/2)+5)*Z212)*IF(OR($E212="Eviolite",$E212="Assault Vest"),1.5,1))</f>
        <v>57</v>
      </c>
      <c r="AG212" s="84">
        <f>INT(INT((INT((2*VLOOKUP($C212,DexData,11,0)+INT(V212/4)+P212)/2)+5)*AA212)*IF($E212="Choice Scarf",1.5,IF($E212="Iron Ball",0.5,1)))</f>
        <v>115</v>
      </c>
      <c r="AH212" s="84" t="str">
        <f>VLOOKUP(VLOOKUP($C212,DexData,3,0),Aliases!D$2:E$19,2,0)&amp;IFERROR("/"&amp;VLOOKUP(VLOOKUP($C212,DexData,4,0),Aliases!D$2:E$19,2,0),"")</f>
        <v>FIR/FTG</v>
      </c>
      <c r="AI212" s="7">
        <v>3.0</v>
      </c>
      <c r="AJ212" s="7">
        <f>IF(VLOOKUP(B212,'Set Odds'!A$2:AN$1067,40,0),1,IF(VLOOKUP(B212,'Set Odds'!A$2:AO$1067,41,0),2,0))</f>
        <v>0</v>
      </c>
      <c r="AK212" s="7"/>
      <c r="AL212" s="7" t="str">
        <f t="shared" si="1"/>
        <v/>
      </c>
    </row>
    <row r="213" ht="12.75" customHeight="1">
      <c r="A213" s="86">
        <v>212.0</v>
      </c>
      <c r="B213" s="84" t="s">
        <v>3315</v>
      </c>
      <c r="C213" s="7" t="s">
        <v>3316</v>
      </c>
      <c r="D213" s="7" t="s">
        <v>2605</v>
      </c>
      <c r="E213" s="7" t="s">
        <v>2642</v>
      </c>
      <c r="F213" s="84" t="s">
        <v>3245</v>
      </c>
      <c r="G213" s="84" t="s">
        <v>2887</v>
      </c>
      <c r="H213" s="84" t="s">
        <v>2644</v>
      </c>
      <c r="I213" s="84" t="s">
        <v>2532</v>
      </c>
      <c r="J213" s="7" t="s">
        <v>2590</v>
      </c>
      <c r="K213" s="7">
        <v>31.0</v>
      </c>
      <c r="L213" s="7">
        <v>31.0</v>
      </c>
      <c r="M213" s="7">
        <v>0.0</v>
      </c>
      <c r="N213" s="7">
        <v>0.0</v>
      </c>
      <c r="O213" s="7">
        <v>0.0</v>
      </c>
      <c r="P213" s="7">
        <v>31.0</v>
      </c>
      <c r="Q213" s="7">
        <v>108.0</v>
      </c>
      <c r="R213" s="7">
        <v>108.0</v>
      </c>
      <c r="S213" s="7">
        <v>0.0</v>
      </c>
      <c r="T213" s="7">
        <v>0.0</v>
      </c>
      <c r="U213" s="7">
        <v>0.0</v>
      </c>
      <c r="V213" s="7">
        <v>108.0</v>
      </c>
      <c r="W213" s="7">
        <f>VLOOKUP($D213,NatureChart,2,0)</f>
        <v>1</v>
      </c>
      <c r="X213" s="7">
        <f>VLOOKUP($D213,NatureChart,3,0)</f>
        <v>1</v>
      </c>
      <c r="Y213" s="7">
        <f>VLOOKUP($D213,NatureChart,4,0)</f>
        <v>1</v>
      </c>
      <c r="Z213" s="7">
        <f>VLOOKUP($D213,NatureChart,5,0)</f>
        <v>1</v>
      </c>
      <c r="AA213" s="84">
        <f>VLOOKUP($D213,NatureChart,6,0)</f>
        <v>1</v>
      </c>
      <c r="AB213" s="84">
        <f>IF($C213="Shedinja",1,(INT((2*VLOOKUP($C213,DexData,5,0)+INT(Q213/4)+K213)/2)+60))</f>
        <v>153</v>
      </c>
      <c r="AC213" s="84">
        <f>INT(INT((INT((2*VLOOKUP($C213,DexData,6,0)+INT(R213/4)+L213)/2)+5)*W213)*IF($E213="Choice Band",1.5,IF(OR($E213="Mawilite",$E213="Medichamite",$E213="Thick Club"),2,1)))</f>
        <v>100</v>
      </c>
      <c r="AD213" s="84">
        <f>INT(INT((INT((2*VLOOKUP($C213,DexData,7,0)+INT(S213/4)+M213)/2)+5)*X213)*IF($E213="Eviolite",1.5,1))</f>
        <v>73</v>
      </c>
      <c r="AE213" s="84">
        <f>INT(INT((INT((2*VLOOKUP($C213,DexData,9,0)+INT(T213/4)+N213)/2)+5)*Y213)*IF($E213="Choice Specs",1.5,1))</f>
        <v>86</v>
      </c>
      <c r="AF213" s="84">
        <f>INT(INT((INT((2*VLOOKUP($C213,DexData,10,0)+INT(U213/4)+O213)/2)+5)*Z213)*IF(OR($E213="Eviolite",$E213="Assault Vest"),1.5,1))</f>
        <v>81</v>
      </c>
      <c r="AG213" s="84">
        <f>INT(INT((INT((2*VLOOKUP($C213,DexData,11,0)+INT(V213/4)+P213)/2)+5)*AA213)*IF($E213="Choice Scarf",1.5,IF($E213="Iron Ball",0.5,1)))</f>
        <v>84</v>
      </c>
      <c r="AH213" s="84" t="str">
        <f>VLOOKUP(VLOOKUP($C213,DexData,3,0),Aliases!D$2:E$19,2,0)&amp;IFERROR("/"&amp;VLOOKUP(VLOOKUP($C213,DexData,4,0),Aliases!D$2:E$19,2,0),"")</f>
        <v>WTR</v>
      </c>
      <c r="AI213" s="7">
        <v>3.0</v>
      </c>
      <c r="AJ213" s="7">
        <f>IF(VLOOKUP(B213,'Set Odds'!A$2:AN$1067,40,0),1,IF(VLOOKUP(B213,'Set Odds'!A$2:AO$1067,41,0),2,0))</f>
        <v>0</v>
      </c>
      <c r="AK213" s="7"/>
      <c r="AL213" s="7" t="str">
        <f t="shared" si="1"/>
        <v/>
      </c>
    </row>
    <row r="214" ht="12.75" customHeight="1">
      <c r="A214" s="86">
        <v>213.0</v>
      </c>
      <c r="B214" s="84" t="s">
        <v>3317</v>
      </c>
      <c r="C214" s="7" t="s">
        <v>3318</v>
      </c>
      <c r="D214" s="7" t="s">
        <v>2795</v>
      </c>
      <c r="E214" s="7" t="s">
        <v>3165</v>
      </c>
      <c r="F214" s="84" t="s">
        <v>2625</v>
      </c>
      <c r="G214" s="84" t="s">
        <v>3319</v>
      </c>
      <c r="H214" s="84" t="s">
        <v>2752</v>
      </c>
      <c r="I214" s="84" t="s">
        <v>3320</v>
      </c>
      <c r="J214" s="7" t="s">
        <v>2792</v>
      </c>
      <c r="K214" s="7">
        <v>31.0</v>
      </c>
      <c r="L214" s="7">
        <v>31.0</v>
      </c>
      <c r="M214" s="7">
        <v>0.0</v>
      </c>
      <c r="N214" s="7">
        <v>0.0</v>
      </c>
      <c r="O214" s="7">
        <v>0.0</v>
      </c>
      <c r="P214" s="7">
        <v>31.0</v>
      </c>
      <c r="Q214" s="7">
        <v>108.0</v>
      </c>
      <c r="R214" s="7">
        <v>108.0</v>
      </c>
      <c r="S214" s="7">
        <v>0.0</v>
      </c>
      <c r="T214" s="7">
        <v>0.0</v>
      </c>
      <c r="U214" s="7">
        <v>0.0</v>
      </c>
      <c r="V214" s="7">
        <v>108.0</v>
      </c>
      <c r="W214" s="7">
        <f>VLOOKUP($D214,NatureChart,2,0)</f>
        <v>1</v>
      </c>
      <c r="X214" s="7">
        <f>VLOOKUP($D214,NatureChart,3,0)</f>
        <v>1</v>
      </c>
      <c r="Y214" s="7">
        <f>VLOOKUP($D214,NatureChart,4,0)</f>
        <v>1</v>
      </c>
      <c r="Z214" s="7">
        <f>VLOOKUP($D214,NatureChart,5,0)</f>
        <v>1</v>
      </c>
      <c r="AA214" s="84">
        <f>VLOOKUP($D214,NatureChart,6,0)</f>
        <v>1</v>
      </c>
      <c r="AB214" s="84">
        <f>IF($C214="Shedinja",1,(INT((2*VLOOKUP($C214,DexData,5,0)+INT(Q214/4)+K214)/2)+60))</f>
        <v>159</v>
      </c>
      <c r="AC214" s="84">
        <f>INT(INT((INT((2*VLOOKUP($C214,DexData,6,0)+INT(R214/4)+L214)/2)+5)*W214)*IF($E214="Choice Band",1.5,IF(OR($E214="Mawilite",$E214="Medichamite",$E214="Thick Club"),2,1)))</f>
        <v>134</v>
      </c>
      <c r="AD214" s="84">
        <f>INT(INT((INT((2*VLOOKUP($C214,DexData,7,0)+INT(S214/4)+M214)/2)+5)*X214)*IF($E214="Eviolite",1.5,1))</f>
        <v>120</v>
      </c>
      <c r="AE214" s="84">
        <f>INT(INT((INT((2*VLOOKUP($C214,DexData,9,0)+INT(T214/4)+N214)/2)+5)*Y214)*IF($E214="Choice Specs",1.5,1))</f>
        <v>35</v>
      </c>
      <c r="AF214" s="84">
        <f>INT(INT((INT((2*VLOOKUP($C214,DexData,10,0)+INT(U214/4)+O214)/2)+5)*Z214)*IF(OR($E214="Eviolite",$E214="Assault Vest"),1.5,1))</f>
        <v>70</v>
      </c>
      <c r="AG214" s="84">
        <f>INT(INT((INT((2*VLOOKUP($C214,DexData,11,0)+INT(V214/4)+P214)/2)+5)*AA214)*IF($E214="Choice Scarf",1.5,IF($E214="Iron Ball",0.5,1)))</f>
        <v>64</v>
      </c>
      <c r="AH214" s="84" t="str">
        <f>VLOOKUP(VLOOKUP($C214,DexData,3,0),Aliases!D$2:E$19,2,0)&amp;IFERROR("/"&amp;VLOOKUP(VLOOKUP($C214,DexData,4,0),Aliases!D$2:E$19,2,0),"")</f>
        <v>RCK</v>
      </c>
      <c r="AI214" s="7">
        <v>3.0</v>
      </c>
      <c r="AJ214" s="7">
        <f>IF(VLOOKUP(B214,'Set Odds'!A$2:AN$1067,40,0),1,IF(VLOOKUP(B214,'Set Odds'!A$2:AO$1067,41,0),2,0))</f>
        <v>0</v>
      </c>
      <c r="AK214" s="7"/>
      <c r="AL214" s="7" t="str">
        <f t="shared" si="1"/>
        <v/>
      </c>
    </row>
    <row r="215" ht="12.75" customHeight="1">
      <c r="A215" s="86">
        <v>214.0</v>
      </c>
      <c r="B215" s="84" t="s">
        <v>3321</v>
      </c>
      <c r="C215" s="7" t="s">
        <v>3322</v>
      </c>
      <c r="D215" s="7" t="s">
        <v>3289</v>
      </c>
      <c r="E215" s="7" t="s">
        <v>2528</v>
      </c>
      <c r="F215" s="84" t="s">
        <v>2625</v>
      </c>
      <c r="G215" s="84" t="s">
        <v>2831</v>
      </c>
      <c r="H215" s="84" t="s">
        <v>2972</v>
      </c>
      <c r="I215" s="84" t="s">
        <v>2752</v>
      </c>
      <c r="J215" s="7" t="s">
        <v>3162</v>
      </c>
      <c r="K215" s="7">
        <v>31.0</v>
      </c>
      <c r="L215" s="7">
        <v>31.0</v>
      </c>
      <c r="M215" s="7">
        <v>0.0</v>
      </c>
      <c r="N215" s="7">
        <v>31.0</v>
      </c>
      <c r="O215" s="7">
        <v>0.0</v>
      </c>
      <c r="P215" s="7">
        <v>0.0</v>
      </c>
      <c r="Q215" s="7">
        <v>108.0</v>
      </c>
      <c r="R215" s="7">
        <v>108.0</v>
      </c>
      <c r="S215" s="7">
        <v>0.0</v>
      </c>
      <c r="T215" s="7">
        <v>108.0</v>
      </c>
      <c r="U215" s="7">
        <v>0.0</v>
      </c>
      <c r="V215" s="7">
        <v>0.0</v>
      </c>
      <c r="W215" s="7">
        <f>VLOOKUP($D215,NatureChart,2,0)</f>
        <v>1</v>
      </c>
      <c r="X215" s="7">
        <f>VLOOKUP($D215,NatureChart,3,0)</f>
        <v>0.9</v>
      </c>
      <c r="Y215" s="7">
        <f>VLOOKUP($D215,NatureChart,4,0)</f>
        <v>1</v>
      </c>
      <c r="Z215" s="7">
        <f>VLOOKUP($D215,NatureChart,5,0)</f>
        <v>1.1</v>
      </c>
      <c r="AA215" s="84">
        <f>VLOOKUP($D215,NatureChart,6,0)</f>
        <v>1</v>
      </c>
      <c r="AB215" s="84">
        <f>IF($C215="Shedinja",1,(INT((2*VLOOKUP($C215,DexData,5,0)+INT(Q215/4)+K215)/2)+60))</f>
        <v>149</v>
      </c>
      <c r="AC215" s="84">
        <f>INT(INT((INT((2*VLOOKUP($C215,DexData,6,0)+INT(R215/4)+L215)/2)+5)*W215)*IF($E215="Choice Band",1.5,IF(OR($E215="Mawilite",$E215="Medichamite",$E215="Thick Club"),2,1)))</f>
        <v>84</v>
      </c>
      <c r="AD215" s="84">
        <f>INT(INT((INT((2*VLOOKUP($C215,DexData,7,0)+INT(S215/4)+M215)/2)+5)*X215)*IF($E215="Eviolite",1.5,1))</f>
        <v>112</v>
      </c>
      <c r="AE215" s="84">
        <f>INT(INT((INT((2*VLOOKUP($C215,DexData,9,0)+INT(T215/4)+N215)/2)+5)*Y215)*IF($E215="Choice Specs",1.5,1))</f>
        <v>124</v>
      </c>
      <c r="AF215" s="84">
        <f>INT(INT((INT((2*VLOOKUP($C215,DexData,10,0)+INT(U215/4)+O215)/2)+5)*Z215)*IF(OR($E215="Eviolite",$E215="Assault Vest"),1.5,1))</f>
        <v>93</v>
      </c>
      <c r="AG215" s="84">
        <f>INT(INT((INT((2*VLOOKUP($C215,DexData,11,0)+INT(V215/4)+P215)/2)+5)*AA215)*IF($E215="Choice Scarf",1.5,IF($E215="Iron Ball",0.5,1)))</f>
        <v>35</v>
      </c>
      <c r="AH215" s="84" t="str">
        <f>VLOOKUP(VLOOKUP($C215,DexData,3,0),Aliases!D$2:E$19,2,0)&amp;IFERROR("/"&amp;VLOOKUP(VLOOKUP($C215,DexData,4,0),Aliases!D$2:E$19,2,0),"")</f>
        <v>FIR/RCK</v>
      </c>
      <c r="AI215" s="7">
        <v>3.0</v>
      </c>
      <c r="AJ215" s="7">
        <f>IF(VLOOKUP(B215,'Set Odds'!A$2:AN$1067,40,0),1,IF(VLOOKUP(B215,'Set Odds'!A$2:AO$1067,41,0),2,0))</f>
        <v>0</v>
      </c>
      <c r="AK215" s="7"/>
      <c r="AL215" s="7" t="str">
        <f t="shared" si="1"/>
        <v/>
      </c>
    </row>
    <row r="216" ht="12.75" customHeight="1">
      <c r="A216" s="86">
        <v>215.0</v>
      </c>
      <c r="B216" s="84" t="s">
        <v>3323</v>
      </c>
      <c r="C216" s="7" t="s">
        <v>3324</v>
      </c>
      <c r="D216" s="7" t="s">
        <v>2571</v>
      </c>
      <c r="E216" s="7" t="s">
        <v>2750</v>
      </c>
      <c r="F216" s="84" t="s">
        <v>2626</v>
      </c>
      <c r="G216" s="84" t="s">
        <v>2588</v>
      </c>
      <c r="H216" s="84" t="s">
        <v>2583</v>
      </c>
      <c r="I216" s="84" t="s">
        <v>2752</v>
      </c>
      <c r="J216" s="7" t="s">
        <v>2653</v>
      </c>
      <c r="K216" s="7">
        <v>31.0</v>
      </c>
      <c r="L216" s="7">
        <v>31.0</v>
      </c>
      <c r="M216" s="7">
        <v>31.0</v>
      </c>
      <c r="N216" s="7">
        <v>0.0</v>
      </c>
      <c r="O216" s="7">
        <v>0.0</v>
      </c>
      <c r="P216" s="7">
        <v>0.0</v>
      </c>
      <c r="Q216" s="7">
        <v>108.0</v>
      </c>
      <c r="R216" s="7">
        <v>108.0</v>
      </c>
      <c r="S216" s="7">
        <v>108.0</v>
      </c>
      <c r="T216" s="7">
        <v>0.0</v>
      </c>
      <c r="U216" s="7">
        <v>0.0</v>
      </c>
      <c r="V216" s="7">
        <v>0.0</v>
      </c>
      <c r="W216" s="7">
        <f>VLOOKUP($D216,NatureChart,2,0)</f>
        <v>1.1</v>
      </c>
      <c r="X216" s="7">
        <f>VLOOKUP($D216,NatureChart,3,0)</f>
        <v>1</v>
      </c>
      <c r="Y216" s="7">
        <f>VLOOKUP($D216,NatureChart,4,0)</f>
        <v>0.9</v>
      </c>
      <c r="Z216" s="7">
        <f>VLOOKUP($D216,NatureChart,5,0)</f>
        <v>1</v>
      </c>
      <c r="AA216" s="84">
        <f>VLOOKUP($D216,NatureChart,6,0)</f>
        <v>1</v>
      </c>
      <c r="AB216" s="84">
        <f>IF($C216="Shedinja",1,(INT((2*VLOOKUP($C216,DexData,5,0)+INT(Q216/4)+K216)/2)+60))</f>
        <v>159</v>
      </c>
      <c r="AC216" s="84">
        <f>INT(INT((INT((2*VLOOKUP($C216,DexData,6,0)+INT(R216/4)+L216)/2)+5)*W216)*IF($E216="Choice Band",1.5,IF(OR($E216="Mawilite",$E216="Medichamite",$E216="Thick Club"),2,1)))</f>
        <v>129</v>
      </c>
      <c r="AD216" s="84">
        <f>INT(INT((INT((2*VLOOKUP($C216,DexData,7,0)+INT(S216/4)+M216)/2)+5)*X216)*IF($E216="Eviolite",1.5,1))</f>
        <v>104</v>
      </c>
      <c r="AE216" s="84">
        <f>INT(INT((INT((2*VLOOKUP($C216,DexData,9,0)+INT(T216/4)+N216)/2)+5)*Y216)*IF($E216="Choice Specs",1.5,1))</f>
        <v>63</v>
      </c>
      <c r="AF216" s="84">
        <f>INT(INT((INT((2*VLOOKUP($C216,DexData,10,0)+INT(U216/4)+O216)/2)+5)*Z216)*IF(OR($E216="Eviolite",$E216="Assault Vest"),1.5,1))</f>
        <v>75</v>
      </c>
      <c r="AG216" s="84">
        <f>INT(INT((INT((2*VLOOKUP($C216,DexData,11,0)+INT(V216/4)+P216)/2)+5)*AA216)*IF($E216="Choice Scarf",1.5,IF($E216="Iron Ball",0.5,1)))</f>
        <v>56</v>
      </c>
      <c r="AH216" s="84" t="str">
        <f>VLOOKUP(VLOOKUP($C216,DexData,3,0),Aliases!D$2:E$19,2,0)&amp;IFERROR("/"&amp;VLOOKUP(VLOOKUP($C216,DexData,4,0),Aliases!D$2:E$19,2,0),"")</f>
        <v>RCK/GRD</v>
      </c>
      <c r="AI216" s="7">
        <v>3.0</v>
      </c>
      <c r="AJ216" s="7">
        <f>IF(VLOOKUP(B216,'Set Odds'!A$2:AN$1067,40,0),1,IF(VLOOKUP(B216,'Set Odds'!A$2:AO$1067,41,0),2,0))</f>
        <v>0</v>
      </c>
      <c r="AK216" s="7"/>
      <c r="AL216" s="7" t="str">
        <f t="shared" si="1"/>
        <v/>
      </c>
    </row>
    <row r="217" ht="12.75" customHeight="1">
      <c r="A217" s="86">
        <v>216.0</v>
      </c>
      <c r="B217" s="84" t="s">
        <v>3325</v>
      </c>
      <c r="C217" s="7" t="s">
        <v>3326</v>
      </c>
      <c r="D217" s="7" t="s">
        <v>2811</v>
      </c>
      <c r="E217" s="7" t="s">
        <v>3046</v>
      </c>
      <c r="F217" s="84" t="s">
        <v>3047</v>
      </c>
      <c r="G217" s="84" t="s">
        <v>3010</v>
      </c>
      <c r="H217" s="84" t="s">
        <v>3327</v>
      </c>
      <c r="I217" s="84" t="s">
        <v>2841</v>
      </c>
      <c r="J217" s="7" t="s">
        <v>3328</v>
      </c>
      <c r="K217" s="7">
        <v>31.0</v>
      </c>
      <c r="L217" s="7">
        <v>0.0</v>
      </c>
      <c r="M217" s="7">
        <v>31.0</v>
      </c>
      <c r="N217" s="7">
        <v>0.0</v>
      </c>
      <c r="O217" s="7">
        <v>31.0</v>
      </c>
      <c r="P217" s="7">
        <v>0.0</v>
      </c>
      <c r="Q217" s="7">
        <v>108.0</v>
      </c>
      <c r="R217" s="7">
        <v>0.0</v>
      </c>
      <c r="S217" s="7">
        <v>108.0</v>
      </c>
      <c r="T217" s="7">
        <v>0.0</v>
      </c>
      <c r="U217" s="7">
        <v>108.0</v>
      </c>
      <c r="V217" s="7">
        <v>0.0</v>
      </c>
      <c r="W217" s="7">
        <f>VLOOKUP($D217,NatureChart,2,0)</f>
        <v>1</v>
      </c>
      <c r="X217" s="7">
        <f>VLOOKUP($D217,NatureChart,3,0)</f>
        <v>1.1</v>
      </c>
      <c r="Y217" s="7">
        <f>VLOOKUP($D217,NatureChart,4,0)</f>
        <v>1</v>
      </c>
      <c r="Z217" s="7">
        <f>VLOOKUP($D217,NatureChart,5,0)</f>
        <v>1</v>
      </c>
      <c r="AA217" s="84">
        <f>VLOOKUP($D217,NatureChart,6,0)</f>
        <v>0.9</v>
      </c>
      <c r="AB217" s="84">
        <f>IF($C217="Shedinja",1,(INT((2*VLOOKUP($C217,DexData,5,0)+INT(Q217/4)+K217)/2)+60))</f>
        <v>179</v>
      </c>
      <c r="AC217" s="84">
        <f>INT(INT((INT((2*VLOOKUP($C217,DexData,6,0)+INT(R217/4)+L217)/2)+5)*W217)*IF($E217="Choice Band",1.5,IF(OR($E217="Mawilite",$E217="Medichamite",$E217="Thick Club"),2,1)))</f>
        <v>65</v>
      </c>
      <c r="AD217" s="84">
        <f>INT(INT((INT((2*VLOOKUP($C217,DexData,7,0)+INT(S217/4)+M217)/2)+5)*X217)*IF($E217="Eviolite",1.5,1))</f>
        <v>114</v>
      </c>
      <c r="AE217" s="84">
        <f>INT(INT((INT((2*VLOOKUP($C217,DexData,9,0)+INT(T217/4)+N217)/2)+5)*Y217)*IF($E217="Choice Specs",1.5,1))</f>
        <v>80</v>
      </c>
      <c r="AF217" s="84">
        <f>INT(INT((INT((2*VLOOKUP($C217,DexData,10,0)+INT(U217/4)+O217)/2)+5)*Z217)*IF(OR($E217="Eviolite",$E217="Assault Vest"),1.5,1))</f>
        <v>104</v>
      </c>
      <c r="AG217" s="84">
        <f>INT(INT((INT((2*VLOOKUP($C217,DexData,11,0)+INT(V217/4)+P217)/2)+5)*AA217)*IF($E217="Choice Scarf",1.5,IF($E217="Iron Ball",0.5,1)))</f>
        <v>45</v>
      </c>
      <c r="AH217" s="84" t="str">
        <f>VLOOKUP(VLOOKUP($C217,DexData,3,0),Aliases!D$2:E$19,2,0)&amp;IFERROR("/"&amp;VLOOKUP(VLOOKUP($C217,DexData,4,0),Aliases!D$2:E$19,2,0),"")</f>
        <v>ICE/WTR</v>
      </c>
      <c r="AI217" s="7">
        <v>3.0</v>
      </c>
      <c r="AJ217" s="7">
        <f>IF(VLOOKUP(B217,'Set Odds'!A$2:AN$1067,40,0),1,IF(VLOOKUP(B217,'Set Odds'!A$2:AO$1067,41,0),2,0))</f>
        <v>0</v>
      </c>
      <c r="AK217" s="7"/>
      <c r="AL217" s="7" t="str">
        <f t="shared" si="1"/>
        <v/>
      </c>
    </row>
    <row r="218" ht="12.75" customHeight="1">
      <c r="A218" s="86">
        <v>217.0</v>
      </c>
      <c r="B218" s="84" t="s">
        <v>3329</v>
      </c>
      <c r="C218" s="7" t="s">
        <v>3330</v>
      </c>
      <c r="D218" s="7" t="s">
        <v>2571</v>
      </c>
      <c r="E218" s="7" t="s">
        <v>2894</v>
      </c>
      <c r="F218" s="84" t="s">
        <v>2895</v>
      </c>
      <c r="G218" s="84" t="s">
        <v>2867</v>
      </c>
      <c r="H218" s="84" t="s">
        <v>2869</v>
      </c>
      <c r="I218" s="84" t="s">
        <v>2688</v>
      </c>
      <c r="J218" s="7" t="s">
        <v>2689</v>
      </c>
      <c r="K218" s="7">
        <v>31.0</v>
      </c>
      <c r="L218" s="7">
        <v>31.0</v>
      </c>
      <c r="M218" s="7">
        <v>31.0</v>
      </c>
      <c r="N218" s="7">
        <v>0.0</v>
      </c>
      <c r="O218" s="7">
        <v>0.0</v>
      </c>
      <c r="P218" s="7">
        <v>0.0</v>
      </c>
      <c r="Q218" s="7">
        <v>108.0</v>
      </c>
      <c r="R218" s="7">
        <v>108.0</v>
      </c>
      <c r="S218" s="7">
        <v>108.0</v>
      </c>
      <c r="T218" s="7">
        <v>0.0</v>
      </c>
      <c r="U218" s="7">
        <v>0.0</v>
      </c>
      <c r="V218" s="7">
        <v>0.0</v>
      </c>
      <c r="W218" s="7">
        <f>VLOOKUP($D218,NatureChart,2,0)</f>
        <v>1.1</v>
      </c>
      <c r="X218" s="7">
        <f>VLOOKUP($D218,NatureChart,3,0)</f>
        <v>1</v>
      </c>
      <c r="Y218" s="7">
        <f>VLOOKUP($D218,NatureChart,4,0)</f>
        <v>0.9</v>
      </c>
      <c r="Z218" s="7">
        <f>VLOOKUP($D218,NatureChart,5,0)</f>
        <v>1</v>
      </c>
      <c r="AA218" s="84">
        <f>VLOOKUP($D218,NatureChart,6,0)</f>
        <v>1</v>
      </c>
      <c r="AB218" s="84">
        <f>IF($C218="Shedinja",1,(INT((2*VLOOKUP($C218,DexData,5,0)+INT(Q218/4)+K218)/2)+60))</f>
        <v>168</v>
      </c>
      <c r="AC218" s="84">
        <f>INT(INT((INT((2*VLOOKUP($C218,DexData,6,0)+INT(R218/4)+L218)/2)+5)*W218)*IF($E218="Choice Band",1.5,IF(OR($E218="Mawilite",$E218="Medichamite",$E218="Thick Club"),2,1)))</f>
        <v>130</v>
      </c>
      <c r="AD218" s="84">
        <f>INT(INT((INT((2*VLOOKUP($C218,DexData,7,0)+INT(S218/4)+M218)/2)+5)*X218)*IF($E218="Eviolite",1.5,1))</f>
        <v>94</v>
      </c>
      <c r="AE218" s="84">
        <f>INT(INT((INT((2*VLOOKUP($C218,DexData,9,0)+INT(T218/4)+N218)/2)+5)*Y218)*IF($E218="Choice Specs",1.5,1))</f>
        <v>54</v>
      </c>
      <c r="AF218" s="84">
        <f>INT(INT((INT((2*VLOOKUP($C218,DexData,10,0)+INT(U218/4)+O218)/2)+5)*Z218)*IF(OR($E218="Eviolite",$E218="Assault Vest"),1.5,1))</f>
        <v>65</v>
      </c>
      <c r="AG218" s="84">
        <f>INT(INT((INT((2*VLOOKUP($C218,DexData,11,0)+INT(V218/4)+P218)/2)+5)*AA218)*IF($E218="Choice Scarf",1.5,IF($E218="Iron Ball",0.5,1)))</f>
        <v>76</v>
      </c>
      <c r="AH218" s="84" t="str">
        <f>VLOOKUP(VLOOKUP($C218,DexData,3,0),Aliases!D$2:E$19,2,0)&amp;IFERROR("/"&amp;VLOOKUP(VLOOKUP($C218,DexData,4,0),Aliases!D$2:E$19,2,0),"")</f>
        <v>NRM/WTR</v>
      </c>
      <c r="AI218" s="7">
        <v>3.0</v>
      </c>
      <c r="AJ218" s="7">
        <f>IF(VLOOKUP(B218,'Set Odds'!A$2:AN$1067,40,0),1,IF(VLOOKUP(B218,'Set Odds'!A$2:AO$1067,41,0),2,0))</f>
        <v>0</v>
      </c>
      <c r="AK218" s="7"/>
      <c r="AL218" s="7" t="str">
        <f t="shared" si="1"/>
        <v/>
      </c>
    </row>
    <row r="219" ht="12.75" customHeight="1">
      <c r="A219" s="86">
        <v>218.0</v>
      </c>
      <c r="B219" s="84" t="s">
        <v>3331</v>
      </c>
      <c r="C219" s="7" t="s">
        <v>3332</v>
      </c>
      <c r="D219" s="7" t="s">
        <v>2795</v>
      </c>
      <c r="E219" s="7" t="s">
        <v>3071</v>
      </c>
      <c r="F219" s="84" t="s">
        <v>2801</v>
      </c>
      <c r="G219" s="84" t="s">
        <v>2573</v>
      </c>
      <c r="H219" s="84" t="s">
        <v>2620</v>
      </c>
      <c r="I219" s="84" t="s">
        <v>2694</v>
      </c>
      <c r="J219" s="7" t="s">
        <v>2803</v>
      </c>
      <c r="K219" s="7">
        <v>31.0</v>
      </c>
      <c r="L219" s="7">
        <v>31.0</v>
      </c>
      <c r="M219" s="7">
        <v>0.0</v>
      </c>
      <c r="N219" s="7">
        <v>0.0</v>
      </c>
      <c r="O219" s="7">
        <v>0.0</v>
      </c>
      <c r="P219" s="7">
        <v>31.0</v>
      </c>
      <c r="Q219" s="7">
        <v>108.0</v>
      </c>
      <c r="R219" s="7">
        <v>108.0</v>
      </c>
      <c r="S219" s="7">
        <v>0.0</v>
      </c>
      <c r="T219" s="7">
        <v>0.0</v>
      </c>
      <c r="U219" s="7">
        <v>0.0</v>
      </c>
      <c r="V219" s="7">
        <v>108.0</v>
      </c>
      <c r="W219" s="7">
        <f>VLOOKUP($D219,NatureChart,2,0)</f>
        <v>1</v>
      </c>
      <c r="X219" s="7">
        <f>VLOOKUP($D219,NatureChart,3,0)</f>
        <v>1</v>
      </c>
      <c r="Y219" s="7">
        <f>VLOOKUP($D219,NatureChart,4,0)</f>
        <v>1</v>
      </c>
      <c r="Z219" s="7">
        <f>VLOOKUP($D219,NatureChart,5,0)</f>
        <v>1</v>
      </c>
      <c r="AA219" s="84">
        <f>VLOOKUP($D219,NatureChart,6,0)</f>
        <v>1</v>
      </c>
      <c r="AB219" s="84">
        <f>IF($C219="Shedinja",1,(INT((2*VLOOKUP($C219,DexData,5,0)+INT(Q219/4)+K219)/2)+60))</f>
        <v>157</v>
      </c>
      <c r="AC219" s="84">
        <f>INT(INT((INT((2*VLOOKUP($C219,DexData,6,0)+INT(R219/4)+L219)/2)+5)*W219)*IF($E219="Choice Band",1.5,IF(OR($E219="Mawilite",$E219="Medichamite",$E219="Thick Club"),2,1)))</f>
        <v>124</v>
      </c>
      <c r="AD219" s="84">
        <f>INT(INT((INT((2*VLOOKUP($C219,DexData,7,0)+INT(S219/4)+M219)/2)+5)*X219)*IF($E219="Eviolite",1.5,1))</f>
        <v>70</v>
      </c>
      <c r="AE219" s="84">
        <f>INT(INT((INT((2*VLOOKUP($C219,DexData,9,0)+INT(T219/4)+N219)/2)+5)*Y219)*IF($E219="Choice Specs",1.5,1))</f>
        <v>55</v>
      </c>
      <c r="AF219" s="84">
        <f>INT(INT((INT((2*VLOOKUP($C219,DexData,10,0)+INT(U219/4)+O219)/2)+5)*Z219)*IF(OR($E219="Eviolite",$E219="Assault Vest"),1.5,1))</f>
        <v>60</v>
      </c>
      <c r="AG219" s="84">
        <f>INT(INT((INT((2*VLOOKUP($C219,DexData,11,0)+INT(V219/4)+P219)/2)+5)*AA219)*IF($E219="Choice Scarf",1.5,IF($E219="Iron Ball",0.5,1)))</f>
        <v>116</v>
      </c>
      <c r="AH219" s="84" t="str">
        <f>VLOOKUP(VLOOKUP($C219,DexData,3,0),Aliases!D$2:E$19,2,0)&amp;IFERROR("/"&amp;VLOOKUP(VLOOKUP($C219,DexData,4,0),Aliases!D$2:E$19,2,0),"")</f>
        <v>DRG/GRD</v>
      </c>
      <c r="AI219" s="7">
        <v>3.0</v>
      </c>
      <c r="AJ219" s="7">
        <f>IF(VLOOKUP(B219,'Set Odds'!A$2:AN$1067,40,0),1,IF(VLOOKUP(B219,'Set Odds'!A$2:AO$1067,41,0),2,0))</f>
        <v>0</v>
      </c>
      <c r="AK219" s="7"/>
      <c r="AL219" s="7" t="str">
        <f t="shared" si="1"/>
        <v/>
      </c>
    </row>
    <row r="220" ht="12.75" customHeight="1">
      <c r="A220" s="86">
        <v>219.0</v>
      </c>
      <c r="B220" s="84" t="s">
        <v>3333</v>
      </c>
      <c r="C220" s="7" t="s">
        <v>3334</v>
      </c>
      <c r="D220" s="7" t="s">
        <v>2605</v>
      </c>
      <c r="E220" s="7" t="s">
        <v>3071</v>
      </c>
      <c r="F220" s="84" t="s">
        <v>3335</v>
      </c>
      <c r="G220" s="84" t="s">
        <v>3062</v>
      </c>
      <c r="H220" s="84" t="s">
        <v>2822</v>
      </c>
      <c r="I220" s="84" t="s">
        <v>3314</v>
      </c>
      <c r="J220" s="7" t="s">
        <v>3097</v>
      </c>
      <c r="K220" s="7">
        <v>31.0</v>
      </c>
      <c r="L220" s="7">
        <v>0.0</v>
      </c>
      <c r="M220" s="7">
        <v>0.0</v>
      </c>
      <c r="N220" s="7">
        <v>31.0</v>
      </c>
      <c r="O220" s="7">
        <v>0.0</v>
      </c>
      <c r="P220" s="7">
        <v>31.0</v>
      </c>
      <c r="Q220" s="7">
        <v>108.0</v>
      </c>
      <c r="R220" s="7">
        <v>0.0</v>
      </c>
      <c r="S220" s="7">
        <v>0.0</v>
      </c>
      <c r="T220" s="7">
        <v>108.0</v>
      </c>
      <c r="U220" s="7">
        <v>0.0</v>
      </c>
      <c r="V220" s="7">
        <v>108.0</v>
      </c>
      <c r="W220" s="7">
        <f>VLOOKUP($D220,NatureChart,2,0)</f>
        <v>1</v>
      </c>
      <c r="X220" s="7">
        <f>VLOOKUP($D220,NatureChart,3,0)</f>
        <v>1</v>
      </c>
      <c r="Y220" s="7">
        <f>VLOOKUP($D220,NatureChart,4,0)</f>
        <v>1</v>
      </c>
      <c r="Z220" s="7">
        <f>VLOOKUP($D220,NatureChart,5,0)</f>
        <v>1</v>
      </c>
      <c r="AA220" s="84">
        <f>VLOOKUP($D220,NatureChart,6,0)</f>
        <v>1</v>
      </c>
      <c r="AB220" s="84">
        <f>IF($C220="Shedinja",1,(INT((2*VLOOKUP($C220,DexData,5,0)+INT(Q220/4)+K220)/2)+60))</f>
        <v>165</v>
      </c>
      <c r="AC220" s="84">
        <f>INT(INT((INT((2*VLOOKUP($C220,DexData,6,0)+INT(R220/4)+L220)/2)+5)*W220)*IF($E220="Choice Band",1.5,IF(OR($E220="Mawilite",$E220="Medichamite",$E220="Thick Club"),2,1)))</f>
        <v>70</v>
      </c>
      <c r="AD220" s="84">
        <f>INT(INT((INT((2*VLOOKUP($C220,DexData,7,0)+INT(S220/4)+M220)/2)+5)*X220)*IF($E220="Eviolite",1.5,1))</f>
        <v>50</v>
      </c>
      <c r="AE220" s="84">
        <f>INT(INT((INT((2*VLOOKUP($C220,DexData,9,0)+INT(T220/4)+N220)/2)+5)*Y220)*IF($E220="Choice Specs",1.5,1))</f>
        <v>126</v>
      </c>
      <c r="AF220" s="84">
        <f>INT(INT((INT((2*VLOOKUP($C220,DexData,10,0)+INT(U220/4)+O220)/2)+5)*Z220)*IF(OR($E220="Eviolite",$E220="Assault Vest"),1.5,1))</f>
        <v>47</v>
      </c>
      <c r="AG220" s="84">
        <f>INT(INT((INT((2*VLOOKUP($C220,DexData,11,0)+INT(V220/4)+P220)/2)+5)*AA220)*IF($E220="Choice Scarf",1.5,IF($E220="Iron Ball",0.5,1)))</f>
        <v>125</v>
      </c>
      <c r="AH220" s="84" t="str">
        <f>VLOOKUP(VLOOKUP($C220,DexData,3,0),Aliases!D$2:E$19,2,0)&amp;IFERROR("/"&amp;VLOOKUP(VLOOKUP($C220,DexData,4,0),Aliases!D$2:E$19,2,0),"")</f>
        <v>NRM/FLY</v>
      </c>
      <c r="AI220" s="7">
        <v>3.0</v>
      </c>
      <c r="AJ220" s="7">
        <f>IF(VLOOKUP(B220,'Set Odds'!A$2:AN$1067,40,0),1,IF(VLOOKUP(B220,'Set Odds'!A$2:AO$1067,41,0),2,0))</f>
        <v>0</v>
      </c>
      <c r="AK220" s="7"/>
      <c r="AL220" s="7" t="str">
        <f t="shared" si="1"/>
        <v/>
      </c>
    </row>
    <row r="221" ht="12.75" customHeight="1">
      <c r="A221" s="86">
        <v>220.0</v>
      </c>
      <c r="B221" s="84" t="s">
        <v>3336</v>
      </c>
      <c r="C221" s="7" t="s">
        <v>3337</v>
      </c>
      <c r="D221" s="7" t="s">
        <v>3134</v>
      </c>
      <c r="E221" s="7" t="s">
        <v>3129</v>
      </c>
      <c r="F221" s="84" t="s">
        <v>2624</v>
      </c>
      <c r="G221" s="84" t="s">
        <v>3338</v>
      </c>
      <c r="H221" s="84" t="s">
        <v>2583</v>
      </c>
      <c r="I221" s="84" t="s">
        <v>2602</v>
      </c>
      <c r="J221" s="7" t="s">
        <v>2777</v>
      </c>
      <c r="K221" s="7">
        <v>31.0</v>
      </c>
      <c r="L221" s="7">
        <v>31.0</v>
      </c>
      <c r="M221" s="7">
        <v>0.0</v>
      </c>
      <c r="N221" s="7">
        <v>0.0</v>
      </c>
      <c r="O221" s="7">
        <v>0.0</v>
      </c>
      <c r="P221" s="7">
        <v>31.0</v>
      </c>
      <c r="Q221" s="7">
        <v>108.0</v>
      </c>
      <c r="R221" s="7">
        <v>108.0</v>
      </c>
      <c r="S221" s="7">
        <v>0.0</v>
      </c>
      <c r="T221" s="7">
        <v>0.0</v>
      </c>
      <c r="U221" s="7">
        <v>0.0</v>
      </c>
      <c r="V221" s="7">
        <v>108.0</v>
      </c>
      <c r="W221" s="7">
        <f>VLOOKUP($D221,NatureChart,2,0)</f>
        <v>1</v>
      </c>
      <c r="X221" s="7">
        <f>VLOOKUP($D221,NatureChart,3,0)</f>
        <v>1</v>
      </c>
      <c r="Y221" s="7">
        <f>VLOOKUP($D221,NatureChart,4,0)</f>
        <v>1</v>
      </c>
      <c r="Z221" s="7">
        <f>VLOOKUP($D221,NatureChart,5,0)</f>
        <v>0.9</v>
      </c>
      <c r="AA221" s="84">
        <f>VLOOKUP($D221,NatureChart,6,0)</f>
        <v>1.1</v>
      </c>
      <c r="AB221" s="84">
        <f>IF($C221="Shedinja",1,(INT((2*VLOOKUP($C221,DexData,5,0)+INT(Q221/4)+K221)/2)+60))</f>
        <v>144</v>
      </c>
      <c r="AC221" s="84">
        <f>INT(INT((INT((2*VLOOKUP($C221,DexData,6,0)+INT(R221/4)+L221)/2)+5)*W221)*IF($E221="Choice Band",1.5,IF(OR($E221="Mawilite",$E221="Medichamite",$E221="Thick Club"),2,1)))</f>
        <v>115</v>
      </c>
      <c r="AD221" s="84">
        <f>INT(INT((INT((2*VLOOKUP($C221,DexData,7,0)+INT(S221/4)+M221)/2)+5)*X221)*IF($E221="Eviolite",1.5,1))</f>
        <v>65</v>
      </c>
      <c r="AE221" s="84">
        <f>INT(INT((INT((2*VLOOKUP($C221,DexData,9,0)+INT(T221/4)+N221)/2)+5)*Y221)*IF($E221="Choice Specs",1.5,1))</f>
        <v>55</v>
      </c>
      <c r="AF221" s="84">
        <f>INT(INT((INT((2*VLOOKUP($C221,DexData,10,0)+INT(U221/4)+O221)/2)+5)*Z221)*IF(OR($E221="Eviolite",$E221="Assault Vest"),1.5,1))</f>
        <v>67</v>
      </c>
      <c r="AG221" s="84">
        <f>INT(INT((INT((2*VLOOKUP($C221,DexData,11,0)+INT(V221/4)+P221)/2)+5)*AA221)*IF($E221="Choice Scarf",1.5,IF($E221="Iron Ball",0.5,1)))</f>
        <v>144</v>
      </c>
      <c r="AH221" s="84" t="str">
        <f>VLOOKUP(VLOOKUP($C221,DexData,3,0),Aliases!D$2:E$19,2,0)&amp;IFERROR("/"&amp;VLOOKUP(VLOOKUP($C221,DexData,4,0),Aliases!D$2:E$19,2,0),"")</f>
        <v>NRM</v>
      </c>
      <c r="AI221" s="7">
        <v>3.0</v>
      </c>
      <c r="AJ221" s="7">
        <f>IF(VLOOKUP(B221,'Set Odds'!A$2:AN$1067,40,0),1,IF(VLOOKUP(B221,'Set Odds'!A$2:AO$1067,41,0),2,0))</f>
        <v>0</v>
      </c>
      <c r="AK221" s="7"/>
      <c r="AL221" s="7" t="str">
        <f t="shared" si="1"/>
        <v/>
      </c>
    </row>
    <row r="222" ht="12.75" customHeight="1">
      <c r="A222" s="86">
        <v>221.0</v>
      </c>
      <c r="B222" s="84" t="s">
        <v>3339</v>
      </c>
      <c r="C222" s="7" t="s">
        <v>3340</v>
      </c>
      <c r="D222" s="7" t="s">
        <v>2635</v>
      </c>
      <c r="E222" s="7" t="s">
        <v>2636</v>
      </c>
      <c r="F222" s="84" t="s">
        <v>3341</v>
      </c>
      <c r="G222" s="84" t="s">
        <v>3091</v>
      </c>
      <c r="H222" s="84" t="s">
        <v>3186</v>
      </c>
      <c r="I222" s="84" t="s">
        <v>2705</v>
      </c>
      <c r="J222" s="7" t="s">
        <v>2696</v>
      </c>
      <c r="K222" s="7">
        <v>31.0</v>
      </c>
      <c r="L222" s="7">
        <v>0.0</v>
      </c>
      <c r="M222" s="7">
        <v>0.0</v>
      </c>
      <c r="N222" s="7">
        <v>31.0</v>
      </c>
      <c r="O222" s="7">
        <v>0.0</v>
      </c>
      <c r="P222" s="7">
        <v>31.0</v>
      </c>
      <c r="Q222" s="7">
        <v>108.0</v>
      </c>
      <c r="R222" s="7">
        <v>0.0</v>
      </c>
      <c r="S222" s="7">
        <v>0.0</v>
      </c>
      <c r="T222" s="7">
        <v>108.0</v>
      </c>
      <c r="U222" s="7">
        <v>0.0</v>
      </c>
      <c r="V222" s="7">
        <v>108.0</v>
      </c>
      <c r="W222" s="7">
        <f>VLOOKUP($D222,NatureChart,2,0)</f>
        <v>0.9</v>
      </c>
      <c r="X222" s="7">
        <f>VLOOKUP($D222,NatureChart,3,0)</f>
        <v>1</v>
      </c>
      <c r="Y222" s="7">
        <f>VLOOKUP($D222,NatureChart,4,0)</f>
        <v>1</v>
      </c>
      <c r="Z222" s="7">
        <f>VLOOKUP($D222,NatureChart,5,0)</f>
        <v>1</v>
      </c>
      <c r="AA222" s="84">
        <f>VLOOKUP($D222,NatureChart,6,0)</f>
        <v>1.1</v>
      </c>
      <c r="AB222" s="84">
        <f>IF($C222="Shedinja",1,(INT((2*VLOOKUP($C222,DexData,5,0)+INT(Q222/4)+K222)/2)+60))</f>
        <v>159</v>
      </c>
      <c r="AC222" s="84">
        <f>INT(INT((INT((2*VLOOKUP($C222,DexData,6,0)+INT(R222/4)+L222)/2)+5)*W222)*IF($E222="Choice Band",1.5,IF(OR($E222="Mawilite",$E222="Medichamite",$E222="Thick Club"),2,1)))</f>
        <v>58</v>
      </c>
      <c r="AD222" s="84">
        <f>INT(INT((INT((2*VLOOKUP($C222,DexData,7,0)+INT(S222/4)+M222)/2)+5)*X222)*IF($E222="Eviolite",1.5,1))</f>
        <v>67</v>
      </c>
      <c r="AE222" s="84">
        <f>INT(INT((INT((2*VLOOKUP($C222,DexData,9,0)+INT(T222/4)+N222)/2)+5)*Y222)*IF($E222="Choice Specs",1.5,1))</f>
        <v>134</v>
      </c>
      <c r="AF222" s="84">
        <f>INT(INT((INT((2*VLOOKUP($C222,DexData,10,0)+INT(U222/4)+O222)/2)+5)*Z222)*IF(OR($E222="Eviolite",$E222="Assault Vest"),1.5,1))</f>
        <v>87</v>
      </c>
      <c r="AG222" s="84">
        <f>INT(INT((INT((2*VLOOKUP($C222,DexData,11,0)+INT(V222/4)+P222)/2)+5)*AA222)*IF($E222="Choice Scarf",1.5,IF($E222="Iron Ball",0.5,1)))</f>
        <v>125</v>
      </c>
      <c r="AH222" s="84" t="str">
        <f>VLOOKUP(VLOOKUP($C222,DexData,3,0),Aliases!D$2:E$19,2,0)&amp;IFERROR("/"&amp;VLOOKUP(VLOOKUP($C222,DexData,4,0),Aliases!D$2:E$19,2,0),"")</f>
        <v>BUG/FLY</v>
      </c>
      <c r="AI222" s="7">
        <v>3.0</v>
      </c>
      <c r="AJ222" s="7">
        <f>IF(VLOOKUP(B222,'Set Odds'!A$2:AN$1067,40,0),1,IF(VLOOKUP(B222,'Set Odds'!A$2:AO$1067,41,0),2,0))</f>
        <v>0</v>
      </c>
      <c r="AK222" s="7"/>
      <c r="AL222" s="7" t="str">
        <f t="shared" si="1"/>
        <v/>
      </c>
    </row>
    <row r="223" ht="12.75" customHeight="1">
      <c r="A223" s="86">
        <v>222.0</v>
      </c>
      <c r="B223" s="84" t="s">
        <v>3342</v>
      </c>
      <c r="C223" s="7" t="s">
        <v>3343</v>
      </c>
      <c r="D223" s="7" t="s">
        <v>3344</v>
      </c>
      <c r="E223" s="7" t="s">
        <v>2790</v>
      </c>
      <c r="F223" s="84" t="s">
        <v>3197</v>
      </c>
      <c r="G223" s="84" t="s">
        <v>2517</v>
      </c>
      <c r="H223" s="84" t="s">
        <v>3236</v>
      </c>
      <c r="I223" s="84" t="s">
        <v>3261</v>
      </c>
      <c r="J223" s="7" t="s">
        <v>2677</v>
      </c>
      <c r="K223" s="7">
        <v>31.0</v>
      </c>
      <c r="L223" s="7">
        <v>31.0</v>
      </c>
      <c r="M223" s="7">
        <v>0.0</v>
      </c>
      <c r="N223" s="7">
        <v>0.0</v>
      </c>
      <c r="O223" s="7">
        <v>0.0</v>
      </c>
      <c r="P223" s="7">
        <v>31.0</v>
      </c>
      <c r="Q223" s="7">
        <v>108.0</v>
      </c>
      <c r="R223" s="7">
        <v>108.0</v>
      </c>
      <c r="S223" s="7">
        <v>0.0</v>
      </c>
      <c r="T223" s="7">
        <v>0.0</v>
      </c>
      <c r="U223" s="7">
        <v>0.0</v>
      </c>
      <c r="V223" s="7">
        <v>108.0</v>
      </c>
      <c r="W223" s="7">
        <f>VLOOKUP($D223,NatureChart,2,0)</f>
        <v>1</v>
      </c>
      <c r="X223" s="7">
        <f>VLOOKUP($D223,NatureChart,3,0)</f>
        <v>1</v>
      </c>
      <c r="Y223" s="7">
        <f>VLOOKUP($D223,NatureChart,4,0)</f>
        <v>1</v>
      </c>
      <c r="Z223" s="7">
        <f>VLOOKUP($D223,NatureChart,5,0)</f>
        <v>1</v>
      </c>
      <c r="AA223" s="84">
        <f>VLOOKUP($D223,NatureChart,6,0)</f>
        <v>1</v>
      </c>
      <c r="AB223" s="84">
        <f>IF($C223="Shedinja",1,(INT((2*VLOOKUP($C223,DexData,5,0)+INT(Q223/4)+K223)/2)+60))</f>
        <v>174</v>
      </c>
      <c r="AC223" s="84">
        <f>INT(INT((INT((2*VLOOKUP($C223,DexData,6,0)+INT(R223/4)+L223)/2)+5)*W223)*IF($E223="Choice Band",1.5,IF(OR($E223="Mawilite",$E223="Medichamite",$E223="Thick Club"),2,1)))</f>
        <v>110</v>
      </c>
      <c r="AD223" s="84">
        <f>INT(INT((INT((2*VLOOKUP($C223,DexData,7,0)+INT(S223/4)+M223)/2)+5)*X223)*IF($E223="Eviolite",1.5,1))</f>
        <v>69</v>
      </c>
      <c r="AE223" s="84">
        <f>INT(INT((INT((2*VLOOKUP($C223,DexData,9,0)+INT(T223/4)+N223)/2)+5)*Y223)*IF($E223="Choice Specs",1.5,1))</f>
        <v>50</v>
      </c>
      <c r="AF223" s="84">
        <f>INT(INT((INT((2*VLOOKUP($C223,DexData,10,0)+INT(U223/4)+O223)/2)+5)*Z223)*IF(OR($E223="Eviolite",$E223="Assault Vest"),1.5,1))</f>
        <v>60</v>
      </c>
      <c r="AG223" s="84">
        <f>INT(INT((INT((2*VLOOKUP($C223,DexData,11,0)+INT(V223/4)+P223)/2)+5)*AA223)*IF($E223="Choice Scarf",1.5,IF($E223="Iron Ball",0.5,1)))</f>
        <v>124</v>
      </c>
      <c r="AH223" s="84" t="str">
        <f>VLOOKUP(VLOOKUP($C223,DexData,3,0),Aliases!D$2:E$19,2,0)&amp;IFERROR("/"&amp;VLOOKUP(VLOOKUP($C223,DexData,4,0),Aliases!D$2:E$19,2,0),"")</f>
        <v>NRM</v>
      </c>
      <c r="AI223" s="7">
        <v>3.0</v>
      </c>
      <c r="AJ223" s="7">
        <f>IF(VLOOKUP(B223,'Set Odds'!A$2:AN$1067,40,0),1,IF(VLOOKUP(B223,'Set Odds'!A$2:AO$1067,41,0),2,0))</f>
        <v>0</v>
      </c>
      <c r="AK223" s="7"/>
      <c r="AL223" s="7" t="str">
        <f t="shared" si="1"/>
        <v/>
      </c>
    </row>
    <row r="224" ht="12.75" customHeight="1">
      <c r="A224" s="86">
        <v>223.0</v>
      </c>
      <c r="B224" s="84" t="s">
        <v>3345</v>
      </c>
      <c r="C224" s="7" t="s">
        <v>3346</v>
      </c>
      <c r="D224" s="7" t="s">
        <v>2599</v>
      </c>
      <c r="E224" s="7" t="s">
        <v>2528</v>
      </c>
      <c r="F224" s="84" t="s">
        <v>2686</v>
      </c>
      <c r="G224" s="84" t="s">
        <v>3347</v>
      </c>
      <c r="H224" s="84" t="s">
        <v>2895</v>
      </c>
      <c r="I224" s="84" t="s">
        <v>2867</v>
      </c>
      <c r="J224" s="7" t="s">
        <v>2662</v>
      </c>
      <c r="K224" s="7">
        <v>31.0</v>
      </c>
      <c r="L224" s="7">
        <v>31.0</v>
      </c>
      <c r="M224" s="7">
        <v>31.0</v>
      </c>
      <c r="N224" s="7">
        <v>0.0</v>
      </c>
      <c r="O224" s="7">
        <v>0.0</v>
      </c>
      <c r="P224" s="7">
        <v>0.0</v>
      </c>
      <c r="Q224" s="7">
        <v>108.0</v>
      </c>
      <c r="R224" s="7">
        <v>108.0</v>
      </c>
      <c r="S224" s="7">
        <v>108.0</v>
      </c>
      <c r="T224" s="7">
        <v>0.0</v>
      </c>
      <c r="U224" s="7">
        <v>0.0</v>
      </c>
      <c r="V224" s="7">
        <v>0.0</v>
      </c>
      <c r="W224" s="7">
        <f>VLOOKUP($D224,NatureChart,2,0)</f>
        <v>1</v>
      </c>
      <c r="X224" s="7">
        <f>VLOOKUP($D224,NatureChart,3,0)</f>
        <v>1</v>
      </c>
      <c r="Y224" s="7">
        <f>VLOOKUP($D224,NatureChart,4,0)</f>
        <v>1</v>
      </c>
      <c r="Z224" s="7">
        <f>VLOOKUP($D224,NatureChart,5,0)</f>
        <v>1</v>
      </c>
      <c r="AA224" s="84">
        <f>VLOOKUP($D224,NatureChart,6,0)</f>
        <v>1</v>
      </c>
      <c r="AB224" s="84">
        <f>IF($C224="Shedinja",1,(INT((2*VLOOKUP($C224,DexData,5,0)+INT(Q224/4)+K224)/2)+60))</f>
        <v>189</v>
      </c>
      <c r="AC224" s="84">
        <f>INT(INT((INT((2*VLOOKUP($C224,DexData,6,0)+INT(R224/4)+L224)/2)+5)*W224)*IF($E224="Choice Band",1.5,IF(OR($E224="Mawilite",$E224="Medichamite",$E224="Thick Club"),2,1)))</f>
        <v>104</v>
      </c>
      <c r="AD224" s="84">
        <f>INT(INT((INT((2*VLOOKUP($C224,DexData,7,0)+INT(S224/4)+M224)/2)+5)*X224)*IF($E224="Eviolite",1.5,1))</f>
        <v>104</v>
      </c>
      <c r="AE224" s="84">
        <f>INT(INT((INT((2*VLOOKUP($C224,DexData,9,0)+INT(T224/4)+N224)/2)+5)*Y224)*IF($E224="Choice Specs",1.5,1))</f>
        <v>70</v>
      </c>
      <c r="AF224" s="84">
        <f>INT(INT((INT((2*VLOOKUP($C224,DexData,10,0)+INT(U224/4)+O224)/2)+5)*Z224)*IF(OR($E224="Eviolite",$E224="Assault Vest"),1.5,1))</f>
        <v>70</v>
      </c>
      <c r="AG224" s="84">
        <f>INT(INT((INT((2*VLOOKUP($C224,DexData,11,0)+INT(V224/4)+P224)/2)+5)*AA224)*IF($E224="Choice Scarf",1.5,IF($E224="Iron Ball",0.5,1)))</f>
        <v>50</v>
      </c>
      <c r="AH224" s="84" t="str">
        <f>VLOOKUP(VLOOKUP($C224,DexData,3,0),Aliases!D$2:E$19,2,0)&amp;IFERROR("/"&amp;VLOOKUP(VLOOKUP($C224,DexData,4,0),Aliases!D$2:E$19,2,0),"")</f>
        <v>NRM</v>
      </c>
      <c r="AI224" s="7">
        <v>3.0</v>
      </c>
      <c r="AJ224" s="7">
        <f>IF(VLOOKUP(B224,'Set Odds'!A$2:AN$1067,40,0),1,IF(VLOOKUP(B224,'Set Odds'!A$2:AO$1067,41,0),2,0))</f>
        <v>0</v>
      </c>
      <c r="AK224" s="7"/>
      <c r="AL224" s="7" t="str">
        <f t="shared" si="1"/>
        <v/>
      </c>
    </row>
    <row r="225" ht="12.75" customHeight="1">
      <c r="A225" s="86">
        <v>224.0</v>
      </c>
      <c r="B225" s="84" t="s">
        <v>3348</v>
      </c>
      <c r="C225" s="7" t="s">
        <v>3349</v>
      </c>
      <c r="D225" s="7" t="s">
        <v>2795</v>
      </c>
      <c r="E225" s="7" t="s">
        <v>3350</v>
      </c>
      <c r="F225" s="84" t="s">
        <v>3225</v>
      </c>
      <c r="G225" s="84" t="s">
        <v>3351</v>
      </c>
      <c r="H225" s="84" t="s">
        <v>2575</v>
      </c>
      <c r="I225" s="84" t="s">
        <v>2700</v>
      </c>
      <c r="J225" s="7" t="s">
        <v>3352</v>
      </c>
      <c r="K225" s="7">
        <v>31.0</v>
      </c>
      <c r="L225" s="7">
        <v>31.0</v>
      </c>
      <c r="M225" s="7">
        <v>0.0</v>
      </c>
      <c r="N225" s="7">
        <v>31.0</v>
      </c>
      <c r="O225" s="7">
        <v>0.0</v>
      </c>
      <c r="P225" s="7">
        <v>0.0</v>
      </c>
      <c r="Q225" s="7">
        <v>108.0</v>
      </c>
      <c r="R225" s="7">
        <v>108.0</v>
      </c>
      <c r="S225" s="7">
        <v>0.0</v>
      </c>
      <c r="T225" s="7">
        <v>108.0</v>
      </c>
      <c r="U225" s="7">
        <v>0.0</v>
      </c>
      <c r="V225" s="7">
        <v>0.0</v>
      </c>
      <c r="W225" s="7">
        <f>VLOOKUP($D225,NatureChart,2,0)</f>
        <v>1</v>
      </c>
      <c r="X225" s="7">
        <f>VLOOKUP($D225,NatureChart,3,0)</f>
        <v>1</v>
      </c>
      <c r="Y225" s="7">
        <f>VLOOKUP($D225,NatureChart,4,0)</f>
        <v>1</v>
      </c>
      <c r="Z225" s="7">
        <f>VLOOKUP($D225,NatureChart,5,0)</f>
        <v>1</v>
      </c>
      <c r="AA225" s="84">
        <f>VLOOKUP($D225,NatureChart,6,0)</f>
        <v>1</v>
      </c>
      <c r="AB225" s="84">
        <f>IF($C225="Shedinja",1,(INT((2*VLOOKUP($C225,DexData,5,0)+INT(Q225/4)+K225)/2)+60))</f>
        <v>159</v>
      </c>
      <c r="AC225" s="84">
        <f>INT(INT((INT((2*VLOOKUP($C225,DexData,6,0)+INT(R225/4)+L225)/2)+5)*W225)*IF($E225="Choice Band",1.5,IF(OR($E225="Mawilite",$E225="Medichamite",$E225="Thick Club"),2,1)))</f>
        <v>94</v>
      </c>
      <c r="AD225" s="84">
        <f>INT(INT((INT((2*VLOOKUP($C225,DexData,7,0)+INT(S225/4)+M225)/2)+5)*X225)*IF($E225="Eviolite",1.5,1))</f>
        <v>75</v>
      </c>
      <c r="AE225" s="84">
        <f>INT(INT((INT((2*VLOOKUP($C225,DexData,9,0)+INT(T225/4)+N225)/2)+5)*Y225)*IF($E225="Choice Specs",1.5,1))</f>
        <v>121</v>
      </c>
      <c r="AF225" s="84">
        <f>INT(INT((INT((2*VLOOKUP($C225,DexData,10,0)+INT(U225/4)+O225)/2)+5)*Z225)*IF(OR($E225="Eviolite",$E225="Assault Vest"),1.5,1))</f>
        <v>83</v>
      </c>
      <c r="AG225" s="84">
        <f>INT(INT((INT((2*VLOOKUP($C225,DexData,11,0)+INT(V225/4)+P225)/2)+5)*AA225)*IF($E225="Choice Scarf",1.5,IF($E225="Iron Ball",0.5,1)))</f>
        <v>90</v>
      </c>
      <c r="AH225" s="84" t="str">
        <f>VLOOKUP(VLOOKUP($C225,DexData,3,0),Aliases!D$2:E$19,2,0)&amp;IFERROR("/"&amp;VLOOKUP(VLOOKUP($C225,DexData,4,0),Aliases!D$2:E$19,2,0),"")</f>
        <v>GRS</v>
      </c>
      <c r="AI225" s="7">
        <v>3.0</v>
      </c>
      <c r="AJ225" s="7">
        <f>IF(VLOOKUP(B225,'Set Odds'!A$2:AN$1067,40,0),1,IF(VLOOKUP(B225,'Set Odds'!A$2:AO$1067,41,0),2,0))</f>
        <v>0</v>
      </c>
      <c r="AK225" s="7"/>
      <c r="AL225" s="7" t="str">
        <f t="shared" si="1"/>
        <v/>
      </c>
    </row>
    <row r="226" ht="12.75" customHeight="1">
      <c r="A226" s="86">
        <v>225.0</v>
      </c>
      <c r="B226" s="84" t="s">
        <v>3353</v>
      </c>
      <c r="C226" s="7" t="s">
        <v>3354</v>
      </c>
      <c r="D226" s="7" t="s">
        <v>2599</v>
      </c>
      <c r="E226" s="7" t="s">
        <v>3077</v>
      </c>
      <c r="F226" s="84" t="s">
        <v>2791</v>
      </c>
      <c r="G226" s="84" t="s">
        <v>2695</v>
      </c>
      <c r="H226" s="84" t="s">
        <v>2900</v>
      </c>
      <c r="I226" s="84" t="s">
        <v>3268</v>
      </c>
      <c r="J226" s="7" t="s">
        <v>2653</v>
      </c>
      <c r="K226" s="7">
        <v>31.0</v>
      </c>
      <c r="L226" s="7">
        <v>31.0</v>
      </c>
      <c r="M226" s="7">
        <v>0.0</v>
      </c>
      <c r="N226" s="7">
        <v>0.0</v>
      </c>
      <c r="O226" s="7">
        <v>0.0</v>
      </c>
      <c r="P226" s="7">
        <v>31.0</v>
      </c>
      <c r="Q226" s="7">
        <v>108.0</v>
      </c>
      <c r="R226" s="7">
        <v>108.0</v>
      </c>
      <c r="S226" s="7">
        <v>0.0</v>
      </c>
      <c r="T226" s="7">
        <v>0.0</v>
      </c>
      <c r="U226" s="7">
        <v>0.0</v>
      </c>
      <c r="V226" s="7">
        <v>108.0</v>
      </c>
      <c r="W226" s="7">
        <f>VLOOKUP($D226,NatureChart,2,0)</f>
        <v>1</v>
      </c>
      <c r="X226" s="7">
        <f>VLOOKUP($D226,NatureChart,3,0)</f>
        <v>1</v>
      </c>
      <c r="Y226" s="7">
        <f>VLOOKUP($D226,NatureChart,4,0)</f>
        <v>1</v>
      </c>
      <c r="Z226" s="7">
        <f>VLOOKUP($D226,NatureChart,5,0)</f>
        <v>1</v>
      </c>
      <c r="AA226" s="84">
        <f>VLOOKUP($D226,NatureChart,6,0)</f>
        <v>1</v>
      </c>
      <c r="AB226" s="84">
        <f>IF($C226="Shedinja",1,(INT((2*VLOOKUP($C226,DexData,5,0)+INT(Q226/4)+K226)/2)+60))</f>
        <v>150</v>
      </c>
      <c r="AC226" s="84">
        <f>INT(INT((INT((2*VLOOKUP($C226,DexData,6,0)+INT(R226/4)+L226)/2)+5)*W226)*IF($E226="Choice Band",1.5,IF(OR($E226="Mawilite",$E226="Medichamite",$E226="Thick Club"),2,1)))</f>
        <v>118</v>
      </c>
      <c r="AD226" s="84">
        <f>INT(INT((INT((2*VLOOKUP($C226,DexData,7,0)+INT(S226/4)+M226)/2)+5)*X226)*IF($E226="Eviolite",1.5,1))</f>
        <v>70</v>
      </c>
      <c r="AE226" s="84">
        <f>INT(INT((INT((2*VLOOKUP($C226,DexData,9,0)+INT(T226/4)+N226)/2)+5)*Y226)*IF($E226="Choice Specs",1.5,1))</f>
        <v>75</v>
      </c>
      <c r="AF226" s="84">
        <f>INT(INT((INT((2*VLOOKUP($C226,DexData,10,0)+INT(U226/4)+O226)/2)+5)*Z226)*IF(OR($E226="Eviolite",$E226="Assault Vest"),1.5,1))</f>
        <v>75</v>
      </c>
      <c r="AG226" s="84">
        <f>INT(INT((INT((2*VLOOKUP($C226,DexData,11,0)+INT(V226/4)+P226)/2)+5)*AA226)*IF($E226="Choice Scarf",1.5,IF($E226="Iron Ball",0.5,1)))</f>
        <v>104</v>
      </c>
      <c r="AH226" s="84" t="str">
        <f>VLOOKUP(VLOOKUP($C226,DexData,3,0),Aliases!D$2:E$19,2,0)&amp;IFERROR("/"&amp;VLOOKUP(VLOOKUP($C226,DexData,4,0),Aliases!D$2:E$19,2,0),"")</f>
        <v>DRG</v>
      </c>
      <c r="AI226" s="7">
        <v>3.0</v>
      </c>
      <c r="AJ226" s="7">
        <f>IF(VLOOKUP(B226,'Set Odds'!A$2:AN$1067,40,0),1,IF(VLOOKUP(B226,'Set Odds'!A$2:AO$1067,41,0),2,0))</f>
        <v>0</v>
      </c>
      <c r="AK226" s="7"/>
      <c r="AL226" s="7" t="str">
        <f t="shared" si="1"/>
        <v/>
      </c>
    </row>
    <row r="227" ht="12.75" customHeight="1">
      <c r="A227" s="86">
        <v>226.0</v>
      </c>
      <c r="B227" s="84" t="s">
        <v>3355</v>
      </c>
      <c r="C227" s="7" t="s">
        <v>3356</v>
      </c>
      <c r="D227" s="7" t="s">
        <v>2692</v>
      </c>
      <c r="E227" s="7" t="s">
        <v>2846</v>
      </c>
      <c r="F227" s="84" t="s">
        <v>2588</v>
      </c>
      <c r="G227" s="84" t="s">
        <v>3357</v>
      </c>
      <c r="H227" s="84" t="s">
        <v>2537</v>
      </c>
      <c r="I227" s="84" t="s">
        <v>2694</v>
      </c>
      <c r="J227" s="7" t="s">
        <v>2696</v>
      </c>
      <c r="K227" s="7">
        <v>31.0</v>
      </c>
      <c r="L227" s="7">
        <v>31.0</v>
      </c>
      <c r="M227" s="7">
        <v>0.0</v>
      </c>
      <c r="N227" s="7">
        <v>0.0</v>
      </c>
      <c r="O227" s="7">
        <v>0.0</v>
      </c>
      <c r="P227" s="7">
        <v>31.0</v>
      </c>
      <c r="Q227" s="7">
        <v>108.0</v>
      </c>
      <c r="R227" s="7">
        <v>108.0</v>
      </c>
      <c r="S227" s="7">
        <v>0.0</v>
      </c>
      <c r="T227" s="7">
        <v>0.0</v>
      </c>
      <c r="U227" s="7">
        <v>0.0</v>
      </c>
      <c r="V227" s="7">
        <v>108.0</v>
      </c>
      <c r="W227" s="7">
        <f>VLOOKUP($D227,NatureChart,2,0)</f>
        <v>1</v>
      </c>
      <c r="X227" s="7">
        <f>VLOOKUP($D227,NatureChart,3,0)</f>
        <v>1</v>
      </c>
      <c r="Y227" s="7">
        <f>VLOOKUP($D227,NatureChart,4,0)</f>
        <v>0.9</v>
      </c>
      <c r="Z227" s="7">
        <f>VLOOKUP($D227,NatureChart,5,0)</f>
        <v>1</v>
      </c>
      <c r="AA227" s="84">
        <f>VLOOKUP($D227,NatureChart,6,0)</f>
        <v>1.1</v>
      </c>
      <c r="AB227" s="84">
        <f>IF($C227="Shedinja",1,(INT((2*VLOOKUP($C227,DexData,5,0)+INT(Q227/4)+K227)/2)+60))</f>
        <v>159</v>
      </c>
      <c r="AC227" s="84">
        <f>INT(INT((INT((2*VLOOKUP($C227,DexData,6,0)+INT(R227/4)+L227)/2)+5)*W227)*IF($E227="Choice Band",1.5,IF(OR($E227="Mawilite",$E227="Medichamite",$E227="Thick Club"),2,1)))</f>
        <v>124</v>
      </c>
      <c r="AD227" s="84">
        <f>INT(INT((INT((2*VLOOKUP($C227,DexData,7,0)+INT(S227/4)+M227)/2)+5)*X227)*IF($E227="Eviolite",1.5,1))</f>
        <v>75</v>
      </c>
      <c r="AE227" s="84">
        <f>INT(INT((INT((2*VLOOKUP($C227,DexData,9,0)+INT(T227/4)+N227)/2)+5)*Y227)*IF($E227="Choice Specs",1.5,1))</f>
        <v>58</v>
      </c>
      <c r="AF227" s="84">
        <f>INT(INT((INT((2*VLOOKUP($C227,DexData,10,0)+INT(U227/4)+O227)/2)+5)*Z227)*IF(OR($E227="Eviolite",$E227="Assault Vest"),1.5,1))</f>
        <v>65</v>
      </c>
      <c r="AG227" s="84">
        <f>INT(INT((INT((2*VLOOKUP($C227,DexData,11,0)+INT(V227/4)+P227)/2)+5)*AA227)*IF($E227="Choice Scarf",1.5,IF($E227="Iron Ball",0.5,1)))</f>
        <v>114</v>
      </c>
      <c r="AH227" s="84" t="str">
        <f>VLOOKUP(VLOOKUP($C227,DexData,3,0),Aliases!D$2:E$19,2,0)&amp;IFERROR("/"&amp;VLOOKUP(VLOOKUP($C227,DexData,4,0),Aliases!D$2:E$19,2,0),"")</f>
        <v>DRK</v>
      </c>
      <c r="AI227" s="7">
        <v>3.0</v>
      </c>
      <c r="AJ227" s="7">
        <f>IF(VLOOKUP(B227,'Set Odds'!A$2:AN$1067,40,0),1,IF(VLOOKUP(B227,'Set Odds'!A$2:AO$1067,41,0),2,0))</f>
        <v>0</v>
      </c>
      <c r="AK227" s="7"/>
      <c r="AL227" s="7" t="str">
        <f t="shared" si="1"/>
        <v/>
      </c>
    </row>
    <row r="228" ht="12.75" customHeight="1">
      <c r="A228" s="86">
        <v>227.0</v>
      </c>
      <c r="B228" s="84" t="s">
        <v>3358</v>
      </c>
      <c r="C228" s="7" t="s">
        <v>3359</v>
      </c>
      <c r="D228" s="7" t="s">
        <v>2571</v>
      </c>
      <c r="E228" s="7" t="s">
        <v>2636</v>
      </c>
      <c r="F228" s="84" t="s">
        <v>3360</v>
      </c>
      <c r="G228" s="84" t="s">
        <v>2620</v>
      </c>
      <c r="H228" s="84" t="s">
        <v>3361</v>
      </c>
      <c r="I228" s="84" t="s">
        <v>3118</v>
      </c>
      <c r="J228" s="7" t="s">
        <v>3207</v>
      </c>
      <c r="K228" s="7">
        <v>31.0</v>
      </c>
      <c r="L228" s="7">
        <v>31.0</v>
      </c>
      <c r="M228" s="7">
        <v>0.0</v>
      </c>
      <c r="N228" s="7">
        <v>0.0</v>
      </c>
      <c r="O228" s="7">
        <v>0.0</v>
      </c>
      <c r="P228" s="7">
        <v>31.0</v>
      </c>
      <c r="Q228" s="7">
        <v>108.0</v>
      </c>
      <c r="R228" s="7">
        <v>108.0</v>
      </c>
      <c r="S228" s="7">
        <v>0.0</v>
      </c>
      <c r="T228" s="7">
        <v>0.0</v>
      </c>
      <c r="U228" s="7">
        <v>0.0</v>
      </c>
      <c r="V228" s="7">
        <v>108.0</v>
      </c>
      <c r="W228" s="7">
        <f>VLOOKUP($D228,NatureChart,2,0)</f>
        <v>1.1</v>
      </c>
      <c r="X228" s="7">
        <f>VLOOKUP($D228,NatureChart,3,0)</f>
        <v>1</v>
      </c>
      <c r="Y228" s="7">
        <f>VLOOKUP($D228,NatureChart,4,0)</f>
        <v>0.9</v>
      </c>
      <c r="Z228" s="7">
        <f>VLOOKUP($D228,NatureChart,5,0)</f>
        <v>1</v>
      </c>
      <c r="AA228" s="84">
        <f>VLOOKUP($D228,NatureChart,6,0)</f>
        <v>1</v>
      </c>
      <c r="AB228" s="84">
        <f>IF($C228="Shedinja",1,(INT((2*VLOOKUP($C228,DexData,5,0)+INT(Q228/4)+K228)/2)+60))</f>
        <v>167</v>
      </c>
      <c r="AC228" s="84">
        <f>INT(INT((INT((2*VLOOKUP($C228,DexData,6,0)+INT(R228/4)+L228)/2)+5)*W228)*IF($E228="Choice Band",1.5,IF(OR($E228="Mawilite",$E228="Medichamite",$E228="Thick Club"),2,1)))</f>
        <v>114</v>
      </c>
      <c r="AD228" s="84">
        <f>INT(INT((INT((2*VLOOKUP($C228,DexData,7,0)+INT(S228/4)+M228)/2)+5)*X228)*IF($E228="Eviolite",1.5,1))</f>
        <v>66</v>
      </c>
      <c r="AE228" s="84">
        <f>INT(INT((INT((2*VLOOKUP($C228,DexData,9,0)+INT(T228/4)+N228)/2)+5)*Y228)*IF($E228="Choice Specs",1.5,1))</f>
        <v>49</v>
      </c>
      <c r="AF228" s="84">
        <f>INT(INT((INT((2*VLOOKUP($C228,DexData,10,0)+INT(U228/4)+O228)/2)+5)*Z228)*IF(OR($E228="Eviolite",$E228="Assault Vest"),1.5,1))</f>
        <v>66</v>
      </c>
      <c r="AG228" s="84">
        <f>INT(INT((INT((2*VLOOKUP($C228,DexData,11,0)+INT(V228/4)+P228)/2)+5)*AA228)*IF($E228="Choice Scarf",1.5,IF($E228="Iron Ball",0.5,1)))</f>
        <v>134</v>
      </c>
      <c r="AH228" s="84" t="str">
        <f>VLOOKUP(VLOOKUP($C228,DexData,3,0),Aliases!D$2:E$19,2,0)&amp;IFERROR("/"&amp;VLOOKUP(VLOOKUP($C228,DexData,4,0),Aliases!D$2:E$19,2,0),"")</f>
        <v>NRM</v>
      </c>
      <c r="AI228" s="7">
        <v>3.0</v>
      </c>
      <c r="AJ228" s="7">
        <f>IF(VLOOKUP(B228,'Set Odds'!A$2:AN$1067,40,0),1,IF(VLOOKUP(B228,'Set Odds'!A$2:AO$1067,41,0),2,0))</f>
        <v>0</v>
      </c>
      <c r="AK228" s="7"/>
      <c r="AL228" s="7" t="str">
        <f t="shared" si="1"/>
        <v/>
      </c>
    </row>
    <row r="229" ht="12.75" customHeight="1">
      <c r="A229" s="86">
        <v>228.0</v>
      </c>
      <c r="B229" s="84" t="s">
        <v>3362</v>
      </c>
      <c r="C229" s="7" t="s">
        <v>3363</v>
      </c>
      <c r="D229" s="7" t="s">
        <v>2941</v>
      </c>
      <c r="E229" s="7" t="s">
        <v>2761</v>
      </c>
      <c r="F229" s="84" t="s">
        <v>2831</v>
      </c>
      <c r="G229" s="84" t="s">
        <v>2607</v>
      </c>
      <c r="H229" s="84" t="s">
        <v>2961</v>
      </c>
      <c r="I229" s="84" t="s">
        <v>3351</v>
      </c>
      <c r="J229" s="7" t="s">
        <v>3364</v>
      </c>
      <c r="K229" s="7">
        <v>31.0</v>
      </c>
      <c r="L229" s="7">
        <v>0.0</v>
      </c>
      <c r="M229" s="7">
        <v>0.0</v>
      </c>
      <c r="N229" s="7">
        <v>31.0</v>
      </c>
      <c r="O229" s="7">
        <v>0.0</v>
      </c>
      <c r="P229" s="7">
        <v>31.0</v>
      </c>
      <c r="Q229" s="7">
        <v>108.0</v>
      </c>
      <c r="R229" s="7">
        <v>0.0</v>
      </c>
      <c r="S229" s="7">
        <v>0.0</v>
      </c>
      <c r="T229" s="7">
        <v>108.0</v>
      </c>
      <c r="U229" s="7">
        <v>0.0</v>
      </c>
      <c r="V229" s="7">
        <v>108.0</v>
      </c>
      <c r="W229" s="7">
        <f>VLOOKUP($D229,NatureChart,2,0)</f>
        <v>1</v>
      </c>
      <c r="X229" s="7">
        <f>VLOOKUP($D229,NatureChart,3,0)</f>
        <v>0.9</v>
      </c>
      <c r="Y229" s="7">
        <f>VLOOKUP($D229,NatureChart,4,0)</f>
        <v>1</v>
      </c>
      <c r="Z229" s="7">
        <f>VLOOKUP($D229,NatureChart,5,0)</f>
        <v>1</v>
      </c>
      <c r="AA229" s="84">
        <f>VLOOKUP($D229,NatureChart,6,0)</f>
        <v>1.1</v>
      </c>
      <c r="AB229" s="84">
        <f>IF($C229="Shedinja",1,(INT((2*VLOOKUP($C229,DexData,5,0)+INT(Q229/4)+K229)/2)+60))</f>
        <v>159</v>
      </c>
      <c r="AC229" s="84">
        <f>INT(INT((INT((2*VLOOKUP($C229,DexData,6,0)+INT(R229/4)+L229)/2)+5)*W229)*IF($E229="Choice Band",1.5,IF(OR($E229="Mawilite",$E229="Medichamite",$E229="Thick Club"),2,1)))</f>
        <v>75</v>
      </c>
      <c r="AD229" s="84">
        <f>INT(INT((INT((2*VLOOKUP($C229,DexData,7,0)+INT(S229/4)+M229)/2)+5)*X229)*IF($E229="Eviolite",1.5,1))</f>
        <v>67</v>
      </c>
      <c r="AE229" s="84">
        <f>INT(INT((INT((2*VLOOKUP($C229,DexData,9,0)+INT(T229/4)+N229)/2)+5)*Y229)*IF($E229="Choice Specs",1.5,1))</f>
        <v>104</v>
      </c>
      <c r="AF229" s="84">
        <f>INT(INT((INT((2*VLOOKUP($C229,DexData,10,0)+INT(U229/4)+O229)/2)+5)*Z229)*IF(OR($E229="Eviolite",$E229="Assault Vest"),1.5,1))</f>
        <v>75</v>
      </c>
      <c r="AG229" s="84">
        <f>INT(INT((INT((2*VLOOKUP($C229,DexData,11,0)+INT(V229/4)+P229)/2)+5)*AA229)*IF($E229="Choice Scarf",1.5,IF($E229="Iron Ball",0.5,1)))</f>
        <v>114</v>
      </c>
      <c r="AH229" s="84" t="str">
        <f>VLOOKUP(VLOOKUP($C229,DexData,3,0),Aliases!D$2:E$19,2,0)&amp;IFERROR("/"&amp;VLOOKUP(VLOOKUP($C229,DexData,4,0),Aliases!D$2:E$19,2,0),"")</f>
        <v>NRM</v>
      </c>
      <c r="AI229" s="7">
        <v>3.0</v>
      </c>
      <c r="AJ229" s="7">
        <f>IF(VLOOKUP(B229,'Set Odds'!A$2:AN$1067,40,0),1,IF(VLOOKUP(B229,'Set Odds'!A$2:AO$1067,41,0),2,0))</f>
        <v>0</v>
      </c>
      <c r="AK229" s="7"/>
      <c r="AL229" s="7" t="str">
        <f t="shared" si="1"/>
        <v/>
      </c>
    </row>
    <row r="230" ht="12.75" customHeight="1">
      <c r="A230" s="86">
        <v>229.0</v>
      </c>
      <c r="B230" s="84" t="s">
        <v>3365</v>
      </c>
      <c r="C230" s="7" t="s">
        <v>3366</v>
      </c>
      <c r="D230" s="7" t="s">
        <v>2795</v>
      </c>
      <c r="E230" s="7" t="s">
        <v>3077</v>
      </c>
      <c r="F230" s="84" t="s">
        <v>2686</v>
      </c>
      <c r="G230" s="84" t="s">
        <v>2791</v>
      </c>
      <c r="H230" s="84" t="s">
        <v>2517</v>
      </c>
      <c r="I230" s="84" t="s">
        <v>2583</v>
      </c>
      <c r="J230" s="7" t="s">
        <v>3367</v>
      </c>
      <c r="K230" s="7">
        <v>31.0</v>
      </c>
      <c r="L230" s="7">
        <v>31.0</v>
      </c>
      <c r="M230" s="7">
        <v>0.0</v>
      </c>
      <c r="N230" s="7">
        <v>0.0</v>
      </c>
      <c r="O230" s="7">
        <v>0.0</v>
      </c>
      <c r="P230" s="7">
        <v>31.0</v>
      </c>
      <c r="Q230" s="7">
        <v>108.0</v>
      </c>
      <c r="R230" s="7">
        <v>108.0</v>
      </c>
      <c r="S230" s="7">
        <v>0.0</v>
      </c>
      <c r="T230" s="7">
        <v>0.0</v>
      </c>
      <c r="U230" s="7">
        <v>0.0</v>
      </c>
      <c r="V230" s="7">
        <v>108.0</v>
      </c>
      <c r="W230" s="7">
        <f>VLOOKUP($D230,NatureChart,2,0)</f>
        <v>1</v>
      </c>
      <c r="X230" s="7">
        <f>VLOOKUP($D230,NatureChart,3,0)</f>
        <v>1</v>
      </c>
      <c r="Y230" s="7">
        <f>VLOOKUP($D230,NatureChart,4,0)</f>
        <v>1</v>
      </c>
      <c r="Z230" s="7">
        <f>VLOOKUP($D230,NatureChart,5,0)</f>
        <v>1</v>
      </c>
      <c r="AA230" s="84">
        <f>VLOOKUP($D230,NatureChart,6,0)</f>
        <v>1</v>
      </c>
      <c r="AB230" s="84">
        <f>IF($C230="Shedinja",1,(INT((2*VLOOKUP($C230,DexData,5,0)+INT(Q230/4)+K230)/2)+60))</f>
        <v>154</v>
      </c>
      <c r="AC230" s="84">
        <f>INT(INT((INT((2*VLOOKUP($C230,DexData,6,0)+INT(R230/4)+L230)/2)+5)*W230)*IF($E230="Choice Band",1.5,IF(OR($E230="Mawilite",$E230="Medichamite",$E230="Thick Club"),2,1)))</f>
        <v>129</v>
      </c>
      <c r="AD230" s="84">
        <f>INT(INT((INT((2*VLOOKUP($C230,DexData,7,0)+INT(S230/4)+M230)/2)+5)*X230)*IF($E230="Eviolite",1.5,1))</f>
        <v>105</v>
      </c>
      <c r="AE230" s="84">
        <f>INT(INT((INT((2*VLOOKUP($C230,DexData,9,0)+INT(T230/4)+N230)/2)+5)*Y230)*IF($E230="Choice Specs",1.5,1))</f>
        <v>65</v>
      </c>
      <c r="AF230" s="84">
        <f>INT(INT((INT((2*VLOOKUP($C230,DexData,10,0)+INT(U230/4)+O230)/2)+5)*Z230)*IF(OR($E230="Eviolite",$E230="Assault Vest"),1.5,1))</f>
        <v>55</v>
      </c>
      <c r="AG230" s="84">
        <f>INT(INT((INT((2*VLOOKUP($C230,DexData,11,0)+INT(V230/4)+P230)/2)+5)*AA230)*IF($E230="Choice Scarf",1.5,IF($E230="Iron Ball",0.5,1)))</f>
        <v>84</v>
      </c>
      <c r="AH230" s="84" t="str">
        <f>VLOOKUP(VLOOKUP($C230,DexData,3,0),Aliases!D$2:E$19,2,0)&amp;IFERROR("/"&amp;VLOOKUP(VLOOKUP($C230,DexData,4,0),Aliases!D$2:E$19,2,0),"")</f>
        <v>DRG</v>
      </c>
      <c r="AI230" s="7">
        <v>3.0</v>
      </c>
      <c r="AJ230" s="7">
        <f>IF(VLOOKUP(B230,'Set Odds'!A$2:AN$1067,40,0),1,IF(VLOOKUP(B230,'Set Odds'!A$2:AO$1067,41,0),2,0))</f>
        <v>0</v>
      </c>
      <c r="AK230" s="7"/>
      <c r="AL230" s="7" t="str">
        <f t="shared" si="1"/>
        <v/>
      </c>
    </row>
    <row r="231" ht="12.75" customHeight="1">
      <c r="A231" s="86">
        <v>230.0</v>
      </c>
      <c r="B231" s="84" t="s">
        <v>3368</v>
      </c>
      <c r="C231" s="7" t="s">
        <v>3369</v>
      </c>
      <c r="D231" s="7" t="s">
        <v>2795</v>
      </c>
      <c r="E231" s="7" t="s">
        <v>2520</v>
      </c>
      <c r="F231" s="84" t="s">
        <v>2887</v>
      </c>
      <c r="G231" s="84" t="s">
        <v>2796</v>
      </c>
      <c r="H231" s="84" t="s">
        <v>2573</v>
      </c>
      <c r="I231" s="84" t="s">
        <v>2583</v>
      </c>
      <c r="J231" s="7" t="s">
        <v>3370</v>
      </c>
      <c r="K231" s="7">
        <v>31.0</v>
      </c>
      <c r="L231" s="7">
        <v>31.0</v>
      </c>
      <c r="M231" s="7">
        <v>0.0</v>
      </c>
      <c r="N231" s="7">
        <v>0.0</v>
      </c>
      <c r="O231" s="7">
        <v>0.0</v>
      </c>
      <c r="P231" s="7">
        <v>31.0</v>
      </c>
      <c r="Q231" s="7">
        <v>108.0</v>
      </c>
      <c r="R231" s="7">
        <v>108.0</v>
      </c>
      <c r="S231" s="7">
        <v>0.0</v>
      </c>
      <c r="T231" s="7">
        <v>0.0</v>
      </c>
      <c r="U231" s="7">
        <v>0.0</v>
      </c>
      <c r="V231" s="7">
        <v>108.0</v>
      </c>
      <c r="W231" s="7">
        <f>VLOOKUP($D231,NatureChart,2,0)</f>
        <v>1</v>
      </c>
      <c r="X231" s="7">
        <f>VLOOKUP($D231,NatureChart,3,0)</f>
        <v>1</v>
      </c>
      <c r="Y231" s="7">
        <f>VLOOKUP($D231,NatureChart,4,0)</f>
        <v>1</v>
      </c>
      <c r="Z231" s="7">
        <f>VLOOKUP($D231,NatureChart,5,0)</f>
        <v>1</v>
      </c>
      <c r="AA231" s="84">
        <f>VLOOKUP($D231,NatureChart,6,0)</f>
        <v>1</v>
      </c>
      <c r="AB231" s="84">
        <f>IF($C231="Shedinja",1,(INT((2*VLOOKUP($C231,DexData,5,0)+INT(Q231/4)+K231)/2)+60))</f>
        <v>149</v>
      </c>
      <c r="AC231" s="84">
        <f>INT(INT((INT((2*VLOOKUP($C231,DexData,6,0)+INT(R231/4)+L231)/2)+5)*W231)*IF($E231="Choice Band",1.5,IF(OR($E231="Mawilite",$E231="Medichamite",$E231="Thick Club"),2,1)))</f>
        <v>109</v>
      </c>
      <c r="AD231" s="84">
        <f>INT(INT((INT((2*VLOOKUP($C231,DexData,7,0)+INT(S231/4)+M231)/2)+5)*X231)*IF($E231="Eviolite",1.5,1))</f>
        <v>105</v>
      </c>
      <c r="AE231" s="84">
        <f>INT(INT((INT((2*VLOOKUP($C231,DexData,9,0)+INT(T231/4)+N231)/2)+5)*Y231)*IF($E231="Choice Specs",1.5,1))</f>
        <v>60</v>
      </c>
      <c r="AF231" s="84">
        <f>INT(INT((INT((2*VLOOKUP($C231,DexData,10,0)+INT(U231/4)+O231)/2)+5)*Z231)*IF(OR($E231="Eviolite",$E231="Assault Vest"),1.5,1))</f>
        <v>85</v>
      </c>
      <c r="AG231" s="84">
        <f>INT(INT((INT((2*VLOOKUP($C231,DexData,11,0)+INT(V231/4)+P231)/2)+5)*AA231)*IF($E231="Choice Scarf",1.5,IF($E231="Iron Ball",0.5,1)))</f>
        <v>84</v>
      </c>
      <c r="AH231" s="84" t="str">
        <f>VLOOKUP(VLOOKUP($C231,DexData,3,0),Aliases!D$2:E$19,2,0)&amp;IFERROR("/"&amp;VLOOKUP(VLOOKUP($C231,DexData,4,0),Aliases!D$2:E$19,2,0),"")</f>
        <v>STL/PSY</v>
      </c>
      <c r="AI231" s="7">
        <v>3.0</v>
      </c>
      <c r="AJ231" s="7">
        <f>IF(VLOOKUP(B231,'Set Odds'!A$2:AN$1067,40,0),1,IF(VLOOKUP(B231,'Set Odds'!A$2:AO$1067,41,0),2,0))</f>
        <v>0</v>
      </c>
      <c r="AK231" s="7"/>
      <c r="AL231" s="7" t="str">
        <f t="shared" si="1"/>
        <v/>
      </c>
    </row>
    <row r="232" ht="12.75" customHeight="1">
      <c r="A232" s="86">
        <v>231.0</v>
      </c>
      <c r="B232" s="84" t="s">
        <v>3371</v>
      </c>
      <c r="C232" s="7" t="s">
        <v>3372</v>
      </c>
      <c r="D232" s="7" t="s">
        <v>2656</v>
      </c>
      <c r="E232" s="7" t="s">
        <v>3311</v>
      </c>
      <c r="F232" s="84" t="s">
        <v>2572</v>
      </c>
      <c r="G232" s="84" t="s">
        <v>2772</v>
      </c>
      <c r="H232" s="84" t="s">
        <v>2517</v>
      </c>
      <c r="I232" s="84" t="s">
        <v>3186</v>
      </c>
      <c r="J232" s="7" t="s">
        <v>3367</v>
      </c>
      <c r="K232" s="7">
        <v>0.0</v>
      </c>
      <c r="L232" s="7">
        <v>0.0</v>
      </c>
      <c r="M232" s="7">
        <v>31.0</v>
      </c>
      <c r="N232" s="7">
        <v>0.0</v>
      </c>
      <c r="O232" s="7">
        <v>31.0</v>
      </c>
      <c r="P232" s="7">
        <v>31.0</v>
      </c>
      <c r="Q232" s="7">
        <v>0.0</v>
      </c>
      <c r="R232" s="7">
        <v>0.0</v>
      </c>
      <c r="S232" s="7">
        <v>108.0</v>
      </c>
      <c r="T232" s="7">
        <v>0.0</v>
      </c>
      <c r="U232" s="7">
        <v>108.0</v>
      </c>
      <c r="V232" s="7">
        <v>108.0</v>
      </c>
      <c r="W232" s="7">
        <f>VLOOKUP($D232,NatureChart,2,0)</f>
        <v>0.9</v>
      </c>
      <c r="X232" s="7">
        <f>VLOOKUP($D232,NatureChart,3,0)</f>
        <v>1</v>
      </c>
      <c r="Y232" s="7">
        <f>VLOOKUP($D232,NatureChart,4,0)</f>
        <v>1.1</v>
      </c>
      <c r="Z232" s="7">
        <f>VLOOKUP($D232,NatureChart,5,0)</f>
        <v>1</v>
      </c>
      <c r="AA232" s="84">
        <f>VLOOKUP($D232,NatureChart,6,0)</f>
        <v>1</v>
      </c>
      <c r="AB232" s="84">
        <f>IF($C232="Shedinja",1,(INT((2*VLOOKUP($C232,DexData,5,0)+INT(Q232/4)+K232)/2)+60))</f>
        <v>120</v>
      </c>
      <c r="AC232" s="84">
        <f>INT(INT((INT((2*VLOOKUP($C232,DexData,6,0)+INT(R232/4)+L232)/2)+5)*W232)*IF($E232="Choice Band",1.5,IF(OR($E232="Mawilite",$E232="Medichamite",$E232="Thick Club"),2,1)))</f>
        <v>57</v>
      </c>
      <c r="AD232" s="84">
        <f>INT(INT((INT((2*VLOOKUP($C232,DexData,7,0)+INT(S232/4)+M232)/2)+5)*X232)*IF($E232="Eviolite",1.5,1))</f>
        <v>119</v>
      </c>
      <c r="AE232" s="84">
        <f>INT(INT((INT((2*VLOOKUP($C232,DexData,9,0)+INT(T232/4)+N232)/2)+5)*Y232)*IF($E232="Choice Specs",1.5,1))</f>
        <v>92</v>
      </c>
      <c r="AF232" s="84">
        <f>INT(INT((INT((2*VLOOKUP($C232,DexData,10,0)+INT(U232/4)+O232)/2)+5)*Z232)*IF(OR($E232="Eviolite",$E232="Assault Vest"),1.5,1))</f>
        <v>139</v>
      </c>
      <c r="AG232" s="84">
        <f>INT(INT((INT((2*VLOOKUP($C232,DexData,11,0)+INT(V232/4)+P232)/2)+5)*AA232)*IF($E232="Choice Scarf",1.5,IF($E232="Iron Ball",0.5,1)))</f>
        <v>70</v>
      </c>
      <c r="AH232" s="84" t="str">
        <f>VLOOKUP(VLOOKUP($C232,DexData,3,0),Aliases!D$2:E$19,2,0)&amp;IFERROR("/"&amp;VLOOKUP(VLOOKUP($C232,DexData,4,0),Aliases!D$2:E$19,2,0),"")</f>
        <v>BUG/GRS</v>
      </c>
      <c r="AI232" s="7">
        <v>3.0</v>
      </c>
      <c r="AJ232" s="7">
        <f>IF(VLOOKUP(B232,'Set Odds'!A$2:AN$1067,40,0),1,IF(VLOOKUP(B232,'Set Odds'!A$2:AO$1067,41,0),2,0))</f>
        <v>0</v>
      </c>
      <c r="AK232" s="7"/>
      <c r="AL232" s="7" t="str">
        <f t="shared" si="1"/>
        <v/>
      </c>
    </row>
    <row r="233" ht="12.75" customHeight="1">
      <c r="A233" s="86">
        <v>232.0</v>
      </c>
      <c r="B233" s="84" t="s">
        <v>3373</v>
      </c>
      <c r="C233" s="7" t="s">
        <v>3374</v>
      </c>
      <c r="D233" s="7" t="s">
        <v>2656</v>
      </c>
      <c r="E233" s="7" t="s">
        <v>3311</v>
      </c>
      <c r="F233" s="84" t="s">
        <v>2772</v>
      </c>
      <c r="G233" s="84" t="s">
        <v>2681</v>
      </c>
      <c r="H233" s="84" t="s">
        <v>2864</v>
      </c>
      <c r="I233" s="84" t="s">
        <v>3186</v>
      </c>
      <c r="J233" s="7" t="s">
        <v>3240</v>
      </c>
      <c r="K233" s="7">
        <v>31.0</v>
      </c>
      <c r="L233" s="7">
        <v>0.0</v>
      </c>
      <c r="M233" s="7">
        <v>0.0</v>
      </c>
      <c r="N233" s="7">
        <v>31.0</v>
      </c>
      <c r="O233" s="7">
        <v>0.0</v>
      </c>
      <c r="P233" s="7">
        <v>31.0</v>
      </c>
      <c r="Q233" s="7">
        <v>108.0</v>
      </c>
      <c r="R233" s="7">
        <v>0.0</v>
      </c>
      <c r="S233" s="7">
        <v>0.0</v>
      </c>
      <c r="T233" s="7">
        <v>108.0</v>
      </c>
      <c r="U233" s="7">
        <v>0.0</v>
      </c>
      <c r="V233" s="7">
        <v>108.0</v>
      </c>
      <c r="W233" s="7">
        <f>VLOOKUP($D233,NatureChart,2,0)</f>
        <v>0.9</v>
      </c>
      <c r="X233" s="7">
        <f>VLOOKUP($D233,NatureChart,3,0)</f>
        <v>1</v>
      </c>
      <c r="Y233" s="7">
        <f>VLOOKUP($D233,NatureChart,4,0)</f>
        <v>1.1</v>
      </c>
      <c r="Z233" s="7">
        <f>VLOOKUP($D233,NatureChart,5,0)</f>
        <v>1</v>
      </c>
      <c r="AA233" s="84">
        <f>VLOOKUP($D233,NatureChart,6,0)</f>
        <v>1</v>
      </c>
      <c r="AB233" s="84">
        <f>IF($C233="Shedinja",1,(INT((2*VLOOKUP($C233,DexData,5,0)+INT(Q233/4)+K233)/2)+60))</f>
        <v>159</v>
      </c>
      <c r="AC233" s="84">
        <f>INT(INT((INT((2*VLOOKUP($C233,DexData,6,0)+INT(R233/4)+L233)/2)+5)*W233)*IF($E233="Choice Band",1.5,IF(OR($E233="Mawilite",$E233="Medichamite",$E233="Thick Club"),2,1)))</f>
        <v>89</v>
      </c>
      <c r="AD233" s="84">
        <f>INT(INT((INT((2*VLOOKUP($C233,DexData,7,0)+INT(S233/4)+M233)/2)+5)*X233)*IF($E233="Eviolite",1.5,1))</f>
        <v>55</v>
      </c>
      <c r="AE233" s="84">
        <f>INT(INT((INT((2*VLOOKUP($C233,DexData,9,0)+INT(T233/4)+N233)/2)+5)*Y233)*IF($E233="Choice Specs",1.5,1))</f>
        <v>140</v>
      </c>
      <c r="AF233" s="84">
        <f>INT(INT((INT((2*VLOOKUP($C233,DexData,10,0)+INT(U233/4)+O233)/2)+5)*Z233)*IF(OR($E233="Eviolite",$E233="Assault Vest"),1.5,1))</f>
        <v>55</v>
      </c>
      <c r="AG233" s="84">
        <f>INT(INT((INT((2*VLOOKUP($C233,DexData,11,0)+INT(V233/4)+P233)/2)+5)*AA233)*IF($E233="Choice Scarf",1.5,IF($E233="Iron Ball",0.5,1)))</f>
        <v>100</v>
      </c>
      <c r="AH233" s="84" t="str">
        <f>VLOOKUP(VLOOKUP($C233,DexData,3,0),Aliases!D$2:E$19,2,0)&amp;IFERROR("/"&amp;VLOOKUP(VLOOKUP($C233,DexData,4,0),Aliases!D$2:E$19,2,0),"")</f>
        <v>BUG/FLY</v>
      </c>
      <c r="AI233" s="7">
        <v>3.0</v>
      </c>
      <c r="AJ233" s="7">
        <f>IF(VLOOKUP(B233,'Set Odds'!A$2:AN$1067,40,0),1,IF(VLOOKUP(B233,'Set Odds'!A$2:AO$1067,41,0),2,0))</f>
        <v>0</v>
      </c>
      <c r="AK233" s="7"/>
      <c r="AL233" s="7" t="str">
        <f t="shared" si="1"/>
        <v/>
      </c>
    </row>
    <row r="234" ht="12.75" customHeight="1">
      <c r="A234" s="86">
        <v>233.0</v>
      </c>
      <c r="B234" s="84" t="s">
        <v>3375</v>
      </c>
      <c r="C234" s="7" t="s">
        <v>3376</v>
      </c>
      <c r="D234" s="7" t="s">
        <v>2811</v>
      </c>
      <c r="E234" s="7" t="s">
        <v>3129</v>
      </c>
      <c r="F234" s="84" t="s">
        <v>2822</v>
      </c>
      <c r="G234" s="84" t="s">
        <v>2739</v>
      </c>
      <c r="H234" s="84" t="s">
        <v>3239</v>
      </c>
      <c r="I234" s="84" t="s">
        <v>3260</v>
      </c>
      <c r="J234" s="7" t="s">
        <v>3377</v>
      </c>
      <c r="K234" s="7">
        <v>31.0</v>
      </c>
      <c r="L234" s="7">
        <v>0.0</v>
      </c>
      <c r="M234" s="7">
        <v>31.0</v>
      </c>
      <c r="N234" s="7">
        <v>0.0</v>
      </c>
      <c r="O234" s="7">
        <v>31.0</v>
      </c>
      <c r="P234" s="7">
        <v>0.0</v>
      </c>
      <c r="Q234" s="7">
        <v>108.0</v>
      </c>
      <c r="R234" s="7">
        <v>0.0</v>
      </c>
      <c r="S234" s="7">
        <v>108.0</v>
      </c>
      <c r="T234" s="7">
        <v>0.0</v>
      </c>
      <c r="U234" s="7">
        <v>108.0</v>
      </c>
      <c r="V234" s="7">
        <v>0.0</v>
      </c>
      <c r="W234" s="7">
        <f>VLOOKUP($D234,NatureChart,2,0)</f>
        <v>1</v>
      </c>
      <c r="X234" s="7">
        <f>VLOOKUP($D234,NatureChart,3,0)</f>
        <v>1.1</v>
      </c>
      <c r="Y234" s="7">
        <f>VLOOKUP($D234,NatureChart,4,0)</f>
        <v>1</v>
      </c>
      <c r="Z234" s="7">
        <f>VLOOKUP($D234,NatureChart,5,0)</f>
        <v>1</v>
      </c>
      <c r="AA234" s="84">
        <f>VLOOKUP($D234,NatureChart,6,0)</f>
        <v>0.9</v>
      </c>
      <c r="AB234" s="84">
        <f>IF($C234="Shedinja",1,(INT((2*VLOOKUP($C234,DexData,5,0)+INT(Q234/4)+K234)/2)+60))</f>
        <v>229</v>
      </c>
      <c r="AC234" s="84">
        <f>INT(INT((INT((2*VLOOKUP($C234,DexData,6,0)+INT(R234/4)+L234)/2)+5)*W234)*IF($E234="Choice Band",1.5,IF(OR($E234="Mawilite",$E234="Medichamite",$E234="Thick Club"),2,1)))</f>
        <v>75</v>
      </c>
      <c r="AD234" s="84">
        <f>INT(INT((INT((2*VLOOKUP($C234,DexData,7,0)+INT(S234/4)+M234)/2)+5)*X234)*IF($E234="Eviolite",1.5,1))</f>
        <v>86</v>
      </c>
      <c r="AE234" s="84">
        <f>INT(INT((INT((2*VLOOKUP($C234,DexData,9,0)+INT(T234/4)+N234)/2)+5)*Y234)*IF($E234="Choice Specs",1.5,1))</f>
        <v>90</v>
      </c>
      <c r="AF234" s="84">
        <f>INT(INT((INT((2*VLOOKUP($C234,DexData,10,0)+INT(U234/4)+O234)/2)+5)*Z234)*IF(OR($E234="Eviolite",$E234="Assault Vest"),1.5,1))</f>
        <v>84</v>
      </c>
      <c r="AG234" s="84">
        <f>INT(INT((INT((2*VLOOKUP($C234,DexData,11,0)+INT(V234/4)+P234)/2)+5)*AA234)*IF($E234="Choice Scarf",1.5,IF($E234="Iron Ball",0.5,1)))</f>
        <v>45</v>
      </c>
      <c r="AH234" s="84" t="str">
        <f>VLOOKUP(VLOOKUP($C234,DexData,3,0),Aliases!D$2:E$19,2,0)&amp;IFERROR("/"&amp;VLOOKUP(VLOOKUP($C234,DexData,4,0),Aliases!D$2:E$19,2,0),"")</f>
        <v>NRM/FAI</v>
      </c>
      <c r="AI234" s="7">
        <v>3.0</v>
      </c>
      <c r="AJ234" s="7">
        <f>IF(VLOOKUP(B234,'Set Odds'!A$2:AN$1067,40,0),1,IF(VLOOKUP(B234,'Set Odds'!A$2:AO$1067,41,0),2,0))</f>
        <v>0</v>
      </c>
      <c r="AK234" s="7"/>
      <c r="AL234" s="7" t="str">
        <f t="shared" si="1"/>
        <v/>
      </c>
    </row>
    <row r="235" ht="12.75" customHeight="1">
      <c r="A235" s="86">
        <v>234.0</v>
      </c>
      <c r="B235" s="84" t="s">
        <v>3378</v>
      </c>
      <c r="C235" s="7" t="s">
        <v>3379</v>
      </c>
      <c r="D235" s="7" t="s">
        <v>2611</v>
      </c>
      <c r="E235" s="7" t="s">
        <v>2761</v>
      </c>
      <c r="F235" s="84" t="s">
        <v>3225</v>
      </c>
      <c r="G235" s="84" t="s">
        <v>3123</v>
      </c>
      <c r="H235" s="84" t="s">
        <v>2575</v>
      </c>
      <c r="I235" s="84" t="s">
        <v>2596</v>
      </c>
      <c r="J235" s="7" t="s">
        <v>3380</v>
      </c>
      <c r="K235" s="7">
        <v>31.0</v>
      </c>
      <c r="L235" s="7">
        <v>31.0</v>
      </c>
      <c r="M235" s="7">
        <v>0.0</v>
      </c>
      <c r="N235" s="7">
        <v>0.0</v>
      </c>
      <c r="O235" s="7">
        <v>0.0</v>
      </c>
      <c r="P235" s="7">
        <v>31.0</v>
      </c>
      <c r="Q235" s="7">
        <v>108.0</v>
      </c>
      <c r="R235" s="7">
        <v>108.0</v>
      </c>
      <c r="S235" s="7">
        <v>0.0</v>
      </c>
      <c r="T235" s="7">
        <v>0.0</v>
      </c>
      <c r="U235" s="7">
        <v>0.0</v>
      </c>
      <c r="V235" s="7">
        <v>108.0</v>
      </c>
      <c r="W235" s="7">
        <f>VLOOKUP($D235,NatureChart,2,0)</f>
        <v>1</v>
      </c>
      <c r="X235" s="7">
        <f>VLOOKUP($D235,NatureChart,3,0)</f>
        <v>1</v>
      </c>
      <c r="Y235" s="7">
        <f>VLOOKUP($D235,NatureChart,4,0)</f>
        <v>1</v>
      </c>
      <c r="Z235" s="7">
        <f>VLOOKUP($D235,NatureChart,5,0)</f>
        <v>1</v>
      </c>
      <c r="AA235" s="84">
        <f>VLOOKUP($D235,NatureChart,6,0)</f>
        <v>1</v>
      </c>
      <c r="AB235" s="84">
        <f>IF($C235="Shedinja",1,(INT((2*VLOOKUP($C235,DexData,5,0)+INT(Q235/4)+K235)/2)+60))</f>
        <v>164</v>
      </c>
      <c r="AC235" s="84">
        <f>INT(INT((INT((2*VLOOKUP($C235,DexData,6,0)+INT(R235/4)+L235)/2)+5)*W235)*IF($E235="Choice Band",1.5,IF(OR($E235="Mawilite",$E235="Medichamite",$E235="Thick Club"),2,1)))</f>
        <v>109</v>
      </c>
      <c r="AD235" s="84">
        <f>INT(INT((INT((2*VLOOKUP($C235,DexData,7,0)+INT(S235/4)+M235)/2)+5)*X235)*IF($E235="Eviolite",1.5,1))</f>
        <v>60</v>
      </c>
      <c r="AE235" s="84">
        <f>INT(INT((INT((2*VLOOKUP($C235,DexData,9,0)+INT(T235/4)+N235)/2)+5)*Y235)*IF($E235="Choice Specs",1.5,1))</f>
        <v>110</v>
      </c>
      <c r="AF235" s="84">
        <f>INT(INT((INT((2*VLOOKUP($C235,DexData,10,0)+INT(U235/4)+O235)/2)+5)*Z235)*IF(OR($E235="Eviolite",$E235="Assault Vest"),1.5,1))</f>
        <v>90</v>
      </c>
      <c r="AG235" s="84">
        <f>INT(INT((INT((2*VLOOKUP($C235,DexData,11,0)+INT(V235/4)+P235)/2)+5)*AA235)*IF($E235="Choice Scarf",1.5,IF($E235="Iron Ball",0.5,1)))</f>
        <v>64</v>
      </c>
      <c r="AH235" s="84" t="str">
        <f>VLOOKUP(VLOOKUP($C235,DexData,3,0),Aliases!D$2:E$19,2,0)&amp;IFERROR("/"&amp;VLOOKUP(VLOOKUP($C235,DexData,4,0),Aliases!D$2:E$19,2,0),"")</f>
        <v>GRS</v>
      </c>
      <c r="AI235" s="7">
        <v>3.0</v>
      </c>
      <c r="AJ235" s="7">
        <f>IF(VLOOKUP(B235,'Set Odds'!A$2:AN$1067,40,0),1,IF(VLOOKUP(B235,'Set Odds'!A$2:AO$1067,41,0),2,0))</f>
        <v>0</v>
      </c>
      <c r="AK235" s="7"/>
      <c r="AL235" s="7" t="str">
        <f t="shared" si="1"/>
        <v/>
      </c>
    </row>
    <row r="236" ht="12.75" customHeight="1">
      <c r="A236" s="86">
        <v>235.0</v>
      </c>
      <c r="B236" s="84" t="s">
        <v>3381</v>
      </c>
      <c r="C236" s="7" t="s">
        <v>2710</v>
      </c>
      <c r="D236" s="7" t="s">
        <v>3105</v>
      </c>
      <c r="E236" s="7" t="s">
        <v>2780</v>
      </c>
      <c r="F236" s="84" t="s">
        <v>2659</v>
      </c>
      <c r="G236" s="84" t="s">
        <v>2573</v>
      </c>
      <c r="H236" s="84" t="s">
        <v>3382</v>
      </c>
      <c r="I236" s="84" t="s">
        <v>3268</v>
      </c>
      <c r="J236" s="7" t="s">
        <v>2714</v>
      </c>
      <c r="K236" s="7">
        <v>31.0</v>
      </c>
      <c r="L236" s="7">
        <v>0.0</v>
      </c>
      <c r="M236" s="7">
        <v>31.0</v>
      </c>
      <c r="N236" s="7">
        <v>31.0</v>
      </c>
      <c r="O236" s="7">
        <v>0.0</v>
      </c>
      <c r="P236" s="7">
        <v>0.0</v>
      </c>
      <c r="Q236" s="7">
        <v>108.0</v>
      </c>
      <c r="R236" s="7">
        <v>0.0</v>
      </c>
      <c r="S236" s="7">
        <v>108.0</v>
      </c>
      <c r="T236" s="7">
        <v>108.0</v>
      </c>
      <c r="U236" s="7">
        <v>0.0</v>
      </c>
      <c r="V236" s="7">
        <v>0.0</v>
      </c>
      <c r="W236" s="7">
        <f>VLOOKUP($D236,NatureChart,2,0)</f>
        <v>1</v>
      </c>
      <c r="X236" s="7">
        <f>VLOOKUP($D236,NatureChart,3,0)</f>
        <v>1</v>
      </c>
      <c r="Y236" s="7">
        <f>VLOOKUP($D236,NatureChart,4,0)</f>
        <v>1</v>
      </c>
      <c r="Z236" s="7">
        <f>VLOOKUP($D236,NatureChart,5,0)</f>
        <v>1.1</v>
      </c>
      <c r="AA236" s="84">
        <f>VLOOKUP($D236,NatureChart,6,0)</f>
        <v>0.9</v>
      </c>
      <c r="AB236" s="84">
        <f>IF($C236="Shedinja",1,(INT((2*VLOOKUP($C236,DexData,5,0)+INT(Q236/4)+K236)/2)+60))</f>
        <v>164</v>
      </c>
      <c r="AC236" s="84">
        <f>INT(INT((INT((2*VLOOKUP($C236,DexData,6,0)+INT(R236/4)+L236)/2)+5)*W236)*IF($E236="Choice Band",1.5,IF(OR($E236="Mawilite",$E236="Medichamite",$E236="Thick Club"),2,1)))</f>
        <v>55</v>
      </c>
      <c r="AD236" s="84">
        <f>INT(INT((INT((2*VLOOKUP($C236,DexData,7,0)+INT(S236/4)+M236)/2)+5)*X236)*IF($E236="Eviolite",1.5,1))</f>
        <v>114</v>
      </c>
      <c r="AE236" s="84">
        <f>INT(INT((INT((2*VLOOKUP($C236,DexData,9,0)+INT(T236/4)+N236)/2)+5)*Y236)*IF($E236="Choice Specs",1.5,1))</f>
        <v>129</v>
      </c>
      <c r="AF236" s="84">
        <f>INT(INT((INT((2*VLOOKUP($C236,DexData,10,0)+INT(U236/4)+O236)/2)+5)*Z236)*IF(OR($E236="Eviolite",$E236="Assault Vest"),1.5,1))</f>
        <v>104</v>
      </c>
      <c r="AG236" s="84">
        <f>INT(INT((INT((2*VLOOKUP($C236,DexData,11,0)+INT(V236/4)+P236)/2)+5)*AA236)*IF($E236="Choice Scarf",1.5,IF($E236="Iron Ball",0.5,1)))</f>
        <v>63</v>
      </c>
      <c r="AH236" s="84" t="str">
        <f>VLOOKUP(VLOOKUP($C236,DexData,3,0),Aliases!D$2:E$19,2,0)&amp;IFERROR("/"&amp;VLOOKUP(VLOOKUP($C236,DexData,4,0),Aliases!D$2:E$19,2,0),"")</f>
        <v>PSY</v>
      </c>
      <c r="AI236" s="7">
        <v>3.0</v>
      </c>
      <c r="AJ236" s="7">
        <f>IF(VLOOKUP(B236,'Set Odds'!A$2:AN$1067,40,0),1,IF(VLOOKUP(B236,'Set Odds'!A$2:AO$1067,41,0),2,0))</f>
        <v>0</v>
      </c>
      <c r="AK236" s="7"/>
      <c r="AL236" s="7" t="str">
        <f t="shared" si="1"/>
        <v/>
      </c>
    </row>
    <row r="237" ht="12.75" customHeight="1">
      <c r="A237" s="86">
        <v>236.0</v>
      </c>
      <c r="B237" s="84" t="s">
        <v>3383</v>
      </c>
      <c r="C237" s="7" t="s">
        <v>3384</v>
      </c>
      <c r="D237" s="7" t="s">
        <v>2941</v>
      </c>
      <c r="E237" s="7" t="s">
        <v>2579</v>
      </c>
      <c r="F237" s="84" t="s">
        <v>2887</v>
      </c>
      <c r="G237" s="84" t="s">
        <v>2626</v>
      </c>
      <c r="H237" s="84" t="s">
        <v>2614</v>
      </c>
      <c r="I237" s="84" t="s">
        <v>2602</v>
      </c>
      <c r="J237" s="7" t="s">
        <v>2978</v>
      </c>
      <c r="K237" s="7">
        <v>31.0</v>
      </c>
      <c r="L237" s="7">
        <v>0.0</v>
      </c>
      <c r="M237" s="7">
        <v>31.0</v>
      </c>
      <c r="N237" s="7">
        <v>0.0</v>
      </c>
      <c r="O237" s="7">
        <v>0.0</v>
      </c>
      <c r="P237" s="7">
        <v>31.0</v>
      </c>
      <c r="Q237" s="7">
        <v>108.0</v>
      </c>
      <c r="R237" s="7">
        <v>0.0</v>
      </c>
      <c r="S237" s="7">
        <v>108.0</v>
      </c>
      <c r="T237" s="7">
        <v>0.0</v>
      </c>
      <c r="U237" s="7">
        <v>0.0</v>
      </c>
      <c r="V237" s="7">
        <v>108.0</v>
      </c>
      <c r="W237" s="7">
        <f>VLOOKUP($D237,NatureChart,2,0)</f>
        <v>1</v>
      </c>
      <c r="X237" s="7">
        <f>VLOOKUP($D237,NatureChart,3,0)</f>
        <v>0.9</v>
      </c>
      <c r="Y237" s="7">
        <f>VLOOKUP($D237,NatureChart,4,0)</f>
        <v>1</v>
      </c>
      <c r="Z237" s="7">
        <f>VLOOKUP($D237,NatureChart,5,0)</f>
        <v>1</v>
      </c>
      <c r="AA237" s="84">
        <f>VLOOKUP($D237,NatureChart,6,0)</f>
        <v>1.1</v>
      </c>
      <c r="AB237" s="84">
        <f>IF($C237="Shedinja",1,(INT((2*VLOOKUP($C237,DexData,5,0)+INT(Q237/4)+K237)/2)+60))</f>
        <v>154</v>
      </c>
      <c r="AC237" s="84">
        <f>INT(INT((INT((2*VLOOKUP($C237,DexData,6,0)+INT(R237/4)+L237)/2)+5)*W237)*IF($E237="Choice Band",1.5,IF(OR($E237="Mawilite",$E237="Medichamite",$E237="Thick Club"),2,1)))</f>
        <v>80</v>
      </c>
      <c r="AD237" s="84">
        <f>INT(INT((INT((2*VLOOKUP($C237,DexData,7,0)+INT(S237/4)+M237)/2)+5)*X237)*IF($E237="Eviolite",1.5,1))</f>
        <v>125</v>
      </c>
      <c r="AE237" s="84">
        <f>INT(INT((INT((2*VLOOKUP($C237,DexData,9,0)+INT(T237/4)+N237)/2)+5)*Y237)*IF($E237="Choice Specs",1.5,1))</f>
        <v>40</v>
      </c>
      <c r="AF237" s="84">
        <f>INT(INT((INT((2*VLOOKUP($C237,DexData,10,0)+INT(U237/4)+O237)/2)+5)*Z237)*IF(OR($E237="Eviolite",$E237="Assault Vest"),1.5,1))</f>
        <v>70</v>
      </c>
      <c r="AG237" s="84">
        <f>INT(INT((INT((2*VLOOKUP($C237,DexData,11,0)+INT(V237/4)+P237)/2)+5)*AA237)*IF($E237="Choice Scarf",1.5,IF($E237="Iron Ball",0.5,1)))</f>
        <v>130</v>
      </c>
      <c r="AH237" s="84" t="str">
        <f>VLOOKUP(VLOOKUP($C237,DexData,3,0),Aliases!D$2:E$19,2,0)&amp;IFERROR("/"&amp;VLOOKUP(VLOOKUP($C237,DexData,4,0),Aliases!D$2:E$19,2,0),"")</f>
        <v>GRD/FLY</v>
      </c>
      <c r="AI237" s="7">
        <v>3.0</v>
      </c>
      <c r="AJ237" s="7">
        <f>IF(VLOOKUP(B237,'Set Odds'!A$2:AN$1067,40,0),1,IF(VLOOKUP(B237,'Set Odds'!A$2:AO$1067,41,0),2,0))</f>
        <v>0</v>
      </c>
      <c r="AK237" s="7"/>
      <c r="AL237" s="7" t="str">
        <f t="shared" si="1"/>
        <v/>
      </c>
    </row>
    <row r="238" ht="12.75" customHeight="1">
      <c r="A238" s="86">
        <v>237.0</v>
      </c>
      <c r="B238" s="84" t="s">
        <v>3385</v>
      </c>
      <c r="C238" s="7" t="s">
        <v>3386</v>
      </c>
      <c r="D238" s="7" t="s">
        <v>2648</v>
      </c>
      <c r="E238" s="7" t="s">
        <v>3077</v>
      </c>
      <c r="F238" s="84" t="s">
        <v>2643</v>
      </c>
      <c r="G238" s="84" t="s">
        <v>3056</v>
      </c>
      <c r="H238" s="84" t="s">
        <v>3387</v>
      </c>
      <c r="I238" s="84" t="s">
        <v>2530</v>
      </c>
      <c r="J238" s="7" t="s">
        <v>2696</v>
      </c>
      <c r="K238" s="7">
        <v>31.0</v>
      </c>
      <c r="L238" s="7">
        <v>0.0</v>
      </c>
      <c r="M238" s="7">
        <v>31.0</v>
      </c>
      <c r="N238" s="7">
        <v>0.0</v>
      </c>
      <c r="O238" s="7">
        <v>31.0</v>
      </c>
      <c r="P238" s="7">
        <v>0.0</v>
      </c>
      <c r="Q238" s="7">
        <v>108.0</v>
      </c>
      <c r="R238" s="7">
        <v>0.0</v>
      </c>
      <c r="S238" s="7">
        <v>108.0</v>
      </c>
      <c r="T238" s="7">
        <v>0.0</v>
      </c>
      <c r="U238" s="7">
        <v>108.0</v>
      </c>
      <c r="V238" s="7">
        <v>0.0</v>
      </c>
      <c r="W238" s="7">
        <f>VLOOKUP($D238,NatureChart,2,0)</f>
        <v>1</v>
      </c>
      <c r="X238" s="7">
        <f>VLOOKUP($D238,NatureChart,3,0)</f>
        <v>1.1</v>
      </c>
      <c r="Y238" s="7">
        <f>VLOOKUP($D238,NatureChart,4,0)</f>
        <v>0.9</v>
      </c>
      <c r="Z238" s="7">
        <f>VLOOKUP($D238,NatureChart,5,0)</f>
        <v>1</v>
      </c>
      <c r="AA238" s="84">
        <f>VLOOKUP($D238,NatureChart,6,0)</f>
        <v>1</v>
      </c>
      <c r="AB238" s="84">
        <f>IF($C238="Shedinja",1,(INT((2*VLOOKUP($C238,DexData,5,0)+INT(Q238/4)+K238)/2)+60))</f>
        <v>154</v>
      </c>
      <c r="AC238" s="84">
        <f>INT(INT((INT((2*VLOOKUP($C238,DexData,6,0)+INT(R238/4)+L238)/2)+5)*W238)*IF($E238="Choice Band",1.5,IF(OR($E238="Mawilite",$E238="Medichamite",$E238="Thick Club"),2,1)))</f>
        <v>100</v>
      </c>
      <c r="AD238" s="84">
        <f>INT(INT((INT((2*VLOOKUP($C238,DexData,7,0)+INT(S238/4)+M238)/2)+5)*X238)*IF($E238="Eviolite",1.5,1))</f>
        <v>130</v>
      </c>
      <c r="AE238" s="84">
        <f>INT(INT((INT((2*VLOOKUP($C238,DexData,9,0)+INT(T238/4)+N238)/2)+5)*Y238)*IF($E238="Choice Specs",1.5,1))</f>
        <v>54</v>
      </c>
      <c r="AF238" s="84">
        <f>INT(INT((INT((2*VLOOKUP($C238,DexData,10,0)+INT(U238/4)+O238)/2)+5)*Z238)*IF(OR($E238="Eviolite",$E238="Assault Vest"),1.5,1))</f>
        <v>89</v>
      </c>
      <c r="AG238" s="84">
        <f>INT(INT((INT((2*VLOOKUP($C238,DexData,11,0)+INT(V238/4)+P238)/2)+5)*AA238)*IF($E238="Choice Scarf",1.5,IF($E238="Iron Ball",0.5,1)))</f>
        <v>90</v>
      </c>
      <c r="AH238" s="84" t="str">
        <f>VLOOKUP(VLOOKUP($C238,DexData,3,0),Aliases!D$2:E$19,2,0)&amp;IFERROR("/"&amp;VLOOKUP(VLOOKUP($C238,DexData,4,0),Aliases!D$2:E$19,2,0),"")</f>
        <v>WTR/PSN</v>
      </c>
      <c r="AI238" s="7">
        <v>3.0</v>
      </c>
      <c r="AJ238" s="7">
        <f>IF(VLOOKUP(B238,'Set Odds'!A$2:AN$1067,40,0),1,IF(VLOOKUP(B238,'Set Odds'!A$2:AO$1067,41,0),2,0))</f>
        <v>0</v>
      </c>
      <c r="AK238" s="7"/>
      <c r="AL238" s="7" t="str">
        <f t="shared" si="1"/>
        <v/>
      </c>
    </row>
    <row r="239" ht="12.75" customHeight="1">
      <c r="A239" s="86">
        <v>238.0</v>
      </c>
      <c r="B239" s="84" t="s">
        <v>3388</v>
      </c>
      <c r="C239" s="7" t="s">
        <v>3389</v>
      </c>
      <c r="D239" s="7" t="s">
        <v>2571</v>
      </c>
      <c r="E239" s="7" t="s">
        <v>2515</v>
      </c>
      <c r="F239" s="84" t="s">
        <v>3048</v>
      </c>
      <c r="G239" s="84" t="s">
        <v>2513</v>
      </c>
      <c r="H239" s="84" t="s">
        <v>3390</v>
      </c>
      <c r="I239" s="84" t="s">
        <v>3391</v>
      </c>
      <c r="J239" s="7" t="s">
        <v>3392</v>
      </c>
      <c r="K239" s="7">
        <v>31.0</v>
      </c>
      <c r="L239" s="7">
        <v>31.0</v>
      </c>
      <c r="M239" s="7">
        <v>0.0</v>
      </c>
      <c r="N239" s="7">
        <v>0.0</v>
      </c>
      <c r="O239" s="7">
        <v>0.0</v>
      </c>
      <c r="P239" s="7">
        <v>31.0</v>
      </c>
      <c r="Q239" s="7">
        <v>108.0</v>
      </c>
      <c r="R239" s="7">
        <v>108.0</v>
      </c>
      <c r="S239" s="7">
        <v>0.0</v>
      </c>
      <c r="T239" s="7">
        <v>0.0</v>
      </c>
      <c r="U239" s="7">
        <v>0.0</v>
      </c>
      <c r="V239" s="7">
        <v>108.0</v>
      </c>
      <c r="W239" s="7">
        <f>VLOOKUP($D239,NatureChart,2,0)</f>
        <v>1.1</v>
      </c>
      <c r="X239" s="7">
        <f>VLOOKUP($D239,NatureChart,3,0)</f>
        <v>1</v>
      </c>
      <c r="Y239" s="7">
        <f>VLOOKUP($D239,NatureChart,4,0)</f>
        <v>0.9</v>
      </c>
      <c r="Z239" s="7">
        <f>VLOOKUP($D239,NatureChart,5,0)</f>
        <v>1</v>
      </c>
      <c r="AA239" s="84">
        <f>VLOOKUP($D239,NatureChart,6,0)</f>
        <v>1</v>
      </c>
      <c r="AB239" s="84">
        <f>IF($C239="Shedinja",1,(INT((2*VLOOKUP($C239,DexData,5,0)+INT(Q239/4)+K239)/2)+60))</f>
        <v>144</v>
      </c>
      <c r="AC239" s="84">
        <f>INT(INT((INT((2*VLOOKUP($C239,DexData,6,0)+INT(R239/4)+L239)/2)+5)*W239)*IF($E239="Choice Band",1.5,IF(OR($E239="Mawilite",$E239="Medichamite",$E239="Thick Club"),2,1)))</f>
        <v>141</v>
      </c>
      <c r="AD239" s="84">
        <f>INT(INT((INT((2*VLOOKUP($C239,DexData,7,0)+INT(S239/4)+M239)/2)+5)*X239)*IF($E239="Eviolite",1.5,1))</f>
        <v>60</v>
      </c>
      <c r="AE239" s="84">
        <f>INT(INT((INT((2*VLOOKUP($C239,DexData,9,0)+INT(T239/4)+N239)/2)+5)*Y239)*IF($E239="Choice Specs",1.5,1))</f>
        <v>36</v>
      </c>
      <c r="AF239" s="84">
        <f>INT(INT((INT((2*VLOOKUP($C239,DexData,10,0)+INT(U239/4)+O239)/2)+5)*Z239)*IF(OR($E239="Eviolite",$E239="Assault Vest"),1.5,1))</f>
        <v>80</v>
      </c>
      <c r="AG239" s="84">
        <f>INT(INT((INT((2*VLOOKUP($C239,DexData,11,0)+INT(V239/4)+P239)/2)+5)*AA239)*IF($E239="Choice Scarf",1.5,IF($E239="Iron Ball",0.5,1)))</f>
        <v>149</v>
      </c>
      <c r="AH239" s="84" t="str">
        <f>VLOOKUP(VLOOKUP($C239,DexData,3,0),Aliases!D$2:E$19,2,0)&amp;IFERROR("/"&amp;VLOOKUP(VLOOKUP($C239,DexData,4,0),Aliases!D$2:E$19,2,0),"")</f>
        <v>DRK/ICE</v>
      </c>
      <c r="AI239" s="7">
        <v>3.0</v>
      </c>
      <c r="AJ239" s="7">
        <f>IF(VLOOKUP(B239,'Set Odds'!A$2:AN$1067,40,0),1,IF(VLOOKUP(B239,'Set Odds'!A$2:AO$1067,41,0),2,0))</f>
        <v>0</v>
      </c>
      <c r="AK239" s="7"/>
      <c r="AL239" s="7" t="str">
        <f t="shared" si="1"/>
        <v/>
      </c>
    </row>
    <row r="240" ht="12.75" customHeight="1">
      <c r="A240" s="86">
        <v>239.0</v>
      </c>
      <c r="B240" s="84" t="s">
        <v>3393</v>
      </c>
      <c r="C240" s="7" t="s">
        <v>3394</v>
      </c>
      <c r="D240" s="7" t="s">
        <v>2571</v>
      </c>
      <c r="E240" s="7" t="s">
        <v>3395</v>
      </c>
      <c r="F240" s="84" t="s">
        <v>3265</v>
      </c>
      <c r="G240" s="84" t="s">
        <v>2624</v>
      </c>
      <c r="H240" s="84" t="s">
        <v>3253</v>
      </c>
      <c r="I240" s="84" t="s">
        <v>2602</v>
      </c>
      <c r="J240" s="7" t="s">
        <v>2777</v>
      </c>
      <c r="K240" s="7">
        <v>31.0</v>
      </c>
      <c r="L240" s="7">
        <v>31.0</v>
      </c>
      <c r="M240" s="7">
        <v>0.0</v>
      </c>
      <c r="N240" s="7">
        <v>0.0</v>
      </c>
      <c r="O240" s="7">
        <v>0.0</v>
      </c>
      <c r="P240" s="7">
        <v>31.0</v>
      </c>
      <c r="Q240" s="7">
        <v>108.0</v>
      </c>
      <c r="R240" s="7">
        <v>108.0</v>
      </c>
      <c r="S240" s="7">
        <v>0.0</v>
      </c>
      <c r="T240" s="7">
        <v>0.0</v>
      </c>
      <c r="U240" s="7">
        <v>0.0</v>
      </c>
      <c r="V240" s="7">
        <v>108.0</v>
      </c>
      <c r="W240" s="7">
        <f>VLOOKUP($D240,NatureChart,2,0)</f>
        <v>1.1</v>
      </c>
      <c r="X240" s="7">
        <f>VLOOKUP($D240,NatureChart,3,0)</f>
        <v>1</v>
      </c>
      <c r="Y240" s="7">
        <f>VLOOKUP($D240,NatureChart,4,0)</f>
        <v>0.9</v>
      </c>
      <c r="Z240" s="7">
        <f>VLOOKUP($D240,NatureChart,5,0)</f>
        <v>1</v>
      </c>
      <c r="AA240" s="84">
        <f>VLOOKUP($D240,NatureChart,6,0)</f>
        <v>1</v>
      </c>
      <c r="AB240" s="84">
        <f>IF($C240="Shedinja",1,(INT((2*VLOOKUP($C240,DexData,5,0)+INT(Q240/4)+K240)/2)+60))</f>
        <v>149</v>
      </c>
      <c r="AC240" s="84">
        <f>INT(INT((INT((2*VLOOKUP($C240,DexData,6,0)+INT(R240/4)+L240)/2)+5)*W240)*IF($E240="Choice Band",1.5,IF(OR($E240="Mawilite",$E240="Medichamite",$E240="Thick Club"),2,1)))</f>
        <v>130</v>
      </c>
      <c r="AD240" s="84">
        <f>INT(INT((INT((2*VLOOKUP($C240,DexData,7,0)+INT(S240/4)+M240)/2)+5)*X240)*IF($E240="Eviolite",1.5,1))</f>
        <v>65</v>
      </c>
      <c r="AE240" s="84">
        <f>INT(INT((INT((2*VLOOKUP($C240,DexData,9,0)+INT(T240/4)+N240)/2)+5)*Y240)*IF($E240="Choice Specs",1.5,1))</f>
        <v>72</v>
      </c>
      <c r="AF240" s="84">
        <f>INT(INT((INT((2*VLOOKUP($C240,DexData,10,0)+INT(U240/4)+O240)/2)+5)*Z240)*IF(OR($E240="Eviolite",$E240="Assault Vest"),1.5,1))</f>
        <v>55</v>
      </c>
      <c r="AG240" s="84">
        <f>INT(INT((INT((2*VLOOKUP($C240,DexData,11,0)+INT(V240/4)+P240)/2)+5)*AA240)*IF($E240="Choice Scarf",1.5,IF($E240="Iron Ball",0.5,1)))</f>
        <v>159</v>
      </c>
      <c r="AH240" s="84" t="str">
        <f>VLOOKUP(VLOOKUP($C240,DexData,3,0),Aliases!D$2:E$19,2,0)&amp;IFERROR("/"&amp;VLOOKUP(VLOOKUP($C240,DexData,4,0),Aliases!D$2:E$19,2,0),"")</f>
        <v>NRM/FLY</v>
      </c>
      <c r="AI240" s="7">
        <v>3.0</v>
      </c>
      <c r="AJ240" s="7">
        <f>IF(VLOOKUP(B240,'Set Odds'!A$2:AN$1067,40,0),1,IF(VLOOKUP(B240,'Set Odds'!A$2:AO$1067,41,0),2,0))</f>
        <v>0</v>
      </c>
      <c r="AK240" s="7"/>
      <c r="AL240" s="7" t="str">
        <f t="shared" si="1"/>
        <v/>
      </c>
    </row>
    <row r="241" ht="12.75" customHeight="1">
      <c r="A241" s="86">
        <v>240.0</v>
      </c>
      <c r="B241" s="84" t="s">
        <v>3396</v>
      </c>
      <c r="C241" s="7" t="s">
        <v>3397</v>
      </c>
      <c r="D241" s="7" t="s">
        <v>2827</v>
      </c>
      <c r="E241" s="7" t="s">
        <v>2636</v>
      </c>
      <c r="F241" s="84" t="s">
        <v>2607</v>
      </c>
      <c r="G241" s="84" t="s">
        <v>2614</v>
      </c>
      <c r="H241" s="84" t="s">
        <v>3222</v>
      </c>
      <c r="I241" s="84" t="s">
        <v>3398</v>
      </c>
      <c r="J241" s="7" t="s">
        <v>3399</v>
      </c>
      <c r="K241" s="7">
        <v>31.0</v>
      </c>
      <c r="L241" s="7">
        <v>0.0</v>
      </c>
      <c r="M241" s="7">
        <v>31.0</v>
      </c>
      <c r="N241" s="7">
        <v>31.0</v>
      </c>
      <c r="O241" s="7">
        <v>0.0</v>
      </c>
      <c r="P241" s="7">
        <v>0.0</v>
      </c>
      <c r="Q241" s="7">
        <v>108.0</v>
      </c>
      <c r="R241" s="7">
        <v>0.0</v>
      </c>
      <c r="S241" s="7">
        <v>108.0</v>
      </c>
      <c r="T241" s="7">
        <v>108.0</v>
      </c>
      <c r="U241" s="7">
        <v>0.0</v>
      </c>
      <c r="V241" s="7">
        <v>0.0</v>
      </c>
      <c r="W241" s="7">
        <f>VLOOKUP($D241,NatureChart,2,0)</f>
        <v>1</v>
      </c>
      <c r="X241" s="7">
        <f>VLOOKUP($D241,NatureChart,3,0)</f>
        <v>1</v>
      </c>
      <c r="Y241" s="7">
        <f>VLOOKUP($D241,NatureChart,4,0)</f>
        <v>1.1</v>
      </c>
      <c r="Z241" s="7">
        <f>VLOOKUP($D241,NatureChart,5,0)</f>
        <v>1</v>
      </c>
      <c r="AA241" s="84">
        <f>VLOOKUP($D241,NatureChart,6,0)</f>
        <v>0.9</v>
      </c>
      <c r="AB241" s="84">
        <f>IF($C241="Shedinja",1,(INT((2*VLOOKUP($C241,DexData,5,0)+INT(Q241/4)+K241)/2)+60))</f>
        <v>149</v>
      </c>
      <c r="AC241" s="84">
        <f>INT(INT((INT((2*VLOOKUP($C241,DexData,6,0)+INT(R241/4)+L241)/2)+5)*W241)*IF($E241="Choice Band",1.5,IF(OR($E241="Mawilite",$E241="Medichamite",$E241="Thick Club"),2,1)))</f>
        <v>55</v>
      </c>
      <c r="AD241" s="84">
        <f>INT(INT((INT((2*VLOOKUP($C241,DexData,7,0)+INT(S241/4)+M241)/2)+5)*X241)*IF($E241="Eviolite",1.5,1))</f>
        <v>134</v>
      </c>
      <c r="AE241" s="84">
        <f>INT(INT((INT((2*VLOOKUP($C241,DexData,9,0)+INT(T241/4)+N241)/2)+5)*Y241)*IF($E241="Choice Specs",1.5,1))</f>
        <v>141</v>
      </c>
      <c r="AF241" s="84">
        <f>INT(INT((INT((2*VLOOKUP($C241,DexData,10,0)+INT(U241/4)+O241)/2)+5)*Z241)*IF(OR($E241="Eviolite",$E241="Assault Vest"),1.5,1))</f>
        <v>75</v>
      </c>
      <c r="AG241" s="84">
        <f>INT(INT((INT((2*VLOOKUP($C241,DexData,11,0)+INT(V241/4)+P241)/2)+5)*AA241)*IF($E241="Choice Scarf",1.5,IF($E241="Iron Ball",0.5,1)))</f>
        <v>63</v>
      </c>
      <c r="AH241" s="84" t="str">
        <f>VLOOKUP(VLOOKUP($C241,DexData,3,0),Aliases!D$2:E$19,2,0)&amp;IFERROR("/"&amp;VLOOKUP(VLOOKUP($C241,DexData,4,0),Aliases!D$2:E$19,2,0),"")</f>
        <v>WTR/FLY</v>
      </c>
      <c r="AI241" s="7">
        <v>3.0</v>
      </c>
      <c r="AJ241" s="7">
        <f>IF(VLOOKUP(B241,'Set Odds'!A$2:AN$1067,40,0),1,IF(VLOOKUP(B241,'Set Odds'!A$2:AO$1067,41,0),2,0))</f>
        <v>0</v>
      </c>
      <c r="AK241" s="7"/>
      <c r="AL241" s="7" t="str">
        <f t="shared" si="1"/>
        <v/>
      </c>
    </row>
    <row r="242" ht="12.75" customHeight="1">
      <c r="A242" s="86">
        <v>241.0</v>
      </c>
      <c r="B242" s="84" t="s">
        <v>3400</v>
      </c>
      <c r="C242" s="7" t="s">
        <v>3401</v>
      </c>
      <c r="D242" s="7" t="s">
        <v>3105</v>
      </c>
      <c r="E242" s="7" t="s">
        <v>3021</v>
      </c>
      <c r="F242" s="84" t="s">
        <v>2887</v>
      </c>
      <c r="G242" s="84" t="s">
        <v>2751</v>
      </c>
      <c r="H242" s="84" t="s">
        <v>3087</v>
      </c>
      <c r="I242" s="84" t="s">
        <v>2517</v>
      </c>
      <c r="J242" s="7" t="s">
        <v>2728</v>
      </c>
      <c r="K242" s="7">
        <v>31.0</v>
      </c>
      <c r="L242" s="7">
        <v>31.0</v>
      </c>
      <c r="M242" s="7">
        <v>0.0</v>
      </c>
      <c r="N242" s="7">
        <v>0.0</v>
      </c>
      <c r="O242" s="7">
        <v>0.0</v>
      </c>
      <c r="P242" s="7">
        <v>31.0</v>
      </c>
      <c r="Q242" s="7">
        <v>108.0</v>
      </c>
      <c r="R242" s="7">
        <v>108.0</v>
      </c>
      <c r="S242" s="7">
        <v>0.0</v>
      </c>
      <c r="T242" s="7">
        <v>0.0</v>
      </c>
      <c r="U242" s="7">
        <v>0.0</v>
      </c>
      <c r="V242" s="7">
        <v>108.0</v>
      </c>
      <c r="W242" s="7">
        <f>VLOOKUP($D242,NatureChart,2,0)</f>
        <v>1</v>
      </c>
      <c r="X242" s="7">
        <f>VLOOKUP($D242,NatureChart,3,0)</f>
        <v>1</v>
      </c>
      <c r="Y242" s="7">
        <f>VLOOKUP($D242,NatureChart,4,0)</f>
        <v>1</v>
      </c>
      <c r="Z242" s="7">
        <f>VLOOKUP($D242,NatureChart,5,0)</f>
        <v>1.1</v>
      </c>
      <c r="AA242" s="84">
        <f>VLOOKUP($D242,NatureChart,6,0)</f>
        <v>0.9</v>
      </c>
      <c r="AB242" s="84">
        <f>IF($C242="Shedinja",1,(INT((2*VLOOKUP($C242,DexData,5,0)+INT(Q242/4)+K242)/2)+60))</f>
        <v>149</v>
      </c>
      <c r="AC242" s="84">
        <f>INT(INT((INT((2*VLOOKUP($C242,DexData,6,0)+INT(R242/4)+L242)/2)+5)*W242)*IF($E242="Choice Band",1.5,IF(OR($E242="Mawilite",$E242="Medichamite",$E242="Thick Club"),2,1)))</f>
        <v>124</v>
      </c>
      <c r="AD242" s="84">
        <f>INT(INT((INT((2*VLOOKUP($C242,DexData,7,0)+INT(S242/4)+M242)/2)+5)*X242)*IF($E242="Eviolite",1.5,1))</f>
        <v>145</v>
      </c>
      <c r="AE242" s="84">
        <f>INT(INT((INT((2*VLOOKUP($C242,DexData,9,0)+INT(T242/4)+N242)/2)+5)*Y242)*IF($E242="Choice Specs",1.5,1))</f>
        <v>55</v>
      </c>
      <c r="AF242" s="84">
        <f>INT(INT((INT((2*VLOOKUP($C242,DexData,10,0)+INT(U242/4)+O242)/2)+5)*Z242)*IF(OR($E242="Eviolite",$E242="Assault Vest"),1.5,1))</f>
        <v>60</v>
      </c>
      <c r="AG242" s="84">
        <f>INT(INT((INT((2*VLOOKUP($C242,DexData,11,0)+INT(V242/4)+P242)/2)+5)*AA242)*IF($E242="Choice Scarf",1.5,IF($E242="Iron Ball",0.5,1)))</f>
        <v>66</v>
      </c>
      <c r="AH242" s="84" t="str">
        <f>VLOOKUP(VLOOKUP($C242,DexData,3,0),Aliases!D$2:E$19,2,0)&amp;IFERROR("/"&amp;VLOOKUP(VLOOKUP($C242,DexData,4,0),Aliases!D$2:E$19,2,0),"")</f>
        <v>STL/RCK</v>
      </c>
      <c r="AI242" s="7">
        <v>3.0</v>
      </c>
      <c r="AJ242" s="7">
        <f>IF(VLOOKUP(B242,'Set Odds'!A$2:AN$1067,40,0),1,IF(VLOOKUP(B242,'Set Odds'!A$2:AO$1067,41,0),2,0))</f>
        <v>0</v>
      </c>
      <c r="AK242" s="7"/>
      <c r="AL242" s="7" t="str">
        <f t="shared" si="1"/>
        <v/>
      </c>
    </row>
    <row r="243" ht="12.75" customHeight="1">
      <c r="A243" s="86">
        <v>242.0</v>
      </c>
      <c r="B243" s="84" t="s">
        <v>3402</v>
      </c>
      <c r="C243" s="7" t="s">
        <v>3403</v>
      </c>
      <c r="D243" s="7" t="s">
        <v>2795</v>
      </c>
      <c r="E243" s="7" t="s">
        <v>2528</v>
      </c>
      <c r="F243" s="84" t="s">
        <v>2613</v>
      </c>
      <c r="G243" s="84" t="s">
        <v>3197</v>
      </c>
      <c r="H243" s="84" t="s">
        <v>2575</v>
      </c>
      <c r="I243" s="84" t="s">
        <v>3194</v>
      </c>
      <c r="J243" s="7" t="s">
        <v>3404</v>
      </c>
      <c r="K243" s="7">
        <v>31.0</v>
      </c>
      <c r="L243" s="7">
        <v>0.0</v>
      </c>
      <c r="M243" s="7">
        <v>31.0</v>
      </c>
      <c r="N243" s="7">
        <v>0.0</v>
      </c>
      <c r="O243" s="7">
        <v>31.0</v>
      </c>
      <c r="P243" s="7">
        <v>0.0</v>
      </c>
      <c r="Q243" s="7">
        <v>108.0</v>
      </c>
      <c r="R243" s="7">
        <v>0.0</v>
      </c>
      <c r="S243" s="7">
        <v>108.0</v>
      </c>
      <c r="T243" s="7">
        <v>0.0</v>
      </c>
      <c r="U243" s="7">
        <v>108.0</v>
      </c>
      <c r="V243" s="7">
        <v>0.0</v>
      </c>
      <c r="W243" s="7">
        <f>VLOOKUP($D243,NatureChart,2,0)</f>
        <v>1</v>
      </c>
      <c r="X243" s="7">
        <f>VLOOKUP($D243,NatureChart,3,0)</f>
        <v>1</v>
      </c>
      <c r="Y243" s="7">
        <f>VLOOKUP($D243,NatureChart,4,0)</f>
        <v>1</v>
      </c>
      <c r="Z243" s="7">
        <f>VLOOKUP($D243,NatureChart,5,0)</f>
        <v>1</v>
      </c>
      <c r="AA243" s="84">
        <f>VLOOKUP($D243,NatureChart,6,0)</f>
        <v>1</v>
      </c>
      <c r="AB243" s="84">
        <f>IF($C243="Shedinja",1,(INT((2*VLOOKUP($C243,DexData,5,0)+INT(Q243/4)+K243)/2)+60))</f>
        <v>154</v>
      </c>
      <c r="AC243" s="84">
        <f>INT(INT((INT((2*VLOOKUP($C243,DexData,6,0)+INT(R243/4)+L243)/2)+5)*W243)*IF($E243="Choice Band",1.5,IF(OR($E243="Mawilite",$E243="Medichamite",$E243="Thick Club"),2,1)))</f>
        <v>60</v>
      </c>
      <c r="AD243" s="84">
        <f>INT(INT((INT((2*VLOOKUP($C243,DexData,7,0)+INT(S243/4)+M243)/2)+5)*X243)*IF($E243="Eviolite",1.5,1))</f>
        <v>149</v>
      </c>
      <c r="AE243" s="84">
        <f>INT(INT((INT((2*VLOOKUP($C243,DexData,9,0)+INT(T243/4)+N243)/2)+5)*Y243)*IF($E243="Choice Specs",1.5,1))</f>
        <v>105</v>
      </c>
      <c r="AF243" s="84">
        <f>INT(INT((INT((2*VLOOKUP($C243,DexData,10,0)+INT(U243/4)+O243)/2)+5)*Z243)*IF(OR($E243="Eviolite",$E243="Assault Vest"),1.5,1))</f>
        <v>74</v>
      </c>
      <c r="AG243" s="84">
        <f>INT(INT((INT((2*VLOOKUP($C243,DexData,11,0)+INT(V243/4)+P243)/2)+5)*AA243)*IF($E243="Choice Scarf",1.5,IF($E243="Iron Ball",0.5,1)))</f>
        <v>65</v>
      </c>
      <c r="AH243" s="84" t="str">
        <f>VLOOKUP(VLOOKUP($C243,DexData,3,0),Aliases!D$2:E$19,2,0)&amp;IFERROR("/"&amp;VLOOKUP(VLOOKUP($C243,DexData,4,0),Aliases!D$2:E$19,2,0),"")</f>
        <v>GRS</v>
      </c>
      <c r="AI243" s="7">
        <v>3.0</v>
      </c>
      <c r="AJ243" s="7">
        <f>IF(VLOOKUP(B243,'Set Odds'!A$2:AN$1067,40,0),1,IF(VLOOKUP(B243,'Set Odds'!A$2:AO$1067,41,0),2,0))</f>
        <v>0</v>
      </c>
      <c r="AK243" s="7"/>
      <c r="AL243" s="7" t="str">
        <f t="shared" si="1"/>
        <v/>
      </c>
    </row>
    <row r="244" ht="12.75" customHeight="1">
      <c r="A244" s="86">
        <v>243.0</v>
      </c>
      <c r="B244" s="84" t="s">
        <v>3405</v>
      </c>
      <c r="C244" s="7" t="s">
        <v>3406</v>
      </c>
      <c r="D244" s="7" t="s">
        <v>2648</v>
      </c>
      <c r="E244" s="7" t="s">
        <v>2520</v>
      </c>
      <c r="F244" s="84" t="s">
        <v>3407</v>
      </c>
      <c r="G244" s="84" t="s">
        <v>2661</v>
      </c>
      <c r="H244" s="84" t="s">
        <v>2536</v>
      </c>
      <c r="I244" s="84" t="s">
        <v>2763</v>
      </c>
      <c r="J244" s="7" t="s">
        <v>2714</v>
      </c>
      <c r="K244" s="7">
        <v>31.0</v>
      </c>
      <c r="L244" s="7">
        <v>0.0</v>
      </c>
      <c r="M244" s="7">
        <v>31.0</v>
      </c>
      <c r="N244" s="7">
        <v>0.0</v>
      </c>
      <c r="O244" s="7">
        <v>31.0</v>
      </c>
      <c r="P244" s="7">
        <v>0.0</v>
      </c>
      <c r="Q244" s="7">
        <v>108.0</v>
      </c>
      <c r="R244" s="7">
        <v>0.0</v>
      </c>
      <c r="S244" s="7">
        <v>108.0</v>
      </c>
      <c r="T244" s="7">
        <v>0.0</v>
      </c>
      <c r="U244" s="7">
        <v>108.0</v>
      </c>
      <c r="V244" s="7">
        <v>0.0</v>
      </c>
      <c r="W244" s="7">
        <f>VLOOKUP($D244,NatureChart,2,0)</f>
        <v>1</v>
      </c>
      <c r="X244" s="7">
        <f>VLOOKUP($D244,NatureChart,3,0)</f>
        <v>1.1</v>
      </c>
      <c r="Y244" s="7">
        <f>VLOOKUP($D244,NatureChart,4,0)</f>
        <v>0.9</v>
      </c>
      <c r="Z244" s="7">
        <f>VLOOKUP($D244,NatureChart,5,0)</f>
        <v>1</v>
      </c>
      <c r="AA244" s="84">
        <f>VLOOKUP($D244,NatureChart,6,0)</f>
        <v>1</v>
      </c>
      <c r="AB244" s="84">
        <f>IF($C244="Shedinja",1,(INT((2*VLOOKUP($C244,DexData,5,0)+INT(Q244/4)+K244)/2)+60))</f>
        <v>149</v>
      </c>
      <c r="AC244" s="84">
        <f>INT(INT((INT((2*VLOOKUP($C244,DexData,6,0)+INT(R244/4)+L244)/2)+5)*W244)*IF($E244="Choice Band",1.5,IF(OR($E244="Mawilite",$E244="Medichamite",$E244="Thick Club"),2,1)))</f>
        <v>65</v>
      </c>
      <c r="AD244" s="84">
        <f>INT(INT((INT((2*VLOOKUP($C244,DexData,7,0)+INT(S244/4)+M244)/2)+5)*X244)*IF($E244="Eviolite",1.5,1))</f>
        <v>103</v>
      </c>
      <c r="AE244" s="84">
        <f>INT(INT((INT((2*VLOOKUP($C244,DexData,9,0)+INT(T244/4)+N244)/2)+5)*Y244)*IF($E244="Choice Specs",1.5,1))</f>
        <v>81</v>
      </c>
      <c r="AF244" s="84">
        <f>INT(INT((INT((2*VLOOKUP($C244,DexData,10,0)+INT(U244/4)+O244)/2)+5)*Z244)*IF(OR($E244="Eviolite",$E244="Assault Vest"),1.5,1))</f>
        <v>119</v>
      </c>
      <c r="AG244" s="84">
        <f>INT(INT((INT((2*VLOOKUP($C244,DexData,11,0)+INT(V244/4)+P244)/2)+5)*AA244)*IF($E244="Choice Scarf",1.5,IF($E244="Iron Ball",0.5,1)))</f>
        <v>90</v>
      </c>
      <c r="AH244" s="84" t="str">
        <f>VLOOKUP(VLOOKUP($C244,DexData,3,0),Aliases!D$2:E$19,2,0)&amp;IFERROR("/"&amp;VLOOKUP(VLOOKUP($C244,DexData,4,0),Aliases!D$2:E$19,2,0),"")</f>
        <v>GHO</v>
      </c>
      <c r="AI244" s="7">
        <v>3.0</v>
      </c>
      <c r="AJ244" s="7">
        <f>IF(VLOOKUP(B244,'Set Odds'!A$2:AN$1067,40,0),1,IF(VLOOKUP(B244,'Set Odds'!A$2:AO$1067,41,0),2,0))</f>
        <v>0</v>
      </c>
      <c r="AK244" s="7"/>
      <c r="AL244" s="7" t="str">
        <f t="shared" si="1"/>
        <v/>
      </c>
    </row>
    <row r="245" ht="12.75" customHeight="1">
      <c r="A245" s="86">
        <v>244.0</v>
      </c>
      <c r="B245" s="84" t="s">
        <v>3408</v>
      </c>
      <c r="C245" s="7" t="s">
        <v>3409</v>
      </c>
      <c r="D245" s="7" t="s">
        <v>2571</v>
      </c>
      <c r="E245" s="7" t="s">
        <v>2761</v>
      </c>
      <c r="F245" s="84" t="s">
        <v>3357</v>
      </c>
      <c r="G245" s="84" t="s">
        <v>2626</v>
      </c>
      <c r="H245" s="84" t="s">
        <v>2588</v>
      </c>
      <c r="I245" s="84" t="s">
        <v>3347</v>
      </c>
      <c r="J245" s="7" t="s">
        <v>2696</v>
      </c>
      <c r="K245" s="7">
        <v>31.0</v>
      </c>
      <c r="L245" s="7">
        <v>31.0</v>
      </c>
      <c r="M245" s="7">
        <v>0.0</v>
      </c>
      <c r="N245" s="7">
        <v>0.0</v>
      </c>
      <c r="O245" s="7">
        <v>0.0</v>
      </c>
      <c r="P245" s="7">
        <v>31.0</v>
      </c>
      <c r="Q245" s="7">
        <v>108.0</v>
      </c>
      <c r="R245" s="7">
        <v>108.0</v>
      </c>
      <c r="S245" s="7">
        <v>0.0</v>
      </c>
      <c r="T245" s="7">
        <v>0.0</v>
      </c>
      <c r="U245" s="7">
        <v>0.0</v>
      </c>
      <c r="V245" s="7">
        <v>108.0</v>
      </c>
      <c r="W245" s="7">
        <f>VLOOKUP($D245,NatureChart,2,0)</f>
        <v>1.1</v>
      </c>
      <c r="X245" s="7">
        <f>VLOOKUP($D245,NatureChart,3,0)</f>
        <v>1</v>
      </c>
      <c r="Y245" s="7">
        <f>VLOOKUP($D245,NatureChart,4,0)</f>
        <v>0.9</v>
      </c>
      <c r="Z245" s="7">
        <f>VLOOKUP($D245,NatureChart,5,0)</f>
        <v>1</v>
      </c>
      <c r="AA245" s="84">
        <f>VLOOKUP($D245,NatureChart,6,0)</f>
        <v>1</v>
      </c>
      <c r="AB245" s="84">
        <f>IF($C245="Shedinja",1,(INT((2*VLOOKUP($C245,DexData,5,0)+INT(Q245/4)+K245)/2)+60))</f>
        <v>149</v>
      </c>
      <c r="AC245" s="84">
        <f>INT(INT((INT((2*VLOOKUP($C245,DexData,6,0)+INT(R245/4)+L245)/2)+5)*W245)*IF($E245="Choice Band",1.5,IF(OR($E245="Mawilite",$E245="Medichamite",$E245="Thick Club"),2,1)))</f>
        <v>141</v>
      </c>
      <c r="AD245" s="84">
        <f>INT(INT((INT((2*VLOOKUP($C245,DexData,7,0)+INT(S245/4)+M245)/2)+5)*X245)*IF($E245="Eviolite",1.5,1))</f>
        <v>74</v>
      </c>
      <c r="AE245" s="84">
        <f>INT(INT((INT((2*VLOOKUP($C245,DexData,9,0)+INT(T245/4)+N245)/2)+5)*Y245)*IF($E245="Choice Specs",1.5,1))</f>
        <v>63</v>
      </c>
      <c r="AF245" s="84">
        <f>INT(INT((INT((2*VLOOKUP($C245,DexData,10,0)+INT(U245/4)+O245)/2)+5)*Z245)*IF(OR($E245="Eviolite",$E245="Assault Vest"),1.5,1))</f>
        <v>84</v>
      </c>
      <c r="AG245" s="84">
        <f>INT(INT((INT((2*VLOOKUP($C245,DexData,11,0)+INT(V245/4)+P245)/2)+5)*AA245)*IF($E245="Choice Scarf",1.5,IF($E245="Iron Ball",0.5,1)))</f>
        <v>114</v>
      </c>
      <c r="AH245" s="84" t="str">
        <f>VLOOKUP(VLOOKUP($C245,DexData,3,0),Aliases!D$2:E$19,2,0)&amp;IFERROR("/"&amp;VLOOKUP(VLOOKUP($C245,DexData,4,0),Aliases!D$2:E$19,2,0),"")</f>
        <v>PSN</v>
      </c>
      <c r="AI245" s="7">
        <v>3.0</v>
      </c>
      <c r="AJ245" s="7">
        <f>IF(VLOOKUP(B245,'Set Odds'!A$2:AN$1067,40,0),1,IF(VLOOKUP(B245,'Set Odds'!A$2:AO$1067,41,0),2,0))</f>
        <v>0</v>
      </c>
      <c r="AK245" s="7"/>
      <c r="AL245" s="7" t="str">
        <f t="shared" si="1"/>
        <v/>
      </c>
    </row>
    <row r="246" ht="12.75" customHeight="1">
      <c r="A246" s="86">
        <v>245.0</v>
      </c>
      <c r="B246" s="84" t="s">
        <v>3410</v>
      </c>
      <c r="C246" s="7" t="s">
        <v>3411</v>
      </c>
      <c r="D246" s="7" t="s">
        <v>2611</v>
      </c>
      <c r="E246" s="7" t="s">
        <v>3129</v>
      </c>
      <c r="F246" s="84" t="s">
        <v>2513</v>
      </c>
      <c r="G246" s="84" t="s">
        <v>2606</v>
      </c>
      <c r="H246" s="84" t="s">
        <v>3062</v>
      </c>
      <c r="I246" s="84" t="s">
        <v>2534</v>
      </c>
      <c r="J246" s="7" t="s">
        <v>3412</v>
      </c>
      <c r="K246" s="7">
        <v>0.0</v>
      </c>
      <c r="L246" s="7">
        <v>31.0</v>
      </c>
      <c r="M246" s="7">
        <v>31.0</v>
      </c>
      <c r="N246" s="7">
        <v>0.0</v>
      </c>
      <c r="O246" s="7">
        <v>0.0</v>
      </c>
      <c r="P246" s="7">
        <v>31.0</v>
      </c>
      <c r="Q246" s="7">
        <v>0.0</v>
      </c>
      <c r="R246" s="7">
        <v>108.0</v>
      </c>
      <c r="S246" s="7">
        <v>108.0</v>
      </c>
      <c r="T246" s="7">
        <v>0.0</v>
      </c>
      <c r="U246" s="7">
        <v>0.0</v>
      </c>
      <c r="V246" s="7">
        <v>108.0</v>
      </c>
      <c r="W246" s="7">
        <f>VLOOKUP($D246,NatureChart,2,0)</f>
        <v>1</v>
      </c>
      <c r="X246" s="7">
        <f>VLOOKUP($D246,NatureChart,3,0)</f>
        <v>1</v>
      </c>
      <c r="Y246" s="7">
        <f>VLOOKUP($D246,NatureChart,4,0)</f>
        <v>1</v>
      </c>
      <c r="Z246" s="7">
        <f>VLOOKUP($D246,NatureChart,5,0)</f>
        <v>1</v>
      </c>
      <c r="AA246" s="84">
        <f>VLOOKUP($D246,NatureChart,6,0)</f>
        <v>1</v>
      </c>
      <c r="AB246" s="84">
        <f>IF($C246="Shedinja",1,(INT((2*VLOOKUP($C246,DexData,5,0)+INT(Q246/4)+K246)/2)+60))</f>
        <v>125</v>
      </c>
      <c r="AC246" s="84">
        <f>INT(INT((INT((2*VLOOKUP($C246,DexData,6,0)+INT(R246/4)+L246)/2)+5)*W246)*IF($E246="Choice Band",1.5,IF(OR($E246="Mawilite",$E246="Medichamite",$E246="Thick Club"),2,1)))</f>
        <v>104</v>
      </c>
      <c r="AD246" s="84">
        <f>INT(INT((INT((2*VLOOKUP($C246,DexData,7,0)+INT(S246/4)+M246)/2)+5)*X246)*IF($E246="Eviolite",1.5,1))</f>
        <v>94</v>
      </c>
      <c r="AE246" s="84">
        <f>INT(INT((INT((2*VLOOKUP($C246,DexData,9,0)+INT(T246/4)+N246)/2)+5)*Y246)*IF($E246="Choice Specs",1.5,1))</f>
        <v>70</v>
      </c>
      <c r="AF246" s="84">
        <f>INT(INT((INT((2*VLOOKUP($C246,DexData,10,0)+INT(U246/4)+O246)/2)+5)*Z246)*IF(OR($E246="Eviolite",$E246="Assault Vest"),1.5,1))</f>
        <v>70</v>
      </c>
      <c r="AG246" s="84">
        <f>INT(INT((INT((2*VLOOKUP($C246,DexData,11,0)+INT(V246/4)+P246)/2)+5)*AA246)*IF($E246="Choice Scarf",1.5,IF($E246="Iron Ball",0.5,1)))</f>
        <v>149</v>
      </c>
      <c r="AH246" s="84" t="str">
        <f>VLOOKUP(VLOOKUP($C246,DexData,3,0),Aliases!D$2:E$19,2,0)&amp;IFERROR("/"&amp;VLOOKUP(VLOOKUP($C246,DexData,4,0),Aliases!D$2:E$19,2,0),"")</f>
        <v>NRM</v>
      </c>
      <c r="AI246" s="7">
        <v>3.0</v>
      </c>
      <c r="AJ246" s="7">
        <f>IF(VLOOKUP(B246,'Set Odds'!A$2:AN$1067,40,0),1,IF(VLOOKUP(B246,'Set Odds'!A$2:AO$1067,41,0),2,0))</f>
        <v>0</v>
      </c>
      <c r="AK246" s="7"/>
      <c r="AL246" s="7" t="str">
        <f t="shared" si="1"/>
        <v/>
      </c>
    </row>
    <row r="247" ht="12.75" customHeight="1">
      <c r="A247" s="86">
        <v>246.0</v>
      </c>
      <c r="B247" s="84" t="s">
        <v>3413</v>
      </c>
      <c r="C247" s="7" t="s">
        <v>3414</v>
      </c>
      <c r="D247" s="7" t="s">
        <v>3105</v>
      </c>
      <c r="E247" s="7" t="s">
        <v>2835</v>
      </c>
      <c r="F247" s="84" t="s">
        <v>2771</v>
      </c>
      <c r="G247" s="84" t="s">
        <v>2582</v>
      </c>
      <c r="H247" s="84" t="s">
        <v>3117</v>
      </c>
      <c r="I247" s="84" t="s">
        <v>2987</v>
      </c>
      <c r="J247" s="7" t="s">
        <v>2773</v>
      </c>
      <c r="K247" s="7">
        <v>31.0</v>
      </c>
      <c r="L247" s="7">
        <v>0.0</v>
      </c>
      <c r="M247" s="7">
        <v>0.0</v>
      </c>
      <c r="N247" s="7">
        <v>31.0</v>
      </c>
      <c r="O247" s="7">
        <v>0.0</v>
      </c>
      <c r="P247" s="7">
        <v>31.0</v>
      </c>
      <c r="Q247" s="7">
        <v>108.0</v>
      </c>
      <c r="R247" s="7">
        <v>0.0</v>
      </c>
      <c r="S247" s="7">
        <v>0.0</v>
      </c>
      <c r="T247" s="7">
        <v>108.0</v>
      </c>
      <c r="U247" s="7">
        <v>0.0</v>
      </c>
      <c r="V247" s="7">
        <v>108.0</v>
      </c>
      <c r="W247" s="7">
        <f>VLOOKUP($D247,NatureChart,2,0)</f>
        <v>1</v>
      </c>
      <c r="X247" s="7">
        <f>VLOOKUP($D247,NatureChart,3,0)</f>
        <v>1</v>
      </c>
      <c r="Y247" s="7">
        <f>VLOOKUP($D247,NatureChart,4,0)</f>
        <v>1</v>
      </c>
      <c r="Z247" s="7">
        <f>VLOOKUP($D247,NatureChart,5,0)</f>
        <v>1.1</v>
      </c>
      <c r="AA247" s="84">
        <f>VLOOKUP($D247,NatureChart,6,0)</f>
        <v>0.9</v>
      </c>
      <c r="AB247" s="84">
        <f>IF($C247="Shedinja",1,(INT((2*VLOOKUP($C247,DexData,5,0)+INT(Q247/4)+K247)/2)+60))</f>
        <v>144</v>
      </c>
      <c r="AC247" s="84">
        <f>INT(INT((INT((2*VLOOKUP($C247,DexData,6,0)+INT(R247/4)+L247)/2)+5)*W247)*IF($E247="Choice Band",1.5,IF(OR($E247="Mawilite",$E247="Medichamite",$E247="Thick Club"),2,1)))</f>
        <v>70</v>
      </c>
      <c r="AD247" s="84">
        <f>INT(INT((INT((2*VLOOKUP($C247,DexData,7,0)+INT(S247/4)+M247)/2)+5)*X247)*IF($E247="Eviolite",1.5,1))</f>
        <v>100</v>
      </c>
      <c r="AE247" s="84">
        <f>INT(INT((INT((2*VLOOKUP($C247,DexData,9,0)+INT(T247/4)+N247)/2)+5)*Y247)*IF($E247="Choice Specs",1.5,1))</f>
        <v>129</v>
      </c>
      <c r="AF247" s="84">
        <f>INT(INT((INT((2*VLOOKUP($C247,DexData,10,0)+INT(U247/4)+O247)/2)+5)*Z247)*IF(OR($E247="Eviolite",$E247="Assault Vest"),1.5,1))</f>
        <v>55</v>
      </c>
      <c r="AG247" s="84">
        <f>INT(INT((INT((2*VLOOKUP($C247,DexData,11,0)+INT(V247/4)+P247)/2)+5)*AA247)*IF($E247="Choice Scarf",1.5,IF($E247="Iron Ball",0.5,1)))</f>
        <v>107</v>
      </c>
      <c r="AH247" s="84" t="str">
        <f>VLOOKUP(VLOOKUP($C247,DexData,3,0),Aliases!D$2:E$19,2,0)&amp;IFERROR("/"&amp;VLOOKUP(VLOOKUP($C247,DexData,4,0),Aliases!D$2:E$19,2,0),"")</f>
        <v>WTR</v>
      </c>
      <c r="AI247" s="7">
        <v>3.0</v>
      </c>
      <c r="AJ247" s="7">
        <f>IF(VLOOKUP(B247,'Set Odds'!A$2:AN$1067,40,0),1,IF(VLOOKUP(B247,'Set Odds'!A$2:AO$1067,41,0),2,0))</f>
        <v>0</v>
      </c>
      <c r="AK247" s="7"/>
      <c r="AL247" s="7" t="str">
        <f t="shared" si="1"/>
        <v/>
      </c>
    </row>
    <row r="248" ht="12.75" customHeight="1">
      <c r="A248" s="86">
        <v>247.0</v>
      </c>
      <c r="B248" s="84" t="s">
        <v>3415</v>
      </c>
      <c r="C248" s="7" t="s">
        <v>3416</v>
      </c>
      <c r="D248" s="7" t="s">
        <v>2845</v>
      </c>
      <c r="E248" s="7" t="s">
        <v>2520</v>
      </c>
      <c r="F248" s="84" t="s">
        <v>2606</v>
      </c>
      <c r="G248" s="84" t="s">
        <v>2718</v>
      </c>
      <c r="H248" s="84" t="s">
        <v>2957</v>
      </c>
      <c r="I248" s="84" t="s">
        <v>2713</v>
      </c>
      <c r="J248" s="7" t="s">
        <v>3011</v>
      </c>
      <c r="K248" s="7">
        <v>31.0</v>
      </c>
      <c r="L248" s="7">
        <v>31.0</v>
      </c>
      <c r="M248" s="7">
        <v>0.0</v>
      </c>
      <c r="N248" s="7">
        <v>0.0</v>
      </c>
      <c r="O248" s="7">
        <v>0.0</v>
      </c>
      <c r="P248" s="7">
        <v>31.0</v>
      </c>
      <c r="Q248" s="7">
        <v>108.0</v>
      </c>
      <c r="R248" s="7">
        <v>108.0</v>
      </c>
      <c r="S248" s="7">
        <v>0.0</v>
      </c>
      <c r="T248" s="7">
        <v>0.0</v>
      </c>
      <c r="U248" s="7">
        <v>0.0</v>
      </c>
      <c r="V248" s="7">
        <v>108.0</v>
      </c>
      <c r="W248" s="7">
        <f>VLOOKUP($D248,NatureChart,2,0)</f>
        <v>1.1</v>
      </c>
      <c r="X248" s="7">
        <f>VLOOKUP($D248,NatureChart,3,0)</f>
        <v>0.9</v>
      </c>
      <c r="Y248" s="7">
        <f>VLOOKUP($D248,NatureChart,4,0)</f>
        <v>1</v>
      </c>
      <c r="Z248" s="7">
        <f>VLOOKUP($D248,NatureChart,5,0)</f>
        <v>1</v>
      </c>
      <c r="AA248" s="84">
        <f>VLOOKUP($D248,NatureChart,6,0)</f>
        <v>1</v>
      </c>
      <c r="AB248" s="84">
        <f>IF($C248="Shedinja",1,(INT((2*VLOOKUP($C248,DexData,5,0)+INT(Q248/4)+K248)/2)+60))</f>
        <v>169</v>
      </c>
      <c r="AC248" s="84">
        <f>INT(INT((INT((2*VLOOKUP($C248,DexData,6,0)+INT(R248/4)+L248)/2)+5)*W248)*IF($E248="Choice Band",1.5,IF(OR($E248="Mawilite",$E248="Medichamite",$E248="Thick Club"),2,1)))</f>
        <v>125</v>
      </c>
      <c r="AD248" s="84">
        <f>INT(INT((INT((2*VLOOKUP($C248,DexData,7,0)+INT(S248/4)+M248)/2)+5)*X248)*IF($E248="Eviolite",1.5,1))</f>
        <v>76</v>
      </c>
      <c r="AE248" s="84">
        <f>INT(INT((INT((2*VLOOKUP($C248,DexData,9,0)+INT(T248/4)+N248)/2)+5)*Y248)*IF($E248="Choice Specs",1.5,1))</f>
        <v>60</v>
      </c>
      <c r="AF248" s="84">
        <f>INT(INT((INT((2*VLOOKUP($C248,DexData,10,0)+INT(U248/4)+O248)/2)+5)*Z248)*IF(OR($E248="Eviolite",$E248="Assault Vest"),1.5,1))</f>
        <v>60</v>
      </c>
      <c r="AG248" s="84">
        <f>INT(INT((INT((2*VLOOKUP($C248,DexData,11,0)+INT(V248/4)+P248)/2)+5)*AA248)*IF($E248="Choice Scarf",1.5,IF($E248="Iron Ball",0.5,1)))</f>
        <v>124</v>
      </c>
      <c r="AH248" s="84" t="str">
        <f>VLOOKUP(VLOOKUP($C248,DexData,3,0),Aliases!D$2:E$19,2,0)&amp;IFERROR("/"&amp;VLOOKUP(VLOOKUP($C248,DexData,4,0),Aliases!D$2:E$19,2,0),"")</f>
        <v>NRM</v>
      </c>
      <c r="AI248" s="7">
        <v>3.0</v>
      </c>
      <c r="AJ248" s="7">
        <f>IF(VLOOKUP(B248,'Set Odds'!A$2:AN$1067,40,0),1,IF(VLOOKUP(B248,'Set Odds'!A$2:AO$1067,41,0),2,0))</f>
        <v>0</v>
      </c>
      <c r="AK248" s="7"/>
      <c r="AL248" s="7" t="str">
        <f t="shared" si="1"/>
        <v/>
      </c>
    </row>
    <row r="249" ht="12.75" customHeight="1">
      <c r="A249" s="86">
        <v>248.0</v>
      </c>
      <c r="B249" s="84" t="s">
        <v>3417</v>
      </c>
      <c r="C249" s="7" t="s">
        <v>3418</v>
      </c>
      <c r="D249" s="7" t="s">
        <v>2827</v>
      </c>
      <c r="E249" s="7" t="s">
        <v>2636</v>
      </c>
      <c r="F249" s="84" t="s">
        <v>2796</v>
      </c>
      <c r="G249" s="84" t="s">
        <v>3419</v>
      </c>
      <c r="H249" s="84" t="s">
        <v>2596</v>
      </c>
      <c r="I249" s="84" t="s">
        <v>2752</v>
      </c>
      <c r="J249" s="7" t="s">
        <v>2714</v>
      </c>
      <c r="K249" s="7">
        <v>31.0</v>
      </c>
      <c r="L249" s="7">
        <v>0.0</v>
      </c>
      <c r="M249" s="7">
        <v>31.0</v>
      </c>
      <c r="N249" s="7">
        <v>0.0</v>
      </c>
      <c r="O249" s="7">
        <v>31.0</v>
      </c>
      <c r="P249" s="7">
        <v>0.0</v>
      </c>
      <c r="Q249" s="7">
        <v>108.0</v>
      </c>
      <c r="R249" s="7">
        <v>0.0</v>
      </c>
      <c r="S249" s="7">
        <v>108.0</v>
      </c>
      <c r="T249" s="7">
        <v>0.0</v>
      </c>
      <c r="U249" s="7">
        <v>108.0</v>
      </c>
      <c r="V249" s="7">
        <v>0.0</v>
      </c>
      <c r="W249" s="7">
        <f>VLOOKUP($D249,NatureChart,2,0)</f>
        <v>1</v>
      </c>
      <c r="X249" s="7">
        <f>VLOOKUP($D249,NatureChart,3,0)</f>
        <v>1</v>
      </c>
      <c r="Y249" s="7">
        <f>VLOOKUP($D249,NatureChart,4,0)</f>
        <v>1.1</v>
      </c>
      <c r="Z249" s="7">
        <f>VLOOKUP($D249,NatureChart,5,0)</f>
        <v>1</v>
      </c>
      <c r="AA249" s="84">
        <f>VLOOKUP($D249,NatureChart,6,0)</f>
        <v>0.9</v>
      </c>
      <c r="AB249" s="84">
        <f>IF($C249="Shedinja",1,(INT((2*VLOOKUP($C249,DexData,5,0)+INT(Q249/4)+K249)/2)+60))</f>
        <v>179</v>
      </c>
      <c r="AC249" s="84">
        <f>INT(INT((INT((2*VLOOKUP($C249,DexData,6,0)+INT(R249/4)+L249)/2)+5)*W249)*IF($E249="Choice Band",1.5,IF(OR($E249="Mawilite",$E249="Medichamite",$E249="Thick Club"),2,1)))</f>
        <v>60</v>
      </c>
      <c r="AD249" s="84">
        <f>INT(INT((INT((2*VLOOKUP($C249,DexData,7,0)+INT(S249/4)+M249)/2)+5)*X249)*IF($E249="Eviolite",1.5,1))</f>
        <v>99</v>
      </c>
      <c r="AE249" s="84">
        <f>INT(INT((INT((2*VLOOKUP($C249,DexData,9,0)+INT(T249/4)+N249)/2)+5)*Y249)*IF($E249="Choice Specs",1.5,1))</f>
        <v>110</v>
      </c>
      <c r="AF249" s="84">
        <f>INT(INT((INT((2*VLOOKUP($C249,DexData,10,0)+INT(U249/4)+O249)/2)+5)*Z249)*IF(OR($E249="Eviolite",$E249="Assault Vest"),1.5,1))</f>
        <v>119</v>
      </c>
      <c r="AG249" s="84">
        <f>INT(INT((INT((2*VLOOKUP($C249,DexData,11,0)+INT(V249/4)+P249)/2)+5)*AA249)*IF($E249="Choice Scarf",1.5,IF($E249="Iron Ball",0.5,1)))</f>
        <v>67</v>
      </c>
      <c r="AH249" s="84" t="str">
        <f>VLOOKUP(VLOOKUP($C249,DexData,3,0),Aliases!D$2:E$19,2,0)&amp;IFERROR("/"&amp;VLOOKUP(VLOOKUP($C249,DexData,4,0),Aliases!D$2:E$19,2,0),"")</f>
        <v>RCK/PSY</v>
      </c>
      <c r="AI249" s="7">
        <v>3.0</v>
      </c>
      <c r="AJ249" s="7">
        <f>IF(VLOOKUP(B249,'Set Odds'!A$2:AN$1067,40,0),1,IF(VLOOKUP(B249,'Set Odds'!A$2:AO$1067,41,0),2,0))</f>
        <v>0</v>
      </c>
      <c r="AK249" s="7"/>
      <c r="AL249" s="7" t="str">
        <f t="shared" si="1"/>
        <v/>
      </c>
    </row>
    <row r="250" ht="12.75" customHeight="1">
      <c r="A250" s="86">
        <v>249.0</v>
      </c>
      <c r="B250" s="84" t="s">
        <v>3420</v>
      </c>
      <c r="C250" s="7" t="s">
        <v>3421</v>
      </c>
      <c r="D250" s="7" t="s">
        <v>2827</v>
      </c>
      <c r="E250" s="7" t="s">
        <v>2636</v>
      </c>
      <c r="F250" s="84" t="s">
        <v>2796</v>
      </c>
      <c r="G250" s="84" t="s">
        <v>3419</v>
      </c>
      <c r="H250" s="84" t="s">
        <v>2596</v>
      </c>
      <c r="I250" s="84" t="s">
        <v>2752</v>
      </c>
      <c r="J250" s="7" t="s">
        <v>2714</v>
      </c>
      <c r="K250" s="7">
        <v>31.0</v>
      </c>
      <c r="L250" s="7">
        <v>0.0</v>
      </c>
      <c r="M250" s="7">
        <v>31.0</v>
      </c>
      <c r="N250" s="7">
        <v>0.0</v>
      </c>
      <c r="O250" s="7">
        <v>31.0</v>
      </c>
      <c r="P250" s="7">
        <v>0.0</v>
      </c>
      <c r="Q250" s="7">
        <v>108.0</v>
      </c>
      <c r="R250" s="7">
        <v>0.0</v>
      </c>
      <c r="S250" s="7">
        <v>108.0</v>
      </c>
      <c r="T250" s="7">
        <v>0.0</v>
      </c>
      <c r="U250" s="7">
        <v>108.0</v>
      </c>
      <c r="V250" s="7">
        <v>0.0</v>
      </c>
      <c r="W250" s="7">
        <f>VLOOKUP($D250,NatureChart,2,0)</f>
        <v>1</v>
      </c>
      <c r="X250" s="7">
        <f>VLOOKUP($D250,NatureChart,3,0)</f>
        <v>1</v>
      </c>
      <c r="Y250" s="7">
        <f>VLOOKUP($D250,NatureChart,4,0)</f>
        <v>1.1</v>
      </c>
      <c r="Z250" s="7">
        <f>VLOOKUP($D250,NatureChart,5,0)</f>
        <v>1</v>
      </c>
      <c r="AA250" s="84">
        <f>VLOOKUP($D250,NatureChart,6,0)</f>
        <v>0.9</v>
      </c>
      <c r="AB250" s="84">
        <f>IF($C250="Shedinja",1,(INT((2*VLOOKUP($C250,DexData,5,0)+INT(Q250/4)+K250)/2)+60))</f>
        <v>179</v>
      </c>
      <c r="AC250" s="84">
        <f>INT(INT((INT((2*VLOOKUP($C250,DexData,6,0)+INT(R250/4)+L250)/2)+5)*W250)*IF($E250="Choice Band",1.5,IF(OR($E250="Mawilite",$E250="Medichamite",$E250="Thick Club"),2,1)))</f>
        <v>100</v>
      </c>
      <c r="AD250" s="84">
        <f>INT(INT((INT((2*VLOOKUP($C250,DexData,7,0)+INT(S250/4)+M250)/2)+5)*X250)*IF($E250="Eviolite",1.5,1))</f>
        <v>119</v>
      </c>
      <c r="AE250" s="84">
        <f>INT(INT((INT((2*VLOOKUP($C250,DexData,9,0)+INT(T250/4)+N250)/2)+5)*Y250)*IF($E250="Choice Specs",1.5,1))</f>
        <v>66</v>
      </c>
      <c r="AF250" s="84">
        <f>INT(INT((INT((2*VLOOKUP($C250,DexData,10,0)+INT(U250/4)+O250)/2)+5)*Z250)*IF(OR($E250="Eviolite",$E250="Assault Vest"),1.5,1))</f>
        <v>99</v>
      </c>
      <c r="AG250" s="84">
        <f>INT(INT((INT((2*VLOOKUP($C250,DexData,11,0)+INT(V250/4)+P250)/2)+5)*AA250)*IF($E250="Choice Scarf",1.5,IF($E250="Iron Ball",0.5,1)))</f>
        <v>67</v>
      </c>
      <c r="AH250" s="84" t="str">
        <f>VLOOKUP(VLOOKUP($C250,DexData,3,0),Aliases!D$2:E$19,2,0)&amp;IFERROR("/"&amp;VLOOKUP(VLOOKUP($C250,DexData,4,0),Aliases!D$2:E$19,2,0),"")</f>
        <v>RCK/PSY</v>
      </c>
      <c r="AI250" s="7">
        <v>3.0</v>
      </c>
      <c r="AJ250" s="7">
        <f>IF(VLOOKUP(B250,'Set Odds'!A$2:AN$1067,40,0),1,IF(VLOOKUP(B250,'Set Odds'!A$2:AO$1067,41,0),2,0))</f>
        <v>0</v>
      </c>
      <c r="AK250" s="7"/>
      <c r="AL250" s="7" t="str">
        <f t="shared" si="1"/>
        <v/>
      </c>
    </row>
    <row r="251" ht="12.75" customHeight="1">
      <c r="A251" s="86">
        <v>250.0</v>
      </c>
      <c r="B251" s="84" t="s">
        <v>3422</v>
      </c>
      <c r="C251" s="7" t="s">
        <v>3423</v>
      </c>
      <c r="D251" s="7" t="s">
        <v>3134</v>
      </c>
      <c r="E251" s="7" t="s">
        <v>2520</v>
      </c>
      <c r="F251" s="84" t="s">
        <v>2581</v>
      </c>
      <c r="G251" s="84" t="s">
        <v>2772</v>
      </c>
      <c r="H251" s="84" t="s">
        <v>3025</v>
      </c>
      <c r="I251" s="84" t="s">
        <v>2670</v>
      </c>
      <c r="J251" s="7" t="s">
        <v>3424</v>
      </c>
      <c r="K251" s="7">
        <v>31.0</v>
      </c>
      <c r="L251" s="7">
        <v>0.0</v>
      </c>
      <c r="M251" s="7">
        <v>31.0</v>
      </c>
      <c r="N251" s="7">
        <v>0.0</v>
      </c>
      <c r="O251" s="7">
        <v>0.0</v>
      </c>
      <c r="P251" s="7">
        <v>31.0</v>
      </c>
      <c r="Q251" s="7">
        <v>108.0</v>
      </c>
      <c r="R251" s="7">
        <v>0.0</v>
      </c>
      <c r="S251" s="7">
        <v>108.0</v>
      </c>
      <c r="T251" s="7">
        <v>0.0</v>
      </c>
      <c r="U251" s="7">
        <v>0.0</v>
      </c>
      <c r="V251" s="7">
        <v>108.0</v>
      </c>
      <c r="W251" s="7">
        <f>VLOOKUP($D251,NatureChart,2,0)</f>
        <v>1</v>
      </c>
      <c r="X251" s="7">
        <f>VLOOKUP($D251,NatureChart,3,0)</f>
        <v>1</v>
      </c>
      <c r="Y251" s="7">
        <f>VLOOKUP($D251,NatureChart,4,0)</f>
        <v>1</v>
      </c>
      <c r="Z251" s="7">
        <f>VLOOKUP($D251,NatureChart,5,0)</f>
        <v>0.9</v>
      </c>
      <c r="AA251" s="84">
        <f>VLOOKUP($D251,NatureChart,6,0)</f>
        <v>1.1</v>
      </c>
      <c r="AB251" s="84">
        <f>IF($C251="Shedinja",1,(INT((2*VLOOKUP($C251,DexData,5,0)+INT(Q251/4)+K251)/2)+60))</f>
        <v>149</v>
      </c>
      <c r="AC251" s="84">
        <f>INT(INT((INT((2*VLOOKUP($C251,DexData,6,0)+INT(R251/4)+L251)/2)+5)*W251)*IF($E251="Choice Band",1.5,IF(OR($E251="Mawilite",$E251="Medichamite",$E251="Thick Club"),2,1)))</f>
        <v>95</v>
      </c>
      <c r="AD251" s="84">
        <f>INT(INT((INT((2*VLOOKUP($C251,DexData,7,0)+INT(S251/4)+M251)/2)+5)*X251)*IF($E251="Eviolite",1.5,1))</f>
        <v>104</v>
      </c>
      <c r="AE251" s="84">
        <f>INT(INT((INT((2*VLOOKUP($C251,DexData,9,0)+INT(T251/4)+N251)/2)+5)*Y251)*IF($E251="Choice Specs",1.5,1))</f>
        <v>65</v>
      </c>
      <c r="AF251" s="84">
        <f>INT(INT((INT((2*VLOOKUP($C251,DexData,10,0)+INT(U251/4)+O251)/2)+5)*Z251)*IF(OR($E251="Eviolite",$E251="Assault Vest"),1.5,1))</f>
        <v>112</v>
      </c>
      <c r="AG251" s="84">
        <f>INT(INT((INT((2*VLOOKUP($C251,DexData,11,0)+INT(V251/4)+P251)/2)+5)*AA251)*IF($E251="Choice Scarf",1.5,IF($E251="Iron Ball",0.5,1)))</f>
        <v>81</v>
      </c>
      <c r="AH251" s="84" t="str">
        <f>VLOOKUP(VLOOKUP($C251,DexData,3,0),Aliases!D$2:E$19,2,0)&amp;IFERROR("/"&amp;VLOOKUP(VLOOKUP($C251,DexData,4,0),Aliases!D$2:E$19,2,0),"")</f>
        <v>NRM</v>
      </c>
      <c r="AI251" s="7">
        <v>3.0</v>
      </c>
      <c r="AJ251" s="7">
        <f>IF(VLOOKUP(B251,'Set Odds'!A$2:AN$1067,40,0),1,IF(VLOOKUP(B251,'Set Odds'!A$2:AO$1067,41,0),2,0))</f>
        <v>0</v>
      </c>
      <c r="AK251" s="7"/>
      <c r="AL251" s="7" t="str">
        <f t="shared" si="1"/>
        <v/>
      </c>
    </row>
    <row r="252" ht="12.75" customHeight="1">
      <c r="A252" s="86">
        <v>251.0</v>
      </c>
      <c r="B252" s="84" t="s">
        <v>3425</v>
      </c>
      <c r="C252" s="7" t="s">
        <v>3426</v>
      </c>
      <c r="D252" s="7" t="s">
        <v>2862</v>
      </c>
      <c r="E252" s="7" t="s">
        <v>2983</v>
      </c>
      <c r="F252" s="84" t="s">
        <v>3427</v>
      </c>
      <c r="G252" s="84" t="s">
        <v>2797</v>
      </c>
      <c r="H252" s="84" t="s">
        <v>3341</v>
      </c>
      <c r="I252" s="84" t="s">
        <v>3428</v>
      </c>
      <c r="J252" s="7" t="s">
        <v>3429</v>
      </c>
      <c r="K252" s="7">
        <v>31.0</v>
      </c>
      <c r="L252" s="7">
        <v>0.0</v>
      </c>
      <c r="M252" s="7">
        <v>31.0</v>
      </c>
      <c r="N252" s="7">
        <v>31.0</v>
      </c>
      <c r="O252" s="7">
        <v>10.0</v>
      </c>
      <c r="P252" s="7">
        <v>10.0</v>
      </c>
      <c r="Q252" s="7">
        <v>148.0</v>
      </c>
      <c r="R252" s="7">
        <v>0.0</v>
      </c>
      <c r="S252" s="7">
        <v>148.0</v>
      </c>
      <c r="T252" s="7">
        <v>148.0</v>
      </c>
      <c r="U252" s="7">
        <v>0.0</v>
      </c>
      <c r="V252" s="7">
        <v>0.0</v>
      </c>
      <c r="W252" s="7">
        <f>VLOOKUP($D252,NatureChart,2,0)</f>
        <v>0.9</v>
      </c>
      <c r="X252" s="7">
        <f>VLOOKUP($D252,NatureChart,3,0)</f>
        <v>1.1</v>
      </c>
      <c r="Y252" s="7">
        <f>VLOOKUP($D252,NatureChart,4,0)</f>
        <v>1</v>
      </c>
      <c r="Z252" s="7">
        <f>VLOOKUP($D252,NatureChart,5,0)</f>
        <v>1</v>
      </c>
      <c r="AA252" s="84">
        <f>VLOOKUP($D252,NatureChart,6,0)</f>
        <v>1</v>
      </c>
      <c r="AB252" s="84">
        <f>IF($C252="Shedinja",1,(INT((2*VLOOKUP($C252,DexData,5,0)+INT(Q252/4)+K252)/2)+60))</f>
        <v>189</v>
      </c>
      <c r="AC252" s="84">
        <f>INT(INT((INT((2*VLOOKUP($C252,DexData,6,0)+INT(R252/4)+L252)/2)+5)*W252)*IF($E252="Choice Band",1.5,IF(OR($E252="Mawilite",$E252="Medichamite",$E252="Thick Club"),2,1)))</f>
        <v>58</v>
      </c>
      <c r="AD252" s="84">
        <f>INT(INT((INT((2*VLOOKUP($C252,DexData,7,0)+INT(S252/4)+M252)/2)+5)*X252)*IF($E252="Eviolite",1.5,1))</f>
        <v>129</v>
      </c>
      <c r="AE252" s="84">
        <f>INT(INT((INT((2*VLOOKUP($C252,DexData,9,0)+INT(T252/4)+N252)/2)+5)*Y252)*IF($E252="Choice Specs",1.5,1))</f>
        <v>139</v>
      </c>
      <c r="AF252" s="84">
        <f>INT(INT((INT((2*VLOOKUP($C252,DexData,10,0)+INT(U252/4)+O252)/2)+5)*Z252)*IF(OR($E252="Eviolite",$E252="Assault Vest"),1.5,1))</f>
        <v>135</v>
      </c>
      <c r="AG252" s="84">
        <f>INT(INT((INT((2*VLOOKUP($C252,DexData,11,0)+INT(V252/4)+P252)/2)+5)*AA252)*IF($E252="Choice Scarf",1.5,IF($E252="Iron Ball",0.5,1)))</f>
        <v>91</v>
      </c>
      <c r="AH252" s="84" t="str">
        <f>VLOOKUP(VLOOKUP($C252,DexData,3,0),Aliases!D$2:E$19,2,0)&amp;IFERROR("/"&amp;VLOOKUP(VLOOKUP($C252,DexData,4,0),Aliases!D$2:E$19,2,0),"")</f>
        <v>WTR</v>
      </c>
      <c r="AI252" s="7">
        <v>0.0</v>
      </c>
      <c r="AJ252" s="7">
        <f>IF(VLOOKUP(B252,'Set Odds'!A$2:AN$1067,40,0),1,IF(VLOOKUP(B252,'Set Odds'!A$2:AO$1067,41,0),2,0))</f>
        <v>0</v>
      </c>
      <c r="AK252" s="85" t="s">
        <v>3430</v>
      </c>
      <c r="AL252" s="7" t="str">
        <f t="shared" si="1"/>
        <v/>
      </c>
    </row>
    <row r="253" ht="12.75" customHeight="1">
      <c r="A253" s="86">
        <v>252.0</v>
      </c>
      <c r="B253" s="84" t="s">
        <v>3431</v>
      </c>
      <c r="C253" s="7" t="s">
        <v>3432</v>
      </c>
      <c r="D253" s="7" t="s">
        <v>2827</v>
      </c>
      <c r="E253" s="7" t="s">
        <v>3433</v>
      </c>
      <c r="F253" s="84" t="s">
        <v>3434</v>
      </c>
      <c r="G253" s="84" t="s">
        <v>2823</v>
      </c>
      <c r="H253" s="84" t="s">
        <v>3435</v>
      </c>
      <c r="I253" s="84" t="s">
        <v>2660</v>
      </c>
      <c r="J253" s="7" t="s">
        <v>3436</v>
      </c>
      <c r="K253" s="7">
        <v>31.0</v>
      </c>
      <c r="L253" s="7">
        <v>31.0</v>
      </c>
      <c r="M253" s="7">
        <v>10.0</v>
      </c>
      <c r="N253" s="7">
        <v>31.0</v>
      </c>
      <c r="O253" s="7">
        <v>10.0</v>
      </c>
      <c r="P253" s="7">
        <v>10.0</v>
      </c>
      <c r="Q253" s="7">
        <v>148.0</v>
      </c>
      <c r="R253" s="7">
        <v>148.0</v>
      </c>
      <c r="S253" s="7">
        <v>0.0</v>
      </c>
      <c r="T253" s="7">
        <v>148.0</v>
      </c>
      <c r="U253" s="7">
        <v>0.0</v>
      </c>
      <c r="V253" s="7">
        <v>0.0</v>
      </c>
      <c r="W253" s="7">
        <f>VLOOKUP($D253,NatureChart,2,0)</f>
        <v>1</v>
      </c>
      <c r="X253" s="7">
        <f>VLOOKUP($D253,NatureChart,3,0)</f>
        <v>1</v>
      </c>
      <c r="Y253" s="7">
        <f>VLOOKUP($D253,NatureChart,4,0)</f>
        <v>1.1</v>
      </c>
      <c r="Z253" s="7">
        <f>VLOOKUP($D253,NatureChart,5,0)</f>
        <v>1</v>
      </c>
      <c r="AA253" s="84">
        <f>VLOOKUP($D253,NatureChart,6,0)</f>
        <v>0.9</v>
      </c>
      <c r="AB253" s="84">
        <f>IF($C253="Shedinja",1,(INT((2*VLOOKUP($C253,DexData,5,0)+INT(Q253/4)+K253)/2)+60))</f>
        <v>209</v>
      </c>
      <c r="AC253" s="84">
        <f>INT(INT((INT((2*VLOOKUP($C253,DexData,6,0)+INT(R253/4)+L253)/2)+5)*W253)*IF($E253="Choice Band",1.5,IF(OR($E253="Mawilite",$E253="Medichamite",$E253="Thick Club"),2,1)))</f>
        <v>179</v>
      </c>
      <c r="AD253" s="84">
        <f>INT(INT((INT((2*VLOOKUP($C253,DexData,7,0)+INT(S253/4)+M253)/2)+5)*X253)*IF($E253="Eviolite",1.5,1))</f>
        <v>140</v>
      </c>
      <c r="AE253" s="84">
        <f>INT(INT((INT((2*VLOOKUP($C253,DexData,9,0)+INT(T253/4)+N253)/2)+5)*Y253)*IF($E253="Choice Specs",1.5,1))</f>
        <v>103</v>
      </c>
      <c r="AF253" s="84">
        <f>INT(INT((INT((2*VLOOKUP($C253,DexData,10,0)+INT(U253/4)+O253)/2)+5)*Z253)*IF(OR($E253="Eviolite",$E253="Assault Vest"),1.5,1))</f>
        <v>65</v>
      </c>
      <c r="AG253" s="84">
        <f>INT(INT((INT((2*VLOOKUP($C253,DexData,11,0)+INT(V253/4)+P253)/2)+5)*AA253)*IF($E253="Choice Scarf",1.5,IF($E253="Iron Ball",0.5,1)))</f>
        <v>45</v>
      </c>
      <c r="AH253" s="84" t="str">
        <f>VLOOKUP(VLOOKUP($C253,DexData,3,0),Aliases!D$2:E$19,2,0)&amp;IFERROR("/"&amp;VLOOKUP(VLOOKUP($C253,DexData,4,0),Aliases!D$2:E$19,2,0),"")</f>
        <v>GRD/RCK</v>
      </c>
      <c r="AI253" s="7">
        <v>0.0</v>
      </c>
      <c r="AJ253" s="7">
        <f>IF(VLOOKUP(B253,'Set Odds'!A$2:AN$1067,40,0),1,IF(VLOOKUP(B253,'Set Odds'!A$2:AO$1067,41,0),2,0))</f>
        <v>0</v>
      </c>
      <c r="AK253" s="85" t="s">
        <v>3430</v>
      </c>
      <c r="AL253" s="7" t="str">
        <f t="shared" si="1"/>
        <v/>
      </c>
    </row>
    <row r="254" ht="12.75" customHeight="1">
      <c r="A254" s="86">
        <v>253.0</v>
      </c>
      <c r="B254" s="84" t="s">
        <v>3437</v>
      </c>
      <c r="C254" s="7" t="s">
        <v>3438</v>
      </c>
      <c r="D254" s="7" t="s">
        <v>2571</v>
      </c>
      <c r="E254" s="7" t="s">
        <v>3439</v>
      </c>
      <c r="F254" s="84" t="s">
        <v>3440</v>
      </c>
      <c r="G254" s="84" t="s">
        <v>2587</v>
      </c>
      <c r="H254" s="84" t="s">
        <v>2746</v>
      </c>
      <c r="I254" s="84" t="s">
        <v>3441</v>
      </c>
      <c r="J254" s="7" t="s">
        <v>3442</v>
      </c>
      <c r="K254" s="7">
        <v>31.0</v>
      </c>
      <c r="L254" s="7">
        <v>31.0</v>
      </c>
      <c r="M254" s="7">
        <v>10.0</v>
      </c>
      <c r="N254" s="7">
        <v>10.0</v>
      </c>
      <c r="O254" s="7">
        <v>10.0</v>
      </c>
      <c r="P254" s="7">
        <v>31.0</v>
      </c>
      <c r="Q254" s="7">
        <v>148.0</v>
      </c>
      <c r="R254" s="7">
        <v>148.0</v>
      </c>
      <c r="S254" s="7">
        <v>0.0</v>
      </c>
      <c r="T254" s="7">
        <v>0.0</v>
      </c>
      <c r="U254" s="7">
        <v>0.0</v>
      </c>
      <c r="V254" s="7">
        <v>148.0</v>
      </c>
      <c r="W254" s="7">
        <f>VLOOKUP($D254,NatureChart,2,0)</f>
        <v>1.1</v>
      </c>
      <c r="X254" s="7">
        <f>VLOOKUP($D254,NatureChart,3,0)</f>
        <v>1</v>
      </c>
      <c r="Y254" s="7">
        <f>VLOOKUP($D254,NatureChart,4,0)</f>
        <v>0.9</v>
      </c>
      <c r="Z254" s="7">
        <f>VLOOKUP($D254,NatureChart,5,0)</f>
        <v>1</v>
      </c>
      <c r="AA254" s="84">
        <f>VLOOKUP($D254,NatureChart,6,0)</f>
        <v>1</v>
      </c>
      <c r="AB254" s="84">
        <f>IF($C254="Shedinja",1,(INT((2*VLOOKUP($C254,DexData,5,0)+INT(Q254/4)+K254)/2)+60))</f>
        <v>185</v>
      </c>
      <c r="AC254" s="84">
        <f>INT(INT((INT((2*VLOOKUP($C254,DexData,6,0)+INT(R254/4)+L254)/2)+5)*W254)*IF($E254="Choice Band",1.5,IF(OR($E254="Mawilite",$E254="Medichamite",$E254="Thick Club"),2,1)))</f>
        <v>190</v>
      </c>
      <c r="AD254" s="84">
        <f>INT(INT((INT((2*VLOOKUP($C254,DexData,7,0)+INT(S254/4)+M254)/2)+5)*X254)*IF($E254="Eviolite",1.5,1))</f>
        <v>105</v>
      </c>
      <c r="AE254" s="84">
        <f>INT(INT((INT((2*VLOOKUP($C254,DexData,9,0)+INT(T254/4)+N254)/2)+5)*Y254)*IF($E254="Choice Specs",1.5,1))</f>
        <v>99</v>
      </c>
      <c r="AF254" s="84">
        <f>INT(INT((INT((2*VLOOKUP($C254,DexData,10,0)+INT(U254/4)+O254)/2)+5)*Z254)*IF(OR($E254="Eviolite",$E254="Assault Vest"),1.5,1))</f>
        <v>110</v>
      </c>
      <c r="AG254" s="84">
        <f>INT(INT((INT((2*VLOOKUP($C254,DexData,11,0)+INT(V254/4)+P254)/2)+5)*AA254)*IF($E254="Choice Scarf",1.5,IF($E254="Iron Ball",0.5,1)))</f>
        <v>119</v>
      </c>
      <c r="AH254" s="84" t="str">
        <f>VLOOKUP(VLOOKUP($C254,DexData,3,0),Aliases!D$2:E$19,2,0)&amp;IFERROR("/"&amp;VLOOKUP(VLOOKUP($C254,DexData,4,0),Aliases!D$2:E$19,2,0),"")</f>
        <v>DRG/FLY</v>
      </c>
      <c r="AI254" s="7">
        <v>1.0</v>
      </c>
      <c r="AJ254" s="7">
        <f>IF(VLOOKUP(B254,'Set Odds'!A$2:AN$1067,40,0),1,IF(VLOOKUP(B254,'Set Odds'!A$2:AO$1067,41,0),2,0))</f>
        <v>0</v>
      </c>
      <c r="AK254" s="85" t="s">
        <v>3430</v>
      </c>
      <c r="AL254" s="7" t="str">
        <f t="shared" si="1"/>
        <v/>
      </c>
    </row>
    <row r="255" ht="12.75" customHeight="1">
      <c r="A255" s="86">
        <v>254.0</v>
      </c>
      <c r="B255" s="84" t="s">
        <v>3443</v>
      </c>
      <c r="C255" s="7" t="s">
        <v>3444</v>
      </c>
      <c r="D255" s="7" t="s">
        <v>2656</v>
      </c>
      <c r="E255" s="7" t="s">
        <v>3077</v>
      </c>
      <c r="F255" s="84" t="s">
        <v>3435</v>
      </c>
      <c r="G255" s="84" t="s">
        <v>2661</v>
      </c>
      <c r="H255" s="84" t="s">
        <v>2763</v>
      </c>
      <c r="I255" s="84" t="s">
        <v>2536</v>
      </c>
      <c r="J255" s="7" t="s">
        <v>2714</v>
      </c>
      <c r="K255" s="7">
        <v>31.0</v>
      </c>
      <c r="L255" s="7">
        <v>0.0</v>
      </c>
      <c r="M255" s="7">
        <v>0.0</v>
      </c>
      <c r="N255" s="7">
        <v>31.0</v>
      </c>
      <c r="O255" s="7">
        <v>0.0</v>
      </c>
      <c r="P255" s="7">
        <v>31.0</v>
      </c>
      <c r="Q255" s="7">
        <v>148.0</v>
      </c>
      <c r="R255" s="7">
        <v>0.0</v>
      </c>
      <c r="S255" s="7">
        <v>0.0</v>
      </c>
      <c r="T255" s="7">
        <v>148.0</v>
      </c>
      <c r="U255" s="7">
        <v>0.0</v>
      </c>
      <c r="V255" s="7">
        <v>148.0</v>
      </c>
      <c r="W255" s="7">
        <f>VLOOKUP($D255,NatureChart,2,0)</f>
        <v>0.9</v>
      </c>
      <c r="X255" s="7">
        <f>VLOOKUP($D255,NatureChart,3,0)</f>
        <v>1</v>
      </c>
      <c r="Y255" s="7">
        <f>VLOOKUP($D255,NatureChart,4,0)</f>
        <v>1.1</v>
      </c>
      <c r="Z255" s="7">
        <f>VLOOKUP($D255,NatureChart,5,0)</f>
        <v>1</v>
      </c>
      <c r="AA255" s="84">
        <f>VLOOKUP($D255,NatureChart,6,0)</f>
        <v>1</v>
      </c>
      <c r="AB255" s="84">
        <f>IF($C255="Shedinja",1,(INT((2*VLOOKUP($C255,DexData,5,0)+INT(Q255/4)+K255)/2)+60))</f>
        <v>144</v>
      </c>
      <c r="AC255" s="84">
        <f>INT(INT((INT((2*VLOOKUP($C255,DexData,6,0)+INT(R255/4)+L255)/2)+5)*W255)*IF($E255="Choice Band",1.5,IF(OR($E255="Mawilite",$E255="Medichamite",$E255="Thick Club"),2,1)))</f>
        <v>49</v>
      </c>
      <c r="AD255" s="84">
        <f>INT(INT((INT((2*VLOOKUP($C255,DexData,7,0)+INT(S255/4)+M255)/2)+5)*X255)*IF($E255="Eviolite",1.5,1))</f>
        <v>82</v>
      </c>
      <c r="AE255" s="84">
        <f>INT(INT((INT((2*VLOOKUP($C255,DexData,9,0)+INT(T255/4)+N255)/2)+5)*Y255)*IF($E255="Choice Specs",1.5,1))</f>
        <v>147</v>
      </c>
      <c r="AF255" s="84">
        <f>INT(INT((INT((2*VLOOKUP($C255,DexData,10,0)+INT(U255/4)+O255)/2)+5)*Z255)*IF(OR($E255="Eviolite",$E255="Assault Vest"),1.5,1))</f>
        <v>82</v>
      </c>
      <c r="AG255" s="84">
        <f>INT(INT((INT((2*VLOOKUP($C255,DexData,11,0)+INT(V255/4)+P255)/2)+5)*AA255)*IF($E255="Choice Scarf",1.5,IF($E255="Iron Ball",0.5,1)))</f>
        <v>130</v>
      </c>
      <c r="AH255" s="84" t="str">
        <f>VLOOKUP(VLOOKUP($C255,DexData,3,0),Aliases!D$2:E$19,2,0)&amp;IFERROR("/"&amp;VLOOKUP(VLOOKUP($C255,DexData,4,0),Aliases!D$2:E$19,2,0),"")</f>
        <v>ELC/GHO</v>
      </c>
      <c r="AI255" s="7">
        <v>3.0</v>
      </c>
      <c r="AJ255" s="7">
        <f>IF(VLOOKUP(B255,'Set Odds'!A$2:AN$1067,40,0),1,IF(VLOOKUP(B255,'Set Odds'!A$2:AO$1067,41,0),2,0))</f>
        <v>0</v>
      </c>
      <c r="AK255" s="7"/>
      <c r="AL255" s="7" t="str">
        <f t="shared" si="1"/>
        <v/>
      </c>
    </row>
    <row r="256" ht="12.75" customHeight="1">
      <c r="A256" s="86">
        <v>255.0</v>
      </c>
      <c r="B256" s="84" t="s">
        <v>3445</v>
      </c>
      <c r="C256" s="7" t="s">
        <v>3446</v>
      </c>
      <c r="D256" s="7" t="s">
        <v>2571</v>
      </c>
      <c r="E256" s="7" t="s">
        <v>2675</v>
      </c>
      <c r="F256" s="84" t="s">
        <v>3447</v>
      </c>
      <c r="G256" s="84" t="s">
        <v>3228</v>
      </c>
      <c r="H256" s="84" t="s">
        <v>3253</v>
      </c>
      <c r="I256" s="84" t="s">
        <v>3448</v>
      </c>
      <c r="J256" s="7" t="s">
        <v>2677</v>
      </c>
      <c r="K256" s="7">
        <v>31.0</v>
      </c>
      <c r="L256" s="7">
        <v>31.0</v>
      </c>
      <c r="M256" s="7">
        <v>0.0</v>
      </c>
      <c r="N256" s="7">
        <v>0.0</v>
      </c>
      <c r="O256" s="7">
        <v>0.0</v>
      </c>
      <c r="P256" s="7">
        <v>31.0</v>
      </c>
      <c r="Q256" s="7">
        <v>148.0</v>
      </c>
      <c r="R256" s="7">
        <v>148.0</v>
      </c>
      <c r="S256" s="7">
        <v>0.0</v>
      </c>
      <c r="T256" s="7">
        <v>0.0</v>
      </c>
      <c r="U256" s="7">
        <v>0.0</v>
      </c>
      <c r="V256" s="7">
        <v>148.0</v>
      </c>
      <c r="W256" s="7">
        <f>VLOOKUP($D256,NatureChart,2,0)</f>
        <v>1.1</v>
      </c>
      <c r="X256" s="7">
        <f>VLOOKUP($D256,NatureChart,3,0)</f>
        <v>1</v>
      </c>
      <c r="Y256" s="7">
        <f>VLOOKUP($D256,NatureChart,4,0)</f>
        <v>0.9</v>
      </c>
      <c r="Z256" s="7">
        <f>VLOOKUP($D256,NatureChart,5,0)</f>
        <v>1</v>
      </c>
      <c r="AA256" s="84">
        <f>VLOOKUP($D256,NatureChart,6,0)</f>
        <v>1</v>
      </c>
      <c r="AB256" s="84">
        <f>IF($C256="Shedinja",1,(INT((2*VLOOKUP($C256,DexData,5,0)+INT(Q256/4)+K256)/2)+60))</f>
        <v>159</v>
      </c>
      <c r="AC256" s="84">
        <f>INT(INT((INT((2*VLOOKUP($C256,DexData,6,0)+INT(R256/4)+L256)/2)+5)*W256)*IF($E256="Choice Band",1.5,IF(OR($E256="Mawilite",$E256="Medichamite",$E256="Thick Club"),2,1)))</f>
        <v>141</v>
      </c>
      <c r="AD256" s="84">
        <f>INT(INT((INT((2*VLOOKUP($C256,DexData,7,0)+INT(S256/4)+M256)/2)+5)*X256)*IF($E256="Eviolite",1.5,1))</f>
        <v>70</v>
      </c>
      <c r="AE256" s="84">
        <f>INT(INT((INT((2*VLOOKUP($C256,DexData,9,0)+INT(T256/4)+N256)/2)+5)*Y256)*IF($E256="Choice Specs",1.5,1))</f>
        <v>59</v>
      </c>
      <c r="AF256" s="84">
        <f>INT(INT((INT((2*VLOOKUP($C256,DexData,10,0)+INT(U256/4)+O256)/2)+5)*Z256)*IF(OR($E256="Eviolite",$E256="Assault Vest"),1.5,1))</f>
        <v>66</v>
      </c>
      <c r="AG256" s="84">
        <f>INT(INT((INT((2*VLOOKUP($C256,DexData,11,0)+INT(V256/4)+P256)/2)+5)*AA256)*IF($E256="Choice Scarf",1.5,IF($E256="Iron Ball",0.5,1)))</f>
        <v>139</v>
      </c>
      <c r="AH256" s="84" t="str">
        <f>VLOOKUP(VLOOKUP($C256,DexData,3,0),Aliases!D$2:E$19,2,0)&amp;IFERROR("/"&amp;VLOOKUP(VLOOKUP($C256,DexData,4,0),Aliases!D$2:E$19,2,0),"")</f>
        <v>NRM/FLY</v>
      </c>
      <c r="AI256" s="7">
        <v>3.0</v>
      </c>
      <c r="AJ256" s="7">
        <f>IF(VLOOKUP(B256,'Set Odds'!A$2:AN$1067,40,0),1,IF(VLOOKUP(B256,'Set Odds'!A$2:AO$1067,41,0),2,0))</f>
        <v>0</v>
      </c>
      <c r="AK256" s="7"/>
      <c r="AL256" s="7" t="str">
        <f t="shared" si="1"/>
        <v/>
      </c>
    </row>
    <row r="257" ht="12.75" customHeight="1">
      <c r="A257" s="86">
        <v>256.0</v>
      </c>
      <c r="B257" s="84" t="s">
        <v>3449</v>
      </c>
      <c r="C257" s="7" t="s">
        <v>3450</v>
      </c>
      <c r="D257" s="7" t="s">
        <v>2811</v>
      </c>
      <c r="E257" s="7" t="s">
        <v>2761</v>
      </c>
      <c r="F257" s="84" t="s">
        <v>3091</v>
      </c>
      <c r="G257" s="84" t="s">
        <v>2614</v>
      </c>
      <c r="H257" s="84" t="s">
        <v>2659</v>
      </c>
      <c r="I257" s="84" t="s">
        <v>2863</v>
      </c>
      <c r="J257" s="7" t="s">
        <v>2677</v>
      </c>
      <c r="K257" s="7">
        <v>31.0</v>
      </c>
      <c r="L257" s="7">
        <v>0.0</v>
      </c>
      <c r="M257" s="7">
        <v>31.0</v>
      </c>
      <c r="N257" s="7">
        <v>31.0</v>
      </c>
      <c r="O257" s="7">
        <v>0.0</v>
      </c>
      <c r="P257" s="7">
        <v>0.0</v>
      </c>
      <c r="Q257" s="7">
        <v>148.0</v>
      </c>
      <c r="R257" s="7">
        <v>0.0</v>
      </c>
      <c r="S257" s="7">
        <v>148.0</v>
      </c>
      <c r="T257" s="7">
        <v>148.0</v>
      </c>
      <c r="U257" s="7">
        <v>0.0</v>
      </c>
      <c r="V257" s="7">
        <v>0.0</v>
      </c>
      <c r="W257" s="7">
        <f>VLOOKUP($D257,NatureChart,2,0)</f>
        <v>1</v>
      </c>
      <c r="X257" s="7">
        <f>VLOOKUP($D257,NatureChart,3,0)</f>
        <v>1.1</v>
      </c>
      <c r="Y257" s="7">
        <f>VLOOKUP($D257,NatureChart,4,0)</f>
        <v>1</v>
      </c>
      <c r="Z257" s="7">
        <f>VLOOKUP($D257,NatureChart,5,0)</f>
        <v>1</v>
      </c>
      <c r="AA257" s="84">
        <f>VLOOKUP($D257,NatureChart,6,0)</f>
        <v>0.9</v>
      </c>
      <c r="AB257" s="84">
        <f>IF($C257="Shedinja",1,(INT((2*VLOOKUP($C257,DexData,5,0)+INT(Q257/4)+K257)/2)+60))</f>
        <v>194</v>
      </c>
      <c r="AC257" s="84">
        <f>INT(INT((INT((2*VLOOKUP($C257,DexData,6,0)+INT(R257/4)+L257)/2)+5)*W257)*IF($E257="Choice Band",1.5,IF(OR($E257="Mawilite",$E257="Medichamite",$E257="Thick Club"),2,1)))</f>
        <v>55</v>
      </c>
      <c r="AD257" s="84">
        <f>INT(INT((INT((2*VLOOKUP($C257,DexData,7,0)+INT(S257/4)+M257)/2)+5)*X257)*IF($E257="Eviolite",1.5,1))</f>
        <v>97</v>
      </c>
      <c r="AE257" s="84">
        <f>INT(INT((INT((2*VLOOKUP($C257,DexData,9,0)+INT(T257/4)+N257)/2)+5)*Y257)*IF($E257="Choice Specs",1.5,1))</f>
        <v>125</v>
      </c>
      <c r="AF257" s="84">
        <f>INT(INT((INT((2*VLOOKUP($C257,DexData,10,0)+INT(U257/4)+O257)/2)+5)*Z257)*IF(OR($E257="Eviolite",$E257="Assault Vest"),1.5,1))</f>
        <v>101</v>
      </c>
      <c r="AG257" s="84">
        <f>INT(INT((INT((2*VLOOKUP($C257,DexData,11,0)+INT(V257/4)+P257)/2)+5)*AA257)*IF($E257="Choice Scarf",1.5,IF($E257="Iron Ball",0.5,1)))</f>
        <v>67</v>
      </c>
      <c r="AH257" s="84" t="str">
        <f>VLOOKUP(VLOOKUP($C257,DexData,3,0),Aliases!D$2:E$19,2,0)&amp;IFERROR("/"&amp;VLOOKUP(VLOOKUP($C257,DexData,4,0),Aliases!D$2:E$19,2,0),"")</f>
        <v>NRM/FLY</v>
      </c>
      <c r="AI257" s="7">
        <v>3.0</v>
      </c>
      <c r="AJ257" s="7">
        <f>IF(VLOOKUP(B257,'Set Odds'!A$2:AN$1067,40,0),1,IF(VLOOKUP(B257,'Set Odds'!A$2:AO$1067,41,0),2,0))</f>
        <v>0</v>
      </c>
      <c r="AK257" s="7"/>
      <c r="AL257" s="7" t="str">
        <f t="shared" si="1"/>
        <v/>
      </c>
    </row>
    <row r="258" ht="12.75" customHeight="1">
      <c r="A258" s="86">
        <v>257.0</v>
      </c>
      <c r="B258" s="84" t="s">
        <v>3451</v>
      </c>
      <c r="C258" s="7" t="s">
        <v>3452</v>
      </c>
      <c r="D258" s="7" t="s">
        <v>2571</v>
      </c>
      <c r="E258" s="7" t="s">
        <v>2636</v>
      </c>
      <c r="F258" s="84" t="s">
        <v>3453</v>
      </c>
      <c r="G258" s="84" t="s">
        <v>2625</v>
      </c>
      <c r="H258" s="84" t="s">
        <v>3454</v>
      </c>
      <c r="I258" s="84" t="s">
        <v>2752</v>
      </c>
      <c r="J258" s="7" t="s">
        <v>2753</v>
      </c>
      <c r="K258" s="7">
        <v>31.0</v>
      </c>
      <c r="L258" s="7">
        <v>31.0</v>
      </c>
      <c r="M258" s="7">
        <v>0.0</v>
      </c>
      <c r="N258" s="7">
        <v>0.0</v>
      </c>
      <c r="O258" s="7">
        <v>0.0</v>
      </c>
      <c r="P258" s="7">
        <v>31.0</v>
      </c>
      <c r="Q258" s="7">
        <v>148.0</v>
      </c>
      <c r="R258" s="7">
        <v>148.0</v>
      </c>
      <c r="S258" s="7">
        <v>0.0</v>
      </c>
      <c r="T258" s="7">
        <v>0.0</v>
      </c>
      <c r="U258" s="7">
        <v>0.0</v>
      </c>
      <c r="V258" s="7">
        <v>148.0</v>
      </c>
      <c r="W258" s="7">
        <f>VLOOKUP($D258,NatureChart,2,0)</f>
        <v>1.1</v>
      </c>
      <c r="X258" s="7">
        <f>VLOOKUP($D258,NatureChart,3,0)</f>
        <v>1</v>
      </c>
      <c r="Y258" s="7">
        <f>VLOOKUP($D258,NatureChart,4,0)</f>
        <v>0.9</v>
      </c>
      <c r="Z258" s="7">
        <f>VLOOKUP($D258,NatureChart,5,0)</f>
        <v>1</v>
      </c>
      <c r="AA258" s="84">
        <f>VLOOKUP($D258,NatureChart,6,0)</f>
        <v>1</v>
      </c>
      <c r="AB258" s="84">
        <f>IF($C258="Shedinja",1,(INT((2*VLOOKUP($C258,DexData,5,0)+INT(Q258/4)+K258)/2)+60))</f>
        <v>169</v>
      </c>
      <c r="AC258" s="84">
        <f>INT(INT((INT((2*VLOOKUP($C258,DexData,6,0)+INT(R258/4)+L258)/2)+5)*W258)*IF($E258="Choice Band",1.5,IF(OR($E258="Mawilite",$E258="Medichamite",$E258="Thick Club"),2,1)))</f>
        <v>152</v>
      </c>
      <c r="AD258" s="84">
        <f>INT(INT((INT((2*VLOOKUP($C258,DexData,7,0)+INT(S258/4)+M258)/2)+5)*X258)*IF($E258="Eviolite",1.5,1))</f>
        <v>115</v>
      </c>
      <c r="AE258" s="84">
        <f>INT(INT((INT((2*VLOOKUP($C258,DexData,9,0)+INT(T258/4)+N258)/2)+5)*Y258)*IF($E258="Choice Specs",1.5,1))</f>
        <v>45</v>
      </c>
      <c r="AF258" s="84">
        <f>INT(INT((INT((2*VLOOKUP($C258,DexData,10,0)+INT(U258/4)+O258)/2)+5)*Z258)*IF(OR($E258="Eviolite",$E258="Assault Vest"),1.5,1))</f>
        <v>60</v>
      </c>
      <c r="AG258" s="84">
        <f>INT(INT((INT((2*VLOOKUP($C258,DexData,11,0)+INT(V258/4)+P258)/2)+5)*AA258)*IF($E258="Choice Scarf",1.5,IF($E258="Iron Ball",0.5,1)))</f>
        <v>104</v>
      </c>
      <c r="AH258" s="84" t="str">
        <f>VLOOKUP(VLOOKUP($C258,DexData,3,0),Aliases!D$2:E$19,2,0)&amp;IFERROR("/"&amp;VLOOKUP(VLOOKUP($C258,DexData,4,0),Aliases!D$2:E$19,2,0),"")</f>
        <v>GRD</v>
      </c>
      <c r="AI258" s="7">
        <v>3.0</v>
      </c>
      <c r="AJ258" s="7">
        <f>IF(VLOOKUP(B258,'Set Odds'!A$2:AN$1067,40,0),1,IF(VLOOKUP(B258,'Set Odds'!A$2:AO$1067,41,0),2,0))</f>
        <v>0</v>
      </c>
      <c r="AK258" s="7"/>
      <c r="AL258" s="7" t="str">
        <f t="shared" si="1"/>
        <v/>
      </c>
    </row>
    <row r="259" ht="12.75" customHeight="1">
      <c r="A259" s="86">
        <v>258.0</v>
      </c>
      <c r="B259" s="84" t="s">
        <v>3455</v>
      </c>
      <c r="C259" s="7" t="s">
        <v>3456</v>
      </c>
      <c r="D259" s="7" t="s">
        <v>2611</v>
      </c>
      <c r="E259" s="7" t="s">
        <v>2761</v>
      </c>
      <c r="F259" s="84" t="s">
        <v>3186</v>
      </c>
      <c r="G259" s="84" t="s">
        <v>2772</v>
      </c>
      <c r="H259" s="84" t="s">
        <v>2574</v>
      </c>
      <c r="I259" s="84" t="s">
        <v>2813</v>
      </c>
      <c r="J259" s="7" t="s">
        <v>3203</v>
      </c>
      <c r="K259" s="7">
        <v>31.0</v>
      </c>
      <c r="L259" s="7">
        <v>0.0</v>
      </c>
      <c r="M259" s="7">
        <v>0.0</v>
      </c>
      <c r="N259" s="7">
        <v>31.0</v>
      </c>
      <c r="O259" s="7">
        <v>0.0</v>
      </c>
      <c r="P259" s="7">
        <v>31.0</v>
      </c>
      <c r="Q259" s="7">
        <v>148.0</v>
      </c>
      <c r="R259" s="7">
        <v>0.0</v>
      </c>
      <c r="S259" s="7">
        <v>0.0</v>
      </c>
      <c r="T259" s="7">
        <v>148.0</v>
      </c>
      <c r="U259" s="7">
        <v>0.0</v>
      </c>
      <c r="V259" s="7">
        <v>148.0</v>
      </c>
      <c r="W259" s="7">
        <f>VLOOKUP($D259,NatureChart,2,0)</f>
        <v>1</v>
      </c>
      <c r="X259" s="7">
        <f>VLOOKUP($D259,NatureChart,3,0)</f>
        <v>1</v>
      </c>
      <c r="Y259" s="7">
        <f>VLOOKUP($D259,NatureChart,4,0)</f>
        <v>1</v>
      </c>
      <c r="Z259" s="7">
        <f>VLOOKUP($D259,NatureChart,5,0)</f>
        <v>1</v>
      </c>
      <c r="AA259" s="84">
        <f>VLOOKUP($D259,NatureChart,6,0)</f>
        <v>1</v>
      </c>
      <c r="AB259" s="84">
        <f>IF($C259="Shedinja",1,(INT((2*VLOOKUP($C259,DexData,5,0)+INT(Q259/4)+K259)/2)+60))</f>
        <v>164</v>
      </c>
      <c r="AC259" s="84">
        <f>INT(INT((INT((2*VLOOKUP($C259,DexData,6,0)+INT(R259/4)+L259)/2)+5)*W259)*IF($E259="Choice Band",1.5,IF(OR($E259="Mawilite",$E259="Medichamite",$E259="Thick Club"),2,1)))</f>
        <v>70</v>
      </c>
      <c r="AD259" s="84">
        <f>INT(INT((INT((2*VLOOKUP($C259,DexData,7,0)+INT(S259/4)+M259)/2)+5)*X259)*IF($E259="Eviolite",1.5,1))</f>
        <v>65</v>
      </c>
      <c r="AE259" s="84">
        <f>INT(INT((INT((2*VLOOKUP($C259,DexData,9,0)+INT(T259/4)+N259)/2)+5)*Y259)*IF($E259="Choice Specs",1.5,1))</f>
        <v>129</v>
      </c>
      <c r="AF259" s="84">
        <f>INT(INT((INT((2*VLOOKUP($C259,DexData,10,0)+INT(U259/4)+O259)/2)+5)*Z259)*IF(OR($E259="Eviolite",$E259="Assault Vest"),1.5,1))</f>
        <v>80</v>
      </c>
      <c r="AG259" s="84">
        <f>INT(INT((INT((2*VLOOKUP($C259,DexData,11,0)+INT(V259/4)+P259)/2)+5)*AA259)*IF($E259="Choice Scarf",1.5,IF($E259="Iron Ball",0.5,1)))</f>
        <v>129</v>
      </c>
      <c r="AH259" s="84" t="str">
        <f>VLOOKUP(VLOOKUP($C259,DexData,3,0),Aliases!D$2:E$19,2,0)&amp;IFERROR("/"&amp;VLOOKUP(VLOOKUP($C259,DexData,4,0),Aliases!D$2:E$19,2,0),"")</f>
        <v>BUG/PSN</v>
      </c>
      <c r="AI259" s="7">
        <v>3.0</v>
      </c>
      <c r="AJ259" s="7">
        <f>IF(VLOOKUP(B259,'Set Odds'!A$2:AN$1067,40,0),1,IF(VLOOKUP(B259,'Set Odds'!A$2:AO$1067,41,0),2,0))</f>
        <v>0</v>
      </c>
      <c r="AK259" s="7"/>
      <c r="AL259" s="7" t="str">
        <f t="shared" si="1"/>
        <v/>
      </c>
    </row>
    <row r="260" ht="12.75" customHeight="1">
      <c r="A260" s="86">
        <v>259.0</v>
      </c>
      <c r="B260" s="84" t="s">
        <v>3457</v>
      </c>
      <c r="C260" s="7" t="s">
        <v>3458</v>
      </c>
      <c r="D260" s="7" t="s">
        <v>2811</v>
      </c>
      <c r="E260" s="7" t="s">
        <v>2636</v>
      </c>
      <c r="F260" s="84" t="s">
        <v>3185</v>
      </c>
      <c r="G260" s="84" t="s">
        <v>2817</v>
      </c>
      <c r="H260" s="84" t="s">
        <v>3459</v>
      </c>
      <c r="I260" s="84" t="s">
        <v>2530</v>
      </c>
      <c r="J260" s="7" t="s">
        <v>2662</v>
      </c>
      <c r="K260" s="7">
        <v>31.0</v>
      </c>
      <c r="L260" s="7">
        <v>0.0</v>
      </c>
      <c r="M260" s="7">
        <v>31.0</v>
      </c>
      <c r="N260" s="7">
        <v>0.0</v>
      </c>
      <c r="O260" s="7">
        <v>31.0</v>
      </c>
      <c r="P260" s="7">
        <v>0.0</v>
      </c>
      <c r="Q260" s="7">
        <v>148.0</v>
      </c>
      <c r="R260" s="7">
        <v>0.0</v>
      </c>
      <c r="S260" s="7">
        <v>148.0</v>
      </c>
      <c r="T260" s="7">
        <v>0.0</v>
      </c>
      <c r="U260" s="7">
        <v>148.0</v>
      </c>
      <c r="V260" s="7">
        <v>0.0</v>
      </c>
      <c r="W260" s="7">
        <f>VLOOKUP($D260,NatureChart,2,0)</f>
        <v>1</v>
      </c>
      <c r="X260" s="7">
        <f>VLOOKUP($D260,NatureChart,3,0)</f>
        <v>1.1</v>
      </c>
      <c r="Y260" s="7">
        <f>VLOOKUP($D260,NatureChart,4,0)</f>
        <v>1</v>
      </c>
      <c r="Z260" s="7">
        <f>VLOOKUP($D260,NatureChart,5,0)</f>
        <v>1</v>
      </c>
      <c r="AA260" s="84">
        <f>VLOOKUP($D260,NatureChart,6,0)</f>
        <v>0.9</v>
      </c>
      <c r="AB260" s="84">
        <f>IF($C260="Shedinja",1,(INT((2*VLOOKUP($C260,DexData,5,0)+INT(Q260/4)+K260)/2)+60))</f>
        <v>344</v>
      </c>
      <c r="AC260" s="84">
        <f>INT(INT((INT((2*VLOOKUP($C260,DexData,6,0)+INT(R260/4)+L260)/2)+5)*W260)*IF($E260="Choice Band",1.5,IF(OR($E260="Mawilite",$E260="Medichamite",$E260="Thick Club"),2,1)))</f>
        <v>10</v>
      </c>
      <c r="AD260" s="84">
        <f>INT(INT((INT((2*VLOOKUP($C260,DexData,7,0)+INT(S260/4)+M260)/2)+5)*X260)*IF($E260="Eviolite",1.5,1))</f>
        <v>48</v>
      </c>
      <c r="AE260" s="84">
        <f>INT(INT((INT((2*VLOOKUP($C260,DexData,9,0)+INT(T260/4)+N260)/2)+5)*Y260)*IF($E260="Choice Specs",1.5,1))</f>
        <v>40</v>
      </c>
      <c r="AF260" s="84">
        <f>INT(INT((INT((2*VLOOKUP($C260,DexData,10,0)+INT(U260/4)+O260)/2)+5)*Z260)*IF(OR($E260="Eviolite",$E260="Assault Vest"),1.5,1))</f>
        <v>144</v>
      </c>
      <c r="AG260" s="84">
        <f>INT(INT((INT((2*VLOOKUP($C260,DexData,11,0)+INT(V260/4)+P260)/2)+5)*AA260)*IF($E260="Choice Scarf",1.5,IF($E260="Iron Ball",0.5,1)))</f>
        <v>49</v>
      </c>
      <c r="AH260" s="84" t="str">
        <f>VLOOKUP(VLOOKUP($C260,DexData,3,0),Aliases!D$2:E$19,2,0)&amp;IFERROR("/"&amp;VLOOKUP(VLOOKUP($C260,DexData,4,0),Aliases!D$2:E$19,2,0),"")</f>
        <v>NRM</v>
      </c>
      <c r="AI260" s="7">
        <v>3.0</v>
      </c>
      <c r="AJ260" s="7">
        <f>IF(VLOOKUP(B260,'Set Odds'!A$2:AN$1067,40,0),1,IF(VLOOKUP(B260,'Set Odds'!A$2:AO$1067,41,0),2,0))</f>
        <v>0</v>
      </c>
      <c r="AK260" s="7"/>
      <c r="AL260" s="7" t="str">
        <f t="shared" si="1"/>
        <v/>
      </c>
    </row>
    <row r="261" ht="12.75" customHeight="1">
      <c r="A261" s="86">
        <v>260.0</v>
      </c>
      <c r="B261" s="84" t="s">
        <v>3460</v>
      </c>
      <c r="C261" s="7" t="s">
        <v>3461</v>
      </c>
      <c r="D261" s="7" t="s">
        <v>2599</v>
      </c>
      <c r="E261" s="7" t="s">
        <v>2636</v>
      </c>
      <c r="F261" s="84" t="s">
        <v>2607</v>
      </c>
      <c r="G261" s="84" t="s">
        <v>2772</v>
      </c>
      <c r="H261" s="84" t="s">
        <v>2807</v>
      </c>
      <c r="I261" s="84" t="s">
        <v>2948</v>
      </c>
      <c r="J261" s="7" t="s">
        <v>2747</v>
      </c>
      <c r="K261" s="7">
        <v>31.0</v>
      </c>
      <c r="L261" s="7">
        <v>31.0</v>
      </c>
      <c r="M261" s="7">
        <v>0.0</v>
      </c>
      <c r="N261" s="7">
        <v>31.0</v>
      </c>
      <c r="O261" s="7">
        <v>0.0</v>
      </c>
      <c r="P261" s="7">
        <v>0.0</v>
      </c>
      <c r="Q261" s="7">
        <v>148.0</v>
      </c>
      <c r="R261" s="7">
        <v>148.0</v>
      </c>
      <c r="S261" s="7">
        <v>0.0</v>
      </c>
      <c r="T261" s="7">
        <v>148.0</v>
      </c>
      <c r="U261" s="7">
        <v>0.0</v>
      </c>
      <c r="V261" s="7">
        <v>0.0</v>
      </c>
      <c r="W261" s="7">
        <f>VLOOKUP($D261,NatureChart,2,0)</f>
        <v>1</v>
      </c>
      <c r="X261" s="7">
        <f>VLOOKUP($D261,NatureChart,3,0)</f>
        <v>1</v>
      </c>
      <c r="Y261" s="7">
        <f>VLOOKUP($D261,NatureChart,4,0)</f>
        <v>1</v>
      </c>
      <c r="Z261" s="7">
        <f>VLOOKUP($D261,NatureChart,5,0)</f>
        <v>1</v>
      </c>
      <c r="AA261" s="84">
        <f>VLOOKUP($D261,NatureChart,6,0)</f>
        <v>1</v>
      </c>
      <c r="AB261" s="84">
        <f>IF($C261="Shedinja",1,(INT((2*VLOOKUP($C261,DexData,5,0)+INT(Q261/4)+K261)/2)+60))</f>
        <v>174</v>
      </c>
      <c r="AC261" s="84">
        <f>INT(INT((INT((2*VLOOKUP($C261,DexData,6,0)+INT(R261/4)+L261)/2)+5)*W261)*IF($E261="Choice Band",1.5,IF(OR($E261="Mawilite",$E261="Medichamite",$E261="Thick Club"),2,1)))</f>
        <v>131</v>
      </c>
      <c r="AD261" s="84">
        <f>INT(INT((INT((2*VLOOKUP($C261,DexData,7,0)+INT(S261/4)+M261)/2)+5)*X261)*IF($E261="Eviolite",1.5,1))</f>
        <v>70</v>
      </c>
      <c r="AE261" s="84">
        <f>INT(INT((INT((2*VLOOKUP($C261,DexData,9,0)+INT(T261/4)+N261)/2)+5)*Y261)*IF($E261="Choice Specs",1.5,1))</f>
        <v>104</v>
      </c>
      <c r="AF261" s="84">
        <f>INT(INT((INT((2*VLOOKUP($C261,DexData,10,0)+INT(U261/4)+O261)/2)+5)*Z261)*IF(OR($E261="Eviolite",$E261="Assault Vest"),1.5,1))</f>
        <v>85</v>
      </c>
      <c r="AG261" s="84">
        <f>INT(INT((INT((2*VLOOKUP($C261,DexData,11,0)+INT(V261/4)+P261)/2)+5)*AA261)*IF($E261="Choice Scarf",1.5,IF($E261="Iron Ball",0.5,1)))</f>
        <v>73</v>
      </c>
      <c r="AH261" s="84" t="str">
        <f>VLOOKUP(VLOOKUP($C261,DexData,3,0),Aliases!D$2:E$19,2,0)&amp;IFERROR("/"&amp;VLOOKUP(VLOOKUP($C261,DexData,4,0),Aliases!D$2:E$19,2,0),"")</f>
        <v>WTR</v>
      </c>
      <c r="AI261" s="7">
        <v>3.0</v>
      </c>
      <c r="AJ261" s="7">
        <f>IF(VLOOKUP(B261,'Set Odds'!A$2:AN$1067,40,0),1,IF(VLOOKUP(B261,'Set Odds'!A$2:AO$1067,41,0),2,0))</f>
        <v>0</v>
      </c>
      <c r="AK261" s="7"/>
      <c r="AL261" s="7" t="str">
        <f t="shared" si="1"/>
        <v/>
      </c>
    </row>
    <row r="262" ht="12.75" customHeight="1">
      <c r="A262" s="86">
        <v>261.0</v>
      </c>
      <c r="B262" s="84" t="s">
        <v>3462</v>
      </c>
      <c r="C262" s="7" t="s">
        <v>3463</v>
      </c>
      <c r="D262" s="7" t="s">
        <v>2599</v>
      </c>
      <c r="E262" s="7" t="s">
        <v>2528</v>
      </c>
      <c r="F262" s="84" t="s">
        <v>2614</v>
      </c>
      <c r="G262" s="84" t="s">
        <v>2534</v>
      </c>
      <c r="H262" s="84" t="s">
        <v>3464</v>
      </c>
      <c r="I262" s="84" t="s">
        <v>2856</v>
      </c>
      <c r="J262" s="7" t="s">
        <v>2701</v>
      </c>
      <c r="K262" s="7">
        <v>31.0</v>
      </c>
      <c r="L262" s="7">
        <v>0.0</v>
      </c>
      <c r="M262" s="7">
        <v>0.0</v>
      </c>
      <c r="N262" s="7">
        <v>31.0</v>
      </c>
      <c r="O262" s="7">
        <v>0.0</v>
      </c>
      <c r="P262" s="7">
        <v>31.0</v>
      </c>
      <c r="Q262" s="7">
        <v>148.0</v>
      </c>
      <c r="R262" s="7">
        <v>0.0</v>
      </c>
      <c r="S262" s="7">
        <v>0.0</v>
      </c>
      <c r="T262" s="7">
        <v>148.0</v>
      </c>
      <c r="U262" s="7">
        <v>0.0</v>
      </c>
      <c r="V262" s="7">
        <v>148.0</v>
      </c>
      <c r="W262" s="7">
        <f>VLOOKUP($D262,NatureChart,2,0)</f>
        <v>1</v>
      </c>
      <c r="X262" s="7">
        <f>VLOOKUP($D262,NatureChart,3,0)</f>
        <v>1</v>
      </c>
      <c r="Y262" s="7">
        <f>VLOOKUP($D262,NatureChart,4,0)</f>
        <v>1</v>
      </c>
      <c r="Z262" s="7">
        <f>VLOOKUP($D262,NatureChart,5,0)</f>
        <v>1</v>
      </c>
      <c r="AA262" s="84">
        <f>VLOOKUP($D262,NatureChart,6,0)</f>
        <v>1</v>
      </c>
      <c r="AB262" s="84">
        <f>IF($C262="Shedinja",1,(INT((2*VLOOKUP($C262,DexData,5,0)+INT(Q262/4)+K262)/2)+60))</f>
        <v>169</v>
      </c>
      <c r="AC262" s="84">
        <f>INT(INT((INT((2*VLOOKUP($C262,DexData,6,0)+INT(R262/4)+L262)/2)+5)*W262)*IF($E262="Choice Band",1.5,IF(OR($E262="Mawilite",$E262="Medichamite",$E262="Thick Club"),2,1)))</f>
        <v>60</v>
      </c>
      <c r="AD262" s="84">
        <f>INT(INT((INT((2*VLOOKUP($C262,DexData,7,0)+INT(S262/4)+M262)/2)+5)*X262)*IF($E262="Eviolite",1.5,1))</f>
        <v>75</v>
      </c>
      <c r="AE262" s="84">
        <f>INT(INT((INT((2*VLOOKUP($C262,DexData,9,0)+INT(T262/4)+N262)/2)+5)*Y262)*IF($E262="Choice Specs",1.5,1))</f>
        <v>94</v>
      </c>
      <c r="AF262" s="84">
        <f>INT(INT((INT((2*VLOOKUP($C262,DexData,10,0)+INT(U262/4)+O262)/2)+5)*Z262)*IF(OR($E262="Eviolite",$E262="Assault Vest"),1.5,1))</f>
        <v>100</v>
      </c>
      <c r="AG262" s="84">
        <f>INT(INT((INT((2*VLOOKUP($C262,DexData,11,0)+INT(V262/4)+P262)/2)+5)*AA262)*IF($E262="Choice Scarf",1.5,IF($E262="Iron Ball",0.5,1)))</f>
        <v>149</v>
      </c>
      <c r="AH262" s="84" t="str">
        <f>VLOOKUP(VLOOKUP($C262,DexData,3,0),Aliases!D$2:E$19,2,0)&amp;IFERROR("/"&amp;VLOOKUP(VLOOKUP($C262,DexData,4,0),Aliases!D$2:E$19,2,0),"")</f>
        <v>GRS/FLY</v>
      </c>
      <c r="AI262" s="7">
        <v>3.0</v>
      </c>
      <c r="AJ262" s="7">
        <f>IF(VLOOKUP(B262,'Set Odds'!A$2:AN$1067,40,0),1,IF(VLOOKUP(B262,'Set Odds'!A$2:AO$1067,41,0),2,0))</f>
        <v>0</v>
      </c>
      <c r="AK262" s="7"/>
      <c r="AL262" s="7" t="str">
        <f t="shared" si="1"/>
        <v/>
      </c>
    </row>
    <row r="263" ht="12.75" customHeight="1">
      <c r="A263" s="86">
        <v>262.0</v>
      </c>
      <c r="B263" s="84" t="s">
        <v>3465</v>
      </c>
      <c r="C263" s="7" t="s">
        <v>3466</v>
      </c>
      <c r="D263" s="7" t="s">
        <v>2571</v>
      </c>
      <c r="E263" s="7" t="s">
        <v>2750</v>
      </c>
      <c r="F263" s="84" t="s">
        <v>2751</v>
      </c>
      <c r="G263" s="84" t="s">
        <v>3454</v>
      </c>
      <c r="H263" s="84" t="s">
        <v>3048</v>
      </c>
      <c r="I263" s="84" t="s">
        <v>2596</v>
      </c>
      <c r="J263" s="7" t="s">
        <v>2968</v>
      </c>
      <c r="K263" s="7">
        <v>31.0</v>
      </c>
      <c r="L263" s="7">
        <v>31.0</v>
      </c>
      <c r="M263" s="7">
        <v>31.0</v>
      </c>
      <c r="N263" s="7">
        <v>0.0</v>
      </c>
      <c r="O263" s="7">
        <v>0.0</v>
      </c>
      <c r="P263" s="7">
        <v>0.0</v>
      </c>
      <c r="Q263" s="7">
        <v>148.0</v>
      </c>
      <c r="R263" s="7">
        <v>148.0</v>
      </c>
      <c r="S263" s="7">
        <v>148.0</v>
      </c>
      <c r="T263" s="7">
        <v>0.0</v>
      </c>
      <c r="U263" s="7">
        <v>0.0</v>
      </c>
      <c r="V263" s="7">
        <v>0.0</v>
      </c>
      <c r="W263" s="7">
        <f>VLOOKUP($D263,NatureChart,2,0)</f>
        <v>1.1</v>
      </c>
      <c r="X263" s="7">
        <f>VLOOKUP($D263,NatureChart,3,0)</f>
        <v>1</v>
      </c>
      <c r="Y263" s="7">
        <f>VLOOKUP($D263,NatureChart,4,0)</f>
        <v>0.9</v>
      </c>
      <c r="Z263" s="7">
        <f>VLOOKUP($D263,NatureChart,5,0)</f>
        <v>1</v>
      </c>
      <c r="AA263" s="84">
        <f>VLOOKUP($D263,NatureChart,6,0)</f>
        <v>1</v>
      </c>
      <c r="AB263" s="84">
        <f>IF($C263="Shedinja",1,(INT((2*VLOOKUP($C263,DexData,5,0)+INT(Q263/4)+K263)/2)+60))</f>
        <v>194</v>
      </c>
      <c r="AC263" s="84">
        <f>INT(INT((INT((2*VLOOKUP($C263,DexData,6,0)+INT(R263/4)+L263)/2)+5)*W263)*IF($E263="Choice Band",1.5,IF(OR($E263="Mawilite",$E263="Medichamite",$E263="Thick Club"),2,1)))</f>
        <v>152</v>
      </c>
      <c r="AD263" s="84">
        <f>INT(INT((INT((2*VLOOKUP($C263,DexData,7,0)+INT(S263/4)+M263)/2)+5)*X263)*IF($E263="Eviolite",1.5,1))</f>
        <v>119</v>
      </c>
      <c r="AE263" s="84">
        <f>INT(INT((INT((2*VLOOKUP($C263,DexData,9,0)+INT(T263/4)+N263)/2)+5)*Y263)*IF($E263="Choice Specs",1.5,1))</f>
        <v>58</v>
      </c>
      <c r="AF263" s="84">
        <f>INT(INT((INT((2*VLOOKUP($C263,DexData,10,0)+INT(U263/4)+O263)/2)+5)*Z263)*IF(OR($E263="Eviolite",$E263="Assault Vest"),1.5,1))</f>
        <v>65</v>
      </c>
      <c r="AG263" s="84">
        <f>INT(INT((INT((2*VLOOKUP($C263,DexData,11,0)+INT(V263/4)+P263)/2)+5)*AA263)*IF($E263="Choice Scarf",1.5,IF($E263="Iron Ball",0.5,1)))</f>
        <v>55</v>
      </c>
      <c r="AH263" s="84" t="str">
        <f>VLOOKUP(VLOOKUP($C263,DexData,3,0),Aliases!D$2:E$19,2,0)&amp;IFERROR("/"&amp;VLOOKUP(VLOOKUP($C263,DexData,4,0),Aliases!D$2:E$19,2,0),"")</f>
        <v>ICE/GRD</v>
      </c>
      <c r="AI263" s="7">
        <v>3.0</v>
      </c>
      <c r="AJ263" s="7">
        <f>IF(VLOOKUP(B263,'Set Odds'!A$2:AN$1067,40,0),1,IF(VLOOKUP(B263,'Set Odds'!A$2:AO$1067,41,0),2,0))</f>
        <v>0</v>
      </c>
      <c r="AK263" s="7"/>
      <c r="AL263" s="7" t="str">
        <f t="shared" si="1"/>
        <v/>
      </c>
    </row>
    <row r="264" ht="12.75" customHeight="1">
      <c r="A264" s="86">
        <v>263.0</v>
      </c>
      <c r="B264" s="84" t="s">
        <v>3467</v>
      </c>
      <c r="C264" s="7" t="s">
        <v>3468</v>
      </c>
      <c r="D264" s="7" t="s">
        <v>2571</v>
      </c>
      <c r="E264" s="7" t="s">
        <v>3129</v>
      </c>
      <c r="F264" s="84" t="s">
        <v>2606</v>
      </c>
      <c r="G264" s="84" t="s">
        <v>3314</v>
      </c>
      <c r="H264" s="84" t="s">
        <v>2848</v>
      </c>
      <c r="I264" s="84" t="s">
        <v>2513</v>
      </c>
      <c r="J264" s="7" t="s">
        <v>2968</v>
      </c>
      <c r="K264" s="7">
        <v>31.0</v>
      </c>
      <c r="L264" s="7">
        <v>31.0</v>
      </c>
      <c r="M264" s="7">
        <v>0.0</v>
      </c>
      <c r="N264" s="7">
        <v>0.0</v>
      </c>
      <c r="O264" s="7">
        <v>31.0</v>
      </c>
      <c r="P264" s="7">
        <v>0.0</v>
      </c>
      <c r="Q264" s="7">
        <v>148.0</v>
      </c>
      <c r="R264" s="7">
        <v>148.0</v>
      </c>
      <c r="S264" s="7">
        <v>0.0</v>
      </c>
      <c r="T264" s="7">
        <v>0.0</v>
      </c>
      <c r="U264" s="7">
        <v>148.0</v>
      </c>
      <c r="V264" s="7">
        <v>0.0</v>
      </c>
      <c r="W264" s="7">
        <f>VLOOKUP($D264,NatureChart,2,0)</f>
        <v>1.1</v>
      </c>
      <c r="X264" s="7">
        <f>VLOOKUP($D264,NatureChart,3,0)</f>
        <v>1</v>
      </c>
      <c r="Y264" s="7">
        <f>VLOOKUP($D264,NatureChart,4,0)</f>
        <v>0.9</v>
      </c>
      <c r="Z264" s="7">
        <f>VLOOKUP($D264,NatureChart,5,0)</f>
        <v>1</v>
      </c>
      <c r="AA264" s="84">
        <f>VLOOKUP($D264,NatureChart,6,0)</f>
        <v>1</v>
      </c>
      <c r="AB264" s="84">
        <f>IF($C264="Shedinja",1,(INT((2*VLOOKUP($C264,DexData,5,0)+INT(Q264/4)+K264)/2)+60))</f>
        <v>165</v>
      </c>
      <c r="AC264" s="84">
        <f>INT(INT((INT((2*VLOOKUP($C264,DexData,6,0)+INT(R264/4)+L264)/2)+5)*W264)*IF($E264="Choice Band",1.5,IF(OR($E264="Mawilite",$E264="Medichamite",$E264="Thick Club"),2,1)))</f>
        <v>133</v>
      </c>
      <c r="AD264" s="84">
        <f>INT(INT((INT((2*VLOOKUP($C264,DexData,7,0)+INT(S264/4)+M264)/2)+5)*X264)*IF($E264="Eviolite",1.5,1))</f>
        <v>69</v>
      </c>
      <c r="AE264" s="84">
        <f>INT(INT((INT((2*VLOOKUP($C264,DexData,9,0)+INT(T264/4)+N264)/2)+5)*Y264)*IF($E264="Choice Specs",1.5,1))</f>
        <v>62</v>
      </c>
      <c r="AF264" s="84">
        <f>INT(INT((INT((2*VLOOKUP($C264,DexData,10,0)+INT(U264/4)+O264)/2)+5)*Z264)*IF(OR($E264="Eviolite",$E264="Assault Vest"),1.5,1))</f>
        <v>98</v>
      </c>
      <c r="AG264" s="84">
        <f>INT(INT((INT((2*VLOOKUP($C264,DexData,11,0)+INT(V264/4)+P264)/2)+5)*AA264)*IF($E264="Choice Scarf",1.5,IF($E264="Iron Ball",0.5,1)))</f>
        <v>117</v>
      </c>
      <c r="AH264" s="84" t="str">
        <f>VLOOKUP(VLOOKUP($C264,DexData,3,0),Aliases!D$2:E$19,2,0)&amp;IFERROR("/"&amp;VLOOKUP(VLOOKUP($C264,DexData,4,0),Aliases!D$2:E$19,2,0),"")</f>
        <v>NRM</v>
      </c>
      <c r="AI264" s="7">
        <v>3.0</v>
      </c>
      <c r="AJ264" s="7">
        <f>IF(VLOOKUP(B264,'Set Odds'!A$2:AN$1067,40,0),1,IF(VLOOKUP(B264,'Set Odds'!A$2:AO$1067,41,0),2,0))</f>
        <v>0</v>
      </c>
      <c r="AK264" s="7"/>
      <c r="AL264" s="7" t="str">
        <f t="shared" si="1"/>
        <v/>
      </c>
    </row>
    <row r="265" ht="12.75" customHeight="1">
      <c r="A265" s="86">
        <v>264.0</v>
      </c>
      <c r="B265" s="84" t="s">
        <v>3469</v>
      </c>
      <c r="C265" s="7" t="s">
        <v>3470</v>
      </c>
      <c r="D265" s="7" t="s">
        <v>3105</v>
      </c>
      <c r="E265" s="7" t="s">
        <v>3471</v>
      </c>
      <c r="F265" s="84" t="s">
        <v>3472</v>
      </c>
      <c r="G265" s="84" t="s">
        <v>3015</v>
      </c>
      <c r="H265" s="84" t="s">
        <v>2680</v>
      </c>
      <c r="I265" s="84" t="s">
        <v>2575</v>
      </c>
      <c r="J265" s="7" t="s">
        <v>2714</v>
      </c>
      <c r="K265" s="7">
        <v>31.0</v>
      </c>
      <c r="L265" s="7">
        <v>0.0</v>
      </c>
      <c r="M265" s="7">
        <v>31.0</v>
      </c>
      <c r="N265" s="7">
        <v>0.0</v>
      </c>
      <c r="O265" s="7">
        <v>31.0</v>
      </c>
      <c r="P265" s="7">
        <v>0.0</v>
      </c>
      <c r="Q265" s="7">
        <v>148.0</v>
      </c>
      <c r="R265" s="7">
        <v>0.0</v>
      </c>
      <c r="S265" s="7">
        <v>148.0</v>
      </c>
      <c r="T265" s="7">
        <v>0.0</v>
      </c>
      <c r="U265" s="7">
        <v>148.0</v>
      </c>
      <c r="V265" s="7">
        <v>0.0</v>
      </c>
      <c r="W265" s="7">
        <f>VLOOKUP($D265,NatureChart,2,0)</f>
        <v>1</v>
      </c>
      <c r="X265" s="7">
        <f>VLOOKUP($D265,NatureChart,3,0)</f>
        <v>1</v>
      </c>
      <c r="Y265" s="7">
        <f>VLOOKUP($D265,NatureChart,4,0)</f>
        <v>1</v>
      </c>
      <c r="Z265" s="7">
        <f>VLOOKUP($D265,NatureChart,5,0)</f>
        <v>1.1</v>
      </c>
      <c r="AA265" s="84">
        <f>VLOOKUP($D265,NatureChart,6,0)</f>
        <v>0.9</v>
      </c>
      <c r="AB265" s="84">
        <f>IF($C265="Shedinja",1,(INT((2*VLOOKUP($C265,DexData,5,0)+INT(Q265/4)+K265)/2)+60))</f>
        <v>168</v>
      </c>
      <c r="AC265" s="84">
        <f>INT(INT((INT((2*VLOOKUP($C265,DexData,6,0)+INT(R265/4)+L265)/2)+5)*W265)*IF($E265="Choice Band",1.5,IF(OR($E265="Mawilite",$E265="Medichamite",$E265="Thick Club"),2,1)))</f>
        <v>105</v>
      </c>
      <c r="AD265" s="84">
        <f>INT(INT((INT((2*VLOOKUP($C265,DexData,7,0)+INT(S265/4)+M265)/2)+5)*X265)*IF($E265="Eviolite",1.5,1))</f>
        <v>111</v>
      </c>
      <c r="AE265" s="84">
        <f>INT(INT((INT((2*VLOOKUP($C265,DexData,9,0)+INT(T265/4)+N265)/2)+5)*Y265)*IF($E265="Choice Specs",1.5,1))</f>
        <v>95</v>
      </c>
      <c r="AF265" s="84">
        <f>INT(INT((INT((2*VLOOKUP($C265,DexData,10,0)+INT(U265/4)+O265)/2)+5)*Z265)*IF(OR($E265="Eviolite",$E265="Assault Vest"),1.5,1))</f>
        <v>122</v>
      </c>
      <c r="AG265" s="84">
        <f>INT(INT((INT((2*VLOOKUP($C265,DexData,11,0)+INT(V265/4)+P265)/2)+5)*AA265)*IF($E265="Choice Scarf",1.5,IF($E265="Iron Ball",0.5,1)))</f>
        <v>45</v>
      </c>
      <c r="AH265" s="84" t="str">
        <f>VLOOKUP(VLOOKUP($C265,DexData,3,0),Aliases!D$2:E$19,2,0)&amp;IFERROR("/"&amp;VLOOKUP(VLOOKUP($C265,DexData,4,0),Aliases!D$2:E$19,2,0),"")</f>
        <v>GRS</v>
      </c>
      <c r="AI265" s="7">
        <v>3.0</v>
      </c>
      <c r="AJ265" s="7">
        <f>IF(VLOOKUP(B265,'Set Odds'!A$2:AN$1067,40,0),1,IF(VLOOKUP(B265,'Set Odds'!A$2:AO$1067,41,0),2,0))</f>
        <v>0</v>
      </c>
      <c r="AK265" s="7"/>
      <c r="AL265" s="7" t="str">
        <f t="shared" si="1"/>
        <v/>
      </c>
    </row>
    <row r="266" ht="12.75" customHeight="1">
      <c r="A266" s="86">
        <v>265.0</v>
      </c>
      <c r="B266" s="84" t="s">
        <v>3473</v>
      </c>
      <c r="C266" s="7" t="s">
        <v>3474</v>
      </c>
      <c r="D266" s="7" t="s">
        <v>2692</v>
      </c>
      <c r="E266" s="7" t="s">
        <v>2579</v>
      </c>
      <c r="F266" s="84" t="s">
        <v>3357</v>
      </c>
      <c r="G266" s="84" t="s">
        <v>2536</v>
      </c>
      <c r="H266" s="84" t="s">
        <v>2676</v>
      </c>
      <c r="I266" s="84" t="s">
        <v>3475</v>
      </c>
      <c r="J266" s="7" t="s">
        <v>3233</v>
      </c>
      <c r="K266" s="7">
        <v>31.0</v>
      </c>
      <c r="L266" s="7">
        <v>31.0</v>
      </c>
      <c r="M266" s="7">
        <v>0.0</v>
      </c>
      <c r="N266" s="7">
        <v>0.0</v>
      </c>
      <c r="O266" s="7">
        <v>0.0</v>
      </c>
      <c r="P266" s="7">
        <v>31.0</v>
      </c>
      <c r="Q266" s="7">
        <v>148.0</v>
      </c>
      <c r="R266" s="7">
        <v>148.0</v>
      </c>
      <c r="S266" s="7">
        <v>0.0</v>
      </c>
      <c r="T266" s="7">
        <v>0.0</v>
      </c>
      <c r="U266" s="7">
        <v>0.0</v>
      </c>
      <c r="V266" s="7">
        <v>148.0</v>
      </c>
      <c r="W266" s="7">
        <f>VLOOKUP($D266,NatureChart,2,0)</f>
        <v>1</v>
      </c>
      <c r="X266" s="7">
        <f>VLOOKUP($D266,NatureChart,3,0)</f>
        <v>1</v>
      </c>
      <c r="Y266" s="7">
        <f>VLOOKUP($D266,NatureChart,4,0)</f>
        <v>0.9</v>
      </c>
      <c r="Z266" s="7">
        <f>VLOOKUP($D266,NatureChart,5,0)</f>
        <v>1</v>
      </c>
      <c r="AA266" s="84">
        <f>VLOOKUP($D266,NatureChart,6,0)</f>
        <v>1.1</v>
      </c>
      <c r="AB266" s="84">
        <f>IF($C266="Shedinja",1,(INT((2*VLOOKUP($C266,DexData,5,0)+INT(Q266/4)+K266)/2)+60))</f>
        <v>169</v>
      </c>
      <c r="AC266" s="84">
        <f>INT(INT((INT((2*VLOOKUP($C266,DexData,6,0)+INT(R266/4)+L266)/2)+5)*W266)*IF($E266="Choice Band",1.5,IF(OR($E266="Mawilite",$E266="Medichamite",$E266="Thick Club"),2,1)))</f>
        <v>119</v>
      </c>
      <c r="AD266" s="84">
        <f>INT(INT((INT((2*VLOOKUP($C266,DexData,7,0)+INT(S266/4)+M266)/2)+5)*X266)*IF($E266="Eviolite",1.5,1))</f>
        <v>75</v>
      </c>
      <c r="AE266" s="84">
        <f>INT(INT((INT((2*VLOOKUP($C266,DexData,9,0)+INT(T266/4)+N266)/2)+5)*Y266)*IF($E266="Choice Specs",1.5,1))</f>
        <v>63</v>
      </c>
      <c r="AF266" s="84">
        <f>INT(INT((INT((2*VLOOKUP($C266,DexData,10,0)+INT(U266/4)+O266)/2)+5)*Z266)*IF(OR($E266="Eviolite",$E266="Assault Vest"),1.5,1))</f>
        <v>80</v>
      </c>
      <c r="AG266" s="84">
        <f>INT(INT((INT((2*VLOOKUP($C266,DexData,11,0)+INT(V266/4)+P266)/2)+5)*AA266)*IF($E266="Choice Scarf",1.5,IF($E266="Iron Ball",0.5,1)))</f>
        <v>141</v>
      </c>
      <c r="AH266" s="84" t="str">
        <f>VLOOKUP(VLOOKUP($C266,DexData,3,0),Aliases!D$2:E$19,2,0)&amp;IFERROR("/"&amp;VLOOKUP(VLOOKUP($C266,DexData,4,0),Aliases!D$2:E$19,2,0),"")</f>
        <v>PSN/FLY</v>
      </c>
      <c r="AI266" s="7">
        <v>3.0</v>
      </c>
      <c r="AJ266" s="7">
        <f>IF(VLOOKUP(B266,'Set Odds'!A$2:AN$1067,40,0),1,IF(VLOOKUP(B266,'Set Odds'!A$2:AO$1067,41,0),2,0))</f>
        <v>0</v>
      </c>
      <c r="AK266" s="7"/>
      <c r="AL266" s="7" t="str">
        <f t="shared" si="1"/>
        <v/>
      </c>
    </row>
    <row r="267" ht="12.75" customHeight="1">
      <c r="A267" s="86">
        <v>266.0</v>
      </c>
      <c r="B267" s="84" t="s">
        <v>3476</v>
      </c>
      <c r="C267" s="7" t="s">
        <v>3477</v>
      </c>
      <c r="D267" s="7" t="s">
        <v>2611</v>
      </c>
      <c r="E267" s="7" t="s">
        <v>2636</v>
      </c>
      <c r="F267" s="84" t="s">
        <v>3478</v>
      </c>
      <c r="G267" s="84" t="s">
        <v>3479</v>
      </c>
      <c r="H267" s="84" t="s">
        <v>2534</v>
      </c>
      <c r="I267" s="84" t="s">
        <v>2890</v>
      </c>
      <c r="J267" s="7" t="s">
        <v>3114</v>
      </c>
      <c r="K267" s="7">
        <v>31.0</v>
      </c>
      <c r="L267" s="7">
        <v>31.0</v>
      </c>
      <c r="M267" s="7">
        <v>0.0</v>
      </c>
      <c r="N267" s="7">
        <v>0.0</v>
      </c>
      <c r="O267" s="7">
        <v>0.0</v>
      </c>
      <c r="P267" s="7">
        <v>31.0</v>
      </c>
      <c r="Q267" s="7">
        <v>148.0</v>
      </c>
      <c r="R267" s="7">
        <v>148.0</v>
      </c>
      <c r="S267" s="7">
        <v>0.0</v>
      </c>
      <c r="T267" s="7">
        <v>0.0</v>
      </c>
      <c r="U267" s="7">
        <v>0.0</v>
      </c>
      <c r="V267" s="7">
        <v>148.0</v>
      </c>
      <c r="W267" s="7">
        <f>VLOOKUP($D267,NatureChart,2,0)</f>
        <v>1</v>
      </c>
      <c r="X267" s="7">
        <f>VLOOKUP($D267,NatureChart,3,0)</f>
        <v>1</v>
      </c>
      <c r="Y267" s="7">
        <f>VLOOKUP($D267,NatureChart,4,0)</f>
        <v>1</v>
      </c>
      <c r="Z267" s="7">
        <f>VLOOKUP($D267,NatureChart,5,0)</f>
        <v>1</v>
      </c>
      <c r="AA267" s="84">
        <f>VLOOKUP($D267,NatureChart,6,0)</f>
        <v>1</v>
      </c>
      <c r="AB267" s="84">
        <f>IF($C267="Shedinja",1,(INT((2*VLOOKUP($C267,DexData,5,0)+INT(Q267/4)+K267)/2)+60))</f>
        <v>159</v>
      </c>
      <c r="AC267" s="84">
        <f>INT(INT((INT((2*VLOOKUP($C267,DexData,6,0)+INT(R267/4)+L267)/2)+5)*W267)*IF($E267="Choice Band",1.5,IF(OR($E267="Mawilite",$E267="Medichamite",$E267="Thick Club"),2,1)))</f>
        <v>144</v>
      </c>
      <c r="AD267" s="84">
        <f>INT(INT((INT((2*VLOOKUP($C267,DexData,7,0)+INT(S267/4)+M267)/2)+5)*X267)*IF($E267="Eviolite",1.5,1))</f>
        <v>65</v>
      </c>
      <c r="AE267" s="84">
        <f>INT(INT((INT((2*VLOOKUP($C267,DexData,9,0)+INT(T267/4)+N267)/2)+5)*Y267)*IF($E267="Choice Specs",1.5,1))</f>
        <v>65</v>
      </c>
      <c r="AF267" s="84">
        <f>INT(INT((INT((2*VLOOKUP($C267,DexData,10,0)+INT(U267/4)+O267)/2)+5)*Z267)*IF(OR($E267="Eviolite",$E267="Assault Vest"),1.5,1))</f>
        <v>75</v>
      </c>
      <c r="AG267" s="84">
        <f>INT(INT((INT((2*VLOOKUP($C267,DexData,11,0)+INT(V267/4)+P267)/2)+5)*AA267)*IF($E267="Choice Scarf",1.5,IF($E267="Iron Ball",0.5,1)))</f>
        <v>134</v>
      </c>
      <c r="AH267" s="84" t="str">
        <f>VLOOKUP(VLOOKUP($C267,DexData,3,0),Aliases!D$2:E$19,2,0)&amp;IFERROR("/"&amp;VLOOKUP(VLOOKUP($C267,DexData,4,0),Aliases!D$2:E$19,2,0),"")</f>
        <v>FTG</v>
      </c>
      <c r="AI267" s="7">
        <v>3.0</v>
      </c>
      <c r="AJ267" s="7">
        <f>IF(VLOOKUP(B267,'Set Odds'!A$2:AN$1067,40,0),1,IF(VLOOKUP(B267,'Set Odds'!A$2:AO$1067,41,0),2,0))</f>
        <v>0</v>
      </c>
      <c r="AK267" s="7"/>
      <c r="AL267" s="7" t="str">
        <f t="shared" si="1"/>
        <v/>
      </c>
    </row>
    <row r="268" ht="12.75" customHeight="1">
      <c r="A268" s="86">
        <v>267.0</v>
      </c>
      <c r="B268" s="84" t="s">
        <v>3480</v>
      </c>
      <c r="C268" s="7" t="s">
        <v>3481</v>
      </c>
      <c r="D268" s="7" t="s">
        <v>2571</v>
      </c>
      <c r="E268" s="7" t="s">
        <v>3108</v>
      </c>
      <c r="F268" s="84" t="s">
        <v>3482</v>
      </c>
      <c r="G268" s="84" t="s">
        <v>3483</v>
      </c>
      <c r="H268" s="84" t="s">
        <v>3484</v>
      </c>
      <c r="I268" s="84" t="s">
        <v>3253</v>
      </c>
      <c r="J268" s="7" t="s">
        <v>2853</v>
      </c>
      <c r="K268" s="7">
        <v>31.0</v>
      </c>
      <c r="L268" s="7">
        <v>31.0</v>
      </c>
      <c r="M268" s="7">
        <v>0.0</v>
      </c>
      <c r="N268" s="7">
        <v>0.0</v>
      </c>
      <c r="O268" s="7">
        <v>0.0</v>
      </c>
      <c r="P268" s="7">
        <v>31.0</v>
      </c>
      <c r="Q268" s="7">
        <v>148.0</v>
      </c>
      <c r="R268" s="7">
        <v>148.0</v>
      </c>
      <c r="S268" s="7">
        <v>0.0</v>
      </c>
      <c r="T268" s="7">
        <v>0.0</v>
      </c>
      <c r="U268" s="7">
        <v>0.0</v>
      </c>
      <c r="V268" s="7">
        <v>148.0</v>
      </c>
      <c r="W268" s="7">
        <f>VLOOKUP($D268,NatureChart,2,0)</f>
        <v>1.1</v>
      </c>
      <c r="X268" s="7">
        <f>VLOOKUP($D268,NatureChart,3,0)</f>
        <v>1</v>
      </c>
      <c r="Y268" s="7">
        <f>VLOOKUP($D268,NatureChart,4,0)</f>
        <v>0.9</v>
      </c>
      <c r="Z268" s="7">
        <f>VLOOKUP($D268,NatureChart,5,0)</f>
        <v>1</v>
      </c>
      <c r="AA268" s="84">
        <f>VLOOKUP($D268,NatureChart,6,0)</f>
        <v>1</v>
      </c>
      <c r="AB268" s="84">
        <f>IF($C268="Shedinja",1,(INT((2*VLOOKUP($C268,DexData,5,0)+INT(Q268/4)+K268)/2)+60))</f>
        <v>144</v>
      </c>
      <c r="AC268" s="84">
        <f>INT(INT((INT((2*VLOOKUP($C268,DexData,6,0)+INT(R268/4)+L268)/2)+5)*W268)*IF($E268="Choice Band",1.5,IF(OR($E268="Mawilite",$E268="Medichamite",$E268="Thick Club"),2,1)))</f>
        <v>174</v>
      </c>
      <c r="AD268" s="84">
        <f>INT(INT((INT((2*VLOOKUP($C268,DexData,7,0)+INT(S268/4)+M268)/2)+5)*X268)*IF($E268="Eviolite",1.5,1))</f>
        <v>58</v>
      </c>
      <c r="AE268" s="84">
        <f>INT(INT((INT((2*VLOOKUP($C268,DexData,9,0)+INT(T268/4)+N268)/2)+5)*Y268)*IF($E268="Choice Specs",1.5,1))</f>
        <v>36</v>
      </c>
      <c r="AF268" s="84">
        <f>INT(INT((INT((2*VLOOKUP($C268,DexData,10,0)+INT(U268/4)+O268)/2)+5)*Z268)*IF(OR($E268="Eviolite",$E268="Assault Vest"),1.5,1))</f>
        <v>115</v>
      </c>
      <c r="AG268" s="84">
        <f>INT(INT((INT((2*VLOOKUP($C268,DexData,11,0)+INT(V268/4)+P268)/2)+5)*AA268)*IF($E268="Choice Scarf",1.5,IF($E268="Iron Ball",0.5,1)))</f>
        <v>126</v>
      </c>
      <c r="AH268" s="84" t="str">
        <f>VLOOKUP(VLOOKUP($C268,DexData,3,0),Aliases!D$2:E$19,2,0)&amp;IFERROR("/"&amp;VLOOKUP(VLOOKUP($C268,DexData,4,0),Aliases!D$2:E$19,2,0),"")</f>
        <v>FTG</v>
      </c>
      <c r="AI268" s="7">
        <v>3.0</v>
      </c>
      <c r="AJ268" s="7">
        <f>IF(VLOOKUP(B268,'Set Odds'!A$2:AN$1067,40,0),1,IF(VLOOKUP(B268,'Set Odds'!A$2:AO$1067,41,0),2,0))</f>
        <v>0</v>
      </c>
      <c r="AK268" s="7"/>
      <c r="AL268" s="7" t="str">
        <f t="shared" si="1"/>
        <v/>
      </c>
    </row>
    <row r="269" ht="12.75" customHeight="1">
      <c r="A269" s="86">
        <v>268.0</v>
      </c>
      <c r="B269" s="84" t="s">
        <v>3485</v>
      </c>
      <c r="C269" s="7" t="s">
        <v>3486</v>
      </c>
      <c r="D269" s="7" t="s">
        <v>2571</v>
      </c>
      <c r="E269" s="7" t="s">
        <v>2519</v>
      </c>
      <c r="F269" s="84" t="s">
        <v>3312</v>
      </c>
      <c r="G269" s="84" t="s">
        <v>3390</v>
      </c>
      <c r="H269" s="84" t="s">
        <v>2521</v>
      </c>
      <c r="I269" s="84" t="s">
        <v>2718</v>
      </c>
      <c r="J269" s="7" t="s">
        <v>3487</v>
      </c>
      <c r="K269" s="7">
        <v>31.0</v>
      </c>
      <c r="L269" s="7">
        <v>31.0</v>
      </c>
      <c r="M269" s="7">
        <v>0.0</v>
      </c>
      <c r="N269" s="7">
        <v>0.0</v>
      </c>
      <c r="O269" s="7">
        <v>0.0</v>
      </c>
      <c r="P269" s="7">
        <v>31.0</v>
      </c>
      <c r="Q269" s="7">
        <v>148.0</v>
      </c>
      <c r="R269" s="7">
        <v>148.0</v>
      </c>
      <c r="S269" s="7">
        <v>0.0</v>
      </c>
      <c r="T269" s="7">
        <v>0.0</v>
      </c>
      <c r="U269" s="7">
        <v>0.0</v>
      </c>
      <c r="V269" s="7">
        <v>148.0</v>
      </c>
      <c r="W269" s="7">
        <f>VLOOKUP($D269,NatureChart,2,0)</f>
        <v>1.1</v>
      </c>
      <c r="X269" s="7">
        <f>VLOOKUP($D269,NatureChart,3,0)</f>
        <v>1</v>
      </c>
      <c r="Y269" s="7">
        <f>VLOOKUP($D269,NatureChart,4,0)</f>
        <v>0.9</v>
      </c>
      <c r="Z269" s="7">
        <f>VLOOKUP($D269,NatureChart,5,0)</f>
        <v>1</v>
      </c>
      <c r="AA269" s="84">
        <f>VLOOKUP($D269,NatureChart,6,0)</f>
        <v>1</v>
      </c>
      <c r="AB269" s="84">
        <f>IF($C269="Shedinja",1,(INT((2*VLOOKUP($C269,DexData,5,0)+INT(Q269/4)+K269)/2)+60))</f>
        <v>144</v>
      </c>
      <c r="AC269" s="84">
        <f>INT(INT((INT((2*VLOOKUP($C269,DexData,6,0)+INT(R269/4)+L269)/2)+5)*W269)*IF($E269="Choice Band",1.5,IF(OR($E269="Mawilite",$E269="Medichamite",$E269="Thick Club"),2,1)))</f>
        <v>158</v>
      </c>
      <c r="AD269" s="84">
        <f>INT(INT((INT((2*VLOOKUP($C269,DexData,7,0)+INT(S269/4)+M269)/2)+5)*X269)*IF($E269="Eviolite",1.5,1))</f>
        <v>84</v>
      </c>
      <c r="AE269" s="84">
        <f>INT(INT((INT((2*VLOOKUP($C269,DexData,9,0)+INT(T269/4)+N269)/2)+5)*Y269)*IF($E269="Choice Specs",1.5,1))</f>
        <v>36</v>
      </c>
      <c r="AF269" s="84">
        <f>INT(INT((INT((2*VLOOKUP($C269,DexData,10,0)+INT(U269/4)+O269)/2)+5)*Z269)*IF(OR($E269="Eviolite",$E269="Assault Vest"),1.5,1))</f>
        <v>115</v>
      </c>
      <c r="AG269" s="84">
        <f>INT(INT((INT((2*VLOOKUP($C269,DexData,11,0)+INT(V269/4)+P269)/2)+5)*AA269)*IF($E269="Choice Scarf",1.5,IF($E269="Iron Ball",0.5,1)))</f>
        <v>115</v>
      </c>
      <c r="AH269" s="84" t="str">
        <f>VLOOKUP(VLOOKUP($C269,DexData,3,0),Aliases!D$2:E$19,2,0)&amp;IFERROR("/"&amp;VLOOKUP(VLOOKUP($C269,DexData,4,0),Aliases!D$2:E$19,2,0),"")</f>
        <v>FTG</v>
      </c>
      <c r="AI269" s="7">
        <v>3.0</v>
      </c>
      <c r="AJ269" s="7">
        <f>IF(VLOOKUP(B269,'Set Odds'!A$2:AN$1067,40,0),1,IF(VLOOKUP(B269,'Set Odds'!A$2:AO$1067,41,0),2,0))</f>
        <v>0</v>
      </c>
      <c r="AK269" s="7"/>
      <c r="AL269" s="7" t="str">
        <f t="shared" si="1"/>
        <v/>
      </c>
    </row>
    <row r="270" ht="12.75" customHeight="1">
      <c r="A270" s="86">
        <v>269.0</v>
      </c>
      <c r="B270" s="84" t="s">
        <v>3488</v>
      </c>
      <c r="C270" s="7" t="s">
        <v>3489</v>
      </c>
      <c r="D270" s="7" t="s">
        <v>2827</v>
      </c>
      <c r="E270" s="7" t="s">
        <v>2770</v>
      </c>
      <c r="F270" s="84" t="s">
        <v>2772</v>
      </c>
      <c r="G270" s="84" t="s">
        <v>3435</v>
      </c>
      <c r="H270" s="84" t="s">
        <v>3239</v>
      </c>
      <c r="I270" s="84" t="s">
        <v>2813</v>
      </c>
      <c r="J270" s="7" t="s">
        <v>3490</v>
      </c>
      <c r="K270" s="7">
        <v>31.0</v>
      </c>
      <c r="L270" s="7">
        <v>0.0</v>
      </c>
      <c r="M270" s="7">
        <v>0.0</v>
      </c>
      <c r="N270" s="7">
        <v>31.0</v>
      </c>
      <c r="O270" s="7">
        <v>31.0</v>
      </c>
      <c r="P270" s="7">
        <v>0.0</v>
      </c>
      <c r="Q270" s="7">
        <v>148.0</v>
      </c>
      <c r="R270" s="7">
        <v>0.0</v>
      </c>
      <c r="S270" s="7">
        <v>0.0</v>
      </c>
      <c r="T270" s="7">
        <v>148.0</v>
      </c>
      <c r="U270" s="7">
        <v>148.0</v>
      </c>
      <c r="V270" s="7">
        <v>0.0</v>
      </c>
      <c r="W270" s="7">
        <f>VLOOKUP($D270,NatureChart,2,0)</f>
        <v>1</v>
      </c>
      <c r="X270" s="7">
        <f>VLOOKUP($D270,NatureChart,3,0)</f>
        <v>1</v>
      </c>
      <c r="Y270" s="7">
        <f>VLOOKUP($D270,NatureChart,4,0)</f>
        <v>1.1</v>
      </c>
      <c r="Z270" s="7">
        <f>VLOOKUP($D270,NatureChart,5,0)</f>
        <v>1</v>
      </c>
      <c r="AA270" s="84">
        <f>VLOOKUP($D270,NatureChart,6,0)</f>
        <v>0.9</v>
      </c>
      <c r="AB270" s="84">
        <f>IF($C270="Shedinja",1,(INT((2*VLOOKUP($C270,DexData,5,0)+INT(Q270/4)+K270)/2)+60))</f>
        <v>164</v>
      </c>
      <c r="AC270" s="84">
        <f>INT(INT((INT((2*VLOOKUP($C270,DexData,6,0)+INT(R270/4)+L270)/2)+5)*W270)*IF($E270="Choice Band",1.5,IF(OR($E270="Mawilite",$E270="Medichamite",$E270="Thick Club"),2,1)))</f>
        <v>85</v>
      </c>
      <c r="AD270" s="84">
        <f>INT(INT((INT((2*VLOOKUP($C270,DexData,7,0)+INT(S270/4)+M270)/2)+5)*X270)*IF($E270="Eviolite",1.5,1))</f>
        <v>70</v>
      </c>
      <c r="AE270" s="84">
        <f>INT(INT((INT((2*VLOOKUP($C270,DexData,9,0)+INT(T270/4)+N270)/2)+5)*Y270)*IF($E270="Choice Specs",1.5,1))</f>
        <v>141</v>
      </c>
      <c r="AF270" s="84">
        <f>INT(INT((INT((2*VLOOKUP($C270,DexData,10,0)+INT(U270/4)+O270)/2)+5)*Z270)*IF(OR($E270="Eviolite",$E270="Assault Vest"),1.5,1))</f>
        <v>104</v>
      </c>
      <c r="AG270" s="84">
        <f>INT(INT((INT((2*VLOOKUP($C270,DexData,11,0)+INT(V270/4)+P270)/2)+5)*AA270)*IF($E270="Choice Scarf",1.5,IF($E270="Iron Ball",0.5,1)))</f>
        <v>81</v>
      </c>
      <c r="AH270" s="84" t="str">
        <f>VLOOKUP(VLOOKUP($C270,DexData,3,0),Aliases!D$2:E$19,2,0)&amp;IFERROR("/"&amp;VLOOKUP(VLOOKUP($C270,DexData,4,0),Aliases!D$2:E$19,2,0),"")</f>
        <v>NRM/PSY</v>
      </c>
      <c r="AI270" s="7">
        <v>3.0</v>
      </c>
      <c r="AJ270" s="7">
        <f>IF(VLOOKUP(B270,'Set Odds'!A$2:AN$1067,40,0),1,IF(VLOOKUP(B270,'Set Odds'!A$2:AO$1067,41,0),2,0))</f>
        <v>0</v>
      </c>
      <c r="AK270" s="7"/>
      <c r="AL270" s="7" t="str">
        <f t="shared" si="1"/>
        <v/>
      </c>
    </row>
    <row r="271" ht="12.75" customHeight="1">
      <c r="A271" s="86">
        <v>270.0</v>
      </c>
      <c r="B271" s="84" t="s">
        <v>3491</v>
      </c>
      <c r="C271" s="7" t="s">
        <v>3492</v>
      </c>
      <c r="D271" s="7" t="s">
        <v>2795</v>
      </c>
      <c r="E271" s="7" t="s">
        <v>2790</v>
      </c>
      <c r="F271" s="84" t="s">
        <v>3493</v>
      </c>
      <c r="G271" s="84" t="s">
        <v>2626</v>
      </c>
      <c r="H271" s="84" t="s">
        <v>3312</v>
      </c>
      <c r="I271" s="84" t="s">
        <v>2513</v>
      </c>
      <c r="J271" s="7" t="s">
        <v>2696</v>
      </c>
      <c r="K271" s="7">
        <v>31.0</v>
      </c>
      <c r="L271" s="7">
        <v>31.0</v>
      </c>
      <c r="M271" s="7">
        <v>31.0</v>
      </c>
      <c r="N271" s="7">
        <v>0.0</v>
      </c>
      <c r="O271" s="7">
        <v>0.0</v>
      </c>
      <c r="P271" s="7">
        <v>0.0</v>
      </c>
      <c r="Q271" s="7">
        <v>148.0</v>
      </c>
      <c r="R271" s="7">
        <v>148.0</v>
      </c>
      <c r="S271" s="7">
        <v>148.0</v>
      </c>
      <c r="T271" s="7">
        <v>0.0</v>
      </c>
      <c r="U271" s="7">
        <v>0.0</v>
      </c>
      <c r="V271" s="7">
        <v>0.0</v>
      </c>
      <c r="W271" s="7">
        <f>VLOOKUP($D271,NatureChart,2,0)</f>
        <v>1</v>
      </c>
      <c r="X271" s="7">
        <f>VLOOKUP($D271,NatureChart,3,0)</f>
        <v>1</v>
      </c>
      <c r="Y271" s="7">
        <f>VLOOKUP($D271,NatureChart,4,0)</f>
        <v>1</v>
      </c>
      <c r="Z271" s="7">
        <f>VLOOKUP($D271,NatureChart,5,0)</f>
        <v>1</v>
      </c>
      <c r="AA271" s="84">
        <f>VLOOKUP($D271,NatureChart,6,0)</f>
        <v>1</v>
      </c>
      <c r="AB271" s="84">
        <f>IF($C271="Shedinja",1,(INT((2*VLOOKUP($C271,DexData,5,0)+INT(Q271/4)+K271)/2)+60))</f>
        <v>144</v>
      </c>
      <c r="AC271" s="84">
        <f>INT(INT((INT((2*VLOOKUP($C271,DexData,6,0)+INT(R271/4)+L271)/2)+5)*W271)*IF($E271="Choice Band",1.5,IF(OR($E271="Mawilite",$E271="Medichamite",$E271="Thick Club"),2,1)))</f>
        <v>134</v>
      </c>
      <c r="AD271" s="84">
        <f>INT(INT((INT((2*VLOOKUP($C271,DexData,7,0)+INT(S271/4)+M271)/2)+5)*X271)*IF($E271="Eviolite",1.5,1))</f>
        <v>134</v>
      </c>
      <c r="AE271" s="84">
        <f>INT(INT((INT((2*VLOOKUP($C271,DexData,9,0)+INT(T271/4)+N271)/2)+5)*Y271)*IF($E271="Choice Specs",1.5,1))</f>
        <v>40</v>
      </c>
      <c r="AF271" s="84">
        <f>INT(INT((INT((2*VLOOKUP($C271,DexData,10,0)+INT(U271/4)+O271)/2)+5)*Z271)*IF(OR($E271="Eviolite",$E271="Assault Vest"),1.5,1))</f>
        <v>115</v>
      </c>
      <c r="AG271" s="84">
        <f>INT(INT((INT((2*VLOOKUP($C271,DexData,11,0)+INT(V271/4)+P271)/2)+5)*AA271)*IF($E271="Choice Scarf",1.5,IF($E271="Iron Ball",0.5,1)))</f>
        <v>75</v>
      </c>
      <c r="AH271" s="84" t="str">
        <f>VLOOKUP(VLOOKUP($C271,DexData,3,0),Aliases!D$2:E$19,2,0)&amp;IFERROR("/"&amp;VLOOKUP(VLOOKUP($C271,DexData,4,0),Aliases!D$2:E$19,2,0),"")</f>
        <v>FTG</v>
      </c>
      <c r="AI271" s="7">
        <v>3.0</v>
      </c>
      <c r="AJ271" s="7">
        <f>IF(VLOOKUP(B271,'Set Odds'!A$2:AN$1067,40,0),1,IF(VLOOKUP(B271,'Set Odds'!A$2:AO$1067,41,0),2,0))</f>
        <v>0</v>
      </c>
      <c r="AK271" s="7"/>
      <c r="AL271" s="7" t="str">
        <f t="shared" si="1"/>
        <v/>
      </c>
    </row>
    <row r="272" ht="12.75" customHeight="1">
      <c r="A272" s="86">
        <v>271.0</v>
      </c>
      <c r="B272" s="84" t="s">
        <v>3494</v>
      </c>
      <c r="C272" s="7" t="s">
        <v>3495</v>
      </c>
      <c r="D272" s="7" t="s">
        <v>3105</v>
      </c>
      <c r="E272" s="7" t="s">
        <v>2731</v>
      </c>
      <c r="F272" s="84" t="s">
        <v>2951</v>
      </c>
      <c r="G272" s="84" t="s">
        <v>2732</v>
      </c>
      <c r="H272" s="84" t="s">
        <v>3257</v>
      </c>
      <c r="I272" s="84" t="s">
        <v>2734</v>
      </c>
      <c r="J272" s="7" t="s">
        <v>3496</v>
      </c>
      <c r="K272" s="7">
        <v>31.0</v>
      </c>
      <c r="L272" s="7">
        <v>0.0</v>
      </c>
      <c r="M272" s="7">
        <v>31.0</v>
      </c>
      <c r="N272" s="7">
        <v>0.0</v>
      </c>
      <c r="O272" s="7">
        <v>31.0</v>
      </c>
      <c r="P272" s="7">
        <v>0.0</v>
      </c>
      <c r="Q272" s="7">
        <v>148.0</v>
      </c>
      <c r="R272" s="7">
        <v>0.0</v>
      </c>
      <c r="S272" s="7">
        <v>148.0</v>
      </c>
      <c r="T272" s="7">
        <v>0.0</v>
      </c>
      <c r="U272" s="7">
        <v>148.0</v>
      </c>
      <c r="V272" s="7">
        <v>0.0</v>
      </c>
      <c r="W272" s="7">
        <f>VLOOKUP($D272,NatureChart,2,0)</f>
        <v>1</v>
      </c>
      <c r="X272" s="7">
        <f>VLOOKUP($D272,NatureChart,3,0)</f>
        <v>1</v>
      </c>
      <c r="Y272" s="7">
        <f>VLOOKUP($D272,NatureChart,4,0)</f>
        <v>1</v>
      </c>
      <c r="Z272" s="7">
        <f>VLOOKUP($D272,NatureChart,5,0)</f>
        <v>1.1</v>
      </c>
      <c r="AA272" s="84">
        <f>VLOOKUP($D272,NatureChart,6,0)</f>
        <v>0.9</v>
      </c>
      <c r="AB272" s="84">
        <f>IF($C272="Shedinja",1,(INT((2*VLOOKUP($C272,DexData,5,0)+INT(Q272/4)+K272)/2)+60))</f>
        <v>158</v>
      </c>
      <c r="AC272" s="84">
        <f>INT(INT((INT((2*VLOOKUP($C272,DexData,6,0)+INT(R272/4)+L272)/2)+5)*W272)*IF($E272="Choice Band",1.5,IF(OR($E272="Mawilite",$E272="Medichamite",$E272="Thick Club"),2,1)))</f>
        <v>120</v>
      </c>
      <c r="AD272" s="84">
        <f>INT(INT((INT((2*VLOOKUP($C272,DexData,7,0)+INT(S272/4)+M272)/2)+5)*X272)*IF($E272="Eviolite",1.5,1))</f>
        <v>104</v>
      </c>
      <c r="AE272" s="84">
        <f>INT(INT((INT((2*VLOOKUP($C272,DexData,9,0)+INT(T272/4)+N272)/2)+5)*Y272)*IF($E272="Choice Specs",1.5,1))</f>
        <v>88</v>
      </c>
      <c r="AF272" s="84">
        <f>INT(INT((INT((2*VLOOKUP($C272,DexData,10,0)+INT(U272/4)+O272)/2)+5)*Z272)*IF(OR($E272="Eviolite",$E272="Assault Vest"),1.5,1))</f>
        <v>112</v>
      </c>
      <c r="AG272" s="84">
        <f>INT(INT((INT((2*VLOOKUP($C272,DexData,11,0)+INT(V272/4)+P272)/2)+5)*AA272)*IF($E272="Choice Scarf",1.5,IF($E272="Iron Ball",0.5,1)))</f>
        <v>63</v>
      </c>
      <c r="AH272" s="84" t="str">
        <f>VLOOKUP(VLOOKUP($C272,DexData,3,0),Aliases!D$2:E$19,2,0)&amp;IFERROR("/"&amp;VLOOKUP(VLOOKUP($C272,DexData,4,0),Aliases!D$2:E$19,2,0),"")</f>
        <v>GHO</v>
      </c>
      <c r="AI272" s="7">
        <v>3.0</v>
      </c>
      <c r="AJ272" s="7">
        <f>IF(VLOOKUP(B272,'Set Odds'!A$2:AN$1067,40,0),1,IF(VLOOKUP(B272,'Set Odds'!A$2:AO$1067,41,0),2,0))</f>
        <v>0</v>
      </c>
      <c r="AK272" s="7"/>
      <c r="AL272" s="7" t="str">
        <f t="shared" si="1"/>
        <v/>
      </c>
    </row>
    <row r="273" ht="12.75" customHeight="1">
      <c r="A273" s="86">
        <v>272.0</v>
      </c>
      <c r="B273" s="84" t="s">
        <v>3497</v>
      </c>
      <c r="C273" s="7" t="s">
        <v>3498</v>
      </c>
      <c r="D273" s="7" t="s">
        <v>2648</v>
      </c>
      <c r="E273" s="7" t="s">
        <v>2685</v>
      </c>
      <c r="F273" s="84" t="s">
        <v>2732</v>
      </c>
      <c r="G273" s="84" t="s">
        <v>2951</v>
      </c>
      <c r="H273" s="84" t="s">
        <v>3407</v>
      </c>
      <c r="I273" s="84" t="s">
        <v>2536</v>
      </c>
      <c r="J273" s="7" t="s">
        <v>3499</v>
      </c>
      <c r="K273" s="7">
        <v>31.0</v>
      </c>
      <c r="L273" s="7">
        <v>10.0</v>
      </c>
      <c r="M273" s="7">
        <v>31.0</v>
      </c>
      <c r="N273" s="7">
        <v>10.0</v>
      </c>
      <c r="O273" s="7">
        <v>31.0</v>
      </c>
      <c r="P273" s="7">
        <v>10.0</v>
      </c>
      <c r="Q273" s="7">
        <v>148.0</v>
      </c>
      <c r="R273" s="7">
        <v>0.0</v>
      </c>
      <c r="S273" s="7">
        <v>148.0</v>
      </c>
      <c r="T273" s="7">
        <v>0.0</v>
      </c>
      <c r="U273" s="7">
        <v>148.0</v>
      </c>
      <c r="V273" s="7">
        <v>0.0</v>
      </c>
      <c r="W273" s="7">
        <f>VLOOKUP($D273,NatureChart,2,0)</f>
        <v>1</v>
      </c>
      <c r="X273" s="7">
        <f>VLOOKUP($D273,NatureChart,3,0)</f>
        <v>1.1</v>
      </c>
      <c r="Y273" s="7">
        <f>VLOOKUP($D273,NatureChart,4,0)</f>
        <v>0.9</v>
      </c>
      <c r="Z273" s="7">
        <f>VLOOKUP($D273,NatureChart,5,0)</f>
        <v>1</v>
      </c>
      <c r="AA273" s="84">
        <f>VLOOKUP($D273,NatureChart,6,0)</f>
        <v>1</v>
      </c>
      <c r="AB273" s="84">
        <f>IF($C273="Shedinja",1,(INT((2*VLOOKUP($C273,DexData,5,0)+INT(Q273/4)+K273)/2)+60))</f>
        <v>134</v>
      </c>
      <c r="AC273" s="84">
        <f>INT(INT((INT((2*VLOOKUP($C273,DexData,6,0)+INT(R273/4)+L273)/2)+5)*W273)*IF($E273="Choice Band",1.5,IF(OR($E273="Mawilite",$E273="Medichamite",$E273="Thick Club"),2,1)))</f>
        <v>80</v>
      </c>
      <c r="AD273" s="84">
        <f>INT(INT((INT((2*VLOOKUP($C273,DexData,7,0)+INT(S273/4)+M273)/2)+5)*X273)*IF($E273="Eviolite",1.5,1))</f>
        <v>185</v>
      </c>
      <c r="AE273" s="84">
        <f>INT(INT((INT((2*VLOOKUP($C273,DexData,9,0)+INT(T273/4)+N273)/2)+5)*Y273)*IF($E273="Choice Specs",1.5,1))</f>
        <v>63</v>
      </c>
      <c r="AF273" s="84">
        <f>INT(INT((INT((2*VLOOKUP($C273,DexData,10,0)+INT(U273/4)+O273)/2)+5)*Z273)*IF(OR($E273="Eviolite",$E273="Assault Vest"),1.5,1))</f>
        <v>169</v>
      </c>
      <c r="AG273" s="84">
        <f>INT(INT((INT((2*VLOOKUP($C273,DexData,11,0)+INT(V273/4)+P273)/2)+5)*AA273)*IF($E273="Choice Scarf",1.5,IF($E273="Iron Ball",0.5,1)))</f>
        <v>35</v>
      </c>
      <c r="AH273" s="84" t="str">
        <f>VLOOKUP(VLOOKUP($C273,DexData,3,0),Aliases!D$2:E$19,2,0)&amp;IFERROR("/"&amp;VLOOKUP(VLOOKUP($C273,DexData,4,0),Aliases!D$2:E$19,2,0),"")</f>
        <v>GHO</v>
      </c>
      <c r="AI273" s="7">
        <v>3.0</v>
      </c>
      <c r="AJ273" s="7">
        <f>IF(VLOOKUP(B273,'Set Odds'!A$2:AN$1067,40,0),1,IF(VLOOKUP(B273,'Set Odds'!A$2:AO$1067,41,0),2,0))</f>
        <v>0</v>
      </c>
      <c r="AK273" s="7"/>
      <c r="AL273" s="7" t="str">
        <f t="shared" si="1"/>
        <v/>
      </c>
    </row>
    <row r="274" ht="12.75" customHeight="1">
      <c r="A274" s="86">
        <v>273.0</v>
      </c>
      <c r="B274" s="84" t="s">
        <v>3500</v>
      </c>
      <c r="C274" s="7" t="s">
        <v>3501</v>
      </c>
      <c r="D274" s="7" t="s">
        <v>3157</v>
      </c>
      <c r="E274" s="7" t="s">
        <v>2770</v>
      </c>
      <c r="F274" s="84" t="s">
        <v>3130</v>
      </c>
      <c r="G274" s="84" t="s">
        <v>3113</v>
      </c>
      <c r="H274" s="84" t="s">
        <v>2525</v>
      </c>
      <c r="I274" s="84" t="s">
        <v>2626</v>
      </c>
      <c r="J274" s="7" t="s">
        <v>3217</v>
      </c>
      <c r="K274" s="7">
        <v>31.0</v>
      </c>
      <c r="L274" s="7">
        <v>31.0</v>
      </c>
      <c r="M274" s="7">
        <v>10.0</v>
      </c>
      <c r="N274" s="7">
        <v>10.0</v>
      </c>
      <c r="O274" s="7">
        <v>10.0</v>
      </c>
      <c r="P274" s="7">
        <v>31.0</v>
      </c>
      <c r="Q274" s="7">
        <v>148.0</v>
      </c>
      <c r="R274" s="7">
        <v>148.0</v>
      </c>
      <c r="S274" s="7">
        <v>0.0</v>
      </c>
      <c r="T274" s="7">
        <v>0.0</v>
      </c>
      <c r="U274" s="7">
        <v>0.0</v>
      </c>
      <c r="V274" s="7">
        <v>148.0</v>
      </c>
      <c r="W274" s="7">
        <f>VLOOKUP($D274,NatureChart,2,0)</f>
        <v>1</v>
      </c>
      <c r="X274" s="7">
        <f>VLOOKUP($D274,NatureChart,3,0)</f>
        <v>0.9</v>
      </c>
      <c r="Y274" s="7">
        <f>VLOOKUP($D274,NatureChart,4,0)</f>
        <v>1.1</v>
      </c>
      <c r="Z274" s="7">
        <f>VLOOKUP($D274,NatureChart,5,0)</f>
        <v>1</v>
      </c>
      <c r="AA274" s="84">
        <f>VLOOKUP($D274,NatureChart,6,0)</f>
        <v>1</v>
      </c>
      <c r="AB274" s="84">
        <f>IF($C274="Shedinja",1,(INT((2*VLOOKUP($C274,DexData,5,0)+INT(Q274/4)+K274)/2)+60))</f>
        <v>155</v>
      </c>
      <c r="AC274" s="84">
        <f>INT(INT((INT((2*VLOOKUP($C274,DexData,6,0)+INT(R274/4)+L274)/2)+5)*W274)*IF($E274="Choice Band",1.5,IF(OR($E274="Mawilite",$E274="Medichamite",$E274="Thick Club"),2,1)))</f>
        <v>129</v>
      </c>
      <c r="AD274" s="84">
        <f>INT(INT((INT((2*VLOOKUP($C274,DexData,7,0)+INT(S274/4)+M274)/2)+5)*X274)*IF($E274="Eviolite",1.5,1))</f>
        <v>49</v>
      </c>
      <c r="AE274" s="84">
        <f>INT(INT((INT((2*VLOOKUP($C274,DexData,9,0)+INT(T274/4)+N274)/2)+5)*Y274)*IF($E274="Choice Specs",1.5,1))</f>
        <v>66</v>
      </c>
      <c r="AF274" s="84">
        <f>INT(INT((INT((2*VLOOKUP($C274,DexData,10,0)+INT(U274/4)+O274)/2)+5)*Z274)*IF(OR($E274="Eviolite",$E274="Assault Vest"),1.5,1))</f>
        <v>60</v>
      </c>
      <c r="AG274" s="84">
        <f>INT(INT((INT((2*VLOOKUP($C274,DexData,11,0)+INT(V274/4)+P274)/2)+5)*AA274)*IF($E274="Choice Scarf",1.5,IF($E274="Iron Ball",0.5,1)))</f>
        <v>199</v>
      </c>
      <c r="AH274" s="84" t="str">
        <f>VLOOKUP(VLOOKUP($C274,DexData,3,0),Aliases!D$2:E$19,2,0)&amp;IFERROR("/"&amp;VLOOKUP(VLOOKUP($C274,DexData,4,0),Aliases!D$2:E$19,2,0),"")</f>
        <v>BUG/FLY</v>
      </c>
      <c r="AI274" s="7">
        <v>3.0</v>
      </c>
      <c r="AJ274" s="7">
        <f>IF(VLOOKUP(B274,'Set Odds'!A$2:AN$1067,40,0),1,IF(VLOOKUP(B274,'Set Odds'!A$2:AO$1067,41,0),2,0))</f>
        <v>0</v>
      </c>
      <c r="AK274" s="7"/>
      <c r="AL274" s="7" t="str">
        <f t="shared" si="1"/>
        <v/>
      </c>
    </row>
    <row r="275" ht="12.75" customHeight="1">
      <c r="A275" s="86">
        <v>274.0</v>
      </c>
      <c r="B275" s="84" t="s">
        <v>3502</v>
      </c>
      <c r="C275" s="7" t="s">
        <v>3503</v>
      </c>
      <c r="D275" s="7" t="s">
        <v>2795</v>
      </c>
      <c r="E275" s="7" t="s">
        <v>2761</v>
      </c>
      <c r="F275" s="84" t="s">
        <v>2606</v>
      </c>
      <c r="G275" s="84" t="s">
        <v>3151</v>
      </c>
      <c r="H275" s="84" t="s">
        <v>2694</v>
      </c>
      <c r="I275" s="84" t="s">
        <v>2602</v>
      </c>
      <c r="J275" s="7" t="s">
        <v>3504</v>
      </c>
      <c r="K275" s="7">
        <v>31.0</v>
      </c>
      <c r="L275" s="7">
        <v>31.0</v>
      </c>
      <c r="M275" s="7">
        <v>10.0</v>
      </c>
      <c r="N275" s="7">
        <v>10.0</v>
      </c>
      <c r="O275" s="7">
        <v>10.0</v>
      </c>
      <c r="P275" s="7">
        <v>31.0</v>
      </c>
      <c r="Q275" s="7">
        <v>148.0</v>
      </c>
      <c r="R275" s="7">
        <v>148.0</v>
      </c>
      <c r="S275" s="7">
        <v>0.0</v>
      </c>
      <c r="T275" s="7">
        <v>0.0</v>
      </c>
      <c r="U275" s="7">
        <v>0.0</v>
      </c>
      <c r="V275" s="7">
        <v>148.0</v>
      </c>
      <c r="W275" s="7">
        <f>VLOOKUP($D275,NatureChart,2,0)</f>
        <v>1</v>
      </c>
      <c r="X275" s="7">
        <f>VLOOKUP($D275,NatureChart,3,0)</f>
        <v>1</v>
      </c>
      <c r="Y275" s="7">
        <f>VLOOKUP($D275,NatureChart,4,0)</f>
        <v>1</v>
      </c>
      <c r="Z275" s="7">
        <f>VLOOKUP($D275,NatureChart,5,0)</f>
        <v>1</v>
      </c>
      <c r="AA275" s="84">
        <f>VLOOKUP($D275,NatureChart,6,0)</f>
        <v>1</v>
      </c>
      <c r="AB275" s="84">
        <f>IF($C275="Shedinja",1,(INT((2*VLOOKUP($C275,DexData,5,0)+INT(Q275/4)+K275)/2)+60))</f>
        <v>167</v>
      </c>
      <c r="AC275" s="84">
        <f>INT(INT((INT((2*VLOOKUP($C275,DexData,6,0)+INT(R275/4)+L275)/2)+5)*W275)*IF($E275="Choice Band",1.5,IF(OR($E275="Mawilite",$E275="Medichamite",$E275="Thick Club"),2,1)))</f>
        <v>154</v>
      </c>
      <c r="AD275" s="84">
        <f>INT(INT((INT((2*VLOOKUP($C275,DexData,7,0)+INT(S275/4)+M275)/2)+5)*X275)*IF($E275="Eviolite",1.5,1))</f>
        <v>70</v>
      </c>
      <c r="AE275" s="84">
        <f>INT(INT((INT((2*VLOOKUP($C275,DexData,9,0)+INT(T275/4)+N275)/2)+5)*Y275)*IF($E275="Choice Specs",1.5,1))</f>
        <v>70</v>
      </c>
      <c r="AF275" s="84">
        <f>INT(INT((INT((2*VLOOKUP($C275,DexData,10,0)+INT(U275/4)+O275)/2)+5)*Z275)*IF(OR($E275="Eviolite",$E275="Assault Vest"),1.5,1))</f>
        <v>70</v>
      </c>
      <c r="AG275" s="84">
        <f>INT(INT((INT((2*VLOOKUP($C275,DexData,11,0)+INT(V275/4)+P275)/2)+5)*AA275)*IF($E275="Choice Scarf",1.5,IF($E275="Iron Ball",0.5,1)))</f>
        <v>129</v>
      </c>
      <c r="AH275" s="84" t="str">
        <f>VLOOKUP(VLOOKUP($C275,DexData,3,0),Aliases!D$2:E$19,2,0)&amp;IFERROR("/"&amp;VLOOKUP(VLOOKUP($C275,DexData,4,0),Aliases!D$2:E$19,2,0),"")</f>
        <v>NRM</v>
      </c>
      <c r="AI275" s="7">
        <v>3.0</v>
      </c>
      <c r="AJ275" s="7">
        <f>IF(VLOOKUP(B275,'Set Odds'!A$2:AN$1067,40,0),1,IF(VLOOKUP(B275,'Set Odds'!A$2:AO$1067,41,0),2,0))</f>
        <v>0</v>
      </c>
      <c r="AK275" s="7"/>
      <c r="AL275" s="7" t="str">
        <f t="shared" si="1"/>
        <v/>
      </c>
    </row>
    <row r="276" ht="12.75" customHeight="1">
      <c r="A276" s="86">
        <v>275.0</v>
      </c>
      <c r="B276" s="84" t="s">
        <v>3505</v>
      </c>
      <c r="C276" s="7" t="s">
        <v>3506</v>
      </c>
      <c r="D276" s="7" t="s">
        <v>2795</v>
      </c>
      <c r="E276" s="7" t="s">
        <v>2579</v>
      </c>
      <c r="F276" s="84" t="s">
        <v>3507</v>
      </c>
      <c r="G276" s="84" t="s">
        <v>2588</v>
      </c>
      <c r="H276" s="84" t="s">
        <v>3347</v>
      </c>
      <c r="I276" s="84" t="s">
        <v>2608</v>
      </c>
      <c r="J276" s="7" t="s">
        <v>2653</v>
      </c>
      <c r="K276" s="7">
        <v>31.0</v>
      </c>
      <c r="L276" s="7">
        <v>31.0</v>
      </c>
      <c r="M276" s="7">
        <v>10.0</v>
      </c>
      <c r="N276" s="7">
        <v>10.0</v>
      </c>
      <c r="O276" s="7">
        <v>10.0</v>
      </c>
      <c r="P276" s="7">
        <v>31.0</v>
      </c>
      <c r="Q276" s="7">
        <v>148.0</v>
      </c>
      <c r="R276" s="7">
        <v>148.0</v>
      </c>
      <c r="S276" s="7">
        <v>0.0</v>
      </c>
      <c r="T276" s="7">
        <v>0.0</v>
      </c>
      <c r="U276" s="7">
        <v>0.0</v>
      </c>
      <c r="V276" s="7">
        <v>148.0</v>
      </c>
      <c r="W276" s="7">
        <f>VLOOKUP($D276,NatureChart,2,0)</f>
        <v>1</v>
      </c>
      <c r="X276" s="7">
        <f>VLOOKUP($D276,NatureChart,3,0)</f>
        <v>1</v>
      </c>
      <c r="Y276" s="7">
        <f>VLOOKUP($D276,NatureChart,4,0)</f>
        <v>1</v>
      </c>
      <c r="Z276" s="7">
        <f>VLOOKUP($D276,NatureChart,5,0)</f>
        <v>1</v>
      </c>
      <c r="AA276" s="84">
        <f>VLOOKUP($D276,NatureChart,6,0)</f>
        <v>1</v>
      </c>
      <c r="AB276" s="84">
        <f>IF($C276="Shedinja",1,(INT((2*VLOOKUP($C276,DexData,5,0)+INT(Q276/4)+K276)/2)+60))</f>
        <v>167</v>
      </c>
      <c r="AC276" s="84">
        <f>INT(INT((INT((2*VLOOKUP($C276,DexData,6,0)+INT(R276/4)+L276)/2)+5)*W276)*IF($E276="Choice Band",1.5,IF(OR($E276="Mawilite",$E276="Medichamite",$E276="Thick Club"),2,1)))</f>
        <v>139</v>
      </c>
      <c r="AD276" s="84">
        <f>INT(INT((INT((2*VLOOKUP($C276,DexData,7,0)+INT(S276/4)+M276)/2)+5)*X276)*IF($E276="Eviolite",1.5,1))</f>
        <v>70</v>
      </c>
      <c r="AE276" s="84">
        <f>INT(INT((INT((2*VLOOKUP($C276,DexData,9,0)+INT(T276/4)+N276)/2)+5)*Y276)*IF($E276="Choice Specs",1.5,1))</f>
        <v>110</v>
      </c>
      <c r="AF276" s="84">
        <f>INT(INT((INT((2*VLOOKUP($C276,DexData,10,0)+INT(U276/4)+O276)/2)+5)*Z276)*IF(OR($E276="Eviolite",$E276="Assault Vest"),1.5,1))</f>
        <v>70</v>
      </c>
      <c r="AG276" s="84">
        <f>INT(INT((INT((2*VLOOKUP($C276,DexData,11,0)+INT(V276/4)+P276)/2)+5)*AA276)*IF($E276="Choice Scarf",1.5,IF($E276="Iron Ball",0.5,1)))</f>
        <v>104</v>
      </c>
      <c r="AH276" s="84" t="str">
        <f>VLOOKUP(VLOOKUP($C276,DexData,3,0),Aliases!D$2:E$19,2,0)&amp;IFERROR("/"&amp;VLOOKUP(VLOOKUP($C276,DexData,4,0),Aliases!D$2:E$19,2,0),"")</f>
        <v>PSN</v>
      </c>
      <c r="AI276" s="7">
        <v>3.0</v>
      </c>
      <c r="AJ276" s="7">
        <f>IF(VLOOKUP(B276,'Set Odds'!A$2:AN$1067,40,0),1,IF(VLOOKUP(B276,'Set Odds'!A$2:AO$1067,41,0),2,0))</f>
        <v>0</v>
      </c>
      <c r="AK276" s="7"/>
      <c r="AL276" s="7" t="str">
        <f t="shared" si="1"/>
        <v/>
      </c>
    </row>
    <row r="277" ht="12.75" customHeight="1">
      <c r="A277" s="86">
        <v>276.0</v>
      </c>
      <c r="B277" s="84" t="s">
        <v>3508</v>
      </c>
      <c r="C277" s="7" t="s">
        <v>3509</v>
      </c>
      <c r="D277" s="7" t="s">
        <v>2571</v>
      </c>
      <c r="E277" s="7" t="s">
        <v>3003</v>
      </c>
      <c r="F277" s="84" t="s">
        <v>3447</v>
      </c>
      <c r="G277" s="84" t="s">
        <v>3228</v>
      </c>
      <c r="H277" s="84" t="s">
        <v>3510</v>
      </c>
      <c r="I277" s="84" t="s">
        <v>2841</v>
      </c>
      <c r="J277" s="7" t="s">
        <v>2842</v>
      </c>
      <c r="K277" s="7">
        <v>31.0</v>
      </c>
      <c r="L277" s="7">
        <v>31.0</v>
      </c>
      <c r="M277" s="7">
        <v>10.0</v>
      </c>
      <c r="N277" s="7">
        <v>10.0</v>
      </c>
      <c r="O277" s="7">
        <v>10.0</v>
      </c>
      <c r="P277" s="7">
        <v>31.0</v>
      </c>
      <c r="Q277" s="7">
        <v>148.0</v>
      </c>
      <c r="R277" s="7">
        <v>148.0</v>
      </c>
      <c r="S277" s="7">
        <v>0.0</v>
      </c>
      <c r="T277" s="7">
        <v>0.0</v>
      </c>
      <c r="U277" s="7">
        <v>0.0</v>
      </c>
      <c r="V277" s="7">
        <v>148.0</v>
      </c>
      <c r="W277" s="7">
        <f>VLOOKUP($D277,NatureChart,2,0)</f>
        <v>1.1</v>
      </c>
      <c r="X277" s="7">
        <f>VLOOKUP($D277,NatureChart,3,0)</f>
        <v>1</v>
      </c>
      <c r="Y277" s="7">
        <f>VLOOKUP($D277,NatureChart,4,0)</f>
        <v>0.9</v>
      </c>
      <c r="Z277" s="7">
        <f>VLOOKUP($D277,NatureChart,5,0)</f>
        <v>1</v>
      </c>
      <c r="AA277" s="84">
        <f>VLOOKUP($D277,NatureChart,6,0)</f>
        <v>1</v>
      </c>
      <c r="AB277" s="84">
        <f>IF($C277="Shedinja",1,(INT((2*VLOOKUP($C277,DexData,5,0)+INT(Q277/4)+K277)/2)+60))</f>
        <v>154</v>
      </c>
      <c r="AC277" s="84">
        <f>INT(INT((INT((2*VLOOKUP($C277,DexData,6,0)+INT(R277/4)+L277)/2)+5)*W277)*IF($E277="Choice Band",1.5,IF(OR($E277="Mawilite",$E277="Medichamite",$E277="Thick Club"),2,1)))</f>
        <v>163</v>
      </c>
      <c r="AD277" s="84">
        <f>INT(INT((INT((2*VLOOKUP($C277,DexData,7,0)+INT(S277/4)+M277)/2)+5)*X277)*IF($E277="Eviolite",1.5,1))</f>
        <v>80</v>
      </c>
      <c r="AE277" s="84">
        <f>INT(INT((INT((2*VLOOKUP($C277,DexData,9,0)+INT(T277/4)+N277)/2)+5)*Y277)*IF($E277="Choice Specs",1.5,1))</f>
        <v>63</v>
      </c>
      <c r="AF277" s="84">
        <f>INT(INT((INT((2*VLOOKUP($C277,DexData,10,0)+INT(U277/4)+O277)/2)+5)*Z277)*IF(OR($E277="Eviolite",$E277="Assault Vest"),1.5,1))</f>
        <v>70</v>
      </c>
      <c r="AG277" s="84">
        <f>INT(INT((INT((2*VLOOKUP($C277,DexData,11,0)+INT(V277/4)+P277)/2)+5)*AA277)*IF($E277="Choice Scarf",1.5,IF($E277="Iron Ball",0.5,1)))</f>
        <v>149</v>
      </c>
      <c r="AH277" s="84" t="str">
        <f>VLOOKUP(VLOOKUP($C277,DexData,3,0),Aliases!D$2:E$19,2,0)&amp;IFERROR("/"&amp;VLOOKUP(VLOOKUP($C277,DexData,4,0),Aliases!D$2:E$19,2,0),"")</f>
        <v>NRM/FLY</v>
      </c>
      <c r="AI277" s="7">
        <v>3.0</v>
      </c>
      <c r="AJ277" s="7">
        <f>IF(VLOOKUP(B277,'Set Odds'!A$2:AN$1067,40,0),1,IF(VLOOKUP(B277,'Set Odds'!A$2:AO$1067,41,0),2,0))</f>
        <v>0</v>
      </c>
      <c r="AK277" s="7"/>
      <c r="AL277" s="7" t="str">
        <f t="shared" si="1"/>
        <v/>
      </c>
    </row>
    <row r="278" ht="12.75" customHeight="1">
      <c r="A278" s="86">
        <v>277.0</v>
      </c>
      <c r="B278" s="84" t="s">
        <v>3511</v>
      </c>
      <c r="C278" s="7" t="s">
        <v>3512</v>
      </c>
      <c r="D278" s="7" t="s">
        <v>2571</v>
      </c>
      <c r="E278" s="7" t="s">
        <v>2579</v>
      </c>
      <c r="F278" s="84" t="s">
        <v>2606</v>
      </c>
      <c r="G278" s="84" t="s">
        <v>2588</v>
      </c>
      <c r="H278" s="84" t="s">
        <v>2607</v>
      </c>
      <c r="I278" s="84" t="s">
        <v>2583</v>
      </c>
      <c r="J278" s="7" t="s">
        <v>3217</v>
      </c>
      <c r="K278" s="7">
        <v>31.0</v>
      </c>
      <c r="L278" s="7">
        <v>31.0</v>
      </c>
      <c r="M278" s="7">
        <v>10.0</v>
      </c>
      <c r="N278" s="7">
        <v>10.0</v>
      </c>
      <c r="O278" s="7">
        <v>10.0</v>
      </c>
      <c r="P278" s="7">
        <v>31.0</v>
      </c>
      <c r="Q278" s="7">
        <v>148.0</v>
      </c>
      <c r="R278" s="7">
        <v>148.0</v>
      </c>
      <c r="S278" s="7">
        <v>0.0</v>
      </c>
      <c r="T278" s="7">
        <v>0.0</v>
      </c>
      <c r="U278" s="7">
        <v>0.0</v>
      </c>
      <c r="V278" s="7">
        <v>148.0</v>
      </c>
      <c r="W278" s="7">
        <f>VLOOKUP($D278,NatureChart,2,0)</f>
        <v>1.1</v>
      </c>
      <c r="X278" s="7">
        <f>VLOOKUP($D278,NatureChart,3,0)</f>
        <v>1</v>
      </c>
      <c r="Y278" s="7">
        <f>VLOOKUP($D278,NatureChart,4,0)</f>
        <v>0.9</v>
      </c>
      <c r="Z278" s="7">
        <f>VLOOKUP($D278,NatureChart,5,0)</f>
        <v>1</v>
      </c>
      <c r="AA278" s="84">
        <f>VLOOKUP($D278,NatureChart,6,0)</f>
        <v>1</v>
      </c>
      <c r="AB278" s="84">
        <f>IF($C278="Shedinja",1,(INT((2*VLOOKUP($C278,DexData,5,0)+INT(Q278/4)+K278)/2)+60))</f>
        <v>164</v>
      </c>
      <c r="AC278" s="84">
        <f>INT(INT((INT((2*VLOOKUP($C278,DexData,6,0)+INT(R278/4)+L278)/2)+5)*W278)*IF($E278="Choice Band",1.5,IF(OR($E278="Mawilite",$E278="Medichamite",$E278="Thick Club"),2,1)))</f>
        <v>174</v>
      </c>
      <c r="AD278" s="84">
        <f>INT(INT((INT((2*VLOOKUP($C278,DexData,7,0)+INT(S278/4)+M278)/2)+5)*X278)*IF($E278="Eviolite",1.5,1))</f>
        <v>50</v>
      </c>
      <c r="AE278" s="84">
        <f>INT(INT((INT((2*VLOOKUP($C278,DexData,9,0)+INT(T278/4)+N278)/2)+5)*Y278)*IF($E278="Choice Specs",1.5,1))</f>
        <v>94</v>
      </c>
      <c r="AF278" s="84">
        <f>INT(INT((INT((2*VLOOKUP($C278,DexData,10,0)+INT(U278/4)+O278)/2)+5)*Z278)*IF(OR($E278="Eviolite",$E278="Assault Vest"),1.5,1))</f>
        <v>50</v>
      </c>
      <c r="AG278" s="84">
        <f>INT(INT((INT((2*VLOOKUP($C278,DexData,11,0)+INT(V278/4)+P278)/2)+5)*AA278)*IF($E278="Choice Scarf",1.5,IF($E278="Iron Ball",0.5,1)))</f>
        <v>134</v>
      </c>
      <c r="AH278" s="84" t="str">
        <f>VLOOKUP(VLOOKUP($C278,DexData,3,0),Aliases!D$2:E$19,2,0)&amp;IFERROR("/"&amp;VLOOKUP(VLOOKUP($C278,DexData,4,0),Aliases!D$2:E$19,2,0),"")</f>
        <v>WTR/DRK</v>
      </c>
      <c r="AI278" s="7">
        <v>3.0</v>
      </c>
      <c r="AJ278" s="7">
        <f>IF(VLOOKUP(B278,'Set Odds'!A$2:AN$1067,40,0),1,IF(VLOOKUP(B278,'Set Odds'!A$2:AO$1067,41,0),2,0))</f>
        <v>0</v>
      </c>
      <c r="AK278" s="7"/>
      <c r="AL278" s="7" t="str">
        <f t="shared" si="1"/>
        <v/>
      </c>
    </row>
    <row r="279" ht="12.75" customHeight="1">
      <c r="A279" s="86">
        <v>278.0</v>
      </c>
      <c r="B279" s="84" t="s">
        <v>3513</v>
      </c>
      <c r="C279" s="7" t="s">
        <v>3514</v>
      </c>
      <c r="D279" s="7" t="s">
        <v>2611</v>
      </c>
      <c r="E279" s="7" t="s">
        <v>2636</v>
      </c>
      <c r="F279" s="84" t="s">
        <v>3515</v>
      </c>
      <c r="G279" s="84" t="s">
        <v>2517</v>
      </c>
      <c r="H279" s="84" t="s">
        <v>2752</v>
      </c>
      <c r="I279" s="84" t="s">
        <v>2625</v>
      </c>
      <c r="J279" s="7" t="s">
        <v>3436</v>
      </c>
      <c r="K279" s="7">
        <v>31.0</v>
      </c>
      <c r="L279" s="7">
        <v>10.0</v>
      </c>
      <c r="M279" s="7">
        <v>10.0</v>
      </c>
      <c r="N279" s="7">
        <v>31.0</v>
      </c>
      <c r="O279" s="7">
        <v>10.0</v>
      </c>
      <c r="P279" s="7">
        <v>31.0</v>
      </c>
      <c r="Q279" s="7">
        <v>148.0</v>
      </c>
      <c r="R279" s="7">
        <v>0.0</v>
      </c>
      <c r="S279" s="7">
        <v>0.0</v>
      </c>
      <c r="T279" s="7">
        <v>148.0</v>
      </c>
      <c r="U279" s="7">
        <v>0.0</v>
      </c>
      <c r="V279" s="7">
        <v>148.0</v>
      </c>
      <c r="W279" s="7">
        <f>VLOOKUP($D279,NatureChart,2,0)</f>
        <v>1</v>
      </c>
      <c r="X279" s="7">
        <f>VLOOKUP($D279,NatureChart,3,0)</f>
        <v>1</v>
      </c>
      <c r="Y279" s="7">
        <f>VLOOKUP($D279,NatureChart,4,0)</f>
        <v>1</v>
      </c>
      <c r="Z279" s="7">
        <f>VLOOKUP($D279,NatureChart,5,0)</f>
        <v>1</v>
      </c>
      <c r="AA279" s="84">
        <f>VLOOKUP($D279,NatureChart,6,0)</f>
        <v>1</v>
      </c>
      <c r="AB279" s="84">
        <f>IF($C279="Shedinja",1,(INT((2*VLOOKUP($C279,DexData,5,0)+INT(Q279/4)+K279)/2)+60))</f>
        <v>164</v>
      </c>
      <c r="AC279" s="84">
        <f>INT(INT((INT((2*VLOOKUP($C279,DexData,6,0)+INT(R279/4)+L279)/2)+5)*W279)*IF($E279="Choice Band",1.5,IF(OR($E279="Mawilite",$E279="Medichamite",$E279="Thick Club"),2,1)))</f>
        <v>110</v>
      </c>
      <c r="AD279" s="84">
        <f>INT(INT((INT((2*VLOOKUP($C279,DexData,7,0)+INT(S279/4)+M279)/2)+5)*X279)*IF($E279="Eviolite",1.5,1))</f>
        <v>80</v>
      </c>
      <c r="AE279" s="84">
        <f>INT(INT((INT((2*VLOOKUP($C279,DexData,9,0)+INT(T279/4)+N279)/2)+5)*Y279)*IF($E279="Choice Specs",1.5,1))</f>
        <v>144</v>
      </c>
      <c r="AF279" s="84">
        <f>INT(INT((INT((2*VLOOKUP($C279,DexData,10,0)+INT(U279/4)+O279)/2)+5)*Z279)*IF(OR($E279="Eviolite",$E279="Assault Vest"),1.5,1))</f>
        <v>85</v>
      </c>
      <c r="AG279" s="84">
        <f>INT(INT((INT((2*VLOOKUP($C279,DexData,11,0)+INT(V279/4)+P279)/2)+5)*AA279)*IF($E279="Choice Scarf",1.5,IF($E279="Iron Ball",0.5,1)))</f>
        <v>79</v>
      </c>
      <c r="AH279" s="84" t="str">
        <f>VLOOKUP(VLOOKUP($C279,DexData,3,0),Aliases!D$2:E$19,2,0)&amp;IFERROR("/"&amp;VLOOKUP(VLOOKUP($C279,DexData,4,0),Aliases!D$2:E$19,2,0),"")</f>
        <v>FIR/GRD</v>
      </c>
      <c r="AI279" s="7">
        <v>3.0</v>
      </c>
      <c r="AJ279" s="7">
        <f>IF(VLOOKUP(B279,'Set Odds'!A$2:AN$1067,40,0),1,IF(VLOOKUP(B279,'Set Odds'!A$2:AO$1067,41,0),2,0))</f>
        <v>0</v>
      </c>
      <c r="AK279" s="7"/>
      <c r="AL279" s="7" t="str">
        <f t="shared" si="1"/>
        <v/>
      </c>
    </row>
    <row r="280" ht="12.75" customHeight="1">
      <c r="A280" s="86">
        <v>279.0</v>
      </c>
      <c r="B280" s="84" t="s">
        <v>3516</v>
      </c>
      <c r="C280" s="7" t="s">
        <v>3517</v>
      </c>
      <c r="D280" s="7" t="s">
        <v>2795</v>
      </c>
      <c r="E280" s="7" t="s">
        <v>2636</v>
      </c>
      <c r="F280" s="84" t="s">
        <v>2699</v>
      </c>
      <c r="G280" s="84" t="s">
        <v>3081</v>
      </c>
      <c r="H280" s="84" t="s">
        <v>2614</v>
      </c>
      <c r="I280" s="84" t="s">
        <v>3475</v>
      </c>
      <c r="J280" s="7" t="s">
        <v>2701</v>
      </c>
      <c r="K280" s="7">
        <v>31.0</v>
      </c>
      <c r="L280" s="7">
        <v>31.0</v>
      </c>
      <c r="M280" s="7">
        <v>10.0</v>
      </c>
      <c r="N280" s="7">
        <v>10.0</v>
      </c>
      <c r="O280" s="7">
        <v>10.0</v>
      </c>
      <c r="P280" s="7">
        <v>31.0</v>
      </c>
      <c r="Q280" s="7">
        <v>148.0</v>
      </c>
      <c r="R280" s="7">
        <v>148.0</v>
      </c>
      <c r="S280" s="7">
        <v>0.0</v>
      </c>
      <c r="T280" s="7">
        <v>0.0</v>
      </c>
      <c r="U280" s="7">
        <v>0.0</v>
      </c>
      <c r="V280" s="7">
        <v>148.0</v>
      </c>
      <c r="W280" s="7">
        <f>VLOOKUP($D280,NatureChart,2,0)</f>
        <v>1</v>
      </c>
      <c r="X280" s="7">
        <f>VLOOKUP($D280,NatureChart,3,0)</f>
        <v>1</v>
      </c>
      <c r="Y280" s="7">
        <f>VLOOKUP($D280,NatureChart,4,0)</f>
        <v>1</v>
      </c>
      <c r="Z280" s="7">
        <f>VLOOKUP($D280,NatureChart,5,0)</f>
        <v>1</v>
      </c>
      <c r="AA280" s="84">
        <f>VLOOKUP($D280,NatureChart,6,0)</f>
        <v>1</v>
      </c>
      <c r="AB280" s="84">
        <f>IF($C280="Shedinja",1,(INT((2*VLOOKUP($C280,DexData,5,0)+INT(Q280/4)+K280)/2)+60))</f>
        <v>193</v>
      </c>
      <c r="AC280" s="84">
        <f>INT(INT((INT((2*VLOOKUP($C280,DexData,6,0)+INT(R280/4)+L280)/2)+5)*W280)*IF($E280="Choice Band",1.5,IF(OR($E280="Mawilite",$E280="Medichamite",$E280="Thick Club"),2,1)))</f>
        <v>107</v>
      </c>
      <c r="AD280" s="84">
        <f>INT(INT((INT((2*VLOOKUP($C280,DexData,7,0)+INT(S280/4)+M280)/2)+5)*X280)*IF($E280="Eviolite",1.5,1))</f>
        <v>93</v>
      </c>
      <c r="AE280" s="84">
        <f>INT(INT((INT((2*VLOOKUP($C280,DexData,9,0)+INT(T280/4)+N280)/2)+5)*Y280)*IF($E280="Choice Specs",1.5,1))</f>
        <v>82</v>
      </c>
      <c r="AF280" s="84">
        <f>INT(INT((INT((2*VLOOKUP($C280,DexData,10,0)+INT(U280/4)+O280)/2)+5)*Z280)*IF(OR($E280="Eviolite",$E280="Assault Vest"),1.5,1))</f>
        <v>97</v>
      </c>
      <c r="AG280" s="84">
        <f>INT(INT((INT((2*VLOOKUP($C280,DexData,11,0)+INT(V280/4)+P280)/2)+5)*AA280)*IF($E280="Choice Scarf",1.5,IF($E280="Iron Ball",0.5,1)))</f>
        <v>90</v>
      </c>
      <c r="AH280" s="84" t="str">
        <f>VLOOKUP(VLOOKUP($C280,DexData,3,0),Aliases!D$2:E$19,2,0)&amp;IFERROR("/"&amp;VLOOKUP(VLOOKUP($C280,DexData,4,0),Aliases!D$2:E$19,2,0),"")</f>
        <v>GRS/FLY</v>
      </c>
      <c r="AI280" s="7">
        <v>3.0</v>
      </c>
      <c r="AJ280" s="7">
        <f>IF(VLOOKUP(B280,'Set Odds'!A$2:AN$1067,40,0),1,IF(VLOOKUP(B280,'Set Odds'!A$2:AO$1067,41,0),2,0))</f>
        <v>0</v>
      </c>
      <c r="AK280" s="7"/>
      <c r="AL280" s="7" t="str">
        <f t="shared" si="1"/>
        <v/>
      </c>
    </row>
    <row r="281" ht="12.75" customHeight="1">
      <c r="A281" s="86">
        <v>280.0</v>
      </c>
      <c r="B281" s="84" t="s">
        <v>3518</v>
      </c>
      <c r="C281" s="7" t="s">
        <v>3519</v>
      </c>
      <c r="D281" s="7" t="s">
        <v>2656</v>
      </c>
      <c r="E281" s="7" t="s">
        <v>2623</v>
      </c>
      <c r="F281" s="84" t="s">
        <v>2860</v>
      </c>
      <c r="G281" s="84" t="s">
        <v>2681</v>
      </c>
      <c r="H281" s="84" t="s">
        <v>3245</v>
      </c>
      <c r="I281" s="84" t="s">
        <v>3314</v>
      </c>
      <c r="J281" s="7" t="s">
        <v>2988</v>
      </c>
      <c r="K281" s="7">
        <v>31.0</v>
      </c>
      <c r="L281" s="7">
        <v>10.0</v>
      </c>
      <c r="M281" s="7">
        <v>10.0</v>
      </c>
      <c r="N281" s="7">
        <v>31.0</v>
      </c>
      <c r="O281" s="7">
        <v>10.0</v>
      </c>
      <c r="P281" s="7">
        <v>31.0</v>
      </c>
      <c r="Q281" s="7">
        <v>148.0</v>
      </c>
      <c r="R281" s="7">
        <v>0.0</v>
      </c>
      <c r="S281" s="7">
        <v>0.0</v>
      </c>
      <c r="T281" s="7">
        <v>148.0</v>
      </c>
      <c r="U281" s="7">
        <v>0.0</v>
      </c>
      <c r="V281" s="7">
        <v>148.0</v>
      </c>
      <c r="W281" s="7">
        <f>VLOOKUP($D281,NatureChart,2,0)</f>
        <v>0.9</v>
      </c>
      <c r="X281" s="7">
        <f>VLOOKUP($D281,NatureChart,3,0)</f>
        <v>1</v>
      </c>
      <c r="Y281" s="7">
        <f>VLOOKUP($D281,NatureChart,4,0)</f>
        <v>1.1</v>
      </c>
      <c r="Z281" s="7">
        <f>VLOOKUP($D281,NatureChart,5,0)</f>
        <v>1</v>
      </c>
      <c r="AA281" s="84">
        <f>VLOOKUP($D281,NatureChart,6,0)</f>
        <v>1</v>
      </c>
      <c r="AB281" s="84">
        <f>IF($C281="Shedinja",1,(INT((2*VLOOKUP($C281,DexData,5,0)+INT(Q281/4)+K281)/2)+60))</f>
        <v>163</v>
      </c>
      <c r="AC281" s="84">
        <f>INT(INT((INT((2*VLOOKUP($C281,DexData,6,0)+INT(R281/4)+L281)/2)+5)*W281)*IF($E281="Choice Band",1.5,IF(OR($E281="Mawilite",$E281="Medichamite",$E281="Thick Club"),2,1)))</f>
        <v>71</v>
      </c>
      <c r="AD281" s="84">
        <f>INT(INT((INT((2*VLOOKUP($C281,DexData,7,0)+INT(S281/4)+M281)/2)+5)*X281)*IF($E281="Eviolite",1.5,1))</f>
        <v>86</v>
      </c>
      <c r="AE281" s="84">
        <f>INT(INT((INT((2*VLOOKUP($C281,DexData,9,0)+INT(T281/4)+N281)/2)+5)*Y281)*IF($E281="Choice Specs",1.5,1))</f>
        <v>118</v>
      </c>
      <c r="AF281" s="84">
        <f>INT(INT((INT((2*VLOOKUP($C281,DexData,10,0)+INT(U281/4)+O281)/2)+5)*Z281)*IF(OR($E281="Eviolite",$E281="Assault Vest"),1.5,1))</f>
        <v>96</v>
      </c>
      <c r="AG281" s="84">
        <f>INT(INT((INT((2*VLOOKUP($C281,DexData,11,0)+INT(V281/4)+P281)/2)+5)*AA281)*IF($E281="Choice Scarf",1.5,IF($E281="Iron Ball",0.5,1)))</f>
        <v>130</v>
      </c>
      <c r="AH281" s="84" t="str">
        <f>VLOOKUP(VLOOKUP($C281,DexData,3,0),Aliases!D$2:E$19,2,0)&amp;IFERROR("/"&amp;VLOOKUP(VLOOKUP($C281,DexData,4,0),Aliases!D$2:E$19,2,0),"")</f>
        <v>WTR</v>
      </c>
      <c r="AI281" s="7">
        <v>3.0</v>
      </c>
      <c r="AJ281" s="7">
        <f>IF(VLOOKUP(B281,'Set Odds'!A$2:AN$1067,40,0),1,IF(VLOOKUP(B281,'Set Odds'!A$2:AO$1067,41,0),2,0))</f>
        <v>0</v>
      </c>
      <c r="AK281" s="7"/>
      <c r="AL281" s="7" t="str">
        <f t="shared" si="1"/>
        <v/>
      </c>
    </row>
    <row r="282" ht="12.75" customHeight="1">
      <c r="A282" s="86">
        <v>281.0</v>
      </c>
      <c r="B282" s="84" t="s">
        <v>3520</v>
      </c>
      <c r="C282" s="7" t="s">
        <v>3521</v>
      </c>
      <c r="D282" s="7" t="s">
        <v>2656</v>
      </c>
      <c r="E282" s="7" t="s">
        <v>3522</v>
      </c>
      <c r="F282" s="84" t="s">
        <v>2961</v>
      </c>
      <c r="G282" s="84" t="s">
        <v>3523</v>
      </c>
      <c r="H282" s="84" t="s">
        <v>2763</v>
      </c>
      <c r="I282" s="84" t="s">
        <v>3524</v>
      </c>
      <c r="J282" s="7" t="s">
        <v>2728</v>
      </c>
      <c r="K282" s="7">
        <v>31.0</v>
      </c>
      <c r="L282" s="7">
        <v>10.0</v>
      </c>
      <c r="M282" s="7">
        <v>10.0</v>
      </c>
      <c r="N282" s="7">
        <v>31.0</v>
      </c>
      <c r="O282" s="7">
        <v>10.0</v>
      </c>
      <c r="P282" s="7">
        <v>31.0</v>
      </c>
      <c r="Q282" s="7">
        <v>148.0</v>
      </c>
      <c r="R282" s="7">
        <v>0.0</v>
      </c>
      <c r="S282" s="7">
        <v>0.0</v>
      </c>
      <c r="T282" s="7">
        <v>148.0</v>
      </c>
      <c r="U282" s="7">
        <v>0.0</v>
      </c>
      <c r="V282" s="7">
        <v>148.0</v>
      </c>
      <c r="W282" s="7">
        <f>VLOOKUP($D282,NatureChart,2,0)</f>
        <v>0.9</v>
      </c>
      <c r="X282" s="7">
        <f>VLOOKUP($D282,NatureChart,3,0)</f>
        <v>1</v>
      </c>
      <c r="Y282" s="7">
        <f>VLOOKUP($D282,NatureChart,4,0)</f>
        <v>1.1</v>
      </c>
      <c r="Z282" s="7">
        <f>VLOOKUP($D282,NatureChart,5,0)</f>
        <v>1</v>
      </c>
      <c r="AA282" s="84">
        <f>VLOOKUP($D282,NatureChart,6,0)</f>
        <v>1</v>
      </c>
      <c r="AB282" s="84">
        <f>IF($C282="Shedinja",1,(INT((2*VLOOKUP($C282,DexData,5,0)+INT(Q282/4)+K282)/2)+60))</f>
        <v>144</v>
      </c>
      <c r="AC282" s="84">
        <f>INT(INT((INT((2*VLOOKUP($C282,DexData,6,0)+INT(R282/4)+L282)/2)+5)*W282)*IF($E282="Choice Band",1.5,IF(OR($E282="Mawilite",$E282="Medichamite",$E282="Thick Club"),2,1)))</f>
        <v>63</v>
      </c>
      <c r="AD282" s="84">
        <f>INT(INT((INT((2*VLOOKUP($C282,DexData,7,0)+INT(S282/4)+M282)/2)+5)*X282)*IF($E282="Eviolite",1.5,1))</f>
        <v>105</v>
      </c>
      <c r="AE282" s="84">
        <f>INT(INT((INT((2*VLOOKUP($C282,DexData,9,0)+INT(T282/4)+N282)/2)+5)*Y282)*IF($E282="Choice Specs",1.5,1))</f>
        <v>261</v>
      </c>
      <c r="AF282" s="84">
        <f>INT(INT((INT((2*VLOOKUP($C282,DexData,10,0)+INT(U282/4)+O282)/2)+5)*Z282)*IF(OR($E282="Eviolite",$E282="Assault Vest"),1.5,1))</f>
        <v>80</v>
      </c>
      <c r="AG282" s="84">
        <f>INT(INT((INT((2*VLOOKUP($C282,DexData,11,0)+INT(V282/4)+P282)/2)+5)*AA282)*IF($E282="Choice Scarf",1.5,IF($E282="Iron Ball",0.5,1)))</f>
        <v>109</v>
      </c>
      <c r="AH282" s="84" t="str">
        <f>VLOOKUP(VLOOKUP($C282,DexData,3,0),Aliases!D$2:E$19,2,0)&amp;IFERROR("/"&amp;VLOOKUP(VLOOKUP($C282,DexData,4,0),Aliases!D$2:E$19,2,0),"")</f>
        <v>ELC/STL</v>
      </c>
      <c r="AI282" s="7">
        <v>3.0</v>
      </c>
      <c r="AJ282" s="7">
        <f>IF(VLOOKUP(B282,'Set Odds'!A$2:AN$1067,40,0),1,IF(VLOOKUP(B282,'Set Odds'!A$2:AO$1067,41,0),2,0))</f>
        <v>0</v>
      </c>
      <c r="AK282" s="7"/>
      <c r="AL282" s="7" t="str">
        <f t="shared" si="1"/>
        <v/>
      </c>
    </row>
    <row r="283" ht="12.75" customHeight="1">
      <c r="A283" s="86">
        <v>282.0</v>
      </c>
      <c r="B283" s="84" t="s">
        <v>3525</v>
      </c>
      <c r="C283" s="7" t="s">
        <v>3526</v>
      </c>
      <c r="D283" s="7" t="s">
        <v>2599</v>
      </c>
      <c r="E283" s="7" t="s">
        <v>2835</v>
      </c>
      <c r="F283" s="84" t="s">
        <v>2643</v>
      </c>
      <c r="G283" s="84" t="s">
        <v>2614</v>
      </c>
      <c r="H283" s="84" t="s">
        <v>2987</v>
      </c>
      <c r="I283" s="84" t="s">
        <v>2772</v>
      </c>
      <c r="J283" s="7" t="s">
        <v>3028</v>
      </c>
      <c r="K283" s="7">
        <v>31.0</v>
      </c>
      <c r="L283" s="7">
        <v>10.0</v>
      </c>
      <c r="M283" s="7">
        <v>10.0</v>
      </c>
      <c r="N283" s="7">
        <v>31.0</v>
      </c>
      <c r="O283" s="7">
        <v>10.0</v>
      </c>
      <c r="P283" s="7">
        <v>31.0</v>
      </c>
      <c r="Q283" s="7">
        <v>148.0</v>
      </c>
      <c r="R283" s="7">
        <v>0.0</v>
      </c>
      <c r="S283" s="7">
        <v>0.0</v>
      </c>
      <c r="T283" s="7">
        <v>148.0</v>
      </c>
      <c r="U283" s="7">
        <v>0.0</v>
      </c>
      <c r="V283" s="7">
        <v>148.0</v>
      </c>
      <c r="W283" s="7">
        <f>VLOOKUP($D283,NatureChart,2,0)</f>
        <v>1</v>
      </c>
      <c r="X283" s="7">
        <f>VLOOKUP($D283,NatureChart,3,0)</f>
        <v>1</v>
      </c>
      <c r="Y283" s="7">
        <f>VLOOKUP($D283,NatureChart,4,0)</f>
        <v>1</v>
      </c>
      <c r="Z283" s="7">
        <f>VLOOKUP($D283,NatureChart,5,0)</f>
        <v>1</v>
      </c>
      <c r="AA283" s="84">
        <f>VLOOKUP($D283,NatureChart,6,0)</f>
        <v>1</v>
      </c>
      <c r="AB283" s="84">
        <f>IF($C283="Shedinja",1,(INT((2*VLOOKUP($C283,DexData,5,0)+INT(Q283/4)+K283)/2)+60))</f>
        <v>179</v>
      </c>
      <c r="AC283" s="84">
        <f>INT(INT((INT((2*VLOOKUP($C283,DexData,6,0)+INT(R283/4)+L283)/2)+5)*W283)*IF($E283="Choice Band",1.5,IF(OR($E283="Mawilite",$E283="Medichamite",$E283="Thick Club"),2,1)))</f>
        <v>50</v>
      </c>
      <c r="AD283" s="84">
        <f>INT(INT((INT((2*VLOOKUP($C283,DexData,7,0)+INT(S283/4)+M283)/2)+5)*X283)*IF($E283="Eviolite",1.5,1))</f>
        <v>80</v>
      </c>
      <c r="AE283" s="84">
        <f>INT(INT((INT((2*VLOOKUP($C283,DexData,9,0)+INT(T283/4)+N283)/2)+5)*Y283)*IF($E283="Choice Specs",1.5,1))</f>
        <v>119</v>
      </c>
      <c r="AF283" s="84">
        <f>INT(INT((INT((2*VLOOKUP($C283,DexData,10,0)+INT(U283/4)+O283)/2)+5)*Z283)*IF(OR($E283="Eviolite",$E283="Assault Vest"),1.5,1))</f>
        <v>150</v>
      </c>
      <c r="AG283" s="84">
        <f>INT(INT((INT((2*VLOOKUP($C283,DexData,11,0)+INT(V283/4)+P283)/2)+5)*AA283)*IF($E283="Choice Scarf",1.5,IF($E283="Iron Ball",0.5,1)))</f>
        <v>109</v>
      </c>
      <c r="AH283" s="84" t="str">
        <f>VLOOKUP(VLOOKUP($C283,DexData,3,0),Aliases!D$2:E$19,2,0)&amp;IFERROR("/"&amp;VLOOKUP(VLOOKUP($C283,DexData,4,0),Aliases!D$2:E$19,2,0),"")</f>
        <v>WTR/FLY</v>
      </c>
      <c r="AI283" s="7">
        <v>3.0</v>
      </c>
      <c r="AJ283" s="7">
        <f>IF(VLOOKUP(B283,'Set Odds'!A$2:AN$1067,40,0),1,IF(VLOOKUP(B283,'Set Odds'!A$2:AO$1067,41,0),2,0))</f>
        <v>0</v>
      </c>
      <c r="AK283" s="7"/>
      <c r="AL283" s="7" t="str">
        <f t="shared" si="1"/>
        <v/>
      </c>
    </row>
    <row r="284" ht="12.75" customHeight="1">
      <c r="A284" s="86">
        <v>283.0</v>
      </c>
      <c r="B284" s="84" t="s">
        <v>3527</v>
      </c>
      <c r="C284" s="7" t="s">
        <v>3528</v>
      </c>
      <c r="D284" s="7" t="s">
        <v>3289</v>
      </c>
      <c r="E284" s="7" t="s">
        <v>2780</v>
      </c>
      <c r="F284" s="84" t="s">
        <v>2712</v>
      </c>
      <c r="G284" s="84" t="s">
        <v>2536</v>
      </c>
      <c r="H284" s="84" t="s">
        <v>3529</v>
      </c>
      <c r="I284" s="84" t="s">
        <v>2620</v>
      </c>
      <c r="J284" s="7" t="s">
        <v>2696</v>
      </c>
      <c r="K284" s="7">
        <v>31.0</v>
      </c>
      <c r="L284" s="7">
        <v>10.0</v>
      </c>
      <c r="M284" s="7">
        <v>10.0</v>
      </c>
      <c r="N284" s="7">
        <v>31.0</v>
      </c>
      <c r="O284" s="7">
        <v>10.0</v>
      </c>
      <c r="P284" s="7">
        <v>31.0</v>
      </c>
      <c r="Q284" s="7">
        <v>148.0</v>
      </c>
      <c r="R284" s="7">
        <v>0.0</v>
      </c>
      <c r="S284" s="7">
        <v>0.0</v>
      </c>
      <c r="T284" s="7">
        <v>148.0</v>
      </c>
      <c r="U284" s="7">
        <v>0.0</v>
      </c>
      <c r="V284" s="7">
        <v>148.0</v>
      </c>
      <c r="W284" s="7">
        <f>VLOOKUP($D284,NatureChart,2,0)</f>
        <v>1</v>
      </c>
      <c r="X284" s="7">
        <f>VLOOKUP($D284,NatureChart,3,0)</f>
        <v>0.9</v>
      </c>
      <c r="Y284" s="7">
        <f>VLOOKUP($D284,NatureChart,4,0)</f>
        <v>1</v>
      </c>
      <c r="Z284" s="7">
        <f>VLOOKUP($D284,NatureChart,5,0)</f>
        <v>1.1</v>
      </c>
      <c r="AA284" s="84">
        <f>VLOOKUP($D284,NatureChart,6,0)</f>
        <v>1</v>
      </c>
      <c r="AB284" s="84">
        <f>IF($C284="Shedinja",1,(INT((2*VLOOKUP($C284,DexData,5,0)+INT(Q284/4)+K284)/2)+60))</f>
        <v>167</v>
      </c>
      <c r="AC284" s="84">
        <f>INT(INT((INT((2*VLOOKUP($C284,DexData,6,0)+INT(R284/4)+L284)/2)+5)*W284)*IF($E284="Choice Band",1.5,IF(OR($E284="Mawilite",$E284="Medichamite",$E284="Thick Club"),2,1)))</f>
        <v>105</v>
      </c>
      <c r="AD284" s="84">
        <f>INT(INT((INT((2*VLOOKUP($C284,DexData,7,0)+INT(S284/4)+M284)/2)+5)*X284)*IF($E284="Eviolite",1.5,1))</f>
        <v>64</v>
      </c>
      <c r="AE284" s="84">
        <f>INT(INT((INT((2*VLOOKUP($C284,DexData,9,0)+INT(T284/4)+N284)/2)+5)*Y284)*IF($E284="Choice Specs",1.5,1))</f>
        <v>124</v>
      </c>
      <c r="AF284" s="84">
        <f>INT(INT((INT((2*VLOOKUP($C284,DexData,10,0)+INT(U284/4)+O284)/2)+5)*Z284)*IF(OR($E284="Eviolite",$E284="Assault Vest"),1.5,1))</f>
        <v>82</v>
      </c>
      <c r="AG284" s="84">
        <f>INT(INT((INT((2*VLOOKUP($C284,DexData,11,0)+INT(V284/4)+P284)/2)+5)*AA284)*IF($E284="Choice Scarf",1.5,IF($E284="Iron Ball",0.5,1)))</f>
        <v>124</v>
      </c>
      <c r="AH284" s="84" t="str">
        <f>VLOOKUP(VLOOKUP($C284,DexData,3,0),Aliases!D$2:E$19,2,0)&amp;IFERROR("/"&amp;VLOOKUP(VLOOKUP($C284,DexData,4,0),Aliases!D$2:E$19,2,0),"")</f>
        <v>NRM</v>
      </c>
      <c r="AI284" s="7">
        <v>3.0</v>
      </c>
      <c r="AJ284" s="7">
        <f>IF(VLOOKUP(B284,'Set Odds'!A$2:AN$1067,40,0),1,IF(VLOOKUP(B284,'Set Odds'!A$2:AO$1067,41,0),2,0))</f>
        <v>0</v>
      </c>
      <c r="AK284" s="7"/>
      <c r="AL284" s="7" t="str">
        <f t="shared" si="1"/>
        <v/>
      </c>
    </row>
    <row r="285" ht="12.75" customHeight="1">
      <c r="A285" s="86">
        <v>284.0</v>
      </c>
      <c r="B285" s="84" t="s">
        <v>3530</v>
      </c>
      <c r="C285" s="7" t="s">
        <v>3531</v>
      </c>
      <c r="D285" s="7" t="s">
        <v>2656</v>
      </c>
      <c r="E285" s="7" t="s">
        <v>2806</v>
      </c>
      <c r="F285" s="84" t="s">
        <v>3222</v>
      </c>
      <c r="G285" s="84" t="s">
        <v>2823</v>
      </c>
      <c r="H285" s="84" t="s">
        <v>2661</v>
      </c>
      <c r="I285" s="84" t="s">
        <v>3052</v>
      </c>
      <c r="J285" s="7" t="s">
        <v>3532</v>
      </c>
      <c r="K285" s="7">
        <v>31.0</v>
      </c>
      <c r="L285" s="7">
        <v>10.0</v>
      </c>
      <c r="M285" s="7">
        <v>10.0</v>
      </c>
      <c r="N285" s="7">
        <v>31.0</v>
      </c>
      <c r="O285" s="7">
        <v>10.0</v>
      </c>
      <c r="P285" s="7">
        <v>31.0</v>
      </c>
      <c r="Q285" s="7">
        <v>148.0</v>
      </c>
      <c r="R285" s="7">
        <v>0.0</v>
      </c>
      <c r="S285" s="7">
        <v>0.0</v>
      </c>
      <c r="T285" s="7">
        <v>148.0</v>
      </c>
      <c r="U285" s="7">
        <v>0.0</v>
      </c>
      <c r="V285" s="7">
        <v>148.0</v>
      </c>
      <c r="W285" s="7">
        <f>VLOOKUP($D285,NatureChart,2,0)</f>
        <v>0.9</v>
      </c>
      <c r="X285" s="7">
        <f>VLOOKUP($D285,NatureChart,3,0)</f>
        <v>1</v>
      </c>
      <c r="Y285" s="7">
        <f>VLOOKUP($D285,NatureChart,4,0)</f>
        <v>1.1</v>
      </c>
      <c r="Z285" s="7">
        <f>VLOOKUP($D285,NatureChart,5,0)</f>
        <v>1</v>
      </c>
      <c r="AA285" s="84">
        <f>VLOOKUP($D285,NatureChart,6,0)</f>
        <v>1</v>
      </c>
      <c r="AB285" s="84">
        <f>IF($C285="Shedinja",1,(INT((2*VLOOKUP($C285,DexData,5,0)+INT(Q285/4)+K285)/2)+60))</f>
        <v>194</v>
      </c>
      <c r="AC285" s="84">
        <f>INT(INT((INT((2*VLOOKUP($C285,DexData,6,0)+INT(R285/4)+L285)/2)+5)*W285)*IF($E285="Choice Band",1.5,IF(OR($E285="Mawilite",$E285="Medichamite",$E285="Thick Club"),2,1)))</f>
        <v>74</v>
      </c>
      <c r="AD285" s="84">
        <f>INT(INT((INT((2*VLOOKUP($C285,DexData,7,0)+INT(S285/4)+M285)/2)+5)*X285)*IF($E285="Eviolite",1.5,1))</f>
        <v>93</v>
      </c>
      <c r="AE285" s="84">
        <f>INT(INT((INT((2*VLOOKUP($C285,DexData,9,0)+INT(T285/4)+N285)/2)+5)*Y285)*IF($E285="Choice Specs",1.5,1))</f>
        <v>123</v>
      </c>
      <c r="AF285" s="84">
        <f>INT(INT((INT((2*VLOOKUP($C285,DexData,10,0)+INT(U285/4)+O285)/2)+5)*Z285)*IF(OR($E285="Eviolite",$E285="Assault Vest"),1.5,1))</f>
        <v>93</v>
      </c>
      <c r="AG285" s="84">
        <f>INT(INT((INT((2*VLOOKUP($C285,DexData,11,0)+INT(V285/4)+P285)/2)+5)*AA285)*IF($E285="Choice Scarf",1.5,IF($E285="Iron Ball",0.5,1)))</f>
        <v>94</v>
      </c>
      <c r="AH285" s="84" t="str">
        <f>VLOOKUP(VLOOKUP($C285,DexData,3,0),Aliases!D$2:E$19,2,0)&amp;IFERROR("/"&amp;VLOOKUP(VLOOKUP($C285,DexData,4,0),Aliases!D$2:E$19,2,0),"")</f>
        <v>PSN</v>
      </c>
      <c r="AI285" s="7">
        <v>3.0</v>
      </c>
      <c r="AJ285" s="7">
        <f>IF(VLOOKUP(B285,'Set Odds'!A$2:AN$1067,40,0),1,IF(VLOOKUP(B285,'Set Odds'!A$2:AO$1067,41,0),2,0))</f>
        <v>0</v>
      </c>
      <c r="AK285" s="7"/>
      <c r="AL285" s="7" t="str">
        <f t="shared" si="1"/>
        <v/>
      </c>
    </row>
    <row r="286" ht="12.75" customHeight="1">
      <c r="A286" s="86">
        <v>285.0</v>
      </c>
      <c r="B286" s="84" t="s">
        <v>3533</v>
      </c>
      <c r="C286" s="7" t="s">
        <v>3534</v>
      </c>
      <c r="D286" s="7" t="s">
        <v>2571</v>
      </c>
      <c r="E286" s="7" t="s">
        <v>2885</v>
      </c>
      <c r="F286" s="84" t="s">
        <v>3535</v>
      </c>
      <c r="G286" s="84" t="s">
        <v>2625</v>
      </c>
      <c r="H286" s="84" t="s">
        <v>2734</v>
      </c>
      <c r="I286" s="84" t="s">
        <v>3031</v>
      </c>
      <c r="J286" s="7" t="s">
        <v>2837</v>
      </c>
      <c r="K286" s="7">
        <v>31.0</v>
      </c>
      <c r="L286" s="7">
        <v>31.0</v>
      </c>
      <c r="M286" s="7">
        <v>10.0</v>
      </c>
      <c r="N286" s="7">
        <v>10.0</v>
      </c>
      <c r="O286" s="7">
        <v>10.0</v>
      </c>
      <c r="P286" s="7">
        <v>31.0</v>
      </c>
      <c r="Q286" s="7">
        <v>148.0</v>
      </c>
      <c r="R286" s="7">
        <v>148.0</v>
      </c>
      <c r="S286" s="7">
        <v>0.0</v>
      </c>
      <c r="T286" s="7">
        <v>0.0</v>
      </c>
      <c r="U286" s="7">
        <v>0.0</v>
      </c>
      <c r="V286" s="7">
        <v>148.0</v>
      </c>
      <c r="W286" s="7">
        <f>VLOOKUP($D286,NatureChart,2,0)</f>
        <v>1.1</v>
      </c>
      <c r="X286" s="7">
        <f>VLOOKUP($D286,NatureChart,3,0)</f>
        <v>1</v>
      </c>
      <c r="Y286" s="7">
        <f>VLOOKUP($D286,NatureChart,4,0)</f>
        <v>0.9</v>
      </c>
      <c r="Z286" s="7">
        <f>VLOOKUP($D286,NatureChart,5,0)</f>
        <v>1</v>
      </c>
      <c r="AA286" s="84">
        <f>VLOOKUP($D286,NatureChart,6,0)</f>
        <v>1</v>
      </c>
      <c r="AB286" s="84">
        <f>IF($C286="Shedinja",1,(INT((2*VLOOKUP($C286,DexData,5,0)+INT(Q286/4)+K286)/2)+60))</f>
        <v>157</v>
      </c>
      <c r="AC286" s="84">
        <f>INT(INT((INT((2*VLOOKUP($C286,DexData,6,0)+INT(R286/4)+L286)/2)+5)*W286)*IF($E286="Choice Band",1.5,IF(OR($E286="Mawilite",$E286="Medichamite",$E286="Thick Club"),2,1)))</f>
        <v>261</v>
      </c>
      <c r="AD286" s="84">
        <f>INT(INT((INT((2*VLOOKUP($C286,DexData,7,0)+INT(S286/4)+M286)/2)+5)*X286)*IF($E286="Eviolite",1.5,1))</f>
        <v>95</v>
      </c>
      <c r="AE286" s="84">
        <f>INT(INT((INT((2*VLOOKUP($C286,DexData,9,0)+INT(T286/4)+N286)/2)+5)*Y286)*IF($E286="Choice Specs",1.5,1))</f>
        <v>90</v>
      </c>
      <c r="AF286" s="84">
        <f>INT(INT((INT((2*VLOOKUP($C286,DexData,10,0)+INT(U286/4)+O286)/2)+5)*Z286)*IF(OR($E286="Eviolite",$E286="Assault Vest"),1.5,1))</f>
        <v>65</v>
      </c>
      <c r="AG286" s="84">
        <f>INT(INT((INT((2*VLOOKUP($C286,DexData,11,0)+INT(V286/4)+P286)/2)+5)*AA286)*IF($E286="Choice Scarf",1.5,IF($E286="Iron Ball",0.5,1)))</f>
        <v>94</v>
      </c>
      <c r="AH286" s="84" t="str">
        <f>VLOOKUP(VLOOKUP($C286,DexData,3,0),Aliases!D$2:E$19,2,0)&amp;IFERROR("/"&amp;VLOOKUP(VLOOKUP($C286,DexData,4,0),Aliases!D$2:E$19,2,0),"")</f>
        <v>WTR/DRK</v>
      </c>
      <c r="AI286" s="7">
        <v>3.0</v>
      </c>
      <c r="AJ286" s="7">
        <f>IF(VLOOKUP(B286,'Set Odds'!A$2:AN$1067,40,0),1,IF(VLOOKUP(B286,'Set Odds'!A$2:AO$1067,41,0),2,0))</f>
        <v>0</v>
      </c>
      <c r="AK286" s="7"/>
      <c r="AL286" s="7" t="str">
        <f t="shared" si="1"/>
        <v/>
      </c>
    </row>
    <row r="287" ht="12.75" customHeight="1">
      <c r="A287" s="86">
        <v>286.0</v>
      </c>
      <c r="B287" s="84" t="s">
        <v>3536</v>
      </c>
      <c r="C287" s="7" t="s">
        <v>3537</v>
      </c>
      <c r="D287" s="7" t="s">
        <v>2692</v>
      </c>
      <c r="E287" s="7" t="s">
        <v>2675</v>
      </c>
      <c r="F287" s="84" t="s">
        <v>3314</v>
      </c>
      <c r="G287" s="84" t="s">
        <v>2872</v>
      </c>
      <c r="H287" s="84" t="s">
        <v>3538</v>
      </c>
      <c r="I287" s="84" t="s">
        <v>2602</v>
      </c>
      <c r="J287" s="7" t="s">
        <v>3097</v>
      </c>
      <c r="K287" s="7">
        <v>31.0</v>
      </c>
      <c r="L287" s="7">
        <v>31.0</v>
      </c>
      <c r="M287" s="7">
        <v>10.0</v>
      </c>
      <c r="N287" s="7">
        <v>10.0</v>
      </c>
      <c r="O287" s="7">
        <v>10.0</v>
      </c>
      <c r="P287" s="7">
        <v>31.0</v>
      </c>
      <c r="Q287" s="7">
        <v>148.0</v>
      </c>
      <c r="R287" s="7">
        <v>148.0</v>
      </c>
      <c r="S287" s="7">
        <v>0.0</v>
      </c>
      <c r="T287" s="7">
        <v>0.0</v>
      </c>
      <c r="U287" s="7">
        <v>0.0</v>
      </c>
      <c r="V287" s="7">
        <v>148.0</v>
      </c>
      <c r="W287" s="7">
        <f>VLOOKUP($D287,NatureChart,2,0)</f>
        <v>1</v>
      </c>
      <c r="X287" s="7">
        <f>VLOOKUP($D287,NatureChart,3,0)</f>
        <v>1</v>
      </c>
      <c r="Y287" s="7">
        <f>VLOOKUP($D287,NatureChart,4,0)</f>
        <v>0.9</v>
      </c>
      <c r="Z287" s="7">
        <f>VLOOKUP($D287,NatureChart,5,0)</f>
        <v>1</v>
      </c>
      <c r="AA287" s="84">
        <f>VLOOKUP($D287,NatureChart,6,0)</f>
        <v>1.1</v>
      </c>
      <c r="AB287" s="84">
        <f>IF($C287="Shedinja",1,(INT((2*VLOOKUP($C287,DexData,5,0)+INT(Q287/4)+K287)/2)+60))</f>
        <v>177</v>
      </c>
      <c r="AC287" s="84">
        <f>INT(INT((INT((2*VLOOKUP($C287,DexData,6,0)+INT(R287/4)+L287)/2)+5)*W287)*IF($E287="Choice Band",1.5,IF(OR($E287="Mawilite",$E287="Medichamite",$E287="Thick Club"),2,1)))</f>
        <v>119</v>
      </c>
      <c r="AD287" s="84">
        <f>INT(INT((INT((2*VLOOKUP($C287,DexData,7,0)+INT(S287/4)+M287)/2)+5)*X287)*IF($E287="Eviolite",1.5,1))</f>
        <v>85</v>
      </c>
      <c r="AE287" s="84">
        <f>INT(INT((INT((2*VLOOKUP($C287,DexData,9,0)+INT(T287/4)+N287)/2)+5)*Y287)*IF($E287="Choice Specs",1.5,1))</f>
        <v>72</v>
      </c>
      <c r="AF287" s="84">
        <f>INT(INT((INT((2*VLOOKUP($C287,DexData,10,0)+INT(U287/4)+O287)/2)+5)*Z287)*IF(OR($E287="Eviolite",$E287="Assault Vest"),1.5,1))</f>
        <v>80</v>
      </c>
      <c r="AG287" s="84">
        <f>INT(INT((INT((2*VLOOKUP($C287,DexData,11,0)+INT(V287/4)+P287)/2)+5)*AA287)*IF($E287="Choice Scarf",1.5,IF($E287="Iron Ball",0.5,1)))</f>
        <v>154</v>
      </c>
      <c r="AH287" s="84" t="str">
        <f>VLOOKUP(VLOOKUP($C287,DexData,3,0),Aliases!D$2:E$19,2,0)&amp;IFERROR("/"&amp;VLOOKUP(VLOOKUP($C287,DexData,4,0),Aliases!D$2:E$19,2,0),"")</f>
        <v>NRM/FLY</v>
      </c>
      <c r="AI287" s="7">
        <v>3.0</v>
      </c>
      <c r="AJ287" s="7">
        <f>IF(VLOOKUP(B287,'Set Odds'!A$2:AN$1067,40,0),1,IF(VLOOKUP(B287,'Set Odds'!A$2:AO$1067,41,0),2,0))</f>
        <v>0</v>
      </c>
      <c r="AK287" s="7"/>
      <c r="AL287" s="7" t="str">
        <f t="shared" si="1"/>
        <v/>
      </c>
    </row>
    <row r="288" ht="12.75" customHeight="1">
      <c r="A288" s="86">
        <v>287.0</v>
      </c>
      <c r="B288" s="84" t="s">
        <v>3539</v>
      </c>
      <c r="C288" s="7" t="s">
        <v>3540</v>
      </c>
      <c r="D288" s="7" t="s">
        <v>2795</v>
      </c>
      <c r="E288" s="7" t="s">
        <v>2675</v>
      </c>
      <c r="F288" s="84" t="s">
        <v>3091</v>
      </c>
      <c r="G288" s="84" t="s">
        <v>2951</v>
      </c>
      <c r="H288" s="84" t="s">
        <v>3239</v>
      </c>
      <c r="I288" s="84" t="s">
        <v>2952</v>
      </c>
      <c r="J288" s="7" t="s">
        <v>2953</v>
      </c>
      <c r="K288" s="7">
        <v>31.0</v>
      </c>
      <c r="L288" s="7">
        <v>10.0</v>
      </c>
      <c r="M288" s="7">
        <v>10.0</v>
      </c>
      <c r="N288" s="7">
        <v>31.0</v>
      </c>
      <c r="O288" s="7">
        <v>10.0</v>
      </c>
      <c r="P288" s="7">
        <v>31.0</v>
      </c>
      <c r="Q288" s="7">
        <v>148.0</v>
      </c>
      <c r="R288" s="7">
        <v>0.0</v>
      </c>
      <c r="S288" s="7">
        <v>0.0</v>
      </c>
      <c r="T288" s="7">
        <v>148.0</v>
      </c>
      <c r="U288" s="7">
        <v>0.0</v>
      </c>
      <c r="V288" s="7">
        <v>148.0</v>
      </c>
      <c r="W288" s="7">
        <f>VLOOKUP($D288,NatureChart,2,0)</f>
        <v>1</v>
      </c>
      <c r="X288" s="7">
        <f>VLOOKUP($D288,NatureChart,3,0)</f>
        <v>1</v>
      </c>
      <c r="Y288" s="7">
        <f>VLOOKUP($D288,NatureChart,4,0)</f>
        <v>1</v>
      </c>
      <c r="Z288" s="7">
        <f>VLOOKUP($D288,NatureChart,5,0)</f>
        <v>1</v>
      </c>
      <c r="AA288" s="84">
        <f>VLOOKUP($D288,NatureChart,6,0)</f>
        <v>1</v>
      </c>
      <c r="AB288" s="84">
        <f>IF($C288="Shedinja",1,(INT((2*VLOOKUP($C288,DexData,5,0)+INT(Q288/4)+K288)/2)+60))</f>
        <v>159</v>
      </c>
      <c r="AC288" s="84">
        <f>INT(INT((INT((2*VLOOKUP($C288,DexData,6,0)+INT(R288/4)+L288)/2)+5)*W288)*IF($E288="Choice Band",1.5,IF(OR($E288="Mawilite",$E288="Medichamite",$E288="Thick Club"),2,1)))</f>
        <v>85</v>
      </c>
      <c r="AD288" s="84">
        <f>INT(INT((INT((2*VLOOKUP($C288,DexData,7,0)+INT(S288/4)+M288)/2)+5)*X288)*IF($E288="Eviolite",1.5,1))</f>
        <v>80</v>
      </c>
      <c r="AE288" s="84">
        <f>INT(INT((INT((2*VLOOKUP($C288,DexData,9,0)+INT(T288/4)+N288)/2)+5)*Y288)*IF($E288="Choice Specs",1.5,1))</f>
        <v>134</v>
      </c>
      <c r="AF288" s="84">
        <f>INT(INT((INT((2*VLOOKUP($C288,DexData,10,0)+INT(U288/4)+O288)/2)+5)*Z288)*IF(OR($E288="Eviolite",$E288="Assault Vest"),1.5,1))</f>
        <v>80</v>
      </c>
      <c r="AG288" s="84">
        <f>INT(INT((INT((2*VLOOKUP($C288,DexData,11,0)+INT(V288/4)+P288)/2)+5)*AA288)*IF($E288="Choice Scarf",1.5,IF($E288="Iron Ball",0.5,1)))</f>
        <v>134</v>
      </c>
      <c r="AH288" s="84" t="str">
        <f>VLOOKUP(VLOOKUP($C288,DexData,3,0),Aliases!D$2:E$19,2,0)&amp;IFERROR("/"&amp;VLOOKUP(VLOOKUP($C288,DexData,4,0),Aliases!D$2:E$19,2,0),"")</f>
        <v>PSY/FLY</v>
      </c>
      <c r="AI288" s="7">
        <v>3.0</v>
      </c>
      <c r="AJ288" s="7">
        <f>IF(VLOOKUP(B288,'Set Odds'!A$2:AN$1067,40,0),1,IF(VLOOKUP(B288,'Set Odds'!A$2:AO$1067,41,0),2,0))</f>
        <v>0</v>
      </c>
      <c r="AK288" s="7"/>
      <c r="AL288" s="7" t="str">
        <f t="shared" si="1"/>
        <v/>
      </c>
    </row>
    <row r="289" ht="12.75" customHeight="1">
      <c r="A289" s="86">
        <v>288.0</v>
      </c>
      <c r="B289" s="84" t="s">
        <v>3541</v>
      </c>
      <c r="C289" s="7" t="s">
        <v>3542</v>
      </c>
      <c r="D289" s="7" t="s">
        <v>2811</v>
      </c>
      <c r="E289" s="7" t="s">
        <v>2636</v>
      </c>
      <c r="F289" s="84" t="s">
        <v>2866</v>
      </c>
      <c r="G289" s="84" t="s">
        <v>3454</v>
      </c>
      <c r="H289" s="84" t="s">
        <v>3543</v>
      </c>
      <c r="I289" s="84" t="s">
        <v>2688</v>
      </c>
      <c r="J289" s="7" t="s">
        <v>2742</v>
      </c>
      <c r="K289" s="7">
        <v>31.0</v>
      </c>
      <c r="L289" s="7">
        <v>10.0</v>
      </c>
      <c r="M289" s="7">
        <v>31.0</v>
      </c>
      <c r="N289" s="7">
        <v>10.0</v>
      </c>
      <c r="O289" s="7">
        <v>31.0</v>
      </c>
      <c r="P289" s="7">
        <v>10.0</v>
      </c>
      <c r="Q289" s="7">
        <v>148.0</v>
      </c>
      <c r="R289" s="7">
        <v>0.0</v>
      </c>
      <c r="S289" s="7">
        <v>148.0</v>
      </c>
      <c r="T289" s="7">
        <v>0.0</v>
      </c>
      <c r="U289" s="7">
        <v>148.0</v>
      </c>
      <c r="V289" s="7">
        <v>0.0</v>
      </c>
      <c r="W289" s="7">
        <f>VLOOKUP($D289,NatureChart,2,0)</f>
        <v>1</v>
      </c>
      <c r="X289" s="7">
        <f>VLOOKUP($D289,NatureChart,3,0)</f>
        <v>1.1</v>
      </c>
      <c r="Y289" s="7">
        <f>VLOOKUP($D289,NatureChart,4,0)</f>
        <v>1</v>
      </c>
      <c r="Z289" s="7">
        <f>VLOOKUP($D289,NatureChart,5,0)</f>
        <v>1</v>
      </c>
      <c r="AA289" s="84">
        <f>VLOOKUP($D289,NatureChart,6,0)</f>
        <v>0.9</v>
      </c>
      <c r="AB289" s="84">
        <f>IF($C289="Shedinja",1,(INT((2*VLOOKUP($C289,DexData,5,0)+INT(Q289/4)+K289)/2)+60))</f>
        <v>164</v>
      </c>
      <c r="AC289" s="84">
        <f>INT(INT((INT((2*VLOOKUP($C289,DexData,6,0)+INT(R289/4)+L289)/2)+5)*W289)*IF($E289="Choice Band",1.5,IF(OR($E289="Mawilite",$E289="Medichamite",$E289="Thick Club"),2,1)))</f>
        <v>95</v>
      </c>
      <c r="AD289" s="84">
        <f>INT(INT((INT((2*VLOOKUP($C289,DexData,7,0)+INT(S289/4)+M289)/2)+5)*X289)*IF($E289="Eviolite",1.5,1))</f>
        <v>196</v>
      </c>
      <c r="AE289" s="84">
        <f>INT(INT((INT((2*VLOOKUP($C289,DexData,9,0)+INT(T289/4)+N289)/2)+5)*Y289)*IF($E289="Choice Specs",1.5,1))</f>
        <v>95</v>
      </c>
      <c r="AF289" s="84">
        <f>INT(INT((INT((2*VLOOKUP($C289,DexData,10,0)+INT(U289/4)+O289)/2)+5)*Z289)*IF(OR($E289="Eviolite",$E289="Assault Vest"),1.5,1))</f>
        <v>109</v>
      </c>
      <c r="AG289" s="84">
        <f>INT(INT((INT((2*VLOOKUP($C289,DexData,11,0)+INT(V289/4)+P289)/2)+5)*AA289)*IF($E289="Choice Scarf",1.5,IF($E289="Iron Ball",0.5,1)))</f>
        <v>27</v>
      </c>
      <c r="AH289" s="84" t="str">
        <f>VLOOKUP(VLOOKUP($C289,DexData,3,0),Aliases!D$2:E$19,2,0)&amp;IFERROR("/"&amp;VLOOKUP(VLOOKUP($C289,DexData,4,0),Aliases!D$2:E$19,2,0),"")</f>
        <v>FIR</v>
      </c>
      <c r="AI289" s="7">
        <v>3.0</v>
      </c>
      <c r="AJ289" s="7">
        <f>IF(VLOOKUP(B289,'Set Odds'!A$2:AN$1067,40,0),1,IF(VLOOKUP(B289,'Set Odds'!A$2:AO$1067,41,0),2,0))</f>
        <v>0</v>
      </c>
      <c r="AK289" s="7"/>
      <c r="AL289" s="7" t="str">
        <f t="shared" si="1"/>
        <v/>
      </c>
    </row>
    <row r="290" ht="12.75" customHeight="1">
      <c r="A290" s="86">
        <v>289.0</v>
      </c>
      <c r="B290" s="84" t="s">
        <v>3544</v>
      </c>
      <c r="C290" s="7" t="s">
        <v>3545</v>
      </c>
      <c r="D290" s="7" t="s">
        <v>2811</v>
      </c>
      <c r="E290" s="7" t="s">
        <v>2770</v>
      </c>
      <c r="F290" s="84" t="s">
        <v>2772</v>
      </c>
      <c r="G290" s="84" t="s">
        <v>2536</v>
      </c>
      <c r="H290" s="84" t="s">
        <v>2952</v>
      </c>
      <c r="I290" s="84" t="s">
        <v>3025</v>
      </c>
      <c r="J290" s="7" t="s">
        <v>2968</v>
      </c>
      <c r="K290" s="7">
        <v>31.0</v>
      </c>
      <c r="L290" s="7">
        <v>10.0</v>
      </c>
      <c r="M290" s="7">
        <v>31.0</v>
      </c>
      <c r="N290" s="7">
        <v>10.0</v>
      </c>
      <c r="O290" s="7">
        <v>31.0</v>
      </c>
      <c r="P290" s="7">
        <v>10.0</v>
      </c>
      <c r="Q290" s="7">
        <v>148.0</v>
      </c>
      <c r="R290" s="7">
        <v>0.0</v>
      </c>
      <c r="S290" s="7">
        <v>148.0</v>
      </c>
      <c r="T290" s="7">
        <v>0.0</v>
      </c>
      <c r="U290" s="7">
        <v>148.0</v>
      </c>
      <c r="V290" s="7">
        <v>0.0</v>
      </c>
      <c r="W290" s="7">
        <f>VLOOKUP($D290,NatureChart,2,0)</f>
        <v>1</v>
      </c>
      <c r="X290" s="7">
        <f>VLOOKUP($D290,NatureChart,3,0)</f>
        <v>1.1</v>
      </c>
      <c r="Y290" s="7">
        <f>VLOOKUP($D290,NatureChart,4,0)</f>
        <v>1</v>
      </c>
      <c r="Z290" s="7">
        <f>VLOOKUP($D290,NatureChart,5,0)</f>
        <v>1</v>
      </c>
      <c r="AA290" s="84">
        <f>VLOOKUP($D290,NatureChart,6,0)</f>
        <v>0.9</v>
      </c>
      <c r="AB290" s="84">
        <f>IF($C290="Shedinja",1,(INT((2*VLOOKUP($C290,DexData,5,0)+INT(Q290/4)+K290)/2)+60))</f>
        <v>174</v>
      </c>
      <c r="AC290" s="84">
        <f>INT(INT((INT((2*VLOOKUP($C290,DexData,6,0)+INT(R290/4)+L290)/2)+5)*W290)*IF($E290="Choice Band",1.5,IF(OR($E290="Mawilite",$E290="Medichamite",$E290="Thick Club"),2,1)))</f>
        <v>55</v>
      </c>
      <c r="AD290" s="84">
        <f>INT(INT((INT((2*VLOOKUP($C290,DexData,7,0)+INT(S290/4)+M290)/2)+5)*X290)*IF($E290="Eviolite",1.5,1))</f>
        <v>114</v>
      </c>
      <c r="AE290" s="84">
        <f>INT(INT((INT((2*VLOOKUP($C290,DexData,9,0)+INT(T290/4)+N290)/2)+5)*Y290)*IF($E290="Choice Specs",1.5,1))</f>
        <v>100</v>
      </c>
      <c r="AF290" s="84">
        <f>INT(INT((INT((2*VLOOKUP($C290,DexData,10,0)+INT(U290/4)+O290)/2)+5)*Z290)*IF(OR($E290="Eviolite",$E290="Assault Vest"),1.5,1))</f>
        <v>149</v>
      </c>
      <c r="AG290" s="84">
        <f>INT(INT((INT((2*VLOOKUP($C290,DexData,11,0)+INT(V290/4)+P290)/2)+5)*AA290)*IF($E290="Choice Scarf",1.5,IF($E290="Iron Ball",0.5,1)))</f>
        <v>81</v>
      </c>
      <c r="AH290" s="84" t="str">
        <f>VLOOKUP(VLOOKUP($C290,DexData,3,0),Aliases!D$2:E$19,2,0)&amp;IFERROR("/"&amp;VLOOKUP(VLOOKUP($C290,DexData,4,0),Aliases!D$2:E$19,2,0),"")</f>
        <v>PSY</v>
      </c>
      <c r="AI290" s="7">
        <v>3.0</v>
      </c>
      <c r="AJ290" s="7">
        <f>IF(VLOOKUP(B290,'Set Odds'!A$2:AN$1067,40,0),1,IF(VLOOKUP(B290,'Set Odds'!A$2:AO$1067,41,0),2,0))</f>
        <v>0</v>
      </c>
      <c r="AK290" s="7"/>
      <c r="AL290" s="7" t="str">
        <f t="shared" si="1"/>
        <v/>
      </c>
    </row>
    <row r="291" ht="12.75" customHeight="1">
      <c r="A291" s="86">
        <v>290.0</v>
      </c>
      <c r="B291" s="84" t="s">
        <v>3546</v>
      </c>
      <c r="C291" s="7" t="s">
        <v>3547</v>
      </c>
      <c r="D291" s="7" t="s">
        <v>2656</v>
      </c>
      <c r="E291" s="7" t="s">
        <v>3548</v>
      </c>
      <c r="F291" s="84" t="s">
        <v>2956</v>
      </c>
      <c r="G291" s="84" t="s">
        <v>2660</v>
      </c>
      <c r="H291" s="84" t="s">
        <v>3435</v>
      </c>
      <c r="I291" s="84" t="s">
        <v>2938</v>
      </c>
      <c r="J291" s="7" t="s">
        <v>2958</v>
      </c>
      <c r="K291" s="7">
        <v>31.0</v>
      </c>
      <c r="L291" s="7">
        <v>10.0</v>
      </c>
      <c r="M291" s="7">
        <v>10.0</v>
      </c>
      <c r="N291" s="7">
        <v>31.0</v>
      </c>
      <c r="O291" s="7">
        <v>10.0</v>
      </c>
      <c r="P291" s="7">
        <v>31.0</v>
      </c>
      <c r="Q291" s="7">
        <v>148.0</v>
      </c>
      <c r="R291" s="7">
        <v>0.0</v>
      </c>
      <c r="S291" s="7">
        <v>0.0</v>
      </c>
      <c r="T291" s="7">
        <v>148.0</v>
      </c>
      <c r="U291" s="7">
        <v>0.0</v>
      </c>
      <c r="V291" s="7">
        <v>148.0</v>
      </c>
      <c r="W291" s="7">
        <f>VLOOKUP($D291,NatureChart,2,0)</f>
        <v>0.9</v>
      </c>
      <c r="X291" s="7">
        <f>VLOOKUP($D291,NatureChart,3,0)</f>
        <v>1</v>
      </c>
      <c r="Y291" s="7">
        <f>VLOOKUP($D291,NatureChart,4,0)</f>
        <v>1.1</v>
      </c>
      <c r="Z291" s="7">
        <f>VLOOKUP($D291,NatureChart,5,0)</f>
        <v>1</v>
      </c>
      <c r="AA291" s="84">
        <f>VLOOKUP($D291,NatureChart,6,0)</f>
        <v>1</v>
      </c>
      <c r="AB291" s="84">
        <f>IF($C291="Shedinja",1,(INT((2*VLOOKUP($C291,DexData,5,0)+INT(Q291/4)+K291)/2)+60))</f>
        <v>189</v>
      </c>
      <c r="AC291" s="84">
        <f>INT(INT((INT((2*VLOOKUP($C291,DexData,6,0)+INT(R291/4)+L291)/2)+5)*W291)*IF($E291="Choice Band",1.5,IF(OR($E291="Mawilite",$E291="Medichamite",$E291="Thick Club"),2,1)))</f>
        <v>72</v>
      </c>
      <c r="AD291" s="84">
        <f>INT(INT((INT((2*VLOOKUP($C291,DexData,7,0)+INT(S291/4)+M291)/2)+5)*X291)*IF($E291="Eviolite",1.5,1))</f>
        <v>83</v>
      </c>
      <c r="AE291" s="84">
        <f>INT(INT((INT((2*VLOOKUP($C291,DexData,9,0)+INT(T291/4)+N291)/2)+5)*Y291)*IF($E291="Choice Specs",1.5,1))</f>
        <v>147</v>
      </c>
      <c r="AF291" s="84">
        <f>INT(INT((INT((2*VLOOKUP($C291,DexData,10,0)+INT(U291/4)+O291)/2)+5)*Z291)*IF(OR($E291="Eviolite",$E291="Assault Vest"),1.5,1))</f>
        <v>100</v>
      </c>
      <c r="AG291" s="84">
        <f>INT(INT((INT((2*VLOOKUP($C291,DexData,11,0)+INT(V291/4)+P291)/2)+5)*AA291)*IF($E291="Choice Scarf",1.5,IF($E291="Iron Ball",0.5,1)))</f>
        <v>99</v>
      </c>
      <c r="AH291" s="84" t="str">
        <f>VLOOKUP(VLOOKUP($C291,DexData,3,0),Aliases!D$2:E$19,2,0)&amp;IFERROR("/"&amp;VLOOKUP(VLOOKUP($C291,DexData,4,0),Aliases!D$2:E$19,2,0),"")</f>
        <v>FAI</v>
      </c>
      <c r="AI291" s="7">
        <v>3.0</v>
      </c>
      <c r="AJ291" s="7">
        <f>IF(VLOOKUP(B291,'Set Odds'!A$2:AN$1067,40,0),1,IF(VLOOKUP(B291,'Set Odds'!A$2:AO$1067,41,0),2,0))</f>
        <v>0</v>
      </c>
      <c r="AK291" s="7"/>
      <c r="AL291" s="7" t="str">
        <f t="shared" si="1"/>
        <v/>
      </c>
    </row>
    <row r="292" ht="12.75" customHeight="1">
      <c r="A292" s="86">
        <v>291.0</v>
      </c>
      <c r="B292" s="84" t="s">
        <v>3549</v>
      </c>
      <c r="C292" s="7" t="s">
        <v>3550</v>
      </c>
      <c r="D292" s="7" t="s">
        <v>2571</v>
      </c>
      <c r="E292" s="7" t="s">
        <v>2579</v>
      </c>
      <c r="F292" s="84" t="s">
        <v>2836</v>
      </c>
      <c r="G292" s="84" t="s">
        <v>2887</v>
      </c>
      <c r="H292" s="84" t="s">
        <v>2734</v>
      </c>
      <c r="I292" s="84" t="s">
        <v>2517</v>
      </c>
      <c r="J292" s="7" t="s">
        <v>2978</v>
      </c>
      <c r="K292" s="7">
        <v>31.0</v>
      </c>
      <c r="L292" s="7">
        <v>31.0</v>
      </c>
      <c r="M292" s="7">
        <v>10.0</v>
      </c>
      <c r="N292" s="7">
        <v>10.0</v>
      </c>
      <c r="O292" s="7">
        <v>10.0</v>
      </c>
      <c r="P292" s="7">
        <v>31.0</v>
      </c>
      <c r="Q292" s="7">
        <v>148.0</v>
      </c>
      <c r="R292" s="7">
        <v>148.0</v>
      </c>
      <c r="S292" s="7">
        <v>0.0</v>
      </c>
      <c r="T292" s="7">
        <v>0.0</v>
      </c>
      <c r="U292" s="7">
        <v>0.0</v>
      </c>
      <c r="V292" s="7">
        <v>148.0</v>
      </c>
      <c r="W292" s="7">
        <f>VLOOKUP($D292,NatureChart,2,0)</f>
        <v>1.1</v>
      </c>
      <c r="X292" s="7">
        <f>VLOOKUP($D292,NatureChart,3,0)</f>
        <v>1</v>
      </c>
      <c r="Y292" s="7">
        <f>VLOOKUP($D292,NatureChart,4,0)</f>
        <v>0.9</v>
      </c>
      <c r="Z292" s="7">
        <f>VLOOKUP($D292,NatureChart,5,0)</f>
        <v>1</v>
      </c>
      <c r="AA292" s="84">
        <f>VLOOKUP($D292,NatureChart,6,0)</f>
        <v>1</v>
      </c>
      <c r="AB292" s="84">
        <f>IF($C292="Shedinja",1,(INT((2*VLOOKUP($C292,DexData,5,0)+INT(Q292/4)+K292)/2)+60))</f>
        <v>149</v>
      </c>
      <c r="AC292" s="84">
        <f>INT(INT((INT((2*VLOOKUP($C292,DexData,6,0)+INT(R292/4)+L292)/2)+5)*W292)*IF($E292="Choice Band",1.5,IF(OR($E292="Mawilite",$E292="Medichamite",$E292="Thick Club"),2,1)))</f>
        <v>185</v>
      </c>
      <c r="AD292" s="84">
        <f>INT(INT((INT((2*VLOOKUP($C292,DexData,7,0)+INT(S292/4)+M292)/2)+5)*X292)*IF($E292="Eviolite",1.5,1))</f>
        <v>125</v>
      </c>
      <c r="AE292" s="84">
        <f>INT(INT((INT((2*VLOOKUP($C292,DexData,9,0)+INT(T292/4)+N292)/2)+5)*Y292)*IF($E292="Choice Specs",1.5,1))</f>
        <v>54</v>
      </c>
      <c r="AF292" s="84">
        <f>INT(INT((INT((2*VLOOKUP($C292,DexData,10,0)+INT(U292/4)+O292)/2)+5)*Z292)*IF(OR($E292="Eviolite",$E292="Assault Vest"),1.5,1))</f>
        <v>60</v>
      </c>
      <c r="AG292" s="84">
        <f>INT(INT((INT((2*VLOOKUP($C292,DexData,11,0)+INT(V292/4)+P292)/2)+5)*AA292)*IF($E292="Choice Scarf",1.5,IF($E292="Iron Ball",0.5,1)))</f>
        <v>114</v>
      </c>
      <c r="AH292" s="84" t="str">
        <f>VLOOKUP(VLOOKUP($C292,DexData,3,0),Aliases!D$2:E$19,2,0)&amp;IFERROR("/"&amp;VLOOKUP(VLOOKUP($C292,DexData,4,0),Aliases!D$2:E$19,2,0),"")</f>
        <v>WTR</v>
      </c>
      <c r="AI292" s="7">
        <v>3.0</v>
      </c>
      <c r="AJ292" s="7">
        <f>IF(VLOOKUP(B292,'Set Odds'!A$2:AN$1067,40,0),1,IF(VLOOKUP(B292,'Set Odds'!A$2:AO$1067,41,0),2,0))</f>
        <v>0</v>
      </c>
      <c r="AK292" s="7"/>
      <c r="AL292" s="7" t="str">
        <f t="shared" si="1"/>
        <v/>
      </c>
    </row>
    <row r="293" ht="12.75" customHeight="1">
      <c r="A293" s="86">
        <v>292.0</v>
      </c>
      <c r="B293" s="84" t="s">
        <v>3551</v>
      </c>
      <c r="C293" s="7" t="s">
        <v>3552</v>
      </c>
      <c r="D293" s="7" t="s">
        <v>2692</v>
      </c>
      <c r="E293" s="7" t="s">
        <v>2579</v>
      </c>
      <c r="F293" s="84" t="s">
        <v>3553</v>
      </c>
      <c r="G293" s="84" t="s">
        <v>3554</v>
      </c>
      <c r="H293" s="84" t="s">
        <v>2807</v>
      </c>
      <c r="I293" s="84" t="s">
        <v>2818</v>
      </c>
      <c r="J293" s="7" t="s">
        <v>3059</v>
      </c>
      <c r="K293" s="7">
        <v>31.0</v>
      </c>
      <c r="L293" s="7">
        <v>31.0</v>
      </c>
      <c r="M293" s="7">
        <v>10.0</v>
      </c>
      <c r="N293" s="7">
        <v>10.0</v>
      </c>
      <c r="O293" s="7">
        <v>10.0</v>
      </c>
      <c r="P293" s="7">
        <v>31.0</v>
      </c>
      <c r="Q293" s="7">
        <v>148.0</v>
      </c>
      <c r="R293" s="7">
        <v>148.0</v>
      </c>
      <c r="S293" s="7">
        <v>0.0</v>
      </c>
      <c r="T293" s="7">
        <v>0.0</v>
      </c>
      <c r="U293" s="7">
        <v>0.0</v>
      </c>
      <c r="V293" s="7">
        <v>148.0</v>
      </c>
      <c r="W293" s="7">
        <f>VLOOKUP($D293,NatureChart,2,0)</f>
        <v>1</v>
      </c>
      <c r="X293" s="7">
        <f>VLOOKUP($D293,NatureChart,3,0)</f>
        <v>1</v>
      </c>
      <c r="Y293" s="7">
        <f>VLOOKUP($D293,NatureChart,4,0)</f>
        <v>0.9</v>
      </c>
      <c r="Z293" s="7">
        <f>VLOOKUP($D293,NatureChart,5,0)</f>
        <v>1</v>
      </c>
      <c r="AA293" s="84">
        <f>VLOOKUP($D293,NatureChart,6,0)</f>
        <v>1.1</v>
      </c>
      <c r="AB293" s="84">
        <f>IF($C293="Shedinja",1,(INT((2*VLOOKUP($C293,DexData,5,0)+INT(Q293/4)+K293)/2)+60))</f>
        <v>164</v>
      </c>
      <c r="AC293" s="84">
        <f>INT(INT((INT((2*VLOOKUP($C293,DexData,6,0)+INT(R293/4)+L293)/2)+5)*W293)*IF($E293="Choice Band",1.5,IF(OR($E293="Mawilite",$E293="Medichamite",$E293="Thick Club"),2,1)))</f>
        <v>154</v>
      </c>
      <c r="AD293" s="84">
        <f>INT(INT((INT((2*VLOOKUP($C293,DexData,7,0)+INT(S293/4)+M293)/2)+5)*X293)*IF($E293="Eviolite",1.5,1))</f>
        <v>70</v>
      </c>
      <c r="AE293" s="84">
        <f>INT(INT((INT((2*VLOOKUP($C293,DexData,9,0)+INT(T293/4)+N293)/2)+5)*Y293)*IF($E293="Choice Specs",1.5,1))</f>
        <v>112</v>
      </c>
      <c r="AF293" s="84">
        <f>INT(INT((INT((2*VLOOKUP($C293,DexData,10,0)+INT(U293/4)+O293)/2)+5)*Z293)*IF(OR($E293="Eviolite",$E293="Assault Vest"),1.5,1))</f>
        <v>70</v>
      </c>
      <c r="AG293" s="84">
        <f>INT(INT((INT((2*VLOOKUP($C293,DexData,11,0)+INT(V293/4)+P293)/2)+5)*AA293)*IF($E293="Choice Scarf",1.5,IF($E293="Iron Ball",0.5,1)))</f>
        <v>103</v>
      </c>
      <c r="AH293" s="84" t="str">
        <f>VLOOKUP(VLOOKUP($C293,DexData,3,0),Aliases!D$2:E$19,2,0)&amp;IFERROR("/"&amp;VLOOKUP(VLOOKUP($C293,DexData,4,0),Aliases!D$2:E$19,2,0),"")</f>
        <v>GRS/DRK</v>
      </c>
      <c r="AI293" s="7">
        <v>3.0</v>
      </c>
      <c r="AJ293" s="7">
        <f>IF(VLOOKUP(B293,'Set Odds'!A$2:AN$1067,40,0),1,IF(VLOOKUP(B293,'Set Odds'!A$2:AO$1067,41,0),2,0))</f>
        <v>0</v>
      </c>
      <c r="AK293" s="7"/>
      <c r="AL293" s="7" t="str">
        <f t="shared" si="1"/>
        <v/>
      </c>
    </row>
    <row r="294" ht="12.75" customHeight="1">
      <c r="A294" s="86">
        <v>293.0</v>
      </c>
      <c r="B294" s="84" t="s">
        <v>3555</v>
      </c>
      <c r="C294" s="7" t="s">
        <v>3556</v>
      </c>
      <c r="D294" s="7" t="s">
        <v>2656</v>
      </c>
      <c r="E294" s="7" t="s">
        <v>3557</v>
      </c>
      <c r="F294" s="84" t="s">
        <v>3558</v>
      </c>
      <c r="G294" s="84" t="s">
        <v>3268</v>
      </c>
      <c r="H294" s="84" t="s">
        <v>2700</v>
      </c>
      <c r="I294" s="84" t="s">
        <v>2856</v>
      </c>
      <c r="J294" s="7" t="s">
        <v>2701</v>
      </c>
      <c r="K294" s="7">
        <v>31.0</v>
      </c>
      <c r="L294" s="7">
        <v>10.0</v>
      </c>
      <c r="M294" s="7">
        <v>10.0</v>
      </c>
      <c r="N294" s="7">
        <v>31.0</v>
      </c>
      <c r="O294" s="7">
        <v>10.0</v>
      </c>
      <c r="P294" s="7">
        <v>31.0</v>
      </c>
      <c r="Q294" s="7">
        <v>148.0</v>
      </c>
      <c r="R294" s="7">
        <v>0.0</v>
      </c>
      <c r="S294" s="7">
        <v>0.0</v>
      </c>
      <c r="T294" s="7">
        <v>148.0</v>
      </c>
      <c r="U294" s="7">
        <v>0.0</v>
      </c>
      <c r="V294" s="7">
        <v>148.0</v>
      </c>
      <c r="W294" s="7">
        <f>VLOOKUP($D294,NatureChart,2,0)</f>
        <v>0.9</v>
      </c>
      <c r="X294" s="7">
        <f>VLOOKUP($D294,NatureChart,3,0)</f>
        <v>1</v>
      </c>
      <c r="Y294" s="7">
        <f>VLOOKUP($D294,NatureChart,4,0)</f>
        <v>1.1</v>
      </c>
      <c r="Z294" s="7">
        <f>VLOOKUP($D294,NatureChart,5,0)</f>
        <v>1</v>
      </c>
      <c r="AA294" s="84">
        <f>VLOOKUP($D294,NatureChart,6,0)</f>
        <v>1</v>
      </c>
      <c r="AB294" s="84">
        <f>IF($C294="Shedinja",1,(INT((2*VLOOKUP($C294,DexData,5,0)+INT(Q294/4)+K294)/2)+60))</f>
        <v>169</v>
      </c>
      <c r="AC294" s="84">
        <f>INT(INT((INT((2*VLOOKUP($C294,DexData,6,0)+INT(R294/4)+L294)/2)+5)*W294)*IF($E294="Choice Band",1.5,IF(OR($E294="Mawilite",$E294="Medichamite",$E294="Thick Club"),2,1)))</f>
        <v>81</v>
      </c>
      <c r="AD294" s="84">
        <f>INT(INT((INT((2*VLOOKUP($C294,DexData,7,0)+INT(S294/4)+M294)/2)+5)*X294)*IF($E294="Eviolite",1.5,1))</f>
        <v>105</v>
      </c>
      <c r="AE294" s="84">
        <f>INT(INT((INT((2*VLOOKUP($C294,DexData,9,0)+INT(T294/4)+N294)/2)+5)*Y294)*IF($E294="Choice Specs",1.5,1))</f>
        <v>141</v>
      </c>
      <c r="AF294" s="84">
        <f>INT(INT((INT((2*VLOOKUP($C294,DexData,10,0)+INT(U294/4)+O294)/2)+5)*Z294)*IF(OR($E294="Eviolite",$E294="Assault Vest"),1.5,1))</f>
        <v>110</v>
      </c>
      <c r="AG294" s="84">
        <f>INT(INT((INT((2*VLOOKUP($C294,DexData,11,0)+INT(V294/4)+P294)/2)+5)*AA294)*IF($E294="Choice Scarf",1.5,IF($E294="Iron Ball",0.5,1)))</f>
        <v>89</v>
      </c>
      <c r="AH294" s="84" t="str">
        <f>VLOOKUP(VLOOKUP($C294,DexData,3,0),Aliases!D$2:E$19,2,0)&amp;IFERROR("/"&amp;VLOOKUP(VLOOKUP($C294,DexData,4,0),Aliases!D$2:E$19,2,0),"")</f>
        <v>GRS</v>
      </c>
      <c r="AI294" s="7">
        <v>3.0</v>
      </c>
      <c r="AJ294" s="7">
        <f>IF(VLOOKUP(B294,'Set Odds'!A$2:AN$1067,40,0),1,IF(VLOOKUP(B294,'Set Odds'!A$2:AO$1067,41,0),2,0))</f>
        <v>0</v>
      </c>
      <c r="AK294" s="7"/>
      <c r="AL294" s="7" t="str">
        <f t="shared" si="1"/>
        <v/>
      </c>
    </row>
    <row r="295" ht="12.75" customHeight="1">
      <c r="A295" s="86">
        <v>294.0</v>
      </c>
      <c r="B295" s="84" t="s">
        <v>3559</v>
      </c>
      <c r="C295" s="7" t="s">
        <v>3560</v>
      </c>
      <c r="D295" s="7" t="s">
        <v>2656</v>
      </c>
      <c r="E295" s="7" t="s">
        <v>2685</v>
      </c>
      <c r="F295" s="84" t="s">
        <v>3561</v>
      </c>
      <c r="G295" s="84" t="s">
        <v>2823</v>
      </c>
      <c r="H295" s="84" t="s">
        <v>2659</v>
      </c>
      <c r="I295" s="84" t="s">
        <v>2517</v>
      </c>
      <c r="J295" s="7" t="s">
        <v>2786</v>
      </c>
      <c r="K295" s="7">
        <v>31.0</v>
      </c>
      <c r="L295" s="7">
        <v>10.0</v>
      </c>
      <c r="M295" s="7">
        <v>10.0</v>
      </c>
      <c r="N295" s="7">
        <v>31.0</v>
      </c>
      <c r="O295" s="7">
        <v>10.0</v>
      </c>
      <c r="P295" s="7">
        <v>31.0</v>
      </c>
      <c r="Q295" s="7">
        <v>148.0</v>
      </c>
      <c r="R295" s="7">
        <v>0.0</v>
      </c>
      <c r="S295" s="7">
        <v>0.0</v>
      </c>
      <c r="T295" s="7">
        <v>148.0</v>
      </c>
      <c r="U295" s="7">
        <v>0.0</v>
      </c>
      <c r="V295" s="7">
        <v>148.0</v>
      </c>
      <c r="W295" s="7">
        <f>VLOOKUP($D295,NatureChart,2,0)</f>
        <v>0.9</v>
      </c>
      <c r="X295" s="7">
        <f>VLOOKUP($D295,NatureChart,3,0)</f>
        <v>1</v>
      </c>
      <c r="Y295" s="7">
        <f>VLOOKUP($D295,NatureChart,4,0)</f>
        <v>1.1</v>
      </c>
      <c r="Z295" s="7">
        <f>VLOOKUP($D295,NatureChart,5,0)</f>
        <v>1</v>
      </c>
      <c r="AA295" s="84">
        <f>VLOOKUP($D295,NatureChart,6,0)</f>
        <v>1</v>
      </c>
      <c r="AB295" s="84">
        <f>IF($C295="Shedinja",1,(INT((2*VLOOKUP($C295,DexData,5,0)+INT(Q295/4)+K295)/2)+60))</f>
        <v>169</v>
      </c>
      <c r="AC295" s="84">
        <f>INT(INT((INT((2*VLOOKUP($C295,DexData,6,0)+INT(R295/4)+L295)/2)+5)*W295)*IF($E295="Choice Band",1.5,IF(OR($E295="Mawilite",$E295="Medichamite",$E295="Thick Club"),2,1)))</f>
        <v>103</v>
      </c>
      <c r="AD295" s="84">
        <f>INT(INT((INT((2*VLOOKUP($C295,DexData,7,0)+INT(S295/4)+M295)/2)+5)*X295)*IF($E295="Eviolite",1.5,1))</f>
        <v>85</v>
      </c>
      <c r="AE295" s="84">
        <f>INT(INT((INT((2*VLOOKUP($C295,DexData,9,0)+INT(T295/4)+N295)/2)+5)*Y295)*IF($E295="Choice Specs",1.5,1))</f>
        <v>158</v>
      </c>
      <c r="AF295" s="84">
        <f>INT(INT((INT((2*VLOOKUP($C295,DexData,10,0)+INT(U295/4)+O295)/2)+5)*Z295)*IF(OR($E295="Eviolite",$E295="Assault Vest"),1.5,1))</f>
        <v>85</v>
      </c>
      <c r="AG295" s="84">
        <f>INT(INT((INT((2*VLOOKUP($C295,DexData,11,0)+INT(V295/4)+P295)/2)+5)*AA295)*IF($E295="Choice Scarf",1.5,IF($E295="Iron Ball",0.5,1)))</f>
        <v>84</v>
      </c>
      <c r="AH295" s="84" t="str">
        <f>VLOOKUP(VLOOKUP($C295,DexData,3,0),Aliases!D$2:E$19,2,0)&amp;IFERROR("/"&amp;VLOOKUP(VLOOKUP($C295,DexData,4,0),Aliases!D$2:E$19,2,0),"")</f>
        <v>WTR</v>
      </c>
      <c r="AI295" s="7">
        <v>3.0</v>
      </c>
      <c r="AJ295" s="7">
        <f>IF(VLOOKUP(B295,'Set Odds'!A$2:AN$1067,40,0),1,IF(VLOOKUP(B295,'Set Odds'!A$2:AO$1067,41,0),2,0))</f>
        <v>0</v>
      </c>
      <c r="AK295" s="7"/>
      <c r="AL295" s="7" t="str">
        <f t="shared" si="1"/>
        <v/>
      </c>
    </row>
    <row r="296" ht="12.75" customHeight="1">
      <c r="A296" s="86">
        <v>295.0</v>
      </c>
      <c r="B296" s="84" t="s">
        <v>3562</v>
      </c>
      <c r="C296" s="7" t="s">
        <v>3563</v>
      </c>
      <c r="D296" s="7" t="s">
        <v>2827</v>
      </c>
      <c r="E296" s="7" t="s">
        <v>2761</v>
      </c>
      <c r="F296" s="84" t="s">
        <v>3245</v>
      </c>
      <c r="G296" s="84" t="s">
        <v>2583</v>
      </c>
      <c r="H296" s="84" t="s">
        <v>2608</v>
      </c>
      <c r="I296" s="84" t="s">
        <v>2588</v>
      </c>
      <c r="J296" s="7" t="s">
        <v>3028</v>
      </c>
      <c r="K296" s="7">
        <v>31.0</v>
      </c>
      <c r="L296" s="7">
        <v>31.0</v>
      </c>
      <c r="M296" s="7">
        <v>10.0</v>
      </c>
      <c r="N296" s="7">
        <v>31.0</v>
      </c>
      <c r="O296" s="7">
        <v>10.0</v>
      </c>
      <c r="P296" s="7">
        <v>10.0</v>
      </c>
      <c r="Q296" s="7">
        <v>148.0</v>
      </c>
      <c r="R296" s="7">
        <v>148.0</v>
      </c>
      <c r="S296" s="7">
        <v>0.0</v>
      </c>
      <c r="T296" s="7">
        <v>148.0</v>
      </c>
      <c r="U296" s="7">
        <v>0.0</v>
      </c>
      <c r="V296" s="7">
        <v>0.0</v>
      </c>
      <c r="W296" s="7">
        <f>VLOOKUP($D296,NatureChart,2,0)</f>
        <v>1</v>
      </c>
      <c r="X296" s="7">
        <f>VLOOKUP($D296,NatureChart,3,0)</f>
        <v>1</v>
      </c>
      <c r="Y296" s="7">
        <f>VLOOKUP($D296,NatureChart,4,0)</f>
        <v>1.1</v>
      </c>
      <c r="Z296" s="7">
        <f>VLOOKUP($D296,NatureChart,5,0)</f>
        <v>1</v>
      </c>
      <c r="AA296" s="84">
        <f>VLOOKUP($D296,NatureChart,6,0)</f>
        <v>0.9</v>
      </c>
      <c r="AB296" s="84">
        <f>IF($C296="Shedinja",1,(INT((2*VLOOKUP($C296,DexData,5,0)+INT(Q296/4)+K296)/2)+60))</f>
        <v>149</v>
      </c>
      <c r="AC296" s="84">
        <f>INT(INT((INT((2*VLOOKUP($C296,DexData,6,0)+INT(R296/4)+L296)/2)+5)*W296)*IF($E296="Choice Band",1.5,IF(OR($E296="Mawilite",$E296="Medichamite",$E296="Thick Club"),2,1)))</f>
        <v>143</v>
      </c>
      <c r="AD296" s="84">
        <f>INT(INT((INT((2*VLOOKUP($C296,DexData,7,0)+INT(S296/4)+M296)/2)+5)*X296)*IF($E296="Eviolite",1.5,1))</f>
        <v>115</v>
      </c>
      <c r="AE296" s="84">
        <f>INT(INT((INT((2*VLOOKUP($C296,DexData,9,0)+INT(T296/4)+N296)/2)+5)*Y296)*IF($E296="Choice Specs",1.5,1))</f>
        <v>146</v>
      </c>
      <c r="AF296" s="84">
        <f>INT(INT((INT((2*VLOOKUP($C296,DexData,10,0)+INT(U296/4)+O296)/2)+5)*Z296)*IF(OR($E296="Eviolite",$E296="Assault Vest"),1.5,1))</f>
        <v>85</v>
      </c>
      <c r="AG296" s="84">
        <f>INT(INT((INT((2*VLOOKUP($C296,DexData,11,0)+INT(V296/4)+P296)/2)+5)*AA296)*IF($E296="Choice Scarf",1.5,IF($E296="Iron Ball",0.5,1)))</f>
        <v>55</v>
      </c>
      <c r="AH296" s="84" t="str">
        <f>VLOOKUP(VLOOKUP($C296,DexData,3,0),Aliases!D$2:E$19,2,0)&amp;IFERROR("/"&amp;VLOOKUP(VLOOKUP($C296,DexData,4,0),Aliases!D$2:E$19,2,0),"")</f>
        <v>WTR</v>
      </c>
      <c r="AI296" s="7">
        <v>3.0</v>
      </c>
      <c r="AJ296" s="7">
        <f>IF(VLOOKUP(B296,'Set Odds'!A$2:AN$1067,40,0),1,IF(VLOOKUP(B296,'Set Odds'!A$2:AO$1067,41,0),2,0))</f>
        <v>0</v>
      </c>
      <c r="AK296" s="7"/>
      <c r="AL296" s="7" t="str">
        <f t="shared" si="1"/>
        <v/>
      </c>
    </row>
    <row r="297" ht="12.75" customHeight="1">
      <c r="A297" s="86">
        <v>296.0</v>
      </c>
      <c r="B297" s="84" t="s">
        <v>3564</v>
      </c>
      <c r="C297" s="7" t="s">
        <v>3565</v>
      </c>
      <c r="D297" s="7" t="s">
        <v>2656</v>
      </c>
      <c r="E297" s="7" t="s">
        <v>2515</v>
      </c>
      <c r="F297" s="84" t="s">
        <v>3341</v>
      </c>
      <c r="G297" s="84" t="s">
        <v>2659</v>
      </c>
      <c r="H297" s="84" t="s">
        <v>3130</v>
      </c>
      <c r="I297" s="84" t="s">
        <v>3566</v>
      </c>
      <c r="J297" s="7" t="s">
        <v>3028</v>
      </c>
      <c r="K297" s="7">
        <v>31.0</v>
      </c>
      <c r="L297" s="7">
        <v>10.0</v>
      </c>
      <c r="M297" s="7">
        <v>10.0</v>
      </c>
      <c r="N297" s="7">
        <v>31.0</v>
      </c>
      <c r="O297" s="7">
        <v>10.0</v>
      </c>
      <c r="P297" s="7">
        <v>31.0</v>
      </c>
      <c r="Q297" s="7">
        <v>148.0</v>
      </c>
      <c r="R297" s="7">
        <v>0.0</v>
      </c>
      <c r="S297" s="7">
        <v>0.0</v>
      </c>
      <c r="T297" s="7">
        <v>148.0</v>
      </c>
      <c r="U297" s="7">
        <v>0.0</v>
      </c>
      <c r="V297" s="7">
        <v>148.0</v>
      </c>
      <c r="W297" s="7">
        <f>VLOOKUP($D297,NatureChart,2,0)</f>
        <v>0.9</v>
      </c>
      <c r="X297" s="7">
        <f>VLOOKUP($D297,NatureChart,3,0)</f>
        <v>1</v>
      </c>
      <c r="Y297" s="7">
        <f>VLOOKUP($D297,NatureChart,4,0)</f>
        <v>1.1</v>
      </c>
      <c r="Z297" s="7">
        <f>VLOOKUP($D297,NatureChart,5,0)</f>
        <v>1</v>
      </c>
      <c r="AA297" s="84">
        <f>VLOOKUP($D297,NatureChart,6,0)</f>
        <v>1</v>
      </c>
      <c r="AB297" s="84">
        <f>IF($C297="Shedinja",1,(INT((2*VLOOKUP($C297,DexData,5,0)+INT(Q297/4)+K297)/2)+60))</f>
        <v>149</v>
      </c>
      <c r="AC297" s="84">
        <f>INT(INT((INT((2*VLOOKUP($C297,DexData,6,0)+INT(R297/4)+L297)/2)+5)*W297)*IF($E297="Choice Band",1.5,IF(OR($E297="Mawilite",$E297="Medichamite",$E297="Thick Club"),2,1)))</f>
        <v>84</v>
      </c>
      <c r="AD297" s="84">
        <f>INT(INT((INT((2*VLOOKUP($C297,DexData,7,0)+INT(S297/4)+M297)/2)+5)*X297)*IF($E297="Eviolite",1.5,1))</f>
        <v>115</v>
      </c>
      <c r="AE297" s="84">
        <f>INT(INT((INT((2*VLOOKUP($C297,DexData,9,0)+INT(T297/4)+N297)/2)+5)*Y297)*IF($E297="Choice Specs",1.5,1))</f>
        <v>168</v>
      </c>
      <c r="AF297" s="84">
        <f>INT(INT((INT((2*VLOOKUP($C297,DexData,10,0)+INT(U297/4)+O297)/2)+5)*Z297)*IF(OR($E297="Eviolite",$E297="Assault Vest"),1.5,1))</f>
        <v>85</v>
      </c>
      <c r="AG297" s="84">
        <f>INT(INT((INT((2*VLOOKUP($C297,DexData,11,0)+INT(V297/4)+P297)/2)+5)*AA297)*IF($E297="Choice Scarf",1.5,IF($E297="Iron Ball",0.5,1)))</f>
        <v>91</v>
      </c>
      <c r="AH297" s="84" t="str">
        <f>VLOOKUP(VLOOKUP($C297,DexData,3,0),Aliases!D$2:E$19,2,0)&amp;IFERROR("/"&amp;VLOOKUP(VLOOKUP($C297,DexData,4,0),Aliases!D$2:E$19,2,0),"")</f>
        <v>WTR</v>
      </c>
      <c r="AI297" s="7">
        <v>3.0</v>
      </c>
      <c r="AJ297" s="7">
        <f>IF(VLOOKUP(B297,'Set Odds'!A$2:AN$1067,40,0),1,IF(VLOOKUP(B297,'Set Odds'!A$2:AO$1067,41,0),2,0))</f>
        <v>0</v>
      </c>
      <c r="AK297" s="7"/>
      <c r="AL297" s="7" t="str">
        <f t="shared" si="1"/>
        <v/>
      </c>
    </row>
    <row r="298" ht="12.75" customHeight="1">
      <c r="A298" s="86">
        <v>297.0</v>
      </c>
      <c r="B298" s="84" t="s">
        <v>3567</v>
      </c>
      <c r="C298" s="7" t="s">
        <v>3568</v>
      </c>
      <c r="D298" s="7" t="s">
        <v>2571</v>
      </c>
      <c r="E298" s="7" t="s">
        <v>2790</v>
      </c>
      <c r="F298" s="84" t="s">
        <v>2781</v>
      </c>
      <c r="G298" s="84" t="s">
        <v>2607</v>
      </c>
      <c r="H298" s="84" t="s">
        <v>2986</v>
      </c>
      <c r="I298" s="84" t="s">
        <v>3569</v>
      </c>
      <c r="J298" s="7" t="s">
        <v>2728</v>
      </c>
      <c r="K298" s="7">
        <v>31.0</v>
      </c>
      <c r="L298" s="7">
        <v>31.0</v>
      </c>
      <c r="M298" s="7">
        <v>31.0</v>
      </c>
      <c r="N298" s="7">
        <v>10.0</v>
      </c>
      <c r="O298" s="7">
        <v>10.0</v>
      </c>
      <c r="P298" s="7">
        <v>10.0</v>
      </c>
      <c r="Q298" s="7">
        <v>148.0</v>
      </c>
      <c r="R298" s="7">
        <v>148.0</v>
      </c>
      <c r="S298" s="7">
        <v>148.0</v>
      </c>
      <c r="T298" s="7">
        <v>0.0</v>
      </c>
      <c r="U298" s="7">
        <v>0.0</v>
      </c>
      <c r="V298" s="7">
        <v>0.0</v>
      </c>
      <c r="W298" s="7">
        <f>VLOOKUP($D298,NatureChart,2,0)</f>
        <v>1.1</v>
      </c>
      <c r="X298" s="7">
        <f>VLOOKUP($D298,NatureChart,3,0)</f>
        <v>1</v>
      </c>
      <c r="Y298" s="7">
        <f>VLOOKUP($D298,NatureChart,4,0)</f>
        <v>0.9</v>
      </c>
      <c r="Z298" s="7">
        <f>VLOOKUP($D298,NatureChart,5,0)</f>
        <v>1</v>
      </c>
      <c r="AA298" s="84">
        <f>VLOOKUP($D298,NatureChart,6,0)</f>
        <v>1</v>
      </c>
      <c r="AB298" s="84">
        <f>IF($C298="Shedinja",1,(INT((2*VLOOKUP($C298,DexData,5,0)+INT(Q298/4)+K298)/2)+60))</f>
        <v>194</v>
      </c>
      <c r="AC298" s="84">
        <f>INT(INT((INT((2*VLOOKUP($C298,DexData,6,0)+INT(R298/4)+L298)/2)+5)*W298)*IF($E298="Choice Band",1.5,IF(OR($E298="Mawilite",$E298="Medichamite",$E298="Thick Club"),2,1)))</f>
        <v>141</v>
      </c>
      <c r="AD298" s="84">
        <f>INT(INT((INT((2*VLOOKUP($C298,DexData,7,0)+INT(S298/4)+M298)/2)+5)*X298)*IF($E298="Eviolite",1.5,1))</f>
        <v>169</v>
      </c>
      <c r="AE298" s="84">
        <f>INT(INT((INT((2*VLOOKUP($C298,DexData,9,0)+INT(T298/4)+N298)/2)+5)*Y298)*IF($E298="Choice Specs",1.5,1))</f>
        <v>49</v>
      </c>
      <c r="AF298" s="84">
        <f>INT(INT((INT((2*VLOOKUP($C298,DexData,10,0)+INT(U298/4)+O298)/2)+5)*Z298)*IF(OR($E298="Eviolite",$E298="Assault Vest"),1.5,1))</f>
        <v>75</v>
      </c>
      <c r="AG298" s="84">
        <f>INT(INT((INT((2*VLOOKUP($C298,DexData,11,0)+INT(V298/4)+P298)/2)+5)*AA298)*IF($E298="Choice Scarf",1.5,IF($E298="Iron Ball",0.5,1)))</f>
        <v>65</v>
      </c>
      <c r="AH298" s="84" t="str">
        <f>VLOOKUP(VLOOKUP($C298,DexData,3,0),Aliases!D$2:E$19,2,0)&amp;IFERROR("/"&amp;VLOOKUP(VLOOKUP($C298,DexData,4,0),Aliases!D$2:E$19,2,0),"")</f>
        <v>WTR/RCK</v>
      </c>
      <c r="AI298" s="7">
        <v>3.0</v>
      </c>
      <c r="AJ298" s="7">
        <f>IF(VLOOKUP(B298,'Set Odds'!A$2:AN$1067,40,0),1,IF(VLOOKUP(B298,'Set Odds'!A$2:AO$1067,41,0),2,0))</f>
        <v>0</v>
      </c>
      <c r="AK298" s="7"/>
      <c r="AL298" s="7" t="str">
        <f t="shared" si="1"/>
        <v/>
      </c>
    </row>
    <row r="299" ht="12.75" customHeight="1">
      <c r="A299" s="86">
        <v>298.0</v>
      </c>
      <c r="B299" s="84" t="s">
        <v>3570</v>
      </c>
      <c r="C299" s="7" t="s">
        <v>3571</v>
      </c>
      <c r="D299" s="7" t="s">
        <v>2811</v>
      </c>
      <c r="E299" s="7" t="s">
        <v>3077</v>
      </c>
      <c r="F299" s="84" t="s">
        <v>3435</v>
      </c>
      <c r="G299" s="84" t="s">
        <v>2763</v>
      </c>
      <c r="H299" s="84" t="s">
        <v>2581</v>
      </c>
      <c r="I299" s="84" t="s">
        <v>2596</v>
      </c>
      <c r="J299" s="7" t="s">
        <v>3136</v>
      </c>
      <c r="K299" s="7">
        <v>31.0</v>
      </c>
      <c r="L299" s="7">
        <v>31.0</v>
      </c>
      <c r="M299" s="7">
        <v>10.0</v>
      </c>
      <c r="N299" s="7">
        <v>31.0</v>
      </c>
      <c r="O299" s="7">
        <v>10.0</v>
      </c>
      <c r="P299" s="7">
        <v>10.0</v>
      </c>
      <c r="Q299" s="7">
        <v>148.0</v>
      </c>
      <c r="R299" s="7">
        <v>148.0</v>
      </c>
      <c r="S299" s="7">
        <v>0.0</v>
      </c>
      <c r="T299" s="7">
        <v>148.0</v>
      </c>
      <c r="U299" s="7">
        <v>0.0</v>
      </c>
      <c r="V299" s="7">
        <v>0.0</v>
      </c>
      <c r="W299" s="7">
        <f>VLOOKUP($D299,NatureChart,2,0)</f>
        <v>1</v>
      </c>
      <c r="X299" s="7">
        <f>VLOOKUP($D299,NatureChart,3,0)</f>
        <v>1.1</v>
      </c>
      <c r="Y299" s="7">
        <f>VLOOKUP($D299,NatureChart,4,0)</f>
        <v>1</v>
      </c>
      <c r="Z299" s="7">
        <f>VLOOKUP($D299,NatureChart,5,0)</f>
        <v>1</v>
      </c>
      <c r="AA299" s="84">
        <f>VLOOKUP($D299,NatureChart,6,0)</f>
        <v>0.9</v>
      </c>
      <c r="AB299" s="84">
        <f>IF($C299="Shedinja",1,(INT((2*VLOOKUP($C299,DexData,5,0)+INT(Q299/4)+K299)/2)+60))</f>
        <v>159</v>
      </c>
      <c r="AC299" s="84">
        <f>INT(INT((INT((2*VLOOKUP($C299,DexData,6,0)+INT(R299/4)+L299)/2)+5)*W299)*IF($E299="Choice Band",1.5,IF(OR($E299="Mawilite",$E299="Medichamite",$E299="Thick Club"),2,1)))</f>
        <v>122</v>
      </c>
      <c r="AD299" s="84">
        <f>INT(INT((INT((2*VLOOKUP($C299,DexData,7,0)+INT(S299/4)+M299)/2)+5)*X299)*IF($E299="Eviolite",1.5,1))</f>
        <v>73</v>
      </c>
      <c r="AE299" s="84">
        <f>INT(INT((INT((2*VLOOKUP($C299,DexData,9,0)+INT(T299/4)+N299)/2)+5)*Y299)*IF($E299="Choice Specs",1.5,1))</f>
        <v>134</v>
      </c>
      <c r="AF299" s="84">
        <f>INT(INT((INT((2*VLOOKUP($C299,DexData,10,0)+INT(U299/4)+O299)/2)+5)*Z299)*IF(OR($E299="Eviolite",$E299="Assault Vest"),1.5,1))</f>
        <v>95</v>
      </c>
      <c r="AG299" s="84">
        <f>INT(INT((INT((2*VLOOKUP($C299,DexData,11,0)+INT(V299/4)+P299)/2)+5)*AA299)*IF($E299="Choice Scarf",1.5,IF($E299="Iron Ball",0.5,1)))</f>
        <v>103</v>
      </c>
      <c r="AH299" s="84" t="str">
        <f>VLOOKUP(VLOOKUP($C299,DexData,3,0),Aliases!D$2:E$19,2,0)&amp;IFERROR("/"&amp;VLOOKUP(VLOOKUP($C299,DexData,4,0),Aliases!D$2:E$19,2,0),"")</f>
        <v>ELC</v>
      </c>
      <c r="AI299" s="7">
        <v>3.0</v>
      </c>
      <c r="AJ299" s="7">
        <f>IF(VLOOKUP(B299,'Set Odds'!A$2:AN$1067,40,0),1,IF(VLOOKUP(B299,'Set Odds'!A$2:AO$1067,41,0),2,0))</f>
        <v>0</v>
      </c>
      <c r="AK299" s="7"/>
      <c r="AL299" s="7" t="str">
        <f t="shared" si="1"/>
        <v/>
      </c>
    </row>
    <row r="300" ht="12.75" customHeight="1">
      <c r="A300" s="86">
        <v>299.0</v>
      </c>
      <c r="B300" s="84" t="s">
        <v>3572</v>
      </c>
      <c r="C300" s="7" t="s">
        <v>3573</v>
      </c>
      <c r="D300" s="7" t="s">
        <v>2811</v>
      </c>
      <c r="E300" s="7" t="s">
        <v>2731</v>
      </c>
      <c r="F300" s="84" t="s">
        <v>2660</v>
      </c>
      <c r="G300" s="84" t="s">
        <v>2582</v>
      </c>
      <c r="H300" s="84" t="s">
        <v>2581</v>
      </c>
      <c r="I300" s="84" t="s">
        <v>2659</v>
      </c>
      <c r="J300" s="7" t="s">
        <v>3162</v>
      </c>
      <c r="K300" s="7">
        <v>31.0</v>
      </c>
      <c r="L300" s="7">
        <v>31.0</v>
      </c>
      <c r="M300" s="7">
        <v>10.0</v>
      </c>
      <c r="N300" s="7">
        <v>31.0</v>
      </c>
      <c r="O300" s="7">
        <v>10.0</v>
      </c>
      <c r="P300" s="7">
        <v>10.0</v>
      </c>
      <c r="Q300" s="7">
        <v>148.0</v>
      </c>
      <c r="R300" s="7">
        <v>148.0</v>
      </c>
      <c r="S300" s="7">
        <v>0.0</v>
      </c>
      <c r="T300" s="7">
        <v>148.0</v>
      </c>
      <c r="U300" s="7">
        <v>0.0</v>
      </c>
      <c r="V300" s="7">
        <v>0.0</v>
      </c>
      <c r="W300" s="7">
        <f>VLOOKUP($D300,NatureChart,2,0)</f>
        <v>1</v>
      </c>
      <c r="X300" s="7">
        <f>VLOOKUP($D300,NatureChart,3,0)</f>
        <v>1.1</v>
      </c>
      <c r="Y300" s="7">
        <f>VLOOKUP($D300,NatureChart,4,0)</f>
        <v>1</v>
      </c>
      <c r="Z300" s="7">
        <f>VLOOKUP($D300,NatureChart,5,0)</f>
        <v>1</v>
      </c>
      <c r="AA300" s="84">
        <f>VLOOKUP($D300,NatureChart,6,0)</f>
        <v>0.9</v>
      </c>
      <c r="AB300" s="84">
        <f>IF($C300="Shedinja",1,(INT((2*VLOOKUP($C300,DexData,5,0)+INT(Q300/4)+K300)/2)+60))</f>
        <v>159</v>
      </c>
      <c r="AC300" s="84">
        <f>INT(INT((INT((2*VLOOKUP($C300,DexData,6,0)+INT(R300/4)+L300)/2)+5)*W300)*IF($E300="Choice Band",1.5,IF(OR($E300="Mawilite",$E300="Medichamite",$E300="Thick Club"),2,1)))</f>
        <v>134</v>
      </c>
      <c r="AD300" s="84">
        <f>INT(INT((INT((2*VLOOKUP($C300,DexData,7,0)+INT(S300/4)+M300)/2)+5)*X300)*IF($E300="Eviolite",1.5,1))</f>
        <v>73</v>
      </c>
      <c r="AE300" s="84">
        <f>INT(INT((INT((2*VLOOKUP($C300,DexData,9,0)+INT(T300/4)+N300)/2)+5)*Y300)*IF($E300="Choice Specs",1.5,1))</f>
        <v>139</v>
      </c>
      <c r="AF300" s="84">
        <f>INT(INT((INT((2*VLOOKUP($C300,DexData,10,0)+INT(U300/4)+O300)/2)+5)*Z300)*IF(OR($E300="Eviolite",$E300="Assault Vest"),1.5,1))</f>
        <v>95</v>
      </c>
      <c r="AG300" s="84">
        <f>INT(INT((INT((2*VLOOKUP($C300,DexData,11,0)+INT(V300/4)+P300)/2)+5)*AA300)*IF($E300="Choice Scarf",1.5,IF($E300="Iron Ball",0.5,1)))</f>
        <v>92</v>
      </c>
      <c r="AH300" s="84" t="str">
        <f>VLOOKUP(VLOOKUP($C300,DexData,3,0),Aliases!D$2:E$19,2,0)&amp;IFERROR("/"&amp;VLOOKUP(VLOOKUP($C300,DexData,4,0),Aliases!D$2:E$19,2,0),"")</f>
        <v>FIR</v>
      </c>
      <c r="AI300" s="7">
        <v>3.0</v>
      </c>
      <c r="AJ300" s="7">
        <f>IF(VLOOKUP(B300,'Set Odds'!A$2:AN$1067,40,0),1,IF(VLOOKUP(B300,'Set Odds'!A$2:AO$1067,41,0),2,0))</f>
        <v>0</v>
      </c>
      <c r="AK300" s="7"/>
      <c r="AL300" s="7" t="str">
        <f t="shared" si="1"/>
        <v/>
      </c>
    </row>
    <row r="301" ht="12.75" customHeight="1">
      <c r="A301" s="86">
        <v>300.0</v>
      </c>
      <c r="B301" s="84" t="s">
        <v>3574</v>
      </c>
      <c r="C301" s="7" t="s">
        <v>3575</v>
      </c>
      <c r="D301" s="7" t="s">
        <v>2611</v>
      </c>
      <c r="E301" s="7" t="s">
        <v>2828</v>
      </c>
      <c r="F301" s="84" t="s">
        <v>2643</v>
      </c>
      <c r="G301" s="84" t="s">
        <v>2757</v>
      </c>
      <c r="H301" s="84" t="s">
        <v>3118</v>
      </c>
      <c r="I301" s="84" t="s">
        <v>2781</v>
      </c>
      <c r="J301" s="7" t="s">
        <v>3028</v>
      </c>
      <c r="K301" s="7">
        <v>31.0</v>
      </c>
      <c r="L301" s="7">
        <v>31.0</v>
      </c>
      <c r="M301" s="7">
        <v>10.0</v>
      </c>
      <c r="N301" s="7">
        <v>31.0</v>
      </c>
      <c r="O301" s="7">
        <v>10.0</v>
      </c>
      <c r="P301" s="7">
        <v>10.0</v>
      </c>
      <c r="Q301" s="7">
        <v>148.0</v>
      </c>
      <c r="R301" s="7">
        <v>148.0</v>
      </c>
      <c r="S301" s="7">
        <v>0.0</v>
      </c>
      <c r="T301" s="7">
        <v>148.0</v>
      </c>
      <c r="U301" s="7">
        <v>0.0</v>
      </c>
      <c r="V301" s="7">
        <v>0.0</v>
      </c>
      <c r="W301" s="7">
        <f>VLOOKUP($D301,NatureChart,2,0)</f>
        <v>1</v>
      </c>
      <c r="X301" s="7">
        <f>VLOOKUP($D301,NatureChart,3,0)</f>
        <v>1</v>
      </c>
      <c r="Y301" s="7">
        <f>VLOOKUP($D301,NatureChart,4,0)</f>
        <v>1</v>
      </c>
      <c r="Z301" s="7">
        <f>VLOOKUP($D301,NatureChart,5,0)</f>
        <v>1</v>
      </c>
      <c r="AA301" s="84">
        <f>VLOOKUP($D301,NatureChart,6,0)</f>
        <v>1</v>
      </c>
      <c r="AB301" s="84">
        <f>IF($C301="Shedinja",1,(INT((2*VLOOKUP($C301,DexData,5,0)+INT(Q301/4)+K301)/2)+60))</f>
        <v>164</v>
      </c>
      <c r="AC301" s="84">
        <f>INT(INT((INT((2*VLOOKUP($C301,DexData,6,0)+INT(R301/4)+L301)/2)+5)*W301)*IF($E301="Choice Band",1.5,IF(OR($E301="Mawilite",$E301="Medichamite",$E301="Thick Club"),2,1)))</f>
        <v>99</v>
      </c>
      <c r="AD301" s="84">
        <f>INT(INT((INT((2*VLOOKUP($C301,DexData,7,0)+INT(S301/4)+M301)/2)+5)*X301)*IF($E301="Eviolite",1.5,1))</f>
        <v>135</v>
      </c>
      <c r="AE301" s="84">
        <f>INT(INT((INT((2*VLOOKUP($C301,DexData,9,0)+INT(T301/4)+N301)/2)+5)*Y301)*IF($E301="Choice Specs",1.5,1))</f>
        <v>154</v>
      </c>
      <c r="AF301" s="84">
        <f>INT(INT((INT((2*VLOOKUP($C301,DexData,10,0)+INT(U301/4)+O301)/2)+5)*Z301)*IF(OR($E301="Eviolite",$E301="Assault Vest"),1.5,1))</f>
        <v>80</v>
      </c>
      <c r="AG301" s="84">
        <f>INT(INT((INT((2*VLOOKUP($C301,DexData,11,0)+INT(V301/4)+P301)/2)+5)*AA301)*IF($E301="Choice Scarf",1.5,IF($E301="Iron Ball",0.5,1)))</f>
        <v>65</v>
      </c>
      <c r="AH301" s="84" t="str">
        <f>VLOOKUP(VLOOKUP($C301,DexData,3,0),Aliases!D$2:E$19,2,0)&amp;IFERROR("/"&amp;VLOOKUP(VLOOKUP($C301,DexData,4,0),Aliases!D$2:E$19,2,0),"")</f>
        <v>RCK/WTR</v>
      </c>
      <c r="AI301" s="7">
        <v>3.0</v>
      </c>
      <c r="AJ301" s="7">
        <f>IF(VLOOKUP(B301,'Set Odds'!A$2:AN$1067,40,0),1,IF(VLOOKUP(B301,'Set Odds'!A$2:AO$1067,41,0),2,0))</f>
        <v>0</v>
      </c>
      <c r="AK301" s="7"/>
      <c r="AL301" s="7" t="str">
        <f t="shared" si="1"/>
        <v/>
      </c>
    </row>
    <row r="302" ht="12.75" customHeight="1">
      <c r="A302" s="86">
        <v>301.0</v>
      </c>
      <c r="B302" s="84" t="s">
        <v>3576</v>
      </c>
      <c r="C302" s="7" t="s">
        <v>3577</v>
      </c>
      <c r="D302" s="7" t="s">
        <v>2571</v>
      </c>
      <c r="E302" s="7" t="s">
        <v>2579</v>
      </c>
      <c r="F302" s="84" t="s">
        <v>2606</v>
      </c>
      <c r="G302" s="84" t="s">
        <v>2626</v>
      </c>
      <c r="H302" s="84" t="s">
        <v>3578</v>
      </c>
      <c r="I302" s="84" t="s">
        <v>2962</v>
      </c>
      <c r="J302" s="7" t="s">
        <v>3028</v>
      </c>
      <c r="K302" s="7">
        <v>31.0</v>
      </c>
      <c r="L302" s="7">
        <v>31.0</v>
      </c>
      <c r="M302" s="7">
        <v>10.0</v>
      </c>
      <c r="N302" s="7">
        <v>10.0</v>
      </c>
      <c r="O302" s="7">
        <v>10.0</v>
      </c>
      <c r="P302" s="7">
        <v>31.0</v>
      </c>
      <c r="Q302" s="7">
        <v>148.0</v>
      </c>
      <c r="R302" s="7">
        <v>148.0</v>
      </c>
      <c r="S302" s="7">
        <v>0.0</v>
      </c>
      <c r="T302" s="7">
        <v>0.0</v>
      </c>
      <c r="U302" s="7">
        <v>0.0</v>
      </c>
      <c r="V302" s="7">
        <v>148.0</v>
      </c>
      <c r="W302" s="7">
        <f>VLOOKUP($D302,NatureChart,2,0)</f>
        <v>1.1</v>
      </c>
      <c r="X302" s="7">
        <f>VLOOKUP($D302,NatureChart,3,0)</f>
        <v>1</v>
      </c>
      <c r="Y302" s="7">
        <f>VLOOKUP($D302,NatureChart,4,0)</f>
        <v>0.9</v>
      </c>
      <c r="Z302" s="7">
        <f>VLOOKUP($D302,NatureChart,5,0)</f>
        <v>1</v>
      </c>
      <c r="AA302" s="84">
        <f>VLOOKUP($D302,NatureChart,6,0)</f>
        <v>1</v>
      </c>
      <c r="AB302" s="84">
        <f>IF($C302="Shedinja",1,(INT((2*VLOOKUP($C302,DexData,5,0)+INT(Q302/4)+K302)/2)+60))</f>
        <v>154</v>
      </c>
      <c r="AC302" s="84">
        <f>INT(INT((INT((2*VLOOKUP($C302,DexData,6,0)+INT(R302/4)+L302)/2)+5)*W302)*IF($E302="Choice Band",1.5,IF(OR($E302="Mawilite",$E302="Medichamite",$E302="Thick Club"),2,1)))</f>
        <v>169</v>
      </c>
      <c r="AD302" s="84">
        <f>INT(INT((INT((2*VLOOKUP($C302,DexData,7,0)+INT(S302/4)+M302)/2)+5)*X302)*IF($E302="Eviolite",1.5,1))</f>
        <v>115</v>
      </c>
      <c r="AE302" s="84">
        <f>INT(INT((INT((2*VLOOKUP($C302,DexData,9,0)+INT(T302/4)+N302)/2)+5)*Y302)*IF($E302="Choice Specs",1.5,1))</f>
        <v>67</v>
      </c>
      <c r="AF302" s="84">
        <f>INT(INT((INT((2*VLOOKUP($C302,DexData,10,0)+INT(U302/4)+O302)/2)+5)*Z302)*IF(OR($E302="Eviolite",$E302="Assault Vest"),1.5,1))</f>
        <v>80</v>
      </c>
      <c r="AG302" s="84">
        <f>INT(INT((INT((2*VLOOKUP($C302,DexData,11,0)+INT(V302/4)+P302)/2)+5)*AA302)*IF($E302="Choice Scarf",1.5,IF($E302="Iron Ball",0.5,1)))</f>
        <v>119</v>
      </c>
      <c r="AH302" s="84" t="str">
        <f>VLOOKUP(VLOOKUP($C302,DexData,3,0),Aliases!D$2:E$19,2,0)&amp;IFERROR("/"&amp;VLOOKUP(VLOOKUP($C302,DexData,4,0),Aliases!D$2:E$19,2,0),"")</f>
        <v>RCK/WTR</v>
      </c>
      <c r="AI302" s="7">
        <v>3.0</v>
      </c>
      <c r="AJ302" s="7">
        <f>IF(VLOOKUP(B302,'Set Odds'!A$2:AN$1067,40,0),1,IF(VLOOKUP(B302,'Set Odds'!A$2:AO$1067,41,0),2,0))</f>
        <v>0</v>
      </c>
      <c r="AK302" s="7"/>
      <c r="AL302" s="7" t="str">
        <f t="shared" si="1"/>
        <v/>
      </c>
    </row>
    <row r="303" ht="12.75" customHeight="1">
      <c r="A303" s="86">
        <v>302.0</v>
      </c>
      <c r="B303" s="84" t="s">
        <v>3579</v>
      </c>
      <c r="C303" s="7" t="s">
        <v>3580</v>
      </c>
      <c r="D303" s="7" t="s">
        <v>2571</v>
      </c>
      <c r="E303" s="7" t="s">
        <v>2790</v>
      </c>
      <c r="F303" s="84" t="s">
        <v>3126</v>
      </c>
      <c r="G303" s="84" t="s">
        <v>2614</v>
      </c>
      <c r="H303" s="84" t="s">
        <v>2596</v>
      </c>
      <c r="I303" s="84" t="s">
        <v>2532</v>
      </c>
      <c r="J303" s="7" t="s">
        <v>3412</v>
      </c>
      <c r="K303" s="7">
        <v>31.0</v>
      </c>
      <c r="L303" s="7">
        <v>31.0</v>
      </c>
      <c r="M303" s="7">
        <v>10.0</v>
      </c>
      <c r="N303" s="7">
        <v>10.0</v>
      </c>
      <c r="O303" s="7">
        <v>10.0</v>
      </c>
      <c r="P303" s="7">
        <v>31.0</v>
      </c>
      <c r="Q303" s="7">
        <v>148.0</v>
      </c>
      <c r="R303" s="7">
        <v>148.0</v>
      </c>
      <c r="S303" s="7">
        <v>0.0</v>
      </c>
      <c r="T303" s="7">
        <v>0.0</v>
      </c>
      <c r="U303" s="7">
        <v>0.0</v>
      </c>
      <c r="V303" s="7">
        <v>148.0</v>
      </c>
      <c r="W303" s="7">
        <f>VLOOKUP($D303,NatureChart,2,0)</f>
        <v>1.1</v>
      </c>
      <c r="X303" s="7">
        <f>VLOOKUP($D303,NatureChart,3,0)</f>
        <v>1</v>
      </c>
      <c r="Y303" s="7">
        <f>VLOOKUP($D303,NatureChart,4,0)</f>
        <v>0.9</v>
      </c>
      <c r="Z303" s="7">
        <f>VLOOKUP($D303,NatureChart,5,0)</f>
        <v>1</v>
      </c>
      <c r="AA303" s="84">
        <f>VLOOKUP($D303,NatureChart,6,0)</f>
        <v>1</v>
      </c>
      <c r="AB303" s="84">
        <f>IF($C303="Shedinja",1,(INT((2*VLOOKUP($C303,DexData,5,0)+INT(Q303/4)+K303)/2)+60))</f>
        <v>164</v>
      </c>
      <c r="AC303" s="84">
        <f>INT(INT((INT((2*VLOOKUP($C303,DexData,6,0)+INT(R303/4)+L303)/2)+5)*W303)*IF($E303="Choice Band",1.5,IF(OR($E303="Mawilite",$E303="Medichamite",$E303="Thick Club"),2,1)))</f>
        <v>163</v>
      </c>
      <c r="AD303" s="84">
        <f>INT(INT((INT((2*VLOOKUP($C303,DexData,7,0)+INT(S303/4)+M303)/2)+5)*X303)*IF($E303="Eviolite",1.5,1))</f>
        <v>90</v>
      </c>
      <c r="AE303" s="84">
        <f>INT(INT((INT((2*VLOOKUP($C303,DexData,9,0)+INT(T303/4)+N303)/2)+5)*Y303)*IF($E303="Choice Specs",1.5,1))</f>
        <v>58</v>
      </c>
      <c r="AF303" s="84">
        <f>INT(INT((INT((2*VLOOKUP($C303,DexData,10,0)+INT(U303/4)+O303)/2)+5)*Z303)*IF(OR($E303="Eviolite",$E303="Assault Vest"),1.5,1))</f>
        <v>90</v>
      </c>
      <c r="AG303" s="84">
        <f>INT(INT((INT((2*VLOOKUP($C303,DexData,11,0)+INT(V303/4)+P303)/2)+5)*AA303)*IF($E303="Choice Scarf",1.5,IF($E303="Iron Ball",0.5,1)))</f>
        <v>144</v>
      </c>
      <c r="AH303" s="84" t="str">
        <f>VLOOKUP(VLOOKUP($C303,DexData,3,0),Aliases!D$2:E$19,2,0)&amp;IFERROR("/"&amp;VLOOKUP(VLOOKUP($C303,DexData,4,0),Aliases!D$2:E$19,2,0),"")</f>
        <v>BUG/FLY</v>
      </c>
      <c r="AI303" s="7">
        <v>3.0</v>
      </c>
      <c r="AJ303" s="7">
        <f>IF(VLOOKUP(B303,'Set Odds'!A$2:AN$1067,40,0),1,IF(VLOOKUP(B303,'Set Odds'!A$2:AO$1067,41,0),2,0))</f>
        <v>0</v>
      </c>
      <c r="AK303" s="7"/>
      <c r="AL303" s="7" t="str">
        <f t="shared" si="1"/>
        <v/>
      </c>
    </row>
    <row r="304" ht="12.75" customHeight="1">
      <c r="A304" s="86">
        <v>303.0</v>
      </c>
      <c r="B304" s="84" t="s">
        <v>3581</v>
      </c>
      <c r="C304" s="7" t="s">
        <v>3582</v>
      </c>
      <c r="D304" s="7" t="s">
        <v>2571</v>
      </c>
      <c r="E304" s="7" t="s">
        <v>2515</v>
      </c>
      <c r="F304" s="84" t="s">
        <v>3583</v>
      </c>
      <c r="G304" s="84" t="s">
        <v>2757</v>
      </c>
      <c r="H304" s="84" t="s">
        <v>3584</v>
      </c>
      <c r="I304" s="84" t="s">
        <v>3566</v>
      </c>
      <c r="J304" s="7" t="s">
        <v>3131</v>
      </c>
      <c r="K304" s="7">
        <v>31.0</v>
      </c>
      <c r="L304" s="7">
        <v>31.0</v>
      </c>
      <c r="M304" s="7">
        <v>10.0</v>
      </c>
      <c r="N304" s="7">
        <v>10.0</v>
      </c>
      <c r="O304" s="7">
        <v>10.0</v>
      </c>
      <c r="P304" s="7">
        <v>31.0</v>
      </c>
      <c r="Q304" s="7">
        <v>148.0</v>
      </c>
      <c r="R304" s="7">
        <v>148.0</v>
      </c>
      <c r="S304" s="7">
        <v>0.0</v>
      </c>
      <c r="T304" s="7">
        <v>0.0</v>
      </c>
      <c r="U304" s="7">
        <v>0.0</v>
      </c>
      <c r="V304" s="7">
        <v>148.0</v>
      </c>
      <c r="W304" s="7">
        <f>VLOOKUP($D304,NatureChart,2,0)</f>
        <v>1.1</v>
      </c>
      <c r="X304" s="7">
        <f>VLOOKUP($D304,NatureChart,3,0)</f>
        <v>1</v>
      </c>
      <c r="Y304" s="7">
        <f>VLOOKUP($D304,NatureChart,4,0)</f>
        <v>0.9</v>
      </c>
      <c r="Z304" s="7">
        <f>VLOOKUP($D304,NatureChart,5,0)</f>
        <v>1</v>
      </c>
      <c r="AA304" s="84">
        <f>VLOOKUP($D304,NatureChart,6,0)</f>
        <v>1</v>
      </c>
      <c r="AB304" s="84">
        <f>IF($C304="Shedinja",1,(INT((2*VLOOKUP($C304,DexData,5,0)+INT(Q304/4)+K304)/2)+60))</f>
        <v>144</v>
      </c>
      <c r="AC304" s="84">
        <f>INT(INT((INT((2*VLOOKUP($C304,DexData,6,0)+INT(R304/4)+L304)/2)+5)*W304)*IF($E304="Choice Band",1.5,IF(OR($E304="Mawilite",$E304="Medichamite",$E304="Thick Club"),2,1)))</f>
        <v>147</v>
      </c>
      <c r="AD304" s="84">
        <f>INT(INT((INT((2*VLOOKUP($C304,DexData,7,0)+INT(S304/4)+M304)/2)+5)*X304)*IF($E304="Eviolite",1.5,1))</f>
        <v>190</v>
      </c>
      <c r="AE304" s="84">
        <f>INT(INT((INT((2*VLOOKUP($C304,DexData,9,0)+INT(T304/4)+N304)/2)+5)*Y304)*IF($E304="Choice Specs",1.5,1))</f>
        <v>85</v>
      </c>
      <c r="AF304" s="84">
        <f>INT(INT((INT((2*VLOOKUP($C304,DexData,10,0)+INT(U304/4)+O304)/2)+5)*Z304)*IF(OR($E304="Eviolite",$E304="Assault Vest"),1.5,1))</f>
        <v>55</v>
      </c>
      <c r="AG304" s="84">
        <f>INT(INT((INT((2*VLOOKUP($C304,DexData,11,0)+INT(V304/4)+P304)/2)+5)*AA304)*IF($E304="Choice Scarf",1.5,IF($E304="Iron Ball",0.5,1)))</f>
        <v>109</v>
      </c>
      <c r="AH304" s="84" t="str">
        <f>VLOOKUP(VLOOKUP($C304,DexData,3,0),Aliases!D$2:E$19,2,0)&amp;IFERROR("/"&amp;VLOOKUP(VLOOKUP($C304,DexData,4,0),Aliases!D$2:E$19,2,0),"")</f>
        <v>WTR/ICE</v>
      </c>
      <c r="AI304" s="7">
        <v>3.0</v>
      </c>
      <c r="AJ304" s="7">
        <f>IF(VLOOKUP(B304,'Set Odds'!A$2:AN$1067,40,0),1,IF(VLOOKUP(B304,'Set Odds'!A$2:AO$1067,41,0),2,0))</f>
        <v>0</v>
      </c>
      <c r="AK304" s="7"/>
      <c r="AL304" s="7" t="str">
        <f t="shared" si="1"/>
        <v/>
      </c>
    </row>
    <row r="305" ht="12.75" customHeight="1">
      <c r="A305" s="86">
        <v>304.0</v>
      </c>
      <c r="B305" s="84" t="s">
        <v>3585</v>
      </c>
      <c r="C305" s="7" t="s">
        <v>3586</v>
      </c>
      <c r="D305" s="7" t="s">
        <v>2629</v>
      </c>
      <c r="E305" s="7" t="s">
        <v>3557</v>
      </c>
      <c r="F305" s="84" t="s">
        <v>3587</v>
      </c>
      <c r="G305" s="84" t="s">
        <v>2706</v>
      </c>
      <c r="H305" s="84" t="s">
        <v>3454</v>
      </c>
      <c r="I305" s="84" t="s">
        <v>3225</v>
      </c>
      <c r="J305" s="7" t="s">
        <v>2576</v>
      </c>
      <c r="K305" s="7">
        <v>31.0</v>
      </c>
      <c r="L305" s="7">
        <v>31.0</v>
      </c>
      <c r="M305" s="7">
        <v>15.0</v>
      </c>
      <c r="N305" s="7">
        <v>15.0</v>
      </c>
      <c r="O305" s="7">
        <v>15.0</v>
      </c>
      <c r="P305" s="7">
        <v>31.0</v>
      </c>
      <c r="Q305" s="7">
        <v>148.0</v>
      </c>
      <c r="R305" s="7">
        <v>148.0</v>
      </c>
      <c r="S305" s="7">
        <v>0.0</v>
      </c>
      <c r="T305" s="7">
        <v>0.0</v>
      </c>
      <c r="U305" s="7">
        <v>0.0</v>
      </c>
      <c r="V305" s="7">
        <v>148.0</v>
      </c>
      <c r="W305" s="7">
        <f>VLOOKUP($D305,NatureChart,2,0)</f>
        <v>1.1</v>
      </c>
      <c r="X305" s="7">
        <f>VLOOKUP($D305,NatureChart,3,0)</f>
        <v>1</v>
      </c>
      <c r="Y305" s="7">
        <f>VLOOKUP($D305,NatureChart,4,0)</f>
        <v>1</v>
      </c>
      <c r="Z305" s="7">
        <f>VLOOKUP($D305,NatureChart,5,0)</f>
        <v>1</v>
      </c>
      <c r="AA305" s="84">
        <f>VLOOKUP($D305,NatureChart,6,0)</f>
        <v>0.9</v>
      </c>
      <c r="AB305" s="84">
        <f>IF($C305="Shedinja",1,(INT((2*VLOOKUP($C305,DexData,5,0)+INT(Q305/4)+K305)/2)+60))</f>
        <v>174</v>
      </c>
      <c r="AC305" s="84">
        <f>INT(INT((INT((2*VLOOKUP($C305,DexData,6,0)+INT(R305/4)+L305)/2)+5)*W305)*IF($E305="Choice Band",1.5,IF(OR($E305="Mawilite",$E305="Medichamite",$E305="Thick Club"),2,1)))</f>
        <v>133</v>
      </c>
      <c r="AD305" s="84">
        <f>INT(INT((INT((2*VLOOKUP($C305,DexData,7,0)+INT(S305/4)+M305)/2)+5)*X305)*IF($E305="Eviolite",1.5,1))</f>
        <v>95</v>
      </c>
      <c r="AE305" s="84">
        <f>INT(INT((INT((2*VLOOKUP($C305,DexData,9,0)+INT(T305/4)+N305)/2)+5)*Y305)*IF($E305="Choice Specs",1.5,1))</f>
        <v>112</v>
      </c>
      <c r="AF305" s="84">
        <f>INT(INT((INT((2*VLOOKUP($C305,DexData,10,0)+INT(U305/4)+O305)/2)+5)*Z305)*IF(OR($E305="Eviolite",$E305="Assault Vest"),1.5,1))</f>
        <v>112</v>
      </c>
      <c r="AG305" s="84">
        <f>INT(INT((INT((2*VLOOKUP($C305,DexData,11,0)+INT(V305/4)+P305)/2)+5)*AA305)*IF($E305="Choice Scarf",1.5,IF($E305="Iron Ball",0.5,1)))</f>
        <v>107</v>
      </c>
      <c r="AH305" s="84" t="str">
        <f>VLOOKUP(VLOOKUP($C305,DexData,3,0),Aliases!D$2:E$19,2,0)&amp;IFERROR("/"&amp;VLOOKUP(VLOOKUP($C305,DexData,4,0),Aliases!D$2:E$19,2,0),"")</f>
        <v>GRS/PSN</v>
      </c>
      <c r="AI305" s="7">
        <v>3.0</v>
      </c>
      <c r="AJ305" s="7">
        <f>IF(VLOOKUP(B305,'Set Odds'!A$2:AN$1067,40,0),1,IF(VLOOKUP(B305,'Set Odds'!A$2:AO$1067,41,0),2,0))</f>
        <v>0</v>
      </c>
      <c r="AK305" s="7"/>
      <c r="AL305" s="7" t="str">
        <f t="shared" si="1"/>
        <v/>
      </c>
    </row>
    <row r="306" ht="12.75" customHeight="1">
      <c r="A306" s="86">
        <v>305.0</v>
      </c>
      <c r="B306" s="84" t="s">
        <v>3588</v>
      </c>
      <c r="C306" s="7" t="s">
        <v>3589</v>
      </c>
      <c r="D306" s="7" t="s">
        <v>2656</v>
      </c>
      <c r="E306" s="7" t="s">
        <v>3080</v>
      </c>
      <c r="F306" s="84" t="s">
        <v>2660</v>
      </c>
      <c r="G306" s="84" t="s">
        <v>2700</v>
      </c>
      <c r="H306" s="84" t="s">
        <v>3590</v>
      </c>
      <c r="I306" s="84" t="s">
        <v>2781</v>
      </c>
      <c r="J306" s="7" t="s">
        <v>2584</v>
      </c>
      <c r="K306" s="7">
        <v>31.0</v>
      </c>
      <c r="L306" s="7">
        <v>15.0</v>
      </c>
      <c r="M306" s="7">
        <v>15.0</v>
      </c>
      <c r="N306" s="7">
        <v>31.0</v>
      </c>
      <c r="O306" s="7">
        <v>15.0</v>
      </c>
      <c r="P306" s="7">
        <v>31.0</v>
      </c>
      <c r="Q306" s="7">
        <v>148.0</v>
      </c>
      <c r="R306" s="7">
        <v>0.0</v>
      </c>
      <c r="S306" s="7">
        <v>0.0</v>
      </c>
      <c r="T306" s="7">
        <v>148.0</v>
      </c>
      <c r="U306" s="7">
        <v>0.0</v>
      </c>
      <c r="V306" s="7">
        <v>148.0</v>
      </c>
      <c r="W306" s="7">
        <f>VLOOKUP($D306,NatureChart,2,0)</f>
        <v>0.9</v>
      </c>
      <c r="X306" s="7">
        <f>VLOOKUP($D306,NatureChart,3,0)</f>
        <v>1</v>
      </c>
      <c r="Y306" s="7">
        <f>VLOOKUP($D306,NatureChart,4,0)</f>
        <v>1.1</v>
      </c>
      <c r="Z306" s="7">
        <f>VLOOKUP($D306,NatureChart,5,0)</f>
        <v>1</v>
      </c>
      <c r="AA306" s="84">
        <f>VLOOKUP($D306,NatureChart,6,0)</f>
        <v>1</v>
      </c>
      <c r="AB306" s="84">
        <f>IF($C306="Shedinja",1,(INT((2*VLOOKUP($C306,DexData,5,0)+INT(Q306/4)+K306)/2)+60))</f>
        <v>172</v>
      </c>
      <c r="AC306" s="84">
        <f>INT(INT((INT((2*VLOOKUP($C306,DexData,6,0)+INT(R306/4)+L306)/2)+5)*W306)*IF($E306="Choice Band",1.5,IF(OR($E306="Mawilite",$E306="Medichamite",$E306="Thick Club"),2,1)))</f>
        <v>86</v>
      </c>
      <c r="AD306" s="84">
        <f>INT(INT((INT((2*VLOOKUP($C306,DexData,7,0)+INT(S306/4)+M306)/2)+5)*X306)*IF($E306="Eviolite",1.5,1))</f>
        <v>90</v>
      </c>
      <c r="AE306" s="84">
        <f>INT(INT((INT((2*VLOOKUP($C306,DexData,9,0)+INT(T306/4)+N306)/2)+5)*Y306)*IF($E306="Choice Specs",1.5,1))</f>
        <v>162</v>
      </c>
      <c r="AF306" s="84">
        <f>INT(INT((INT((2*VLOOKUP($C306,DexData,10,0)+INT(U306/4)+O306)/2)+5)*Z306)*IF(OR($E306="Eviolite",$E306="Assault Vest"),1.5,1))</f>
        <v>97</v>
      </c>
      <c r="AG306" s="84">
        <f>INT(INT((INT((2*VLOOKUP($C306,DexData,11,0)+INT(V306/4)+P306)/2)+5)*AA306)*IF($E306="Choice Scarf",1.5,IF($E306="Iron Ball",0.5,1)))</f>
        <v>139</v>
      </c>
      <c r="AH306" s="84" t="str">
        <f>VLOOKUP(VLOOKUP($C306,DexData,3,0),Aliases!D$2:E$19,2,0)&amp;IFERROR("/"&amp;VLOOKUP(VLOOKUP($C306,DexData,4,0),Aliases!D$2:E$19,2,0),"")</f>
        <v>FIR/FLY</v>
      </c>
      <c r="AI306" s="7">
        <v>3.0</v>
      </c>
      <c r="AJ306" s="7">
        <f>IF(VLOOKUP(B306,'Set Odds'!A$2:AN$1067,40,0),1,IF(VLOOKUP(B306,'Set Odds'!A$2:AO$1067,41,0),2,0))</f>
        <v>0</v>
      </c>
      <c r="AK306" s="7"/>
      <c r="AL306" s="7" t="str">
        <f t="shared" si="1"/>
        <v/>
      </c>
    </row>
    <row r="307" ht="12.75" customHeight="1">
      <c r="A307" s="86">
        <v>306.0</v>
      </c>
      <c r="B307" s="84" t="s">
        <v>3591</v>
      </c>
      <c r="C307" s="7" t="s">
        <v>3592</v>
      </c>
      <c r="D307" s="7" t="s">
        <v>2629</v>
      </c>
      <c r="E307" s="7" t="s">
        <v>3593</v>
      </c>
      <c r="F307" s="84" t="s">
        <v>2532</v>
      </c>
      <c r="G307" s="84" t="s">
        <v>3594</v>
      </c>
      <c r="H307" s="84" t="s">
        <v>3031</v>
      </c>
      <c r="I307" s="84" t="s">
        <v>2798</v>
      </c>
      <c r="J307" s="7" t="s">
        <v>2590</v>
      </c>
      <c r="K307" s="7">
        <v>31.0</v>
      </c>
      <c r="L307" s="7">
        <v>31.0</v>
      </c>
      <c r="M307" s="7">
        <v>31.0</v>
      </c>
      <c r="N307" s="7">
        <v>15.0</v>
      </c>
      <c r="O307" s="7">
        <v>15.0</v>
      </c>
      <c r="P307" s="7">
        <v>15.0</v>
      </c>
      <c r="Q307" s="7">
        <v>148.0</v>
      </c>
      <c r="R307" s="7">
        <v>148.0</v>
      </c>
      <c r="S307" s="7">
        <v>148.0</v>
      </c>
      <c r="T307" s="7">
        <v>0.0</v>
      </c>
      <c r="U307" s="7">
        <v>0.0</v>
      </c>
      <c r="V307" s="7">
        <v>0.0</v>
      </c>
      <c r="W307" s="7">
        <f>VLOOKUP($D307,NatureChart,2,0)</f>
        <v>1.1</v>
      </c>
      <c r="X307" s="7">
        <f>VLOOKUP($D307,NatureChart,3,0)</f>
        <v>1</v>
      </c>
      <c r="Y307" s="7">
        <f>VLOOKUP($D307,NatureChart,4,0)</f>
        <v>1</v>
      </c>
      <c r="Z307" s="7">
        <f>VLOOKUP($D307,NatureChart,5,0)</f>
        <v>1</v>
      </c>
      <c r="AA307" s="84">
        <f>VLOOKUP($D307,NatureChart,6,0)</f>
        <v>0.9</v>
      </c>
      <c r="AB307" s="84">
        <f>IF($C307="Shedinja",1,(INT((2*VLOOKUP($C307,DexData,5,0)+INT(Q307/4)+K307)/2)+60))</f>
        <v>173</v>
      </c>
      <c r="AC307" s="84">
        <f>INT(INT((INT((2*VLOOKUP($C307,DexData,6,0)+INT(R307/4)+L307)/2)+5)*W307)*IF($E307="Choice Band",1.5,IF(OR($E307="Mawilite",$E307="Medichamite",$E307="Thick Club"),2,1)))</f>
        <v>134</v>
      </c>
      <c r="AD307" s="84">
        <f>INT(INT((INT((2*VLOOKUP($C307,DexData,7,0)+INT(S307/4)+M307)/2)+5)*X307)*IF($E307="Eviolite",1.5,1))</f>
        <v>139</v>
      </c>
      <c r="AE307" s="84">
        <f>INT(INT((INT((2*VLOOKUP($C307,DexData,9,0)+INT(T307/4)+N307)/2)+5)*Y307)*IF($E307="Choice Specs",1.5,1))</f>
        <v>97</v>
      </c>
      <c r="AF307" s="84">
        <f>INT(INT((INT((2*VLOOKUP($C307,DexData,10,0)+INT(U307/4)+O307)/2)+5)*Z307)*IF(OR($E307="Eviolite",$E307="Assault Vest"),1.5,1))</f>
        <v>117</v>
      </c>
      <c r="AG307" s="84">
        <f>INT(INT((INT((2*VLOOKUP($C307,DexData,11,0)+INT(V307/4)+P307)/2)+5)*AA307)*IF($E307="Choice Scarf",1.5,IF($E307="Iron Ball",0.5,1)))</f>
        <v>40</v>
      </c>
      <c r="AH307" s="84" t="str">
        <f>VLOOKUP(VLOOKUP($C307,DexData,3,0),Aliases!D$2:E$19,2,0)&amp;IFERROR("/"&amp;VLOOKUP(VLOOKUP($C307,DexData,4,0),Aliases!D$2:E$19,2,0),"")</f>
        <v>WTR</v>
      </c>
      <c r="AI307" s="7">
        <v>3.0</v>
      </c>
      <c r="AJ307" s="7">
        <f>IF(VLOOKUP(B307,'Set Odds'!A$2:AN$1067,40,0),1,IF(VLOOKUP(B307,'Set Odds'!A$2:AO$1067,41,0),2,0))</f>
        <v>0</v>
      </c>
      <c r="AK307" s="7"/>
      <c r="AL307" s="7" t="str">
        <f t="shared" si="1"/>
        <v/>
      </c>
    </row>
    <row r="308" ht="12.75" customHeight="1">
      <c r="A308" s="86">
        <v>307.0</v>
      </c>
      <c r="B308" s="84" t="s">
        <v>3595</v>
      </c>
      <c r="C308" s="7" t="s">
        <v>3596</v>
      </c>
      <c r="D308" s="7" t="s">
        <v>3597</v>
      </c>
      <c r="E308" s="7" t="s">
        <v>2685</v>
      </c>
      <c r="F308" s="84" t="s">
        <v>2704</v>
      </c>
      <c r="G308" s="84" t="s">
        <v>2575</v>
      </c>
      <c r="H308" s="84" t="s">
        <v>2856</v>
      </c>
      <c r="I308" s="84" t="s">
        <v>3185</v>
      </c>
      <c r="J308" s="7" t="s">
        <v>2576</v>
      </c>
      <c r="K308" s="7">
        <v>31.0</v>
      </c>
      <c r="L308" s="7">
        <v>15.0</v>
      </c>
      <c r="M308" s="7">
        <v>15.0</v>
      </c>
      <c r="N308" s="7">
        <v>31.0</v>
      </c>
      <c r="O308" s="7">
        <v>31.0</v>
      </c>
      <c r="P308" s="7">
        <v>15.0</v>
      </c>
      <c r="Q308" s="7">
        <v>148.0</v>
      </c>
      <c r="R308" s="7">
        <v>0.0</v>
      </c>
      <c r="S308" s="7">
        <v>0.0</v>
      </c>
      <c r="T308" s="7">
        <v>148.0</v>
      </c>
      <c r="U308" s="7">
        <v>148.0</v>
      </c>
      <c r="V308" s="7">
        <v>0.0</v>
      </c>
      <c r="W308" s="7">
        <f>VLOOKUP($D308,NatureChart,2,0)</f>
        <v>0.9</v>
      </c>
      <c r="X308" s="7">
        <f>VLOOKUP($D308,NatureChart,3,0)</f>
        <v>1</v>
      </c>
      <c r="Y308" s="7">
        <f>VLOOKUP($D308,NatureChart,4,0)</f>
        <v>1</v>
      </c>
      <c r="Z308" s="7">
        <f>VLOOKUP($D308,NatureChart,5,0)</f>
        <v>1.1</v>
      </c>
      <c r="AA308" s="84">
        <f>VLOOKUP($D308,NatureChart,6,0)</f>
        <v>1</v>
      </c>
      <c r="AB308" s="84">
        <f>IF($C308="Shedinja",1,(INT((2*VLOOKUP($C308,DexData,5,0)+INT(Q308/4)+K308)/2)+60))</f>
        <v>174</v>
      </c>
      <c r="AC308" s="84">
        <f>INT(INT((INT((2*VLOOKUP($C308,DexData,6,0)+INT(R308/4)+L308)/2)+5)*W308)*IF($E308="Choice Band",1.5,IF(OR($E308="Mawilite",$E308="Medichamite",$E308="Thick Club"),2,1)))</f>
        <v>84</v>
      </c>
      <c r="AD308" s="84">
        <f>INT(INT((INT((2*VLOOKUP($C308,DexData,7,0)+INT(S308/4)+M308)/2)+5)*X308)*IF($E308="Eviolite",1.5,1))</f>
        <v>112</v>
      </c>
      <c r="AE308" s="84">
        <f>INT(INT((INT((2*VLOOKUP($C308,DexData,9,0)+INT(T308/4)+N308)/2)+5)*Y308)*IF($E308="Choice Specs",1.5,1))</f>
        <v>122</v>
      </c>
      <c r="AF308" s="84">
        <f>INT(INT((INT((2*VLOOKUP($C308,DexData,10,0)+INT(U308/4)+O308)/2)+5)*Z308)*IF(OR($E308="Eviolite",$E308="Assault Vest"),1.5,1))</f>
        <v>152</v>
      </c>
      <c r="AG308" s="84">
        <f>INT(INT((INT((2*VLOOKUP($C308,DexData,11,0)+INT(V308/4)+P308)/2)+5)*AA308)*IF($E308="Choice Scarf",1.5,IF($E308="Iron Ball",0.5,1)))</f>
        <v>92</v>
      </c>
      <c r="AH308" s="84" t="str">
        <f>VLOOKUP(VLOOKUP($C308,DexData,3,0),Aliases!D$2:E$19,2,0)&amp;IFERROR("/"&amp;VLOOKUP(VLOOKUP($C308,DexData,4,0),Aliases!D$2:E$19,2,0),"")</f>
        <v>GRS</v>
      </c>
      <c r="AI308" s="7">
        <v>3.0</v>
      </c>
      <c r="AJ308" s="7">
        <f>IF(VLOOKUP(B308,'Set Odds'!A$2:AN$1067,40,0),1,IF(VLOOKUP(B308,'Set Odds'!A$2:AO$1067,41,0),2,0))</f>
        <v>0</v>
      </c>
      <c r="AK308" s="7"/>
      <c r="AL308" s="7" t="str">
        <f t="shared" si="1"/>
        <v/>
      </c>
    </row>
    <row r="309" ht="12.75" customHeight="1">
      <c r="A309" s="86">
        <v>308.0</v>
      </c>
      <c r="B309" s="84" t="s">
        <v>3598</v>
      </c>
      <c r="C309" s="7" t="s">
        <v>3599</v>
      </c>
      <c r="D309" s="7" t="s">
        <v>2795</v>
      </c>
      <c r="E309" s="7" t="s">
        <v>3439</v>
      </c>
      <c r="F309" s="84" t="s">
        <v>2732</v>
      </c>
      <c r="G309" s="84" t="s">
        <v>3590</v>
      </c>
      <c r="H309" s="84" t="s">
        <v>2532</v>
      </c>
      <c r="I309" s="84" t="s">
        <v>3600</v>
      </c>
      <c r="J309" s="7" t="s">
        <v>2584</v>
      </c>
      <c r="K309" s="7">
        <v>31.0</v>
      </c>
      <c r="L309" s="7">
        <v>15.0</v>
      </c>
      <c r="M309" s="7">
        <v>15.0</v>
      </c>
      <c r="N309" s="7">
        <v>31.0</v>
      </c>
      <c r="O309" s="7">
        <v>15.0</v>
      </c>
      <c r="P309" s="7">
        <v>31.0</v>
      </c>
      <c r="Q309" s="7">
        <v>148.0</v>
      </c>
      <c r="R309" s="7">
        <v>0.0</v>
      </c>
      <c r="S309" s="7">
        <v>0.0</v>
      </c>
      <c r="T309" s="7">
        <v>148.0</v>
      </c>
      <c r="U309" s="7">
        <v>0.0</v>
      </c>
      <c r="V309" s="7">
        <v>148.0</v>
      </c>
      <c r="W309" s="7">
        <f>VLOOKUP($D309,NatureChart,2,0)</f>
        <v>1</v>
      </c>
      <c r="X309" s="7">
        <f>VLOOKUP($D309,NatureChart,3,0)</f>
        <v>1</v>
      </c>
      <c r="Y309" s="7">
        <f>VLOOKUP($D309,NatureChart,4,0)</f>
        <v>1</v>
      </c>
      <c r="Z309" s="7">
        <f>VLOOKUP($D309,NatureChart,5,0)</f>
        <v>1</v>
      </c>
      <c r="AA309" s="84">
        <f>VLOOKUP($D309,NatureChart,6,0)</f>
        <v>1</v>
      </c>
      <c r="AB309" s="84">
        <f>IF($C309="Shedinja",1,(INT((2*VLOOKUP($C309,DexData,5,0)+INT(Q309/4)+K309)/2)+60))</f>
        <v>172</v>
      </c>
      <c r="AC309" s="84">
        <f>INT(INT((INT((2*VLOOKUP($C309,DexData,6,0)+INT(R309/4)+L309)/2)+5)*W309)*IF($E309="Choice Band",1.5,IF(OR($E309="Mawilite",$E309="Medichamite",$E309="Thick Club"),2,1)))</f>
        <v>96</v>
      </c>
      <c r="AD309" s="84">
        <f>INT(INT((INT((2*VLOOKUP($C309,DexData,7,0)+INT(S309/4)+M309)/2)+5)*X309)*IF($E309="Eviolite",1.5,1))</f>
        <v>90</v>
      </c>
      <c r="AE309" s="84">
        <f>INT(INT((INT((2*VLOOKUP($C309,DexData,9,0)+INT(T309/4)+N309)/2)+5)*Y309)*IF($E309="Choice Specs",1.5,1))</f>
        <v>148</v>
      </c>
      <c r="AF309" s="84">
        <f>INT(INT((INT((2*VLOOKUP($C309,DexData,10,0)+INT(U309/4)+O309)/2)+5)*Z309)*IF(OR($E309="Eviolite",$E309="Assault Vest"),1.5,1))</f>
        <v>97</v>
      </c>
      <c r="AG309" s="84">
        <f>INT(INT((INT((2*VLOOKUP($C309,DexData,11,0)+INT(V309/4)+P309)/2)+5)*AA309)*IF($E309="Choice Scarf",1.5,IF($E309="Iron Ball",0.5,1)))</f>
        <v>139</v>
      </c>
      <c r="AH309" s="84" t="str">
        <f>VLOOKUP(VLOOKUP($C309,DexData,3,0),Aliases!D$2:E$19,2,0)&amp;IFERROR("/"&amp;VLOOKUP(VLOOKUP($C309,DexData,4,0),Aliases!D$2:E$19,2,0),"")</f>
        <v>FIR</v>
      </c>
      <c r="AI309" s="7">
        <v>3.0</v>
      </c>
      <c r="AJ309" s="7">
        <f>IF(VLOOKUP(B309,'Set Odds'!A$2:AN$1067,40,0),1,IF(VLOOKUP(B309,'Set Odds'!A$2:AO$1067,41,0),2,0))</f>
        <v>0</v>
      </c>
      <c r="AK309" s="7"/>
      <c r="AL309" s="7" t="str">
        <f t="shared" si="1"/>
        <v/>
      </c>
    </row>
    <row r="310" ht="12.75" customHeight="1">
      <c r="A310" s="86">
        <v>309.0</v>
      </c>
      <c r="B310" s="84" t="s">
        <v>3601</v>
      </c>
      <c r="C310" s="7" t="s">
        <v>3602</v>
      </c>
      <c r="D310" s="7" t="s">
        <v>2692</v>
      </c>
      <c r="E310" s="7" t="s">
        <v>2519</v>
      </c>
      <c r="F310" s="84" t="s">
        <v>2583</v>
      </c>
      <c r="G310" s="84" t="s">
        <v>2869</v>
      </c>
      <c r="H310" s="84" t="s">
        <v>2625</v>
      </c>
      <c r="I310" s="84" t="s">
        <v>3603</v>
      </c>
      <c r="J310" s="7" t="s">
        <v>2590</v>
      </c>
      <c r="K310" s="7">
        <v>31.0</v>
      </c>
      <c r="L310" s="7">
        <v>31.0</v>
      </c>
      <c r="M310" s="7">
        <v>15.0</v>
      </c>
      <c r="N310" s="7">
        <v>15.0</v>
      </c>
      <c r="O310" s="7">
        <v>15.0</v>
      </c>
      <c r="P310" s="7">
        <v>31.0</v>
      </c>
      <c r="Q310" s="7">
        <v>148.0</v>
      </c>
      <c r="R310" s="7">
        <v>148.0</v>
      </c>
      <c r="S310" s="7">
        <v>0.0</v>
      </c>
      <c r="T310" s="7">
        <v>0.0</v>
      </c>
      <c r="U310" s="7">
        <v>0.0</v>
      </c>
      <c r="V310" s="7">
        <v>148.0</v>
      </c>
      <c r="W310" s="7">
        <f>VLOOKUP($D310,NatureChart,2,0)</f>
        <v>1</v>
      </c>
      <c r="X310" s="7">
        <f>VLOOKUP($D310,NatureChart,3,0)</f>
        <v>1</v>
      </c>
      <c r="Y310" s="7">
        <f>VLOOKUP($D310,NatureChart,4,0)</f>
        <v>0.9</v>
      </c>
      <c r="Z310" s="7">
        <f>VLOOKUP($D310,NatureChart,5,0)</f>
        <v>1</v>
      </c>
      <c r="AA310" s="84">
        <f>VLOOKUP($D310,NatureChart,6,0)</f>
        <v>1.1</v>
      </c>
      <c r="AB310" s="84">
        <f>IF($C310="Shedinja",1,(INT((2*VLOOKUP($C310,DexData,5,0)+INT(Q310/4)+K310)/2)+60))</f>
        <v>179</v>
      </c>
      <c r="AC310" s="84">
        <f>INT(INT((INT((2*VLOOKUP($C310,DexData,6,0)+INT(R310/4)+L310)/2)+5)*W310)*IF($E310="Choice Band",1.5,IF(OR($E310="Mawilite",$E310="Medichamite",$E310="Thick Club"),2,1)))</f>
        <v>144</v>
      </c>
      <c r="AD310" s="84">
        <f>INT(INT((INT((2*VLOOKUP($C310,DexData,7,0)+INT(S310/4)+M310)/2)+5)*X310)*IF($E310="Eviolite",1.5,1))</f>
        <v>112</v>
      </c>
      <c r="AE310" s="84">
        <f>INT(INT((INT((2*VLOOKUP($C310,DexData,9,0)+INT(T310/4)+N310)/2)+5)*Y310)*IF($E310="Choice Specs",1.5,1))</f>
        <v>81</v>
      </c>
      <c r="AF310" s="84">
        <f>INT(INT((INT((2*VLOOKUP($C310,DexData,10,0)+INT(U310/4)+O310)/2)+5)*Z310)*IF(OR($E310="Eviolite",$E310="Assault Vest"),1.5,1))</f>
        <v>95</v>
      </c>
      <c r="AG310" s="84">
        <f>INT(INT((INT((2*VLOOKUP($C310,DexData,11,0)+INT(V310/4)+P310)/2)+5)*AA310)*IF($E310="Choice Scarf",1.5,IF($E310="Iron Ball",0.5,1)))</f>
        <v>128</v>
      </c>
      <c r="AH310" s="84" t="str">
        <f>VLOOKUP(VLOOKUP($C310,DexData,3,0),Aliases!D$2:E$19,2,0)&amp;IFERROR("/"&amp;VLOOKUP(VLOOKUP($C310,DexData,4,0),Aliases!D$2:E$19,2,0),"")</f>
        <v>WTR</v>
      </c>
      <c r="AI310" s="7">
        <v>3.0</v>
      </c>
      <c r="AJ310" s="7">
        <f>IF(VLOOKUP(B310,'Set Odds'!A$2:AN$1067,40,0),1,IF(VLOOKUP(B310,'Set Odds'!A$2:AO$1067,41,0),2,0))</f>
        <v>0</v>
      </c>
      <c r="AK310" s="7"/>
      <c r="AL310" s="7" t="str">
        <f t="shared" si="1"/>
        <v/>
      </c>
    </row>
    <row r="311" ht="12.75" customHeight="1">
      <c r="A311" s="86">
        <v>310.0</v>
      </c>
      <c r="B311" s="84" t="s">
        <v>3604</v>
      </c>
      <c r="C311" s="7" t="s">
        <v>3605</v>
      </c>
      <c r="D311" s="7" t="s">
        <v>2862</v>
      </c>
      <c r="E311" s="7" t="s">
        <v>2685</v>
      </c>
      <c r="F311" s="84" t="s">
        <v>2575</v>
      </c>
      <c r="G311" s="84" t="s">
        <v>2532</v>
      </c>
      <c r="H311" s="84" t="s">
        <v>3427</v>
      </c>
      <c r="I311" s="84" t="s">
        <v>2704</v>
      </c>
      <c r="J311" s="7" t="s">
        <v>2576</v>
      </c>
      <c r="K311" s="7">
        <v>31.0</v>
      </c>
      <c r="L311" s="7">
        <v>15.0</v>
      </c>
      <c r="M311" s="7">
        <v>31.0</v>
      </c>
      <c r="N311" s="7">
        <v>31.0</v>
      </c>
      <c r="O311" s="7">
        <v>15.0</v>
      </c>
      <c r="P311" s="7">
        <v>15.0</v>
      </c>
      <c r="Q311" s="7">
        <v>148.0</v>
      </c>
      <c r="R311" s="7">
        <v>4.0</v>
      </c>
      <c r="S311" s="7">
        <v>148.0</v>
      </c>
      <c r="T311" s="7">
        <v>148.0</v>
      </c>
      <c r="U311" s="7">
        <v>4.0</v>
      </c>
      <c r="V311" s="7">
        <v>4.0</v>
      </c>
      <c r="W311" s="7">
        <f>VLOOKUP($D311,NatureChart,2,0)</f>
        <v>0.9</v>
      </c>
      <c r="X311" s="7">
        <f>VLOOKUP($D311,NatureChart,3,0)</f>
        <v>1.1</v>
      </c>
      <c r="Y311" s="7">
        <f>VLOOKUP($D311,NatureChart,4,0)</f>
        <v>1</v>
      </c>
      <c r="Z311" s="7">
        <f>VLOOKUP($D311,NatureChart,5,0)</f>
        <v>1</v>
      </c>
      <c r="AA311" s="84">
        <f>VLOOKUP($D311,NatureChart,6,0)</f>
        <v>1</v>
      </c>
      <c r="AB311" s="84">
        <f>IF($C311="Shedinja",1,(INT((2*VLOOKUP($C311,DexData,5,0)+INT(Q311/4)+K311)/2)+60))</f>
        <v>164</v>
      </c>
      <c r="AC311" s="84">
        <f>INT(INT((INT((2*VLOOKUP($C311,DexData,6,0)+INT(R311/4)+L311)/2)+5)*W311)*IF($E311="Choice Band",1.5,IF(OR($E311="Mawilite",$E311="Medichamite",$E311="Thick Club"),2,1)))</f>
        <v>88</v>
      </c>
      <c r="AD311" s="84">
        <f>INT(INT((INT((2*VLOOKUP($C311,DexData,7,0)+INT(S311/4)+M311)/2)+5)*X311)*IF($E311="Eviolite",1.5,1))</f>
        <v>114</v>
      </c>
      <c r="AE311" s="84">
        <f>INT(INT((INT((2*VLOOKUP($C311,DexData,9,0)+INT(T311/4)+N311)/2)+5)*Y311)*IF($E311="Choice Specs",1.5,1))</f>
        <v>144</v>
      </c>
      <c r="AF311" s="84">
        <f>INT(INT((INT((2*VLOOKUP($C311,DexData,10,0)+INT(U311/4)+O311)/2)+5)*Z311)*IF(OR($E311="Eviolite",$E311="Assault Vest"),1.5,1))</f>
        <v>98</v>
      </c>
      <c r="AG311" s="84">
        <f>INT(INT((INT((2*VLOOKUP($C311,DexData,11,0)+INT(V311/4)+P311)/2)+5)*AA311)*IF($E311="Choice Scarf",1.5,IF($E311="Iron Ball",0.5,1)))</f>
        <v>133</v>
      </c>
      <c r="AH311" s="84" t="str">
        <f>VLOOKUP(VLOOKUP($C311,DexData,3,0),Aliases!D$2:E$19,2,0)&amp;IFERROR("/"&amp;VLOOKUP(VLOOKUP($C311,DexData,4,0),Aliases!D$2:E$19,2,0),"")</f>
        <v>GRS</v>
      </c>
      <c r="AI311" s="7">
        <v>3.0</v>
      </c>
      <c r="AJ311" s="7">
        <f>IF(VLOOKUP(B311,'Set Odds'!A$2:AN$1067,40,0),1,IF(VLOOKUP(B311,'Set Odds'!A$2:AO$1067,41,0),2,0))</f>
        <v>0</v>
      </c>
      <c r="AK311" s="7"/>
      <c r="AL311" s="7" t="str">
        <f t="shared" si="1"/>
        <v/>
      </c>
    </row>
    <row r="312" ht="12.75" customHeight="1">
      <c r="A312" s="86">
        <v>311.0</v>
      </c>
      <c r="B312" s="84" t="s">
        <v>3606</v>
      </c>
      <c r="C312" s="7" t="s">
        <v>3607</v>
      </c>
      <c r="D312" s="7" t="s">
        <v>2571</v>
      </c>
      <c r="E312" s="7" t="s">
        <v>2828</v>
      </c>
      <c r="F312" s="84" t="s">
        <v>2614</v>
      </c>
      <c r="G312" s="84" t="s">
        <v>3608</v>
      </c>
      <c r="H312" s="84" t="s">
        <v>2732</v>
      </c>
      <c r="I312" s="84" t="s">
        <v>2878</v>
      </c>
      <c r="J312" s="7" t="s">
        <v>2584</v>
      </c>
      <c r="K312" s="7">
        <v>31.0</v>
      </c>
      <c r="L312" s="7">
        <v>31.0</v>
      </c>
      <c r="M312" s="7">
        <v>15.0</v>
      </c>
      <c r="N312" s="7">
        <v>15.0</v>
      </c>
      <c r="O312" s="7">
        <v>15.0</v>
      </c>
      <c r="P312" s="7">
        <v>31.0</v>
      </c>
      <c r="Q312" s="7">
        <v>148.0</v>
      </c>
      <c r="R312" s="7">
        <v>148.0</v>
      </c>
      <c r="S312" s="7">
        <v>4.0</v>
      </c>
      <c r="T312" s="7">
        <v>4.0</v>
      </c>
      <c r="U312" s="7">
        <v>4.0</v>
      </c>
      <c r="V312" s="7">
        <v>148.0</v>
      </c>
      <c r="W312" s="7">
        <f>VLOOKUP($D312,NatureChart,2,0)</f>
        <v>1.1</v>
      </c>
      <c r="X312" s="7">
        <f>VLOOKUP($D312,NatureChart,3,0)</f>
        <v>1</v>
      </c>
      <c r="Y312" s="7">
        <f>VLOOKUP($D312,NatureChart,4,0)</f>
        <v>0.9</v>
      </c>
      <c r="Z312" s="7">
        <f>VLOOKUP($D312,NatureChart,5,0)</f>
        <v>1</v>
      </c>
      <c r="AA312" s="84">
        <f>VLOOKUP($D312,NatureChart,6,0)</f>
        <v>1</v>
      </c>
      <c r="AB312" s="84">
        <f>IF($C312="Shedinja",1,(INT((2*VLOOKUP($C312,DexData,5,0)+INT(Q312/4)+K312)/2)+60))</f>
        <v>174</v>
      </c>
      <c r="AC312" s="84">
        <f>INT(INT((INT((2*VLOOKUP($C312,DexData,6,0)+INT(R312/4)+L312)/2)+5)*W312)*IF($E312="Choice Band",1.5,IF(OR($E312="Mawilite",$E312="Medichamite",$E312="Thick Club"),2,1)))</f>
        <v>174</v>
      </c>
      <c r="AD312" s="84">
        <f>INT(INT((INT((2*VLOOKUP($C312,DexData,7,0)+INT(S312/4)+M312)/2)+5)*X312)*IF($E312="Eviolite",1.5,1))</f>
        <v>83</v>
      </c>
      <c r="AE312" s="84">
        <f>INT(INT((INT((2*VLOOKUP($C312,DexData,9,0)+INT(T312/4)+N312)/2)+5)*Y312)*IF($E312="Choice Specs",1.5,1))</f>
        <v>110</v>
      </c>
      <c r="AF312" s="84">
        <f>INT(INT((INT((2*VLOOKUP($C312,DexData,10,0)+INT(U312/4)+O312)/2)+5)*Z312)*IF(OR($E312="Eviolite",$E312="Assault Vest"),1.5,1))</f>
        <v>83</v>
      </c>
      <c r="AG312" s="84">
        <f>INT(INT((INT((2*VLOOKUP($C312,DexData,11,0)+INT(V312/4)+P312)/2)+5)*AA312)*IF($E312="Choice Scarf",1.5,IF($E312="Iron Ball",0.5,1)))</f>
        <v>119</v>
      </c>
      <c r="AH312" s="84" t="str">
        <f>VLOOKUP(VLOOKUP($C312,DexData,3,0),Aliases!D$2:E$19,2,0)&amp;IFERROR("/"&amp;VLOOKUP(VLOOKUP($C312,DexData,4,0),Aliases!D$2:E$19,2,0),"")</f>
        <v>FIR/FTG</v>
      </c>
      <c r="AI312" s="7">
        <v>3.0</v>
      </c>
      <c r="AJ312" s="7">
        <f>IF(VLOOKUP(B312,'Set Odds'!A$2:AN$1067,40,0),1,IF(VLOOKUP(B312,'Set Odds'!A$2:AO$1067,41,0),2,0))</f>
        <v>0</v>
      </c>
      <c r="AK312" s="7"/>
      <c r="AL312" s="7" t="str">
        <f t="shared" si="1"/>
        <v/>
      </c>
    </row>
    <row r="313" ht="12.75" customHeight="1">
      <c r="A313" s="86">
        <v>312.0</v>
      </c>
      <c r="B313" s="84" t="s">
        <v>3609</v>
      </c>
      <c r="C313" s="7" t="s">
        <v>3610</v>
      </c>
      <c r="D313" s="7" t="s">
        <v>3105</v>
      </c>
      <c r="E313" s="7" t="s">
        <v>2516</v>
      </c>
      <c r="F313" s="84" t="s">
        <v>2781</v>
      </c>
      <c r="G313" s="84" t="s">
        <v>3611</v>
      </c>
      <c r="H313" s="84" t="s">
        <v>2874</v>
      </c>
      <c r="I313" s="84" t="s">
        <v>3590</v>
      </c>
      <c r="J313" s="7" t="s">
        <v>2590</v>
      </c>
      <c r="K313" s="7">
        <v>31.0</v>
      </c>
      <c r="L313" s="7">
        <v>15.0</v>
      </c>
      <c r="M313" s="7">
        <v>31.0</v>
      </c>
      <c r="N313" s="7">
        <v>15.0</v>
      </c>
      <c r="O313" s="7">
        <v>31.0</v>
      </c>
      <c r="P313" s="7">
        <v>15.0</v>
      </c>
      <c r="Q313" s="7">
        <v>148.0</v>
      </c>
      <c r="R313" s="7">
        <v>4.0</v>
      </c>
      <c r="S313" s="7">
        <v>148.0</v>
      </c>
      <c r="T313" s="7">
        <v>4.0</v>
      </c>
      <c r="U313" s="7">
        <v>148.0</v>
      </c>
      <c r="V313" s="7">
        <v>4.0</v>
      </c>
      <c r="W313" s="7">
        <f>VLOOKUP($D313,NatureChart,2,0)</f>
        <v>1</v>
      </c>
      <c r="X313" s="7">
        <f>VLOOKUP($D313,NatureChart,3,0)</f>
        <v>1</v>
      </c>
      <c r="Y313" s="7">
        <f>VLOOKUP($D313,NatureChart,4,0)</f>
        <v>1</v>
      </c>
      <c r="Z313" s="7">
        <f>VLOOKUP($D313,NatureChart,5,0)</f>
        <v>1.1</v>
      </c>
      <c r="AA313" s="84">
        <f>VLOOKUP($D313,NatureChart,6,0)</f>
        <v>0.9</v>
      </c>
      <c r="AB313" s="84">
        <f>IF($C313="Shedinja",1,(INT((2*VLOOKUP($C313,DexData,5,0)+INT(Q313/4)+K313)/2)+60))</f>
        <v>194</v>
      </c>
      <c r="AC313" s="84">
        <f>INT(INT((INT((2*VLOOKUP($C313,DexData,6,0)+INT(R313/4)+L313)/2)+5)*W313)*IF($E313="Choice Band",1.5,IF(OR($E313="Mawilite",$E313="Medichamite",$E313="Thick Club"),2,1)))</f>
        <v>123</v>
      </c>
      <c r="AD313" s="84">
        <f>INT(INT((INT((2*VLOOKUP($C313,DexData,7,0)+INT(S313/4)+M313)/2)+5)*X313)*IF($E313="Eviolite",1.5,1))</f>
        <v>129</v>
      </c>
      <c r="AE313" s="84">
        <f>INT(INT((INT((2*VLOOKUP($C313,DexData,9,0)+INT(T313/4)+N313)/2)+5)*Y313)*IF($E313="Choice Specs",1.5,1))</f>
        <v>98</v>
      </c>
      <c r="AF313" s="84">
        <f>INT(INT((INT((2*VLOOKUP($C313,DexData,10,0)+INT(U313/4)+O313)/2)+5)*Z313)*IF(OR($E313="Eviolite",$E313="Assault Vest"),1.5,1))</f>
        <v>141</v>
      </c>
      <c r="AG313" s="84">
        <f>INT(INT((INT((2*VLOOKUP($C313,DexData,11,0)+INT(V313/4)+P313)/2)+5)*AA313)*IF($E313="Choice Scarf",1.5,IF($E313="Iron Ball",0.5,1)))</f>
        <v>65</v>
      </c>
      <c r="AH313" s="84" t="str">
        <f>VLOOKUP(VLOOKUP($C313,DexData,3,0),Aliases!D$2:E$19,2,0)&amp;IFERROR("/"&amp;VLOOKUP(VLOOKUP($C313,DexData,4,0),Aliases!D$2:E$19,2,0),"")</f>
        <v>WTR/GRD</v>
      </c>
      <c r="AI313" s="7">
        <v>3.0</v>
      </c>
      <c r="AJ313" s="7">
        <f>IF(VLOOKUP(B313,'Set Odds'!A$2:AN$1067,40,0),1,IF(VLOOKUP(B313,'Set Odds'!A$2:AO$1067,41,0),2,0))</f>
        <v>0</v>
      </c>
      <c r="AK313" s="7"/>
      <c r="AL313" s="7" t="str">
        <f t="shared" si="1"/>
        <v/>
      </c>
    </row>
    <row r="314" ht="12.75" customHeight="1">
      <c r="A314" s="86">
        <v>313.0</v>
      </c>
      <c r="B314" s="84" t="s">
        <v>3612</v>
      </c>
      <c r="C314" s="7" t="s">
        <v>3613</v>
      </c>
      <c r="D314" s="7" t="s">
        <v>3344</v>
      </c>
      <c r="E314" s="7" t="s">
        <v>3614</v>
      </c>
      <c r="F314" s="84" t="s">
        <v>2700</v>
      </c>
      <c r="G314" s="84" t="s">
        <v>2856</v>
      </c>
      <c r="H314" s="84" t="s">
        <v>3558</v>
      </c>
      <c r="I314" s="84" t="s">
        <v>3441</v>
      </c>
      <c r="J314" s="7" t="s">
        <v>2576</v>
      </c>
      <c r="K314" s="7">
        <v>31.0</v>
      </c>
      <c r="L314" s="7">
        <v>31.0</v>
      </c>
      <c r="M314" s="7">
        <v>15.0</v>
      </c>
      <c r="N314" s="7">
        <v>31.0</v>
      </c>
      <c r="O314" s="7">
        <v>15.0</v>
      </c>
      <c r="P314" s="7">
        <v>15.0</v>
      </c>
      <c r="Q314" s="7">
        <v>148.0</v>
      </c>
      <c r="R314" s="7">
        <v>148.0</v>
      </c>
      <c r="S314" s="7">
        <v>4.0</v>
      </c>
      <c r="T314" s="7">
        <v>148.0</v>
      </c>
      <c r="U314" s="7">
        <v>4.0</v>
      </c>
      <c r="V314" s="7">
        <v>4.0</v>
      </c>
      <c r="W314" s="7">
        <f>VLOOKUP($D314,NatureChart,2,0)</f>
        <v>1</v>
      </c>
      <c r="X314" s="7">
        <f>VLOOKUP($D314,NatureChart,3,0)</f>
        <v>1</v>
      </c>
      <c r="Y314" s="7">
        <f>VLOOKUP($D314,NatureChart,4,0)</f>
        <v>1</v>
      </c>
      <c r="Z314" s="7">
        <f>VLOOKUP($D314,NatureChart,5,0)</f>
        <v>1</v>
      </c>
      <c r="AA314" s="84">
        <f>VLOOKUP($D314,NatureChart,6,0)</f>
        <v>1</v>
      </c>
      <c r="AB314" s="84">
        <f>IF($C314="Shedinja",1,(INT((2*VLOOKUP($C314,DexData,5,0)+INT(Q314/4)+K314)/2)+60))</f>
        <v>189</v>
      </c>
      <c r="AC314" s="84">
        <f>INT(INT((INT((2*VLOOKUP($C314,DexData,6,0)+INT(R314/4)+L314)/2)+5)*W314)*IF($E314="Choice Band",1.5,IF(OR($E314="Mawilite",$E314="Medichamite",$E314="Thick Club"),2,1)))</f>
        <v>148</v>
      </c>
      <c r="AD314" s="84">
        <f>INT(INT((INT((2*VLOOKUP($C314,DexData,7,0)+INT(S314/4)+M314)/2)+5)*X314)*IF($E314="Eviolite",1.5,1))</f>
        <v>118</v>
      </c>
      <c r="AE314" s="84">
        <f>INT(INT((INT((2*VLOOKUP($C314,DexData,9,0)+INT(T314/4)+N314)/2)+5)*Y314)*IF($E314="Choice Specs",1.5,1))</f>
        <v>114</v>
      </c>
      <c r="AF314" s="84">
        <f>INT(INT((INT((2*VLOOKUP($C314,DexData,10,0)+INT(U314/4)+O314)/2)+5)*Z314)*IF(OR($E314="Eviolite",$E314="Assault Vest"),1.5,1))</f>
        <v>98</v>
      </c>
      <c r="AG314" s="84">
        <f>INT(INT((INT((2*VLOOKUP($C314,DexData,11,0)+INT(V314/4)+P314)/2)+5)*AA314)*IF($E314="Choice Scarf",1.5,IF($E314="Iron Ball",0.5,1)))</f>
        <v>69</v>
      </c>
      <c r="AH314" s="84" t="str">
        <f>VLOOKUP(VLOOKUP($C314,DexData,3,0),Aliases!D$2:E$19,2,0)&amp;IFERROR("/"&amp;VLOOKUP(VLOOKUP($C314,DexData,4,0),Aliases!D$2:E$19,2,0),"")</f>
        <v>GRS/GRD</v>
      </c>
      <c r="AI314" s="7">
        <v>3.0</v>
      </c>
      <c r="AJ314" s="7">
        <f>IF(VLOOKUP(B314,'Set Odds'!A$2:AN$1067,40,0),1,IF(VLOOKUP(B314,'Set Odds'!A$2:AO$1067,41,0),2,0))</f>
        <v>0</v>
      </c>
      <c r="AK314" s="7"/>
      <c r="AL314" s="7" t="str">
        <f t="shared" si="1"/>
        <v/>
      </c>
    </row>
    <row r="315" ht="12.75" customHeight="1">
      <c r="A315" s="86">
        <v>314.0</v>
      </c>
      <c r="B315" s="84" t="s">
        <v>3615</v>
      </c>
      <c r="C315" s="7" t="s">
        <v>3616</v>
      </c>
      <c r="D315" s="7" t="s">
        <v>2611</v>
      </c>
      <c r="E315" s="7" t="s">
        <v>3311</v>
      </c>
      <c r="F315" s="84" t="s">
        <v>2513</v>
      </c>
      <c r="G315" s="84" t="s">
        <v>3312</v>
      </c>
      <c r="H315" s="84" t="s">
        <v>3314</v>
      </c>
      <c r="I315" s="84" t="s">
        <v>3617</v>
      </c>
      <c r="J315" s="7" t="s">
        <v>2584</v>
      </c>
      <c r="K315" s="7">
        <v>31.0</v>
      </c>
      <c r="L315" s="7">
        <v>31.0</v>
      </c>
      <c r="M315" s="7">
        <v>15.0</v>
      </c>
      <c r="N315" s="7">
        <v>15.0</v>
      </c>
      <c r="O315" s="7">
        <v>15.0</v>
      </c>
      <c r="P315" s="7">
        <v>31.0</v>
      </c>
      <c r="Q315" s="7">
        <v>148.0</v>
      </c>
      <c r="R315" s="7">
        <v>148.0</v>
      </c>
      <c r="S315" s="7">
        <v>4.0</v>
      </c>
      <c r="T315" s="7">
        <v>4.0</v>
      </c>
      <c r="U315" s="7">
        <v>4.0</v>
      </c>
      <c r="V315" s="7">
        <v>148.0</v>
      </c>
      <c r="W315" s="7">
        <f>VLOOKUP($D315,NatureChart,2,0)</f>
        <v>1</v>
      </c>
      <c r="X315" s="7">
        <f>VLOOKUP($D315,NatureChart,3,0)</f>
        <v>1</v>
      </c>
      <c r="Y315" s="7">
        <f>VLOOKUP($D315,NatureChart,4,0)</f>
        <v>1</v>
      </c>
      <c r="Z315" s="7">
        <f>VLOOKUP($D315,NatureChart,5,0)</f>
        <v>1</v>
      </c>
      <c r="AA315" s="84">
        <f>VLOOKUP($D315,NatureChart,6,0)</f>
        <v>1</v>
      </c>
      <c r="AB315" s="84">
        <f>IF($C315="Shedinja",1,(INT((2*VLOOKUP($C315,DexData,5,0)+INT(Q315/4)+K315)/2)+60))</f>
        <v>170</v>
      </c>
      <c r="AC315" s="84">
        <f>INT(INT((INT((2*VLOOKUP($C315,DexData,6,0)+INT(R315/4)+L315)/2)+5)*W315)*IF($E315="Choice Band",1.5,IF(OR($E315="Mawilite",$E315="Medichamite",$E315="Thick Club"),2,1)))</f>
        <v>143</v>
      </c>
      <c r="AD315" s="84">
        <f>INT(INT((INT((2*VLOOKUP($C315,DexData,7,0)+INT(S315/4)+M315)/2)+5)*X315)*IF($E315="Eviolite",1.5,1))</f>
        <v>84</v>
      </c>
      <c r="AE315" s="84">
        <f>INT(INT((INT((2*VLOOKUP($C315,DexData,9,0)+INT(T315/4)+N315)/2)+5)*Y315)*IF($E315="Choice Specs",1.5,1))</f>
        <v>117</v>
      </c>
      <c r="AF315" s="84">
        <f>INT(INT((INT((2*VLOOKUP($C315,DexData,10,0)+INT(U315/4)+O315)/2)+5)*Z315)*IF(OR($E315="Eviolite",$E315="Assault Vest"),1.5,1))</f>
        <v>84</v>
      </c>
      <c r="AG315" s="84">
        <f>INT(INT((INT((2*VLOOKUP($C315,DexData,11,0)+INT(V315/4)+P315)/2)+5)*AA315)*IF($E315="Choice Scarf",1.5,IF($E315="Iron Ball",0.5,1)))</f>
        <v>147</v>
      </c>
      <c r="AH315" s="84" t="str">
        <f>VLOOKUP(VLOOKUP($C315,DexData,3,0),Aliases!D$2:E$19,2,0)&amp;IFERROR("/"&amp;VLOOKUP(VLOOKUP($C315,DexData,4,0),Aliases!D$2:E$19,2,0),"")</f>
        <v>FIR/FTG</v>
      </c>
      <c r="AI315" s="7">
        <v>3.0</v>
      </c>
      <c r="AJ315" s="7">
        <f>IF(VLOOKUP(B315,'Set Odds'!A$2:AN$1067,40,0),1,IF(VLOOKUP(B315,'Set Odds'!A$2:AO$1067,41,0),2,0))</f>
        <v>0</v>
      </c>
      <c r="AK315" s="7"/>
      <c r="AL315" s="7" t="str">
        <f t="shared" si="1"/>
        <v/>
      </c>
    </row>
    <row r="316" ht="12.75" customHeight="1">
      <c r="A316" s="86">
        <v>315.0</v>
      </c>
      <c r="B316" s="84" t="s">
        <v>3618</v>
      </c>
      <c r="C316" s="7" t="s">
        <v>3619</v>
      </c>
      <c r="D316" s="7" t="s">
        <v>3597</v>
      </c>
      <c r="E316" s="7" t="s">
        <v>3003</v>
      </c>
      <c r="F316" s="84" t="s">
        <v>3043</v>
      </c>
      <c r="G316" s="84" t="s">
        <v>2532</v>
      </c>
      <c r="H316" s="84" t="s">
        <v>3245</v>
      </c>
      <c r="I316" s="84" t="s">
        <v>2841</v>
      </c>
      <c r="J316" s="7" t="s">
        <v>2590</v>
      </c>
      <c r="K316" s="7">
        <v>31.0</v>
      </c>
      <c r="L316" s="7">
        <v>15.0</v>
      </c>
      <c r="M316" s="7">
        <v>15.0</v>
      </c>
      <c r="N316" s="7">
        <v>31.0</v>
      </c>
      <c r="O316" s="7">
        <v>31.0</v>
      </c>
      <c r="P316" s="7">
        <v>15.0</v>
      </c>
      <c r="Q316" s="7">
        <v>148.0</v>
      </c>
      <c r="R316" s="7">
        <v>4.0</v>
      </c>
      <c r="S316" s="7">
        <v>4.0</v>
      </c>
      <c r="T316" s="7">
        <v>148.0</v>
      </c>
      <c r="U316" s="7">
        <v>148.0</v>
      </c>
      <c r="V316" s="7">
        <v>4.0</v>
      </c>
      <c r="W316" s="7">
        <f>VLOOKUP($D316,NatureChart,2,0)</f>
        <v>0.9</v>
      </c>
      <c r="X316" s="7">
        <f>VLOOKUP($D316,NatureChart,3,0)</f>
        <v>1</v>
      </c>
      <c r="Y316" s="7">
        <f>VLOOKUP($D316,NatureChart,4,0)</f>
        <v>1</v>
      </c>
      <c r="Z316" s="7">
        <f>VLOOKUP($D316,NatureChart,5,0)</f>
        <v>1.1</v>
      </c>
      <c r="AA316" s="84">
        <f>VLOOKUP($D316,NatureChart,6,0)</f>
        <v>1</v>
      </c>
      <c r="AB316" s="84">
        <f>IF($C316="Shedinja",1,(INT((2*VLOOKUP($C316,DexData,5,0)+INT(Q316/4)+K316)/2)+60))</f>
        <v>178</v>
      </c>
      <c r="AC316" s="84">
        <f>INT(INT((INT((2*VLOOKUP($C316,DexData,6,0)+INT(R316/4)+L316)/2)+5)*W316)*IF($E316="Choice Band",1.5,IF(OR($E316="Mawilite",$E316="Medichamite",$E316="Thick Club"),2,1)))</f>
        <v>89</v>
      </c>
      <c r="AD316" s="84">
        <f>INT(INT((INT((2*VLOOKUP($C316,DexData,7,0)+INT(S316/4)+M316)/2)+5)*X316)*IF($E316="Eviolite",1.5,1))</f>
        <v>101</v>
      </c>
      <c r="AE316" s="84">
        <f>INT(INT((INT((2*VLOOKUP($C316,DexData,9,0)+INT(T316/4)+N316)/2)+5)*Y316)*IF($E316="Choice Specs",1.5,1))</f>
        <v>150</v>
      </c>
      <c r="AF316" s="84">
        <f>INT(INT((INT((2*VLOOKUP($C316,DexData,10,0)+INT(U316/4)+O316)/2)+5)*Z316)*IF(OR($E316="Eviolite",$E316="Assault Vest"),1.5,1))</f>
        <v>154</v>
      </c>
      <c r="AG316" s="84">
        <f>INT(INT((INT((2*VLOOKUP($C316,DexData,11,0)+INT(V316/4)+P316)/2)+5)*AA316)*IF($E316="Choice Scarf",1.5,IF($E316="Iron Ball",0.5,1)))</f>
        <v>73</v>
      </c>
      <c r="AH316" s="84" t="str">
        <f>VLOOKUP(VLOOKUP($C316,DexData,3,0),Aliases!D$2:E$19,2,0)&amp;IFERROR("/"&amp;VLOOKUP(VLOOKUP($C316,DexData,4,0),Aliases!D$2:E$19,2,0),"")</f>
        <v>WTR/STL</v>
      </c>
      <c r="AI316" s="7">
        <v>3.0</v>
      </c>
      <c r="AJ316" s="7">
        <f>IF(VLOOKUP(B316,'Set Odds'!A$2:AN$1067,40,0),1,IF(VLOOKUP(B316,'Set Odds'!A$2:AO$1067,41,0),2,0))</f>
        <v>0</v>
      </c>
      <c r="AK316" s="7"/>
      <c r="AL316" s="7" t="str">
        <f t="shared" si="1"/>
        <v/>
      </c>
    </row>
    <row r="317" ht="12.75" customHeight="1">
      <c r="A317" s="86">
        <v>316.0</v>
      </c>
      <c r="B317" s="84" t="s">
        <v>3620</v>
      </c>
      <c r="C317" s="7" t="s">
        <v>3621</v>
      </c>
      <c r="D317" s="7" t="s">
        <v>2692</v>
      </c>
      <c r="E317" s="7" t="s">
        <v>2515</v>
      </c>
      <c r="F317" s="84" t="s">
        <v>2886</v>
      </c>
      <c r="G317" s="84" t="s">
        <v>3454</v>
      </c>
      <c r="H317" s="84" t="s">
        <v>2625</v>
      </c>
      <c r="I317" s="84" t="s">
        <v>2890</v>
      </c>
      <c r="J317" s="7" t="s">
        <v>3622</v>
      </c>
      <c r="K317" s="7">
        <v>31.0</v>
      </c>
      <c r="L317" s="7">
        <v>31.0</v>
      </c>
      <c r="M317" s="7">
        <v>15.0</v>
      </c>
      <c r="N317" s="7">
        <v>15.0</v>
      </c>
      <c r="O317" s="7">
        <v>15.0</v>
      </c>
      <c r="P317" s="7">
        <v>31.0</v>
      </c>
      <c r="Q317" s="7">
        <v>148.0</v>
      </c>
      <c r="R317" s="7">
        <v>148.0</v>
      </c>
      <c r="S317" s="7">
        <v>4.0</v>
      </c>
      <c r="T317" s="7">
        <v>4.0</v>
      </c>
      <c r="U317" s="7">
        <v>4.0</v>
      </c>
      <c r="V317" s="7">
        <v>148.0</v>
      </c>
      <c r="W317" s="7">
        <f>VLOOKUP($D317,NatureChart,2,0)</f>
        <v>1</v>
      </c>
      <c r="X317" s="7">
        <f>VLOOKUP($D317,NatureChart,3,0)</f>
        <v>1</v>
      </c>
      <c r="Y317" s="7">
        <f>VLOOKUP($D317,NatureChart,4,0)</f>
        <v>0.9</v>
      </c>
      <c r="Z317" s="7">
        <f>VLOOKUP($D317,NatureChart,5,0)</f>
        <v>1</v>
      </c>
      <c r="AA317" s="84">
        <f>VLOOKUP($D317,NatureChart,6,0)</f>
        <v>1.1</v>
      </c>
      <c r="AB317" s="84">
        <f>IF($C317="Shedinja",1,(INT((2*VLOOKUP($C317,DexData,5,0)+INT(Q317/4)+K317)/2)+60))</f>
        <v>129</v>
      </c>
      <c r="AC317" s="84">
        <f>INT(INT((INT((2*VLOOKUP($C317,DexData,6,0)+INT(R317/4)+L317)/2)+5)*W317)*IF($E317="Choice Band",1.5,IF(OR($E317="Mawilite",$E317="Medichamite",$E317="Thick Club"),2,1)))</f>
        <v>139</v>
      </c>
      <c r="AD317" s="84">
        <f>INT(INT((INT((2*VLOOKUP($C317,DexData,7,0)+INT(S317/4)+M317)/2)+5)*X317)*IF($E317="Eviolite",1.5,1))</f>
        <v>63</v>
      </c>
      <c r="AE317" s="84">
        <f>INT(INT((INT((2*VLOOKUP($C317,DexData,9,0)+INT(T317/4)+N317)/2)+5)*Y317)*IF($E317="Choice Specs",1.5,1))</f>
        <v>56</v>
      </c>
      <c r="AF317" s="84">
        <f>INT(INT((INT((2*VLOOKUP($C317,DexData,10,0)+INT(U317/4)+O317)/2)+5)*Z317)*IF(OR($E317="Eviolite",$E317="Assault Vest"),1.5,1))</f>
        <v>83</v>
      </c>
      <c r="AG317" s="84">
        <f>INT(INT((INT((2*VLOOKUP($C317,DexData,11,0)+INT(V317/4)+P317)/2)+5)*AA317)*IF($E317="Choice Scarf",1.5,IF($E317="Iron Ball",0.5,1)))</f>
        <v>174</v>
      </c>
      <c r="AH317" s="84" t="str">
        <f>VLOOKUP(VLOOKUP($C317,DexData,3,0),Aliases!D$2:E$19,2,0)&amp;IFERROR("/"&amp;VLOOKUP(VLOOKUP($C317,DexData,4,0),Aliases!D$2:E$19,2,0),"")</f>
        <v>GRD</v>
      </c>
      <c r="AI317" s="7">
        <v>3.0</v>
      </c>
      <c r="AJ317" s="7">
        <f>IF(VLOOKUP(B317,'Set Odds'!A$2:AN$1067,40,0),1,IF(VLOOKUP(B317,'Set Odds'!A$2:AO$1067,41,0),2,0))</f>
        <v>0</v>
      </c>
      <c r="AK317" s="7"/>
      <c r="AL317" s="7" t="str">
        <f t="shared" si="1"/>
        <v/>
      </c>
    </row>
    <row r="318" ht="12.75" customHeight="1">
      <c r="A318" s="86">
        <v>317.0</v>
      </c>
      <c r="B318" s="84" t="s">
        <v>3623</v>
      </c>
      <c r="C318" s="7" t="s">
        <v>3624</v>
      </c>
      <c r="D318" s="7" t="s">
        <v>2692</v>
      </c>
      <c r="E318" s="7" t="s">
        <v>3625</v>
      </c>
      <c r="F318" s="84" t="s">
        <v>2581</v>
      </c>
      <c r="G318" s="84" t="s">
        <v>3454</v>
      </c>
      <c r="H318" s="84" t="s">
        <v>2751</v>
      </c>
      <c r="I318" s="84" t="s">
        <v>3626</v>
      </c>
      <c r="J318" s="7" t="s">
        <v>2945</v>
      </c>
      <c r="K318" s="7">
        <v>31.0</v>
      </c>
      <c r="L318" s="7">
        <v>31.0</v>
      </c>
      <c r="M318" s="7">
        <v>15.0</v>
      </c>
      <c r="N318" s="7">
        <v>15.0</v>
      </c>
      <c r="O318" s="7">
        <v>15.0</v>
      </c>
      <c r="P318" s="7">
        <v>31.0</v>
      </c>
      <c r="Q318" s="7">
        <v>148.0</v>
      </c>
      <c r="R318" s="7">
        <v>148.0</v>
      </c>
      <c r="S318" s="7">
        <v>4.0</v>
      </c>
      <c r="T318" s="7">
        <v>4.0</v>
      </c>
      <c r="U318" s="7">
        <v>4.0</v>
      </c>
      <c r="V318" s="7">
        <v>148.0</v>
      </c>
      <c r="W318" s="7">
        <f>VLOOKUP($D318,NatureChart,2,0)</f>
        <v>1</v>
      </c>
      <c r="X318" s="7">
        <f>VLOOKUP($D318,NatureChart,3,0)</f>
        <v>1</v>
      </c>
      <c r="Y318" s="7">
        <f>VLOOKUP($D318,NatureChart,4,0)</f>
        <v>0.9</v>
      </c>
      <c r="Z318" s="7">
        <f>VLOOKUP($D318,NatureChart,5,0)</f>
        <v>1</v>
      </c>
      <c r="AA318" s="84">
        <f>VLOOKUP($D318,NatureChart,6,0)</f>
        <v>1.1</v>
      </c>
      <c r="AB318" s="84">
        <f>IF($C318="Shedinja",1,(INT((2*VLOOKUP($C318,DexData,5,0)+INT(Q318/4)+K318)/2)+60))</f>
        <v>154</v>
      </c>
      <c r="AC318" s="84">
        <f>INT(INT((INT((2*VLOOKUP($C318,DexData,6,0)+INT(R318/4)+L318)/2)+5)*W318)*IF($E318="Choice Band",1.5,IF(OR($E318="Mawilite",$E318="Medichamite",$E318="Thick Club"),2,1)))</f>
        <v>238</v>
      </c>
      <c r="AD318" s="84">
        <f>INT(INT((INT((2*VLOOKUP($C318,DexData,7,0)+INT(S318/4)+M318)/2)+5)*X318)*IF($E318="Eviolite",1.5,1))</f>
        <v>123</v>
      </c>
      <c r="AE318" s="84">
        <f>INT(INT((INT((2*VLOOKUP($C318,DexData,9,0)+INT(T318/4)+N318)/2)+5)*Y318)*IF($E318="Choice Specs",1.5,1))</f>
        <v>56</v>
      </c>
      <c r="AF318" s="84">
        <f>INT(INT((INT((2*VLOOKUP($C318,DexData,10,0)+INT(U318/4)+O318)/2)+5)*Z318)*IF(OR($E318="Eviolite",$E318="Assault Vest"),1.5,1))</f>
        <v>93</v>
      </c>
      <c r="AG318" s="84">
        <f>INT(INT((INT((2*VLOOKUP($C318,DexData,11,0)+INT(V318/4)+P318)/2)+5)*AA318)*IF($E318="Choice Scarf",1.5,IF($E318="Iron Ball",0.5,1)))</f>
        <v>92</v>
      </c>
      <c r="AH318" s="84" t="str">
        <f>VLOOKUP(VLOOKUP($C318,DexData,3,0),Aliases!D$2:E$19,2,0)&amp;IFERROR("/"&amp;VLOOKUP(VLOOKUP($C318,DexData,4,0),Aliases!D$2:E$19,2,0),"")</f>
        <v>GRD</v>
      </c>
      <c r="AI318" s="7">
        <v>3.0</v>
      </c>
      <c r="AJ318" s="7">
        <f>IF(VLOOKUP(B318,'Set Odds'!A$2:AN$1067,40,0),1,IF(VLOOKUP(B318,'Set Odds'!A$2:AO$1067,41,0),2,0))</f>
        <v>0</v>
      </c>
      <c r="AK318" s="7"/>
      <c r="AL318" s="7" t="str">
        <f t="shared" si="1"/>
        <v/>
      </c>
    </row>
    <row r="319" ht="12.75" customHeight="1">
      <c r="A319" s="86">
        <v>318.0</v>
      </c>
      <c r="B319" s="84" t="s">
        <v>3627</v>
      </c>
      <c r="C319" s="7" t="s">
        <v>3628</v>
      </c>
      <c r="D319" s="7" t="s">
        <v>2692</v>
      </c>
      <c r="E319" s="7" t="s">
        <v>2520</v>
      </c>
      <c r="F319" s="84" t="s">
        <v>3629</v>
      </c>
      <c r="G319" s="84" t="s">
        <v>3135</v>
      </c>
      <c r="H319" s="84" t="s">
        <v>3390</v>
      </c>
      <c r="I319" s="84" t="s">
        <v>3160</v>
      </c>
      <c r="J319" s="7" t="s">
        <v>3630</v>
      </c>
      <c r="K319" s="7">
        <v>31.0</v>
      </c>
      <c r="L319" s="7">
        <v>31.0</v>
      </c>
      <c r="M319" s="7">
        <v>15.0</v>
      </c>
      <c r="N319" s="7">
        <v>15.0</v>
      </c>
      <c r="O319" s="7">
        <v>15.0</v>
      </c>
      <c r="P319" s="7">
        <v>31.0</v>
      </c>
      <c r="Q319" s="7">
        <v>148.0</v>
      </c>
      <c r="R319" s="7">
        <v>148.0</v>
      </c>
      <c r="S319" s="7">
        <v>4.0</v>
      </c>
      <c r="T319" s="7">
        <v>4.0</v>
      </c>
      <c r="U319" s="7">
        <v>4.0</v>
      </c>
      <c r="V319" s="7">
        <v>148.0</v>
      </c>
      <c r="W319" s="7">
        <f>VLOOKUP($D319,NatureChart,2,0)</f>
        <v>1</v>
      </c>
      <c r="X319" s="7">
        <f>VLOOKUP($D319,NatureChart,3,0)</f>
        <v>1</v>
      </c>
      <c r="Y319" s="7">
        <f>VLOOKUP($D319,NatureChart,4,0)</f>
        <v>0.9</v>
      </c>
      <c r="Z319" s="7">
        <f>VLOOKUP($D319,NatureChart,5,0)</f>
        <v>1</v>
      </c>
      <c r="AA319" s="84">
        <f>VLOOKUP($D319,NatureChart,6,0)</f>
        <v>1.1</v>
      </c>
      <c r="AB319" s="84">
        <f>IF($C319="Shedinja",1,(INT((2*VLOOKUP($C319,DexData,5,0)+INT(Q319/4)+K319)/2)+60))</f>
        <v>154</v>
      </c>
      <c r="AC319" s="84">
        <f>INT(INT((INT((2*VLOOKUP($C319,DexData,6,0)+INT(R319/4)+L319)/2)+5)*W319)*IF($E319="Choice Band",1.5,IF(OR($E319="Mawilite",$E319="Medichamite",$E319="Thick Club"),2,1)))</f>
        <v>99</v>
      </c>
      <c r="AD319" s="84">
        <f>INT(INT((INT((2*VLOOKUP($C319,DexData,7,0)+INT(S319/4)+M319)/2)+5)*X319)*IF($E319="Eviolite",1.5,1))</f>
        <v>88</v>
      </c>
      <c r="AE319" s="84">
        <f>INT(INT((INT((2*VLOOKUP($C319,DexData,9,0)+INT(T319/4)+N319)/2)+5)*Y319)*IF($E319="Choice Specs",1.5,1))</f>
        <v>65</v>
      </c>
      <c r="AF319" s="84">
        <f>INT(INT((INT((2*VLOOKUP($C319,DexData,10,0)+INT(U319/4)+O319)/2)+5)*Z319)*IF(OR($E319="Eviolite",$E319="Assault Vest"),1.5,1))</f>
        <v>88</v>
      </c>
      <c r="AG319" s="84">
        <f>INT(INT((INT((2*VLOOKUP($C319,DexData,11,0)+INT(V319/4)+P319)/2)+5)*AA319)*IF($E319="Choice Scarf",1.5,IF($E319="Iron Ball",0.5,1)))</f>
        <v>130</v>
      </c>
      <c r="AH319" s="84" t="str">
        <f>VLOOKUP(VLOOKUP($C319,DexData,3,0),Aliases!D$2:E$19,2,0)&amp;IFERROR("/"&amp;VLOOKUP(VLOOKUP($C319,DexData,4,0),Aliases!D$2:E$19,2,0),"")</f>
        <v>FTG/PSY</v>
      </c>
      <c r="AI319" s="7">
        <v>3.0</v>
      </c>
      <c r="AJ319" s="7">
        <f>IF(VLOOKUP(B319,'Set Odds'!A$2:AN$1067,40,0),1,IF(VLOOKUP(B319,'Set Odds'!A$2:AO$1067,41,0),2,0))</f>
        <v>0</v>
      </c>
      <c r="AK319" s="7"/>
      <c r="AL319" s="7" t="str">
        <f t="shared" si="1"/>
        <v/>
      </c>
    </row>
    <row r="320" ht="12.75" customHeight="1">
      <c r="A320" s="86">
        <v>319.0</v>
      </c>
      <c r="B320" s="84" t="s">
        <v>3631</v>
      </c>
      <c r="C320" s="7" t="s">
        <v>3632</v>
      </c>
      <c r="D320" s="7" t="s">
        <v>2629</v>
      </c>
      <c r="E320" s="7" t="s">
        <v>2685</v>
      </c>
      <c r="F320" s="84" t="s">
        <v>2593</v>
      </c>
      <c r="G320" s="84" t="s">
        <v>2625</v>
      </c>
      <c r="H320" s="84" t="s">
        <v>2823</v>
      </c>
      <c r="I320" s="84" t="s">
        <v>2581</v>
      </c>
      <c r="J320" s="7" t="s">
        <v>3059</v>
      </c>
      <c r="K320" s="7">
        <v>31.0</v>
      </c>
      <c r="L320" s="7">
        <v>31.0</v>
      </c>
      <c r="M320" s="7">
        <v>31.0</v>
      </c>
      <c r="N320" s="7">
        <v>15.0</v>
      </c>
      <c r="O320" s="7">
        <v>15.0</v>
      </c>
      <c r="P320" s="7">
        <v>15.0</v>
      </c>
      <c r="Q320" s="7">
        <v>148.0</v>
      </c>
      <c r="R320" s="7">
        <v>148.0</v>
      </c>
      <c r="S320" s="7">
        <v>148.0</v>
      </c>
      <c r="T320" s="7">
        <v>4.0</v>
      </c>
      <c r="U320" s="7">
        <v>4.0</v>
      </c>
      <c r="V320" s="7">
        <v>4.0</v>
      </c>
      <c r="W320" s="7">
        <f>VLOOKUP($D320,NatureChart,2,0)</f>
        <v>1.1</v>
      </c>
      <c r="X320" s="7">
        <f>VLOOKUP($D320,NatureChart,3,0)</f>
        <v>1</v>
      </c>
      <c r="Y320" s="7">
        <f>VLOOKUP($D320,NatureChart,4,0)</f>
        <v>1</v>
      </c>
      <c r="Z320" s="7">
        <f>VLOOKUP($D320,NatureChart,5,0)</f>
        <v>1</v>
      </c>
      <c r="AA320" s="84">
        <f>VLOOKUP($D320,NatureChart,6,0)</f>
        <v>0.9</v>
      </c>
      <c r="AB320" s="84">
        <f>IF($C320="Shedinja",1,(INT((2*VLOOKUP($C320,DexData,5,0)+INT(Q320/4)+K320)/2)+60))</f>
        <v>189</v>
      </c>
      <c r="AC320" s="84">
        <f>INT(INT((INT((2*VLOOKUP($C320,DexData,6,0)+INT(R320/4)+L320)/2)+5)*W320)*IF($E320="Choice Band",1.5,IF(OR($E320="Mawilite",$E320="Medichamite",$E320="Thick Club"),2,1)))</f>
        <v>136</v>
      </c>
      <c r="AD320" s="84">
        <f>INT(INT((INT((2*VLOOKUP($C320,DexData,7,0)+INT(S320/4)+M320)/2)+5)*X320)*IF($E320="Eviolite",1.5,1))</f>
        <v>124</v>
      </c>
      <c r="AE320" s="84">
        <f>INT(INT((INT((2*VLOOKUP($C320,DexData,9,0)+INT(T320/4)+N320)/2)+5)*Y320)*IF($E320="Choice Specs",1.5,1))</f>
        <v>78</v>
      </c>
      <c r="AF320" s="84">
        <f>INT(INT((INT((2*VLOOKUP($C320,DexData,10,0)+INT(U320/4)+O320)/2)+5)*Z320)*IF(OR($E320="Eviolite",$E320="Assault Vest"),1.5,1))</f>
        <v>78</v>
      </c>
      <c r="AG320" s="84">
        <f>INT(INT((INT((2*VLOOKUP($C320,DexData,11,0)+INT(V320/4)+P320)/2)+5)*AA320)*IF($E320="Choice Scarf",1.5,IF($E320="Iron Ball",0.5,1)))</f>
        <v>43</v>
      </c>
      <c r="AH320" s="84" t="str">
        <f>VLOOKUP(VLOOKUP($C320,DexData,3,0),Aliases!D$2:E$19,2,0)&amp;IFERROR("/"&amp;VLOOKUP(VLOOKUP($C320,DexData,4,0),Aliases!D$2:E$19,2,0),"")</f>
        <v>WTR/GRD</v>
      </c>
      <c r="AI320" s="7">
        <v>3.0</v>
      </c>
      <c r="AJ320" s="7">
        <f>IF(VLOOKUP(B320,'Set Odds'!A$2:AN$1067,40,0),1,IF(VLOOKUP(B320,'Set Odds'!A$2:AO$1067,41,0),2,0))</f>
        <v>0</v>
      </c>
      <c r="AK320" s="7"/>
      <c r="AL320" s="7" t="str">
        <f t="shared" si="1"/>
        <v/>
      </c>
    </row>
    <row r="321" ht="12.75" customHeight="1">
      <c r="A321" s="86">
        <v>320.0</v>
      </c>
      <c r="B321" s="84" t="s">
        <v>3633</v>
      </c>
      <c r="C321" s="7" t="s">
        <v>3634</v>
      </c>
      <c r="D321" s="7" t="s">
        <v>2629</v>
      </c>
      <c r="E321" s="7" t="s">
        <v>3635</v>
      </c>
      <c r="F321" s="84" t="s">
        <v>2763</v>
      </c>
      <c r="G321" s="84" t="s">
        <v>2588</v>
      </c>
      <c r="H321" s="84" t="s">
        <v>2625</v>
      </c>
      <c r="I321" s="84" t="s">
        <v>3636</v>
      </c>
      <c r="J321" s="7" t="s">
        <v>2696</v>
      </c>
      <c r="K321" s="7">
        <v>31.0</v>
      </c>
      <c r="L321" s="7">
        <v>31.0</v>
      </c>
      <c r="M321" s="7">
        <v>31.0</v>
      </c>
      <c r="N321" s="7">
        <v>15.0</v>
      </c>
      <c r="O321" s="7">
        <v>15.0</v>
      </c>
      <c r="P321" s="7">
        <v>15.0</v>
      </c>
      <c r="Q321" s="7">
        <v>148.0</v>
      </c>
      <c r="R321" s="7">
        <v>148.0</v>
      </c>
      <c r="S321" s="7">
        <v>148.0</v>
      </c>
      <c r="T321" s="7">
        <v>4.0</v>
      </c>
      <c r="U321" s="7">
        <v>4.0</v>
      </c>
      <c r="V321" s="7">
        <v>4.0</v>
      </c>
      <c r="W321" s="7">
        <f>VLOOKUP($D321,NatureChart,2,0)</f>
        <v>1.1</v>
      </c>
      <c r="X321" s="7">
        <f>VLOOKUP($D321,NatureChart,3,0)</f>
        <v>1</v>
      </c>
      <c r="Y321" s="7">
        <f>VLOOKUP($D321,NatureChart,4,0)</f>
        <v>1</v>
      </c>
      <c r="Z321" s="7">
        <f>VLOOKUP($D321,NatureChart,5,0)</f>
        <v>1</v>
      </c>
      <c r="AA321" s="84">
        <f>VLOOKUP($D321,NatureChart,6,0)</f>
        <v>0.9</v>
      </c>
      <c r="AB321" s="84">
        <f>IF($C321="Shedinja",1,(INT((2*VLOOKUP($C321,DexData,5,0)+INT(Q321/4)+K321)/2)+60))</f>
        <v>184</v>
      </c>
      <c r="AC321" s="84">
        <f>INT(INT((INT((2*VLOOKUP($C321,DexData,6,0)+INT(R321/4)+L321)/2)+5)*W321)*IF($E321="Choice Band",1.5,IF(OR($E321="Mawilite",$E321="Medichamite",$E321="Thick Club"),2,1)))</f>
        <v>174</v>
      </c>
      <c r="AD321" s="84">
        <f>INT(INT((INT((2*VLOOKUP($C321,DexData,7,0)+INT(S321/4)+M321)/2)+5)*X321)*IF($E321="Eviolite",1.5,1))</f>
        <v>114</v>
      </c>
      <c r="AE321" s="84">
        <f>INT(INT((INT((2*VLOOKUP($C321,DexData,9,0)+INT(T321/4)+N321)/2)+5)*Y321)*IF($E321="Choice Specs",1.5,1))</f>
        <v>73</v>
      </c>
      <c r="AF321" s="84">
        <f>INT(INT((INT((2*VLOOKUP($C321,DexData,10,0)+INT(U321/4)+O321)/2)+5)*Z321)*IF(OR($E321="Eviolite",$E321="Assault Vest"),1.5,1))</f>
        <v>73</v>
      </c>
      <c r="AG321" s="84">
        <f>INT(INT((INT((2*VLOOKUP($C321,DexData,11,0)+INT(V321/4)+P321)/2)+5)*AA321)*IF($E321="Choice Scarf",1.5,IF($E321="Iron Ball",0.5,1)))</f>
        <v>52</v>
      </c>
      <c r="AH321" s="84" t="str">
        <f>VLOOKUP(VLOOKUP($C321,DexData,3,0),Aliases!D$2:E$19,2,0)&amp;IFERROR("/"&amp;VLOOKUP(VLOOKUP($C321,DexData,4,0),Aliases!D$2:E$19,2,0),"")</f>
        <v>FAI</v>
      </c>
      <c r="AI321" s="7">
        <v>3.0</v>
      </c>
      <c r="AJ321" s="7">
        <f>IF(VLOOKUP(B321,'Set Odds'!A$2:AN$1067,40,0),1,IF(VLOOKUP(B321,'Set Odds'!A$2:AO$1067,41,0),2,0))</f>
        <v>0</v>
      </c>
      <c r="AK321" s="7"/>
      <c r="AL321" s="7" t="str">
        <f t="shared" si="1"/>
        <v/>
      </c>
    </row>
    <row r="322" ht="12.75" customHeight="1">
      <c r="A322" s="86">
        <v>321.0</v>
      </c>
      <c r="B322" s="84" t="s">
        <v>3637</v>
      </c>
      <c r="C322" s="7" t="s">
        <v>3638</v>
      </c>
      <c r="D322" s="7" t="s">
        <v>2862</v>
      </c>
      <c r="E322" s="7" t="s">
        <v>2524</v>
      </c>
      <c r="F322" s="84" t="s">
        <v>3639</v>
      </c>
      <c r="G322" s="84" t="s">
        <v>3640</v>
      </c>
      <c r="H322" s="84" t="s">
        <v>2517</v>
      </c>
      <c r="I322" s="84" t="s">
        <v>3641</v>
      </c>
      <c r="J322" s="7" t="s">
        <v>3642</v>
      </c>
      <c r="K322" s="7">
        <v>31.0</v>
      </c>
      <c r="L322" s="7">
        <v>15.0</v>
      </c>
      <c r="M322" s="7">
        <v>31.0</v>
      </c>
      <c r="N322" s="7">
        <v>31.0</v>
      </c>
      <c r="O322" s="7">
        <v>15.0</v>
      </c>
      <c r="P322" s="7">
        <v>15.0</v>
      </c>
      <c r="Q322" s="7">
        <v>148.0</v>
      </c>
      <c r="R322" s="7">
        <v>4.0</v>
      </c>
      <c r="S322" s="7">
        <v>148.0</v>
      </c>
      <c r="T322" s="7">
        <v>148.0</v>
      </c>
      <c r="U322" s="7">
        <v>4.0</v>
      </c>
      <c r="V322" s="7">
        <v>4.0</v>
      </c>
      <c r="W322" s="7">
        <f>VLOOKUP($D322,NatureChart,2,0)</f>
        <v>0.9</v>
      </c>
      <c r="X322" s="7">
        <f>VLOOKUP($D322,NatureChart,3,0)</f>
        <v>1.1</v>
      </c>
      <c r="Y322" s="7">
        <f>VLOOKUP($D322,NatureChart,4,0)</f>
        <v>1</v>
      </c>
      <c r="Z322" s="7">
        <f>VLOOKUP($D322,NatureChart,5,0)</f>
        <v>1</v>
      </c>
      <c r="AA322" s="84">
        <f>VLOOKUP($D322,NatureChart,6,0)</f>
        <v>1</v>
      </c>
      <c r="AB322" s="84">
        <f>IF($C322="Shedinja",1,(INT((2*VLOOKUP($C322,DexData,5,0)+INT(Q322/4)+K322)/2)+60))</f>
        <v>159</v>
      </c>
      <c r="AC322" s="84">
        <f>INT(INT((INT((2*VLOOKUP($C322,DexData,6,0)+INT(R322/4)+L322)/2)+5)*W322)*IF($E322="Choice Band",1.5,IF(OR($E322="Mawilite",$E322="Medichamite",$E322="Thick Club"),2,1)))</f>
        <v>56</v>
      </c>
      <c r="AD322" s="84">
        <f>INT(INT((INT((2*VLOOKUP($C322,DexData,7,0)+INT(S322/4)+M322)/2)+5)*X322)*IF($E322="Eviolite",1.5,1))</f>
        <v>81</v>
      </c>
      <c r="AE322" s="84">
        <f>INT(INT((INT((2*VLOOKUP($C322,DexData,9,0)+INT(T322/4)+N322)/2)+5)*Y322)*IF($E322="Choice Specs",1.5,1))</f>
        <v>154</v>
      </c>
      <c r="AF322" s="84">
        <f>INT(INT((INT((2*VLOOKUP($C322,DexData,10,0)+INT(U322/4)+O322)/2)+5)*Z322)*IF(OR($E322="Eviolite",$E322="Assault Vest"),1.5,1))</f>
        <v>108</v>
      </c>
      <c r="AG322" s="84">
        <f>INT(INT((INT((2*VLOOKUP($C322,DexData,11,0)+INT(V322/4)+P322)/2)+5)*AA322)*IF($E322="Choice Scarf",1.5,IF($E322="Iron Ball",0.5,1)))</f>
        <v>108</v>
      </c>
      <c r="AH322" s="84" t="str">
        <f>VLOOKUP(VLOOKUP($C322,DexData,3,0),Aliases!D$2:E$19,2,0)&amp;IFERROR("/"&amp;VLOOKUP(VLOOKUP($C322,DexData,4,0),Aliases!D$2:E$19,2,0),"")</f>
        <v>ICE/PSY</v>
      </c>
      <c r="AI322" s="7">
        <v>3.0</v>
      </c>
      <c r="AJ322" s="7">
        <f>IF(VLOOKUP(B322,'Set Odds'!A$2:AN$1067,40,0),1,IF(VLOOKUP(B322,'Set Odds'!A$2:AO$1067,41,0),2,0))</f>
        <v>0</v>
      </c>
      <c r="AK322" s="7"/>
      <c r="AL322" s="7" t="str">
        <f t="shared" si="1"/>
        <v/>
      </c>
    </row>
    <row r="323" ht="12.75" customHeight="1">
      <c r="A323" s="86">
        <v>322.0</v>
      </c>
      <c r="B323" s="84" t="s">
        <v>3643</v>
      </c>
      <c r="C323" s="7" t="s">
        <v>3644</v>
      </c>
      <c r="D323" s="7" t="s">
        <v>2862</v>
      </c>
      <c r="E323" s="7" t="s">
        <v>2636</v>
      </c>
      <c r="F323" s="84" t="s">
        <v>2659</v>
      </c>
      <c r="G323" s="84" t="s">
        <v>2863</v>
      </c>
      <c r="H323" s="84" t="s">
        <v>2596</v>
      </c>
      <c r="I323" s="84" t="s">
        <v>3645</v>
      </c>
      <c r="J323" s="7" t="s">
        <v>3646</v>
      </c>
      <c r="K323" s="7">
        <v>31.0</v>
      </c>
      <c r="L323" s="7">
        <v>15.0</v>
      </c>
      <c r="M323" s="7">
        <v>31.0</v>
      </c>
      <c r="N323" s="7">
        <v>31.0</v>
      </c>
      <c r="O323" s="7">
        <v>15.0</v>
      </c>
      <c r="P323" s="7">
        <v>15.0</v>
      </c>
      <c r="Q323" s="7">
        <v>148.0</v>
      </c>
      <c r="R323" s="7">
        <v>4.0</v>
      </c>
      <c r="S323" s="7">
        <v>148.0</v>
      </c>
      <c r="T323" s="7">
        <v>148.0</v>
      </c>
      <c r="U323" s="7">
        <v>4.0</v>
      </c>
      <c r="V323" s="7">
        <v>4.0</v>
      </c>
      <c r="W323" s="7">
        <f>VLOOKUP($D323,NatureChart,2,0)</f>
        <v>0.9</v>
      </c>
      <c r="X323" s="7">
        <f>VLOOKUP($D323,NatureChart,3,0)</f>
        <v>1.1</v>
      </c>
      <c r="Y323" s="7">
        <f>VLOOKUP($D323,NatureChart,4,0)</f>
        <v>1</v>
      </c>
      <c r="Z323" s="7">
        <f>VLOOKUP($D323,NatureChart,5,0)</f>
        <v>1</v>
      </c>
      <c r="AA323" s="84">
        <f>VLOOKUP($D323,NatureChart,6,0)</f>
        <v>1</v>
      </c>
      <c r="AB323" s="84">
        <f>IF($C323="Shedinja",1,(INT((2*VLOOKUP($C323,DexData,5,0)+INT(Q323/4)+K323)/2)+60))</f>
        <v>134</v>
      </c>
      <c r="AC323" s="84">
        <f>INT(INT((INT((2*VLOOKUP($C323,DexData,6,0)+INT(R323/4)+L323)/2)+5)*W323)*IF($E323="Choice Band",1.5,IF(OR($E323="Mawilite",$E323="Medichamite",$E323="Thick Club"),2,1)))</f>
        <v>52</v>
      </c>
      <c r="AD323" s="84">
        <f>INT(INT((INT((2*VLOOKUP($C323,DexData,7,0)+INT(S323/4)+M323)/2)+5)*X323)*IF($E323="Eviolite",1.5,1))</f>
        <v>114</v>
      </c>
      <c r="AE323" s="84">
        <f>INT(INT((INT((2*VLOOKUP($C323,DexData,9,0)+INT(T323/4)+N323)/2)+5)*Y323)*IF($E323="Choice Specs",1.5,1))</f>
        <v>139</v>
      </c>
      <c r="AF323" s="84">
        <f>INT(INT((INT((2*VLOOKUP($C323,DexData,10,0)+INT(U323/4)+O323)/2)+5)*Z323)*IF(OR($E323="Eviolite",$E323="Assault Vest"),1.5,1))</f>
        <v>133</v>
      </c>
      <c r="AG323" s="84">
        <f>INT(INT((INT((2*VLOOKUP($C323,DexData,11,0)+INT(V323/4)+P323)/2)+5)*AA323)*IF($E323="Choice Scarf",1.5,IF($E323="Iron Ball",0.5,1)))</f>
        <v>103</v>
      </c>
      <c r="AH323" s="84" t="str">
        <f>VLOOKUP(VLOOKUP($C323,DexData,3,0),Aliases!D$2:E$19,2,0)&amp;IFERROR("/"&amp;VLOOKUP(VLOOKUP($C323,DexData,4,0),Aliases!D$2:E$19,2,0),"")</f>
        <v>PSY/FAI</v>
      </c>
      <c r="AI323" s="7">
        <v>3.0</v>
      </c>
      <c r="AJ323" s="7">
        <f>IF(VLOOKUP(B323,'Set Odds'!A$2:AN$1067,40,0),1,IF(VLOOKUP(B323,'Set Odds'!A$2:AO$1067,41,0),2,0))</f>
        <v>0</v>
      </c>
      <c r="AK323" s="7"/>
      <c r="AL323" s="7" t="str">
        <f t="shared" si="1"/>
        <v/>
      </c>
    </row>
    <row r="324" ht="12.75" customHeight="1">
      <c r="A324" s="86">
        <v>323.0</v>
      </c>
      <c r="B324" s="84" t="s">
        <v>3647</v>
      </c>
      <c r="C324" s="7" t="s">
        <v>3648</v>
      </c>
      <c r="D324" s="7" t="s">
        <v>2862</v>
      </c>
      <c r="E324" s="7" t="s">
        <v>2623</v>
      </c>
      <c r="F324" s="84" t="s">
        <v>2880</v>
      </c>
      <c r="G324" s="84" t="s">
        <v>2961</v>
      </c>
      <c r="H324" s="84" t="s">
        <v>2823</v>
      </c>
      <c r="I324" s="84" t="s">
        <v>2532</v>
      </c>
      <c r="J324" s="7" t="s">
        <v>3000</v>
      </c>
      <c r="K324" s="7">
        <v>31.0</v>
      </c>
      <c r="L324" s="7">
        <v>15.0</v>
      </c>
      <c r="M324" s="7">
        <v>31.0</v>
      </c>
      <c r="N324" s="7">
        <v>31.0</v>
      </c>
      <c r="O324" s="7">
        <v>15.0</v>
      </c>
      <c r="P324" s="7">
        <v>15.0</v>
      </c>
      <c r="Q324" s="7">
        <v>148.0</v>
      </c>
      <c r="R324" s="7">
        <v>4.0</v>
      </c>
      <c r="S324" s="7">
        <v>148.0</v>
      </c>
      <c r="T324" s="7">
        <v>148.0</v>
      </c>
      <c r="U324" s="7">
        <v>4.0</v>
      </c>
      <c r="V324" s="7">
        <v>4.0</v>
      </c>
      <c r="W324" s="7">
        <f>VLOOKUP($D324,NatureChart,2,0)</f>
        <v>0.9</v>
      </c>
      <c r="X324" s="7">
        <f>VLOOKUP($D324,NatureChart,3,0)</f>
        <v>1.1</v>
      </c>
      <c r="Y324" s="7">
        <f>VLOOKUP($D324,NatureChart,4,0)</f>
        <v>1</v>
      </c>
      <c r="Z324" s="7">
        <f>VLOOKUP($D324,NatureChart,5,0)</f>
        <v>1</v>
      </c>
      <c r="AA324" s="84">
        <f>VLOOKUP($D324,NatureChart,6,0)</f>
        <v>1</v>
      </c>
      <c r="AB324" s="84">
        <f>IF($C324="Shedinja",1,(INT((2*VLOOKUP($C324,DexData,5,0)+INT(Q324/4)+K324)/2)+60))</f>
        <v>219</v>
      </c>
      <c r="AC324" s="84">
        <f>INT(INT((INT((2*VLOOKUP($C324,DexData,6,0)+INT(R324/4)+L324)/2)+5)*W324)*IF($E324="Choice Band",1.5,IF(OR($E324="Mawilite",$E324="Medichamite",$E324="Thick Club"),2,1)))</f>
        <v>63</v>
      </c>
      <c r="AD324" s="84">
        <f>INT(INT((INT((2*VLOOKUP($C324,DexData,7,0)+INT(S324/4)+M324)/2)+5)*X324)*IF($E324="Eviolite",1.5,1))</f>
        <v>106</v>
      </c>
      <c r="AE324" s="84">
        <f>INT(INT((INT((2*VLOOKUP($C324,DexData,9,0)+INT(T324/4)+N324)/2)+5)*Y324)*IF($E324="Choice Specs",1.5,1))</f>
        <v>115</v>
      </c>
      <c r="AF324" s="84">
        <f>INT(INT((INT((2*VLOOKUP($C324,DexData,10,0)+INT(U324/4)+O324)/2)+5)*Z324)*IF(OR($E324="Eviolite",$E324="Assault Vest"),1.5,1))</f>
        <v>89</v>
      </c>
      <c r="AG324" s="84">
        <f>INT(INT((INT((2*VLOOKUP($C324,DexData,11,0)+INT(V324/4)+P324)/2)+5)*AA324)*IF($E324="Choice Scarf",1.5,IF($E324="Iron Ball",0.5,1)))</f>
        <v>80</v>
      </c>
      <c r="AH324" s="84" t="str">
        <f>VLOOKUP(VLOOKUP($C324,DexData,3,0),Aliases!D$2:E$19,2,0)&amp;IFERROR("/"&amp;VLOOKUP(VLOOKUP($C324,DexData,4,0),Aliases!D$2:E$19,2,0),"")</f>
        <v>WTR/ELC</v>
      </c>
      <c r="AI324" s="7">
        <v>3.0</v>
      </c>
      <c r="AJ324" s="7">
        <f>IF(VLOOKUP(B324,'Set Odds'!A$2:AN$1067,40,0),1,IF(VLOOKUP(B324,'Set Odds'!A$2:AO$1067,41,0),2,0))</f>
        <v>0</v>
      </c>
      <c r="AK324" s="7"/>
      <c r="AL324" s="7" t="str">
        <f t="shared" si="1"/>
        <v/>
      </c>
    </row>
    <row r="325" ht="12.75" customHeight="1">
      <c r="A325" s="86">
        <v>324.0</v>
      </c>
      <c r="B325" s="84" t="s">
        <v>3649</v>
      </c>
      <c r="C325" s="7" t="s">
        <v>3650</v>
      </c>
      <c r="D325" s="7" t="s">
        <v>2692</v>
      </c>
      <c r="E325" s="7" t="s">
        <v>3651</v>
      </c>
      <c r="F325" s="84" t="s">
        <v>2517</v>
      </c>
      <c r="G325" s="84" t="s">
        <v>3249</v>
      </c>
      <c r="H325" s="84" t="s">
        <v>2575</v>
      </c>
      <c r="I325" s="84" t="s">
        <v>3652</v>
      </c>
      <c r="J325" s="7" t="s">
        <v>3653</v>
      </c>
      <c r="K325" s="7">
        <v>31.0</v>
      </c>
      <c r="L325" s="7">
        <v>15.0</v>
      </c>
      <c r="M325" s="7">
        <v>31.0</v>
      </c>
      <c r="N325" s="7">
        <v>15.0</v>
      </c>
      <c r="O325" s="7">
        <v>15.0</v>
      </c>
      <c r="P325" s="7">
        <v>31.0</v>
      </c>
      <c r="Q325" s="7">
        <v>148.0</v>
      </c>
      <c r="R325" s="7">
        <v>4.0</v>
      </c>
      <c r="S325" s="7">
        <v>148.0</v>
      </c>
      <c r="T325" s="7">
        <v>4.0</v>
      </c>
      <c r="U325" s="7">
        <v>4.0</v>
      </c>
      <c r="V325" s="7">
        <v>148.0</v>
      </c>
      <c r="W325" s="7">
        <f>VLOOKUP($D325,NatureChart,2,0)</f>
        <v>1</v>
      </c>
      <c r="X325" s="7">
        <f>VLOOKUP($D325,NatureChart,3,0)</f>
        <v>1</v>
      </c>
      <c r="Y325" s="7">
        <f>VLOOKUP($D325,NatureChart,4,0)</f>
        <v>0.9</v>
      </c>
      <c r="Z325" s="7">
        <f>VLOOKUP($D325,NatureChart,5,0)</f>
        <v>1</v>
      </c>
      <c r="AA325" s="84">
        <f>VLOOKUP($D325,NatureChart,6,0)</f>
        <v>1.1</v>
      </c>
      <c r="AB325" s="84">
        <f>IF($C325="Shedinja",1,(INT((2*VLOOKUP($C325,DexData,5,0)+INT(Q325/4)+K325)/2)+60))</f>
        <v>154</v>
      </c>
      <c r="AC325" s="84">
        <f>INT(INT((INT((2*VLOOKUP($C325,DexData,6,0)+INT(R325/4)+L325)/2)+5)*W325)*IF($E325="Choice Band",1.5,IF(OR($E325="Mawilite",$E325="Medichamite",$E325="Thick Club"),2,1)))</f>
        <v>143</v>
      </c>
      <c r="AD325" s="84">
        <f>INT(INT((INT((2*VLOOKUP($C325,DexData,7,0)+INT(S325/4)+M325)/2)+5)*X325)*IF($E325="Eviolite",1.5,1))</f>
        <v>119</v>
      </c>
      <c r="AE325" s="84">
        <f>INT(INT((INT((2*VLOOKUP($C325,DexData,9,0)+INT(T325/4)+N325)/2)+5)*Y325)*IF($E325="Choice Specs",1.5,1))</f>
        <v>65</v>
      </c>
      <c r="AF325" s="84">
        <f>INT(INT((INT((2*VLOOKUP($C325,DexData,10,0)+INT(U325/4)+O325)/2)+5)*Z325)*IF(OR($E325="Eviolite",$E325="Assault Vest"),1.5,1))</f>
        <v>73</v>
      </c>
      <c r="AG325" s="84">
        <f>INT(INT((INT((2*VLOOKUP($C325,DexData,11,0)+INT(V325/4)+P325)/2)+5)*AA325)*IF($E325="Choice Scarf",1.5,IF($E325="Iron Ball",0.5,1)))</f>
        <v>119</v>
      </c>
      <c r="AH325" s="84" t="str">
        <f>VLOOKUP(VLOOKUP($C325,DexData,3,0),Aliases!D$2:E$19,2,0)&amp;IFERROR("/"&amp;VLOOKUP(VLOOKUP($C325,DexData,4,0),Aliases!D$2:E$19,2,0),"")</f>
        <v>GRS/FTG</v>
      </c>
      <c r="AI325" s="7">
        <v>3.0</v>
      </c>
      <c r="AJ325" s="7">
        <f>IF(VLOOKUP(B325,'Set Odds'!A$2:AN$1067,40,0),1,IF(VLOOKUP(B325,'Set Odds'!A$2:AO$1067,41,0),2,0))</f>
        <v>0</v>
      </c>
      <c r="AK325" s="7"/>
      <c r="AL325" s="7" t="str">
        <f t="shared" si="1"/>
        <v/>
      </c>
    </row>
    <row r="326" ht="12.75" customHeight="1">
      <c r="A326" s="86">
        <v>325.0</v>
      </c>
      <c r="B326" s="84" t="s">
        <v>3654</v>
      </c>
      <c r="C326" s="7" t="s">
        <v>3655</v>
      </c>
      <c r="D326" s="7" t="s">
        <v>2723</v>
      </c>
      <c r="E326" s="7" t="s">
        <v>2630</v>
      </c>
      <c r="F326" s="84" t="s">
        <v>2798</v>
      </c>
      <c r="G326" s="84" t="s">
        <v>2718</v>
      </c>
      <c r="H326" s="84" t="s">
        <v>3387</v>
      </c>
      <c r="I326" s="84" t="s">
        <v>3039</v>
      </c>
      <c r="J326" s="7" t="s">
        <v>2728</v>
      </c>
      <c r="K326" s="7">
        <v>31.0</v>
      </c>
      <c r="L326" s="7">
        <v>31.0</v>
      </c>
      <c r="M326" s="7">
        <v>15.0</v>
      </c>
      <c r="N326" s="7">
        <v>15.0</v>
      </c>
      <c r="O326" s="7">
        <v>31.0</v>
      </c>
      <c r="P326" s="7">
        <v>15.0</v>
      </c>
      <c r="Q326" s="7">
        <v>148.0</v>
      </c>
      <c r="R326" s="7">
        <v>148.0</v>
      </c>
      <c r="S326" s="7">
        <v>4.0</v>
      </c>
      <c r="T326" s="7">
        <v>4.0</v>
      </c>
      <c r="U326" s="7">
        <v>148.0</v>
      </c>
      <c r="V326" s="7">
        <v>4.0</v>
      </c>
      <c r="W326" s="7">
        <f>VLOOKUP($D326,NatureChart,2,0)</f>
        <v>1</v>
      </c>
      <c r="X326" s="7">
        <f>VLOOKUP($D326,NatureChart,3,0)</f>
        <v>1</v>
      </c>
      <c r="Y326" s="7">
        <f>VLOOKUP($D326,NatureChart,4,0)</f>
        <v>0.9</v>
      </c>
      <c r="Z326" s="7">
        <f>VLOOKUP($D326,NatureChart,5,0)</f>
        <v>1.1</v>
      </c>
      <c r="AA326" s="84">
        <f>VLOOKUP($D326,NatureChart,6,0)</f>
        <v>1</v>
      </c>
      <c r="AB326" s="84">
        <f>IF($C326="Shedinja",1,(INT((2*VLOOKUP($C326,DexData,5,0)+INT(Q326/4)+K326)/2)+60))</f>
        <v>169</v>
      </c>
      <c r="AC326" s="84">
        <f>INT(INT((INT((2*VLOOKUP($C326,DexData,6,0)+INT(R326/4)+L326)/2)+5)*W326)*IF($E326="Choice Band",1.5,IF(OR($E326="Mawilite",$E326="Medichamite",$E326="Thick Club"),2,1)))</f>
        <v>129</v>
      </c>
      <c r="AD326" s="84">
        <f>INT(INT((INT((2*VLOOKUP($C326,DexData,7,0)+INT(S326/4)+M326)/2)+5)*X326)*IF($E326="Eviolite",1.5,1))</f>
        <v>153</v>
      </c>
      <c r="AE326" s="84">
        <f>INT(INT((INT((2*VLOOKUP($C326,DexData,9,0)+INT(T326/4)+N326)/2)+5)*Y326)*IF($E326="Choice Specs",1.5,1))</f>
        <v>65</v>
      </c>
      <c r="AF326" s="84">
        <f>INT(INT((INT((2*VLOOKUP($C326,DexData,10,0)+INT(U326/4)+O326)/2)+5)*Z326)*IF(OR($E326="Eviolite",$E326="Assault Vest"),1.5,1))</f>
        <v>108</v>
      </c>
      <c r="AG326" s="84">
        <f>INT(INT((INT((2*VLOOKUP($C326,DexData,11,0)+INT(V326/4)+P326)/2)+5)*AA326)*IF($E326="Choice Scarf",1.5,IF($E326="Iron Ball",0.5,1)))</f>
        <v>53</v>
      </c>
      <c r="AH326" s="84" t="str">
        <f>VLOOKUP(VLOOKUP($C326,DexData,3,0),Aliases!D$2:E$19,2,0)&amp;IFERROR("/"&amp;VLOOKUP(VLOOKUP($C326,DexData,4,0),Aliases!D$2:E$19,2,0),"")</f>
        <v>BUG/STL</v>
      </c>
      <c r="AI326" s="7">
        <v>3.0</v>
      </c>
      <c r="AJ326" s="7">
        <f>IF(VLOOKUP(B326,'Set Odds'!A$2:AN$1067,40,0),1,IF(VLOOKUP(B326,'Set Odds'!A$2:AO$1067,41,0),2,0))</f>
        <v>0</v>
      </c>
      <c r="AK326" s="7"/>
      <c r="AL326" s="7" t="str">
        <f t="shared" si="1"/>
        <v/>
      </c>
    </row>
    <row r="327" ht="12.75" customHeight="1">
      <c r="A327" s="86">
        <v>326.0</v>
      </c>
      <c r="B327" s="84" t="s">
        <v>3656</v>
      </c>
      <c r="C327" s="7" t="s">
        <v>3657</v>
      </c>
      <c r="D327" s="7" t="s">
        <v>2723</v>
      </c>
      <c r="E327" s="7" t="s">
        <v>2685</v>
      </c>
      <c r="F327" s="84" t="s">
        <v>3543</v>
      </c>
      <c r="G327" s="84" t="s">
        <v>2694</v>
      </c>
      <c r="H327" s="84" t="s">
        <v>3447</v>
      </c>
      <c r="I327" s="84" t="s">
        <v>3448</v>
      </c>
      <c r="J327" s="7" t="s">
        <v>2728</v>
      </c>
      <c r="K327" s="7">
        <v>31.0</v>
      </c>
      <c r="L327" s="7">
        <v>15.0</v>
      </c>
      <c r="M327" s="7">
        <v>31.0</v>
      </c>
      <c r="N327" s="7">
        <v>15.0</v>
      </c>
      <c r="O327" s="7">
        <v>31.0</v>
      </c>
      <c r="P327" s="7">
        <v>15.0</v>
      </c>
      <c r="Q327" s="7">
        <v>148.0</v>
      </c>
      <c r="R327" s="7">
        <v>4.0</v>
      </c>
      <c r="S327" s="7">
        <v>148.0</v>
      </c>
      <c r="T327" s="7">
        <v>4.0</v>
      </c>
      <c r="U327" s="7">
        <v>148.0</v>
      </c>
      <c r="V327" s="7">
        <v>4.0</v>
      </c>
      <c r="W327" s="7">
        <f>VLOOKUP($D327,NatureChart,2,0)</f>
        <v>1</v>
      </c>
      <c r="X327" s="7">
        <f>VLOOKUP($D327,NatureChart,3,0)</f>
        <v>1</v>
      </c>
      <c r="Y327" s="7">
        <f>VLOOKUP($D327,NatureChart,4,0)</f>
        <v>0.9</v>
      </c>
      <c r="Z327" s="7">
        <f>VLOOKUP($D327,NatureChart,5,0)</f>
        <v>1.1</v>
      </c>
      <c r="AA327" s="84">
        <f>VLOOKUP($D327,NatureChart,6,0)</f>
        <v>1</v>
      </c>
      <c r="AB327" s="84">
        <f>IF($C327="Shedinja",1,(INT((2*VLOOKUP($C327,DexData,5,0)+INT(Q327/4)+K327)/2)+60))</f>
        <v>159</v>
      </c>
      <c r="AC327" s="84">
        <f>INT(INT((INT((2*VLOOKUP($C327,DexData,6,0)+INT(R327/4)+L327)/2)+5)*W327)*IF($E327="Choice Band",1.5,IF(OR($E327="Mawilite",$E327="Medichamite",$E327="Thick Club"),2,1)))</f>
        <v>93</v>
      </c>
      <c r="AD327" s="84">
        <f>INT(INT((INT((2*VLOOKUP($C327,DexData,7,0)+INT(S327/4)+M327)/2)+5)*X327)*IF($E327="Eviolite",1.5,1))</f>
        <v>179</v>
      </c>
      <c r="AE327" s="84">
        <f>INT(INT((INT((2*VLOOKUP($C327,DexData,9,0)+INT(T327/4)+N327)/2)+5)*Y327)*IF($E327="Choice Specs",1.5,1))</f>
        <v>47</v>
      </c>
      <c r="AF327" s="84">
        <f>INT(INT((INT((2*VLOOKUP($C327,DexData,10,0)+INT(U327/4)+O327)/2)+5)*Z327)*IF(OR($E327="Eviolite",$E327="Assault Vest"),1.5,1))</f>
        <v>119</v>
      </c>
      <c r="AG327" s="84">
        <f>INT(INT((INT((2*VLOOKUP($C327,DexData,11,0)+INT(V327/4)+P327)/2)+5)*AA327)*IF($E327="Choice Scarf",1.5,IF($E327="Iron Ball",0.5,1)))</f>
        <v>83</v>
      </c>
      <c r="AH327" s="84" t="str">
        <f>VLOOKUP(VLOOKUP($C327,DexData,3,0),Aliases!D$2:E$19,2,0)&amp;IFERROR("/"&amp;VLOOKUP(VLOOKUP($C327,DexData,4,0),Aliases!D$2:E$19,2,0),"")</f>
        <v>STL/FLY</v>
      </c>
      <c r="AI327" s="7">
        <v>3.0</v>
      </c>
      <c r="AJ327" s="7">
        <f>IF(VLOOKUP(B327,'Set Odds'!A$2:AN$1067,40,0),1,IF(VLOOKUP(B327,'Set Odds'!A$2:AO$1067,41,0),2,0))</f>
        <v>0</v>
      </c>
      <c r="AK327" s="7"/>
      <c r="AL327" s="7" t="str">
        <f t="shared" si="1"/>
        <v/>
      </c>
    </row>
    <row r="328" ht="12.75" customHeight="1">
      <c r="A328" s="86">
        <v>327.0</v>
      </c>
      <c r="B328" s="84" t="s">
        <v>3658</v>
      </c>
      <c r="C328" s="7" t="s">
        <v>3659</v>
      </c>
      <c r="D328" s="7" t="s">
        <v>2723</v>
      </c>
      <c r="E328" s="7" t="s">
        <v>3096</v>
      </c>
      <c r="F328" s="84" t="s">
        <v>2606</v>
      </c>
      <c r="G328" s="84" t="s">
        <v>3578</v>
      </c>
      <c r="H328" s="84" t="s">
        <v>2532</v>
      </c>
      <c r="I328" s="84" t="s">
        <v>2537</v>
      </c>
      <c r="J328" s="7" t="s">
        <v>3499</v>
      </c>
      <c r="K328" s="7">
        <v>31.0</v>
      </c>
      <c r="L328" s="7">
        <v>31.0</v>
      </c>
      <c r="M328" s="7">
        <v>15.0</v>
      </c>
      <c r="N328" s="7">
        <v>15.0</v>
      </c>
      <c r="O328" s="7">
        <v>31.0</v>
      </c>
      <c r="P328" s="7">
        <v>15.0</v>
      </c>
      <c r="Q328" s="7">
        <v>148.0</v>
      </c>
      <c r="R328" s="7">
        <v>148.0</v>
      </c>
      <c r="S328" s="7">
        <v>4.0</v>
      </c>
      <c r="T328" s="7">
        <v>4.0</v>
      </c>
      <c r="U328" s="7">
        <v>148.0</v>
      </c>
      <c r="V328" s="7">
        <v>4.0</v>
      </c>
      <c r="W328" s="7">
        <f>VLOOKUP($D328,NatureChart,2,0)</f>
        <v>1</v>
      </c>
      <c r="X328" s="7">
        <f>VLOOKUP($D328,NatureChart,3,0)</f>
        <v>1</v>
      </c>
      <c r="Y328" s="7">
        <f>VLOOKUP($D328,NatureChart,4,0)</f>
        <v>0.9</v>
      </c>
      <c r="Z328" s="7">
        <f>VLOOKUP($D328,NatureChart,5,0)</f>
        <v>1.1</v>
      </c>
      <c r="AA328" s="84">
        <f>VLOOKUP($D328,NatureChart,6,0)</f>
        <v>1</v>
      </c>
      <c r="AB328" s="84">
        <f>IF($C328="Shedinja",1,(INT((2*VLOOKUP($C328,DexData,5,0)+INT(Q328/4)+K328)/2)+60))</f>
        <v>159</v>
      </c>
      <c r="AC328" s="84">
        <f>INT(INT((INT((2*VLOOKUP($C328,DexData,6,0)+INT(R328/4)+L328)/2)+5)*W328)*IF($E328="Choice Band",1.5,IF(OR($E328="Mawilite",$E328="Medichamite",$E328="Thick Club"),2,1)))</f>
        <v>169</v>
      </c>
      <c r="AD328" s="84">
        <f>INT(INT((INT((2*VLOOKUP($C328,DexData,7,0)+INT(S328/4)+M328)/2)+5)*X328)*IF($E328="Eviolite",1.5,1))</f>
        <v>73</v>
      </c>
      <c r="AE328" s="84">
        <f>INT(INT((INT((2*VLOOKUP($C328,DexData,9,0)+INT(T328/4)+N328)/2)+5)*Y328)*IF($E328="Choice Specs",1.5,1))</f>
        <v>79</v>
      </c>
      <c r="AF328" s="84">
        <f>INT(INT((INT((2*VLOOKUP($C328,DexData,10,0)+INT(U328/4)+O328)/2)+5)*Z328)*IF(OR($E328="Eviolite",$E328="Assault Vest"),1.5,1))</f>
        <v>108</v>
      </c>
      <c r="AG328" s="84">
        <f>INT(INT((INT((2*VLOOKUP($C328,DexData,11,0)+INT(V328/4)+P328)/2)+5)*AA328)*IF($E328="Choice Scarf",1.5,IF($E328="Iron Ball",0.5,1)))</f>
        <v>88</v>
      </c>
      <c r="AH328" s="84" t="str">
        <f>VLOOKUP(VLOOKUP($C328,DexData,3,0),Aliases!D$2:E$19,2,0)&amp;IFERROR("/"&amp;VLOOKUP(VLOOKUP($C328,DexData,4,0),Aliases!D$2:E$19,2,0),"")</f>
        <v>DRK</v>
      </c>
      <c r="AI328" s="7">
        <v>3.0</v>
      </c>
      <c r="AJ328" s="7">
        <f>IF(VLOOKUP(B328,'Set Odds'!A$2:AN$1067,40,0),1,IF(VLOOKUP(B328,'Set Odds'!A$2:AO$1067,41,0),2,0))</f>
        <v>0</v>
      </c>
      <c r="AK328" s="7"/>
      <c r="AL328" s="7" t="str">
        <f t="shared" si="1"/>
        <v/>
      </c>
    </row>
    <row r="329" ht="12.75" customHeight="1">
      <c r="A329" s="86">
        <v>328.0</v>
      </c>
      <c r="B329" s="84" t="s">
        <v>3660</v>
      </c>
      <c r="C329" s="7" t="s">
        <v>3661</v>
      </c>
      <c r="D329" s="7" t="s">
        <v>2811</v>
      </c>
      <c r="E329" s="7" t="s">
        <v>2685</v>
      </c>
      <c r="F329" s="84" t="s">
        <v>3454</v>
      </c>
      <c r="G329" s="84" t="s">
        <v>2607</v>
      </c>
      <c r="H329" s="84" t="s">
        <v>3118</v>
      </c>
      <c r="I329" s="84" t="s">
        <v>2752</v>
      </c>
      <c r="J329" s="7" t="s">
        <v>3662</v>
      </c>
      <c r="K329" s="7">
        <v>31.0</v>
      </c>
      <c r="L329" s="7">
        <v>15.0</v>
      </c>
      <c r="M329" s="7">
        <v>31.0</v>
      </c>
      <c r="N329" s="7">
        <v>31.0</v>
      </c>
      <c r="O329" s="7">
        <v>15.0</v>
      </c>
      <c r="P329" s="7">
        <v>15.0</v>
      </c>
      <c r="Q329" s="7">
        <v>148.0</v>
      </c>
      <c r="R329" s="7">
        <v>4.0</v>
      </c>
      <c r="S329" s="7">
        <v>148.0</v>
      </c>
      <c r="T329" s="7">
        <v>148.0</v>
      </c>
      <c r="U329" s="7">
        <v>4.0</v>
      </c>
      <c r="V329" s="7">
        <v>4.0</v>
      </c>
      <c r="W329" s="7">
        <f>VLOOKUP($D329,NatureChart,2,0)</f>
        <v>1</v>
      </c>
      <c r="X329" s="7">
        <f>VLOOKUP($D329,NatureChart,3,0)</f>
        <v>1.1</v>
      </c>
      <c r="Y329" s="7">
        <f>VLOOKUP($D329,NatureChart,4,0)</f>
        <v>1</v>
      </c>
      <c r="Z329" s="7">
        <f>VLOOKUP($D329,NatureChart,5,0)</f>
        <v>1</v>
      </c>
      <c r="AA329" s="84">
        <f>VLOOKUP($D329,NatureChart,6,0)</f>
        <v>0.9</v>
      </c>
      <c r="AB329" s="84">
        <f>IF($C329="Shedinja",1,(INT((2*VLOOKUP($C329,DexData,5,0)+INT(Q329/4)+K329)/2)+60))</f>
        <v>204</v>
      </c>
      <c r="AC329" s="84">
        <f>INT(INT((INT((2*VLOOKUP($C329,DexData,6,0)+INT(R329/4)+L329)/2)+5)*W329)*IF($E329="Choice Band",1.5,IF(OR($E329="Mawilite",$E329="Medichamite",$E329="Thick Club"),2,1)))</f>
        <v>91</v>
      </c>
      <c r="AD329" s="84">
        <f>INT(INT((INT((2*VLOOKUP($C329,DexData,7,0)+INT(S329/4)+M329)/2)+5)*X329)*IF($E329="Eviolite",1.5,1))</f>
        <v>123</v>
      </c>
      <c r="AE329" s="84">
        <f>INT(INT((INT((2*VLOOKUP($C329,DexData,9,0)+INT(T329/4)+N329)/2)+5)*Y329)*IF($E329="Choice Specs",1.5,1))</f>
        <v>115</v>
      </c>
      <c r="AF329" s="84">
        <f>INT(INT((INT((2*VLOOKUP($C329,DexData,10,0)+INT(U329/4)+O329)/2)+5)*Z329)*IF(OR($E329="Eviolite",$E329="Assault Vest"),1.5,1))</f>
        <v>84</v>
      </c>
      <c r="AG329" s="84">
        <f>INT(INT((INT((2*VLOOKUP($C329,DexData,11,0)+INT(V329/4)+P329)/2)+5)*AA329)*IF($E329="Choice Scarf",1.5,IF($E329="Iron Ball",0.5,1)))</f>
        <v>65</v>
      </c>
      <c r="AH329" s="84" t="str">
        <f>VLOOKUP(VLOOKUP($C329,DexData,3,0),Aliases!D$2:E$19,2,0)&amp;IFERROR("/"&amp;VLOOKUP(VLOOKUP($C329,DexData,4,0),Aliases!D$2:E$19,2,0),"")</f>
        <v>WTR/GRD</v>
      </c>
      <c r="AI329" s="7">
        <v>3.0</v>
      </c>
      <c r="AJ329" s="7">
        <f>IF(VLOOKUP(B329,'Set Odds'!A$2:AN$1067,40,0),1,IF(VLOOKUP(B329,'Set Odds'!A$2:AO$1067,41,0),2,0))</f>
        <v>0</v>
      </c>
      <c r="AK329" s="7"/>
      <c r="AL329" s="7" t="str">
        <f t="shared" si="1"/>
        <v/>
      </c>
    </row>
    <row r="330" ht="12.75" customHeight="1">
      <c r="A330" s="86">
        <v>329.0</v>
      </c>
      <c r="B330" s="84" t="s">
        <v>3663</v>
      </c>
      <c r="C330" s="7" t="s">
        <v>3664</v>
      </c>
      <c r="D330" s="7" t="s">
        <v>2571</v>
      </c>
      <c r="E330" s="7" t="s">
        <v>2524</v>
      </c>
      <c r="F330" s="84" t="s">
        <v>2620</v>
      </c>
      <c r="G330" s="84" t="s">
        <v>3594</v>
      </c>
      <c r="H330" s="84" t="s">
        <v>2751</v>
      </c>
      <c r="I330" s="84" t="s">
        <v>2513</v>
      </c>
      <c r="J330" s="7" t="s">
        <v>2968</v>
      </c>
      <c r="K330" s="7">
        <v>31.0</v>
      </c>
      <c r="L330" s="7">
        <v>31.0</v>
      </c>
      <c r="M330" s="7">
        <v>15.0</v>
      </c>
      <c r="N330" s="7">
        <v>15.0</v>
      </c>
      <c r="O330" s="7">
        <v>15.0</v>
      </c>
      <c r="P330" s="7">
        <v>31.0</v>
      </c>
      <c r="Q330" s="7">
        <v>148.0</v>
      </c>
      <c r="R330" s="7">
        <v>148.0</v>
      </c>
      <c r="S330" s="7">
        <v>4.0</v>
      </c>
      <c r="T330" s="7">
        <v>4.0</v>
      </c>
      <c r="U330" s="7">
        <v>4.0</v>
      </c>
      <c r="V330" s="7">
        <v>148.0</v>
      </c>
      <c r="W330" s="7">
        <f>VLOOKUP($D330,NatureChart,2,0)</f>
        <v>1.1</v>
      </c>
      <c r="X330" s="7">
        <f>VLOOKUP($D330,NatureChart,3,0)</f>
        <v>1</v>
      </c>
      <c r="Y330" s="7">
        <f>VLOOKUP($D330,NatureChart,4,0)</f>
        <v>0.9</v>
      </c>
      <c r="Z330" s="7">
        <f>VLOOKUP($D330,NatureChart,5,0)</f>
        <v>1</v>
      </c>
      <c r="AA330" s="84">
        <f>VLOOKUP($D330,NatureChart,6,0)</f>
        <v>1</v>
      </c>
      <c r="AB330" s="84">
        <f>IF($C330="Shedinja",1,(INT((2*VLOOKUP($C330,DexData,5,0)+INT(Q330/4)+K330)/2)+60))</f>
        <v>238</v>
      </c>
      <c r="AC330" s="84">
        <f>INT(INT((INT((2*VLOOKUP($C330,DexData,6,0)+INT(R330/4)+L330)/2)+5)*W330)*IF($E330="Choice Band",1.5,IF(OR($E330="Mawilite",$E330="Medichamite",$E330="Thick Club"),2,1)))</f>
        <v>174</v>
      </c>
      <c r="AD330" s="84">
        <f>INT(INT((INT((2*VLOOKUP($C330,DexData,7,0)+INT(S330/4)+M330)/2)+5)*X330)*IF($E330="Eviolite",1.5,1))</f>
        <v>73</v>
      </c>
      <c r="AE330" s="84">
        <f>INT(INT((INT((2*VLOOKUP($C330,DexData,9,0)+INT(T330/4)+N330)/2)+5)*Y330)*IF($E330="Choice Specs",1.5,1))</f>
        <v>47</v>
      </c>
      <c r="AF330" s="84">
        <f>INT(INT((INT((2*VLOOKUP($C330,DexData,10,0)+INT(U330/4)+O330)/2)+5)*Z330)*IF(OR($E330="Eviolite",$E330="Assault Vest"),1.5,1))</f>
        <v>73</v>
      </c>
      <c r="AG330" s="84">
        <f>INT(INT((INT((2*VLOOKUP($C330,DexData,11,0)+INT(V330/4)+P330)/2)+5)*AA330)*IF($E330="Choice Scarf",1.5,IF($E330="Iron Ball",0.5,1)))</f>
        <v>89</v>
      </c>
      <c r="AH330" s="84" t="str">
        <f>VLOOKUP(VLOOKUP($C330,DexData,3,0),Aliases!D$2:E$19,2,0)&amp;IFERROR("/"&amp;VLOOKUP(VLOOKUP($C330,DexData,4,0),Aliases!D$2:E$19,2,0),"")</f>
        <v>FTG</v>
      </c>
      <c r="AI330" s="7">
        <v>3.0</v>
      </c>
      <c r="AJ330" s="7">
        <f>IF(VLOOKUP(B330,'Set Odds'!A$2:AN$1067,40,0),1,IF(VLOOKUP(B330,'Set Odds'!A$2:AO$1067,41,0),2,0))</f>
        <v>0</v>
      </c>
      <c r="AK330" s="7"/>
      <c r="AL330" s="7" t="str">
        <f t="shared" si="1"/>
        <v/>
      </c>
    </row>
    <row r="331" ht="12.75" customHeight="1">
      <c r="A331" s="86">
        <v>330.0</v>
      </c>
      <c r="B331" s="84" t="s">
        <v>3665</v>
      </c>
      <c r="C331" s="7" t="s">
        <v>3666</v>
      </c>
      <c r="D331" s="7" t="s">
        <v>2571</v>
      </c>
      <c r="E331" s="7" t="s">
        <v>3635</v>
      </c>
      <c r="F331" s="84" t="s">
        <v>3667</v>
      </c>
      <c r="G331" s="84" t="s">
        <v>2606</v>
      </c>
      <c r="H331" s="84" t="s">
        <v>3668</v>
      </c>
      <c r="I331" s="84" t="s">
        <v>2667</v>
      </c>
      <c r="J331" s="7" t="s">
        <v>3499</v>
      </c>
      <c r="K331" s="7">
        <v>31.0</v>
      </c>
      <c r="L331" s="7">
        <v>31.0</v>
      </c>
      <c r="M331" s="7">
        <v>15.0</v>
      </c>
      <c r="N331" s="7">
        <v>15.0</v>
      </c>
      <c r="O331" s="7">
        <v>15.0</v>
      </c>
      <c r="P331" s="7">
        <v>31.0</v>
      </c>
      <c r="Q331" s="7">
        <v>148.0</v>
      </c>
      <c r="R331" s="7">
        <v>148.0</v>
      </c>
      <c r="S331" s="7">
        <v>4.0</v>
      </c>
      <c r="T331" s="7">
        <v>4.0</v>
      </c>
      <c r="U331" s="7">
        <v>4.0</v>
      </c>
      <c r="V331" s="7">
        <v>148.0</v>
      </c>
      <c r="W331" s="7">
        <f>VLOOKUP($D331,NatureChart,2,0)</f>
        <v>1.1</v>
      </c>
      <c r="X331" s="7">
        <f>VLOOKUP($D331,NatureChart,3,0)</f>
        <v>1</v>
      </c>
      <c r="Y331" s="7">
        <f>VLOOKUP($D331,NatureChart,4,0)</f>
        <v>0.9</v>
      </c>
      <c r="Z331" s="7">
        <f>VLOOKUP($D331,NatureChart,5,0)</f>
        <v>1</v>
      </c>
      <c r="AA331" s="84">
        <f>VLOOKUP($D331,NatureChart,6,0)</f>
        <v>1</v>
      </c>
      <c r="AB331" s="84">
        <f>IF($C331="Shedinja",1,(INT((2*VLOOKUP($C331,DexData,5,0)+INT(Q331/4)+K331)/2)+60))</f>
        <v>164</v>
      </c>
      <c r="AC331" s="84">
        <f>INT(INT((INT((2*VLOOKUP($C331,DexData,6,0)+INT(R331/4)+L331)/2)+5)*W331)*IF($E331="Choice Band",1.5,IF(OR($E331="Mawilite",$E331="Medichamite",$E331="Thick Club"),2,1)))</f>
        <v>130</v>
      </c>
      <c r="AD331" s="84">
        <f>INT(INT((INT((2*VLOOKUP($C331,DexData,7,0)+INT(S331/4)+M331)/2)+5)*X331)*IF($E331="Eviolite",1.5,1))</f>
        <v>115</v>
      </c>
      <c r="AE331" s="84">
        <f>INT(INT((INT((2*VLOOKUP($C331,DexData,9,0)+INT(T331/4)+N331)/2)+5)*Y331)*IF($E331="Choice Specs",1.5,1))</f>
        <v>83</v>
      </c>
      <c r="AF331" s="84">
        <f>INT(INT((INT((2*VLOOKUP($C331,DexData,10,0)+INT(U331/4)+O331)/2)+5)*Z331)*IF(OR($E331="Eviolite",$E331="Assault Vest"),1.5,1))</f>
        <v>115</v>
      </c>
      <c r="AG331" s="84">
        <f>INT(INT((INT((2*VLOOKUP($C331,DexData,11,0)+INT(V331/4)+P331)/2)+5)*AA331)*IF($E331="Choice Scarf",1.5,IF($E331="Iron Ball",0.5,1)))</f>
        <v>79</v>
      </c>
      <c r="AH331" s="84" t="str">
        <f>VLOOKUP(VLOOKUP($C331,DexData,3,0),Aliases!D$2:E$19,2,0)&amp;IFERROR("/"&amp;VLOOKUP(VLOOKUP($C331,DexData,4,0),Aliases!D$2:E$19,2,0),"")</f>
        <v>BUG/FLY</v>
      </c>
      <c r="AI331" s="7">
        <v>3.0</v>
      </c>
      <c r="AJ331" s="7">
        <f>IF(VLOOKUP(B331,'Set Odds'!A$2:AN$1067,40,0),1,IF(VLOOKUP(B331,'Set Odds'!A$2:AO$1067,41,0),2,0))</f>
        <v>0</v>
      </c>
      <c r="AK331" s="7"/>
      <c r="AL331" s="7" t="str">
        <f t="shared" si="1"/>
        <v/>
      </c>
    </row>
    <row r="332" ht="12.75" customHeight="1">
      <c r="A332" s="86">
        <v>331.0</v>
      </c>
      <c r="B332" s="84" t="s">
        <v>3669</v>
      </c>
      <c r="C332" s="7" t="s">
        <v>3670</v>
      </c>
      <c r="D332" s="7" t="s">
        <v>2599</v>
      </c>
      <c r="E332" s="7" t="s">
        <v>3439</v>
      </c>
      <c r="F332" s="84" t="s">
        <v>3435</v>
      </c>
      <c r="G332" s="84" t="s">
        <v>2602</v>
      </c>
      <c r="H332" s="84" t="s">
        <v>3197</v>
      </c>
      <c r="I332" s="84" t="s">
        <v>2746</v>
      </c>
      <c r="J332" s="7" t="s">
        <v>2747</v>
      </c>
      <c r="K332" s="7">
        <v>31.0</v>
      </c>
      <c r="L332" s="7">
        <v>15.0</v>
      </c>
      <c r="M332" s="7">
        <v>15.0</v>
      </c>
      <c r="N332" s="7">
        <v>31.0</v>
      </c>
      <c r="O332" s="7">
        <v>15.0</v>
      </c>
      <c r="P332" s="7">
        <v>31.0</v>
      </c>
      <c r="Q332" s="7">
        <v>148.0</v>
      </c>
      <c r="R332" s="7">
        <v>4.0</v>
      </c>
      <c r="S332" s="7">
        <v>4.0</v>
      </c>
      <c r="T332" s="7">
        <v>148.0</v>
      </c>
      <c r="U332" s="7">
        <v>4.0</v>
      </c>
      <c r="V332" s="7">
        <v>148.0</v>
      </c>
      <c r="W332" s="7">
        <f>VLOOKUP($D332,NatureChart,2,0)</f>
        <v>1</v>
      </c>
      <c r="X332" s="7">
        <f>VLOOKUP($D332,NatureChart,3,0)</f>
        <v>1</v>
      </c>
      <c r="Y332" s="7">
        <f>VLOOKUP($D332,NatureChart,4,0)</f>
        <v>1</v>
      </c>
      <c r="Z332" s="7">
        <f>VLOOKUP($D332,NatureChart,5,0)</f>
        <v>1</v>
      </c>
      <c r="AA332" s="84">
        <f>VLOOKUP($D332,NatureChart,6,0)</f>
        <v>1</v>
      </c>
      <c r="AB332" s="84">
        <f>IF($C332="Shedinja",1,(INT((2*VLOOKUP($C332,DexData,5,0)+INT(Q332/4)+K332)/2)+60))</f>
        <v>154</v>
      </c>
      <c r="AC332" s="84">
        <f>INT(INT((INT((2*VLOOKUP($C332,DexData,6,0)+INT(R332/4)+L332)/2)+5)*W332)*IF($E332="Choice Band",1.5,IF(OR($E332="Mawilite",$E332="Medichamite",$E332="Thick Club"),2,1)))</f>
        <v>103</v>
      </c>
      <c r="AD332" s="84">
        <f>INT(INT((INT((2*VLOOKUP($C332,DexData,7,0)+INT(S332/4)+M332)/2)+5)*X332)*IF($E332="Eviolite",1.5,1))</f>
        <v>68</v>
      </c>
      <c r="AE332" s="84">
        <f>INT(INT((INT((2*VLOOKUP($C332,DexData,9,0)+INT(T332/4)+N332)/2)+5)*Y332)*IF($E332="Choice Specs",1.5,1))</f>
        <v>129</v>
      </c>
      <c r="AF332" s="84">
        <f>INT(INT((INT((2*VLOOKUP($C332,DexData,10,0)+INT(U332/4)+O332)/2)+5)*Z332)*IF(OR($E332="Eviolite",$E332="Assault Vest"),1.5,1))</f>
        <v>93</v>
      </c>
      <c r="AG332" s="84">
        <f>INT(INT((INT((2*VLOOKUP($C332,DexData,11,0)+INT(V332/4)+P332)/2)+5)*AA332)*IF($E332="Choice Scarf",1.5,IF($E332="Iron Ball",0.5,1)))</f>
        <v>149</v>
      </c>
      <c r="AH332" s="84" t="str">
        <f>VLOOKUP(VLOOKUP($C332,DexData,3,0),Aliases!D$2:E$19,2,0)&amp;IFERROR("/"&amp;VLOOKUP(VLOOKUP($C332,DexData,4,0),Aliases!D$2:E$19,2,0),"")</f>
        <v>ELC</v>
      </c>
      <c r="AI332" s="7">
        <v>3.0</v>
      </c>
      <c r="AJ332" s="7">
        <f>IF(VLOOKUP(B332,'Set Odds'!A$2:AN$1067,40,0),1,IF(VLOOKUP(B332,'Set Odds'!A$2:AO$1067,41,0),2,0))</f>
        <v>0</v>
      </c>
      <c r="AK332" s="7"/>
      <c r="AL332" s="7" t="str">
        <f t="shared" si="1"/>
        <v/>
      </c>
    </row>
    <row r="333" ht="12.75" customHeight="1">
      <c r="A333" s="86">
        <v>332.0</v>
      </c>
      <c r="B333" s="84" t="s">
        <v>3671</v>
      </c>
      <c r="C333" s="7" t="s">
        <v>3672</v>
      </c>
      <c r="D333" s="7" t="s">
        <v>2571</v>
      </c>
      <c r="E333" s="7" t="s">
        <v>2523</v>
      </c>
      <c r="F333" s="84" t="s">
        <v>3031</v>
      </c>
      <c r="G333" s="84" t="s">
        <v>3048</v>
      </c>
      <c r="H333" s="84" t="s">
        <v>2513</v>
      </c>
      <c r="I333" s="84" t="s">
        <v>2517</v>
      </c>
      <c r="J333" s="7" t="s">
        <v>2968</v>
      </c>
      <c r="K333" s="7">
        <v>31.0</v>
      </c>
      <c r="L333" s="7">
        <v>31.0</v>
      </c>
      <c r="M333" s="7">
        <v>15.0</v>
      </c>
      <c r="N333" s="7">
        <v>15.0</v>
      </c>
      <c r="O333" s="7">
        <v>15.0</v>
      </c>
      <c r="P333" s="7">
        <v>31.0</v>
      </c>
      <c r="Q333" s="7">
        <v>148.0</v>
      </c>
      <c r="R333" s="7">
        <v>148.0</v>
      </c>
      <c r="S333" s="7">
        <v>4.0</v>
      </c>
      <c r="T333" s="7">
        <v>4.0</v>
      </c>
      <c r="U333" s="7">
        <v>4.0</v>
      </c>
      <c r="V333" s="7">
        <v>148.0</v>
      </c>
      <c r="W333" s="7">
        <f>VLOOKUP($D333,NatureChart,2,0)</f>
        <v>1.1</v>
      </c>
      <c r="X333" s="7">
        <f>VLOOKUP($D333,NatureChart,3,0)</f>
        <v>1</v>
      </c>
      <c r="Y333" s="7">
        <f>VLOOKUP($D333,NatureChart,4,0)</f>
        <v>0.9</v>
      </c>
      <c r="Z333" s="7">
        <f>VLOOKUP($D333,NatureChart,5,0)</f>
        <v>1</v>
      </c>
      <c r="AA333" s="84">
        <f>VLOOKUP($D333,NatureChart,6,0)</f>
        <v>1</v>
      </c>
      <c r="AB333" s="84">
        <f>IF($C333="Shedinja",1,(INT((2*VLOOKUP($C333,DexData,5,0)+INT(Q333/4)+K333)/2)+60))</f>
        <v>184</v>
      </c>
      <c r="AC333" s="84">
        <f>INT(INT((INT((2*VLOOKUP($C333,DexData,6,0)+INT(R333/4)+L333)/2)+5)*W333)*IF($E333="Choice Band",1.5,IF(OR($E333="Mawilite",$E333="Medichamite",$E333="Thick Club"),2,1)))</f>
        <v>119</v>
      </c>
      <c r="AD333" s="84">
        <f>INT(INT((INT((2*VLOOKUP($C333,DexData,7,0)+INT(S333/4)+M333)/2)+5)*X333)*IF($E333="Eviolite",1.5,1))</f>
        <v>93</v>
      </c>
      <c r="AE333" s="84">
        <f>INT(INT((INT((2*VLOOKUP($C333,DexData,9,0)+INT(T333/4)+N333)/2)+5)*Y333)*IF($E333="Choice Specs",1.5,1))</f>
        <v>74</v>
      </c>
      <c r="AF333" s="84">
        <f>INT(INT((INT((2*VLOOKUP($C333,DexData,10,0)+INT(U333/4)+O333)/2)+5)*Z333)*IF(OR($E333="Eviolite",$E333="Assault Vest"),1.5,1))</f>
        <v>108</v>
      </c>
      <c r="AG333" s="84">
        <f>INT(INT((INT((2*VLOOKUP($C333,DexData,11,0)+INT(V333/4)+P333)/2)+5)*AA333)*IF($E333="Choice Scarf",1.5,IF($E333="Iron Ball",0.5,1)))</f>
        <v>109</v>
      </c>
      <c r="AH333" s="84" t="str">
        <f>VLOOKUP(VLOOKUP($C333,DexData,3,0),Aliases!D$2:E$19,2,0)&amp;IFERROR("/"&amp;VLOOKUP(VLOOKUP($C333,DexData,4,0),Aliases!D$2:E$19,2,0),"")</f>
        <v>WTR/ICE</v>
      </c>
      <c r="AI333" s="7">
        <v>3.0</v>
      </c>
      <c r="AJ333" s="7">
        <f>IF(VLOOKUP(B333,'Set Odds'!A$2:AN$1067,40,0),1,IF(VLOOKUP(B333,'Set Odds'!A$2:AO$1067,41,0),2,0))</f>
        <v>0</v>
      </c>
      <c r="AK333" s="7"/>
      <c r="AL333" s="7" t="str">
        <f t="shared" si="1"/>
        <v/>
      </c>
    </row>
    <row r="334" ht="12.75" customHeight="1">
      <c r="A334" s="86">
        <v>333.0</v>
      </c>
      <c r="B334" s="84" t="s">
        <v>3673</v>
      </c>
      <c r="C334" s="7" t="s">
        <v>3674</v>
      </c>
      <c r="D334" s="7" t="s">
        <v>2692</v>
      </c>
      <c r="E334" s="7" t="s">
        <v>3148</v>
      </c>
      <c r="F334" s="84" t="s">
        <v>2693</v>
      </c>
      <c r="G334" s="84" t="s">
        <v>3603</v>
      </c>
      <c r="H334" s="84" t="s">
        <v>2588</v>
      </c>
      <c r="I334" s="84" t="s">
        <v>3140</v>
      </c>
      <c r="J334" s="7" t="s">
        <v>2747</v>
      </c>
      <c r="K334" s="7">
        <v>31.0</v>
      </c>
      <c r="L334" s="7">
        <v>31.0</v>
      </c>
      <c r="M334" s="7">
        <v>15.0</v>
      </c>
      <c r="N334" s="7">
        <v>15.0</v>
      </c>
      <c r="O334" s="7">
        <v>15.0</v>
      </c>
      <c r="P334" s="7">
        <v>31.0</v>
      </c>
      <c r="Q334" s="7">
        <v>148.0</v>
      </c>
      <c r="R334" s="7">
        <v>148.0</v>
      </c>
      <c r="S334" s="7">
        <v>4.0</v>
      </c>
      <c r="T334" s="7">
        <v>4.0</v>
      </c>
      <c r="U334" s="7">
        <v>4.0</v>
      </c>
      <c r="V334" s="7">
        <v>148.0</v>
      </c>
      <c r="W334" s="7">
        <f>VLOOKUP($D334,NatureChart,2,0)</f>
        <v>1</v>
      </c>
      <c r="X334" s="7">
        <f>VLOOKUP($D334,NatureChart,3,0)</f>
        <v>1</v>
      </c>
      <c r="Y334" s="7">
        <f>VLOOKUP($D334,NatureChart,4,0)</f>
        <v>0.9</v>
      </c>
      <c r="Z334" s="7">
        <f>VLOOKUP($D334,NatureChart,5,0)</f>
        <v>1</v>
      </c>
      <c r="AA334" s="84">
        <f>VLOOKUP($D334,NatureChart,6,0)</f>
        <v>1.1</v>
      </c>
      <c r="AB334" s="84">
        <f>IF($C334="Shedinja",1,(INT((2*VLOOKUP($C334,DexData,5,0)+INT(Q334/4)+K334)/2)+60))</f>
        <v>164</v>
      </c>
      <c r="AC334" s="84">
        <f>INT(INT((INT((2*VLOOKUP($C334,DexData,6,0)+INT(R334/4)+L334)/2)+5)*W334)*IF($E334="Choice Band",1.5,IF(OR($E334="Mawilite",$E334="Medichamite",$E334="Thick Club"),2,1)))</f>
        <v>114</v>
      </c>
      <c r="AD334" s="84">
        <f>INT(INT((INT((2*VLOOKUP($C334,DexData,7,0)+INT(S334/4)+M334)/2)+5)*X334)*IF($E334="Eviolite",1.5,1))</f>
        <v>73</v>
      </c>
      <c r="AE334" s="84">
        <f>INT(INT((INT((2*VLOOKUP($C334,DexData,9,0)+INT(T334/4)+N334)/2)+5)*Y334)*IF($E334="Choice Specs",1.5,1))</f>
        <v>106</v>
      </c>
      <c r="AF334" s="84">
        <f>INT(INT((INT((2*VLOOKUP($C334,DexData,10,0)+INT(U334/4)+O334)/2)+5)*Z334)*IF(OR($E334="Eviolite",$E334="Assault Vest"),1.5,1))</f>
        <v>73</v>
      </c>
      <c r="AG334" s="84">
        <f>INT(INT((INT((2*VLOOKUP($C334,DexData,11,0)+INT(V334/4)+P334)/2)+5)*AA334)*IF($E334="Choice Scarf",1.5,IF($E334="Iron Ball",0.5,1)))</f>
        <v>158</v>
      </c>
      <c r="AH334" s="84" t="str">
        <f>VLOOKUP(VLOOKUP($C334,DexData,3,0),Aliases!D$2:E$19,2,0)&amp;IFERROR("/"&amp;VLOOKUP(VLOOKUP($C334,DexData,4,0),Aliases!D$2:E$19,2,0),"")</f>
        <v>ELC</v>
      </c>
      <c r="AI334" s="7">
        <v>3.0</v>
      </c>
      <c r="AJ334" s="7">
        <f>IF(VLOOKUP(B334,'Set Odds'!A$2:AN$1067,40,0),1,IF(VLOOKUP(B334,'Set Odds'!A$2:AO$1067,41,0),2,0))</f>
        <v>0</v>
      </c>
      <c r="AK334" s="7"/>
      <c r="AL334" s="7" t="str">
        <f t="shared" si="1"/>
        <v/>
      </c>
    </row>
    <row r="335" ht="12.75" customHeight="1">
      <c r="A335" s="86">
        <v>334.0</v>
      </c>
      <c r="B335" s="84" t="s">
        <v>3675</v>
      </c>
      <c r="C335" s="7" t="s">
        <v>3676</v>
      </c>
      <c r="D335" s="7" t="s">
        <v>2571</v>
      </c>
      <c r="E335" s="7" t="s">
        <v>2885</v>
      </c>
      <c r="F335" s="84" t="s">
        <v>3538</v>
      </c>
      <c r="G335" s="84" t="s">
        <v>3483</v>
      </c>
      <c r="H335" s="84" t="s">
        <v>3314</v>
      </c>
      <c r="I335" s="84" t="s">
        <v>3253</v>
      </c>
      <c r="J335" s="7" t="s">
        <v>2696</v>
      </c>
      <c r="K335" s="7">
        <v>31.0</v>
      </c>
      <c r="L335" s="7">
        <v>31.0</v>
      </c>
      <c r="M335" s="7">
        <v>15.0</v>
      </c>
      <c r="N335" s="7">
        <v>15.0</v>
      </c>
      <c r="O335" s="7">
        <v>15.0</v>
      </c>
      <c r="P335" s="7">
        <v>31.0</v>
      </c>
      <c r="Q335" s="7">
        <v>148.0</v>
      </c>
      <c r="R335" s="7">
        <v>148.0</v>
      </c>
      <c r="S335" s="7">
        <v>4.0</v>
      </c>
      <c r="T335" s="7">
        <v>4.0</v>
      </c>
      <c r="U335" s="7">
        <v>4.0</v>
      </c>
      <c r="V335" s="7">
        <v>148.0</v>
      </c>
      <c r="W335" s="7">
        <f>VLOOKUP($D335,NatureChart,2,0)</f>
        <v>1.1</v>
      </c>
      <c r="X335" s="7">
        <f>VLOOKUP($D335,NatureChart,3,0)</f>
        <v>1</v>
      </c>
      <c r="Y335" s="7">
        <f>VLOOKUP($D335,NatureChart,4,0)</f>
        <v>0.9</v>
      </c>
      <c r="Z335" s="7">
        <f>VLOOKUP($D335,NatureChart,5,0)</f>
        <v>1</v>
      </c>
      <c r="AA335" s="84">
        <f>VLOOKUP($D335,NatureChart,6,0)</f>
        <v>1</v>
      </c>
      <c r="AB335" s="84">
        <f>IF($C335="Shedinja",1,(INT((2*VLOOKUP($C335,DexData,5,0)+INT(Q335/4)+K335)/2)+60))</f>
        <v>179</v>
      </c>
      <c r="AC335" s="84">
        <f>INT(INT((INT((2*VLOOKUP($C335,DexData,6,0)+INT(R335/4)+L335)/2)+5)*W335)*IF($E335="Choice Band",1.5,IF(OR($E335="Mawilite",$E335="Medichamite",$E335="Thick Club"),2,1)))</f>
        <v>261</v>
      </c>
      <c r="AD335" s="84">
        <f>INT(INT((INT((2*VLOOKUP($C335,DexData,7,0)+INT(S335/4)+M335)/2)+5)*X335)*IF($E335="Eviolite",1.5,1))</f>
        <v>83</v>
      </c>
      <c r="AE335" s="84">
        <f>INT(INT((INT((2*VLOOKUP($C335,DexData,9,0)+INT(T335/4)+N335)/2)+5)*Y335)*IF($E335="Choice Specs",1.5,1))</f>
        <v>56</v>
      </c>
      <c r="AF335" s="84">
        <f>INT(INT((INT((2*VLOOKUP($C335,DexData,10,0)+INT(U335/4)+O335)/2)+5)*Z335)*IF(OR($E335="Eviolite",$E335="Assault Vest"),1.5,1))</f>
        <v>73</v>
      </c>
      <c r="AG335" s="84">
        <f>INT(INT((INT((2*VLOOKUP($C335,DexData,11,0)+INT(V335/4)+P335)/2)+5)*AA335)*IF($E335="Choice Scarf",1.5,IF($E335="Iron Ball",0.5,1)))</f>
        <v>139</v>
      </c>
      <c r="AH335" s="84" t="str">
        <f>VLOOKUP(VLOOKUP($C335,DexData,3,0),Aliases!D$2:E$19,2,0)&amp;IFERROR("/"&amp;VLOOKUP(VLOOKUP($C335,DexData,4,0),Aliases!D$2:E$19,2,0),"")</f>
        <v>NRM/FLY</v>
      </c>
      <c r="AI335" s="7">
        <v>3.0</v>
      </c>
      <c r="AJ335" s="7">
        <f>IF(VLOOKUP(B335,'Set Odds'!A$2:AN$1067,40,0),1,IF(VLOOKUP(B335,'Set Odds'!A$2:AO$1067,41,0),2,0))</f>
        <v>0</v>
      </c>
      <c r="AK335" s="7"/>
      <c r="AL335" s="7" t="str">
        <f t="shared" si="1"/>
        <v/>
      </c>
    </row>
    <row r="336" ht="12.75" customHeight="1">
      <c r="A336" s="86">
        <v>335.0</v>
      </c>
      <c r="B336" s="84" t="s">
        <v>3677</v>
      </c>
      <c r="C336" s="7" t="s">
        <v>3678</v>
      </c>
      <c r="D336" s="7" t="s">
        <v>2723</v>
      </c>
      <c r="E336" s="7" t="s">
        <v>2685</v>
      </c>
      <c r="F336" s="84" t="s">
        <v>3168</v>
      </c>
      <c r="G336" s="84" t="s">
        <v>3428</v>
      </c>
      <c r="H336" s="84" t="s">
        <v>2869</v>
      </c>
      <c r="I336" s="84" t="s">
        <v>3454</v>
      </c>
      <c r="J336" s="7" t="s">
        <v>2988</v>
      </c>
      <c r="K336" s="7">
        <v>31.0</v>
      </c>
      <c r="L336" s="7">
        <v>31.0</v>
      </c>
      <c r="M336" s="7">
        <v>15.0</v>
      </c>
      <c r="N336" s="7">
        <v>15.0</v>
      </c>
      <c r="O336" s="7">
        <v>31.0</v>
      </c>
      <c r="P336" s="7">
        <v>15.0</v>
      </c>
      <c r="Q336" s="7">
        <v>148.0</v>
      </c>
      <c r="R336" s="7">
        <v>148.0</v>
      </c>
      <c r="S336" s="7">
        <v>4.0</v>
      </c>
      <c r="T336" s="7">
        <v>4.0</v>
      </c>
      <c r="U336" s="7">
        <v>148.0</v>
      </c>
      <c r="V336" s="7">
        <v>4.0</v>
      </c>
      <c r="W336" s="7">
        <f>VLOOKUP($D336,NatureChart,2,0)</f>
        <v>1</v>
      </c>
      <c r="X336" s="7">
        <f>VLOOKUP($D336,NatureChart,3,0)</f>
        <v>1</v>
      </c>
      <c r="Y336" s="7">
        <f>VLOOKUP($D336,NatureChart,4,0)</f>
        <v>0.9</v>
      </c>
      <c r="Z336" s="7">
        <f>VLOOKUP($D336,NatureChart,5,0)</f>
        <v>1.1</v>
      </c>
      <c r="AA336" s="84">
        <f>VLOOKUP($D336,NatureChart,6,0)</f>
        <v>1</v>
      </c>
      <c r="AB336" s="84">
        <f>IF($C336="Shedinja",1,(INT((2*VLOOKUP($C336,DexData,5,0)+INT(Q336/4)+K336)/2)+60))</f>
        <v>205</v>
      </c>
      <c r="AC336" s="84">
        <f>INT(INT((INT((2*VLOOKUP($C336,DexData,6,0)+INT(R336/4)+L336)/2)+5)*W336)*IF($E336="Choice Band",1.5,IF(OR($E336="Mawilite",$E336="Medichamite",$E336="Thick Club"),2,1)))</f>
        <v>122</v>
      </c>
      <c r="AD336" s="84">
        <f>INT(INT((INT((2*VLOOKUP($C336,DexData,7,0)+INT(S336/4)+M336)/2)+5)*X336)*IF($E336="Eviolite",1.5,1))</f>
        <v>81</v>
      </c>
      <c r="AE336" s="84">
        <f>INT(INT((INT((2*VLOOKUP($C336,DexData,9,0)+INT(T336/4)+N336)/2)+5)*Y336)*IF($E336="Choice Specs",1.5,1))</f>
        <v>94</v>
      </c>
      <c r="AF336" s="84">
        <f>INT(INT((INT((2*VLOOKUP($C336,DexData,10,0)+INT(U336/4)+O336)/2)+5)*Z336)*IF(OR($E336="Eviolite",$E336="Assault Vest"),1.5,1))</f>
        <v>133</v>
      </c>
      <c r="AG336" s="84">
        <f>INT(INT((INT((2*VLOOKUP($C336,DexData,11,0)+INT(V336/4)+P336)/2)+5)*AA336)*IF($E336="Choice Scarf",1.5,IF($E336="Iron Ball",0.5,1)))</f>
        <v>52</v>
      </c>
      <c r="AH336" s="84" t="str">
        <f>VLOOKUP(VLOOKUP($C336,DexData,3,0),Aliases!D$2:E$19,2,0)&amp;IFERROR("/"&amp;VLOOKUP(VLOOKUP($C336,DexData,4,0),Aliases!D$2:E$19,2,0),"")</f>
        <v>WTR/GRD</v>
      </c>
      <c r="AI336" s="7">
        <v>3.0</v>
      </c>
      <c r="AJ336" s="7">
        <f>IF(VLOOKUP(B336,'Set Odds'!A$2:AN$1067,40,0),1,IF(VLOOKUP(B336,'Set Odds'!A$2:AO$1067,41,0),2,0))</f>
        <v>0</v>
      </c>
      <c r="AK336" s="7"/>
      <c r="AL336" s="7" t="str">
        <f t="shared" si="1"/>
        <v/>
      </c>
    </row>
    <row r="337" ht="12.75" customHeight="1">
      <c r="A337" s="86">
        <v>336.0</v>
      </c>
      <c r="B337" s="84" t="s">
        <v>3679</v>
      </c>
      <c r="C337" s="7" t="s">
        <v>3680</v>
      </c>
      <c r="D337" s="7" t="s">
        <v>2692</v>
      </c>
      <c r="E337" s="7" t="s">
        <v>2524</v>
      </c>
      <c r="F337" s="84" t="s">
        <v>2539</v>
      </c>
      <c r="G337" s="84" t="s">
        <v>3578</v>
      </c>
      <c r="H337" s="84" t="s">
        <v>2807</v>
      </c>
      <c r="I337" s="84" t="s">
        <v>3285</v>
      </c>
      <c r="J337" s="7" t="s">
        <v>2995</v>
      </c>
      <c r="K337" s="7">
        <v>31.0</v>
      </c>
      <c r="L337" s="7">
        <v>31.0</v>
      </c>
      <c r="M337" s="7">
        <v>15.0</v>
      </c>
      <c r="N337" s="7">
        <v>15.0</v>
      </c>
      <c r="O337" s="7">
        <v>15.0</v>
      </c>
      <c r="P337" s="7">
        <v>31.0</v>
      </c>
      <c r="Q337" s="7">
        <v>148.0</v>
      </c>
      <c r="R337" s="7">
        <v>148.0</v>
      </c>
      <c r="S337" s="7">
        <v>4.0</v>
      </c>
      <c r="T337" s="7">
        <v>4.0</v>
      </c>
      <c r="U337" s="7">
        <v>4.0</v>
      </c>
      <c r="V337" s="7">
        <v>148.0</v>
      </c>
      <c r="W337" s="7">
        <f>VLOOKUP($D337,NatureChart,2,0)</f>
        <v>1</v>
      </c>
      <c r="X337" s="7">
        <f>VLOOKUP($D337,NatureChart,3,0)</f>
        <v>1</v>
      </c>
      <c r="Y337" s="7">
        <f>VLOOKUP($D337,NatureChart,4,0)</f>
        <v>0.9</v>
      </c>
      <c r="Z337" s="7">
        <f>VLOOKUP($D337,NatureChart,5,0)</f>
        <v>1</v>
      </c>
      <c r="AA337" s="84">
        <f>VLOOKUP($D337,NatureChart,6,0)</f>
        <v>1.1</v>
      </c>
      <c r="AB337" s="84">
        <f>IF($C337="Shedinja",1,(INT((2*VLOOKUP($C337,DexData,5,0)+INT(Q337/4)+K337)/2)+60))</f>
        <v>197</v>
      </c>
      <c r="AC337" s="84">
        <f>INT(INT((INT((2*VLOOKUP($C337,DexData,6,0)+INT(R337/4)+L337)/2)+5)*W337)*IF($E337="Choice Band",1.5,IF(OR($E337="Mawilite",$E337="Medichamite",$E337="Thick Club"),2,1)))</f>
        <v>132</v>
      </c>
      <c r="AD337" s="84">
        <f>INT(INT((INT((2*VLOOKUP($C337,DexData,7,0)+INT(S337/4)+M337)/2)+5)*X337)*IF($E337="Eviolite",1.5,1))</f>
        <v>80</v>
      </c>
      <c r="AE337" s="84">
        <f>INT(INT((INT((2*VLOOKUP($C337,DexData,9,0)+INT(T337/4)+N337)/2)+5)*Y337)*IF($E337="Choice Specs",1.5,1))</f>
        <v>75</v>
      </c>
      <c r="AF337" s="84">
        <f>INT(INT((INT((2*VLOOKUP($C337,DexData,10,0)+INT(U337/4)+O337)/2)+5)*Z337)*IF(OR($E337="Eviolite",$E337="Assault Vest"),1.5,1))</f>
        <v>74</v>
      </c>
      <c r="AG337" s="84">
        <f>INT(INT((INT((2*VLOOKUP($C337,DexData,11,0)+INT(V337/4)+P337)/2)+5)*AA337)*IF($E337="Choice Scarf",1.5,IF($E337="Iron Ball",0.5,1)))</f>
        <v>135</v>
      </c>
      <c r="AH337" s="84" t="str">
        <f>VLOOKUP(VLOOKUP($C337,DexData,3,0),Aliases!D$2:E$19,2,0)&amp;IFERROR("/"&amp;VLOOKUP(VLOOKUP($C337,DexData,4,0),Aliases!D$2:E$19,2,0),"")</f>
        <v>PSN/DRK</v>
      </c>
      <c r="AI337" s="7">
        <v>3.0</v>
      </c>
      <c r="AJ337" s="7">
        <f>IF(VLOOKUP(B337,'Set Odds'!A$2:AN$1067,40,0),1,IF(VLOOKUP(B337,'Set Odds'!A$2:AO$1067,41,0),2,0))</f>
        <v>0</v>
      </c>
      <c r="AK337" s="7"/>
      <c r="AL337" s="7" t="str">
        <f t="shared" si="1"/>
        <v/>
      </c>
    </row>
    <row r="338" ht="12.75" customHeight="1">
      <c r="A338" s="86">
        <v>337.0</v>
      </c>
      <c r="B338" s="84" t="s">
        <v>3681</v>
      </c>
      <c r="C338" s="7" t="s">
        <v>3682</v>
      </c>
      <c r="D338" s="7" t="s">
        <v>2641</v>
      </c>
      <c r="E338" s="7" t="s">
        <v>2612</v>
      </c>
      <c r="F338" s="84" t="s">
        <v>2864</v>
      </c>
      <c r="G338" s="84" t="s">
        <v>2574</v>
      </c>
      <c r="H338" s="84" t="s">
        <v>2705</v>
      </c>
      <c r="I338" s="84" t="s">
        <v>2704</v>
      </c>
      <c r="J338" s="7" t="s">
        <v>2701</v>
      </c>
      <c r="K338" s="7">
        <v>31.0</v>
      </c>
      <c r="L338" s="7">
        <v>15.0</v>
      </c>
      <c r="M338" s="7">
        <v>15.0</v>
      </c>
      <c r="N338" s="7">
        <v>31.0</v>
      </c>
      <c r="O338" s="7">
        <v>31.0</v>
      </c>
      <c r="P338" s="7">
        <v>15.0</v>
      </c>
      <c r="Q338" s="7">
        <v>148.0</v>
      </c>
      <c r="R338" s="7">
        <v>4.0</v>
      </c>
      <c r="S338" s="7">
        <v>4.0</v>
      </c>
      <c r="T338" s="7">
        <v>148.0</v>
      </c>
      <c r="U338" s="7">
        <v>148.0</v>
      </c>
      <c r="V338" s="7">
        <v>4.0</v>
      </c>
      <c r="W338" s="7">
        <f>VLOOKUP($D338,NatureChart,2,0)</f>
        <v>1</v>
      </c>
      <c r="X338" s="7">
        <f>VLOOKUP($D338,NatureChart,3,0)</f>
        <v>1.1</v>
      </c>
      <c r="Y338" s="7">
        <f>VLOOKUP($D338,NatureChart,4,0)</f>
        <v>1</v>
      </c>
      <c r="Z338" s="7">
        <f>VLOOKUP($D338,NatureChart,5,0)</f>
        <v>0.9</v>
      </c>
      <c r="AA338" s="84">
        <f>VLOOKUP($D338,NatureChart,6,0)</f>
        <v>1</v>
      </c>
      <c r="AB338" s="84">
        <f>IF($C338="Shedinja",1,(INT((2*VLOOKUP($C338,DexData,5,0)+INT(Q338/4)+K338)/2)+60))</f>
        <v>169</v>
      </c>
      <c r="AC338" s="84">
        <f>INT(INT((INT((2*VLOOKUP($C338,DexData,6,0)+INT(R338/4)+L338)/2)+5)*W338)*IF($E338="Choice Band",1.5,IF(OR($E338="Mawilite",$E338="Medichamite",$E338="Thick Club"),2,1)))</f>
        <v>93</v>
      </c>
      <c r="AD338" s="84">
        <f>INT(INT((INT((2*VLOOKUP($C338,DexData,7,0)+INT(S338/4)+M338)/2)+5)*X338)*IF($E338="Eviolite",1.5,1))</f>
        <v>107</v>
      </c>
      <c r="AE338" s="84">
        <f>INT(INT((INT((2*VLOOKUP($C338,DexData,9,0)+INT(T338/4)+N338)/2)+5)*Y338)*IF($E338="Choice Specs",1.5,1))</f>
        <v>149</v>
      </c>
      <c r="AF338" s="84">
        <f>INT(INT((INT((2*VLOOKUP($C338,DexData,10,0)+INT(U338/4)+O338)/2)+5)*Z338)*IF(OR($E338="Eviolite",$E338="Assault Vest"),1.5,1))</f>
        <v>116</v>
      </c>
      <c r="AG338" s="84">
        <f>INT(INT((INT((2*VLOOKUP($C338,DexData,11,0)+INT(V338/4)+P338)/2)+5)*AA338)*IF($E338="Choice Scarf",1.5,IF($E338="Iron Ball",0.5,1)))</f>
        <v>63</v>
      </c>
      <c r="AH338" s="84" t="str">
        <f>VLOOKUP(VLOOKUP($C338,DexData,3,0),Aliases!D$2:E$19,2,0)&amp;IFERROR("/"&amp;VLOOKUP(VLOOKUP($C338,DexData,4,0),Aliases!D$2:E$19,2,0),"")</f>
        <v>GRS/PSN</v>
      </c>
      <c r="AI338" s="7">
        <v>3.0</v>
      </c>
      <c r="AJ338" s="7">
        <f>IF(VLOOKUP(B338,'Set Odds'!A$2:AN$1067,40,0),1,IF(VLOOKUP(B338,'Set Odds'!A$2:AO$1067,41,0),2,0))</f>
        <v>0</v>
      </c>
      <c r="AK338" s="7"/>
      <c r="AL338" s="7" t="str">
        <f t="shared" si="1"/>
        <v/>
      </c>
    </row>
    <row r="339" ht="12.75" customHeight="1">
      <c r="A339" s="86">
        <v>338.0</v>
      </c>
      <c r="B339" s="84" t="s">
        <v>3683</v>
      </c>
      <c r="C339" s="7" t="s">
        <v>3684</v>
      </c>
      <c r="D339" s="7" t="s">
        <v>2571</v>
      </c>
      <c r="E339" s="7" t="s">
        <v>2636</v>
      </c>
      <c r="F339" s="84" t="s">
        <v>3685</v>
      </c>
      <c r="G339" s="84" t="s">
        <v>2807</v>
      </c>
      <c r="H339" s="84" t="s">
        <v>3686</v>
      </c>
      <c r="I339" s="84" t="s">
        <v>3687</v>
      </c>
      <c r="J339" s="7" t="s">
        <v>3207</v>
      </c>
      <c r="K339" s="7">
        <v>31.0</v>
      </c>
      <c r="L339" s="7">
        <v>31.0</v>
      </c>
      <c r="M339" s="7">
        <v>15.0</v>
      </c>
      <c r="N339" s="7">
        <v>15.0</v>
      </c>
      <c r="O339" s="7">
        <v>15.0</v>
      </c>
      <c r="P339" s="7">
        <v>31.0</v>
      </c>
      <c r="Q339" s="7">
        <v>148.0</v>
      </c>
      <c r="R339" s="7">
        <v>148.0</v>
      </c>
      <c r="S339" s="7">
        <v>4.0</v>
      </c>
      <c r="T339" s="7">
        <v>4.0</v>
      </c>
      <c r="U339" s="7">
        <v>4.0</v>
      </c>
      <c r="V339" s="7">
        <v>148.0</v>
      </c>
      <c r="W339" s="7">
        <f>VLOOKUP($D339,NatureChart,2,0)</f>
        <v>1.1</v>
      </c>
      <c r="X339" s="7">
        <f>VLOOKUP($D339,NatureChart,3,0)</f>
        <v>1</v>
      </c>
      <c r="Y339" s="7">
        <f>VLOOKUP($D339,NatureChart,4,0)</f>
        <v>0.9</v>
      </c>
      <c r="Z339" s="7">
        <f>VLOOKUP($D339,NatureChart,5,0)</f>
        <v>1</v>
      </c>
      <c r="AA339" s="84">
        <f>VLOOKUP($D339,NatureChart,6,0)</f>
        <v>1</v>
      </c>
      <c r="AB339" s="84">
        <f>IF($C339="Shedinja",1,(INT((2*VLOOKUP($C339,DexData,5,0)+INT(Q339/4)+K339)/2)+60))</f>
        <v>174</v>
      </c>
      <c r="AC339" s="84">
        <f>INT(INT((INT((2*VLOOKUP($C339,DexData,6,0)+INT(R339/4)+L339)/2)+5)*W339)*IF($E339="Choice Band",1.5,IF(OR($E339="Mawilite",$E339="Medichamite",$E339="Thick Club"),2,1)))</f>
        <v>158</v>
      </c>
      <c r="AD339" s="84">
        <f>INT(INT((INT((2*VLOOKUP($C339,DexData,7,0)+INT(S339/4)+M339)/2)+5)*X339)*IF($E339="Eviolite",1.5,1))</f>
        <v>78</v>
      </c>
      <c r="AE339" s="84">
        <f>INT(INT((INT((2*VLOOKUP($C339,DexData,9,0)+INT(T339/4)+N339)/2)+5)*Y339)*IF($E339="Choice Specs",1.5,1))</f>
        <v>101</v>
      </c>
      <c r="AF339" s="84">
        <f>INT(INT((INT((2*VLOOKUP($C339,DexData,10,0)+INT(U339/4)+O339)/2)+5)*Z339)*IF(OR($E339="Eviolite",$E339="Assault Vest"),1.5,1))</f>
        <v>83</v>
      </c>
      <c r="AG339" s="84">
        <f>INT(INT((INT((2*VLOOKUP($C339,DexData,11,0)+INT(V339/4)+P339)/2)+5)*AA339)*IF($E339="Choice Scarf",1.5,IF($E339="Iron Ball",0.5,1)))</f>
        <v>109</v>
      </c>
      <c r="AH339" s="84" t="str">
        <f>VLOOKUP(VLOOKUP($C339,DexData,3,0),Aliases!D$2:E$19,2,0)&amp;IFERROR("/"&amp;VLOOKUP(VLOOKUP($C339,DexData,4,0),Aliases!D$2:E$19,2,0),"")</f>
        <v>GRS/PSN</v>
      </c>
      <c r="AI339" s="7">
        <v>3.0</v>
      </c>
      <c r="AJ339" s="7">
        <f>IF(VLOOKUP(B339,'Set Odds'!A$2:AN$1067,40,0),1,IF(VLOOKUP(B339,'Set Odds'!A$2:AO$1067,41,0),2,0))</f>
        <v>0</v>
      </c>
      <c r="AK339" s="7"/>
      <c r="AL339" s="7" t="str">
        <f t="shared" si="1"/>
        <v/>
      </c>
    </row>
    <row r="340" ht="12.75" customHeight="1">
      <c r="A340" s="86">
        <v>339.0</v>
      </c>
      <c r="B340" s="84" t="s">
        <v>3688</v>
      </c>
      <c r="C340" s="7" t="s">
        <v>3689</v>
      </c>
      <c r="D340" s="7" t="s">
        <v>2941</v>
      </c>
      <c r="E340" s="7" t="s">
        <v>2636</v>
      </c>
      <c r="F340" s="84" t="s">
        <v>2539</v>
      </c>
      <c r="G340" s="84" t="s">
        <v>2693</v>
      </c>
      <c r="H340" s="84" t="s">
        <v>2763</v>
      </c>
      <c r="I340" s="84" t="s">
        <v>2890</v>
      </c>
      <c r="J340" s="7" t="s">
        <v>2995</v>
      </c>
      <c r="K340" s="7">
        <v>31.0</v>
      </c>
      <c r="L340" s="7">
        <v>31.0</v>
      </c>
      <c r="M340" s="7">
        <v>15.0</v>
      </c>
      <c r="N340" s="7">
        <v>15.0</v>
      </c>
      <c r="O340" s="7">
        <v>15.0</v>
      </c>
      <c r="P340" s="7">
        <v>31.0</v>
      </c>
      <c r="Q340" s="7">
        <v>148.0</v>
      </c>
      <c r="R340" s="7">
        <v>148.0</v>
      </c>
      <c r="S340" s="7">
        <v>4.0</v>
      </c>
      <c r="T340" s="7">
        <v>4.0</v>
      </c>
      <c r="U340" s="7">
        <v>4.0</v>
      </c>
      <c r="V340" s="7">
        <v>148.0</v>
      </c>
      <c r="W340" s="7">
        <f>VLOOKUP($D340,NatureChart,2,0)</f>
        <v>1</v>
      </c>
      <c r="X340" s="7">
        <f>VLOOKUP($D340,NatureChart,3,0)</f>
        <v>0.9</v>
      </c>
      <c r="Y340" s="7">
        <f>VLOOKUP($D340,NatureChart,4,0)</f>
        <v>1</v>
      </c>
      <c r="Z340" s="7">
        <f>VLOOKUP($D340,NatureChart,5,0)</f>
        <v>1</v>
      </c>
      <c r="AA340" s="84">
        <f>VLOOKUP($D340,NatureChart,6,0)</f>
        <v>1.1</v>
      </c>
      <c r="AB340" s="84">
        <f>IF($C340="Shedinja",1,(INT((2*VLOOKUP($C340,DexData,5,0)+INT(Q340/4)+K340)/2)+60))</f>
        <v>154</v>
      </c>
      <c r="AC340" s="84">
        <f>INT(INT((INT((2*VLOOKUP($C340,DexData,6,0)+INT(R340/4)+L340)/2)+5)*W340)*IF($E340="Choice Band",1.5,IF(OR($E340="Mawilite",$E340="Medichamite",$E340="Thick Club"),2,1)))</f>
        <v>89</v>
      </c>
      <c r="AD340" s="84">
        <f>INT(INT((INT((2*VLOOKUP($C340,DexData,7,0)+INT(S340/4)+M340)/2)+5)*X340)*IF($E340="Eviolite",1.5,1))</f>
        <v>74</v>
      </c>
      <c r="AE340" s="84">
        <f>INT(INT((INT((2*VLOOKUP($C340,DexData,9,0)+INT(T340/4)+N340)/2)+5)*Y340)*IF($E340="Choice Specs",1.5,1))</f>
        <v>93</v>
      </c>
      <c r="AF340" s="84">
        <f>INT(INT((INT((2*VLOOKUP($C340,DexData,10,0)+INT(U340/4)+O340)/2)+5)*Z340)*IF(OR($E340="Eviolite",$E340="Assault Vest"),1.5,1))</f>
        <v>93</v>
      </c>
      <c r="AG340" s="84">
        <f>INT(INT((INT((2*VLOOKUP($C340,DexData,11,0)+INT(V340/4)+P340)/2)+5)*AA340)*IF($E340="Choice Scarf",1.5,IF($E340="Iron Ball",0.5,1)))</f>
        <v>207</v>
      </c>
      <c r="AH340" s="84" t="str">
        <f>VLOOKUP(VLOOKUP($C340,DexData,3,0),Aliases!D$2:E$19,2,0)&amp;IFERROR("/"&amp;VLOOKUP(VLOOKUP($C340,DexData,4,0),Aliases!D$2:E$19,2,0),"")</f>
        <v>ELC</v>
      </c>
      <c r="AI340" s="7">
        <v>3.0</v>
      </c>
      <c r="AJ340" s="7">
        <f>IF(VLOOKUP(B340,'Set Odds'!A$2:AN$1067,40,0),1,IF(VLOOKUP(B340,'Set Odds'!A$2:AO$1067,41,0),2,0))</f>
        <v>0</v>
      </c>
      <c r="AK340" s="7"/>
      <c r="AL340" s="7" t="str">
        <f t="shared" si="1"/>
        <v/>
      </c>
    </row>
    <row r="341" ht="12.75" customHeight="1">
      <c r="A341" s="86">
        <v>340.0</v>
      </c>
      <c r="B341" s="84" t="s">
        <v>3690</v>
      </c>
      <c r="C341" s="7" t="s">
        <v>3691</v>
      </c>
      <c r="D341" s="7" t="s">
        <v>2571</v>
      </c>
      <c r="E341" s="7" t="s">
        <v>2889</v>
      </c>
      <c r="F341" s="84" t="s">
        <v>2869</v>
      </c>
      <c r="G341" s="84" t="s">
        <v>2572</v>
      </c>
      <c r="H341" s="84" t="s">
        <v>3692</v>
      </c>
      <c r="I341" s="84" t="s">
        <v>3113</v>
      </c>
      <c r="J341" s="7" t="s">
        <v>3145</v>
      </c>
      <c r="K341" s="7">
        <v>31.0</v>
      </c>
      <c r="L341" s="7">
        <v>31.0</v>
      </c>
      <c r="M341" s="7">
        <v>15.0</v>
      </c>
      <c r="N341" s="7">
        <v>15.0</v>
      </c>
      <c r="O341" s="7">
        <v>15.0</v>
      </c>
      <c r="P341" s="7">
        <v>31.0</v>
      </c>
      <c r="Q341" s="7">
        <v>148.0</v>
      </c>
      <c r="R341" s="7">
        <v>148.0</v>
      </c>
      <c r="S341" s="7">
        <v>4.0</v>
      </c>
      <c r="T341" s="7">
        <v>4.0</v>
      </c>
      <c r="U341" s="7">
        <v>4.0</v>
      </c>
      <c r="V341" s="7">
        <v>148.0</v>
      </c>
      <c r="W341" s="7">
        <f>VLOOKUP($D341,NatureChart,2,0)</f>
        <v>1.1</v>
      </c>
      <c r="X341" s="7">
        <f>VLOOKUP($D341,NatureChart,3,0)</f>
        <v>1</v>
      </c>
      <c r="Y341" s="7">
        <f>VLOOKUP($D341,NatureChart,4,0)</f>
        <v>0.9</v>
      </c>
      <c r="Z341" s="7">
        <f>VLOOKUP($D341,NatureChart,5,0)</f>
        <v>1</v>
      </c>
      <c r="AA341" s="84">
        <f>VLOOKUP($D341,NatureChart,6,0)</f>
        <v>1</v>
      </c>
      <c r="AB341" s="84">
        <f>IF($C341="Shedinja",1,(INT((2*VLOOKUP($C341,DexData,5,0)+INT(Q341/4)+K341)/2)+60))</f>
        <v>174</v>
      </c>
      <c r="AC341" s="84">
        <f>INT(INT((INT((2*VLOOKUP($C341,DexData,6,0)+INT(R341/4)+L341)/2)+5)*W341)*IF($E341="Choice Band",1.5,IF(OR($E341="Mawilite",$E341="Medichamite",$E341="Thick Club"),2,1)))</f>
        <v>119</v>
      </c>
      <c r="AD341" s="84">
        <f>INT(INT((INT((2*VLOOKUP($C341,DexData,7,0)+INT(S341/4)+M341)/2)+5)*X341)*IF($E341="Eviolite",1.5,1))</f>
        <v>83</v>
      </c>
      <c r="AE341" s="84">
        <f>INT(INT((INT((2*VLOOKUP($C341,DexData,9,0)+INT(T341/4)+N341)/2)+5)*Y341)*IF($E341="Choice Specs",1.5,1))</f>
        <v>92</v>
      </c>
      <c r="AF341" s="84">
        <f>INT(INT((INT((2*VLOOKUP($C341,DexData,10,0)+INT(U341/4)+O341)/2)+5)*Z341)*IF(OR($E341="Eviolite",$E341="Assault Vest"),1.5,1))</f>
        <v>113</v>
      </c>
      <c r="AG341" s="84">
        <f>INT(INT((INT((2*VLOOKUP($C341,DexData,11,0)+INT(V341/4)+P341)/2)+5)*AA341)*IF($E341="Choice Scarf",1.5,IF($E341="Iron Ball",0.5,1)))</f>
        <v>109</v>
      </c>
      <c r="AH341" s="84" t="str">
        <f>VLOOKUP(VLOOKUP($C341,DexData,3,0),Aliases!D$2:E$19,2,0)&amp;IFERROR("/"&amp;VLOOKUP(VLOOKUP($C341,DexData,4,0),Aliases!D$2:E$19,2,0),"")</f>
        <v>WTR/GRS</v>
      </c>
      <c r="AI341" s="7">
        <v>3.0</v>
      </c>
      <c r="AJ341" s="7">
        <f>IF(VLOOKUP(B341,'Set Odds'!A$2:AN$1067,40,0),1,IF(VLOOKUP(B341,'Set Odds'!A$2:AO$1067,41,0),2,0))</f>
        <v>0</v>
      </c>
      <c r="AK341" s="7"/>
      <c r="AL341" s="7" t="str">
        <f t="shared" si="1"/>
        <v/>
      </c>
    </row>
    <row r="342" ht="12.75" customHeight="1">
      <c r="A342" s="86">
        <v>341.0</v>
      </c>
      <c r="B342" s="84" t="s">
        <v>3693</v>
      </c>
      <c r="C342" s="7" t="s">
        <v>3694</v>
      </c>
      <c r="D342" s="7" t="s">
        <v>2862</v>
      </c>
      <c r="E342" s="7" t="s">
        <v>2685</v>
      </c>
      <c r="F342" s="84" t="s">
        <v>2532</v>
      </c>
      <c r="G342" s="84" t="s">
        <v>2575</v>
      </c>
      <c r="H342" s="84" t="s">
        <v>2534</v>
      </c>
      <c r="I342" s="84" t="s">
        <v>2856</v>
      </c>
      <c r="J342" s="7" t="s">
        <v>2842</v>
      </c>
      <c r="K342" s="7">
        <v>31.0</v>
      </c>
      <c r="L342" s="7">
        <v>15.0</v>
      </c>
      <c r="M342" s="7">
        <v>31.0</v>
      </c>
      <c r="N342" s="7">
        <v>31.0</v>
      </c>
      <c r="O342" s="7">
        <v>15.0</v>
      </c>
      <c r="P342" s="7">
        <v>15.0</v>
      </c>
      <c r="Q342" s="7">
        <v>148.0</v>
      </c>
      <c r="R342" s="7">
        <v>4.0</v>
      </c>
      <c r="S342" s="7">
        <v>148.0</v>
      </c>
      <c r="T342" s="7">
        <v>148.0</v>
      </c>
      <c r="U342" s="7">
        <v>4.0</v>
      </c>
      <c r="V342" s="7">
        <v>4.0</v>
      </c>
      <c r="W342" s="7">
        <f>VLOOKUP($D342,NatureChart,2,0)</f>
        <v>0.9</v>
      </c>
      <c r="X342" s="7">
        <f>VLOOKUP($D342,NatureChart,3,0)</f>
        <v>1.1</v>
      </c>
      <c r="Y342" s="7">
        <f>VLOOKUP($D342,NatureChart,4,0)</f>
        <v>1</v>
      </c>
      <c r="Z342" s="7">
        <f>VLOOKUP($D342,NatureChart,5,0)</f>
        <v>1</v>
      </c>
      <c r="AA342" s="84">
        <f>VLOOKUP($D342,NatureChart,6,0)</f>
        <v>1</v>
      </c>
      <c r="AB342" s="84">
        <f>IF($C342="Shedinja",1,(INT((2*VLOOKUP($C342,DexData,5,0)+INT(Q342/4)+K342)/2)+60))</f>
        <v>184</v>
      </c>
      <c r="AC342" s="84">
        <f>INT(INT((INT((2*VLOOKUP($C342,DexData,6,0)+INT(R342/4)+L342)/2)+5)*W342)*IF($E342="Choice Band",1.5,IF(OR($E342="Mawilite",$E342="Medichamite",$E342="Thick Club"),2,1)))</f>
        <v>101</v>
      </c>
      <c r="AD342" s="84">
        <f>INT(INT((INT((2*VLOOKUP($C342,DexData,7,0)+INT(S342/4)+M342)/2)+5)*X342)*IF($E342="Eviolite",1.5,1))</f>
        <v>108</v>
      </c>
      <c r="AE342" s="84">
        <f>INT(INT((INT((2*VLOOKUP($C342,DexData,9,0)+INT(T342/4)+N342)/2)+5)*Y342)*IF($E342="Choice Specs",1.5,1))</f>
        <v>129</v>
      </c>
      <c r="AF342" s="84">
        <f>INT(INT((INT((2*VLOOKUP($C342,DexData,10,0)+INT(U342/4)+O342)/2)+5)*Z342)*IF(OR($E342="Eviolite",$E342="Assault Vest"),1.5,1))</f>
        <v>73</v>
      </c>
      <c r="AG342" s="84">
        <f>INT(INT((INT((2*VLOOKUP($C342,DexData,11,0)+INT(V342/4)+P342)/2)+5)*AA342)*IF($E342="Choice Scarf",1.5,IF($E342="Iron Ball",0.5,1)))</f>
        <v>93</v>
      </c>
      <c r="AH342" s="84" t="str">
        <f>VLOOKUP(VLOOKUP($C342,DexData,3,0),Aliases!D$2:E$19,2,0)&amp;IFERROR("/"&amp;VLOOKUP(VLOOKUP($C342,DexData,4,0),Aliases!D$2:E$19,2,0),"")</f>
        <v>GRS/DRK</v>
      </c>
      <c r="AI342" s="7">
        <v>3.0</v>
      </c>
      <c r="AJ342" s="7">
        <f>IF(VLOOKUP(B342,'Set Odds'!A$2:AN$1067,40,0),1,IF(VLOOKUP(B342,'Set Odds'!A$2:AO$1067,41,0),2,0))</f>
        <v>0</v>
      </c>
      <c r="AK342" s="7"/>
      <c r="AL342" s="7" t="str">
        <f t="shared" si="1"/>
        <v/>
      </c>
    </row>
    <row r="343" ht="12.75" customHeight="1">
      <c r="A343" s="86">
        <v>342.0</v>
      </c>
      <c r="B343" s="84" t="s">
        <v>3695</v>
      </c>
      <c r="C343" s="7" t="s">
        <v>3696</v>
      </c>
      <c r="D343" s="7" t="s">
        <v>2656</v>
      </c>
      <c r="E343" s="7" t="s">
        <v>2520</v>
      </c>
      <c r="F343" s="84" t="s">
        <v>3697</v>
      </c>
      <c r="G343" s="84" t="s">
        <v>3600</v>
      </c>
      <c r="H343" s="84" t="s">
        <v>3558</v>
      </c>
      <c r="I343" s="84" t="s">
        <v>3590</v>
      </c>
      <c r="J343" s="7" t="s">
        <v>2931</v>
      </c>
      <c r="K343" s="7">
        <v>31.0</v>
      </c>
      <c r="L343" s="7">
        <v>15.0</v>
      </c>
      <c r="M343" s="7">
        <v>15.0</v>
      </c>
      <c r="N343" s="7">
        <v>31.0</v>
      </c>
      <c r="O343" s="7">
        <v>15.0</v>
      </c>
      <c r="P343" s="7">
        <v>31.0</v>
      </c>
      <c r="Q343" s="7">
        <v>148.0</v>
      </c>
      <c r="R343" s="7">
        <v>4.0</v>
      </c>
      <c r="S343" s="7">
        <v>4.0</v>
      </c>
      <c r="T343" s="7">
        <v>148.0</v>
      </c>
      <c r="U343" s="7">
        <v>4.0</v>
      </c>
      <c r="V343" s="7">
        <v>148.0</v>
      </c>
      <c r="W343" s="7">
        <f>VLOOKUP($D343,NatureChart,2,0)</f>
        <v>0.9</v>
      </c>
      <c r="X343" s="7">
        <f>VLOOKUP($D343,NatureChart,3,0)</f>
        <v>1</v>
      </c>
      <c r="Y343" s="7">
        <f>VLOOKUP($D343,NatureChart,4,0)</f>
        <v>1.1</v>
      </c>
      <c r="Z343" s="7">
        <f>VLOOKUP($D343,NatureChart,5,0)</f>
        <v>1</v>
      </c>
      <c r="AA343" s="84">
        <f>VLOOKUP($D343,NatureChart,6,0)</f>
        <v>1</v>
      </c>
      <c r="AB343" s="84">
        <f>IF($C343="Shedinja",1,(INT((2*VLOOKUP($C343,DexData,5,0)+INT(Q343/4)+K343)/2)+60))</f>
        <v>198</v>
      </c>
      <c r="AC343" s="84">
        <f>INT(INT((INT((2*VLOOKUP($C343,DexData,6,0)+INT(R343/4)+L343)/2)+5)*W343)*IF($E343="Choice Band",1.5,IF(OR($E343="Mawilite",$E343="Medichamite",$E343="Thick Club"),2,1)))</f>
        <v>93</v>
      </c>
      <c r="AD343" s="84">
        <f>INT(INT((INT((2*VLOOKUP($C343,DexData,7,0)+INT(S343/4)+M343)/2)+5)*X343)*IF($E343="Eviolite",1.5,1))</f>
        <v>76</v>
      </c>
      <c r="AE343" s="84">
        <f>INT(INT((INT((2*VLOOKUP($C343,DexData,9,0)+INT(T343/4)+N343)/2)+5)*Y343)*IF($E343="Choice Specs",1.5,1))</f>
        <v>143</v>
      </c>
      <c r="AF343" s="84">
        <f>INT(INT((INT((2*VLOOKUP($C343,DexData,10,0)+INT(U343/4)+O343)/2)+5)*Z343)*IF(OR($E343="Eviolite",$E343="Assault Vest"),1.5,1))</f>
        <v>86</v>
      </c>
      <c r="AG343" s="84">
        <f>INT(INT((INT((2*VLOOKUP($C343,DexData,11,0)+INT(V343/4)+P343)/2)+5)*AA343)*IF($E343="Choice Scarf",1.5,IF($E343="Iron Ball",0.5,1)))</f>
        <v>107</v>
      </c>
      <c r="AH343" s="84" t="str">
        <f>VLOOKUP(VLOOKUP($C343,DexData,3,0),Aliases!D$2:E$19,2,0)&amp;IFERROR("/"&amp;VLOOKUP(VLOOKUP($C343,DexData,4,0),Aliases!D$2:E$19,2,0),"")</f>
        <v>NRM</v>
      </c>
      <c r="AI343" s="7">
        <v>3.0</v>
      </c>
      <c r="AJ343" s="7">
        <f>IF(VLOOKUP(B343,'Set Odds'!A$2:AN$1067,40,0),1,IF(VLOOKUP(B343,'Set Odds'!A$2:AO$1067,41,0),2,0))</f>
        <v>0</v>
      </c>
      <c r="AK343" s="7"/>
      <c r="AL343" s="7" t="str">
        <f t="shared" si="1"/>
        <v/>
      </c>
    </row>
    <row r="344" ht="12.75" customHeight="1">
      <c r="A344" s="86">
        <v>343.0</v>
      </c>
      <c r="B344" s="84" t="s">
        <v>3698</v>
      </c>
      <c r="C344" s="7" t="s">
        <v>3699</v>
      </c>
      <c r="D344" s="7" t="s">
        <v>2635</v>
      </c>
      <c r="E344" s="7" t="s">
        <v>2685</v>
      </c>
      <c r="F344" s="84" t="s">
        <v>2517</v>
      </c>
      <c r="G344" s="84" t="s">
        <v>3185</v>
      </c>
      <c r="H344" s="84" t="s">
        <v>3700</v>
      </c>
      <c r="I344" s="84" t="s">
        <v>2526</v>
      </c>
      <c r="J344" s="7" t="s">
        <v>2786</v>
      </c>
      <c r="K344" s="7">
        <v>31.0</v>
      </c>
      <c r="L344" s="7">
        <v>15.0</v>
      </c>
      <c r="M344" s="7">
        <v>15.0</v>
      </c>
      <c r="N344" s="7">
        <v>31.0</v>
      </c>
      <c r="O344" s="7">
        <v>15.0</v>
      </c>
      <c r="P344" s="7">
        <v>31.0</v>
      </c>
      <c r="Q344" s="7">
        <v>148.0</v>
      </c>
      <c r="R344" s="7">
        <v>4.0</v>
      </c>
      <c r="S344" s="7">
        <v>4.0</v>
      </c>
      <c r="T344" s="7">
        <v>148.0</v>
      </c>
      <c r="U344" s="7">
        <v>4.0</v>
      </c>
      <c r="V344" s="7">
        <v>148.0</v>
      </c>
      <c r="W344" s="7">
        <f>VLOOKUP($D344,NatureChart,2,0)</f>
        <v>0.9</v>
      </c>
      <c r="X344" s="7">
        <f>VLOOKUP($D344,NatureChart,3,0)</f>
        <v>1</v>
      </c>
      <c r="Y344" s="7">
        <f>VLOOKUP($D344,NatureChart,4,0)</f>
        <v>1</v>
      </c>
      <c r="Z344" s="7">
        <f>VLOOKUP($D344,NatureChart,5,0)</f>
        <v>1</v>
      </c>
      <c r="AA344" s="84">
        <f>VLOOKUP($D344,NatureChart,6,0)</f>
        <v>1.1</v>
      </c>
      <c r="AB344" s="84">
        <f>IF($C344="Shedinja",1,(INT((2*VLOOKUP($C344,DexData,5,0)+INT(Q344/4)+K344)/2)+60))</f>
        <v>174</v>
      </c>
      <c r="AC344" s="84">
        <f>INT(INT((INT((2*VLOOKUP($C344,DexData,6,0)+INT(R344/4)+L344)/2)+5)*W344)*IF($E344="Choice Band",1.5,IF(OR($E344="Mawilite",$E344="Medichamite",$E344="Thick Club"),2,1)))</f>
        <v>83</v>
      </c>
      <c r="AD344" s="84">
        <f>INT(INT((INT((2*VLOOKUP($C344,DexData,7,0)+INT(S344/4)+M344)/2)+5)*X344)*IF($E344="Eviolite",1.5,1))</f>
        <v>93</v>
      </c>
      <c r="AE344" s="84">
        <f>INT(INT((INT((2*VLOOKUP($C344,DexData,9,0)+INT(T344/4)+N344)/2)+5)*Y344)*IF($E344="Choice Specs",1.5,1))</f>
        <v>119</v>
      </c>
      <c r="AF344" s="84">
        <f>INT(INT((INT((2*VLOOKUP($C344,DexData,10,0)+INT(U344/4)+O344)/2)+5)*Z344)*IF(OR($E344="Eviolite",$E344="Assault Vest"),1.5,1))</f>
        <v>93</v>
      </c>
      <c r="AG344" s="84">
        <f>INT(INT((INT((2*VLOOKUP($C344,DexData,11,0)+INT(V344/4)+P344)/2)+5)*AA344)*IF($E344="Choice Scarf",1.5,IF($E344="Iron Ball",0.5,1)))</f>
        <v>130</v>
      </c>
      <c r="AH344" s="84" t="str">
        <f>VLOOKUP(VLOOKUP($C344,DexData,3,0),Aliases!D$2:E$19,2,0)&amp;IFERROR("/"&amp;VLOOKUP(VLOOKUP($C344,DexData,4,0),Aliases!D$2:E$19,2,0),"")</f>
        <v>ICE</v>
      </c>
      <c r="AI344" s="7">
        <v>3.0</v>
      </c>
      <c r="AJ344" s="7">
        <f>IF(VLOOKUP(B344,'Set Odds'!A$2:AN$1067,40,0),1,IF(VLOOKUP(B344,'Set Odds'!A$2:AO$1067,41,0),2,0))</f>
        <v>0</v>
      </c>
      <c r="AK344" s="7"/>
      <c r="AL344" s="7" t="str">
        <f t="shared" si="1"/>
        <v/>
      </c>
    </row>
    <row r="345" ht="12.75" customHeight="1">
      <c r="A345" s="86">
        <v>344.0</v>
      </c>
      <c r="B345" s="84" t="s">
        <v>3701</v>
      </c>
      <c r="C345" s="7" t="s">
        <v>3702</v>
      </c>
      <c r="D345" s="7" t="s">
        <v>2723</v>
      </c>
      <c r="E345" s="7" t="s">
        <v>2524</v>
      </c>
      <c r="F345" s="84" t="s">
        <v>2763</v>
      </c>
      <c r="G345" s="84" t="s">
        <v>2848</v>
      </c>
      <c r="H345" s="84" t="s">
        <v>2658</v>
      </c>
      <c r="I345" s="84" t="s">
        <v>3594</v>
      </c>
      <c r="J345" s="7" t="s">
        <v>2853</v>
      </c>
      <c r="K345" s="7">
        <v>31.0</v>
      </c>
      <c r="L345" s="7">
        <v>31.0</v>
      </c>
      <c r="M345" s="7">
        <v>15.0</v>
      </c>
      <c r="N345" s="7">
        <v>15.0</v>
      </c>
      <c r="O345" s="7">
        <v>31.0</v>
      </c>
      <c r="P345" s="7">
        <v>15.0</v>
      </c>
      <c r="Q345" s="7">
        <v>148.0</v>
      </c>
      <c r="R345" s="7">
        <v>148.0</v>
      </c>
      <c r="S345" s="7">
        <v>4.0</v>
      </c>
      <c r="T345" s="7">
        <v>4.0</v>
      </c>
      <c r="U345" s="7">
        <v>148.0</v>
      </c>
      <c r="V345" s="7">
        <v>4.0</v>
      </c>
      <c r="W345" s="7">
        <f>VLOOKUP($D345,NatureChart,2,0)</f>
        <v>1</v>
      </c>
      <c r="X345" s="7">
        <f>VLOOKUP($D345,NatureChart,3,0)</f>
        <v>1</v>
      </c>
      <c r="Y345" s="7">
        <f>VLOOKUP($D345,NatureChart,4,0)</f>
        <v>0.9</v>
      </c>
      <c r="Z345" s="7">
        <f>VLOOKUP($D345,NatureChart,5,0)</f>
        <v>1.1</v>
      </c>
      <c r="AA345" s="84">
        <f>VLOOKUP($D345,NatureChart,6,0)</f>
        <v>1</v>
      </c>
      <c r="AB345" s="84">
        <f>IF($C345="Shedinja",1,(INT((2*VLOOKUP($C345,DexData,5,0)+INT(Q345/4)+K345)/2)+60))</f>
        <v>159</v>
      </c>
      <c r="AC345" s="84">
        <f>INT(INT((INT((2*VLOOKUP($C345,DexData,6,0)+INT(R345/4)+L345)/2)+5)*W345)*IF($E345="Choice Band",1.5,IF(OR($E345="Mawilite",$E345="Medichamite",$E345="Thick Club"),2,1)))</f>
        <v>115</v>
      </c>
      <c r="AD345" s="84">
        <f>INT(INT((INT((2*VLOOKUP($C345,DexData,7,0)+INT(S345/4)+M345)/2)+5)*X345)*IF($E345="Eviolite",1.5,1))</f>
        <v>97</v>
      </c>
      <c r="AE345" s="84">
        <f>INT(INT((INT((2*VLOOKUP($C345,DexData,9,0)+INT(T345/4)+N345)/2)+5)*Y345)*IF($E345="Choice Specs",1.5,1))</f>
        <v>60</v>
      </c>
      <c r="AF345" s="84">
        <f>INT(INT((INT((2*VLOOKUP($C345,DexData,10,0)+INT(U345/4)+O345)/2)+5)*Z345)*IF(OR($E345="Eviolite",$E345="Assault Vest"),1.5,1))</f>
        <v>148</v>
      </c>
      <c r="AG345" s="84">
        <f>INT(INT((INT((2*VLOOKUP($C345,DexData,11,0)+INT(V345/4)+P345)/2)+5)*AA345)*IF($E345="Choice Scarf",1.5,IF($E345="Iron Ball",0.5,1)))</f>
        <v>118</v>
      </c>
      <c r="AH345" s="84" t="str">
        <f>VLOOKUP(VLOOKUP($C345,DexData,3,0),Aliases!D$2:E$19,2,0)&amp;IFERROR("/"&amp;VLOOKUP(VLOOKUP($C345,DexData,4,0),Aliases!D$2:E$19,2,0),"")</f>
        <v>NRM</v>
      </c>
      <c r="AI345" s="7">
        <v>3.0</v>
      </c>
      <c r="AJ345" s="7">
        <f>IF(VLOOKUP(B345,'Set Odds'!A$2:AN$1067,40,0),1,IF(VLOOKUP(B345,'Set Odds'!A$2:AO$1067,41,0),2,0))</f>
        <v>0</v>
      </c>
      <c r="AK345" s="7"/>
      <c r="AL345" s="7" t="str">
        <f t="shared" si="1"/>
        <v/>
      </c>
    </row>
    <row r="346" ht="12.75" customHeight="1">
      <c r="A346" s="86">
        <v>345.0</v>
      </c>
      <c r="B346" s="84" t="s">
        <v>3703</v>
      </c>
      <c r="C346" s="7" t="s">
        <v>3704</v>
      </c>
      <c r="D346" s="7" t="s">
        <v>2635</v>
      </c>
      <c r="E346" s="7" t="s">
        <v>2520</v>
      </c>
      <c r="F346" s="84" t="s">
        <v>3047</v>
      </c>
      <c r="G346" s="84" t="s">
        <v>2661</v>
      </c>
      <c r="H346" s="84" t="s">
        <v>3435</v>
      </c>
      <c r="I346" s="84" t="s">
        <v>2732</v>
      </c>
      <c r="J346" s="7" t="s">
        <v>3496</v>
      </c>
      <c r="K346" s="7">
        <v>31.0</v>
      </c>
      <c r="L346" s="7">
        <v>15.0</v>
      </c>
      <c r="M346" s="7">
        <v>15.0</v>
      </c>
      <c r="N346" s="7">
        <v>31.0</v>
      </c>
      <c r="O346" s="7">
        <v>15.0</v>
      </c>
      <c r="P346" s="7">
        <v>31.0</v>
      </c>
      <c r="Q346" s="7">
        <v>148.0</v>
      </c>
      <c r="R346" s="7">
        <v>4.0</v>
      </c>
      <c r="S346" s="7">
        <v>4.0</v>
      </c>
      <c r="T346" s="7">
        <v>148.0</v>
      </c>
      <c r="U346" s="7">
        <v>4.0</v>
      </c>
      <c r="V346" s="7">
        <v>148.0</v>
      </c>
      <c r="W346" s="7">
        <f>VLOOKUP($D346,NatureChart,2,0)</f>
        <v>0.9</v>
      </c>
      <c r="X346" s="7">
        <f>VLOOKUP($D346,NatureChart,3,0)</f>
        <v>1</v>
      </c>
      <c r="Y346" s="7">
        <f>VLOOKUP($D346,NatureChart,4,0)</f>
        <v>1</v>
      </c>
      <c r="Z346" s="7">
        <f>VLOOKUP($D346,NatureChart,5,0)</f>
        <v>1</v>
      </c>
      <c r="AA346" s="84">
        <f>VLOOKUP($D346,NatureChart,6,0)</f>
        <v>1.1</v>
      </c>
      <c r="AB346" s="84">
        <f>IF($C346="Shedinja",1,(INT((2*VLOOKUP($C346,DexData,5,0)+INT(Q346/4)+K346)/2)+60))</f>
        <v>164</v>
      </c>
      <c r="AC346" s="84">
        <f>INT(INT((INT((2*VLOOKUP($C346,DexData,6,0)+INT(R346/4)+L346)/2)+5)*W346)*IF($E346="Choice Band",1.5,IF(OR($E346="Mawilite",$E346="Medichamite",$E346="Thick Club"),2,1)))</f>
        <v>83</v>
      </c>
      <c r="AD346" s="84">
        <f>INT(INT((INT((2*VLOOKUP($C346,DexData,7,0)+INT(S346/4)+M346)/2)+5)*X346)*IF($E346="Eviolite",1.5,1))</f>
        <v>83</v>
      </c>
      <c r="AE346" s="84">
        <f>INT(INT((INT((2*VLOOKUP($C346,DexData,9,0)+INT(T346/4)+N346)/2)+5)*Y346)*IF($E346="Choice Specs",1.5,1))</f>
        <v>119</v>
      </c>
      <c r="AF346" s="84">
        <f>INT(INT((INT((2*VLOOKUP($C346,DexData,10,0)+INT(U346/4)+O346)/2)+5)*Z346)*IF(OR($E346="Eviolite",$E346="Assault Vest"),1.5,1))</f>
        <v>83</v>
      </c>
      <c r="AG346" s="84">
        <f>INT(INT((INT((2*VLOOKUP($C346,DexData,11,0)+INT(V346/4)+P346)/2)+5)*AA346)*IF($E346="Choice Scarf",1.5,IF($E346="Iron Ball",0.5,1)))</f>
        <v>163</v>
      </c>
      <c r="AH346" s="84" t="str">
        <f>VLOOKUP(VLOOKUP($C346,DexData,3,0),Aliases!D$2:E$19,2,0)&amp;IFERROR("/"&amp;VLOOKUP(VLOOKUP($C346,DexData,4,0),Aliases!D$2:E$19,2,0),"")</f>
        <v>ICE/GHO</v>
      </c>
      <c r="AI346" s="7">
        <v>3.0</v>
      </c>
      <c r="AJ346" s="7">
        <f>IF(VLOOKUP(B346,'Set Odds'!A$2:AN$1067,40,0),1,IF(VLOOKUP(B346,'Set Odds'!A$2:AO$1067,41,0),2,0))</f>
        <v>0</v>
      </c>
      <c r="AK346" s="7"/>
      <c r="AL346" s="7" t="str">
        <f t="shared" si="1"/>
        <v/>
      </c>
    </row>
    <row r="347" ht="12.75" customHeight="1">
      <c r="A347" s="86">
        <v>346.0</v>
      </c>
      <c r="B347" s="84" t="s">
        <v>3705</v>
      </c>
      <c r="C347" s="7" t="s">
        <v>3706</v>
      </c>
      <c r="D347" s="7" t="s">
        <v>2648</v>
      </c>
      <c r="E347" s="7" t="s">
        <v>2524</v>
      </c>
      <c r="F347" s="84" t="s">
        <v>2532</v>
      </c>
      <c r="G347" s="84" t="s">
        <v>3130</v>
      </c>
      <c r="H347" s="84" t="s">
        <v>2948</v>
      </c>
      <c r="I347" s="84" t="s">
        <v>3707</v>
      </c>
      <c r="J347" s="7" t="s">
        <v>3412</v>
      </c>
      <c r="K347" s="7">
        <v>31.0</v>
      </c>
      <c r="L347" s="7">
        <v>31.0</v>
      </c>
      <c r="M347" s="7">
        <v>31.0</v>
      </c>
      <c r="N347" s="7">
        <v>15.0</v>
      </c>
      <c r="O347" s="7">
        <v>15.0</v>
      </c>
      <c r="P347" s="7">
        <v>15.0</v>
      </c>
      <c r="Q347" s="7">
        <v>148.0</v>
      </c>
      <c r="R347" s="7">
        <v>148.0</v>
      </c>
      <c r="S347" s="7">
        <v>148.0</v>
      </c>
      <c r="T347" s="7">
        <v>4.0</v>
      </c>
      <c r="U347" s="7">
        <v>4.0</v>
      </c>
      <c r="V347" s="7">
        <v>4.0</v>
      </c>
      <c r="W347" s="7">
        <f>VLOOKUP($D347,NatureChart,2,0)</f>
        <v>1</v>
      </c>
      <c r="X347" s="7">
        <f>VLOOKUP($D347,NatureChart,3,0)</f>
        <v>1.1</v>
      </c>
      <c r="Y347" s="7">
        <f>VLOOKUP($D347,NatureChart,4,0)</f>
        <v>0.9</v>
      </c>
      <c r="Z347" s="7">
        <f>VLOOKUP($D347,NatureChart,5,0)</f>
        <v>1</v>
      </c>
      <c r="AA347" s="84">
        <f>VLOOKUP($D347,NatureChart,6,0)</f>
        <v>1</v>
      </c>
      <c r="AB347" s="84">
        <f>IF($C347="Shedinja",1,(INT((2*VLOOKUP($C347,DexData,5,0)+INT(Q347/4)+K347)/2)+60))</f>
        <v>169</v>
      </c>
      <c r="AC347" s="84">
        <f>INT(INT((INT((2*VLOOKUP($C347,DexData,6,0)+INT(R347/4)+L347)/2)+5)*W347)*IF($E347="Choice Band",1.5,IF(OR($E347="Mawilite",$E347="Medichamite",$E347="Thick Club"),2,1)))</f>
        <v>139</v>
      </c>
      <c r="AD347" s="84">
        <f>INT(INT((INT((2*VLOOKUP($C347,DexData,7,0)+INT(S347/4)+M347)/2)+5)*X347)*IF($E347="Eviolite",1.5,1))</f>
        <v>115</v>
      </c>
      <c r="AE347" s="84">
        <f>INT(INT((INT((2*VLOOKUP($C347,DexData,9,0)+INT(T347/4)+N347)/2)+5)*Y347)*IF($E347="Choice Specs",1.5,1))</f>
        <v>65</v>
      </c>
      <c r="AF347" s="84">
        <f>INT(INT((INT((2*VLOOKUP($C347,DexData,10,0)+INT(U347/4)+O347)/2)+5)*Z347)*IF(OR($E347="Eviolite",$E347="Assault Vest"),1.5,1))</f>
        <v>79</v>
      </c>
      <c r="AG347" s="84">
        <f>INT(INT((INT((2*VLOOKUP($C347,DexData,11,0)+INT(V347/4)+P347)/2)+5)*AA347)*IF($E347="Choice Scarf",1.5,IF($E347="Iron Ball",0.5,1)))</f>
        <v>128</v>
      </c>
      <c r="AH347" s="84" t="str">
        <f>VLOOKUP(VLOOKUP($C347,DexData,3,0),Aliases!D$2:E$19,2,0)&amp;IFERROR("/"&amp;VLOOKUP(VLOOKUP($C347,DexData,4,0),Aliases!D$2:E$19,2,0),"")</f>
        <v>NRM</v>
      </c>
      <c r="AI347" s="7">
        <v>3.0</v>
      </c>
      <c r="AJ347" s="7">
        <f>IF(VLOOKUP(B347,'Set Odds'!A$2:AN$1067,40,0),1,IF(VLOOKUP(B347,'Set Odds'!A$2:AO$1067,41,0),2,0))</f>
        <v>0</v>
      </c>
      <c r="AK347" s="7"/>
      <c r="AL347" s="7" t="str">
        <f t="shared" si="1"/>
        <v/>
      </c>
    </row>
    <row r="348" ht="12.75" customHeight="1">
      <c r="A348" s="86">
        <v>347.0</v>
      </c>
      <c r="B348" s="84" t="s">
        <v>3708</v>
      </c>
      <c r="C348" s="7" t="s">
        <v>3709</v>
      </c>
      <c r="D348" s="7" t="s">
        <v>2811</v>
      </c>
      <c r="E348" s="7" t="s">
        <v>2685</v>
      </c>
      <c r="F348" s="84" t="s">
        <v>3135</v>
      </c>
      <c r="G348" s="84" t="s">
        <v>3710</v>
      </c>
      <c r="H348" s="84" t="s">
        <v>2686</v>
      </c>
      <c r="I348" s="84" t="s">
        <v>3692</v>
      </c>
      <c r="J348" s="7" t="s">
        <v>2735</v>
      </c>
      <c r="K348" s="7">
        <v>31.0</v>
      </c>
      <c r="L348" s="7">
        <v>15.0</v>
      </c>
      <c r="M348" s="7">
        <v>31.0</v>
      </c>
      <c r="N348" s="7">
        <v>31.0</v>
      </c>
      <c r="O348" s="7">
        <v>15.0</v>
      </c>
      <c r="P348" s="7">
        <v>15.0</v>
      </c>
      <c r="Q348" s="7">
        <v>148.0</v>
      </c>
      <c r="R348" s="7">
        <v>4.0</v>
      </c>
      <c r="S348" s="7">
        <v>148.0</v>
      </c>
      <c r="T348" s="7">
        <v>148.0</v>
      </c>
      <c r="U348" s="7">
        <v>4.0</v>
      </c>
      <c r="V348" s="7">
        <v>4.0</v>
      </c>
      <c r="W348" s="7">
        <f>VLOOKUP($D348,NatureChart,2,0)</f>
        <v>1</v>
      </c>
      <c r="X348" s="7">
        <f>VLOOKUP($D348,NatureChart,3,0)</f>
        <v>1.1</v>
      </c>
      <c r="Y348" s="7">
        <f>VLOOKUP($D348,NatureChart,4,0)</f>
        <v>1</v>
      </c>
      <c r="Z348" s="7">
        <f>VLOOKUP($D348,NatureChart,5,0)</f>
        <v>1</v>
      </c>
      <c r="AA348" s="84">
        <f>VLOOKUP($D348,NatureChart,6,0)</f>
        <v>0.9</v>
      </c>
      <c r="AB348" s="84">
        <f>IF($C348="Shedinja",1,(INT((2*VLOOKUP($C348,DexData,5,0)+INT(Q348/4)+K348)/2)+60))</f>
        <v>179</v>
      </c>
      <c r="AC348" s="84">
        <f>INT(INT((INT((2*VLOOKUP($C348,DexData,6,0)+INT(R348/4)+L348)/2)+5)*W348)*IF($E348="Choice Band",1.5,IF(OR($E348="Mawilite",$E348="Medichamite",$E348="Thick Club"),2,1)))</f>
        <v>86</v>
      </c>
      <c r="AD348" s="84">
        <f>INT(INT((INT((2*VLOOKUP($C348,DexData,7,0)+INT(S348/4)+M348)/2)+5)*X348)*IF($E348="Eviolite",1.5,1))</f>
        <v>119</v>
      </c>
      <c r="AE348" s="84">
        <f>INT(INT((INT((2*VLOOKUP($C348,DexData,9,0)+INT(T348/4)+N348)/2)+5)*Y348)*IF($E348="Choice Specs",1.5,1))</f>
        <v>112</v>
      </c>
      <c r="AF348" s="84">
        <f>INT(INT((INT((2*VLOOKUP($C348,DexData,10,0)+INT(U348/4)+O348)/2)+5)*Z348)*IF(OR($E348="Eviolite",$E348="Assault Vest"),1.5,1))</f>
        <v>128</v>
      </c>
      <c r="AG348" s="84">
        <f>INT(INT((INT((2*VLOOKUP($C348,DexData,11,0)+INT(V348/4)+P348)/2)+5)*AA348)*IF($E348="Choice Scarf",1.5,IF($E348="Iron Ball",0.5,1)))</f>
        <v>72</v>
      </c>
      <c r="AH348" s="84" t="str">
        <f>VLOOKUP(VLOOKUP($C348,DexData,3,0),Aliases!D$2:E$19,2,0)&amp;IFERROR("/"&amp;VLOOKUP(VLOOKUP($C348,DexData,4,0),Aliases!D$2:E$19,2,0),"")</f>
        <v>PSY</v>
      </c>
      <c r="AI348" s="7">
        <v>3.0</v>
      </c>
      <c r="AJ348" s="7">
        <f>IF(VLOOKUP(B348,'Set Odds'!A$2:AN$1067,40,0),1,IF(VLOOKUP(B348,'Set Odds'!A$2:AO$1067,41,0),2,0))</f>
        <v>0</v>
      </c>
      <c r="AK348" s="7"/>
      <c r="AL348" s="7" t="str">
        <f t="shared" si="1"/>
        <v/>
      </c>
    </row>
    <row r="349" ht="12.75" customHeight="1">
      <c r="A349" s="86">
        <v>348.0</v>
      </c>
      <c r="B349" s="84" t="s">
        <v>3711</v>
      </c>
      <c r="C349" s="7" t="s">
        <v>3712</v>
      </c>
      <c r="D349" s="7" t="s">
        <v>2692</v>
      </c>
      <c r="E349" s="7" t="s">
        <v>2790</v>
      </c>
      <c r="F349" s="84" t="s">
        <v>2525</v>
      </c>
      <c r="G349" s="84" t="s">
        <v>3454</v>
      </c>
      <c r="H349" s="84" t="s">
        <v>2977</v>
      </c>
      <c r="I349" s="84" t="s">
        <v>2751</v>
      </c>
      <c r="J349" s="7" t="s">
        <v>2728</v>
      </c>
      <c r="K349" s="7">
        <v>31.0</v>
      </c>
      <c r="L349" s="7">
        <v>31.0</v>
      </c>
      <c r="M349" s="7">
        <v>15.0</v>
      </c>
      <c r="N349" s="7">
        <v>15.0</v>
      </c>
      <c r="O349" s="7">
        <v>15.0</v>
      </c>
      <c r="P349" s="7">
        <v>31.0</v>
      </c>
      <c r="Q349" s="7">
        <v>148.0</v>
      </c>
      <c r="R349" s="7">
        <v>148.0</v>
      </c>
      <c r="S349" s="7">
        <v>4.0</v>
      </c>
      <c r="T349" s="7">
        <v>4.0</v>
      </c>
      <c r="U349" s="7">
        <v>4.0</v>
      </c>
      <c r="V349" s="7">
        <v>148.0</v>
      </c>
      <c r="W349" s="7">
        <f>VLOOKUP($D349,NatureChart,2,0)</f>
        <v>1</v>
      </c>
      <c r="X349" s="7">
        <f>VLOOKUP($D349,NatureChart,3,0)</f>
        <v>1</v>
      </c>
      <c r="Y349" s="7">
        <f>VLOOKUP($D349,NatureChart,4,0)</f>
        <v>0.9</v>
      </c>
      <c r="Z349" s="7">
        <f>VLOOKUP($D349,NatureChart,5,0)</f>
        <v>1</v>
      </c>
      <c r="AA349" s="84">
        <f>VLOOKUP($D349,NatureChart,6,0)</f>
        <v>1.1</v>
      </c>
      <c r="AB349" s="84">
        <f>IF($C349="Shedinja",1,(INT((2*VLOOKUP($C349,DexData,5,0)+INT(Q349/4)+K349)/2)+60))</f>
        <v>174</v>
      </c>
      <c r="AC349" s="84">
        <f>INT(INT((INT((2*VLOOKUP($C349,DexData,6,0)+INT(R349/4)+L349)/2)+5)*W349)*IF($E349="Choice Band",1.5,IF(OR($E349="Mawilite",$E349="Medichamite",$E349="Thick Club"),2,1)))</f>
        <v>159</v>
      </c>
      <c r="AD349" s="84">
        <f>INT(INT((INT((2*VLOOKUP($C349,DexData,7,0)+INT(S349/4)+M349)/2)+5)*X349)*IF($E349="Eviolite",1.5,1))</f>
        <v>143</v>
      </c>
      <c r="AE349" s="84">
        <f>INT(INT((INT((2*VLOOKUP($C349,DexData,9,0)+INT(T349/4)+N349)/2)+5)*Y349)*IF($E349="Choice Specs",1.5,1))</f>
        <v>61</v>
      </c>
      <c r="AF349" s="84">
        <f>INT(INT((INT((2*VLOOKUP($C349,DexData,10,0)+INT(U349/4)+O349)/2)+5)*Z349)*IF(OR($E349="Eviolite",$E349="Assault Vest"),1.5,1))</f>
        <v>78</v>
      </c>
      <c r="AG349" s="84">
        <f>INT(INT((INT((2*VLOOKUP($C349,DexData,11,0)+INT(V349/4)+P349)/2)+5)*AA349)*IF($E349="Choice Scarf",1.5,IF($E349="Iron Ball",0.5,1)))</f>
        <v>92</v>
      </c>
      <c r="AH349" s="84" t="str">
        <f>VLOOKUP(VLOOKUP($C349,DexData,3,0),Aliases!D$2:E$19,2,0)&amp;IFERROR("/"&amp;VLOOKUP(VLOOKUP($C349,DexData,4,0),Aliases!D$2:E$19,2,0),"")</f>
        <v>RCK/GRD</v>
      </c>
      <c r="AI349" s="7">
        <v>3.0</v>
      </c>
      <c r="AJ349" s="7">
        <f>IF(VLOOKUP(B349,'Set Odds'!A$2:AN$1067,40,0),1,IF(VLOOKUP(B349,'Set Odds'!A$2:AO$1067,41,0),2,0))</f>
        <v>0</v>
      </c>
      <c r="AK349" s="7"/>
      <c r="AL349" s="7" t="str">
        <f t="shared" si="1"/>
        <v/>
      </c>
    </row>
    <row r="350" ht="12.75" customHeight="1">
      <c r="A350" s="86">
        <v>349.0</v>
      </c>
      <c r="B350" s="84" t="s">
        <v>3713</v>
      </c>
      <c r="C350" s="7" t="s">
        <v>3714</v>
      </c>
      <c r="D350" s="7" t="s">
        <v>2827</v>
      </c>
      <c r="E350" s="7" t="s">
        <v>3715</v>
      </c>
      <c r="F350" s="84" t="s">
        <v>2823</v>
      </c>
      <c r="G350" s="84" t="s">
        <v>3435</v>
      </c>
      <c r="H350" s="84" t="s">
        <v>3427</v>
      </c>
      <c r="I350" s="84" t="s">
        <v>2967</v>
      </c>
      <c r="J350" s="7" t="s">
        <v>2747</v>
      </c>
      <c r="K350" s="7">
        <v>31.0</v>
      </c>
      <c r="L350" s="7">
        <v>15.0</v>
      </c>
      <c r="M350" s="7">
        <v>31.0</v>
      </c>
      <c r="N350" s="7">
        <v>31.0</v>
      </c>
      <c r="O350" s="7">
        <v>15.0</v>
      </c>
      <c r="P350" s="7">
        <v>15.0</v>
      </c>
      <c r="Q350" s="7">
        <v>148.0</v>
      </c>
      <c r="R350" s="7">
        <v>4.0</v>
      </c>
      <c r="S350" s="7">
        <v>148.0</v>
      </c>
      <c r="T350" s="7">
        <v>148.0</v>
      </c>
      <c r="U350" s="7">
        <v>4.0</v>
      </c>
      <c r="V350" s="7">
        <v>4.0</v>
      </c>
      <c r="W350" s="7">
        <f>VLOOKUP($D350,NatureChart,2,0)</f>
        <v>1</v>
      </c>
      <c r="X350" s="7">
        <f>VLOOKUP($D350,NatureChart,3,0)</f>
        <v>1</v>
      </c>
      <c r="Y350" s="7">
        <f>VLOOKUP($D350,NatureChart,4,0)</f>
        <v>1.1</v>
      </c>
      <c r="Z350" s="7">
        <f>VLOOKUP($D350,NatureChart,5,0)</f>
        <v>1</v>
      </c>
      <c r="AA350" s="84">
        <f>VLOOKUP($D350,NatureChart,6,0)</f>
        <v>0.9</v>
      </c>
      <c r="AB350" s="84">
        <f>IF($C350="Shedinja",1,(INT((2*VLOOKUP($C350,DexData,5,0)+INT(Q350/4)+K350)/2)+60))</f>
        <v>199</v>
      </c>
      <c r="AC350" s="84">
        <f>INT(INT((INT((2*VLOOKUP($C350,DexData,6,0)+INT(R350/4)+L350)/2)+5)*W350)*IF($E350="Choice Band",1.5,IF(OR($E350="Mawilite",$E350="Medichamite",$E350="Thick Club"),2,1)))</f>
        <v>143</v>
      </c>
      <c r="AD350" s="84">
        <f>INT(INT((INT((2*VLOOKUP($C350,DexData,7,0)+INT(S350/4)+M350)/2)+5)*X350)*IF($E350="Eviolite",1.5,1))</f>
        <v>159</v>
      </c>
      <c r="AE350" s="84">
        <f>INT(INT((INT((2*VLOOKUP($C350,DexData,9,0)+INT(T350/4)+N350)/2)+5)*Y350)*IF($E350="Choice Specs",1.5,1))</f>
        <v>92</v>
      </c>
      <c r="AF350" s="84">
        <f>INT(INT((INT((2*VLOOKUP($C350,DexData,10,0)+INT(U350/4)+O350)/2)+5)*Z350)*IF(OR($E350="Eviolite",$E350="Assault Vest"),1.5,1))</f>
        <v>58</v>
      </c>
      <c r="AG350" s="84">
        <f>INT(INT((INT((2*VLOOKUP($C350,DexData,11,0)+INT(V350/4)+P350)/2)+5)*AA350)*IF($E350="Choice Scarf",1.5,IF($E350="Iron Ball",0.5,1)))</f>
        <v>47</v>
      </c>
      <c r="AH350" s="84" t="str">
        <f>VLOOKUP(VLOOKUP($C350,DexData,3,0),Aliases!D$2:E$19,2,0)&amp;IFERROR("/"&amp;VLOOKUP(VLOOKUP($C350,DexData,4,0),Aliases!D$2:E$19,2,0),"")</f>
        <v>RCK/GRD</v>
      </c>
      <c r="AI350" s="7">
        <v>3.0</v>
      </c>
      <c r="AJ350" s="7">
        <f>IF(VLOOKUP(B350,'Set Odds'!A$2:AN$1067,40,0),1,IF(VLOOKUP(B350,'Set Odds'!A$2:AO$1067,41,0),2,0))</f>
        <v>0</v>
      </c>
      <c r="AK350" s="7"/>
      <c r="AL350" s="7" t="str">
        <f t="shared" si="1"/>
        <v/>
      </c>
    </row>
    <row r="351" ht="12.75" customHeight="1">
      <c r="A351" s="86">
        <v>350.0</v>
      </c>
      <c r="B351" s="84" t="s">
        <v>3716</v>
      </c>
      <c r="C351" s="7" t="s">
        <v>3717</v>
      </c>
      <c r="D351" s="7" t="s">
        <v>2862</v>
      </c>
      <c r="E351" s="7" t="s">
        <v>2685</v>
      </c>
      <c r="F351" s="84" t="s">
        <v>3718</v>
      </c>
      <c r="G351" s="84" t="s">
        <v>3719</v>
      </c>
      <c r="H351" s="84" t="s">
        <v>2659</v>
      </c>
      <c r="I351" s="84" t="s">
        <v>2967</v>
      </c>
      <c r="J351" s="7" t="s">
        <v>2824</v>
      </c>
      <c r="K351" s="7">
        <v>31.0</v>
      </c>
      <c r="L351" s="7">
        <v>15.0</v>
      </c>
      <c r="M351" s="7">
        <v>31.0</v>
      </c>
      <c r="N351" s="7">
        <v>31.0</v>
      </c>
      <c r="O351" s="7">
        <v>15.0</v>
      </c>
      <c r="P351" s="7">
        <v>15.0</v>
      </c>
      <c r="Q351" s="7">
        <v>148.0</v>
      </c>
      <c r="R351" s="7">
        <v>4.0</v>
      </c>
      <c r="S351" s="7">
        <v>148.0</v>
      </c>
      <c r="T351" s="7">
        <v>148.0</v>
      </c>
      <c r="U351" s="7">
        <v>4.0</v>
      </c>
      <c r="V351" s="7">
        <v>4.0</v>
      </c>
      <c r="W351" s="7">
        <f>VLOOKUP($D351,NatureChart,2,0)</f>
        <v>0.9</v>
      </c>
      <c r="X351" s="7">
        <f>VLOOKUP($D351,NatureChart,3,0)</f>
        <v>1.1</v>
      </c>
      <c r="Y351" s="7">
        <f>VLOOKUP($D351,NatureChart,4,0)</f>
        <v>1</v>
      </c>
      <c r="Z351" s="7">
        <f>VLOOKUP($D351,NatureChart,5,0)</f>
        <v>1</v>
      </c>
      <c r="AA351" s="84">
        <f>VLOOKUP($D351,NatureChart,6,0)</f>
        <v>1</v>
      </c>
      <c r="AB351" s="84">
        <f>IF($C351="Shedinja",1,(INT((2*VLOOKUP($C351,DexData,5,0)+INT(Q351/4)+K351)/2)+60))</f>
        <v>189</v>
      </c>
      <c r="AC351" s="84">
        <f>INT(INT((INT((2*VLOOKUP($C351,DexData,6,0)+INT(R351/4)+L351)/2)+5)*W351)*IF($E351="Choice Band",1.5,IF(OR($E351="Mawilite",$E351="Medichamite",$E351="Thick Club"),2,1)))</f>
        <v>79</v>
      </c>
      <c r="AD351" s="84">
        <f>INT(INT((INT((2*VLOOKUP($C351,DexData,7,0)+INT(S351/4)+M351)/2)+5)*X351)*IF($E351="Eviolite",1.5,1))</f>
        <v>163</v>
      </c>
      <c r="AE351" s="84">
        <f>INT(INT((INT((2*VLOOKUP($C351,DexData,9,0)+INT(T351/4)+N351)/2)+5)*Y351)*IF($E351="Choice Specs",1.5,1))</f>
        <v>139</v>
      </c>
      <c r="AF351" s="84">
        <f>INT(INT((INT((2*VLOOKUP($C351,DexData,10,0)+INT(U351/4)+O351)/2)+5)*Z351)*IF(OR($E351="Eviolite",$E351="Assault Vest"),1.5,1))</f>
        <v>93</v>
      </c>
      <c r="AG351" s="84">
        <f>INT(INT((INT((2*VLOOKUP($C351,DexData,11,0)+INT(V351/4)+P351)/2)+5)*AA351)*IF($E351="Choice Scarf",1.5,IF($E351="Iron Ball",0.5,1)))</f>
        <v>43</v>
      </c>
      <c r="AH351" s="84" t="str">
        <f>VLOOKUP(VLOOKUP($C351,DexData,3,0),Aliases!D$2:E$19,2,0)&amp;IFERROR("/"&amp;VLOOKUP(VLOOKUP($C351,DexData,4,0),Aliases!D$2:E$19,2,0),"")</f>
        <v>WTR/PSY</v>
      </c>
      <c r="AI351" s="7">
        <v>3.0</v>
      </c>
      <c r="AJ351" s="7">
        <f>IF(VLOOKUP(B351,'Set Odds'!A$2:AN$1067,40,0),1,IF(VLOOKUP(B351,'Set Odds'!A$2:AO$1067,41,0),2,0))</f>
        <v>0</v>
      </c>
      <c r="AK351" s="7"/>
      <c r="AL351" s="7" t="str">
        <f t="shared" si="1"/>
        <v/>
      </c>
    </row>
    <row r="352" ht="12.75" customHeight="1">
      <c r="A352" s="86">
        <v>351.0</v>
      </c>
      <c r="B352" s="84" t="s">
        <v>3720</v>
      </c>
      <c r="C352" s="7" t="s">
        <v>3721</v>
      </c>
      <c r="D352" s="7" t="s">
        <v>3597</v>
      </c>
      <c r="E352" s="7" t="s">
        <v>2685</v>
      </c>
      <c r="F352" s="84" t="s">
        <v>2732</v>
      </c>
      <c r="G352" s="84" t="s">
        <v>2532</v>
      </c>
      <c r="H352" s="84" t="s">
        <v>3052</v>
      </c>
      <c r="I352" s="84" t="s">
        <v>3185</v>
      </c>
      <c r="J352" s="7" t="s">
        <v>2714</v>
      </c>
      <c r="K352" s="7">
        <v>31.0</v>
      </c>
      <c r="L352" s="7">
        <v>15.0</v>
      </c>
      <c r="M352" s="7">
        <v>15.0</v>
      </c>
      <c r="N352" s="7">
        <v>31.0</v>
      </c>
      <c r="O352" s="7">
        <v>31.0</v>
      </c>
      <c r="P352" s="7">
        <v>15.0</v>
      </c>
      <c r="Q352" s="7">
        <v>148.0</v>
      </c>
      <c r="R352" s="7">
        <v>4.0</v>
      </c>
      <c r="S352" s="7">
        <v>4.0</v>
      </c>
      <c r="T352" s="7">
        <v>148.0</v>
      </c>
      <c r="U352" s="7">
        <v>148.0</v>
      </c>
      <c r="V352" s="7">
        <v>4.0</v>
      </c>
      <c r="W352" s="7">
        <f>VLOOKUP($D352,NatureChart,2,0)</f>
        <v>0.9</v>
      </c>
      <c r="X352" s="7">
        <f>VLOOKUP($D352,NatureChart,3,0)</f>
        <v>1</v>
      </c>
      <c r="Y352" s="7">
        <f>VLOOKUP($D352,NatureChart,4,0)</f>
        <v>1</v>
      </c>
      <c r="Z352" s="7">
        <f>VLOOKUP($D352,NatureChart,5,0)</f>
        <v>1.1</v>
      </c>
      <c r="AA352" s="84">
        <f>VLOOKUP($D352,NatureChart,6,0)</f>
        <v>1</v>
      </c>
      <c r="AB352" s="84">
        <f>IF($C352="Shedinja",1,(INT((2*VLOOKUP($C352,DexData,5,0)+INT(Q352/4)+K352)/2)+60))</f>
        <v>159</v>
      </c>
      <c r="AC352" s="84">
        <f>INT(INT((INT((2*VLOOKUP($C352,DexData,6,0)+INT(R352/4)+L352)/2)+5)*W352)*IF($E352="Choice Band",1.5,IF(OR($E352="Mawilite",$E352="Medichamite",$E352="Thick Club"),2,1)))</f>
        <v>92</v>
      </c>
      <c r="AD352" s="84">
        <f>INT(INT((INT((2*VLOOKUP($C352,DexData,7,0)+INT(S352/4)+M352)/2)+5)*X352)*IF($E352="Eviolite",1.5,1))</f>
        <v>133</v>
      </c>
      <c r="AE352" s="84">
        <f>INT(INT((INT((2*VLOOKUP($C352,DexData,9,0)+INT(T352/4)+N352)/2)+5)*Y352)*IF($E352="Choice Specs",1.5,1))</f>
        <v>124</v>
      </c>
      <c r="AF352" s="84">
        <f>INT(INT((INT((2*VLOOKUP($C352,DexData,10,0)+INT(U352/4)+O352)/2)+5)*Z352)*IF(OR($E352="Eviolite",$E352="Assault Vest"),1.5,1))</f>
        <v>119</v>
      </c>
      <c r="AG352" s="84">
        <f>INT(INT((INT((2*VLOOKUP($C352,DexData,11,0)+INT(V352/4)+P352)/2)+5)*AA352)*IF($E352="Choice Scarf",1.5,IF($E352="Iron Ball",0.5,1)))</f>
        <v>73</v>
      </c>
      <c r="AH352" s="84" t="str">
        <f>VLOOKUP(VLOOKUP($C352,DexData,3,0),Aliases!D$2:E$19,2,0)&amp;IFERROR("/"&amp;VLOOKUP(VLOOKUP($C352,DexData,4,0),Aliases!D$2:E$19,2,0),"")</f>
        <v>PSN</v>
      </c>
      <c r="AI352" s="7">
        <v>3.0</v>
      </c>
      <c r="AJ352" s="7">
        <f>IF(VLOOKUP(B352,'Set Odds'!A$2:AN$1067,40,0),1,IF(VLOOKUP(B352,'Set Odds'!A$2:AO$1067,41,0),2,0))</f>
        <v>0</v>
      </c>
      <c r="AK352" s="7"/>
      <c r="AL352" s="7" t="str">
        <f t="shared" si="1"/>
        <v/>
      </c>
    </row>
    <row r="353" ht="12.75" customHeight="1">
      <c r="A353" s="86">
        <v>352.0</v>
      </c>
      <c r="B353" s="84" t="s">
        <v>3722</v>
      </c>
      <c r="C353" s="7" t="s">
        <v>3723</v>
      </c>
      <c r="D353" s="7" t="s">
        <v>3248</v>
      </c>
      <c r="E353" s="7" t="s">
        <v>2936</v>
      </c>
      <c r="F353" s="84" t="s">
        <v>3435</v>
      </c>
      <c r="G353" s="84" t="s">
        <v>3594</v>
      </c>
      <c r="H353" s="84" t="s">
        <v>2823</v>
      </c>
      <c r="I353" s="84" t="s">
        <v>3692</v>
      </c>
      <c r="J353" s="7" t="s">
        <v>3141</v>
      </c>
      <c r="K353" s="7">
        <v>31.0</v>
      </c>
      <c r="L353" s="7">
        <v>31.0</v>
      </c>
      <c r="M353" s="7">
        <v>15.0</v>
      </c>
      <c r="N353" s="7">
        <v>31.0</v>
      </c>
      <c r="O353" s="7">
        <v>15.0</v>
      </c>
      <c r="P353" s="7">
        <v>15.0</v>
      </c>
      <c r="Q353" s="7">
        <v>148.0</v>
      </c>
      <c r="R353" s="7">
        <v>148.0</v>
      </c>
      <c r="S353" s="7">
        <v>4.0</v>
      </c>
      <c r="T353" s="7">
        <v>148.0</v>
      </c>
      <c r="U353" s="7">
        <v>4.0</v>
      </c>
      <c r="V353" s="7">
        <v>4.0</v>
      </c>
      <c r="W353" s="7">
        <f>VLOOKUP($D353,NatureChart,2,0)</f>
        <v>1</v>
      </c>
      <c r="X353" s="7">
        <f>VLOOKUP($D353,NatureChart,3,0)</f>
        <v>1</v>
      </c>
      <c r="Y353" s="7">
        <f>VLOOKUP($D353,NatureChart,4,0)</f>
        <v>1.1</v>
      </c>
      <c r="Z353" s="7">
        <f>VLOOKUP($D353,NatureChart,5,0)</f>
        <v>0.9</v>
      </c>
      <c r="AA353" s="84">
        <f>VLOOKUP($D353,NatureChart,6,0)</f>
        <v>1</v>
      </c>
      <c r="AB353" s="84">
        <f>IF($C353="Shedinja",1,(INT((2*VLOOKUP($C353,DexData,5,0)+INT(Q353/4)+K353)/2)+60))</f>
        <v>199</v>
      </c>
      <c r="AC353" s="84">
        <f>INT(INT((INT((2*VLOOKUP($C353,DexData,6,0)+INT(R353/4)+L353)/2)+5)*W353)*IF($E353="Choice Band",1.5,IF(OR($E353="Mawilite",$E353="Medichamite",$E353="Thick Club"),2,1)))</f>
        <v>134</v>
      </c>
      <c r="AD353" s="84">
        <f>INT(INT((INT((2*VLOOKUP($C353,DexData,7,0)+INT(S353/4)+M353)/2)+5)*X353)*IF($E353="Eviolite",1.5,1))</f>
        <v>93</v>
      </c>
      <c r="AE353" s="84">
        <f>INT(INT((INT((2*VLOOKUP($C353,DexData,9,0)+INT(T353/4)+N353)/2)+5)*Y353)*IF($E353="Choice Specs",1.5,1))</f>
        <v>86</v>
      </c>
      <c r="AF353" s="84">
        <f>INT(INT((INT((2*VLOOKUP($C353,DexData,10,0)+INT(U353/4)+O353)/2)+5)*Z353)*IF(OR($E353="Eviolite",$E353="Assault Vest"),1.5,1))</f>
        <v>83</v>
      </c>
      <c r="AG353" s="84">
        <f>INT(INT((INT((2*VLOOKUP($C353,DexData,11,0)+INT(V353/4)+P353)/2)+5)*AA353)*IF($E353="Choice Scarf",1.5,IF($E353="Iron Ball",0.5,1)))</f>
        <v>103</v>
      </c>
      <c r="AH353" s="84" t="str">
        <f>VLOOKUP(VLOOKUP($C353,DexData,3,0),Aliases!D$2:E$19,2,0)&amp;IFERROR("/"&amp;VLOOKUP(VLOOKUP($C353,DexData,4,0),Aliases!D$2:E$19,2,0),"")</f>
        <v>NRM</v>
      </c>
      <c r="AI353" s="7">
        <v>3.0</v>
      </c>
      <c r="AJ353" s="7">
        <f>IF(VLOOKUP(B353,'Set Odds'!A$2:AN$1067,40,0),1,IF(VLOOKUP(B353,'Set Odds'!A$2:AO$1067,41,0),2,0))</f>
        <v>0</v>
      </c>
      <c r="AK353" s="7"/>
      <c r="AL353" s="7" t="str">
        <f t="shared" si="1"/>
        <v/>
      </c>
    </row>
    <row r="354" ht="12.75" customHeight="1">
      <c r="A354" s="86">
        <v>353.0</v>
      </c>
      <c r="B354" s="84" t="s">
        <v>3724</v>
      </c>
      <c r="C354" s="7" t="s">
        <v>3725</v>
      </c>
      <c r="D354" s="7" t="s">
        <v>2692</v>
      </c>
      <c r="E354" s="7" t="s">
        <v>3726</v>
      </c>
      <c r="F354" s="84" t="s">
        <v>2776</v>
      </c>
      <c r="G354" s="84" t="s">
        <v>3710</v>
      </c>
      <c r="H354" s="84" t="s">
        <v>3454</v>
      </c>
      <c r="I354" s="84" t="s">
        <v>3636</v>
      </c>
      <c r="J354" s="7" t="s">
        <v>2696</v>
      </c>
      <c r="K354" s="7">
        <v>31.0</v>
      </c>
      <c r="L354" s="7">
        <v>31.0</v>
      </c>
      <c r="M354" s="7">
        <v>15.0</v>
      </c>
      <c r="N354" s="7">
        <v>15.0</v>
      </c>
      <c r="O354" s="7">
        <v>15.0</v>
      </c>
      <c r="P354" s="7">
        <v>31.0</v>
      </c>
      <c r="Q354" s="7">
        <v>148.0</v>
      </c>
      <c r="R354" s="7">
        <v>148.0</v>
      </c>
      <c r="S354" s="7">
        <v>4.0</v>
      </c>
      <c r="T354" s="7">
        <v>4.0</v>
      </c>
      <c r="U354" s="7">
        <v>4.0</v>
      </c>
      <c r="V354" s="7">
        <v>148.0</v>
      </c>
      <c r="W354" s="7">
        <f>VLOOKUP($D354,NatureChart,2,0)</f>
        <v>1</v>
      </c>
      <c r="X354" s="7">
        <f>VLOOKUP($D354,NatureChart,3,0)</f>
        <v>1</v>
      </c>
      <c r="Y354" s="7">
        <f>VLOOKUP($D354,NatureChart,4,0)</f>
        <v>0.9</v>
      </c>
      <c r="Z354" s="7">
        <f>VLOOKUP($D354,NatureChart,5,0)</f>
        <v>1</v>
      </c>
      <c r="AA354" s="84">
        <f>VLOOKUP($D354,NatureChart,6,0)</f>
        <v>1.1</v>
      </c>
      <c r="AB354" s="84">
        <f>IF($C354="Shedinja",1,(INT((2*VLOOKUP($C354,DexData,5,0)+INT(Q354/4)+K354)/2)+60))</f>
        <v>169</v>
      </c>
      <c r="AC354" s="84">
        <f>INT(INT((INT((2*VLOOKUP($C354,DexData,6,0)+INT(R354/4)+L354)/2)+5)*W354)*IF($E354="Choice Band",1.5,IF(OR($E354="Mawilite",$E354="Medichamite",$E354="Thick Club"),2,1)))</f>
        <v>139</v>
      </c>
      <c r="AD354" s="84">
        <f>INT(INT((INT((2*VLOOKUP($C354,DexData,7,0)+INT(S354/4)+M354)/2)+5)*X354)*IF($E354="Eviolite",1.5,1))</f>
        <v>108</v>
      </c>
      <c r="AE354" s="84">
        <f>INT(INT((INT((2*VLOOKUP($C354,DexData,9,0)+INT(T354/4)+N354)/2)+5)*Y354)*IF($E354="Choice Specs",1.5,1))</f>
        <v>47</v>
      </c>
      <c r="AF354" s="84">
        <f>INT(INT((INT((2*VLOOKUP($C354,DexData,10,0)+INT(U354/4)+O354)/2)+5)*Z354)*IF(OR($E354="Eviolite",$E354="Assault Vest"),1.5,1))</f>
        <v>83</v>
      </c>
      <c r="AG354" s="84">
        <f>INT(INT((INT((2*VLOOKUP($C354,DexData,11,0)+INT(V354/4)+P354)/2)+5)*AA354)*IF($E354="Choice Scarf",1.5,IF($E354="Iron Ball",0.5,1)))</f>
        <v>163</v>
      </c>
      <c r="AH354" s="84" t="str">
        <f>VLOOKUP(VLOOKUP($C354,DexData,3,0),Aliases!D$2:E$19,2,0)&amp;IFERROR("/"&amp;VLOOKUP(VLOOKUP($C354,DexData,4,0),Aliases!D$2:E$19,2,0),"")</f>
        <v>NRM</v>
      </c>
      <c r="AI354" s="7">
        <v>3.0</v>
      </c>
      <c r="AJ354" s="7">
        <f>IF(VLOOKUP(B354,'Set Odds'!A$2:AN$1067,40,0),1,IF(VLOOKUP(B354,'Set Odds'!A$2:AO$1067,41,0),2,0))</f>
        <v>0</v>
      </c>
      <c r="AK354" s="7"/>
      <c r="AL354" s="7" t="str">
        <f t="shared" si="1"/>
        <v/>
      </c>
    </row>
    <row r="355" ht="12.75" customHeight="1">
      <c r="A355" s="86">
        <v>354.0</v>
      </c>
      <c r="B355" s="84" t="s">
        <v>3727</v>
      </c>
      <c r="C355" s="7" t="s">
        <v>3728</v>
      </c>
      <c r="D355" s="7" t="s">
        <v>2656</v>
      </c>
      <c r="E355" s="7" t="s">
        <v>3548</v>
      </c>
      <c r="F355" s="84" t="s">
        <v>3729</v>
      </c>
      <c r="G355" s="84" t="s">
        <v>2659</v>
      </c>
      <c r="H355" s="84" t="s">
        <v>3590</v>
      </c>
      <c r="I355" s="84" t="s">
        <v>3730</v>
      </c>
      <c r="J355" s="7" t="s">
        <v>2958</v>
      </c>
      <c r="K355" s="7">
        <v>31.0</v>
      </c>
      <c r="L355" s="7">
        <v>0.0</v>
      </c>
      <c r="M355" s="7">
        <v>20.0</v>
      </c>
      <c r="N355" s="7">
        <v>31.0</v>
      </c>
      <c r="O355" s="7">
        <v>20.0</v>
      </c>
      <c r="P355" s="7">
        <v>31.0</v>
      </c>
      <c r="Q355" s="7">
        <v>60.0</v>
      </c>
      <c r="R355" s="7">
        <v>0.0</v>
      </c>
      <c r="S355" s="7">
        <v>0.0</v>
      </c>
      <c r="T355" s="7">
        <v>204.0</v>
      </c>
      <c r="U355" s="7">
        <v>0.0</v>
      </c>
      <c r="V355" s="7">
        <v>204.0</v>
      </c>
      <c r="W355" s="7">
        <f>VLOOKUP($D355,NatureChart,2,0)</f>
        <v>0.9</v>
      </c>
      <c r="X355" s="7">
        <f>VLOOKUP($D355,NatureChart,3,0)</f>
        <v>1</v>
      </c>
      <c r="Y355" s="7">
        <f>VLOOKUP($D355,NatureChart,4,0)</f>
        <v>1.1</v>
      </c>
      <c r="Z355" s="7">
        <f>VLOOKUP($D355,NatureChart,5,0)</f>
        <v>1</v>
      </c>
      <c r="AA355" s="84">
        <f>VLOOKUP($D355,NatureChart,6,0)</f>
        <v>1</v>
      </c>
      <c r="AB355" s="84">
        <f>IF($C355="Shedinja",1,(INT((2*VLOOKUP($C355,DexData,5,0)+INT(Q355/4)+K355)/2)+60))</f>
        <v>138</v>
      </c>
      <c r="AC355" s="84">
        <f>INT(INT((INT((2*VLOOKUP($C355,DexData,6,0)+INT(R355/4)+L355)/2)+5)*W355)*IF($E355="Choice Band",1.5,IF(OR($E355="Mawilite",$E355="Medichamite",$E355="Thick Club"),2,1)))</f>
        <v>49</v>
      </c>
      <c r="AD355" s="84">
        <f>INT(INT((INT((2*VLOOKUP($C355,DexData,7,0)+INT(S355/4)+M355)/2)+5)*X355)*IF($E355="Eviolite",1.5,1))</f>
        <v>60</v>
      </c>
      <c r="AE355" s="84">
        <f>INT(INT((INT((2*VLOOKUP($C355,DexData,9,0)+INT(T355/4)+N355)/2)+5)*Y355)*IF($E355="Choice Specs",1.5,1))</f>
        <v>199</v>
      </c>
      <c r="AF355" s="84">
        <f>INT(INT((INT((2*VLOOKUP($C355,DexData,10,0)+INT(U355/4)+O355)/2)+5)*Z355)*IF(OR($E355="Eviolite",$E355="Assault Vest"),1.5,1))</f>
        <v>110</v>
      </c>
      <c r="AG355" s="84">
        <f>INT(INT((INT((2*VLOOKUP($C355,DexData,11,0)+INT(V355/4)+P355)/2)+5)*AA355)*IF($E355="Choice Scarf",1.5,IF($E355="Iron Ball",0.5,1)))</f>
        <v>166</v>
      </c>
      <c r="AH355" s="84" t="str">
        <f>VLOOKUP(VLOOKUP($C355,DexData,3,0),Aliases!D$2:E$19,2,0)&amp;IFERROR("/"&amp;VLOOKUP(VLOOKUP($C355,DexData,4,0),Aliases!D$2:E$19,2,0),"")</f>
        <v>PSY</v>
      </c>
      <c r="AI355" s="7">
        <v>3.0</v>
      </c>
      <c r="AJ355" s="7">
        <f>IF(VLOOKUP(B355,'Set Odds'!A$2:AN$1067,40,0),1,IF(VLOOKUP(B355,'Set Odds'!A$2:AO$1067,41,0),2,0))</f>
        <v>0</v>
      </c>
      <c r="AK355" s="7"/>
      <c r="AL355" s="7" t="str">
        <f t="shared" si="1"/>
        <v/>
      </c>
    </row>
    <row r="356" ht="12.75" customHeight="1">
      <c r="A356" s="86">
        <v>355.0</v>
      </c>
      <c r="B356" s="84" t="s">
        <v>3731</v>
      </c>
      <c r="C356" s="7" t="s">
        <v>3732</v>
      </c>
      <c r="D356" s="7" t="s">
        <v>2656</v>
      </c>
      <c r="E356" s="7" t="s">
        <v>3715</v>
      </c>
      <c r="F356" s="84" t="s">
        <v>2659</v>
      </c>
      <c r="G356" s="84" t="s">
        <v>2880</v>
      </c>
      <c r="H356" s="84" t="s">
        <v>3733</v>
      </c>
      <c r="I356" s="84" t="s">
        <v>2823</v>
      </c>
      <c r="J356" s="7" t="s">
        <v>3145</v>
      </c>
      <c r="K356" s="7">
        <v>31.0</v>
      </c>
      <c r="L356" s="7">
        <v>0.0</v>
      </c>
      <c r="M356" s="7">
        <v>31.0</v>
      </c>
      <c r="N356" s="7">
        <v>31.0</v>
      </c>
      <c r="O356" s="7">
        <v>20.0</v>
      </c>
      <c r="P356" s="7">
        <v>0.0</v>
      </c>
      <c r="Q356" s="7">
        <v>204.0</v>
      </c>
      <c r="R356" s="7">
        <v>0.0</v>
      </c>
      <c r="S356" s="7">
        <v>60.0</v>
      </c>
      <c r="T356" s="7">
        <v>204.0</v>
      </c>
      <c r="U356" s="7">
        <v>0.0</v>
      </c>
      <c r="V356" s="7">
        <v>0.0</v>
      </c>
      <c r="W356" s="7">
        <f>VLOOKUP($D356,NatureChart,2,0)</f>
        <v>0.9</v>
      </c>
      <c r="X356" s="7">
        <f>VLOOKUP($D356,NatureChart,3,0)</f>
        <v>1</v>
      </c>
      <c r="Y356" s="7">
        <f>VLOOKUP($D356,NatureChart,4,0)</f>
        <v>1.1</v>
      </c>
      <c r="Z356" s="7">
        <f>VLOOKUP($D356,NatureChart,5,0)</f>
        <v>1</v>
      </c>
      <c r="AA356" s="84">
        <f>VLOOKUP($D356,NatureChart,6,0)</f>
        <v>1</v>
      </c>
      <c r="AB356" s="84">
        <f>IF($C356="Shedinja",1,(INT((2*VLOOKUP($C356,DexData,5,0)+INT(Q356/4)+K356)/2)+60))</f>
        <v>196</v>
      </c>
      <c r="AC356" s="84">
        <f>INT(INT((INT((2*VLOOKUP($C356,DexData,6,0)+INT(R356/4)+L356)/2)+5)*W356)*IF($E356="Choice Band",1.5,IF(OR($E356="Mawilite",$E356="Medichamite",$E356="Thick Club"),2,1)))</f>
        <v>72</v>
      </c>
      <c r="AD356" s="84">
        <f>INT(INT((INT((2*VLOOKUP($C356,DexData,7,0)+INT(S356/4)+M356)/2)+5)*X356)*IF($E356="Eviolite",1.5,1))</f>
        <v>108</v>
      </c>
      <c r="AE356" s="84">
        <f>INT(INT((INT((2*VLOOKUP($C356,DexData,9,0)+INT(T356/4)+N356)/2)+5)*Y356)*IF($E356="Choice Specs",1.5,1))</f>
        <v>160</v>
      </c>
      <c r="AF356" s="84">
        <f>INT(INT((INT((2*VLOOKUP($C356,DexData,10,0)+INT(U356/4)+O356)/2)+5)*Z356)*IF(OR($E356="Eviolite",$E356="Assault Vest"),1.5,1))</f>
        <v>125</v>
      </c>
      <c r="AG356" s="84">
        <f>INT(INT((INT((2*VLOOKUP($C356,DexData,11,0)+INT(V356/4)+P356)/2)+5)*AA356)*IF($E356="Choice Scarf",1.5,IF($E356="Iron Ball",0.5,1)))</f>
        <v>35</v>
      </c>
      <c r="AH356" s="84" t="str">
        <f>VLOOKUP(VLOOKUP($C356,DexData,3,0),Aliases!D$2:E$19,2,0)&amp;IFERROR("/"&amp;VLOOKUP(VLOOKUP($C356,DexData,4,0),Aliases!D$2:E$19,2,0),"")</f>
        <v>WTR/PSY</v>
      </c>
      <c r="AI356" s="7">
        <v>3.0</v>
      </c>
      <c r="AJ356" s="7">
        <f>IF(VLOOKUP(B356,'Set Odds'!A$2:AN$1067,40,0),1,IF(VLOOKUP(B356,'Set Odds'!A$2:AO$1067,41,0),2,0))</f>
        <v>0</v>
      </c>
      <c r="AK356" s="7"/>
      <c r="AL356" s="7" t="str">
        <f t="shared" si="1"/>
        <v/>
      </c>
    </row>
    <row r="357" ht="12.75" customHeight="1">
      <c r="A357" s="86">
        <v>356.0</v>
      </c>
      <c r="B357" s="84" t="s">
        <v>3734</v>
      </c>
      <c r="C357" s="7" t="s">
        <v>3735</v>
      </c>
      <c r="D357" s="7" t="s">
        <v>2648</v>
      </c>
      <c r="E357" s="7" t="s">
        <v>2889</v>
      </c>
      <c r="F357" s="84" t="s">
        <v>2895</v>
      </c>
      <c r="G357" s="84" t="s">
        <v>2867</v>
      </c>
      <c r="H357" s="84" t="s">
        <v>3736</v>
      </c>
      <c r="I357" s="84" t="s">
        <v>2817</v>
      </c>
      <c r="J357" s="7" t="s">
        <v>2968</v>
      </c>
      <c r="K357" s="7">
        <v>31.0</v>
      </c>
      <c r="L357" s="7">
        <v>31.0</v>
      </c>
      <c r="M357" s="7">
        <v>31.0</v>
      </c>
      <c r="N357" s="7">
        <v>0.0</v>
      </c>
      <c r="O357" s="7">
        <v>20.0</v>
      </c>
      <c r="P357" s="7">
        <v>20.0</v>
      </c>
      <c r="Q357" s="7">
        <v>204.0</v>
      </c>
      <c r="R357" s="7">
        <v>204.0</v>
      </c>
      <c r="S357" s="7">
        <v>60.0</v>
      </c>
      <c r="T357" s="7">
        <v>0.0</v>
      </c>
      <c r="U357" s="7">
        <v>0.0</v>
      </c>
      <c r="V357" s="7">
        <v>0.0</v>
      </c>
      <c r="W357" s="7">
        <f>VLOOKUP($D357,NatureChart,2,0)</f>
        <v>1</v>
      </c>
      <c r="X357" s="7">
        <f>VLOOKUP($D357,NatureChart,3,0)</f>
        <v>1.1</v>
      </c>
      <c r="Y357" s="7">
        <f>VLOOKUP($D357,NatureChart,4,0)</f>
        <v>0.9</v>
      </c>
      <c r="Z357" s="7">
        <f>VLOOKUP($D357,NatureChart,5,0)</f>
        <v>1</v>
      </c>
      <c r="AA357" s="84">
        <f>VLOOKUP($D357,NatureChart,6,0)</f>
        <v>1</v>
      </c>
      <c r="AB357" s="84">
        <f>IF($C357="Shedinja",1,(INT((2*VLOOKUP($C357,DexData,5,0)+INT(Q357/4)+K357)/2)+60))</f>
        <v>196</v>
      </c>
      <c r="AC357" s="84">
        <f>INT(INT((INT((2*VLOOKUP($C357,DexData,6,0)+INT(R357/4)+L357)/2)+5)*W357)*IF($E357="Choice Band",1.5,IF(OR($E357="Mawilite",$E357="Medichamite",$E357="Thick Club"),2,1)))</f>
        <v>126</v>
      </c>
      <c r="AD357" s="84">
        <f>INT(INT((INT((2*VLOOKUP($C357,DexData,7,0)+INT(S357/4)+M357)/2)+5)*X357)*IF($E357="Eviolite",1.5,1))</f>
        <v>146</v>
      </c>
      <c r="AE357" s="84">
        <f>INT(INT((INT((2*VLOOKUP($C357,DexData,9,0)+INT(T357/4)+N357)/2)+5)*Y357)*IF($E357="Choice Specs",1.5,1))</f>
        <v>40</v>
      </c>
      <c r="AF357" s="84">
        <f>INT(INT((INT((2*VLOOKUP($C357,DexData,10,0)+INT(U357/4)+O357)/2)+5)*Z357)*IF(OR($E357="Eviolite",$E357="Assault Vest"),1.5,1))</f>
        <v>85</v>
      </c>
      <c r="AG357" s="84">
        <f>INT(INT((INT((2*VLOOKUP($C357,DexData,11,0)+INT(V357/4)+P357)/2)+5)*AA357)*IF($E357="Choice Scarf",1.5,IF($E357="Iron Ball",0.5,1)))</f>
        <v>115</v>
      </c>
      <c r="AH357" s="84" t="str">
        <f>VLOOKUP(VLOOKUP($C357,DexData,3,0),Aliases!D$2:E$19,2,0)&amp;IFERROR("/"&amp;VLOOKUP(VLOOKUP($C357,DexData,4,0),Aliases!D$2:E$19,2,0),"")</f>
        <v>NRM</v>
      </c>
      <c r="AI357" s="7">
        <v>3.0</v>
      </c>
      <c r="AJ357" s="7">
        <f>IF(VLOOKUP(B357,'Set Odds'!A$2:AN$1067,40,0),1,IF(VLOOKUP(B357,'Set Odds'!A$2:AO$1067,41,0),2,0))</f>
        <v>0</v>
      </c>
      <c r="AK357" s="7"/>
      <c r="AL357" s="7" t="str">
        <f t="shared" si="1"/>
        <v/>
      </c>
    </row>
    <row r="358" ht="12.75" customHeight="1">
      <c r="A358" s="86">
        <v>357.0</v>
      </c>
      <c r="B358" s="84" t="s">
        <v>3737</v>
      </c>
      <c r="C358" s="7" t="s">
        <v>3738</v>
      </c>
      <c r="D358" s="7" t="s">
        <v>3597</v>
      </c>
      <c r="E358" s="7" t="s">
        <v>2770</v>
      </c>
      <c r="F358" s="84" t="s">
        <v>3427</v>
      </c>
      <c r="G358" s="84" t="s">
        <v>3448</v>
      </c>
      <c r="H358" s="84" t="s">
        <v>3640</v>
      </c>
      <c r="I358" s="84" t="s">
        <v>2517</v>
      </c>
      <c r="J358" s="7" t="s">
        <v>2849</v>
      </c>
      <c r="K358" s="7">
        <v>31.0</v>
      </c>
      <c r="L358" s="7">
        <v>0.0</v>
      </c>
      <c r="M358" s="7">
        <v>20.0</v>
      </c>
      <c r="N358" s="7">
        <v>31.0</v>
      </c>
      <c r="O358" s="7">
        <v>31.0</v>
      </c>
      <c r="P358" s="7">
        <v>20.0</v>
      </c>
      <c r="Q358" s="7">
        <v>204.0</v>
      </c>
      <c r="R358" s="7">
        <v>0.0</v>
      </c>
      <c r="S358" s="7">
        <v>0.0</v>
      </c>
      <c r="T358" s="7">
        <v>60.0</v>
      </c>
      <c r="U358" s="7">
        <v>204.0</v>
      </c>
      <c r="V358" s="7">
        <v>0.0</v>
      </c>
      <c r="W358" s="7">
        <f>VLOOKUP($D358,NatureChart,2,0)</f>
        <v>0.9</v>
      </c>
      <c r="X358" s="7">
        <f>VLOOKUP($D358,NatureChart,3,0)</f>
        <v>1</v>
      </c>
      <c r="Y358" s="7">
        <f>VLOOKUP($D358,NatureChart,4,0)</f>
        <v>1</v>
      </c>
      <c r="Z358" s="7">
        <f>VLOOKUP($D358,NatureChart,5,0)</f>
        <v>1.1</v>
      </c>
      <c r="AA358" s="84">
        <f>VLOOKUP($D358,NatureChart,6,0)</f>
        <v>1</v>
      </c>
      <c r="AB358" s="84">
        <f>IF($C358="Shedinja",1,(INT((2*VLOOKUP($C358,DexData,5,0)+INT(Q358/4)+K358)/2)+60))</f>
        <v>176</v>
      </c>
      <c r="AC358" s="84">
        <f>INT(INT((INT((2*VLOOKUP($C358,DexData,6,0)+INT(R358/4)+L358)/2)+5)*W358)*IF($E358="Choice Band",1.5,IF(OR($E358="Mawilite",$E358="Medichamite",$E358="Thick Club"),2,1)))</f>
        <v>67</v>
      </c>
      <c r="AD358" s="84">
        <f>INT(INT((INT((2*VLOOKUP($C358,DexData,7,0)+INT(S358/4)+M358)/2)+5)*X358)*IF($E358="Eviolite",1.5,1))</f>
        <v>105</v>
      </c>
      <c r="AE358" s="84">
        <f>INT(INT((INT((2*VLOOKUP($C358,DexData,9,0)+INT(T358/4)+N358)/2)+5)*Y358)*IF($E358="Choice Specs",1.5,1))</f>
        <v>98</v>
      </c>
      <c r="AF358" s="84">
        <f>INT(INT((INT((2*VLOOKUP($C358,DexData,10,0)+INT(U358/4)+O358)/2)+5)*Z358)*IF(OR($E358="Eviolite",$E358="Assault Vest"),1.5,1))</f>
        <v>166</v>
      </c>
      <c r="AG358" s="84">
        <f>INT(INT((INT((2*VLOOKUP($C358,DexData,11,0)+INT(V358/4)+P358)/2)+5)*AA358)*IF($E358="Choice Scarf",1.5,IF($E358="Iron Ball",0.5,1)))</f>
        <v>95</v>
      </c>
      <c r="AH358" s="84" t="str">
        <f>VLOOKUP(VLOOKUP($C358,DexData,3,0),Aliases!D$2:E$19,2,0)&amp;IFERROR("/"&amp;VLOOKUP(VLOOKUP($C358,DexData,4,0),Aliases!D$2:E$19,2,0),"")</f>
        <v>DRG/FLY</v>
      </c>
      <c r="AI358" s="7">
        <v>3.0</v>
      </c>
      <c r="AJ358" s="7">
        <f>IF(VLOOKUP(B358,'Set Odds'!A$2:AN$1067,40,0),1,IF(VLOOKUP(B358,'Set Odds'!A$2:AO$1067,41,0),2,0))</f>
        <v>0</v>
      </c>
      <c r="AK358" s="7"/>
      <c r="AL358" s="7" t="str">
        <f t="shared" si="1"/>
        <v/>
      </c>
    </row>
    <row r="359" ht="12.75" customHeight="1">
      <c r="A359" s="86">
        <v>358.0</v>
      </c>
      <c r="B359" s="84" t="s">
        <v>3739</v>
      </c>
      <c r="C359" s="7" t="s">
        <v>3740</v>
      </c>
      <c r="D359" s="7" t="s">
        <v>2571</v>
      </c>
      <c r="E359" s="7" t="s">
        <v>3175</v>
      </c>
      <c r="F359" s="84" t="s">
        <v>2807</v>
      </c>
      <c r="G359" s="84" t="s">
        <v>3692</v>
      </c>
      <c r="H359" s="84" t="s">
        <v>3554</v>
      </c>
      <c r="I359" s="84" t="s">
        <v>3152</v>
      </c>
      <c r="J359" s="7" t="s">
        <v>3642</v>
      </c>
      <c r="K359" s="7">
        <v>31.0</v>
      </c>
      <c r="L359" s="7">
        <v>31.0</v>
      </c>
      <c r="M359" s="7">
        <v>20.0</v>
      </c>
      <c r="N359" s="7">
        <v>0.0</v>
      </c>
      <c r="O359" s="7">
        <v>20.0</v>
      </c>
      <c r="P359" s="7">
        <v>31.0</v>
      </c>
      <c r="Q359" s="7">
        <v>60.0</v>
      </c>
      <c r="R359" s="7">
        <v>204.0</v>
      </c>
      <c r="S359" s="7">
        <v>0.0</v>
      </c>
      <c r="T359" s="7">
        <v>0.0</v>
      </c>
      <c r="U359" s="7">
        <v>0.0</v>
      </c>
      <c r="V359" s="7">
        <v>204.0</v>
      </c>
      <c r="W359" s="7">
        <f>VLOOKUP($D359,NatureChart,2,0)</f>
        <v>1.1</v>
      </c>
      <c r="X359" s="7">
        <f>VLOOKUP($D359,NatureChart,3,0)</f>
        <v>1</v>
      </c>
      <c r="Y359" s="7">
        <f>VLOOKUP($D359,NatureChart,4,0)</f>
        <v>0.9</v>
      </c>
      <c r="Z359" s="7">
        <f>VLOOKUP($D359,NatureChart,5,0)</f>
        <v>1</v>
      </c>
      <c r="AA359" s="84">
        <f>VLOOKUP($D359,NatureChart,6,0)</f>
        <v>1</v>
      </c>
      <c r="AB359" s="84">
        <f>IF($C359="Shedinja",1,(INT((2*VLOOKUP($C359,DexData,5,0)+INT(Q359/4)+K359)/2)+60))</f>
        <v>166</v>
      </c>
      <c r="AC359" s="84">
        <f>INT(INT((INT((2*VLOOKUP($C359,DexData,6,0)+INT(R359/4)+L359)/2)+5)*W359)*IF($E359="Choice Band",1.5,IF(OR($E359="Mawilite",$E359="Medichamite",$E359="Thick Club"),2,1)))</f>
        <v>167</v>
      </c>
      <c r="AD359" s="84">
        <f>INT(INT((INT((2*VLOOKUP($C359,DexData,7,0)+INT(S359/4)+M359)/2)+5)*X359)*IF($E359="Eviolite",1.5,1))</f>
        <v>80</v>
      </c>
      <c r="AE359" s="84">
        <f>INT(INT((INT((2*VLOOKUP($C359,DexData,9,0)+INT(T359/4)+N359)/2)+5)*Y359)*IF($E359="Choice Specs",1.5,1))</f>
        <v>81</v>
      </c>
      <c r="AF359" s="84">
        <f>INT(INT((INT((2*VLOOKUP($C359,DexData,10,0)+INT(U359/4)+O359)/2)+5)*Z359)*IF(OR($E359="Eviolite",$E359="Assault Vest"),1.5,1))</f>
        <v>80</v>
      </c>
      <c r="AG359" s="84">
        <f>INT(INT((INT((2*VLOOKUP($C359,DexData,11,0)+INT(V359/4)+P359)/2)+5)*AA359)*IF($E359="Choice Scarf",1.5,IF($E359="Iron Ball",0.5,1)))</f>
        <v>131</v>
      </c>
      <c r="AH359" s="84" t="str">
        <f>VLOOKUP(VLOOKUP($C359,DexData,3,0),Aliases!D$2:E$19,2,0)&amp;IFERROR("/"&amp;VLOOKUP(VLOOKUP($C359,DexData,4,0),Aliases!D$2:E$19,2,0),"")</f>
        <v>PSN/FTG</v>
      </c>
      <c r="AI359" s="7">
        <v>3.0</v>
      </c>
      <c r="AJ359" s="7">
        <f>IF(VLOOKUP(B359,'Set Odds'!A$2:AN$1067,40,0),1,IF(VLOOKUP(B359,'Set Odds'!A$2:AO$1067,41,0),2,0))</f>
        <v>0</v>
      </c>
      <c r="AK359" s="7"/>
      <c r="AL359" s="7" t="str">
        <f t="shared" si="1"/>
        <v/>
      </c>
    </row>
    <row r="360" ht="12.75" customHeight="1">
      <c r="A360" s="86">
        <v>359.0</v>
      </c>
      <c r="B360" s="84" t="s">
        <v>3741</v>
      </c>
      <c r="C360" s="7" t="s">
        <v>3742</v>
      </c>
      <c r="D360" s="7" t="s">
        <v>3157</v>
      </c>
      <c r="E360" s="7" t="s">
        <v>2630</v>
      </c>
      <c r="F360" s="84" t="s">
        <v>3047</v>
      </c>
      <c r="G360" s="84" t="s">
        <v>3454</v>
      </c>
      <c r="H360" s="84" t="s">
        <v>2581</v>
      </c>
      <c r="I360" s="84" t="s">
        <v>2704</v>
      </c>
      <c r="J360" s="7" t="s">
        <v>3049</v>
      </c>
      <c r="K360" s="7">
        <v>31.0</v>
      </c>
      <c r="L360" s="7">
        <v>31.0</v>
      </c>
      <c r="M360" s="7">
        <v>20.0</v>
      </c>
      <c r="N360" s="7">
        <v>31.0</v>
      </c>
      <c r="O360" s="7">
        <v>20.0</v>
      </c>
      <c r="P360" s="7">
        <v>20.0</v>
      </c>
      <c r="Q360" s="7">
        <v>204.0</v>
      </c>
      <c r="R360" s="7">
        <v>60.0</v>
      </c>
      <c r="S360" s="7">
        <v>0.0</v>
      </c>
      <c r="T360" s="7">
        <v>204.0</v>
      </c>
      <c r="U360" s="7">
        <v>0.0</v>
      </c>
      <c r="V360" s="7">
        <v>0.0</v>
      </c>
      <c r="W360" s="7">
        <f>VLOOKUP($D360,NatureChart,2,0)</f>
        <v>1</v>
      </c>
      <c r="X360" s="7">
        <f>VLOOKUP($D360,NatureChart,3,0)</f>
        <v>0.9</v>
      </c>
      <c r="Y360" s="7">
        <f>VLOOKUP($D360,NatureChart,4,0)</f>
        <v>1.1</v>
      </c>
      <c r="Z360" s="7">
        <f>VLOOKUP($D360,NatureChart,5,0)</f>
        <v>1</v>
      </c>
      <c r="AA360" s="84">
        <f>VLOOKUP($D360,NatureChart,6,0)</f>
        <v>1</v>
      </c>
      <c r="AB360" s="84">
        <f>IF($C360="Shedinja",1,(INT((2*VLOOKUP($C360,DexData,5,0)+INT(Q360/4)+K360)/2)+60))</f>
        <v>191</v>
      </c>
      <c r="AC360" s="84">
        <f>INT(INT((INT((2*VLOOKUP($C360,DexData,6,0)+INT(R360/4)+L360)/2)+5)*W360)*IF($E360="Choice Band",1.5,IF(OR($E360="Mawilite",$E360="Medichamite",$E360="Thick Club"),2,1)))</f>
        <v>120</v>
      </c>
      <c r="AD360" s="84">
        <f>INT(INT((INT((2*VLOOKUP($C360,DexData,7,0)+INT(S360/4)+M360)/2)+5)*X360)*IF($E360="Eviolite",1.5,1))</f>
        <v>81</v>
      </c>
      <c r="AE360" s="84">
        <f>INT(INT((INT((2*VLOOKUP($C360,DexData,9,0)+INT(T360/4)+N360)/2)+5)*Y360)*IF($E360="Choice Specs",1.5,1))</f>
        <v>151</v>
      </c>
      <c r="AF360" s="84">
        <f>INT(INT((INT((2*VLOOKUP($C360,DexData,10,0)+INT(U360/4)+O360)/2)+5)*Z360)*IF(OR($E360="Eviolite",$E360="Assault Vest"),1.5,1))</f>
        <v>100</v>
      </c>
      <c r="AG360" s="84">
        <f>INT(INT((INT((2*VLOOKUP($C360,DexData,11,0)+INT(V360/4)+P360)/2)+5)*AA360)*IF($E360="Choice Scarf",1.5,IF($E360="Iron Ball",0.5,1)))</f>
        <v>75</v>
      </c>
      <c r="AH360" s="84" t="str">
        <f>VLOOKUP(VLOOKUP($C360,DexData,3,0),Aliases!D$2:E$19,2,0)&amp;IFERROR("/"&amp;VLOOKUP(VLOOKUP($C360,DexData,4,0),Aliases!D$2:E$19,2,0),"")</f>
        <v>GRS/ICE</v>
      </c>
      <c r="AI360" s="7">
        <v>3.0</v>
      </c>
      <c r="AJ360" s="7">
        <f>IF(VLOOKUP(B360,'Set Odds'!A$2:AN$1067,40,0),1,IF(VLOOKUP(B360,'Set Odds'!A$2:AO$1067,41,0),2,0))</f>
        <v>0</v>
      </c>
      <c r="AK360" s="7"/>
      <c r="AL360" s="7" t="str">
        <f t="shared" si="1"/>
        <v/>
      </c>
    </row>
    <row r="361" ht="12.75" customHeight="1">
      <c r="A361" s="86">
        <v>360.0</v>
      </c>
      <c r="B361" s="84" t="s">
        <v>3743</v>
      </c>
      <c r="C361" s="7" t="s">
        <v>3744</v>
      </c>
      <c r="D361" s="7" t="s">
        <v>2656</v>
      </c>
      <c r="E361" s="7" t="s">
        <v>3548</v>
      </c>
      <c r="F361" s="84" t="s">
        <v>3052</v>
      </c>
      <c r="G361" s="84" t="s">
        <v>2823</v>
      </c>
      <c r="H361" s="84" t="s">
        <v>3435</v>
      </c>
      <c r="I361" s="84" t="s">
        <v>2660</v>
      </c>
      <c r="J361" s="7" t="s">
        <v>3745</v>
      </c>
      <c r="K361" s="7">
        <v>31.0</v>
      </c>
      <c r="L361" s="7">
        <v>0.0</v>
      </c>
      <c r="M361" s="7">
        <v>20.0</v>
      </c>
      <c r="N361" s="7">
        <v>31.0</v>
      </c>
      <c r="O361" s="7">
        <v>20.0</v>
      </c>
      <c r="P361" s="7">
        <v>31.0</v>
      </c>
      <c r="Q361" s="7">
        <v>60.0</v>
      </c>
      <c r="R361" s="7">
        <v>0.0</v>
      </c>
      <c r="S361" s="7">
        <v>0.0</v>
      </c>
      <c r="T361" s="7">
        <v>204.0</v>
      </c>
      <c r="U361" s="7">
        <v>0.0</v>
      </c>
      <c r="V361" s="7">
        <v>204.0</v>
      </c>
      <c r="W361" s="7">
        <f>VLOOKUP($D361,NatureChart,2,0)</f>
        <v>0.9</v>
      </c>
      <c r="X361" s="7">
        <f>VLOOKUP($D361,NatureChart,3,0)</f>
        <v>1</v>
      </c>
      <c r="Y361" s="7">
        <f>VLOOKUP($D361,NatureChart,4,0)</f>
        <v>1.1</v>
      </c>
      <c r="Z361" s="7">
        <f>VLOOKUP($D361,NatureChart,5,0)</f>
        <v>1</v>
      </c>
      <c r="AA361" s="84">
        <f>VLOOKUP($D361,NatureChart,6,0)</f>
        <v>1</v>
      </c>
      <c r="AB361" s="84">
        <f>IF($C361="Shedinja",1,(INT((2*VLOOKUP($C361,DexData,5,0)+INT(Q361/4)+K361)/2)+60))</f>
        <v>173</v>
      </c>
      <c r="AC361" s="84">
        <f>INT(INT((INT((2*VLOOKUP($C361,DexData,6,0)+INT(R361/4)+L361)/2)+5)*W361)*IF($E361="Choice Band",1.5,IF(OR($E361="Mawilite",$E361="Medichamite",$E361="Thick Club"),2,1)))</f>
        <v>87</v>
      </c>
      <c r="AD361" s="84">
        <f>INT(INT((INT((2*VLOOKUP($C361,DexData,7,0)+INT(S361/4)+M361)/2)+5)*X361)*IF($E361="Eviolite",1.5,1))</f>
        <v>102</v>
      </c>
      <c r="AE361" s="84">
        <f>INT(INT((INT((2*VLOOKUP($C361,DexData,9,0)+INT(T361/4)+N361)/2)+5)*Y361)*IF($E361="Choice Specs",1.5,1))</f>
        <v>133</v>
      </c>
      <c r="AF361" s="84">
        <f>INT(INT((INT((2*VLOOKUP($C361,DexData,10,0)+INT(U361/4)+O361)/2)+5)*Z361)*IF(OR($E361="Eviolite",$E361="Assault Vest"),1.5,1))</f>
        <v>100</v>
      </c>
      <c r="AG361" s="84">
        <f>INT(INT((INT((2*VLOOKUP($C361,DexData,11,0)+INT(V361/4)+P361)/2)+5)*AA361)*IF($E361="Choice Scarf",1.5,IF($E361="Iron Ball",0.5,1)))</f>
        <v>122</v>
      </c>
      <c r="AH361" s="84" t="str">
        <f>VLOOKUP(VLOOKUP($C361,DexData,3,0),Aliases!D$2:E$19,2,0)&amp;IFERROR("/"&amp;VLOOKUP(VLOOKUP($C361,DexData,4,0),Aliases!D$2:E$19,2,0),"")</f>
        <v>PSN/GRD</v>
      </c>
      <c r="AI361" s="7">
        <v>3.0</v>
      </c>
      <c r="AJ361" s="7">
        <f>IF(VLOOKUP(B361,'Set Odds'!A$2:AN$1067,40,0),1,IF(VLOOKUP(B361,'Set Odds'!A$2:AO$1067,41,0),2,0))</f>
        <v>0</v>
      </c>
      <c r="AK361" s="7"/>
      <c r="AL361" s="7" t="str">
        <f t="shared" si="1"/>
        <v/>
      </c>
    </row>
    <row r="362" ht="12.75" customHeight="1">
      <c r="A362" s="86">
        <v>361.0</v>
      </c>
      <c r="B362" s="84" t="s">
        <v>3746</v>
      </c>
      <c r="C362" s="7" t="s">
        <v>3747</v>
      </c>
      <c r="D362" s="7" t="s">
        <v>2656</v>
      </c>
      <c r="E362" s="7" t="s">
        <v>3548</v>
      </c>
      <c r="F362" s="84" t="s">
        <v>3052</v>
      </c>
      <c r="G362" s="84" t="s">
        <v>2823</v>
      </c>
      <c r="H362" s="84" t="s">
        <v>3435</v>
      </c>
      <c r="I362" s="84" t="s">
        <v>2660</v>
      </c>
      <c r="J362" s="7" t="s">
        <v>3745</v>
      </c>
      <c r="K362" s="7">
        <v>31.0</v>
      </c>
      <c r="L362" s="7">
        <v>0.0</v>
      </c>
      <c r="M362" s="7">
        <v>20.0</v>
      </c>
      <c r="N362" s="7">
        <v>31.0</v>
      </c>
      <c r="O362" s="7">
        <v>20.0</v>
      </c>
      <c r="P362" s="7">
        <v>31.0</v>
      </c>
      <c r="Q362" s="7">
        <v>60.0</v>
      </c>
      <c r="R362" s="7">
        <v>0.0</v>
      </c>
      <c r="S362" s="7">
        <v>0.0</v>
      </c>
      <c r="T362" s="7">
        <v>204.0</v>
      </c>
      <c r="U362" s="7">
        <v>0.0</v>
      </c>
      <c r="V362" s="7">
        <v>204.0</v>
      </c>
      <c r="W362" s="7">
        <f>VLOOKUP($D362,NatureChart,2,0)</f>
        <v>0.9</v>
      </c>
      <c r="X362" s="7">
        <f>VLOOKUP($D362,NatureChart,3,0)</f>
        <v>1</v>
      </c>
      <c r="Y362" s="7">
        <f>VLOOKUP($D362,NatureChart,4,0)</f>
        <v>1.1</v>
      </c>
      <c r="Z362" s="7">
        <f>VLOOKUP($D362,NatureChart,5,0)</f>
        <v>1</v>
      </c>
      <c r="AA362" s="84">
        <f>VLOOKUP($D362,NatureChart,6,0)</f>
        <v>1</v>
      </c>
      <c r="AB362" s="84">
        <f>IF($C362="Shedinja",1,(INT((2*VLOOKUP($C362,DexData,5,0)+INT(Q362/4)+K362)/2)+60))</f>
        <v>164</v>
      </c>
      <c r="AC362" s="84">
        <f>INT(INT((INT((2*VLOOKUP($C362,DexData,6,0)+INT(R362/4)+L362)/2)+5)*W362)*IF($E362="Choice Band",1.5,IF(OR($E362="Mawilite",$E362="Medichamite",$E362="Thick Club"),2,1)))</f>
        <v>96</v>
      </c>
      <c r="AD362" s="84">
        <f>INT(INT((INT((2*VLOOKUP($C362,DexData,7,0)+INT(S362/4)+M362)/2)+5)*X362)*IF($E362="Eviolite",1.5,1))</f>
        <v>92</v>
      </c>
      <c r="AE362" s="84">
        <f>INT(INT((INT((2*VLOOKUP($C362,DexData,9,0)+INT(T362/4)+N362)/2)+5)*Y362)*IF($E362="Choice Specs",1.5,1))</f>
        <v>144</v>
      </c>
      <c r="AF362" s="84">
        <f>INT(INT((INT((2*VLOOKUP($C362,DexData,10,0)+INT(U362/4)+O362)/2)+5)*Z362)*IF(OR($E362="Eviolite",$E362="Assault Vest"),1.5,1))</f>
        <v>90</v>
      </c>
      <c r="AG362" s="84">
        <f>INT(INT((INT((2*VLOOKUP($C362,DexData,11,0)+INT(V362/4)+P362)/2)+5)*AA362)*IF($E362="Choice Scarf",1.5,IF($E362="Iron Ball",0.5,1)))</f>
        <v>131</v>
      </c>
      <c r="AH362" s="84" t="str">
        <f>VLOOKUP(VLOOKUP($C362,DexData,3,0),Aliases!D$2:E$19,2,0)&amp;IFERROR("/"&amp;VLOOKUP(VLOOKUP($C362,DexData,4,0),Aliases!D$2:E$19,2,0),"")</f>
        <v>PSN/GRD</v>
      </c>
      <c r="AI362" s="7">
        <v>3.0</v>
      </c>
      <c r="AJ362" s="7">
        <f>IF(VLOOKUP(B362,'Set Odds'!A$2:AN$1067,40,0),1,IF(VLOOKUP(B362,'Set Odds'!A$2:AO$1067,41,0),2,0))</f>
        <v>0</v>
      </c>
      <c r="AK362" s="7"/>
      <c r="AL362" s="7" t="str">
        <f t="shared" si="1"/>
        <v/>
      </c>
    </row>
    <row r="363" ht="12.75" customHeight="1">
      <c r="A363" s="86">
        <v>362.0</v>
      </c>
      <c r="B363" s="84" t="s">
        <v>3748</v>
      </c>
      <c r="C363" s="7" t="s">
        <v>3749</v>
      </c>
      <c r="D363" s="7" t="s">
        <v>2862</v>
      </c>
      <c r="E363" s="7" t="s">
        <v>2520</v>
      </c>
      <c r="F363" s="84" t="s">
        <v>3222</v>
      </c>
      <c r="G363" s="84" t="s">
        <v>3428</v>
      </c>
      <c r="H363" s="84" t="s">
        <v>2575</v>
      </c>
      <c r="I363" s="84" t="s">
        <v>2534</v>
      </c>
      <c r="J363" s="7" t="s">
        <v>2988</v>
      </c>
      <c r="K363" s="7">
        <v>31.0</v>
      </c>
      <c r="L363" s="7">
        <v>0.0</v>
      </c>
      <c r="M363" s="7">
        <v>31.0</v>
      </c>
      <c r="N363" s="7">
        <v>20.0</v>
      </c>
      <c r="O363" s="7">
        <v>31.0</v>
      </c>
      <c r="P363" s="7">
        <v>20.0</v>
      </c>
      <c r="Q363" s="7">
        <v>204.0</v>
      </c>
      <c r="R363" s="7">
        <v>0.0</v>
      </c>
      <c r="S363" s="7">
        <v>204.0</v>
      </c>
      <c r="T363" s="7">
        <v>60.0</v>
      </c>
      <c r="U363" s="7">
        <v>0.0</v>
      </c>
      <c r="V363" s="7">
        <v>0.0</v>
      </c>
      <c r="W363" s="7">
        <f>VLOOKUP($D363,NatureChart,2,0)</f>
        <v>0.9</v>
      </c>
      <c r="X363" s="7">
        <f>VLOOKUP($D363,NatureChart,3,0)</f>
        <v>1.1</v>
      </c>
      <c r="Y363" s="7">
        <f>VLOOKUP($D363,NatureChart,4,0)</f>
        <v>1</v>
      </c>
      <c r="Z363" s="7">
        <f>VLOOKUP($D363,NatureChart,5,0)</f>
        <v>1</v>
      </c>
      <c r="AA363" s="84">
        <f>VLOOKUP($D363,NatureChart,6,0)</f>
        <v>1</v>
      </c>
      <c r="AB363" s="84">
        <f>IF($C363="Shedinja",1,(INT((2*VLOOKUP($C363,DexData,5,0)+INT(Q363/4)+K363)/2)+60))</f>
        <v>187</v>
      </c>
      <c r="AC363" s="84">
        <f>INT(INT((INT((2*VLOOKUP($C363,DexData,6,0)+INT(R363/4)+L363)/2)+5)*W363)*IF($E363="Choice Band",1.5,IF(OR($E363="Mawilite",$E363="Medichamite",$E363="Thick Club"),2,1)))</f>
        <v>77</v>
      </c>
      <c r="AD363" s="84">
        <f>INT(INT((INT((2*VLOOKUP($C363,DexData,7,0)+INT(S363/4)+M363)/2)+5)*X363)*IF($E363="Eviolite",1.5,1))</f>
        <v>157</v>
      </c>
      <c r="AE363" s="84">
        <f>INT(INT((INT((2*VLOOKUP($C363,DexData,9,0)+INT(T363/4)+N363)/2)+5)*Y363)*IF($E363="Choice Specs",1.5,1))</f>
        <v>103</v>
      </c>
      <c r="AF363" s="84">
        <f>INT(INT((INT((2*VLOOKUP($C363,DexData,10,0)+INT(U363/4)+O363)/2)+5)*Z363)*IF(OR($E363="Eviolite",$E363="Assault Vest"),1.5,1))</f>
        <v>127</v>
      </c>
      <c r="AG363" s="84">
        <f>INT(INT((INT((2*VLOOKUP($C363,DexData,11,0)+INT(V363/4)+P363)/2)+5)*AA363)*IF($E363="Choice Scarf",1.5,IF($E363="Iron Ball",0.5,1)))</f>
        <v>58</v>
      </c>
      <c r="AH363" s="84" t="str">
        <f>VLOOKUP(VLOOKUP($C363,DexData,3,0),Aliases!D$2:E$19,2,0)&amp;IFERROR("/"&amp;VLOOKUP(VLOOKUP($C363,DexData,4,0),Aliases!D$2:E$19,2,0),"")</f>
        <v>RCK/GRS</v>
      </c>
      <c r="AI363" s="7">
        <v>3.0</v>
      </c>
      <c r="AJ363" s="7">
        <f>IF(VLOOKUP(B363,'Set Odds'!A$2:AN$1067,40,0),1,IF(VLOOKUP(B363,'Set Odds'!A$2:AO$1067,41,0),2,0))</f>
        <v>0</v>
      </c>
      <c r="AK363" s="7"/>
      <c r="AL363" s="7" t="str">
        <f t="shared" si="1"/>
        <v/>
      </c>
    </row>
    <row r="364" ht="12.75" customHeight="1">
      <c r="A364" s="86">
        <v>363.0</v>
      </c>
      <c r="B364" s="84" t="s">
        <v>3750</v>
      </c>
      <c r="C364" s="7" t="s">
        <v>3751</v>
      </c>
      <c r="D364" s="7" t="s">
        <v>2723</v>
      </c>
      <c r="E364" s="7" t="s">
        <v>3439</v>
      </c>
      <c r="F364" s="84" t="s">
        <v>3441</v>
      </c>
      <c r="G364" s="84" t="s">
        <v>2606</v>
      </c>
      <c r="H364" s="84" t="s">
        <v>2671</v>
      </c>
      <c r="I364" s="84" t="s">
        <v>2746</v>
      </c>
      <c r="J364" s="7" t="s">
        <v>2945</v>
      </c>
      <c r="K364" s="7">
        <v>31.0</v>
      </c>
      <c r="L364" s="7">
        <v>31.0</v>
      </c>
      <c r="M364" s="7">
        <v>20.0</v>
      </c>
      <c r="N364" s="7">
        <v>0.0</v>
      </c>
      <c r="O364" s="7">
        <v>31.0</v>
      </c>
      <c r="P364" s="7">
        <v>20.0</v>
      </c>
      <c r="Q364" s="7">
        <v>204.0</v>
      </c>
      <c r="R364" s="7">
        <v>60.0</v>
      </c>
      <c r="S364" s="7">
        <v>0.0</v>
      </c>
      <c r="T364" s="7">
        <v>0.0</v>
      </c>
      <c r="U364" s="7">
        <v>204.0</v>
      </c>
      <c r="V364" s="7">
        <v>0.0</v>
      </c>
      <c r="W364" s="7">
        <f>VLOOKUP($D364,NatureChart,2,0)</f>
        <v>1</v>
      </c>
      <c r="X364" s="7">
        <f>VLOOKUP($D364,NatureChart,3,0)</f>
        <v>1</v>
      </c>
      <c r="Y364" s="7">
        <f>VLOOKUP($D364,NatureChart,4,0)</f>
        <v>0.9</v>
      </c>
      <c r="Z364" s="7">
        <f>VLOOKUP($D364,NatureChart,5,0)</f>
        <v>1.1</v>
      </c>
      <c r="AA364" s="84">
        <f>VLOOKUP($D364,NatureChart,6,0)</f>
        <v>1</v>
      </c>
      <c r="AB364" s="84">
        <f>IF($C364="Shedinja",1,(INT((2*VLOOKUP($C364,DexData,5,0)+INT(Q364/4)+K364)/2)+60))</f>
        <v>176</v>
      </c>
      <c r="AC364" s="84">
        <f>INT(INT((INT((2*VLOOKUP($C364,DexData,6,0)+INT(R364/4)+L364)/2)+5)*W364)*IF($E364="Choice Band",1.5,IF(OR($E364="Mawilite",$E364="Medichamite",$E364="Thick Club"),2,1)))</f>
        <v>153</v>
      </c>
      <c r="AD364" s="84">
        <f>INT(INT((INT((2*VLOOKUP($C364,DexData,7,0)+INT(S364/4)+M364)/2)+5)*X364)*IF($E364="Eviolite",1.5,1))</f>
        <v>115</v>
      </c>
      <c r="AE364" s="84">
        <f>INT(INT((INT((2*VLOOKUP($C364,DexData,9,0)+INT(T364/4)+N364)/2)+5)*Y364)*IF($E364="Choice Specs",1.5,1))</f>
        <v>67</v>
      </c>
      <c r="AF364" s="84">
        <f>INT(INT((INT((2*VLOOKUP($C364,DexData,10,0)+INT(U364/4)+O364)/2)+5)*Z364)*IF(OR($E364="Eviolite",$E364="Assault Vest"),1.5,1))</f>
        <v>138</v>
      </c>
      <c r="AG364" s="84">
        <f>INT(INT((INT((2*VLOOKUP($C364,DexData,11,0)+INT(V364/4)+P364)/2)+5)*AA364)*IF($E364="Choice Scarf",1.5,IF($E364="Iron Ball",0.5,1)))</f>
        <v>60</v>
      </c>
      <c r="AH364" s="84" t="str">
        <f>VLOOKUP(VLOOKUP($C364,DexData,3,0),Aliases!D$2:E$19,2,0)&amp;IFERROR("/"&amp;VLOOKUP(VLOOKUP($C364,DexData,4,0),Aliases!D$2:E$19,2,0),"")</f>
        <v>RCK/BUG</v>
      </c>
      <c r="AI364" s="7">
        <v>3.0</v>
      </c>
      <c r="AJ364" s="7">
        <f>IF(VLOOKUP(B364,'Set Odds'!A$2:AN$1067,40,0),1,IF(VLOOKUP(B364,'Set Odds'!A$2:AO$1067,41,0),2,0))</f>
        <v>0</v>
      </c>
      <c r="AK364" s="7"/>
      <c r="AL364" s="7" t="str">
        <f t="shared" si="1"/>
        <v/>
      </c>
    </row>
    <row r="365" ht="12.75" customHeight="1">
      <c r="A365" s="86">
        <v>364.0</v>
      </c>
      <c r="B365" s="84" t="s">
        <v>3752</v>
      </c>
      <c r="C365" s="7" t="s">
        <v>3753</v>
      </c>
      <c r="D365" s="7" t="s">
        <v>2571</v>
      </c>
      <c r="E365" s="7" t="s">
        <v>2527</v>
      </c>
      <c r="F365" s="84" t="s">
        <v>3754</v>
      </c>
      <c r="G365" s="84" t="s">
        <v>2537</v>
      </c>
      <c r="H365" s="84" t="s">
        <v>3626</v>
      </c>
      <c r="I365" s="84" t="s">
        <v>3441</v>
      </c>
      <c r="J365" s="7" t="s">
        <v>2728</v>
      </c>
      <c r="K365" s="7">
        <v>31.0</v>
      </c>
      <c r="L365" s="7">
        <v>31.0</v>
      </c>
      <c r="M365" s="7">
        <v>20.0</v>
      </c>
      <c r="N365" s="7">
        <v>0.0</v>
      </c>
      <c r="O365" s="7">
        <v>20.0</v>
      </c>
      <c r="P365" s="7">
        <v>31.0</v>
      </c>
      <c r="Q365" s="7">
        <v>60.0</v>
      </c>
      <c r="R365" s="7">
        <v>204.0</v>
      </c>
      <c r="S365" s="7">
        <v>0.0</v>
      </c>
      <c r="T365" s="7">
        <v>0.0</v>
      </c>
      <c r="U365" s="7">
        <v>0.0</v>
      </c>
      <c r="V365" s="7">
        <v>204.0</v>
      </c>
      <c r="W365" s="7">
        <f>VLOOKUP($D365,NatureChart,2,0)</f>
        <v>1.1</v>
      </c>
      <c r="X365" s="7">
        <f>VLOOKUP($D365,NatureChart,3,0)</f>
        <v>1</v>
      </c>
      <c r="Y365" s="7">
        <f>VLOOKUP($D365,NatureChart,4,0)</f>
        <v>0.9</v>
      </c>
      <c r="Z365" s="7">
        <f>VLOOKUP($D365,NatureChart,5,0)</f>
        <v>1</v>
      </c>
      <c r="AA365" s="84">
        <f>VLOOKUP($D365,NatureChart,6,0)</f>
        <v>1</v>
      </c>
      <c r="AB365" s="84">
        <f>IF($C365="Shedinja",1,(INT((2*VLOOKUP($C365,DexData,5,0)+INT(Q365/4)+K365)/2)+60))</f>
        <v>143</v>
      </c>
      <c r="AC365" s="84">
        <f>INT(INT((INT((2*VLOOKUP($C365,DexData,6,0)+INT(R365/4)+L365)/2)+5)*W365)*IF($E365="Choice Band",1.5,IF(OR($E365="Mawilite",$E365="Medichamite",$E365="Thick Club"),2,1)))</f>
        <v>107</v>
      </c>
      <c r="AD365" s="84">
        <f>INT(INT((INT((2*VLOOKUP($C365,DexData,7,0)+INT(S365/4)+M365)/2)+5)*X365)*IF($E365="Eviolite",1.5,1))</f>
        <v>183</v>
      </c>
      <c r="AE365" s="84">
        <f>INT(INT((INT((2*VLOOKUP($C365,DexData,9,0)+INT(T365/4)+N365)/2)+5)*Y365)*IF($E365="Choice Specs",1.5,1))</f>
        <v>46</v>
      </c>
      <c r="AF365" s="84">
        <f>INT(INT((INT((2*VLOOKUP($C365,DexData,10,0)+INT(U365/4)+O365)/2)+5)*Z365)*IF(OR($E365="Eviolite",$E365="Assault Vest"),1.5,1))</f>
        <v>153</v>
      </c>
      <c r="AG365" s="84">
        <f>INT(INT((INT((2*VLOOKUP($C365,DexData,11,0)+INT(V365/4)+P365)/2)+5)*AA365)*IF($E365="Choice Scarf",1.5,IF($E365="Iron Ball",0.5,1)))</f>
        <v>76</v>
      </c>
      <c r="AH365" s="84" t="str">
        <f>VLOOKUP(VLOOKUP($C365,DexData,3,0),Aliases!D$2:E$19,2,0)&amp;IFERROR("/"&amp;VLOOKUP(VLOOKUP($C365,DexData,4,0),Aliases!D$2:E$19,2,0),"")</f>
        <v>RCK/STL</v>
      </c>
      <c r="AI365" s="7">
        <v>3.0</v>
      </c>
      <c r="AJ365" s="7">
        <f>IF(VLOOKUP(B365,'Set Odds'!A$2:AN$1067,40,0),1,IF(VLOOKUP(B365,'Set Odds'!A$2:AO$1067,41,0),2,0))</f>
        <v>0</v>
      </c>
      <c r="AK365" s="7"/>
      <c r="AL365" s="7" t="str">
        <f t="shared" si="1"/>
        <v/>
      </c>
    </row>
    <row r="366" ht="12.75" customHeight="1">
      <c r="A366" s="86">
        <v>365.0</v>
      </c>
      <c r="B366" s="84" t="s">
        <v>3755</v>
      </c>
      <c r="C366" s="7" t="s">
        <v>3756</v>
      </c>
      <c r="D366" s="7" t="s">
        <v>3134</v>
      </c>
      <c r="E366" s="7" t="s">
        <v>3548</v>
      </c>
      <c r="F366" s="84" t="s">
        <v>2869</v>
      </c>
      <c r="G366" s="84" t="s">
        <v>3031</v>
      </c>
      <c r="H366" s="84" t="s">
        <v>2823</v>
      </c>
      <c r="I366" s="84" t="s">
        <v>3590</v>
      </c>
      <c r="J366" s="7" t="s">
        <v>3028</v>
      </c>
      <c r="K366" s="7">
        <v>20.0</v>
      </c>
      <c r="L366" s="7">
        <v>31.0</v>
      </c>
      <c r="M366" s="7">
        <v>20.0</v>
      </c>
      <c r="N366" s="7">
        <v>31.0</v>
      </c>
      <c r="O366" s="7">
        <v>20.0</v>
      </c>
      <c r="P366" s="7">
        <v>31.0</v>
      </c>
      <c r="Q366" s="7">
        <v>0.0</v>
      </c>
      <c r="R366" s="7">
        <v>60.0</v>
      </c>
      <c r="S366" s="7">
        <v>0.0</v>
      </c>
      <c r="T366" s="7">
        <v>204.0</v>
      </c>
      <c r="U366" s="7">
        <v>0.0</v>
      </c>
      <c r="V366" s="7">
        <v>204.0</v>
      </c>
      <c r="W366" s="7">
        <f>VLOOKUP($D366,NatureChart,2,0)</f>
        <v>1</v>
      </c>
      <c r="X366" s="7">
        <f>VLOOKUP($D366,NatureChart,3,0)</f>
        <v>1</v>
      </c>
      <c r="Y366" s="7">
        <f>VLOOKUP($D366,NatureChart,4,0)</f>
        <v>1</v>
      </c>
      <c r="Z366" s="7">
        <f>VLOOKUP($D366,NatureChart,5,0)</f>
        <v>0.9</v>
      </c>
      <c r="AA366" s="84">
        <f>VLOOKUP($D366,NatureChart,6,0)</f>
        <v>1.1</v>
      </c>
      <c r="AB366" s="84">
        <f>IF($C366="Shedinja",1,(INT((2*VLOOKUP($C366,DexData,5,0)+INT(Q366/4)+K366)/2)+60))</f>
        <v>155</v>
      </c>
      <c r="AC366" s="84">
        <f>INT(INT((INT((2*VLOOKUP($C366,DexData,6,0)+INT(R366/4)+L366)/2)+5)*W366)*IF($E366="Choice Band",1.5,IF(OR($E366="Mawilite",$E366="Medichamite",$E366="Thick Club"),2,1)))</f>
        <v>133</v>
      </c>
      <c r="AD366" s="84">
        <f>INT(INT((INT((2*VLOOKUP($C366,DexData,7,0)+INT(S366/4)+M366)/2)+5)*X366)*IF($E366="Eviolite",1.5,1))</f>
        <v>70</v>
      </c>
      <c r="AE366" s="84">
        <f>INT(INT((INT((2*VLOOKUP($C366,DexData,9,0)+INT(T366/4)+N366)/2)+5)*Y366)*IF($E366="Choice Specs",1.5,1))</f>
        <v>131</v>
      </c>
      <c r="AF366" s="84">
        <f>INT(INT((INT((2*VLOOKUP($C366,DexData,10,0)+INT(U366/4)+O366)/2)+5)*Z366)*IF(OR($E366="Eviolite",$E366="Assault Vest"),1.5,1))</f>
        <v>58</v>
      </c>
      <c r="AG366" s="84">
        <f>INT(INT((INT((2*VLOOKUP($C366,DexData,11,0)+INT(V366/4)+P366)/2)+5)*AA366)*IF($E366="Choice Scarf",1.5,IF($E366="Iron Ball",0.5,1)))</f>
        <v>177</v>
      </c>
      <c r="AH366" s="84" t="str">
        <f>VLOOKUP(VLOOKUP($C366,DexData,3,0),Aliases!D$2:E$19,2,0)&amp;IFERROR("/"&amp;VLOOKUP(VLOOKUP($C366,DexData,4,0),Aliases!D$2:E$19,2,0),"")</f>
        <v>WTR</v>
      </c>
      <c r="AI366" s="7">
        <v>3.0</v>
      </c>
      <c r="AJ366" s="7">
        <f>IF(VLOOKUP(B366,'Set Odds'!A$2:AN$1067,40,0),1,IF(VLOOKUP(B366,'Set Odds'!A$2:AO$1067,41,0),2,0))</f>
        <v>0</v>
      </c>
      <c r="AK366" s="7"/>
      <c r="AL366" s="7" t="str">
        <f t="shared" si="1"/>
        <v/>
      </c>
    </row>
    <row r="367" ht="12.75" customHeight="1">
      <c r="A367" s="86">
        <v>366.0</v>
      </c>
      <c r="B367" s="84" t="s">
        <v>3757</v>
      </c>
      <c r="C367" s="7" t="s">
        <v>3758</v>
      </c>
      <c r="D367" s="7" t="s">
        <v>3597</v>
      </c>
      <c r="E367" s="7" t="s">
        <v>3759</v>
      </c>
      <c r="F367" s="84" t="s">
        <v>2659</v>
      </c>
      <c r="G367" s="84" t="s">
        <v>2536</v>
      </c>
      <c r="H367" s="84" t="s">
        <v>3640</v>
      </c>
      <c r="I367" s="84" t="s">
        <v>3639</v>
      </c>
      <c r="J367" s="7" t="s">
        <v>2714</v>
      </c>
      <c r="K367" s="7">
        <v>31.0</v>
      </c>
      <c r="L367" s="7">
        <v>0.0</v>
      </c>
      <c r="M367" s="7">
        <v>31.0</v>
      </c>
      <c r="N367" s="7">
        <v>20.0</v>
      </c>
      <c r="O367" s="7">
        <v>31.0</v>
      </c>
      <c r="P367" s="7">
        <v>20.0</v>
      </c>
      <c r="Q367" s="7">
        <v>204.0</v>
      </c>
      <c r="R367" s="7">
        <v>0.0</v>
      </c>
      <c r="S367" s="7">
        <v>0.0</v>
      </c>
      <c r="T367" s="7">
        <v>60.0</v>
      </c>
      <c r="U367" s="7">
        <v>204.0</v>
      </c>
      <c r="V367" s="7">
        <v>0.0</v>
      </c>
      <c r="W367" s="7">
        <f>VLOOKUP($D367,NatureChart,2,0)</f>
        <v>0.9</v>
      </c>
      <c r="X367" s="7">
        <f>VLOOKUP($D367,NatureChart,3,0)</f>
        <v>1</v>
      </c>
      <c r="Y367" s="7">
        <f>VLOOKUP($D367,NatureChart,4,0)</f>
        <v>1</v>
      </c>
      <c r="Z367" s="7">
        <f>VLOOKUP($D367,NatureChart,5,0)</f>
        <v>1.1</v>
      </c>
      <c r="AA367" s="84">
        <f>VLOOKUP($D367,NatureChart,6,0)</f>
        <v>1</v>
      </c>
      <c r="AB367" s="84">
        <f>IF($C367="Shedinja",1,(INT((2*VLOOKUP($C367,DexData,5,0)+INT(Q367/4)+K367)/2)+60))</f>
        <v>161</v>
      </c>
      <c r="AC367" s="84">
        <f>INT(INT((INT((2*VLOOKUP($C367,DexData,6,0)+INT(R367/4)+L367)/2)+5)*W367)*IF($E367="Choice Band",1.5,IF(OR($E367="Mawilite",$E367="Medichamite",$E367="Thick Club"),2,1)))</f>
        <v>58</v>
      </c>
      <c r="AD367" s="84">
        <f>INT(INT((INT((2*VLOOKUP($C367,DexData,7,0)+INT(S367/4)+M367)/2)+5)*X367)*IF($E367="Eviolite",1.5,1))</f>
        <v>80</v>
      </c>
      <c r="AE367" s="84">
        <f>INT(INT((INT((2*VLOOKUP($C367,DexData,9,0)+INT(T367/4)+N367)/2)+5)*Y367)*IF($E367="Choice Specs",1.5,1))</f>
        <v>127</v>
      </c>
      <c r="AF367" s="84">
        <f>INT(INT((INT((2*VLOOKUP($C367,DexData,10,0)+INT(U367/4)+O367)/2)+5)*Z367)*IF(OR($E367="Eviolite",$E367="Assault Vest"),1.5,1))</f>
        <v>166</v>
      </c>
      <c r="AG367" s="84">
        <f>INT(INT((INT((2*VLOOKUP($C367,DexData,11,0)+INT(V367/4)+P367)/2)+5)*AA367)*IF($E367="Choice Scarf",1.5,IF($E367="Iron Ball",0.5,1)))</f>
        <v>120</v>
      </c>
      <c r="AH367" s="84" t="str">
        <f>VLOOKUP(VLOOKUP($C367,DexData,3,0),Aliases!D$2:E$19,2,0)&amp;IFERROR("/"&amp;VLOOKUP(VLOOKUP($C367,DexData,4,0),Aliases!D$2:E$19,2,0),"")</f>
        <v>GHO</v>
      </c>
      <c r="AI367" s="7">
        <v>3.0</v>
      </c>
      <c r="AJ367" s="7">
        <f>IF(VLOOKUP(B367,'Set Odds'!A$2:AN$1067,40,0),1,IF(VLOOKUP(B367,'Set Odds'!A$2:AO$1067,41,0),2,0))</f>
        <v>0</v>
      </c>
      <c r="AK367" s="7"/>
      <c r="AL367" s="7" t="str">
        <f t="shared" si="1"/>
        <v/>
      </c>
    </row>
    <row r="368" ht="12.75" customHeight="1">
      <c r="A368" s="86">
        <v>367.0</v>
      </c>
      <c r="B368" s="84" t="s">
        <v>3760</v>
      </c>
      <c r="C368" s="7" t="s">
        <v>3761</v>
      </c>
      <c r="D368" s="7" t="s">
        <v>2656</v>
      </c>
      <c r="E368" s="7" t="s">
        <v>3726</v>
      </c>
      <c r="F368" s="84" t="s">
        <v>2797</v>
      </c>
      <c r="G368" s="84" t="s">
        <v>2847</v>
      </c>
      <c r="H368" s="84" t="s">
        <v>2841</v>
      </c>
      <c r="I368" s="84" t="s">
        <v>3762</v>
      </c>
      <c r="J368" s="7" t="s">
        <v>3763</v>
      </c>
      <c r="K368" s="7">
        <v>31.0</v>
      </c>
      <c r="L368" s="7">
        <v>0.0</v>
      </c>
      <c r="M368" s="7">
        <v>20.0</v>
      </c>
      <c r="N368" s="7">
        <v>31.0</v>
      </c>
      <c r="O368" s="7">
        <v>20.0</v>
      </c>
      <c r="P368" s="7">
        <v>31.0</v>
      </c>
      <c r="Q368" s="7">
        <v>60.0</v>
      </c>
      <c r="R368" s="7">
        <v>0.0</v>
      </c>
      <c r="S368" s="7">
        <v>0.0</v>
      </c>
      <c r="T368" s="7">
        <v>204.0</v>
      </c>
      <c r="U368" s="7">
        <v>0.0</v>
      </c>
      <c r="V368" s="7">
        <v>204.0</v>
      </c>
      <c r="W368" s="7">
        <f>VLOOKUP($D368,NatureChart,2,0)</f>
        <v>0.9</v>
      </c>
      <c r="X368" s="7">
        <f>VLOOKUP($D368,NatureChart,3,0)</f>
        <v>1</v>
      </c>
      <c r="Y368" s="7">
        <f>VLOOKUP($D368,NatureChart,4,0)</f>
        <v>1.1</v>
      </c>
      <c r="Z368" s="7">
        <f>VLOOKUP($D368,NatureChart,5,0)</f>
        <v>1</v>
      </c>
      <c r="AA368" s="84">
        <f>VLOOKUP($D368,NatureChart,6,0)</f>
        <v>1</v>
      </c>
      <c r="AB368" s="84">
        <f>IF($C368="Shedinja",1,(INT((2*VLOOKUP($C368,DexData,5,0)+INT(Q368/4)+K368)/2)+60))</f>
        <v>233</v>
      </c>
      <c r="AC368" s="84">
        <f>INT(INT((INT((2*VLOOKUP($C368,DexData,6,0)+INT(R368/4)+L368)/2)+5)*W368)*IF($E368="Choice Band",1.5,IF(OR($E368="Mawilite",$E368="Medichamite",$E368="Thick Club"),2,1)))</f>
        <v>76</v>
      </c>
      <c r="AD368" s="84">
        <f>INT(INT((INT((2*VLOOKUP($C368,DexData,7,0)+INT(S368/4)+M368)/2)+5)*X368)*IF($E368="Eviolite",1.5,1))</f>
        <v>59</v>
      </c>
      <c r="AE368" s="84">
        <f>INT(INT((INT((2*VLOOKUP($C368,DexData,9,0)+INT(T368/4)+N368)/2)+5)*Y368)*IF($E368="Choice Specs",1.5,1))</f>
        <v>149</v>
      </c>
      <c r="AF368" s="84">
        <f>INT(INT((INT((2*VLOOKUP($C368,DexData,10,0)+INT(U368/4)+O368)/2)+5)*Z368)*IF(OR($E368="Eviolite",$E368="Assault Vest"),1.5,1))</f>
        <v>69</v>
      </c>
      <c r="AG368" s="84">
        <f>INT(INT((INT((2*VLOOKUP($C368,DexData,11,0)+INT(V368/4)+P368)/2)+5)*AA368)*IF($E368="Choice Scarf",1.5,IF($E368="Iron Ball",0.5,1)))</f>
        <v>126</v>
      </c>
      <c r="AH368" s="84" t="str">
        <f>VLOOKUP(VLOOKUP($C368,DexData,3,0),Aliases!D$2:E$19,2,0)&amp;IFERROR("/"&amp;VLOOKUP(VLOOKUP($C368,DexData,4,0),Aliases!D$2:E$19,2,0),"")</f>
        <v>GHO/FLY</v>
      </c>
      <c r="AI368" s="7">
        <v>3.0</v>
      </c>
      <c r="AJ368" s="7">
        <f>IF(VLOOKUP(B368,'Set Odds'!A$2:AN$1067,40,0),1,IF(VLOOKUP(B368,'Set Odds'!A$2:AO$1067,41,0),2,0))</f>
        <v>0</v>
      </c>
      <c r="AK368" s="7"/>
      <c r="AL368" s="7" t="str">
        <f t="shared" si="1"/>
        <v/>
      </c>
    </row>
    <row r="369" ht="12.75" customHeight="1">
      <c r="A369" s="86">
        <v>368.0</v>
      </c>
      <c r="B369" s="84" t="s">
        <v>3764</v>
      </c>
      <c r="C369" s="7" t="s">
        <v>3765</v>
      </c>
      <c r="D369" s="7" t="s">
        <v>3134</v>
      </c>
      <c r="E369" s="7" t="s">
        <v>2936</v>
      </c>
      <c r="F369" s="84" t="s">
        <v>2659</v>
      </c>
      <c r="G369" s="84" t="s">
        <v>2739</v>
      </c>
      <c r="H369" s="84" t="s">
        <v>2967</v>
      </c>
      <c r="I369" s="84" t="s">
        <v>2581</v>
      </c>
      <c r="J369" s="7" t="s">
        <v>2849</v>
      </c>
      <c r="K369" s="7">
        <v>20.0</v>
      </c>
      <c r="L369" s="7">
        <v>31.0</v>
      </c>
      <c r="M369" s="7">
        <v>20.0</v>
      </c>
      <c r="N369" s="7">
        <v>31.0</v>
      </c>
      <c r="O369" s="7">
        <v>20.0</v>
      </c>
      <c r="P369" s="7">
        <v>31.0</v>
      </c>
      <c r="Q369" s="7">
        <v>0.0</v>
      </c>
      <c r="R369" s="7">
        <v>60.0</v>
      </c>
      <c r="S369" s="7">
        <v>0.0</v>
      </c>
      <c r="T369" s="7">
        <v>204.0</v>
      </c>
      <c r="U369" s="7">
        <v>0.0</v>
      </c>
      <c r="V369" s="7">
        <v>204.0</v>
      </c>
      <c r="W369" s="7">
        <f>VLOOKUP($D369,NatureChart,2,0)</f>
        <v>1</v>
      </c>
      <c r="X369" s="7">
        <f>VLOOKUP($D369,NatureChart,3,0)</f>
        <v>1</v>
      </c>
      <c r="Y369" s="7">
        <f>VLOOKUP($D369,NatureChart,4,0)</f>
        <v>1</v>
      </c>
      <c r="Z369" s="7">
        <f>VLOOKUP($D369,NatureChart,5,0)</f>
        <v>0.9</v>
      </c>
      <c r="AA369" s="84">
        <f>VLOOKUP($D369,NatureChart,6,0)</f>
        <v>1.1</v>
      </c>
      <c r="AB369" s="84">
        <f>IF($C369="Shedinja",1,(INT((2*VLOOKUP($C369,DexData,5,0)+INT(Q369/4)+K369)/2)+60))</f>
        <v>150</v>
      </c>
      <c r="AC369" s="84">
        <f>INT(INT((INT((2*VLOOKUP($C369,DexData,6,0)+INT(R369/4)+L369)/2)+5)*W369)*IF($E369="Choice Band",1.5,IF(OR($E369="Mawilite",$E369="Medichamite",$E369="Thick Club"),2,1)))</f>
        <v>110</v>
      </c>
      <c r="AD369" s="84">
        <f>INT(INT((INT((2*VLOOKUP($C369,DexData,7,0)+INT(S369/4)+M369)/2)+5)*X369)*IF($E369="Eviolite",1.5,1))</f>
        <v>93</v>
      </c>
      <c r="AE369" s="84">
        <f>INT(INT((INT((2*VLOOKUP($C369,DexData,9,0)+INT(T369/4)+N369)/2)+5)*Y369)*IF($E369="Choice Specs",1.5,1))</f>
        <v>141</v>
      </c>
      <c r="AF369" s="84">
        <f>INT(INT((INT((2*VLOOKUP($C369,DexData,10,0)+INT(U369/4)+O369)/2)+5)*Z369)*IF(OR($E369="Eviolite",$E369="Assault Vest"),1.5,1))</f>
        <v>85</v>
      </c>
      <c r="AG369" s="84">
        <f>INT(INT((INT((2*VLOOKUP($C369,DexData,11,0)+INT(V369/4)+P369)/2)+5)*AA369)*IF($E369="Choice Scarf",1.5,IF($E369="Iron Ball",0.5,1)))</f>
        <v>144</v>
      </c>
      <c r="AH369" s="84" t="str">
        <f>VLOOKUP(VLOOKUP($C369,DexData,3,0),Aliases!D$2:E$19,2,0)&amp;IFERROR("/"&amp;VLOOKUP(VLOOKUP($C369,DexData,4,0),Aliases!D$2:E$19,2,0),"")</f>
        <v>WTR</v>
      </c>
      <c r="AI369" s="7">
        <v>3.0</v>
      </c>
      <c r="AJ369" s="7">
        <f>IF(VLOOKUP(B369,'Set Odds'!A$2:AN$1067,40,0),1,IF(VLOOKUP(B369,'Set Odds'!A$2:AO$1067,41,0),2,0))</f>
        <v>0</v>
      </c>
      <c r="AK369" s="7"/>
      <c r="AL369" s="7" t="str">
        <f t="shared" si="1"/>
        <v/>
      </c>
    </row>
    <row r="370" ht="12.75" customHeight="1">
      <c r="A370" s="86">
        <v>369.0</v>
      </c>
      <c r="B370" s="84" t="s">
        <v>3766</v>
      </c>
      <c r="C370" s="7" t="s">
        <v>3767</v>
      </c>
      <c r="D370" s="7" t="s">
        <v>2656</v>
      </c>
      <c r="E370" s="7" t="s">
        <v>2623</v>
      </c>
      <c r="F370" s="84" t="s">
        <v>3341</v>
      </c>
      <c r="G370" s="84" t="s">
        <v>2823</v>
      </c>
      <c r="H370" s="84" t="s">
        <v>3590</v>
      </c>
      <c r="I370" s="84" t="s">
        <v>3768</v>
      </c>
      <c r="J370" s="7" t="s">
        <v>3059</v>
      </c>
      <c r="K370" s="7">
        <v>31.0</v>
      </c>
      <c r="L370" s="7">
        <v>0.0</v>
      </c>
      <c r="M370" s="7">
        <v>20.0</v>
      </c>
      <c r="N370" s="7">
        <v>31.0</v>
      </c>
      <c r="O370" s="7">
        <v>20.0</v>
      </c>
      <c r="P370" s="7">
        <v>31.0</v>
      </c>
      <c r="Q370" s="7">
        <v>204.0</v>
      </c>
      <c r="R370" s="7">
        <v>0.0</v>
      </c>
      <c r="S370" s="7">
        <v>0.0</v>
      </c>
      <c r="T370" s="7">
        <v>204.0</v>
      </c>
      <c r="U370" s="7">
        <v>0.0</v>
      </c>
      <c r="V370" s="7">
        <v>60.0</v>
      </c>
      <c r="W370" s="7">
        <f>VLOOKUP($D370,NatureChart,2,0)</f>
        <v>0.9</v>
      </c>
      <c r="X370" s="7">
        <f>VLOOKUP($D370,NatureChart,3,0)</f>
        <v>1</v>
      </c>
      <c r="Y370" s="7">
        <f>VLOOKUP($D370,NatureChart,4,0)</f>
        <v>1.1</v>
      </c>
      <c r="Z370" s="7">
        <f>VLOOKUP($D370,NatureChart,5,0)</f>
        <v>1</v>
      </c>
      <c r="AA370" s="84">
        <f>VLOOKUP($D370,NatureChart,6,0)</f>
        <v>1</v>
      </c>
      <c r="AB370" s="84">
        <f>IF($C370="Shedinja",1,(INT((2*VLOOKUP($C370,DexData,5,0)+INT(Q370/4)+K370)/2)+60))</f>
        <v>191</v>
      </c>
      <c r="AC370" s="84">
        <f>INT(INT((INT((2*VLOOKUP($C370,DexData,6,0)+INT(R370/4)+L370)/2)+5)*W370)*IF($E370="Choice Band",1.5,IF(OR($E370="Mawilite",$E370="Medichamite",$E370="Thick Club"),2,1)))</f>
        <v>90</v>
      </c>
      <c r="AD370" s="84">
        <f>INT(INT((INT((2*VLOOKUP($C370,DexData,7,0)+INT(S370/4)+M370)/2)+5)*X370)*IF($E370="Eviolite",1.5,1))</f>
        <v>110</v>
      </c>
      <c r="AE370" s="84">
        <f>INT(INT((INT((2*VLOOKUP($C370,DexData,9,0)+INT(T370/4)+N370)/2)+5)*Y370)*IF($E370="Choice Specs",1.5,1))</f>
        <v>127</v>
      </c>
      <c r="AF370" s="84">
        <f>INT(INT((INT((2*VLOOKUP($C370,DexData,10,0)+INT(U370/4)+O370)/2)+5)*Z370)*IF(OR($E370="Eviolite",$E370="Assault Vest"),1.5,1))</f>
        <v>105</v>
      </c>
      <c r="AG370" s="84">
        <f>INT(INT((INT((2*VLOOKUP($C370,DexData,11,0)+INT(V370/4)+P370)/2)+5)*AA370)*IF($E370="Choice Scarf",1.5,IF($E370="Iron Ball",0.5,1)))</f>
        <v>98</v>
      </c>
      <c r="AH370" s="84" t="str">
        <f>VLOOKUP(VLOOKUP($C370,DexData,3,0),Aliases!D$2:E$19,2,0)&amp;IFERROR("/"&amp;VLOOKUP(VLOOKUP($C370,DexData,4,0),Aliases!D$2:E$19,2,0),"")</f>
        <v>WTR/FTG</v>
      </c>
      <c r="AI370" s="7">
        <v>3.0</v>
      </c>
      <c r="AJ370" s="7">
        <f>IF(VLOOKUP(B370,'Set Odds'!A$2:AN$1067,40,0),1,IF(VLOOKUP(B370,'Set Odds'!A$2:AO$1067,41,0),2,0))</f>
        <v>0</v>
      </c>
      <c r="AK370" s="7"/>
      <c r="AL370" s="7" t="str">
        <f t="shared" si="1"/>
        <v/>
      </c>
    </row>
    <row r="371" ht="12.75" customHeight="1">
      <c r="A371" s="86">
        <v>370.0</v>
      </c>
      <c r="B371" s="84" t="s">
        <v>3769</v>
      </c>
      <c r="C371" s="7" t="s">
        <v>3770</v>
      </c>
      <c r="D371" s="7" t="s">
        <v>2656</v>
      </c>
      <c r="E371" s="7" t="s">
        <v>3003</v>
      </c>
      <c r="F371" s="84" t="s">
        <v>2700</v>
      </c>
      <c r="G371" s="84" t="s">
        <v>3600</v>
      </c>
      <c r="H371" s="84" t="s">
        <v>3558</v>
      </c>
      <c r="I371" s="84" t="s">
        <v>2841</v>
      </c>
      <c r="J371" s="7" t="s">
        <v>3162</v>
      </c>
      <c r="K371" s="7">
        <v>31.0</v>
      </c>
      <c r="L371" s="7">
        <v>0.0</v>
      </c>
      <c r="M371" s="7">
        <v>20.0</v>
      </c>
      <c r="N371" s="7">
        <v>31.0</v>
      </c>
      <c r="O371" s="7">
        <v>20.0</v>
      </c>
      <c r="P371" s="7">
        <v>31.0</v>
      </c>
      <c r="Q371" s="7">
        <v>60.0</v>
      </c>
      <c r="R371" s="7">
        <v>0.0</v>
      </c>
      <c r="S371" s="7">
        <v>0.0</v>
      </c>
      <c r="T371" s="7">
        <v>204.0</v>
      </c>
      <c r="U371" s="7">
        <v>0.0</v>
      </c>
      <c r="V371" s="7">
        <v>204.0</v>
      </c>
      <c r="W371" s="7">
        <f>VLOOKUP($D371,NatureChart,2,0)</f>
        <v>0.9</v>
      </c>
      <c r="X371" s="7">
        <f>VLOOKUP($D371,NatureChart,3,0)</f>
        <v>1</v>
      </c>
      <c r="Y371" s="7">
        <f>VLOOKUP($D371,NatureChart,4,0)</f>
        <v>1.1</v>
      </c>
      <c r="Z371" s="7">
        <f>VLOOKUP($D371,NatureChart,5,0)</f>
        <v>1</v>
      </c>
      <c r="AA371" s="84">
        <f>VLOOKUP($D371,NatureChart,6,0)</f>
        <v>1</v>
      </c>
      <c r="AB371" s="84">
        <f>IF($C371="Shedinja",1,(INT((2*VLOOKUP($C371,DexData,5,0)+INT(Q371/4)+K371)/2)+60))</f>
        <v>148</v>
      </c>
      <c r="AC371" s="84">
        <f>INT(INT((INT((2*VLOOKUP($C371,DexData,6,0)+INT(R371/4)+L371)/2)+5)*W371)*IF($E371="Choice Band",1.5,IF(OR($E371="Mawilite",$E371="Medichamite",$E371="Thick Club"),2,1)))</f>
        <v>94</v>
      </c>
      <c r="AD371" s="84">
        <f>INT(INT((INT((2*VLOOKUP($C371,DexData,7,0)+INT(S371/4)+M371)/2)+5)*X371)*IF($E371="Eviolite",1.5,1))</f>
        <v>85</v>
      </c>
      <c r="AE371" s="84">
        <f>INT(INT((INT((2*VLOOKUP($C371,DexData,9,0)+INT(T371/4)+N371)/2)+5)*Y371)*IF($E371="Choice Specs",1.5,1))</f>
        <v>138</v>
      </c>
      <c r="AF371" s="84">
        <f>INT(INT((INT((2*VLOOKUP($C371,DexData,10,0)+INT(U371/4)+O371)/2)+5)*Z371)*IF(OR($E371="Eviolite",$E371="Assault Vest"),1.5,1))</f>
        <v>95</v>
      </c>
      <c r="AG371" s="84">
        <f>INT(INT((INT((2*VLOOKUP($C371,DexData,11,0)+INT(V371/4)+P371)/2)+5)*AA371)*IF($E371="Choice Scarf",1.5,IF($E371="Iron Ball",0.5,1)))</f>
        <v>151</v>
      </c>
      <c r="AH371" s="84" t="str">
        <f>VLOOKUP(VLOOKUP($C371,DexData,3,0),Aliases!D$2:E$19,2,0)&amp;IFERROR("/"&amp;VLOOKUP(VLOOKUP($C371,DexData,4,0),Aliases!D$2:E$19,2,0),"")</f>
        <v>FIR</v>
      </c>
      <c r="AI371" s="7">
        <v>3.0</v>
      </c>
      <c r="AJ371" s="7">
        <f>IF(VLOOKUP(B371,'Set Odds'!A$2:AN$1067,40,0),1,IF(VLOOKUP(B371,'Set Odds'!A$2:AO$1067,41,0),2,0))</f>
        <v>0</v>
      </c>
      <c r="AK371" s="7"/>
      <c r="AL371" s="7" t="str">
        <f t="shared" si="1"/>
        <v/>
      </c>
    </row>
    <row r="372" ht="12.75" customHeight="1">
      <c r="A372" s="86">
        <v>371.0</v>
      </c>
      <c r="B372" s="84" t="s">
        <v>3771</v>
      </c>
      <c r="C372" s="7" t="s">
        <v>3772</v>
      </c>
      <c r="D372" s="7" t="s">
        <v>2648</v>
      </c>
      <c r="E372" s="7" t="s">
        <v>2806</v>
      </c>
      <c r="F372" s="84" t="s">
        <v>2807</v>
      </c>
      <c r="G372" s="84" t="s">
        <v>2530</v>
      </c>
      <c r="H372" s="84" t="s">
        <v>2972</v>
      </c>
      <c r="I372" s="84" t="s">
        <v>2581</v>
      </c>
      <c r="J372" s="7" t="s">
        <v>2808</v>
      </c>
      <c r="K372" s="7">
        <v>31.0</v>
      </c>
      <c r="L372" s="7">
        <v>31.0</v>
      </c>
      <c r="M372" s="7">
        <v>31.0</v>
      </c>
      <c r="N372" s="7">
        <v>0.0</v>
      </c>
      <c r="O372" s="7">
        <v>20.0</v>
      </c>
      <c r="P372" s="7">
        <v>20.0</v>
      </c>
      <c r="Q372" s="7">
        <v>204.0</v>
      </c>
      <c r="R372" s="7">
        <v>60.0</v>
      </c>
      <c r="S372" s="7">
        <v>204.0</v>
      </c>
      <c r="T372" s="7">
        <v>0.0</v>
      </c>
      <c r="U372" s="7">
        <v>0.0</v>
      </c>
      <c r="V372" s="7">
        <v>0.0</v>
      </c>
      <c r="W372" s="7">
        <f>VLOOKUP($D372,NatureChart,2,0)</f>
        <v>1</v>
      </c>
      <c r="X372" s="7">
        <f>VLOOKUP($D372,NatureChart,3,0)</f>
        <v>1.1</v>
      </c>
      <c r="Y372" s="7">
        <f>VLOOKUP($D372,NatureChart,4,0)</f>
        <v>0.9</v>
      </c>
      <c r="Z372" s="7">
        <f>VLOOKUP($D372,NatureChart,5,0)</f>
        <v>1</v>
      </c>
      <c r="AA372" s="84">
        <f>VLOOKUP($D372,NatureChart,6,0)</f>
        <v>1</v>
      </c>
      <c r="AB372" s="84">
        <f>IF($C372="Shedinja",1,(INT((2*VLOOKUP($C372,DexData,5,0)+INT(Q372/4)+K372)/2)+60))</f>
        <v>206</v>
      </c>
      <c r="AC372" s="84">
        <f>INT(INT((INT((2*VLOOKUP($C372,DexData,6,0)+INT(R372/4)+L372)/2)+5)*W372)*IF($E372="Choice Band",1.5,IF(OR($E372="Mawilite",$E372="Medichamite",$E372="Thick Club"),2,1)))</f>
        <v>133</v>
      </c>
      <c r="AD372" s="84">
        <f>INT(INT((INT((2*VLOOKUP($C372,DexData,7,0)+INT(S372/4)+M372)/2)+5)*X372)*IF($E372="Eviolite",1.5,1))</f>
        <v>133</v>
      </c>
      <c r="AE372" s="84">
        <f>INT(INT((INT((2*VLOOKUP($C372,DexData,9,0)+INT(T372/4)+N372)/2)+5)*Y372)*IF($E372="Choice Specs",1.5,1))</f>
        <v>63</v>
      </c>
      <c r="AF372" s="84">
        <f>INT(INT((INT((2*VLOOKUP($C372,DexData,10,0)+INT(U372/4)+O372)/2)+5)*Z372)*IF(OR($E372="Eviolite",$E372="Assault Vest"),1.5,1))</f>
        <v>115</v>
      </c>
      <c r="AG372" s="84">
        <f>INT(INT((INT((2*VLOOKUP($C372,DexData,11,0)+INT(V372/4)+P372)/2)+5)*AA372)*IF($E372="Choice Scarf",1.5,IF($E372="Iron Ball",0.5,1)))</f>
        <v>65</v>
      </c>
      <c r="AH372" s="84" t="str">
        <f>VLOOKUP(VLOOKUP($C372,DexData,3,0),Aliases!D$2:E$19,2,0)&amp;IFERROR("/"&amp;VLOOKUP(VLOOKUP($C372,DexData,4,0),Aliases!D$2:E$19,2,0),"")</f>
        <v>PSN</v>
      </c>
      <c r="AI372" s="7">
        <v>3.0</v>
      </c>
      <c r="AJ372" s="7">
        <f>IF(VLOOKUP(B372,'Set Odds'!A$2:AN$1067,40,0),1,IF(VLOOKUP(B372,'Set Odds'!A$2:AO$1067,41,0),2,0))</f>
        <v>0</v>
      </c>
      <c r="AK372" s="7"/>
      <c r="AL372" s="7" t="str">
        <f t="shared" si="1"/>
        <v/>
      </c>
    </row>
    <row r="373" ht="12.75" customHeight="1">
      <c r="A373" s="86">
        <v>372.0</v>
      </c>
      <c r="B373" s="84" t="s">
        <v>3773</v>
      </c>
      <c r="C373" s="7" t="s">
        <v>3774</v>
      </c>
      <c r="D373" s="7" t="s">
        <v>2635</v>
      </c>
      <c r="E373" s="7" t="s">
        <v>2515</v>
      </c>
      <c r="F373" s="84" t="s">
        <v>2661</v>
      </c>
      <c r="G373" s="84" t="s">
        <v>2659</v>
      </c>
      <c r="H373" s="84" t="s">
        <v>3730</v>
      </c>
      <c r="I373" s="84" t="s">
        <v>3590</v>
      </c>
      <c r="J373" s="7" t="s">
        <v>3496</v>
      </c>
      <c r="K373" s="7">
        <v>31.0</v>
      </c>
      <c r="L373" s="7">
        <v>0.0</v>
      </c>
      <c r="M373" s="7">
        <v>20.0</v>
      </c>
      <c r="N373" s="7">
        <v>31.0</v>
      </c>
      <c r="O373" s="7">
        <v>20.0</v>
      </c>
      <c r="P373" s="7">
        <v>31.0</v>
      </c>
      <c r="Q373" s="7">
        <v>60.0</v>
      </c>
      <c r="R373" s="7">
        <v>0.0</v>
      </c>
      <c r="S373" s="7">
        <v>0.0</v>
      </c>
      <c r="T373" s="7">
        <v>204.0</v>
      </c>
      <c r="U373" s="7">
        <v>0.0</v>
      </c>
      <c r="V373" s="7">
        <v>204.0</v>
      </c>
      <c r="W373" s="7">
        <f>VLOOKUP($D373,NatureChart,2,0)</f>
        <v>0.9</v>
      </c>
      <c r="X373" s="7">
        <f>VLOOKUP($D373,NatureChart,3,0)</f>
        <v>1</v>
      </c>
      <c r="Y373" s="7">
        <f>VLOOKUP($D373,NatureChart,4,0)</f>
        <v>1</v>
      </c>
      <c r="Z373" s="7">
        <f>VLOOKUP($D373,NatureChart,5,0)</f>
        <v>1</v>
      </c>
      <c r="AA373" s="84">
        <f>VLOOKUP($D373,NatureChart,6,0)</f>
        <v>1.1</v>
      </c>
      <c r="AB373" s="84">
        <f>IF($C373="Shedinja",1,(INT((2*VLOOKUP($C373,DexData,5,0)+INT(Q373/4)+K373)/2)+60))</f>
        <v>143</v>
      </c>
      <c r="AC373" s="84">
        <f>INT(INT((INT((2*VLOOKUP($C373,DexData,6,0)+INT(R373/4)+L373)/2)+5)*W373)*IF($E373="Choice Band",1.5,IF(OR($E373="Mawilite",$E373="Medichamite",$E373="Thick Club"),2,1)))</f>
        <v>63</v>
      </c>
      <c r="AD373" s="84">
        <f>INT(INT((INT((2*VLOOKUP($C373,DexData,7,0)+INT(S373/4)+M373)/2)+5)*X373)*IF($E373="Eviolite",1.5,1))</f>
        <v>75</v>
      </c>
      <c r="AE373" s="84">
        <f>INT(INT((INT((2*VLOOKUP($C373,DexData,9,0)+INT(T373/4)+N373)/2)+5)*Y373)*IF($E373="Choice Specs",1.5,1))</f>
        <v>176</v>
      </c>
      <c r="AF373" s="84">
        <f>INT(INT((INT((2*VLOOKUP($C373,DexData,10,0)+INT(U373/4)+O373)/2)+5)*Z373)*IF(OR($E373="Eviolite",$E373="Assault Vest"),1.5,1))</f>
        <v>90</v>
      </c>
      <c r="AG373" s="84">
        <f>INT(INT((INT((2*VLOOKUP($C373,DexData,11,0)+INT(V373/4)+P373)/2)+5)*AA373)*IF($E373="Choice Scarf",1.5,IF($E373="Iron Ball",0.5,1)))</f>
        <v>171</v>
      </c>
      <c r="AH373" s="84" t="str">
        <f>VLOOKUP(VLOOKUP($C373,DexData,3,0),Aliases!D$2:E$19,2,0)&amp;IFERROR("/"&amp;VLOOKUP(VLOOKUP($C373,DexData,4,0),Aliases!D$2:E$19,2,0),"")</f>
        <v>GHO/PSN</v>
      </c>
      <c r="AI373" s="7">
        <v>3.0</v>
      </c>
      <c r="AJ373" s="7">
        <f>IF(VLOOKUP(B373,'Set Odds'!A$2:AN$1067,40,0),1,IF(VLOOKUP(B373,'Set Odds'!A$2:AO$1067,41,0),2,0))</f>
        <v>0</v>
      </c>
      <c r="AK373" s="7"/>
      <c r="AL373" s="7" t="str">
        <f t="shared" si="1"/>
        <v/>
      </c>
    </row>
    <row r="374" ht="12.75" customHeight="1">
      <c r="A374" s="86">
        <v>373.0</v>
      </c>
      <c r="B374" s="84" t="s">
        <v>3775</v>
      </c>
      <c r="C374" s="7" t="s">
        <v>3776</v>
      </c>
      <c r="D374" s="7" t="s">
        <v>3157</v>
      </c>
      <c r="E374" s="7" t="s">
        <v>3651</v>
      </c>
      <c r="F374" s="84" t="s">
        <v>2763</v>
      </c>
      <c r="G374" s="84" t="s">
        <v>3253</v>
      </c>
      <c r="H374" s="84" t="s">
        <v>3777</v>
      </c>
      <c r="I374" s="84" t="s">
        <v>2841</v>
      </c>
      <c r="J374" s="7" t="s">
        <v>3136</v>
      </c>
      <c r="K374" s="7">
        <v>31.0</v>
      </c>
      <c r="L374" s="7">
        <v>20.0</v>
      </c>
      <c r="M374" s="7">
        <v>31.0</v>
      </c>
      <c r="N374" s="7">
        <v>20.0</v>
      </c>
      <c r="O374" s="7">
        <v>31.0</v>
      </c>
      <c r="P374" s="7">
        <v>0.0</v>
      </c>
      <c r="Q374" s="7">
        <v>204.0</v>
      </c>
      <c r="R374" s="7">
        <v>0.0</v>
      </c>
      <c r="S374" s="7">
        <v>60.0</v>
      </c>
      <c r="T374" s="7">
        <v>0.0</v>
      </c>
      <c r="U374" s="7">
        <v>204.0</v>
      </c>
      <c r="V374" s="7">
        <v>0.0</v>
      </c>
      <c r="W374" s="7">
        <f>VLOOKUP($D374,NatureChart,2,0)</f>
        <v>1</v>
      </c>
      <c r="X374" s="7">
        <f>VLOOKUP($D374,NatureChart,3,0)</f>
        <v>0.9</v>
      </c>
      <c r="Y374" s="7">
        <f>VLOOKUP($D374,NatureChart,4,0)</f>
        <v>1.1</v>
      </c>
      <c r="Z374" s="7">
        <f>VLOOKUP($D374,NatureChart,5,0)</f>
        <v>1</v>
      </c>
      <c r="AA374" s="84">
        <f>VLOOKUP($D374,NatureChart,6,0)</f>
        <v>1</v>
      </c>
      <c r="AB374" s="84">
        <f>IF($C374="Shedinja",1,(INT((2*VLOOKUP($C374,DexData,5,0)+INT(Q374/4)+K374)/2)+60))</f>
        <v>191</v>
      </c>
      <c r="AC374" s="84">
        <f>INT(INT((INT((2*VLOOKUP($C374,DexData,6,0)+INT(R374/4)+L374)/2)+5)*W374)*IF($E374="Choice Band",1.5,IF(OR($E374="Mawilite",$E374="Medichamite",$E374="Thick Club"),2,1)))</f>
        <v>90</v>
      </c>
      <c r="AD374" s="84">
        <f>INT(INT((INT((2*VLOOKUP($C374,DexData,7,0)+INT(S374/4)+M374)/2)+5)*X374)*IF($E374="Eviolite",1.5,1))</f>
        <v>101</v>
      </c>
      <c r="AE374" s="84">
        <f>INT(INT((INT((2*VLOOKUP($C374,DexData,9,0)+INT(T374/4)+N374)/2)+5)*Y374)*IF($E374="Choice Specs",1.5,1))</f>
        <v>143</v>
      </c>
      <c r="AF374" s="84">
        <f>INT(INT((INT((2*VLOOKUP($C374,DexData,10,0)+INT(U374/4)+O374)/2)+5)*Z374)*IF(OR($E374="Eviolite",$E374="Assault Vest"),1.5,1))</f>
        <v>136</v>
      </c>
      <c r="AG374" s="84">
        <f>INT(INT((INT((2*VLOOKUP($C374,DexData,11,0)+INT(V374/4)+P374)/2)+5)*AA374)*IF($E374="Choice Scarf",1.5,IF($E374="Iron Ball",0.5,1)))</f>
        <v>60</v>
      </c>
      <c r="AH374" s="84" t="str">
        <f>VLOOKUP(VLOOKUP($C374,DexData,3,0),Aliases!D$2:E$19,2,0)&amp;IFERROR("/"&amp;VLOOKUP(VLOOKUP($C374,DexData,4,0),Aliases!D$2:E$19,2,0),"")</f>
        <v>ELC</v>
      </c>
      <c r="AI374" s="7">
        <v>3.0</v>
      </c>
      <c r="AJ374" s="7">
        <f>IF(VLOOKUP(B374,'Set Odds'!A$2:AN$1067,40,0),1,IF(VLOOKUP(B374,'Set Odds'!A$2:AO$1067,41,0),2,0))</f>
        <v>0</v>
      </c>
      <c r="AK374" s="7"/>
      <c r="AL374" s="7" t="str">
        <f t="shared" si="1"/>
        <v/>
      </c>
    </row>
    <row r="375" ht="12.75" customHeight="1">
      <c r="A375" s="86">
        <v>374.0</v>
      </c>
      <c r="B375" s="84" t="s">
        <v>3778</v>
      </c>
      <c r="C375" s="7" t="s">
        <v>3779</v>
      </c>
      <c r="D375" s="7" t="s">
        <v>2648</v>
      </c>
      <c r="E375" s="7" t="s">
        <v>2516</v>
      </c>
      <c r="F375" s="84" t="s">
        <v>3640</v>
      </c>
      <c r="G375" s="84" t="s">
        <v>2823</v>
      </c>
      <c r="H375" s="84" t="s">
        <v>2967</v>
      </c>
      <c r="I375" s="84" t="s">
        <v>2797</v>
      </c>
      <c r="J375" s="7" t="s">
        <v>3399</v>
      </c>
      <c r="K375" s="7">
        <v>31.0</v>
      </c>
      <c r="L375" s="7">
        <v>31.0</v>
      </c>
      <c r="M375" s="7">
        <v>31.0</v>
      </c>
      <c r="N375" s="7">
        <v>0.0</v>
      </c>
      <c r="O375" s="7">
        <v>20.0</v>
      </c>
      <c r="P375" s="7">
        <v>20.0</v>
      </c>
      <c r="Q375" s="7">
        <v>204.0</v>
      </c>
      <c r="R375" s="7">
        <v>60.0</v>
      </c>
      <c r="S375" s="7">
        <v>204.0</v>
      </c>
      <c r="T375" s="7">
        <v>0.0</v>
      </c>
      <c r="U375" s="7">
        <v>0.0</v>
      </c>
      <c r="V375" s="7">
        <v>0.0</v>
      </c>
      <c r="W375" s="7">
        <f>VLOOKUP($D375,NatureChart,2,0)</f>
        <v>1</v>
      </c>
      <c r="X375" s="7">
        <f>VLOOKUP($D375,NatureChart,3,0)</f>
        <v>1.1</v>
      </c>
      <c r="Y375" s="7">
        <f>VLOOKUP($D375,NatureChart,4,0)</f>
        <v>0.9</v>
      </c>
      <c r="Z375" s="7">
        <f>VLOOKUP($D375,NatureChart,5,0)</f>
        <v>1</v>
      </c>
      <c r="AA375" s="84">
        <f>VLOOKUP($D375,NatureChart,6,0)</f>
        <v>1</v>
      </c>
      <c r="AB375" s="84">
        <f>IF($C375="Shedinja",1,(INT((2*VLOOKUP($C375,DexData,5,0)+INT(Q375/4)+K375)/2)+60))</f>
        <v>191</v>
      </c>
      <c r="AC375" s="84">
        <f>INT(INT((INT((2*VLOOKUP($C375,DexData,6,0)+INT(R375/4)+L375)/2)+5)*W375)*IF($E375="Choice Band",1.5,IF(OR($E375="Mawilite",$E375="Medichamite",$E375="Thick Club"),2,1)))</f>
        <v>103</v>
      </c>
      <c r="AD375" s="84">
        <f>INT(INT((INT((2*VLOOKUP($C375,DexData,7,0)+INT(S375/4)+M375)/2)+5)*X375)*IF($E375="Eviolite",1.5,1))</f>
        <v>133</v>
      </c>
      <c r="AE375" s="84">
        <f>INT(INT((INT((2*VLOOKUP($C375,DexData,9,0)+INT(T375/4)+N375)/2)+5)*Y375)*IF($E375="Choice Specs",1.5,1))</f>
        <v>85</v>
      </c>
      <c r="AF375" s="84">
        <f>INT(INT((INT((2*VLOOKUP($C375,DexData,10,0)+INT(U375/4)+O375)/2)+5)*Z375)*IF(OR($E375="Eviolite",$E375="Assault Vest"),1.5,1))</f>
        <v>115</v>
      </c>
      <c r="AG375" s="84">
        <f>INT(INT((INT((2*VLOOKUP($C375,DexData,11,0)+INT(V375/4)+P375)/2)+5)*AA375)*IF($E375="Choice Scarf",1.5,IF($E375="Iron Ball",0.5,1)))</f>
        <v>85</v>
      </c>
      <c r="AH375" s="84" t="str">
        <f>VLOOKUP(VLOOKUP($C375,DexData,3,0),Aliases!D$2:E$19,2,0)&amp;IFERROR("/"&amp;VLOOKUP(VLOOKUP($C375,DexData,4,0),Aliases!D$2:E$19,2,0),"")</f>
        <v>WTR</v>
      </c>
      <c r="AI375" s="7">
        <v>3.0</v>
      </c>
      <c r="AJ375" s="7">
        <f>IF(VLOOKUP(B375,'Set Odds'!A$2:AN$1067,40,0),1,IF(VLOOKUP(B375,'Set Odds'!A$2:AO$1067,41,0),2,0))</f>
        <v>0</v>
      </c>
      <c r="AK375" s="7"/>
      <c r="AL375" s="7" t="str">
        <f t="shared" si="1"/>
        <v/>
      </c>
    </row>
    <row r="376" ht="12.75" customHeight="1">
      <c r="A376" s="86">
        <v>375.0</v>
      </c>
      <c r="B376" s="84" t="s">
        <v>3780</v>
      </c>
      <c r="C376" s="7" t="s">
        <v>3781</v>
      </c>
      <c r="D376" s="7" t="s">
        <v>2692</v>
      </c>
      <c r="E376" s="7" t="s">
        <v>3651</v>
      </c>
      <c r="F376" s="84" t="s">
        <v>3253</v>
      </c>
      <c r="G376" s="84" t="s">
        <v>2522</v>
      </c>
      <c r="H376" s="84" t="s">
        <v>3454</v>
      </c>
      <c r="I376" s="84" t="s">
        <v>3113</v>
      </c>
      <c r="J376" s="7" t="s">
        <v>3102</v>
      </c>
      <c r="K376" s="7">
        <v>31.0</v>
      </c>
      <c r="L376" s="7">
        <v>31.0</v>
      </c>
      <c r="M376" s="7">
        <v>20.0</v>
      </c>
      <c r="N376" s="7">
        <v>0.0</v>
      </c>
      <c r="O376" s="7">
        <v>20.0</v>
      </c>
      <c r="P376" s="7">
        <v>31.0</v>
      </c>
      <c r="Q376" s="7">
        <v>60.0</v>
      </c>
      <c r="R376" s="7">
        <v>204.0</v>
      </c>
      <c r="S376" s="7">
        <v>0.0</v>
      </c>
      <c r="T376" s="7">
        <v>0.0</v>
      </c>
      <c r="U376" s="7">
        <v>0.0</v>
      </c>
      <c r="V376" s="7">
        <v>204.0</v>
      </c>
      <c r="W376" s="7">
        <f>VLOOKUP($D376,NatureChart,2,0)</f>
        <v>1</v>
      </c>
      <c r="X376" s="7">
        <f>VLOOKUP($D376,NatureChart,3,0)</f>
        <v>1</v>
      </c>
      <c r="Y376" s="7">
        <f>VLOOKUP($D376,NatureChart,4,0)</f>
        <v>0.9</v>
      </c>
      <c r="Z376" s="7">
        <f>VLOOKUP($D376,NatureChart,5,0)</f>
        <v>1</v>
      </c>
      <c r="AA376" s="84">
        <f>VLOOKUP($D376,NatureChart,6,0)</f>
        <v>1.1</v>
      </c>
      <c r="AB376" s="84">
        <f>IF($C376="Shedinja",1,(INT((2*VLOOKUP($C376,DexData,5,0)+INT(Q376/4)+K376)/2)+60))</f>
        <v>148</v>
      </c>
      <c r="AC376" s="84">
        <f>INT(INT((INT((2*VLOOKUP($C376,DexData,6,0)+INT(R376/4)+L376)/2)+5)*W376)*IF($E376="Choice Band",1.5,IF(OR($E376="Mawilite",$E376="Medichamite",$E376="Thick Club"),2,1)))</f>
        <v>171</v>
      </c>
      <c r="AD376" s="84">
        <f>INT(INT((INT((2*VLOOKUP($C376,DexData,7,0)+INT(S376/4)+M376)/2)+5)*X376)*IF($E376="Eviolite",1.5,1))</f>
        <v>115</v>
      </c>
      <c r="AE376" s="84">
        <f>INT(INT((INT((2*VLOOKUP($C376,DexData,9,0)+INT(T376/4)+N376)/2)+5)*Y376)*IF($E376="Choice Specs",1.5,1))</f>
        <v>54</v>
      </c>
      <c r="AF376" s="84">
        <f>INT(INT((INT((2*VLOOKUP($C376,DexData,10,0)+INT(U376/4)+O376)/2)+5)*Z376)*IF(OR($E376="Eviolite",$E376="Assault Vest"),1.5,1))</f>
        <v>85</v>
      </c>
      <c r="AG376" s="84">
        <f>INT(INT((INT((2*VLOOKUP($C376,DexData,11,0)+INT(V376/4)+P376)/2)+5)*AA376)*IF($E376="Choice Scarf",1.5,IF($E376="Iron Ball",0.5,1)))</f>
        <v>144</v>
      </c>
      <c r="AH376" s="84" t="str">
        <f>VLOOKUP(VLOOKUP($C376,DexData,3,0),Aliases!D$2:E$19,2,0)&amp;IFERROR("/"&amp;VLOOKUP(VLOOKUP($C376,DexData,4,0),Aliases!D$2:E$19,2,0),"")</f>
        <v>BUG</v>
      </c>
      <c r="AI376" s="7">
        <v>3.0</v>
      </c>
      <c r="AJ376" s="7">
        <f>IF(VLOOKUP(B376,'Set Odds'!A$2:AN$1067,40,0),1,IF(VLOOKUP(B376,'Set Odds'!A$2:AO$1067,41,0),2,0))</f>
        <v>0</v>
      </c>
      <c r="AK376" s="7"/>
      <c r="AL376" s="7" t="str">
        <f t="shared" si="1"/>
        <v/>
      </c>
    </row>
    <row r="377" ht="12.75" customHeight="1">
      <c r="A377" s="86">
        <v>376.0</v>
      </c>
      <c r="B377" s="84" t="s">
        <v>3782</v>
      </c>
      <c r="C377" s="7" t="s">
        <v>3783</v>
      </c>
      <c r="D377" s="7" t="s">
        <v>2571</v>
      </c>
      <c r="E377" s="7" t="s">
        <v>2885</v>
      </c>
      <c r="F377" s="84" t="s">
        <v>3784</v>
      </c>
      <c r="G377" s="84" t="s">
        <v>2602</v>
      </c>
      <c r="H377" s="84" t="s">
        <v>3314</v>
      </c>
      <c r="I377" s="84" t="s">
        <v>2890</v>
      </c>
      <c r="J377" s="7" t="s">
        <v>3412</v>
      </c>
      <c r="K377" s="7">
        <v>31.0</v>
      </c>
      <c r="L377" s="7">
        <v>31.0</v>
      </c>
      <c r="M377" s="7">
        <v>31.0</v>
      </c>
      <c r="N377" s="7">
        <v>0.0</v>
      </c>
      <c r="O377" s="7">
        <v>20.0</v>
      </c>
      <c r="P377" s="7">
        <v>20.0</v>
      </c>
      <c r="Q377" s="7">
        <v>204.0</v>
      </c>
      <c r="R377" s="7">
        <v>204.0</v>
      </c>
      <c r="S377" s="7">
        <v>60.0</v>
      </c>
      <c r="T377" s="7">
        <v>0.0</v>
      </c>
      <c r="U377" s="7">
        <v>0.0</v>
      </c>
      <c r="V377" s="7">
        <v>0.0</v>
      </c>
      <c r="W377" s="7">
        <f>VLOOKUP($D377,NatureChart,2,0)</f>
        <v>1.1</v>
      </c>
      <c r="X377" s="7">
        <f>VLOOKUP($D377,NatureChart,3,0)</f>
        <v>1</v>
      </c>
      <c r="Y377" s="7">
        <f>VLOOKUP($D377,NatureChart,4,0)</f>
        <v>0.9</v>
      </c>
      <c r="Z377" s="7">
        <f>VLOOKUP($D377,NatureChart,5,0)</f>
        <v>1</v>
      </c>
      <c r="AA377" s="84">
        <f>VLOOKUP($D377,NatureChart,6,0)</f>
        <v>1</v>
      </c>
      <c r="AB377" s="84">
        <f>IF($C377="Shedinja",1,(INT((2*VLOOKUP($C377,DexData,5,0)+INT(Q377/4)+K377)/2)+60))</f>
        <v>171</v>
      </c>
      <c r="AC377" s="84">
        <f>INT(INT((INT((2*VLOOKUP($C377,DexData,6,0)+INT(R377/4)+L377)/2)+5)*W377)*IF($E377="Choice Band",1.5,IF(OR($E377="Mawilite",$E377="Medichamite",$E377="Thick Club"),2,1)))</f>
        <v>289</v>
      </c>
      <c r="AD377" s="84">
        <f>INT(INT((INT((2*VLOOKUP($C377,DexData,7,0)+INT(S377/4)+M377)/2)+5)*X377)*IF($E377="Eviolite",1.5,1))</f>
        <v>128</v>
      </c>
      <c r="AE377" s="84">
        <f>INT(INT((INT((2*VLOOKUP($C377,DexData,9,0)+INT(T377/4)+N377)/2)+5)*Y377)*IF($E377="Choice Specs",1.5,1))</f>
        <v>54</v>
      </c>
      <c r="AF377" s="84">
        <f>INT(INT((INT((2*VLOOKUP($C377,DexData,10,0)+INT(U377/4)+O377)/2)+5)*Z377)*IF(OR($E377="Eviolite",$E377="Assault Vest"),1.5,1))</f>
        <v>95</v>
      </c>
      <c r="AG377" s="84">
        <f>INT(INT((INT((2*VLOOKUP($C377,DexData,11,0)+INT(V377/4)+P377)/2)+5)*AA377)*IF($E377="Choice Scarf",1.5,IF($E377="Iron Ball",0.5,1)))</f>
        <v>80</v>
      </c>
      <c r="AH377" s="84" t="str">
        <f>VLOOKUP(VLOOKUP($C377,DexData,3,0),Aliases!D$2:E$19,2,0)&amp;IFERROR("/"&amp;VLOOKUP(VLOOKUP($C377,DexData,4,0),Aliases!D$2:E$19,2,0),"")</f>
        <v>BUG/STL</v>
      </c>
      <c r="AI377" s="7">
        <v>3.0</v>
      </c>
      <c r="AJ377" s="7">
        <f>IF(VLOOKUP(B377,'Set Odds'!A$2:AN$1067,40,0),1,IF(VLOOKUP(B377,'Set Odds'!A$2:AO$1067,41,0),2,0))</f>
        <v>0</v>
      </c>
      <c r="AK377" s="7"/>
      <c r="AL377" s="7" t="str">
        <f t="shared" si="1"/>
        <v/>
      </c>
    </row>
    <row r="378" ht="12.75" customHeight="1">
      <c r="A378" s="86">
        <v>377.0</v>
      </c>
      <c r="B378" s="84" t="s">
        <v>3785</v>
      </c>
      <c r="C378" s="7" t="s">
        <v>3786</v>
      </c>
      <c r="D378" s="7" t="s">
        <v>2692</v>
      </c>
      <c r="E378" s="7" t="s">
        <v>2520</v>
      </c>
      <c r="F378" s="84" t="s">
        <v>3483</v>
      </c>
      <c r="G378" s="84" t="s">
        <v>3441</v>
      </c>
      <c r="H378" s="84" t="s">
        <v>3787</v>
      </c>
      <c r="I378" s="84" t="s">
        <v>3454</v>
      </c>
      <c r="J378" s="7" t="s">
        <v>3788</v>
      </c>
      <c r="K378" s="7">
        <v>31.0</v>
      </c>
      <c r="L378" s="7">
        <v>31.0</v>
      </c>
      <c r="M378" s="7">
        <v>20.0</v>
      </c>
      <c r="N378" s="7">
        <v>0.0</v>
      </c>
      <c r="O378" s="7">
        <v>20.0</v>
      </c>
      <c r="P378" s="7">
        <v>31.0</v>
      </c>
      <c r="Q378" s="7">
        <v>60.0</v>
      </c>
      <c r="R378" s="7">
        <v>204.0</v>
      </c>
      <c r="S378" s="7">
        <v>0.0</v>
      </c>
      <c r="T378" s="7">
        <v>0.0</v>
      </c>
      <c r="U378" s="7">
        <v>0.0</v>
      </c>
      <c r="V378" s="7">
        <v>204.0</v>
      </c>
      <c r="W378" s="7">
        <f>VLOOKUP($D378,NatureChart,2,0)</f>
        <v>1</v>
      </c>
      <c r="X378" s="7">
        <f>VLOOKUP($D378,NatureChart,3,0)</f>
        <v>1</v>
      </c>
      <c r="Y378" s="7">
        <f>VLOOKUP($D378,NatureChart,4,0)</f>
        <v>0.9</v>
      </c>
      <c r="Z378" s="7">
        <f>VLOOKUP($D378,NatureChart,5,0)</f>
        <v>1</v>
      </c>
      <c r="AA378" s="84">
        <f>VLOOKUP($D378,NatureChart,6,0)</f>
        <v>1.1</v>
      </c>
      <c r="AB378" s="84">
        <f>IF($C378="Shedinja",1,(INT((2*VLOOKUP($C378,DexData,5,0)+INT(Q378/4)+K378)/2)+60))</f>
        <v>163</v>
      </c>
      <c r="AC378" s="84">
        <f>INT(INT((INT((2*VLOOKUP($C378,DexData,6,0)+INT(R378/4)+L378)/2)+5)*W378)*IF($E378="Choice Band",1.5,IF(OR($E378="Mawilite",$E378="Medichamite",$E378="Thick Club"),2,1)))</f>
        <v>171</v>
      </c>
      <c r="AD378" s="84">
        <f>INT(INT((INT((2*VLOOKUP($C378,DexData,7,0)+INT(S378/4)+M378)/2)+5)*X378)*IF($E378="Eviolite",1.5,1))</f>
        <v>90</v>
      </c>
      <c r="AE378" s="84">
        <f>INT(INT((INT((2*VLOOKUP($C378,DexData,9,0)+INT(T378/4)+N378)/2)+5)*Y378)*IF($E378="Choice Specs",1.5,1))</f>
        <v>40</v>
      </c>
      <c r="AF378" s="84">
        <f>INT(INT((INT((2*VLOOKUP($C378,DexData,10,0)+INT(U378/4)+O378)/2)+5)*Z378)*IF(OR($E378="Eviolite",$E378="Assault Vest"),1.5,1))</f>
        <v>110</v>
      </c>
      <c r="AG378" s="84">
        <f>INT(INT((INT((2*VLOOKUP($C378,DexData,11,0)+INT(V378/4)+P378)/2)+5)*AA378)*IF($E378="Choice Scarf",1.5,IF($E378="Iron Ball",0.5,1)))</f>
        <v>144</v>
      </c>
      <c r="AH378" s="84" t="str">
        <f>VLOOKUP(VLOOKUP($C378,DexData,3,0),Aliases!D$2:E$19,2,0)&amp;IFERROR("/"&amp;VLOOKUP(VLOOKUP($C378,DexData,4,0),Aliases!D$2:E$19,2,0),"")</f>
        <v>BUG/FTG</v>
      </c>
      <c r="AI378" s="7">
        <v>3.0</v>
      </c>
      <c r="AJ378" s="7">
        <f>IF(VLOOKUP(B378,'Set Odds'!A$2:AN$1067,40,0),1,IF(VLOOKUP(B378,'Set Odds'!A$2:AO$1067,41,0),2,0))</f>
        <v>0</v>
      </c>
      <c r="AK378" s="7"/>
      <c r="AL378" s="7" t="str">
        <f t="shared" si="1"/>
        <v/>
      </c>
    </row>
    <row r="379" ht="12.75" customHeight="1">
      <c r="A379" s="86">
        <v>378.0</v>
      </c>
      <c r="B379" s="84" t="s">
        <v>3789</v>
      </c>
      <c r="C379" s="7" t="s">
        <v>3790</v>
      </c>
      <c r="D379" s="7" t="s">
        <v>2571</v>
      </c>
      <c r="E379" s="7" t="s">
        <v>3395</v>
      </c>
      <c r="F379" s="84" t="s">
        <v>3253</v>
      </c>
      <c r="G379" s="84" t="s">
        <v>3454</v>
      </c>
      <c r="H379" s="84" t="s">
        <v>2751</v>
      </c>
      <c r="I379" s="84" t="s">
        <v>2517</v>
      </c>
      <c r="J379" s="7" t="s">
        <v>2777</v>
      </c>
      <c r="K379" s="7">
        <v>31.0</v>
      </c>
      <c r="L379" s="7">
        <v>31.0</v>
      </c>
      <c r="M379" s="7">
        <v>20.0</v>
      </c>
      <c r="N379" s="7">
        <v>0.0</v>
      </c>
      <c r="O379" s="7">
        <v>20.0</v>
      </c>
      <c r="P379" s="7">
        <v>31.0</v>
      </c>
      <c r="Q379" s="7">
        <v>60.0</v>
      </c>
      <c r="R379" s="7">
        <v>204.0</v>
      </c>
      <c r="S379" s="7">
        <v>0.0</v>
      </c>
      <c r="T379" s="7">
        <v>0.0</v>
      </c>
      <c r="U379" s="7">
        <v>0.0</v>
      </c>
      <c r="V379" s="7">
        <v>204.0</v>
      </c>
      <c r="W379" s="7">
        <f>VLOOKUP($D379,NatureChart,2,0)</f>
        <v>1.1</v>
      </c>
      <c r="X379" s="7">
        <f>VLOOKUP($D379,NatureChart,3,0)</f>
        <v>1</v>
      </c>
      <c r="Y379" s="7">
        <f>VLOOKUP($D379,NatureChart,4,0)</f>
        <v>0.9</v>
      </c>
      <c r="Z379" s="7">
        <f>VLOOKUP($D379,NatureChart,5,0)</f>
        <v>1</v>
      </c>
      <c r="AA379" s="84">
        <f>VLOOKUP($D379,NatureChart,6,0)</f>
        <v>1</v>
      </c>
      <c r="AB379" s="84">
        <f>IF($C379="Shedinja",1,(INT((2*VLOOKUP($C379,DexData,5,0)+INT(Q379/4)+K379)/2)+60))</f>
        <v>173</v>
      </c>
      <c r="AC379" s="84">
        <f>INT(INT((INT((2*VLOOKUP($C379,DexData,6,0)+INT(R379/4)+L379)/2)+5)*W379)*IF($E379="Choice Band",1.5,IF(OR($E379="Mawilite",$E379="Medichamite",$E379="Thick Club"),2,1)))</f>
        <v>193</v>
      </c>
      <c r="AD379" s="84">
        <f>INT(INT((INT((2*VLOOKUP($C379,DexData,7,0)+INT(S379/4)+M379)/2)+5)*X379)*IF($E379="Eviolite",1.5,1))</f>
        <v>90</v>
      </c>
      <c r="AE379" s="84">
        <f>INT(INT((INT((2*VLOOKUP($C379,DexData,9,0)+INT(T379/4)+N379)/2)+5)*Y379)*IF($E379="Choice Specs",1.5,1))</f>
        <v>72</v>
      </c>
      <c r="AF379" s="84">
        <f>INT(INT((INT((2*VLOOKUP($C379,DexData,10,0)+INT(U379/4)+O379)/2)+5)*Z379)*IF(OR($E379="Eviolite",$E379="Assault Vest"),1.5,1))</f>
        <v>90</v>
      </c>
      <c r="AG379" s="84">
        <f>INT(INT((INT((2*VLOOKUP($C379,DexData,11,0)+INT(V379/4)+P379)/2)+5)*AA379)*IF($E379="Choice Scarf",1.5,IF($E379="Iron Ball",0.5,1)))</f>
        <v>101</v>
      </c>
      <c r="AH379" s="84" t="str">
        <f>VLOOKUP(VLOOKUP($C379,DexData,3,0),Aliases!D$2:E$19,2,0)&amp;IFERROR("/"&amp;VLOOKUP(VLOOKUP($C379,DexData,4,0),Aliases!D$2:E$19,2,0),"")</f>
        <v>NRM</v>
      </c>
      <c r="AI379" s="7">
        <v>3.0</v>
      </c>
      <c r="AJ379" s="7">
        <f>IF(VLOOKUP(B379,'Set Odds'!A$2:AN$1067,40,0),1,IF(VLOOKUP(B379,'Set Odds'!A$2:AO$1067,41,0),2,0))</f>
        <v>0</v>
      </c>
      <c r="AK379" s="7"/>
      <c r="AL379" s="7" t="str">
        <f t="shared" si="1"/>
        <v/>
      </c>
    </row>
    <row r="380" ht="12.75" customHeight="1">
      <c r="A380" s="86">
        <v>379.0</v>
      </c>
      <c r="B380" s="84" t="s">
        <v>3791</v>
      </c>
      <c r="C380" s="7" t="s">
        <v>3792</v>
      </c>
      <c r="D380" s="7" t="s">
        <v>2692</v>
      </c>
      <c r="E380" s="7" t="s">
        <v>2515</v>
      </c>
      <c r="F380" s="84" t="s">
        <v>2718</v>
      </c>
      <c r="G380" s="84" t="s">
        <v>2619</v>
      </c>
      <c r="H380" s="84" t="s">
        <v>3015</v>
      </c>
      <c r="I380" s="84" t="s">
        <v>3793</v>
      </c>
      <c r="J380" s="7" t="s">
        <v>3016</v>
      </c>
      <c r="K380" s="7">
        <v>31.0</v>
      </c>
      <c r="L380" s="7">
        <v>31.0</v>
      </c>
      <c r="M380" s="7">
        <v>20.0</v>
      </c>
      <c r="N380" s="7">
        <v>0.0</v>
      </c>
      <c r="O380" s="7">
        <v>20.0</v>
      </c>
      <c r="P380" s="7">
        <v>31.0</v>
      </c>
      <c r="Q380" s="7">
        <v>60.0</v>
      </c>
      <c r="R380" s="7">
        <v>204.0</v>
      </c>
      <c r="S380" s="7">
        <v>0.0</v>
      </c>
      <c r="T380" s="7">
        <v>0.0</v>
      </c>
      <c r="U380" s="7">
        <v>0.0</v>
      </c>
      <c r="V380" s="7">
        <v>204.0</v>
      </c>
      <c r="W380" s="7">
        <f>VLOOKUP($D380,NatureChart,2,0)</f>
        <v>1</v>
      </c>
      <c r="X380" s="7">
        <f>VLOOKUP($D380,NatureChart,3,0)</f>
        <v>1</v>
      </c>
      <c r="Y380" s="7">
        <f>VLOOKUP($D380,NatureChart,4,0)</f>
        <v>0.9</v>
      </c>
      <c r="Z380" s="7">
        <f>VLOOKUP($D380,NatureChart,5,0)</f>
        <v>1</v>
      </c>
      <c r="AA380" s="84">
        <f>VLOOKUP($D380,NatureChart,6,0)</f>
        <v>1.1</v>
      </c>
      <c r="AB380" s="84">
        <f>IF($C380="Shedinja",1,(INT((2*VLOOKUP($C380,DexData,5,0)+INT(Q380/4)+K380)/2)+60))</f>
        <v>158</v>
      </c>
      <c r="AC380" s="84">
        <f>INT(INT((INT((2*VLOOKUP($C380,DexData,6,0)+INT(R380/4)+L380)/2)+5)*W380)*IF($E380="Choice Band",1.5,IF(OR($E380="Mawilite",$E380="Medichamite",$E380="Thick Club"),2,1)))</f>
        <v>136</v>
      </c>
      <c r="AD380" s="84">
        <f>INT(INT((INT((2*VLOOKUP($C380,DexData,7,0)+INT(S380/4)+M380)/2)+5)*X380)*IF($E380="Eviolite",1.5,1))</f>
        <v>65</v>
      </c>
      <c r="AE380" s="84">
        <f>INT(INT((INT((2*VLOOKUP($C380,DexData,9,0)+INT(T380/4)+N380)/2)+5)*Y380)*IF($E380="Choice Specs",1.5,1))</f>
        <v>103</v>
      </c>
      <c r="AF380" s="84">
        <f>INT(INT((INT((2*VLOOKUP($C380,DexData,10,0)+INT(U380/4)+O380)/2)+5)*Z380)*IF(OR($E380="Eviolite",$E380="Assault Vest"),1.5,1))</f>
        <v>95</v>
      </c>
      <c r="AG380" s="84">
        <f>INT(INT((INT((2*VLOOKUP($C380,DexData,11,0)+INT(V380/4)+P380)/2)+5)*AA380)*IF($E380="Choice Scarf",1.5,IF($E380="Iron Ball",0.5,1)))</f>
        <v>155</v>
      </c>
      <c r="AH380" s="84" t="str">
        <f>VLOOKUP(VLOOKUP($C380,DexData,3,0),Aliases!D$2:E$19,2,0)&amp;IFERROR("/"&amp;VLOOKUP(VLOOKUP($C380,DexData,4,0),Aliases!D$2:E$19,2,0),"")</f>
        <v>DRK/FIR</v>
      </c>
      <c r="AI380" s="7">
        <v>3.0</v>
      </c>
      <c r="AJ380" s="7">
        <f>IF(VLOOKUP(B380,'Set Odds'!A$2:AN$1067,40,0),1,IF(VLOOKUP(B380,'Set Odds'!A$2:AO$1067,41,0),2,0))</f>
        <v>0</v>
      </c>
      <c r="AK380" s="7"/>
      <c r="AL380" s="7" t="str">
        <f t="shared" si="1"/>
        <v/>
      </c>
    </row>
    <row r="381" ht="12.75" customHeight="1">
      <c r="A381" s="86">
        <v>380.0</v>
      </c>
      <c r="B381" s="84" t="s">
        <v>3794</v>
      </c>
      <c r="C381" s="7" t="s">
        <v>3795</v>
      </c>
      <c r="D381" s="7" t="s">
        <v>2571</v>
      </c>
      <c r="E381" s="7" t="s">
        <v>3726</v>
      </c>
      <c r="F381" s="84" t="s">
        <v>3454</v>
      </c>
      <c r="G381" s="84" t="s">
        <v>3048</v>
      </c>
      <c r="H381" s="84" t="s">
        <v>2625</v>
      </c>
      <c r="I381" s="84" t="s">
        <v>3285</v>
      </c>
      <c r="J381" s="7" t="s">
        <v>2728</v>
      </c>
      <c r="K381" s="7">
        <v>31.0</v>
      </c>
      <c r="L381" s="7">
        <v>31.0</v>
      </c>
      <c r="M381" s="7">
        <v>20.0</v>
      </c>
      <c r="N381" s="7">
        <v>0.0</v>
      </c>
      <c r="O381" s="7">
        <v>20.0</v>
      </c>
      <c r="P381" s="7">
        <v>31.0</v>
      </c>
      <c r="Q381" s="7">
        <v>60.0</v>
      </c>
      <c r="R381" s="7">
        <v>204.0</v>
      </c>
      <c r="S381" s="7">
        <v>20.0</v>
      </c>
      <c r="T381" s="7">
        <v>0.0</v>
      </c>
      <c r="U381" s="7">
        <v>20.0</v>
      </c>
      <c r="V381" s="7">
        <v>204.0</v>
      </c>
      <c r="W381" s="7">
        <f>VLOOKUP($D381,NatureChart,2,0)</f>
        <v>1.1</v>
      </c>
      <c r="X381" s="7">
        <f>VLOOKUP($D381,NatureChart,3,0)</f>
        <v>1</v>
      </c>
      <c r="Y381" s="7">
        <f>VLOOKUP($D381,NatureChart,4,0)</f>
        <v>0.9</v>
      </c>
      <c r="Z381" s="7">
        <f>VLOOKUP($D381,NatureChart,5,0)</f>
        <v>1</v>
      </c>
      <c r="AA381" s="84">
        <f>VLOOKUP($D381,NatureChart,6,0)</f>
        <v>1</v>
      </c>
      <c r="AB381" s="84">
        <f>IF($C381="Shedinja",1,(INT((2*VLOOKUP($C381,DexData,5,0)+INT(Q381/4)+K381)/2)+60))</f>
        <v>173</v>
      </c>
      <c r="AC381" s="84">
        <f>INT(INT((INT((2*VLOOKUP($C381,DexData,6,0)+INT(R381/4)+L381)/2)+5)*W381)*IF($E381="Choice Band",1.5,IF(OR($E381="Mawilite",$E381="Medichamite",$E381="Thick Club"),2,1)))</f>
        <v>182</v>
      </c>
      <c r="AD381" s="84">
        <f>INT(INT((INT((2*VLOOKUP($C381,DexData,7,0)+INT(S381/4)+M381)/2)+5)*X381)*IF($E381="Eviolite",1.5,1))</f>
        <v>137</v>
      </c>
      <c r="AE381" s="84">
        <f>INT(INT((INT((2*VLOOKUP($C381,DexData,9,0)+INT(T381/4)+N381)/2)+5)*Y381)*IF($E381="Choice Specs",1.5,1))</f>
        <v>58</v>
      </c>
      <c r="AF381" s="84">
        <f>INT(INT((INT((2*VLOOKUP($C381,DexData,10,0)+INT(U381/4)+O381)/2)+5)*Z381)*IF(OR($E381="Eviolite",$E381="Assault Vest"),1.5,1))</f>
        <v>77</v>
      </c>
      <c r="AG381" s="84">
        <f>INT(INT((INT((2*VLOOKUP($C381,DexData,11,0)+INT(V381/4)+P381)/2)+5)*AA381)*IF($E381="Choice Scarf",1.5,IF($E381="Iron Ball",0.5,1)))</f>
        <v>96</v>
      </c>
      <c r="AH381" s="84" t="str">
        <f>VLOOKUP(VLOOKUP($C381,DexData,3,0),Aliases!D$2:E$19,2,0)&amp;IFERROR("/"&amp;VLOOKUP(VLOOKUP($C381,DexData,4,0),Aliases!D$2:E$19,2,0),"")</f>
        <v>GRD</v>
      </c>
      <c r="AI381" s="7">
        <v>3.0</v>
      </c>
      <c r="AJ381" s="7">
        <f>IF(VLOOKUP(B381,'Set Odds'!A$2:AN$1067,40,0),1,IF(VLOOKUP(B381,'Set Odds'!A$2:AO$1067,41,0),2,0))</f>
        <v>0</v>
      </c>
      <c r="AK381" s="7"/>
      <c r="AL381" s="7" t="str">
        <f t="shared" si="1"/>
        <v/>
      </c>
    </row>
    <row r="382" ht="12.75" customHeight="1">
      <c r="A382" s="86">
        <v>381.0</v>
      </c>
      <c r="B382" s="84" t="s">
        <v>3796</v>
      </c>
      <c r="C382" s="7" t="s">
        <v>3797</v>
      </c>
      <c r="D382" s="7" t="s">
        <v>2571</v>
      </c>
      <c r="E382" s="7" t="s">
        <v>2642</v>
      </c>
      <c r="F382" s="84" t="s">
        <v>2895</v>
      </c>
      <c r="G382" s="84" t="s">
        <v>2867</v>
      </c>
      <c r="H382" s="84" t="s">
        <v>2869</v>
      </c>
      <c r="I382" s="84" t="s">
        <v>2874</v>
      </c>
      <c r="J382" s="7" t="s">
        <v>3499</v>
      </c>
      <c r="K382" s="7">
        <v>31.0</v>
      </c>
      <c r="L382" s="7">
        <v>31.0</v>
      </c>
      <c r="M382" s="7">
        <v>20.0</v>
      </c>
      <c r="N382" s="7">
        <v>0.0</v>
      </c>
      <c r="O382" s="7">
        <v>20.0</v>
      </c>
      <c r="P382" s="7">
        <v>31.0</v>
      </c>
      <c r="Q382" s="7">
        <v>60.0</v>
      </c>
      <c r="R382" s="7">
        <v>204.0</v>
      </c>
      <c r="S382" s="7">
        <v>0.0</v>
      </c>
      <c r="T382" s="7">
        <v>0.0</v>
      </c>
      <c r="U382" s="7">
        <v>0.0</v>
      </c>
      <c r="V382" s="7">
        <v>204.0</v>
      </c>
      <c r="W382" s="7">
        <f>VLOOKUP($D382,NatureChart,2,0)</f>
        <v>1.1</v>
      </c>
      <c r="X382" s="7">
        <f>VLOOKUP($D382,NatureChart,3,0)</f>
        <v>1</v>
      </c>
      <c r="Y382" s="7">
        <f>VLOOKUP($D382,NatureChart,4,0)</f>
        <v>0.9</v>
      </c>
      <c r="Z382" s="7">
        <f>VLOOKUP($D382,NatureChart,5,0)</f>
        <v>1</v>
      </c>
      <c r="AA382" s="84">
        <f>VLOOKUP($D382,NatureChart,6,0)</f>
        <v>1</v>
      </c>
      <c r="AB382" s="84">
        <f>IF($C382="Shedinja",1,(INT((2*VLOOKUP($C382,DexData,5,0)+INT(Q382/4)+K382)/2)+60))</f>
        <v>253</v>
      </c>
      <c r="AC382" s="84">
        <f>INT(INT((INT((2*VLOOKUP($C382,DexData,6,0)+INT(R382/4)+L382)/2)+5)*W382)*IF($E382="Choice Band",1.5,IF(OR($E382="Mawilite",$E382="Medichamite",$E382="Thick Club"),2,1)))</f>
        <v>149</v>
      </c>
      <c r="AD382" s="84">
        <f>INT(INT((INT((2*VLOOKUP($C382,DexData,7,0)+INT(S382/4)+M382)/2)+5)*X382)*IF($E382="Eviolite",1.5,1))</f>
        <v>60</v>
      </c>
      <c r="AE382" s="84">
        <f>INT(INT((INT((2*VLOOKUP($C382,DexData,9,0)+INT(T382/4)+N382)/2)+5)*Y382)*IF($E382="Choice Specs",1.5,1))</f>
        <v>85</v>
      </c>
      <c r="AF382" s="84">
        <f>INT(INT((INT((2*VLOOKUP($C382,DexData,10,0)+INT(U382/4)+O382)/2)+5)*Z382)*IF(OR($E382="Eviolite",$E382="Assault Vest"),1.5,1))</f>
        <v>60</v>
      </c>
      <c r="AG382" s="84">
        <f>INT(INT((INT((2*VLOOKUP($C382,DexData,11,0)+INT(V382/4)+P382)/2)+5)*AA382)*IF($E382="Choice Scarf",1.5,IF($E382="Iron Ball",0.5,1)))</f>
        <v>106</v>
      </c>
      <c r="AH382" s="84" t="str">
        <f>VLOOKUP(VLOOKUP($C382,DexData,3,0),Aliases!D$2:E$19,2,0)&amp;IFERROR("/"&amp;VLOOKUP(VLOOKUP($C382,DexData,4,0),Aliases!D$2:E$19,2,0),"")</f>
        <v>WTR</v>
      </c>
      <c r="AI382" s="7">
        <v>3.0</v>
      </c>
      <c r="AJ382" s="7">
        <f>IF(VLOOKUP(B382,'Set Odds'!A$2:AN$1067,40,0),1,IF(VLOOKUP(B382,'Set Odds'!A$2:AO$1067,41,0),2,0))</f>
        <v>0</v>
      </c>
      <c r="AK382" s="7"/>
      <c r="AL382" s="7" t="str">
        <f t="shared" si="1"/>
        <v/>
      </c>
    </row>
    <row r="383" ht="12.75" customHeight="1">
      <c r="A383" s="86">
        <v>382.0</v>
      </c>
      <c r="B383" s="84" t="s">
        <v>3798</v>
      </c>
      <c r="C383" s="7" t="s">
        <v>3799</v>
      </c>
      <c r="D383" s="7" t="s">
        <v>2795</v>
      </c>
      <c r="E383" s="7" t="s">
        <v>3165</v>
      </c>
      <c r="F383" s="84" t="s">
        <v>3800</v>
      </c>
      <c r="G383" s="84" t="s">
        <v>3454</v>
      </c>
      <c r="H383" s="84" t="s">
        <v>2625</v>
      </c>
      <c r="I383" s="84" t="s">
        <v>2659</v>
      </c>
      <c r="J383" s="7" t="s">
        <v>2714</v>
      </c>
      <c r="K383" s="7">
        <v>31.0</v>
      </c>
      <c r="L383" s="7">
        <v>31.0</v>
      </c>
      <c r="M383" s="7">
        <v>20.0</v>
      </c>
      <c r="N383" s="7">
        <v>31.0</v>
      </c>
      <c r="O383" s="7">
        <v>20.0</v>
      </c>
      <c r="P383" s="7">
        <v>20.0</v>
      </c>
      <c r="Q383" s="7">
        <v>204.0</v>
      </c>
      <c r="R383" s="7">
        <v>204.0</v>
      </c>
      <c r="S383" s="7">
        <v>0.0</v>
      </c>
      <c r="T383" s="7">
        <v>60.0</v>
      </c>
      <c r="U383" s="7">
        <v>0.0</v>
      </c>
      <c r="V383" s="7">
        <v>0.0</v>
      </c>
      <c r="W383" s="7">
        <f>VLOOKUP($D383,NatureChart,2,0)</f>
        <v>1</v>
      </c>
      <c r="X383" s="7">
        <f>VLOOKUP($D383,NatureChart,3,0)</f>
        <v>1</v>
      </c>
      <c r="Y383" s="7">
        <f>VLOOKUP($D383,NatureChart,4,0)</f>
        <v>1</v>
      </c>
      <c r="Z383" s="7">
        <f>VLOOKUP($D383,NatureChart,5,0)</f>
        <v>1</v>
      </c>
      <c r="AA383" s="84">
        <f>VLOOKUP($D383,NatureChart,6,0)</f>
        <v>1</v>
      </c>
      <c r="AB383" s="84">
        <f>IF($C383="Shedinja",1,(INT((2*VLOOKUP($C383,DexData,5,0)+INT(Q383/4)+K383)/2)+60))</f>
        <v>161</v>
      </c>
      <c r="AC383" s="84">
        <f>INT(INT((INT((2*VLOOKUP($C383,DexData,6,0)+INT(R383/4)+L383)/2)+5)*W383)*IF($E383="Choice Band",1.5,IF(OR($E383="Mawilite",$E383="Medichamite",$E383="Thick Club"),2,1)))</f>
        <v>116</v>
      </c>
      <c r="AD383" s="84">
        <f>INT(INT((INT((2*VLOOKUP($C383,DexData,7,0)+INT(S383/4)+M383)/2)+5)*X383)*IF($E383="Eviolite",1.5,1))</f>
        <v>120</v>
      </c>
      <c r="AE383" s="84">
        <f>INT(INT((INT((2*VLOOKUP($C383,DexData,9,0)+INT(T383/4)+N383)/2)+5)*Y383)*IF($E383="Choice Specs",1.5,1))</f>
        <v>98</v>
      </c>
      <c r="AF383" s="84">
        <f>INT(INT((INT((2*VLOOKUP($C383,DexData,10,0)+INT(U383/4)+O383)/2)+5)*Z383)*IF(OR($E383="Eviolite",$E383="Assault Vest"),1.5,1))</f>
        <v>135</v>
      </c>
      <c r="AG383" s="84">
        <f>INT(INT((INT((2*VLOOKUP($C383,DexData,11,0)+INT(V383/4)+P383)/2)+5)*AA383)*IF($E383="Choice Scarf",1.5,IF($E383="Iron Ball",0.5,1)))</f>
        <v>90</v>
      </c>
      <c r="AH383" s="84" t="str">
        <f>VLOOKUP(VLOOKUP($C383,DexData,3,0),Aliases!D$2:E$19,2,0)&amp;IFERROR("/"&amp;VLOOKUP(VLOOKUP($C383,DexData,4,0),Aliases!D$2:E$19,2,0),"")</f>
        <v>GRD/PSY</v>
      </c>
      <c r="AI383" s="7">
        <v>3.0</v>
      </c>
      <c r="AJ383" s="7">
        <f>IF(VLOOKUP(B383,'Set Odds'!A$2:AN$1067,40,0),1,IF(VLOOKUP(B383,'Set Odds'!A$2:AO$1067,41,0),2,0))</f>
        <v>0</v>
      </c>
      <c r="AK383" s="7"/>
      <c r="AL383" s="7" t="str">
        <f t="shared" si="1"/>
        <v/>
      </c>
    </row>
    <row r="384" ht="12.75" customHeight="1">
      <c r="A384" s="86">
        <v>383.0</v>
      </c>
      <c r="B384" s="84" t="s">
        <v>3801</v>
      </c>
      <c r="C384" s="7" t="s">
        <v>3802</v>
      </c>
      <c r="D384" s="7" t="s">
        <v>2571</v>
      </c>
      <c r="E384" s="7" t="s">
        <v>2761</v>
      </c>
      <c r="F384" s="84" t="s">
        <v>2776</v>
      </c>
      <c r="G384" s="84" t="s">
        <v>2686</v>
      </c>
      <c r="H384" s="84" t="s">
        <v>3710</v>
      </c>
      <c r="I384" s="84" t="s">
        <v>3803</v>
      </c>
      <c r="J384" s="7" t="s">
        <v>3102</v>
      </c>
      <c r="K384" s="7">
        <v>31.0</v>
      </c>
      <c r="L384" s="7">
        <v>31.0</v>
      </c>
      <c r="M384" s="7">
        <v>20.0</v>
      </c>
      <c r="N384" s="7">
        <v>0.0</v>
      </c>
      <c r="O384" s="7">
        <v>20.0</v>
      </c>
      <c r="P384" s="7">
        <v>31.0</v>
      </c>
      <c r="Q384" s="7">
        <v>60.0</v>
      </c>
      <c r="R384" s="7">
        <v>204.0</v>
      </c>
      <c r="S384" s="7">
        <v>0.0</v>
      </c>
      <c r="T384" s="7">
        <v>0.0</v>
      </c>
      <c r="U384" s="7">
        <v>0.0</v>
      </c>
      <c r="V384" s="7">
        <v>204.0</v>
      </c>
      <c r="W384" s="7">
        <f>VLOOKUP($D384,NatureChart,2,0)</f>
        <v>1.1</v>
      </c>
      <c r="X384" s="7">
        <f>VLOOKUP($D384,NatureChart,3,0)</f>
        <v>1</v>
      </c>
      <c r="Y384" s="7">
        <f>VLOOKUP($D384,NatureChart,4,0)</f>
        <v>0.9</v>
      </c>
      <c r="Z384" s="7">
        <f>VLOOKUP($D384,NatureChart,5,0)</f>
        <v>1</v>
      </c>
      <c r="AA384" s="84">
        <f>VLOOKUP($D384,NatureChart,6,0)</f>
        <v>1</v>
      </c>
      <c r="AB384" s="84">
        <f>IF($C384="Shedinja",1,(INT((2*VLOOKUP($C384,DexData,5,0)+INT(Q384/4)+K384)/2)+60))</f>
        <v>180</v>
      </c>
      <c r="AC384" s="84">
        <f>INT(INT((INT((2*VLOOKUP($C384,DexData,6,0)+INT(R384/4)+L384)/2)+5)*W384)*IF($E384="Choice Band",1.5,IF(OR($E384="Mawilite",$E384="Medichamite",$E384="Thick Club"),2,1)))</f>
        <v>232</v>
      </c>
      <c r="AD384" s="84">
        <f>INT(INT((INT((2*VLOOKUP($C384,DexData,7,0)+INT(S384/4)+M384)/2)+5)*X384)*IF($E384="Eviolite",1.5,1))</f>
        <v>75</v>
      </c>
      <c r="AE384" s="84">
        <f>INT(INT((INT((2*VLOOKUP($C384,DexData,9,0)+INT(T384/4)+N384)/2)+5)*Y384)*IF($E384="Choice Specs",1.5,1))</f>
        <v>63</v>
      </c>
      <c r="AF384" s="84">
        <f>INT(INT((INT((2*VLOOKUP($C384,DexData,10,0)+INT(U384/4)+O384)/2)+5)*Z384)*IF(OR($E384="Eviolite",$E384="Assault Vest"),1.5,1))</f>
        <v>65</v>
      </c>
      <c r="AG384" s="84">
        <f>INT(INT((INT((2*VLOOKUP($C384,DexData,11,0)+INT(V384/4)+P384)/2)+5)*AA384)*IF($E384="Choice Scarf",1.5,IF($E384="Iron Ball",0.5,1)))</f>
        <v>104</v>
      </c>
      <c r="AH384" s="84" t="str">
        <f>VLOOKUP(VLOOKUP($C384,DexData,3,0),Aliases!D$2:E$19,2,0)&amp;IFERROR("/"&amp;VLOOKUP(VLOOKUP($C384,DexData,4,0),Aliases!D$2:E$19,2,0),"")</f>
        <v>RCK</v>
      </c>
      <c r="AI384" s="7">
        <v>3.0</v>
      </c>
      <c r="AJ384" s="7">
        <f>IF(VLOOKUP(B384,'Set Odds'!A$2:AN$1067,40,0),1,IF(VLOOKUP(B384,'Set Odds'!A$2:AO$1067,41,0),2,0))</f>
        <v>0</v>
      </c>
      <c r="AK384" s="7"/>
      <c r="AL384" s="7" t="str">
        <f t="shared" si="1"/>
        <v/>
      </c>
    </row>
    <row r="385" ht="12.75" customHeight="1">
      <c r="A385" s="86">
        <v>384.0</v>
      </c>
      <c r="B385" s="84" t="s">
        <v>3804</v>
      </c>
      <c r="C385" s="7" t="s">
        <v>3805</v>
      </c>
      <c r="D385" s="7" t="s">
        <v>2827</v>
      </c>
      <c r="E385" s="7" t="s">
        <v>2780</v>
      </c>
      <c r="F385" s="84" t="s">
        <v>3733</v>
      </c>
      <c r="G385" s="84" t="s">
        <v>2798</v>
      </c>
      <c r="H385" s="84" t="s">
        <v>3524</v>
      </c>
      <c r="I385" s="84" t="s">
        <v>2797</v>
      </c>
      <c r="J385" s="7" t="s">
        <v>2714</v>
      </c>
      <c r="K385" s="7">
        <v>31.0</v>
      </c>
      <c r="L385" s="7">
        <v>31.0</v>
      </c>
      <c r="M385" s="7">
        <v>20.0</v>
      </c>
      <c r="N385" s="7">
        <v>31.0</v>
      </c>
      <c r="O385" s="7">
        <v>20.0</v>
      </c>
      <c r="P385" s="7">
        <v>0.0</v>
      </c>
      <c r="Q385" s="7">
        <v>204.0</v>
      </c>
      <c r="R385" s="7">
        <v>0.0</v>
      </c>
      <c r="S385" s="7">
        <v>60.0</v>
      </c>
      <c r="T385" s="7">
        <v>204.0</v>
      </c>
      <c r="U385" s="7">
        <v>0.0</v>
      </c>
      <c r="V385" s="7">
        <v>0.0</v>
      </c>
      <c r="W385" s="7">
        <f>VLOOKUP($D385,NatureChart,2,0)</f>
        <v>1</v>
      </c>
      <c r="X385" s="7">
        <f>VLOOKUP($D385,NatureChart,3,0)</f>
        <v>1</v>
      </c>
      <c r="Y385" s="7">
        <f>VLOOKUP($D385,NatureChart,4,0)</f>
        <v>1.1</v>
      </c>
      <c r="Z385" s="7">
        <f>VLOOKUP($D385,NatureChart,5,0)</f>
        <v>1</v>
      </c>
      <c r="AA385" s="84">
        <f>VLOOKUP($D385,NatureChart,6,0)</f>
        <v>0.9</v>
      </c>
      <c r="AB385" s="84">
        <f>IF($C385="Shedinja",1,(INT((2*VLOOKUP($C385,DexData,5,0)+INT(Q385/4)+K385)/2)+60))</f>
        <v>168</v>
      </c>
      <c r="AC385" s="84">
        <f>INT(INT((INT((2*VLOOKUP($C385,DexData,6,0)+INT(R385/4)+L385)/2)+5)*W385)*IF($E385="Choice Band",1.5,IF(OR($E385="Mawilite",$E385="Medichamite",$E385="Thick Club"),2,1)))</f>
        <v>109</v>
      </c>
      <c r="AD385" s="84">
        <f>INT(INT((INT((2*VLOOKUP($C385,DexData,7,0)+INT(S385/4)+M385)/2)+5)*X385)*IF($E385="Eviolite",1.5,1))</f>
        <v>138</v>
      </c>
      <c r="AE385" s="84">
        <f>INT(INT((INT((2*VLOOKUP($C385,DexData,9,0)+INT(T385/4)+N385)/2)+5)*Y385)*IF($E385="Choice Specs",1.5,1))</f>
        <v>137</v>
      </c>
      <c r="AF385" s="84">
        <f>INT(INT((INT((2*VLOOKUP($C385,DexData,10,0)+INT(U385/4)+O385)/2)+5)*Z385)*IF(OR($E385="Eviolite",$E385="Assault Vest"),1.5,1))</f>
        <v>131</v>
      </c>
      <c r="AG385" s="84">
        <f>INT(INT((INT((2*VLOOKUP($C385,DexData,11,0)+INT(V385/4)+P385)/2)+5)*AA385)*IF($E385="Choice Scarf",1.5,IF($E385="Iron Ball",0.5,1)))</f>
        <v>34</v>
      </c>
      <c r="AH385" s="84" t="str">
        <f>VLOOKUP(VLOOKUP($C385,DexData,3,0),Aliases!D$2:E$19,2,0)&amp;IFERROR("/"&amp;VLOOKUP(VLOOKUP($C385,DexData,4,0),Aliases!D$2:E$19,2,0),"")</f>
        <v>STL/PSY</v>
      </c>
      <c r="AI385" s="7">
        <v>3.0</v>
      </c>
      <c r="AJ385" s="7">
        <f>IF(VLOOKUP(B385,'Set Odds'!A$2:AN$1067,40,0),1,IF(VLOOKUP(B385,'Set Odds'!A$2:AO$1067,41,0),2,0))</f>
        <v>0</v>
      </c>
      <c r="AK385" s="7"/>
      <c r="AL385" s="7" t="str">
        <f t="shared" si="1"/>
        <v/>
      </c>
    </row>
    <row r="386" ht="12.75" customHeight="1">
      <c r="A386" s="86">
        <v>385.0</v>
      </c>
      <c r="B386" s="84" t="s">
        <v>3806</v>
      </c>
      <c r="C386" s="7" t="s">
        <v>3807</v>
      </c>
      <c r="D386" s="7" t="s">
        <v>2571</v>
      </c>
      <c r="E386" s="7" t="s">
        <v>2731</v>
      </c>
      <c r="F386" s="84" t="s">
        <v>3808</v>
      </c>
      <c r="G386" s="84" t="s">
        <v>3039</v>
      </c>
      <c r="H386" s="84" t="s">
        <v>3015</v>
      </c>
      <c r="I386" s="84" t="s">
        <v>3809</v>
      </c>
      <c r="J386" s="7" t="s">
        <v>2945</v>
      </c>
      <c r="K386" s="7">
        <v>31.0</v>
      </c>
      <c r="L386" s="7">
        <v>31.0</v>
      </c>
      <c r="M386" s="7">
        <v>20.0</v>
      </c>
      <c r="N386" s="7">
        <v>0.0</v>
      </c>
      <c r="O386" s="7">
        <v>20.0</v>
      </c>
      <c r="P386" s="7">
        <v>31.0</v>
      </c>
      <c r="Q386" s="7">
        <v>204.0</v>
      </c>
      <c r="R386" s="7">
        <v>204.0</v>
      </c>
      <c r="S386" s="7">
        <v>0.0</v>
      </c>
      <c r="T386" s="7">
        <v>0.0</v>
      </c>
      <c r="U386" s="7">
        <v>0.0</v>
      </c>
      <c r="V386" s="7">
        <v>60.0</v>
      </c>
      <c r="W386" s="7">
        <f>VLOOKUP($D386,NatureChart,2,0)</f>
        <v>1.1</v>
      </c>
      <c r="X386" s="7">
        <f>VLOOKUP($D386,NatureChart,3,0)</f>
        <v>1</v>
      </c>
      <c r="Y386" s="7">
        <f>VLOOKUP($D386,NatureChart,4,0)</f>
        <v>0.9</v>
      </c>
      <c r="Z386" s="7">
        <f>VLOOKUP($D386,NatureChart,5,0)</f>
        <v>1</v>
      </c>
      <c r="AA386" s="84">
        <f>VLOOKUP($D386,NatureChart,6,0)</f>
        <v>1</v>
      </c>
      <c r="AB386" s="84">
        <f>IF($C386="Shedinja",1,(INT((2*VLOOKUP($C386,DexData,5,0)+INT(Q386/4)+K386)/2)+60))</f>
        <v>171</v>
      </c>
      <c r="AC386" s="84">
        <f>INT(INT((INT((2*VLOOKUP($C386,DexData,6,0)+INT(R386/4)+L386)/2)+5)*W386)*IF($E386="Choice Band",1.5,IF(OR($E386="Mawilite",$E386="Medichamite",$E386="Thick Club"),2,1)))</f>
        <v>149</v>
      </c>
      <c r="AD386" s="84">
        <f>INT(INT((INT((2*VLOOKUP($C386,DexData,7,0)+INT(S386/4)+M386)/2)+5)*X386)*IF($E386="Eviolite",1.5,1))</f>
        <v>125</v>
      </c>
      <c r="AE386" s="84">
        <f>INT(INT((INT((2*VLOOKUP($C386,DexData,9,0)+INT(T386/4)+N386)/2)+5)*Y386)*IF($E386="Choice Specs",1.5,1))</f>
        <v>58</v>
      </c>
      <c r="AF386" s="84">
        <f>INT(INT((INT((2*VLOOKUP($C386,DexData,10,0)+INT(U386/4)+O386)/2)+5)*Z386)*IF(OR($E386="Eviolite",$E386="Assault Vest"),1.5,1))</f>
        <v>90</v>
      </c>
      <c r="AG386" s="84">
        <f>INT(INT((INT((2*VLOOKUP($C386,DexData,11,0)+INT(V386/4)+P386)/2)+5)*AA386)*IF($E386="Choice Scarf",1.5,IF($E386="Iron Ball",0.5,1)))</f>
        <v>123</v>
      </c>
      <c r="AH386" s="84" t="str">
        <f>VLOOKUP(VLOOKUP($C386,DexData,3,0),Aliases!D$2:E$19,2,0)&amp;IFERROR("/"&amp;VLOOKUP(VLOOKUP($C386,DexData,4,0),Aliases!D$2:E$19,2,0),"")</f>
        <v>PSN/DRK</v>
      </c>
      <c r="AI386" s="7">
        <v>3.0</v>
      </c>
      <c r="AJ386" s="7">
        <f>IF(VLOOKUP(B386,'Set Odds'!A$2:AN$1067,40,0),1,IF(VLOOKUP(B386,'Set Odds'!A$2:AO$1067,41,0),2,0))</f>
        <v>0</v>
      </c>
      <c r="AK386" s="7"/>
      <c r="AL386" s="7" t="str">
        <f t="shared" si="1"/>
        <v/>
      </c>
    </row>
    <row r="387" ht="12.75" customHeight="1">
      <c r="A387" s="86">
        <v>386.0</v>
      </c>
      <c r="B387" s="84" t="s">
        <v>3810</v>
      </c>
      <c r="C387" s="7" t="s">
        <v>3811</v>
      </c>
      <c r="D387" s="7" t="s">
        <v>2827</v>
      </c>
      <c r="E387" s="7" t="s">
        <v>2618</v>
      </c>
      <c r="F387" s="84" t="s">
        <v>3812</v>
      </c>
      <c r="G387" s="84" t="s">
        <v>3762</v>
      </c>
      <c r="H387" s="84" t="s">
        <v>3435</v>
      </c>
      <c r="I387" s="84" t="s">
        <v>2615</v>
      </c>
      <c r="J387" s="7" t="s">
        <v>2696</v>
      </c>
      <c r="K387" s="7">
        <v>31.0</v>
      </c>
      <c r="L387" s="7">
        <v>20.0</v>
      </c>
      <c r="M387" s="7">
        <v>31.0</v>
      </c>
      <c r="N387" s="7">
        <v>31.0</v>
      </c>
      <c r="O387" s="7">
        <v>20.0</v>
      </c>
      <c r="P387" s="7">
        <v>20.0</v>
      </c>
      <c r="Q387" s="7">
        <v>204.0</v>
      </c>
      <c r="R387" s="7">
        <v>0.0</v>
      </c>
      <c r="S387" s="7">
        <v>60.0</v>
      </c>
      <c r="T387" s="7">
        <v>204.0</v>
      </c>
      <c r="U387" s="7">
        <v>0.0</v>
      </c>
      <c r="V387" s="7">
        <v>0.0</v>
      </c>
      <c r="W387" s="7">
        <f>VLOOKUP($D387,NatureChart,2,0)</f>
        <v>1</v>
      </c>
      <c r="X387" s="7">
        <f>VLOOKUP($D387,NatureChart,3,0)</f>
        <v>1</v>
      </c>
      <c r="Y387" s="7">
        <f>VLOOKUP($D387,NatureChart,4,0)</f>
        <v>1.1</v>
      </c>
      <c r="Z387" s="7">
        <f>VLOOKUP($D387,NatureChart,5,0)</f>
        <v>1</v>
      </c>
      <c r="AA387" s="84">
        <f>VLOOKUP($D387,NatureChart,6,0)</f>
        <v>0.9</v>
      </c>
      <c r="AB387" s="84">
        <f>IF($C387="Shedinja",1,(INT((2*VLOOKUP($C387,DexData,5,0)+INT(Q387/4)+K387)/2)+60))</f>
        <v>181</v>
      </c>
      <c r="AC387" s="84">
        <f>INT(INT((INT((2*VLOOKUP($C387,DexData,6,0)+INT(R387/4)+L387)/2)+5)*W387)*IF($E387="Choice Band",1.5,IF(OR($E387="Mawilite",$E387="Medichamite",$E387="Thick Club"),2,1)))</f>
        <v>135</v>
      </c>
      <c r="AD387" s="84">
        <f>INT(INT((INT((2*VLOOKUP($C387,DexData,7,0)+INT(S387/4)+M387)/2)+5)*X387)*IF($E387="Eviolite",1.5,1))</f>
        <v>107</v>
      </c>
      <c r="AE387" s="84">
        <f>INT(INT((INT((2*VLOOKUP($C387,DexData,9,0)+INT(T387/4)+N387)/2)+5)*Y387)*IF($E387="Choice Specs",1.5,1))</f>
        <v>155</v>
      </c>
      <c r="AF387" s="84">
        <f>INT(INT((INT((2*VLOOKUP($C387,DexData,10,0)+INT(U387/4)+O387)/2)+5)*Z387)*IF(OR($E387="Eviolite",$E387="Assault Vest"),1.5,1))</f>
        <v>94</v>
      </c>
      <c r="AG387" s="84">
        <f>INT(INT((INT((2*VLOOKUP($C387,DexData,11,0)+INT(V387/4)+P387)/2)+5)*AA387)*IF($E387="Choice Scarf",1.5,IF($E387="Iron Ball",0.5,1)))</f>
        <v>76</v>
      </c>
      <c r="AH387" s="84" t="str">
        <f>VLOOKUP(VLOOKUP($C387,DexData,3,0),Aliases!D$2:E$19,2,0)&amp;IFERROR("/"&amp;VLOOKUP(VLOOKUP($C387,DexData,4,0),Aliases!D$2:E$19,2,0),"")</f>
        <v>ELC</v>
      </c>
      <c r="AI387" s="7">
        <v>3.0</v>
      </c>
      <c r="AJ387" s="7">
        <f>IF(VLOOKUP(B387,'Set Odds'!A$2:AN$1067,40,0),1,IF(VLOOKUP(B387,'Set Odds'!A$2:AO$1067,41,0),2,0))</f>
        <v>0</v>
      </c>
      <c r="AK387" s="7"/>
      <c r="AL387" s="7" t="str">
        <f t="shared" si="1"/>
        <v/>
      </c>
    </row>
    <row r="388" ht="12.75" customHeight="1">
      <c r="A388" s="86">
        <v>387.0</v>
      </c>
      <c r="B388" s="84" t="s">
        <v>3813</v>
      </c>
      <c r="C388" s="7" t="s">
        <v>3814</v>
      </c>
      <c r="D388" s="7" t="s">
        <v>2635</v>
      </c>
      <c r="E388" s="7" t="s">
        <v>2731</v>
      </c>
      <c r="F388" s="84" t="s">
        <v>3558</v>
      </c>
      <c r="G388" s="84" t="s">
        <v>2739</v>
      </c>
      <c r="H388" s="84" t="s">
        <v>2732</v>
      </c>
      <c r="I388" s="84" t="s">
        <v>2660</v>
      </c>
      <c r="J388" s="7" t="s">
        <v>2742</v>
      </c>
      <c r="K388" s="7">
        <v>31.0</v>
      </c>
      <c r="L388" s="7">
        <v>0.0</v>
      </c>
      <c r="M388" s="7">
        <v>20.0</v>
      </c>
      <c r="N388" s="7">
        <v>31.0</v>
      </c>
      <c r="O388" s="7">
        <v>20.0</v>
      </c>
      <c r="P388" s="7">
        <v>31.0</v>
      </c>
      <c r="Q388" s="7">
        <v>60.0</v>
      </c>
      <c r="R388" s="7">
        <v>0.0</v>
      </c>
      <c r="S388" s="7">
        <v>0.0</v>
      </c>
      <c r="T388" s="7">
        <v>204.0</v>
      </c>
      <c r="U388" s="7">
        <v>0.0</v>
      </c>
      <c r="V388" s="7">
        <v>204.0</v>
      </c>
      <c r="W388" s="7">
        <f>VLOOKUP($D388,NatureChart,2,0)</f>
        <v>0.9</v>
      </c>
      <c r="X388" s="7">
        <f>VLOOKUP($D388,NatureChart,3,0)</f>
        <v>1</v>
      </c>
      <c r="Y388" s="7">
        <f>VLOOKUP($D388,NatureChart,4,0)</f>
        <v>1</v>
      </c>
      <c r="Z388" s="7">
        <f>VLOOKUP($D388,NatureChart,5,0)</f>
        <v>1</v>
      </c>
      <c r="AA388" s="84">
        <f>VLOOKUP($D388,NatureChart,6,0)</f>
        <v>1.1</v>
      </c>
      <c r="AB388" s="84">
        <f>IF($C388="Shedinja",1,(INT((2*VLOOKUP($C388,DexData,5,0)+INT(Q388/4)+K388)/2)+60))</f>
        <v>156</v>
      </c>
      <c r="AC388" s="84">
        <f>INT(INT((INT((2*VLOOKUP($C388,DexData,6,0)+INT(R388/4)+L388)/2)+5)*W388)*IF($E388="Choice Band",1.5,IF(OR($E388="Mawilite",$E388="Medichamite",$E388="Thick Club"),2,1)))</f>
        <v>72</v>
      </c>
      <c r="AD388" s="84">
        <f>INT(INT((INT((2*VLOOKUP($C388,DexData,7,0)+INT(S388/4)+M388)/2)+5)*X388)*IF($E388="Eviolite",1.5,1))</f>
        <v>90</v>
      </c>
      <c r="AE388" s="84">
        <f>INT(INT((INT((2*VLOOKUP($C388,DexData,9,0)+INT(T388/4)+N388)/2)+5)*Y388)*IF($E388="Choice Specs",1.5,1))</f>
        <v>127</v>
      </c>
      <c r="AF388" s="84">
        <f>INT(INT((INT((2*VLOOKUP($C388,DexData,10,0)+INT(U388/4)+O388)/2)+5)*Z388)*IF(OR($E388="Eviolite",$E388="Assault Vest"),1.5,1))</f>
        <v>115</v>
      </c>
      <c r="AG388" s="84">
        <f>INT(INT((INT((2*VLOOKUP($C388,DexData,11,0)+INT(V388/4)+P388)/2)+5)*AA388)*IF($E388="Choice Scarf",1.5,IF($E388="Iron Ball",0.5,1)))</f>
        <v>160</v>
      </c>
      <c r="AH388" s="84" t="str">
        <f>VLOOKUP(VLOOKUP($C388,DexData,3,0),Aliases!D$2:E$19,2,0)&amp;IFERROR("/"&amp;VLOOKUP(VLOOKUP($C388,DexData,4,0),Aliases!D$2:E$19,2,0),"")</f>
        <v>FIR</v>
      </c>
      <c r="AI388" s="7">
        <v>3.0</v>
      </c>
      <c r="AJ388" s="7">
        <f>IF(VLOOKUP(B388,'Set Odds'!A$2:AN$1067,40,0),1,IF(VLOOKUP(B388,'Set Odds'!A$2:AO$1067,41,0),2,0))</f>
        <v>0</v>
      </c>
      <c r="AK388" s="7"/>
      <c r="AL388" s="7" t="str">
        <f t="shared" si="1"/>
        <v/>
      </c>
    </row>
    <row r="389" ht="12.75" customHeight="1">
      <c r="A389" s="86">
        <v>388.0</v>
      </c>
      <c r="B389" s="84" t="s">
        <v>3815</v>
      </c>
      <c r="C389" s="7" t="s">
        <v>3816</v>
      </c>
      <c r="D389" s="7" t="s">
        <v>2571</v>
      </c>
      <c r="E389" s="7" t="s">
        <v>2515</v>
      </c>
      <c r="F389" s="84" t="s">
        <v>2718</v>
      </c>
      <c r="G389" s="84" t="s">
        <v>3817</v>
      </c>
      <c r="H389" s="84" t="s">
        <v>3057</v>
      </c>
      <c r="I389" s="84" t="s">
        <v>3454</v>
      </c>
      <c r="J389" s="7" t="s">
        <v>2819</v>
      </c>
      <c r="K389" s="7">
        <v>31.0</v>
      </c>
      <c r="L389" s="7">
        <v>31.0</v>
      </c>
      <c r="M389" s="7">
        <v>20.0</v>
      </c>
      <c r="N389" s="7">
        <v>0.0</v>
      </c>
      <c r="O389" s="7">
        <v>20.0</v>
      </c>
      <c r="P389" s="7">
        <v>31.0</v>
      </c>
      <c r="Q389" s="7">
        <v>60.0</v>
      </c>
      <c r="R389" s="7">
        <v>204.0</v>
      </c>
      <c r="S389" s="7">
        <v>0.0</v>
      </c>
      <c r="T389" s="7">
        <v>0.0</v>
      </c>
      <c r="U389" s="7">
        <v>0.0</v>
      </c>
      <c r="V389" s="7">
        <v>204.0</v>
      </c>
      <c r="W389" s="7">
        <f>VLOOKUP($D389,NatureChart,2,0)</f>
        <v>1.1</v>
      </c>
      <c r="X389" s="7">
        <f>VLOOKUP($D389,NatureChart,3,0)</f>
        <v>1</v>
      </c>
      <c r="Y389" s="7">
        <f>VLOOKUP($D389,NatureChart,4,0)</f>
        <v>0.9</v>
      </c>
      <c r="Z389" s="7">
        <f>VLOOKUP($D389,NatureChart,5,0)</f>
        <v>1</v>
      </c>
      <c r="AA389" s="84">
        <f>VLOOKUP($D389,NatureChart,6,0)</f>
        <v>1</v>
      </c>
      <c r="AB389" s="84">
        <f>IF($C389="Shedinja",1,(INT((2*VLOOKUP($C389,DexData,5,0)+INT(Q389/4)+K389)/2)+60))</f>
        <v>173</v>
      </c>
      <c r="AC389" s="84">
        <f>INT(INT((INT((2*VLOOKUP($C389,DexData,6,0)+INT(R389/4)+L389)/2)+5)*W389)*IF($E389="Choice Band",1.5,IF(OR($E389="Mawilite",$E389="Medichamite",$E389="Thick Club"),2,1)))</f>
        <v>193</v>
      </c>
      <c r="AD389" s="84">
        <f>INT(INT((INT((2*VLOOKUP($C389,DexData,7,0)+INT(S389/4)+M389)/2)+5)*X389)*IF($E389="Eviolite",1.5,1))</f>
        <v>95</v>
      </c>
      <c r="AE389" s="84">
        <f>INT(INT((INT((2*VLOOKUP($C389,DexData,9,0)+INT(T389/4)+N389)/2)+5)*Y389)*IF($E389="Choice Specs",1.5,1))</f>
        <v>63</v>
      </c>
      <c r="AF389" s="84">
        <f>INT(INT((INT((2*VLOOKUP($C389,DexData,10,0)+INT(U389/4)+O389)/2)+5)*Z389)*IF(OR($E389="Eviolite",$E389="Assault Vest"),1.5,1))</f>
        <v>100</v>
      </c>
      <c r="AG389" s="84">
        <f>INT(INT((INT((2*VLOOKUP($C389,DexData,11,0)+INT(V389/4)+P389)/2)+5)*AA389)*IF($E389="Choice Scarf",1.5,IF($E389="Iron Ball",0.5,1)))</f>
        <v>101</v>
      </c>
      <c r="AH389" s="84" t="str">
        <f>VLOOKUP(VLOOKUP($C389,DexData,3,0),Aliases!D$2:E$19,2,0)&amp;IFERROR("/"&amp;VLOOKUP(VLOOKUP($C389,DexData,4,0),Aliases!D$2:E$19,2,0),"")</f>
        <v>FTG</v>
      </c>
      <c r="AI389" s="7">
        <v>3.0</v>
      </c>
      <c r="AJ389" s="7">
        <f>IF(VLOOKUP(B389,'Set Odds'!A$2:AN$1067,40,0),1,IF(VLOOKUP(B389,'Set Odds'!A$2:AO$1067,41,0),2,0))</f>
        <v>0</v>
      </c>
      <c r="AK389" s="7"/>
      <c r="AL389" s="7" t="str">
        <f t="shared" si="1"/>
        <v/>
      </c>
    </row>
    <row r="390" ht="12.75" customHeight="1">
      <c r="A390" s="86">
        <v>389.0</v>
      </c>
      <c r="B390" s="84" t="s">
        <v>3818</v>
      </c>
      <c r="C390" s="7" t="s">
        <v>3819</v>
      </c>
      <c r="D390" s="7" t="s">
        <v>2723</v>
      </c>
      <c r="E390" s="7" t="s">
        <v>3003</v>
      </c>
      <c r="F390" s="84" t="s">
        <v>2900</v>
      </c>
      <c r="G390" s="84" t="s">
        <v>3820</v>
      </c>
      <c r="H390" s="84" t="s">
        <v>2855</v>
      </c>
      <c r="I390" s="84" t="s">
        <v>2841</v>
      </c>
      <c r="J390" s="7" t="s">
        <v>2728</v>
      </c>
      <c r="K390" s="7">
        <v>31.0</v>
      </c>
      <c r="L390" s="7">
        <v>20.0</v>
      </c>
      <c r="M390" s="7">
        <v>31.0</v>
      </c>
      <c r="N390" s="7">
        <v>0.0</v>
      </c>
      <c r="O390" s="7">
        <v>31.0</v>
      </c>
      <c r="P390" s="7">
        <v>20.0</v>
      </c>
      <c r="Q390" s="7">
        <v>204.0</v>
      </c>
      <c r="R390" s="7">
        <v>60.0</v>
      </c>
      <c r="S390" s="7">
        <v>0.0</v>
      </c>
      <c r="T390" s="7">
        <v>0.0</v>
      </c>
      <c r="U390" s="7">
        <v>204.0</v>
      </c>
      <c r="V390" s="7">
        <v>0.0</v>
      </c>
      <c r="W390" s="7">
        <f>VLOOKUP($D390,NatureChart,2,0)</f>
        <v>1</v>
      </c>
      <c r="X390" s="7">
        <f>VLOOKUP($D390,NatureChart,3,0)</f>
        <v>1</v>
      </c>
      <c r="Y390" s="7">
        <f>VLOOKUP($D390,NatureChart,4,0)</f>
        <v>0.9</v>
      </c>
      <c r="Z390" s="7">
        <f>VLOOKUP($D390,NatureChart,5,0)</f>
        <v>1.1</v>
      </c>
      <c r="AA390" s="84">
        <f>VLOOKUP($D390,NatureChart,6,0)</f>
        <v>1</v>
      </c>
      <c r="AB390" s="84">
        <f>IF($C390="Shedinja",1,(INT((2*VLOOKUP($C390,DexData,5,0)+INT(Q390/4)+K390)/2)+60))</f>
        <v>121</v>
      </c>
      <c r="AC390" s="84">
        <f>INT(INT((INT((2*VLOOKUP($C390,DexData,6,0)+INT(R390/4)+L390)/2)+5)*W390)*IF($E390="Choice Band",1.5,IF(OR($E390="Mawilite",$E390="Medichamite",$E390="Thick Club"),2,1)))</f>
        <v>32</v>
      </c>
      <c r="AD390" s="84">
        <f>INT(INT((INT((2*VLOOKUP($C390,DexData,7,0)+INT(S390/4)+M390)/2)+5)*X390)*IF($E390="Eviolite",1.5,1))</f>
        <v>250</v>
      </c>
      <c r="AE390" s="84">
        <f>INT(INT((INT((2*VLOOKUP($C390,DexData,9,0)+INT(T390/4)+N390)/2)+5)*Y390)*IF($E390="Choice Specs",1.5,1))</f>
        <v>13</v>
      </c>
      <c r="AF390" s="84">
        <f>INT(INT((INT((2*VLOOKUP($C390,DexData,10,0)+INT(U390/4)+O390)/2)+5)*Z390)*IF(OR($E390="Eviolite",$E390="Assault Vest"),1.5,1))</f>
        <v>303</v>
      </c>
      <c r="AG390" s="84">
        <f>INT(INT((INT((2*VLOOKUP($C390,DexData,11,0)+INT(V390/4)+P390)/2)+5)*AA390)*IF($E390="Choice Scarf",1.5,IF($E390="Iron Ball",0.5,1)))</f>
        <v>20</v>
      </c>
      <c r="AH390" s="84" t="str">
        <f>VLOOKUP(VLOOKUP($C390,DexData,3,0),Aliases!D$2:E$19,2,0)&amp;IFERROR("/"&amp;VLOOKUP(VLOOKUP($C390,DexData,4,0),Aliases!D$2:E$19,2,0),"")</f>
        <v>BUG/RCK</v>
      </c>
      <c r="AI390" s="7">
        <v>3.0</v>
      </c>
      <c r="AJ390" s="7">
        <f>IF(VLOOKUP(B390,'Set Odds'!A$2:AN$1067,40,0),1,IF(VLOOKUP(B390,'Set Odds'!A$2:AO$1067,41,0),2,0))</f>
        <v>0</v>
      </c>
      <c r="AK390" s="7"/>
      <c r="AL390" s="7" t="str">
        <f t="shared" si="1"/>
        <v/>
      </c>
    </row>
    <row r="391" ht="12.75" customHeight="1">
      <c r="A391" s="86">
        <v>390.0</v>
      </c>
      <c r="B391" s="84" t="s">
        <v>3821</v>
      </c>
      <c r="C391" s="7" t="s">
        <v>3822</v>
      </c>
      <c r="D391" s="7" t="s">
        <v>2862</v>
      </c>
      <c r="E391" s="7" t="s">
        <v>2612</v>
      </c>
      <c r="F391" s="84" t="s">
        <v>2575</v>
      </c>
      <c r="G391" s="84" t="s">
        <v>3123</v>
      </c>
      <c r="H391" s="84" t="s">
        <v>2704</v>
      </c>
      <c r="I391" s="84" t="s">
        <v>3185</v>
      </c>
      <c r="J391" s="7" t="s">
        <v>2708</v>
      </c>
      <c r="K391" s="7">
        <v>31.0</v>
      </c>
      <c r="L391" s="7">
        <v>0.0</v>
      </c>
      <c r="M391" s="7">
        <v>31.0</v>
      </c>
      <c r="N391" s="7">
        <v>31.0</v>
      </c>
      <c r="O391" s="7">
        <v>20.0</v>
      </c>
      <c r="P391" s="7">
        <v>20.0</v>
      </c>
      <c r="Q391" s="7">
        <v>204.0</v>
      </c>
      <c r="R391" s="7">
        <v>0.0</v>
      </c>
      <c r="S391" s="7">
        <v>204.0</v>
      </c>
      <c r="T391" s="7">
        <v>60.0</v>
      </c>
      <c r="U391" s="7">
        <v>0.0</v>
      </c>
      <c r="V391" s="7">
        <v>0.0</v>
      </c>
      <c r="W391" s="7">
        <f>VLOOKUP($D391,NatureChart,2,0)</f>
        <v>0.9</v>
      </c>
      <c r="X391" s="7">
        <f>VLOOKUP($D391,NatureChart,3,0)</f>
        <v>1.1</v>
      </c>
      <c r="Y391" s="7">
        <f>VLOOKUP($D391,NatureChart,4,0)</f>
        <v>1</v>
      </c>
      <c r="Z391" s="7">
        <f>VLOOKUP($D391,NatureChart,5,0)</f>
        <v>1</v>
      </c>
      <c r="AA391" s="84">
        <f>VLOOKUP($D391,NatureChart,6,0)</f>
        <v>1</v>
      </c>
      <c r="AB391" s="84">
        <f>IF($C391="Shedinja",1,(INT((2*VLOOKUP($C391,DexData,5,0)+INT(Q391/4)+K391)/2)+60))</f>
        <v>161</v>
      </c>
      <c r="AC391" s="84">
        <f>INT(INT((INT((2*VLOOKUP($C391,DexData,6,0)+INT(R391/4)+L391)/2)+5)*W391)*IF($E391="Choice Band",1.5,IF(OR($E391="Mawilite",$E391="Medichamite",$E391="Thick Club"),2,1)))</f>
        <v>67</v>
      </c>
      <c r="AD391" s="84">
        <f>INT(INT((INT((2*VLOOKUP($C391,DexData,7,0)+INT(S391/4)+M391)/2)+5)*X391)*IF($E391="Eviolite",1.5,1))</f>
        <v>122</v>
      </c>
      <c r="AE391" s="84">
        <f>INT(INT((INT((2*VLOOKUP($C391,DexData,9,0)+INT(T391/4)+N391)/2)+5)*Y391)*IF($E391="Choice Specs",1.5,1))</f>
        <v>153</v>
      </c>
      <c r="AF391" s="84">
        <f>INT(INT((INT((2*VLOOKUP($C391,DexData,10,0)+INT(U391/4)+O391)/2)+5)*Z391)*IF(OR($E391="Eviolite",$E391="Assault Vest"),1.5,1))</f>
        <v>120</v>
      </c>
      <c r="AG391" s="84">
        <f>INT(INT((INT((2*VLOOKUP($C391,DexData,11,0)+INT(V391/4)+P391)/2)+5)*AA391)*IF($E391="Choice Scarf",1.5,IF($E391="Iron Ball",0.5,1)))</f>
        <v>105</v>
      </c>
      <c r="AH391" s="84" t="str">
        <f>VLOOKUP(VLOOKUP($C391,DexData,3,0),Aliases!D$2:E$19,2,0)&amp;IFERROR("/"&amp;VLOOKUP(VLOOKUP($C391,DexData,4,0),Aliases!D$2:E$19,2,0),"")</f>
        <v>GRS/PSN</v>
      </c>
      <c r="AI391" s="7">
        <v>3.0</v>
      </c>
      <c r="AJ391" s="7">
        <f>IF(VLOOKUP(B391,'Set Odds'!A$2:AN$1067,40,0),1,IF(VLOOKUP(B391,'Set Odds'!A$2:AO$1067,41,0),2,0))</f>
        <v>0</v>
      </c>
      <c r="AK391" s="7"/>
      <c r="AL391" s="7" t="str">
        <f t="shared" si="1"/>
        <v/>
      </c>
    </row>
    <row r="392" ht="12.75" customHeight="1">
      <c r="A392" s="86">
        <v>391.0</v>
      </c>
      <c r="B392" s="84" t="s">
        <v>3823</v>
      </c>
      <c r="C392" s="7" t="s">
        <v>3824</v>
      </c>
      <c r="D392" s="7" t="s">
        <v>2692</v>
      </c>
      <c r="E392" s="7" t="s">
        <v>3557</v>
      </c>
      <c r="F392" s="84" t="s">
        <v>3578</v>
      </c>
      <c r="G392" s="84" t="s">
        <v>3825</v>
      </c>
      <c r="H392" s="84" t="s">
        <v>3538</v>
      </c>
      <c r="I392" s="84" t="s">
        <v>3057</v>
      </c>
      <c r="J392" s="7" t="s">
        <v>3826</v>
      </c>
      <c r="K392" s="7">
        <v>31.0</v>
      </c>
      <c r="L392" s="7">
        <v>31.0</v>
      </c>
      <c r="M392" s="7">
        <v>20.0</v>
      </c>
      <c r="N392" s="7">
        <v>0.0</v>
      </c>
      <c r="O392" s="7">
        <v>20.0</v>
      </c>
      <c r="P392" s="7">
        <v>31.0</v>
      </c>
      <c r="Q392" s="7">
        <v>60.0</v>
      </c>
      <c r="R392" s="7">
        <v>204.0</v>
      </c>
      <c r="S392" s="7">
        <v>0.0</v>
      </c>
      <c r="T392" s="7">
        <v>0.0</v>
      </c>
      <c r="U392" s="7">
        <v>0.0</v>
      </c>
      <c r="V392" s="7">
        <v>204.0</v>
      </c>
      <c r="W392" s="7">
        <f>VLOOKUP($D392,NatureChart,2,0)</f>
        <v>1</v>
      </c>
      <c r="X392" s="7">
        <f>VLOOKUP($D392,NatureChart,3,0)</f>
        <v>1</v>
      </c>
      <c r="Y392" s="7">
        <f>VLOOKUP($D392,NatureChart,4,0)</f>
        <v>0.9</v>
      </c>
      <c r="Z392" s="7">
        <f>VLOOKUP($D392,NatureChart,5,0)</f>
        <v>1</v>
      </c>
      <c r="AA392" s="84">
        <f>VLOOKUP($D392,NatureChart,6,0)</f>
        <v>1.1</v>
      </c>
      <c r="AB392" s="84">
        <f>IF($C392="Shedinja",1,(INT((2*VLOOKUP($C392,DexData,5,0)+INT(Q392/4)+K392)/2)+60))</f>
        <v>183</v>
      </c>
      <c r="AC392" s="84">
        <f>INT(INT((INT((2*VLOOKUP($C392,DexData,6,0)+INT(R392/4)+L392)/2)+5)*W392)*IF($E392="Choice Band",1.5,IF(OR($E392="Mawilite",$E392="Medichamite",$E392="Thick Club"),2,1)))</f>
        <v>171</v>
      </c>
      <c r="AD392" s="84">
        <f>INT(INT((INT((2*VLOOKUP($C392,DexData,7,0)+INT(S392/4)+M392)/2)+5)*X392)*IF($E392="Eviolite",1.5,1))</f>
        <v>67</v>
      </c>
      <c r="AE392" s="84">
        <f>INT(INT((INT((2*VLOOKUP($C392,DexData,9,0)+INT(T392/4)+N392)/2)+5)*Y392)*IF($E392="Choice Specs",1.5,1))</f>
        <v>99</v>
      </c>
      <c r="AF392" s="84">
        <f>INT(INT((INT((2*VLOOKUP($C392,DexData,10,0)+INT(U392/4)+O392)/2)+5)*Z392)*IF(OR($E392="Eviolite",$E392="Assault Vest"),1.5,1))</f>
        <v>67</v>
      </c>
      <c r="AG392" s="84">
        <f>INT(INT((INT((2*VLOOKUP($C392,DexData,11,0)+INT(V392/4)+P392)/2)+5)*AA392)*IF($E392="Choice Scarf",1.5,IF($E392="Iron Ball",0.5,1)))</f>
        <v>128</v>
      </c>
      <c r="AH392" s="84" t="str">
        <f>VLOOKUP(VLOOKUP($C392,DexData,3,0),Aliases!D$2:E$19,2,0)&amp;IFERROR("/"&amp;VLOOKUP(VLOOKUP($C392,DexData,4,0),Aliases!D$2:E$19,2,0),"")</f>
        <v>DRK/FLY</v>
      </c>
      <c r="AI392" s="7">
        <v>3.0</v>
      </c>
      <c r="AJ392" s="7">
        <f>IF(VLOOKUP(B392,'Set Odds'!A$2:AN$1067,40,0),1,IF(VLOOKUP(B392,'Set Odds'!A$2:AO$1067,41,0),2,0))</f>
        <v>0</v>
      </c>
      <c r="AK392" s="7"/>
      <c r="AL392" s="7" t="str">
        <f t="shared" si="1"/>
        <v/>
      </c>
    </row>
    <row r="393" ht="12.75" customHeight="1">
      <c r="A393" s="86">
        <v>392.0</v>
      </c>
      <c r="B393" s="84" t="s">
        <v>3827</v>
      </c>
      <c r="C393" s="7" t="s">
        <v>3828</v>
      </c>
      <c r="D393" s="7" t="s">
        <v>2862</v>
      </c>
      <c r="E393" s="7" t="s">
        <v>2630</v>
      </c>
      <c r="F393" s="84" t="s">
        <v>3793</v>
      </c>
      <c r="G393" s="84" t="s">
        <v>2580</v>
      </c>
      <c r="H393" s="84" t="s">
        <v>3603</v>
      </c>
      <c r="I393" s="84" t="s">
        <v>3015</v>
      </c>
      <c r="J393" s="7" t="s">
        <v>2728</v>
      </c>
      <c r="K393" s="7">
        <v>31.0</v>
      </c>
      <c r="L393" s="7">
        <v>0.0</v>
      </c>
      <c r="M393" s="7">
        <v>31.0</v>
      </c>
      <c r="N393" s="7">
        <v>31.0</v>
      </c>
      <c r="O393" s="7">
        <v>20.0</v>
      </c>
      <c r="P393" s="7">
        <v>20.0</v>
      </c>
      <c r="Q393" s="7">
        <v>204.0</v>
      </c>
      <c r="R393" s="7">
        <v>0.0</v>
      </c>
      <c r="S393" s="7">
        <v>204.0</v>
      </c>
      <c r="T393" s="7">
        <v>60.0</v>
      </c>
      <c r="U393" s="7">
        <v>0.0</v>
      </c>
      <c r="V393" s="7">
        <v>0.0</v>
      </c>
      <c r="W393" s="7">
        <f>VLOOKUP($D393,NatureChart,2,0)</f>
        <v>0.9</v>
      </c>
      <c r="X393" s="7">
        <f>VLOOKUP($D393,NatureChart,3,0)</f>
        <v>1.1</v>
      </c>
      <c r="Y393" s="7">
        <f>VLOOKUP($D393,NatureChart,4,0)</f>
        <v>1</v>
      </c>
      <c r="Z393" s="7">
        <f>VLOOKUP($D393,NatureChart,5,0)</f>
        <v>1</v>
      </c>
      <c r="AA393" s="84">
        <f>VLOOKUP($D393,NatureChart,6,0)</f>
        <v>1</v>
      </c>
      <c r="AB393" s="84">
        <f>IF($C393="Shedinja",1,(INT((2*VLOOKUP($C393,DexData,5,0)+INT(Q393/4)+K393)/2)+60))</f>
        <v>176</v>
      </c>
      <c r="AC393" s="84">
        <f>INT(INT((INT((2*VLOOKUP($C393,DexData,6,0)+INT(R393/4)+L393)/2)+5)*W393)*IF($E393="Choice Band",1.5,IF(OR($E393="Mawilite",$E393="Medichamite",$E393="Thick Club"),2,1)))</f>
        <v>81</v>
      </c>
      <c r="AD393" s="84">
        <f>INT(INT((INT((2*VLOOKUP($C393,DexData,7,0)+INT(S393/4)+M393)/2)+5)*X393)*IF($E393="Eviolite",1.5,1))</f>
        <v>270</v>
      </c>
      <c r="AE393" s="84">
        <f>INT(INT((INT((2*VLOOKUP($C393,DexData,9,0)+INT(T393/4)+N393)/2)+5)*Y393)*IF($E393="Choice Specs",1.5,1))</f>
        <v>83</v>
      </c>
      <c r="AF393" s="84">
        <f>INT(INT((INT((2*VLOOKUP($C393,DexData,10,0)+INT(U393/4)+O393)/2)+5)*Z393)*IF(OR($E393="Eviolite",$E393="Assault Vest"),1.5,1))</f>
        <v>80</v>
      </c>
      <c r="AG393" s="84">
        <f>INT(INT((INT((2*VLOOKUP($C393,DexData,11,0)+INT(V393/4)+P393)/2)+5)*AA393)*IF($E393="Choice Scarf",1.5,IF($E393="Iron Ball",0.5,1)))</f>
        <v>45</v>
      </c>
      <c r="AH393" s="84" t="str">
        <f>VLOOKUP(VLOOKUP($C393,DexData,3,0),Aliases!D$2:E$19,2,0)&amp;IFERROR("/"&amp;VLOOKUP(VLOOKUP($C393,DexData,4,0),Aliases!D$2:E$19,2,0),"")</f>
        <v>STL/GRD</v>
      </c>
      <c r="AI393" s="7">
        <v>3.0</v>
      </c>
      <c r="AJ393" s="7">
        <f>IF(VLOOKUP(B393,'Set Odds'!A$2:AN$1067,40,0),1,IF(VLOOKUP(B393,'Set Odds'!A$2:AO$1067,41,0),2,0))</f>
        <v>0</v>
      </c>
      <c r="AK393" s="7"/>
      <c r="AL393" s="7" t="str">
        <f t="shared" si="1"/>
        <v/>
      </c>
    </row>
    <row r="394" ht="12.75" customHeight="1">
      <c r="A394" s="86">
        <v>393.0</v>
      </c>
      <c r="B394" s="84" t="s">
        <v>3829</v>
      </c>
      <c r="C394" s="7" t="s">
        <v>3830</v>
      </c>
      <c r="D394" s="7" t="s">
        <v>2692</v>
      </c>
      <c r="E394" s="7" t="s">
        <v>3635</v>
      </c>
      <c r="F394" s="84" t="s">
        <v>3578</v>
      </c>
      <c r="G394" s="84" t="s">
        <v>3390</v>
      </c>
      <c r="H394" s="84" t="s">
        <v>3048</v>
      </c>
      <c r="I394" s="84" t="s">
        <v>2886</v>
      </c>
      <c r="J394" s="7" t="s">
        <v>3499</v>
      </c>
      <c r="K394" s="7">
        <v>31.0</v>
      </c>
      <c r="L394" s="7">
        <v>31.0</v>
      </c>
      <c r="M394" s="7">
        <v>20.0</v>
      </c>
      <c r="N394" s="7">
        <v>0.0</v>
      </c>
      <c r="O394" s="7">
        <v>20.0</v>
      </c>
      <c r="P394" s="7">
        <v>31.0</v>
      </c>
      <c r="Q394" s="7">
        <v>60.0</v>
      </c>
      <c r="R394" s="7">
        <v>204.0</v>
      </c>
      <c r="S394" s="7">
        <v>0.0</v>
      </c>
      <c r="T394" s="7">
        <v>0.0</v>
      </c>
      <c r="U394" s="7">
        <v>0.0</v>
      </c>
      <c r="V394" s="7">
        <v>204.0</v>
      </c>
      <c r="W394" s="7">
        <f>VLOOKUP($D394,NatureChart,2,0)</f>
        <v>1</v>
      </c>
      <c r="X394" s="7">
        <f>VLOOKUP($D394,NatureChart,3,0)</f>
        <v>1</v>
      </c>
      <c r="Y394" s="7">
        <f>VLOOKUP($D394,NatureChart,4,0)</f>
        <v>0.9</v>
      </c>
      <c r="Z394" s="7">
        <f>VLOOKUP($D394,NatureChart,5,0)</f>
        <v>1</v>
      </c>
      <c r="AA394" s="84">
        <f>VLOOKUP($D394,NatureChart,6,0)</f>
        <v>1.1</v>
      </c>
      <c r="AB394" s="84">
        <f>IF($C394="Shedinja",1,(INT((2*VLOOKUP($C394,DexData,5,0)+INT(Q394/4)+K394)/2)+60))</f>
        <v>153</v>
      </c>
      <c r="AC394" s="84">
        <f>INT(INT((INT((2*VLOOKUP($C394,DexData,6,0)+INT(R394/4)+L394)/2)+5)*W394)*IF($E394="Choice Band",1.5,IF(OR($E394="Mawilite",$E394="Medichamite",$E394="Thick Club"),2,1)))</f>
        <v>166</v>
      </c>
      <c r="AD394" s="84">
        <f>INT(INT((INT((2*VLOOKUP($C394,DexData,7,0)+INT(S394/4)+M394)/2)+5)*X394)*IF($E394="Eviolite",1.5,1))</f>
        <v>80</v>
      </c>
      <c r="AE394" s="84">
        <f>INT(INT((INT((2*VLOOKUP($C394,DexData,9,0)+INT(T394/4)+N394)/2)+5)*Y394)*IF($E394="Choice Specs",1.5,1))</f>
        <v>45</v>
      </c>
      <c r="AF394" s="84">
        <f>INT(INT((INT((2*VLOOKUP($C394,DexData,10,0)+INT(U394/4)+O394)/2)+5)*Z394)*IF(OR($E394="Eviolite",$E394="Assault Vest"),1.5,1))</f>
        <v>100</v>
      </c>
      <c r="AG394" s="84">
        <f>INT(INT((INT((2*VLOOKUP($C394,DexData,11,0)+INT(V394/4)+P394)/2)+5)*AA394)*IF($E394="Choice Scarf",1.5,IF($E394="Iron Ball",0.5,1)))</f>
        <v>188</v>
      </c>
      <c r="AH394" s="84" t="str">
        <f>VLOOKUP(VLOOKUP($C394,DexData,3,0),Aliases!D$2:E$19,2,0)&amp;IFERROR("/"&amp;VLOOKUP(VLOOKUP($C394,DexData,4,0),Aliases!D$2:E$19,2,0),"")</f>
        <v>DRK/ICE</v>
      </c>
      <c r="AI394" s="7">
        <v>3.0</v>
      </c>
      <c r="AJ394" s="7">
        <f>IF(VLOOKUP(B394,'Set Odds'!A$2:AN$1067,40,0),1,IF(VLOOKUP(B394,'Set Odds'!A$2:AO$1067,41,0),2,0))</f>
        <v>0</v>
      </c>
      <c r="AK394" s="7"/>
      <c r="AL394" s="7" t="str">
        <f t="shared" si="1"/>
        <v/>
      </c>
    </row>
    <row r="395" ht="12.75" customHeight="1">
      <c r="A395" s="86">
        <v>394.0</v>
      </c>
      <c r="B395" s="84" t="s">
        <v>3831</v>
      </c>
      <c r="C395" s="7" t="s">
        <v>3832</v>
      </c>
      <c r="D395" s="7" t="s">
        <v>2648</v>
      </c>
      <c r="E395" s="7" t="s">
        <v>2636</v>
      </c>
      <c r="F395" s="84" t="s">
        <v>3454</v>
      </c>
      <c r="G395" s="84" t="s">
        <v>2522</v>
      </c>
      <c r="H395" s="84" t="s">
        <v>2580</v>
      </c>
      <c r="I395" s="84" t="s">
        <v>2877</v>
      </c>
      <c r="J395" s="7" t="s">
        <v>2978</v>
      </c>
      <c r="K395" s="7">
        <v>31.0</v>
      </c>
      <c r="L395" s="7">
        <v>31.0</v>
      </c>
      <c r="M395" s="7">
        <v>31.0</v>
      </c>
      <c r="N395" s="7">
        <v>0.0</v>
      </c>
      <c r="O395" s="7">
        <v>20.0</v>
      </c>
      <c r="P395" s="7">
        <v>20.0</v>
      </c>
      <c r="Q395" s="7">
        <v>204.0</v>
      </c>
      <c r="R395" s="7">
        <v>60.0</v>
      </c>
      <c r="S395" s="7">
        <v>204.0</v>
      </c>
      <c r="T395" s="7">
        <v>0.0</v>
      </c>
      <c r="U395" s="7">
        <v>0.0</v>
      </c>
      <c r="V395" s="7">
        <v>0.0</v>
      </c>
      <c r="W395" s="7">
        <f>VLOOKUP($D395,NatureChart,2,0)</f>
        <v>1</v>
      </c>
      <c r="X395" s="7">
        <f>VLOOKUP($D395,NatureChart,3,0)</f>
        <v>1.1</v>
      </c>
      <c r="Y395" s="7">
        <f>VLOOKUP($D395,NatureChart,4,0)</f>
        <v>0.9</v>
      </c>
      <c r="Z395" s="7">
        <f>VLOOKUP($D395,NatureChart,5,0)</f>
        <v>1</v>
      </c>
      <c r="AA395" s="84">
        <f>VLOOKUP($D395,NatureChart,6,0)</f>
        <v>1</v>
      </c>
      <c r="AB395" s="84">
        <f>IF($C395="Shedinja",1,(INT((2*VLOOKUP($C395,DexData,5,0)+INT(Q395/4)+K395)/2)+60))</f>
        <v>176</v>
      </c>
      <c r="AC395" s="84">
        <f>INT(INT((INT((2*VLOOKUP($C395,DexData,6,0)+INT(R395/4)+L395)/2)+5)*W395)*IF($E395="Choice Band",1.5,IF(OR($E395="Mawilite",$E395="Medichamite",$E395="Thick Club"),2,1)))</f>
        <v>123</v>
      </c>
      <c r="AD395" s="84">
        <f>INT(INT((INT((2*VLOOKUP($C395,DexData,7,0)+INT(S395/4)+M395)/2)+5)*X395)*IF($E395="Eviolite",1.5,1))</f>
        <v>188</v>
      </c>
      <c r="AE395" s="84">
        <f>INT(INT((INT((2*VLOOKUP($C395,DexData,9,0)+INT(T395/4)+N395)/2)+5)*Y395)*IF($E395="Choice Specs",1.5,1))</f>
        <v>45</v>
      </c>
      <c r="AF395" s="84">
        <f>INT(INT((INT((2*VLOOKUP($C395,DexData,10,0)+INT(U395/4)+O395)/2)+5)*Z395)*IF(OR($E395="Eviolite",$E395="Assault Vest"),1.5,1))</f>
        <v>90</v>
      </c>
      <c r="AG395" s="84">
        <f>INT(INT((INT((2*VLOOKUP($C395,DexData,11,0)+INT(V395/4)+P395)/2)+5)*AA395)*IF($E395="Choice Scarf",1.5,IF($E395="Iron Ball",0.5,1)))</f>
        <v>110</v>
      </c>
      <c r="AH395" s="84" t="str">
        <f>VLOOKUP(VLOOKUP($C395,DexData,3,0),Aliases!D$2:E$19,2,0)&amp;IFERROR("/"&amp;VLOOKUP(VLOOKUP($C395,DexData,4,0),Aliases!D$2:E$19,2,0),"")</f>
        <v>GRD/FLY</v>
      </c>
      <c r="AI395" s="7">
        <v>3.0</v>
      </c>
      <c r="AJ395" s="7">
        <f>IF(VLOOKUP(B395,'Set Odds'!A$2:AN$1067,40,0),1,IF(VLOOKUP(B395,'Set Odds'!A$2:AO$1067,41,0),2,0))</f>
        <v>0</v>
      </c>
      <c r="AK395" s="7"/>
      <c r="AL395" s="7" t="str">
        <f t="shared" si="1"/>
        <v/>
      </c>
    </row>
    <row r="396" ht="12.75" customHeight="1">
      <c r="A396" s="86">
        <v>395.0</v>
      </c>
      <c r="B396" s="84" t="s">
        <v>3833</v>
      </c>
      <c r="C396" s="7" t="s">
        <v>3834</v>
      </c>
      <c r="D396" s="7" t="s">
        <v>3597</v>
      </c>
      <c r="E396" s="7" t="s">
        <v>2685</v>
      </c>
      <c r="F396" s="84" t="s">
        <v>3808</v>
      </c>
      <c r="G396" s="84" t="s">
        <v>2841</v>
      </c>
      <c r="H396" s="84" t="s">
        <v>3510</v>
      </c>
      <c r="I396" s="84" t="s">
        <v>2967</v>
      </c>
      <c r="J396" s="7" t="s">
        <v>3053</v>
      </c>
      <c r="K396" s="7">
        <v>31.0</v>
      </c>
      <c r="L396" s="7">
        <v>0.0</v>
      </c>
      <c r="M396" s="7">
        <v>20.0</v>
      </c>
      <c r="N396" s="7">
        <v>31.0</v>
      </c>
      <c r="O396" s="7">
        <v>31.0</v>
      </c>
      <c r="P396" s="7">
        <v>20.0</v>
      </c>
      <c r="Q396" s="7">
        <v>204.0</v>
      </c>
      <c r="R396" s="7">
        <v>0.0</v>
      </c>
      <c r="S396" s="7">
        <v>0.0</v>
      </c>
      <c r="T396" s="7">
        <v>60.0</v>
      </c>
      <c r="U396" s="7">
        <v>204.0</v>
      </c>
      <c r="V396" s="7">
        <v>0.0</v>
      </c>
      <c r="W396" s="7">
        <f>VLOOKUP($D396,NatureChart,2,0)</f>
        <v>0.9</v>
      </c>
      <c r="X396" s="7">
        <f>VLOOKUP($D396,NatureChart,3,0)</f>
        <v>1</v>
      </c>
      <c r="Y396" s="7">
        <f>VLOOKUP($D396,NatureChart,4,0)</f>
        <v>1</v>
      </c>
      <c r="Z396" s="7">
        <f>VLOOKUP($D396,NatureChart,5,0)</f>
        <v>1.1</v>
      </c>
      <c r="AA396" s="84">
        <f>VLOOKUP($D396,NatureChart,6,0)</f>
        <v>1</v>
      </c>
      <c r="AB396" s="84">
        <f>IF($C396="Shedinja",1,(INT((2*VLOOKUP($C396,DexData,5,0)+INT(Q396/4)+K396)/2)+60))</f>
        <v>181</v>
      </c>
      <c r="AC396" s="84">
        <f>INT(INT((INT((2*VLOOKUP($C396,DexData,6,0)+INT(R396/4)+L396)/2)+5)*W396)*IF($E396="Choice Band",1.5,IF(OR($E396="Mawilite",$E396="Medichamite",$E396="Thick Club"),2,1)))</f>
        <v>67</v>
      </c>
      <c r="AD396" s="84">
        <f>INT(INT((INT((2*VLOOKUP($C396,DexData,7,0)+INT(S396/4)+M396)/2)+5)*X396)*IF($E396="Eviolite",1.5,1))</f>
        <v>80</v>
      </c>
      <c r="AE396" s="84">
        <f>INT(INT((INT((2*VLOOKUP($C396,DexData,9,0)+INT(T396/4)+N396)/2)+5)*Y396)*IF($E396="Choice Specs",1.5,1))</f>
        <v>108</v>
      </c>
      <c r="AF396" s="84">
        <f>INT(INT((INT((2*VLOOKUP($C396,DexData,10,0)+INT(U396/4)+O396)/2)+5)*Z396)*IF(OR($E396="Eviolite",$E396="Assault Vest"),1.5,1))</f>
        <v>182</v>
      </c>
      <c r="AG396" s="84">
        <f>INT(INT((INT((2*VLOOKUP($C396,DexData,11,0)+INT(V396/4)+P396)/2)+5)*AA396)*IF($E396="Choice Scarf",1.5,IF($E396="Iron Ball",0.5,1)))</f>
        <v>115</v>
      </c>
      <c r="AH396" s="84" t="str">
        <f>VLOOKUP(VLOOKUP($C396,DexData,3,0),Aliases!D$2:E$19,2,0)&amp;IFERROR("/"&amp;VLOOKUP(VLOOKUP($C396,DexData,4,0),Aliases!D$2:E$19,2,0),"")</f>
        <v>WTR/PSN</v>
      </c>
      <c r="AI396" s="7">
        <v>3.0</v>
      </c>
      <c r="AJ396" s="7">
        <f>IF(VLOOKUP(B396,'Set Odds'!A$2:AN$1067,40,0),1,IF(VLOOKUP(B396,'Set Odds'!A$2:AO$1067,41,0),2,0))</f>
        <v>0</v>
      </c>
      <c r="AK396" s="7"/>
      <c r="AL396" s="7" t="str">
        <f t="shared" si="1"/>
        <v/>
      </c>
    </row>
    <row r="397" ht="12.75" customHeight="1">
      <c r="A397" s="86">
        <v>396.0</v>
      </c>
      <c r="B397" s="84" t="s">
        <v>3835</v>
      </c>
      <c r="C397" s="7" t="s">
        <v>3836</v>
      </c>
      <c r="D397" s="7" t="s">
        <v>2723</v>
      </c>
      <c r="E397" s="7" t="s">
        <v>2685</v>
      </c>
      <c r="F397" s="84" t="s">
        <v>2534</v>
      </c>
      <c r="G397" s="84" t="s">
        <v>2848</v>
      </c>
      <c r="H397" s="84" t="s">
        <v>2625</v>
      </c>
      <c r="I397" s="84" t="s">
        <v>3448</v>
      </c>
      <c r="J397" s="7" t="s">
        <v>3499</v>
      </c>
      <c r="K397" s="7">
        <v>31.0</v>
      </c>
      <c r="L397" s="7">
        <v>31.0</v>
      </c>
      <c r="M397" s="7">
        <v>20.0</v>
      </c>
      <c r="N397" s="7">
        <v>0.0</v>
      </c>
      <c r="O397" s="7">
        <v>31.0</v>
      </c>
      <c r="P397" s="7">
        <v>20.0</v>
      </c>
      <c r="Q397" s="7">
        <v>204.0</v>
      </c>
      <c r="R397" s="7">
        <v>60.0</v>
      </c>
      <c r="S397" s="7">
        <v>0.0</v>
      </c>
      <c r="T397" s="7">
        <v>0.0</v>
      </c>
      <c r="U397" s="7">
        <v>204.0</v>
      </c>
      <c r="V397" s="7">
        <v>0.0</v>
      </c>
      <c r="W397" s="7">
        <f>VLOOKUP($D397,NatureChart,2,0)</f>
        <v>1</v>
      </c>
      <c r="X397" s="7">
        <f>VLOOKUP($D397,NatureChart,3,0)</f>
        <v>1</v>
      </c>
      <c r="Y397" s="7">
        <f>VLOOKUP($D397,NatureChart,4,0)</f>
        <v>0.9</v>
      </c>
      <c r="Z397" s="7">
        <f>VLOOKUP($D397,NatureChart,5,0)</f>
        <v>1.1</v>
      </c>
      <c r="AA397" s="84">
        <f>VLOOKUP($D397,NatureChart,6,0)</f>
        <v>1</v>
      </c>
      <c r="AB397" s="84">
        <f>IF($C397="Shedinja",1,(INT((2*VLOOKUP($C397,DexData,5,0)+INT(Q397/4)+K397)/2)+60))</f>
        <v>181</v>
      </c>
      <c r="AC397" s="84">
        <f>INT(INT((INT((2*VLOOKUP($C397,DexData,6,0)+INT(R397/4)+L397)/2)+5)*W397)*IF($E397="Choice Band",1.5,IF(OR($E397="Mawilite",$E397="Medichamite",$E397="Thick Club"),2,1)))</f>
        <v>133</v>
      </c>
      <c r="AD397" s="84">
        <f>INT(INT((INT((2*VLOOKUP($C397,DexData,7,0)+INT(S397/4)+M397)/2)+5)*X397)*IF($E397="Eviolite",1.5,1))</f>
        <v>80</v>
      </c>
      <c r="AE397" s="84">
        <f>INT(INT((INT((2*VLOOKUP($C397,DexData,9,0)+INT(T397/4)+N397)/2)+5)*Y397)*IF($E397="Choice Specs",1.5,1))</f>
        <v>58</v>
      </c>
      <c r="AF397" s="84">
        <f>INT(INT((INT((2*VLOOKUP($C397,DexData,10,0)+INT(U397/4)+O397)/2)+5)*Z397)*IF(OR($E397="Eviolite",$E397="Assault Vest"),1.5,1))</f>
        <v>133</v>
      </c>
      <c r="AG397" s="84">
        <f>INT(INT((INT((2*VLOOKUP($C397,DexData,11,0)+INT(V397/4)+P397)/2)+5)*AA397)*IF($E397="Choice Scarf",1.5,IF($E397="Iron Ball",0.5,1)))</f>
        <v>145</v>
      </c>
      <c r="AH397" s="84" t="str">
        <f>VLOOKUP(VLOOKUP($C397,DexData,3,0),Aliases!D$2:E$19,2,0)&amp;IFERROR("/"&amp;VLOOKUP(VLOOKUP($C397,DexData,4,0),Aliases!D$2:E$19,2,0),"")</f>
        <v>RCK/FLY</v>
      </c>
      <c r="AI397" s="7">
        <v>3.0</v>
      </c>
      <c r="AJ397" s="7">
        <f>IF(VLOOKUP(B397,'Set Odds'!A$2:AN$1067,40,0),1,IF(VLOOKUP(B397,'Set Odds'!A$2:AO$1067,41,0),2,0))</f>
        <v>0</v>
      </c>
      <c r="AK397" s="7"/>
      <c r="AL397" s="7" t="str">
        <f t="shared" si="1"/>
        <v/>
      </c>
    </row>
    <row r="398" ht="12.75" customHeight="1">
      <c r="A398" s="86">
        <v>397.0</v>
      </c>
      <c r="B398" s="84" t="s">
        <v>3837</v>
      </c>
      <c r="C398" s="7" t="s">
        <v>3838</v>
      </c>
      <c r="D398" s="7" t="s">
        <v>3597</v>
      </c>
      <c r="E398" s="7" t="s">
        <v>2685</v>
      </c>
      <c r="F398" s="84" t="s">
        <v>3839</v>
      </c>
      <c r="G398" s="84" t="s">
        <v>3840</v>
      </c>
      <c r="H398" s="84" t="s">
        <v>3428</v>
      </c>
      <c r="I398" s="84" t="s">
        <v>3762</v>
      </c>
      <c r="J398" s="7" t="s">
        <v>3841</v>
      </c>
      <c r="K398" s="7">
        <v>31.0</v>
      </c>
      <c r="L398" s="7">
        <v>0.0</v>
      </c>
      <c r="M398" s="7">
        <v>20.0</v>
      </c>
      <c r="N398" s="7">
        <v>31.0</v>
      </c>
      <c r="O398" s="7">
        <v>31.0</v>
      </c>
      <c r="P398" s="7">
        <v>20.0</v>
      </c>
      <c r="Q398" s="7">
        <v>204.0</v>
      </c>
      <c r="R398" s="7">
        <v>0.0</v>
      </c>
      <c r="S398" s="7">
        <v>0.0</v>
      </c>
      <c r="T398" s="7">
        <v>60.0</v>
      </c>
      <c r="U398" s="7">
        <v>204.0</v>
      </c>
      <c r="V398" s="7">
        <v>0.0</v>
      </c>
      <c r="W398" s="7">
        <f>VLOOKUP($D398,NatureChart,2,0)</f>
        <v>0.9</v>
      </c>
      <c r="X398" s="7">
        <f>VLOOKUP($D398,NatureChart,3,0)</f>
        <v>1</v>
      </c>
      <c r="Y398" s="7">
        <f>VLOOKUP($D398,NatureChart,4,0)</f>
        <v>1</v>
      </c>
      <c r="Z398" s="7">
        <f>VLOOKUP($D398,NatureChart,5,0)</f>
        <v>1.1</v>
      </c>
      <c r="AA398" s="84">
        <f>VLOOKUP($D398,NatureChart,6,0)</f>
        <v>1</v>
      </c>
      <c r="AB398" s="84">
        <f>IF($C398="Shedinja",1,(INT((2*VLOOKUP($C398,DexData,5,0)+INT(Q398/4)+K398)/2)+60))</f>
        <v>186</v>
      </c>
      <c r="AC398" s="84">
        <f>INT(INT((INT((2*VLOOKUP($C398,DexData,6,0)+INT(R398/4)+L398)/2)+5)*W398)*IF($E398="Choice Band",1.5,IF(OR($E398="Mawilite",$E398="Medichamite",$E398="Thick Club"),2,1)))</f>
        <v>76</v>
      </c>
      <c r="AD398" s="84">
        <f>INT(INT((INT((2*VLOOKUP($C398,DexData,7,0)+INT(S398/4)+M398)/2)+5)*X398)*IF($E398="Eviolite",1.5,1))</f>
        <v>105</v>
      </c>
      <c r="AE398" s="84">
        <f>INT(INT((INT((2*VLOOKUP($C398,DexData,9,0)+INT(T398/4)+N398)/2)+5)*Y398)*IF($E398="Choice Specs",1.5,1))</f>
        <v>133</v>
      </c>
      <c r="AF398" s="84">
        <f>INT(INT((INT((2*VLOOKUP($C398,DexData,10,0)+INT(U398/4)+O398)/2)+5)*Z398)*IF(OR($E398="Eviolite",$E398="Assault Vest"),1.5,1))</f>
        <v>155</v>
      </c>
      <c r="AG398" s="84">
        <f>INT(INT((INT((2*VLOOKUP($C398,DexData,11,0)+INT(V398/4)+P398)/2)+5)*AA398)*IF($E398="Choice Scarf",1.5,IF($E398="Iron Ball",0.5,1)))</f>
        <v>75</v>
      </c>
      <c r="AH398" s="84" t="str">
        <f>VLOOKUP(VLOOKUP($C398,DexData,3,0),Aliases!D$2:E$19,2,0)&amp;IFERROR("/"&amp;VLOOKUP(VLOOKUP($C398,DexData,4,0),Aliases!D$2:E$19,2,0),"")</f>
        <v>NRM</v>
      </c>
      <c r="AI398" s="7">
        <v>3.0</v>
      </c>
      <c r="AJ398" s="7">
        <f>IF(VLOOKUP(B398,'Set Odds'!A$2:AN$1067,40,0),1,IF(VLOOKUP(B398,'Set Odds'!A$2:AO$1067,41,0),2,0))</f>
        <v>0</v>
      </c>
      <c r="AK398" s="7"/>
      <c r="AL398" s="7" t="str">
        <f t="shared" si="1"/>
        <v/>
      </c>
    </row>
    <row r="399" ht="12.75" customHeight="1">
      <c r="A399" s="86">
        <v>398.0</v>
      </c>
      <c r="B399" s="84" t="s">
        <v>3842</v>
      </c>
      <c r="C399" s="7" t="s">
        <v>3843</v>
      </c>
      <c r="D399" s="7" t="s">
        <v>2723</v>
      </c>
      <c r="E399" s="7" t="s">
        <v>3003</v>
      </c>
      <c r="F399" s="84" t="s">
        <v>3844</v>
      </c>
      <c r="G399" s="84" t="s">
        <v>2841</v>
      </c>
      <c r="H399" s="84" t="s">
        <v>2539</v>
      </c>
      <c r="I399" s="84" t="s">
        <v>3454</v>
      </c>
      <c r="J399" s="7" t="s">
        <v>3145</v>
      </c>
      <c r="K399" s="7">
        <v>31.0</v>
      </c>
      <c r="L399" s="7">
        <v>31.0</v>
      </c>
      <c r="M399" s="7">
        <v>20.0</v>
      </c>
      <c r="N399" s="7">
        <v>0.0</v>
      </c>
      <c r="O399" s="7">
        <v>31.0</v>
      </c>
      <c r="P399" s="7">
        <v>20.0</v>
      </c>
      <c r="Q399" s="7">
        <v>204.0</v>
      </c>
      <c r="R399" s="7">
        <v>60.0</v>
      </c>
      <c r="S399" s="7">
        <v>0.0</v>
      </c>
      <c r="T399" s="7">
        <v>0.0</v>
      </c>
      <c r="U399" s="7">
        <v>204.0</v>
      </c>
      <c r="V399" s="7">
        <v>0.0</v>
      </c>
      <c r="W399" s="7">
        <f>VLOOKUP($D399,NatureChart,2,0)</f>
        <v>1</v>
      </c>
      <c r="X399" s="7">
        <f>VLOOKUP($D399,NatureChart,3,0)</f>
        <v>1</v>
      </c>
      <c r="Y399" s="7">
        <f>VLOOKUP($D399,NatureChart,4,0)</f>
        <v>0.9</v>
      </c>
      <c r="Z399" s="7">
        <f>VLOOKUP($D399,NatureChart,5,0)</f>
        <v>1.1</v>
      </c>
      <c r="AA399" s="84">
        <f>VLOOKUP($D399,NatureChart,6,0)</f>
        <v>1</v>
      </c>
      <c r="AB399" s="84">
        <f>IF($C399="Shedinja",1,(INT((2*VLOOKUP($C399,DexData,5,0)+INT(Q399/4)+K399)/2)+60))</f>
        <v>211</v>
      </c>
      <c r="AC399" s="84">
        <f>INT(INT((INT((2*VLOOKUP($C399,DexData,6,0)+INT(R399/4)+L399)/2)+5)*W399)*IF($E399="Choice Band",1.5,IF(OR($E399="Mawilite",$E399="Medichamite",$E399="Thick Club"),2,1)))</f>
        <v>113</v>
      </c>
      <c r="AD399" s="84">
        <f>INT(INT((INT((2*VLOOKUP($C399,DexData,7,0)+INT(S399/4)+M399)/2)+5)*X399)*IF($E399="Eviolite",1.5,1))</f>
        <v>110</v>
      </c>
      <c r="AE399" s="84">
        <f>INT(INT((INT((2*VLOOKUP($C399,DexData,9,0)+INT(T399/4)+N399)/2)+5)*Y399)*IF($E399="Choice Specs",1.5,1))</f>
        <v>76</v>
      </c>
      <c r="AF399" s="84">
        <f>INT(INT((INT((2*VLOOKUP($C399,DexData,10,0)+INT(U399/4)+O399)/2)+5)*Z399)*IF(OR($E399="Eviolite",$E399="Assault Vest"),1.5,1))</f>
        <v>155</v>
      </c>
      <c r="AG399" s="84">
        <f>INT(INT((INT((2*VLOOKUP($C399,DexData,11,0)+INT(V399/4)+P399)/2)+5)*AA399)*IF($E399="Choice Scarf",1.5,IF($E399="Iron Ball",0.5,1)))</f>
        <v>65</v>
      </c>
      <c r="AH399" s="84" t="str">
        <f>VLOOKUP(VLOOKUP($C399,DexData,3,0),Aliases!D$2:E$19,2,0)&amp;IFERROR("/"&amp;VLOOKUP(VLOOKUP($C399,DexData,4,0),Aliases!D$2:E$19,2,0),"")</f>
        <v>NRM</v>
      </c>
      <c r="AI399" s="7">
        <v>3.0</v>
      </c>
      <c r="AJ399" s="7">
        <f>IF(VLOOKUP(B399,'Set Odds'!A$2:AN$1067,40,0),1,IF(VLOOKUP(B399,'Set Odds'!A$2:AO$1067,41,0),2,0))</f>
        <v>0</v>
      </c>
      <c r="AK399" s="7"/>
      <c r="AL399" s="7" t="str">
        <f t="shared" si="1"/>
        <v/>
      </c>
    </row>
    <row r="400" ht="12.75" customHeight="1">
      <c r="A400" s="86">
        <v>399.0</v>
      </c>
      <c r="B400" s="84" t="s">
        <v>3845</v>
      </c>
      <c r="C400" s="7" t="s">
        <v>3846</v>
      </c>
      <c r="D400" s="7" t="s">
        <v>2571</v>
      </c>
      <c r="E400" s="7" t="s">
        <v>3080</v>
      </c>
      <c r="F400" s="84" t="s">
        <v>2614</v>
      </c>
      <c r="G400" s="84" t="s">
        <v>3475</v>
      </c>
      <c r="H400" s="84" t="s">
        <v>2890</v>
      </c>
      <c r="I400" s="84" t="s">
        <v>3314</v>
      </c>
      <c r="J400" s="7" t="s">
        <v>3217</v>
      </c>
      <c r="K400" s="7">
        <v>31.0</v>
      </c>
      <c r="L400" s="7">
        <v>31.0</v>
      </c>
      <c r="M400" s="7">
        <v>20.0</v>
      </c>
      <c r="N400" s="7">
        <v>0.0</v>
      </c>
      <c r="O400" s="7">
        <v>20.0</v>
      </c>
      <c r="P400" s="7">
        <v>31.0</v>
      </c>
      <c r="Q400" s="7">
        <v>60.0</v>
      </c>
      <c r="R400" s="7">
        <v>204.0</v>
      </c>
      <c r="S400" s="7">
        <v>0.0</v>
      </c>
      <c r="T400" s="7">
        <v>0.0</v>
      </c>
      <c r="U400" s="7">
        <v>0.0</v>
      </c>
      <c r="V400" s="7">
        <v>204.0</v>
      </c>
      <c r="W400" s="7">
        <f>VLOOKUP($D400,NatureChart,2,0)</f>
        <v>1.1</v>
      </c>
      <c r="X400" s="7">
        <f>VLOOKUP($D400,NatureChart,3,0)</f>
        <v>1</v>
      </c>
      <c r="Y400" s="7">
        <f>VLOOKUP($D400,NatureChart,4,0)</f>
        <v>0.9</v>
      </c>
      <c r="Z400" s="7">
        <f>VLOOKUP($D400,NatureChart,5,0)</f>
        <v>1</v>
      </c>
      <c r="AA400" s="84">
        <f>VLOOKUP($D400,NatureChart,6,0)</f>
        <v>1</v>
      </c>
      <c r="AB400" s="84">
        <f>IF($C400="Shedinja",1,(INT((2*VLOOKUP($C400,DexData,5,0)+INT(Q400/4)+K400)/2)+60))</f>
        <v>169</v>
      </c>
      <c r="AC400" s="84">
        <f>INT(INT((INT((2*VLOOKUP($C400,DexData,6,0)+INT(R400/4)+L400)/2)+5)*W400)*IF($E400="Choice Band",1.5,IF(OR($E400="Mawilite",$E400="Medichamite",$E400="Thick Club"),2,1)))</f>
        <v>134</v>
      </c>
      <c r="AD400" s="84">
        <f>INT(INT((INT((2*VLOOKUP($C400,DexData,7,0)+INT(S400/4)+M400)/2)+5)*X400)*IF($E400="Eviolite",1.5,1))</f>
        <v>101</v>
      </c>
      <c r="AE400" s="84">
        <f>INT(INT((INT((2*VLOOKUP($C400,DexData,9,0)+INT(T400/4)+N400)/2)+5)*Y400)*IF($E400="Choice Specs",1.5,1))</f>
        <v>108</v>
      </c>
      <c r="AF400" s="84">
        <f>INT(INT((INT((2*VLOOKUP($C400,DexData,10,0)+INT(U400/4)+O400)/2)+5)*Z400)*IF(OR($E400="Eviolite",$E400="Assault Vest"),1.5,1))</f>
        <v>71</v>
      </c>
      <c r="AG400" s="84">
        <f>INT(INT((INT((2*VLOOKUP($C400,DexData,11,0)+INT(V400/4)+P400)/2)+5)*AA400)*IF($E400="Choice Scarf",1.5,IF($E400="Iron Ball",0.5,1)))</f>
        <v>141</v>
      </c>
      <c r="AH400" s="84" t="str">
        <f>VLOOKUP(VLOOKUP($C400,DexData,3,0),Aliases!D$2:E$19,2,0)&amp;IFERROR("/"&amp;VLOOKUP(VLOOKUP($C400,DexData,4,0),Aliases!D$2:E$19,2,0),"")</f>
        <v>BUG/FLY</v>
      </c>
      <c r="AI400" s="7">
        <v>3.0</v>
      </c>
      <c r="AJ400" s="7">
        <f>IF(VLOOKUP(B400,'Set Odds'!A$2:AN$1067,40,0),1,IF(VLOOKUP(B400,'Set Odds'!A$2:AO$1067,41,0),2,0))</f>
        <v>0</v>
      </c>
      <c r="AK400" s="7"/>
      <c r="AL400" s="7" t="str">
        <f t="shared" si="1"/>
        <v/>
      </c>
    </row>
    <row r="401" ht="12.75" customHeight="1">
      <c r="A401" s="86">
        <v>400.0</v>
      </c>
      <c r="B401" s="84" t="s">
        <v>3847</v>
      </c>
      <c r="C401" s="7" t="s">
        <v>3848</v>
      </c>
      <c r="D401" s="7" t="s">
        <v>2635</v>
      </c>
      <c r="E401" s="7" t="s">
        <v>3726</v>
      </c>
      <c r="F401" s="84" t="s">
        <v>2659</v>
      </c>
      <c r="G401" s="84" t="s">
        <v>2661</v>
      </c>
      <c r="H401" s="84" t="s">
        <v>2763</v>
      </c>
      <c r="I401" s="84" t="s">
        <v>2536</v>
      </c>
      <c r="J401" s="7" t="s">
        <v>3849</v>
      </c>
      <c r="K401" s="7">
        <v>31.0</v>
      </c>
      <c r="L401" s="7">
        <v>0.0</v>
      </c>
      <c r="M401" s="7">
        <v>20.0</v>
      </c>
      <c r="N401" s="7">
        <v>31.0</v>
      </c>
      <c r="O401" s="7">
        <v>20.0</v>
      </c>
      <c r="P401" s="7">
        <v>31.0</v>
      </c>
      <c r="Q401" s="7">
        <v>60.0</v>
      </c>
      <c r="R401" s="7">
        <v>0.0</v>
      </c>
      <c r="S401" s="7">
        <v>0.0</v>
      </c>
      <c r="T401" s="7">
        <v>204.0</v>
      </c>
      <c r="U401" s="7">
        <v>0.0</v>
      </c>
      <c r="V401" s="7">
        <v>204.0</v>
      </c>
      <c r="W401" s="7">
        <f>VLOOKUP($D401,NatureChart,2,0)</f>
        <v>0.9</v>
      </c>
      <c r="X401" s="7">
        <f>VLOOKUP($D401,NatureChart,3,0)</f>
        <v>1</v>
      </c>
      <c r="Y401" s="7">
        <f>VLOOKUP($D401,NatureChart,4,0)</f>
        <v>1</v>
      </c>
      <c r="Z401" s="7">
        <f>VLOOKUP($D401,NatureChart,5,0)</f>
        <v>1</v>
      </c>
      <c r="AA401" s="84">
        <f>VLOOKUP($D401,NatureChart,6,0)</f>
        <v>1.1</v>
      </c>
      <c r="AB401" s="84">
        <f>IF($C401="Shedinja",1,(INT((2*VLOOKUP($C401,DexData,5,0)+INT(Q401/4)+K401)/2)+60))</f>
        <v>151</v>
      </c>
      <c r="AC401" s="84">
        <f>INT(INT((INT((2*VLOOKUP($C401,DexData,6,0)+INT(R401/4)+L401)/2)+5)*W401)*IF($E401="Choice Band",1.5,IF(OR($E401="Mawilite",$E401="Medichamite",$E401="Thick Club"),2,1)))</f>
        <v>63</v>
      </c>
      <c r="AD401" s="84">
        <f>INT(INT((INT((2*VLOOKUP($C401,DexData,7,0)+INT(S401/4)+M401)/2)+5)*X401)*IF($E401="Eviolite",1.5,1))</f>
        <v>80</v>
      </c>
      <c r="AE401" s="84">
        <f>INT(INT((INT((2*VLOOKUP($C401,DexData,9,0)+INT(T401/4)+N401)/2)+5)*Y401)*IF($E401="Choice Specs",1.5,1))</f>
        <v>171</v>
      </c>
      <c r="AF401" s="84">
        <f>INT(INT((INT((2*VLOOKUP($C401,DexData,10,0)+INT(U401/4)+O401)/2)+5)*Z401)*IF(OR($E401="Eviolite",$E401="Assault Vest"),1.5,1))</f>
        <v>130</v>
      </c>
      <c r="AG401" s="84">
        <f>INT(INT((INT((2*VLOOKUP($C401,DexData,11,0)+INT(V401/4)+P401)/2)+5)*AA401)*IF($E401="Choice Scarf",1.5,IF($E401="Iron Ball",0.5,1)))</f>
        <v>138</v>
      </c>
      <c r="AH401" s="84" t="str">
        <f>VLOOKUP(VLOOKUP($C401,DexData,3,0),Aliases!D$2:E$19,2,0)&amp;IFERROR("/"&amp;VLOOKUP(VLOOKUP($C401,DexData,4,0),Aliases!D$2:E$19,2,0),"")</f>
        <v>PSY/FAI</v>
      </c>
      <c r="AI401" s="7">
        <v>3.0</v>
      </c>
      <c r="AJ401" s="7">
        <f>IF(VLOOKUP(B401,'Set Odds'!A$2:AN$1067,40,0),1,IF(VLOOKUP(B401,'Set Odds'!A$2:AO$1067,41,0),2,0))</f>
        <v>0</v>
      </c>
      <c r="AK401" s="7"/>
      <c r="AL401" s="7" t="str">
        <f t="shared" si="1"/>
        <v/>
      </c>
    </row>
    <row r="402" ht="12.75" customHeight="1">
      <c r="A402" s="86">
        <v>401.0</v>
      </c>
      <c r="B402" s="84" t="s">
        <v>3850</v>
      </c>
      <c r="C402" s="7" t="s">
        <v>3851</v>
      </c>
      <c r="D402" s="7" t="s">
        <v>2692</v>
      </c>
      <c r="E402" s="7" t="s">
        <v>2519</v>
      </c>
      <c r="F402" s="84" t="s">
        <v>3852</v>
      </c>
      <c r="G402" s="84" t="s">
        <v>2807</v>
      </c>
      <c r="H402" s="84" t="s">
        <v>2763</v>
      </c>
      <c r="I402" s="84" t="s">
        <v>2536</v>
      </c>
      <c r="J402" s="7" t="s">
        <v>3853</v>
      </c>
      <c r="K402" s="7">
        <v>31.0</v>
      </c>
      <c r="L402" s="7">
        <v>31.0</v>
      </c>
      <c r="M402" s="7">
        <v>20.0</v>
      </c>
      <c r="N402" s="7">
        <v>0.0</v>
      </c>
      <c r="O402" s="7">
        <v>20.0</v>
      </c>
      <c r="P402" s="7">
        <v>31.0</v>
      </c>
      <c r="Q402" s="7">
        <v>60.0</v>
      </c>
      <c r="R402" s="7">
        <v>204.0</v>
      </c>
      <c r="S402" s="7">
        <v>0.0</v>
      </c>
      <c r="T402" s="7">
        <v>0.0</v>
      </c>
      <c r="U402" s="7">
        <v>0.0</v>
      </c>
      <c r="V402" s="7">
        <v>204.0</v>
      </c>
      <c r="W402" s="7">
        <f>VLOOKUP($D402,NatureChart,2,0)</f>
        <v>1</v>
      </c>
      <c r="X402" s="7">
        <f>VLOOKUP($D402,NatureChart,3,0)</f>
        <v>1</v>
      </c>
      <c r="Y402" s="7">
        <f>VLOOKUP($D402,NatureChart,4,0)</f>
        <v>0.9</v>
      </c>
      <c r="Z402" s="7">
        <f>VLOOKUP($D402,NatureChart,5,0)</f>
        <v>1</v>
      </c>
      <c r="AA402" s="84">
        <f>VLOOKUP($D402,NatureChart,6,0)</f>
        <v>1.1</v>
      </c>
      <c r="AB402" s="84">
        <f>IF($C402="Shedinja",1,(INT((2*VLOOKUP($C402,DexData,5,0)+INT(Q402/4)+K402)/2)+60))</f>
        <v>151</v>
      </c>
      <c r="AC402" s="84">
        <f>INT(INT((INT((2*VLOOKUP($C402,DexData,6,0)+INT(R402/4)+L402)/2)+5)*W402)*IF($E402="Choice Band",1.5,IF(OR($E402="Mawilite",$E402="Medichamite",$E402="Thick Club"),2,1)))</f>
        <v>171</v>
      </c>
      <c r="AD402" s="84">
        <f>INT(INT((INT((2*VLOOKUP($C402,DexData,7,0)+INT(S402/4)+M402)/2)+5)*X402)*IF($E402="Eviolite",1.5,1))</f>
        <v>80</v>
      </c>
      <c r="AE402" s="84">
        <f>INT(INT((INT((2*VLOOKUP($C402,DexData,9,0)+INT(T402/4)+N402)/2)+5)*Y402)*IF($E402="Choice Specs",1.5,1))</f>
        <v>63</v>
      </c>
      <c r="AF402" s="84">
        <f>INT(INT((INT((2*VLOOKUP($C402,DexData,10,0)+INT(U402/4)+O402)/2)+5)*Z402)*IF(OR($E402="Eviolite",$E402="Assault Vest"),1.5,1))</f>
        <v>130</v>
      </c>
      <c r="AG402" s="84">
        <f>INT(INT((INT((2*VLOOKUP($C402,DexData,11,0)+INT(V402/4)+P402)/2)+5)*AA402)*IF($E402="Choice Scarf",1.5,IF($E402="Iron Ball",0.5,1)))</f>
        <v>138</v>
      </c>
      <c r="AH402" s="84" t="str">
        <f>VLOOKUP(VLOOKUP($C402,DexData,3,0),Aliases!D$2:E$19,2,0)&amp;IFERROR("/"&amp;VLOOKUP(VLOOKUP($C402,DexData,4,0),Aliases!D$2:E$19,2,0),"")</f>
        <v>PSY/FTG</v>
      </c>
      <c r="AI402" s="7">
        <v>3.0</v>
      </c>
      <c r="AJ402" s="7">
        <f>IF(VLOOKUP(B402,'Set Odds'!A$2:AN$1067,40,0),1,IF(VLOOKUP(B402,'Set Odds'!A$2:AO$1067,41,0),2,0))</f>
        <v>0</v>
      </c>
      <c r="AK402" s="7"/>
      <c r="AL402" s="7" t="str">
        <f t="shared" si="1"/>
        <v/>
      </c>
    </row>
    <row r="403" ht="12.75" customHeight="1">
      <c r="A403" s="86">
        <v>402.0</v>
      </c>
      <c r="B403" s="84" t="s">
        <v>3854</v>
      </c>
      <c r="C403" s="7" t="s">
        <v>3855</v>
      </c>
      <c r="D403" s="7" t="s">
        <v>3597</v>
      </c>
      <c r="E403" s="7" t="s">
        <v>2685</v>
      </c>
      <c r="F403" s="84" t="s">
        <v>2704</v>
      </c>
      <c r="G403" s="84" t="s">
        <v>2575</v>
      </c>
      <c r="H403" s="84" t="s">
        <v>2532</v>
      </c>
      <c r="I403" s="84" t="s">
        <v>3185</v>
      </c>
      <c r="J403" s="7" t="s">
        <v>2701</v>
      </c>
      <c r="K403" s="7">
        <v>31.0</v>
      </c>
      <c r="L403" s="7">
        <v>0.0</v>
      </c>
      <c r="M403" s="7">
        <v>20.0</v>
      </c>
      <c r="N403" s="7">
        <v>31.0</v>
      </c>
      <c r="O403" s="7">
        <v>31.0</v>
      </c>
      <c r="P403" s="7">
        <v>20.0</v>
      </c>
      <c r="Q403" s="7">
        <v>204.0</v>
      </c>
      <c r="R403" s="7">
        <v>0.0</v>
      </c>
      <c r="S403" s="7">
        <v>0.0</v>
      </c>
      <c r="T403" s="7">
        <v>60.0</v>
      </c>
      <c r="U403" s="7">
        <v>204.0</v>
      </c>
      <c r="V403" s="7">
        <v>0.0</v>
      </c>
      <c r="W403" s="7">
        <f>VLOOKUP($D403,NatureChart,2,0)</f>
        <v>0.9</v>
      </c>
      <c r="X403" s="7">
        <f>VLOOKUP($D403,NatureChart,3,0)</f>
        <v>1</v>
      </c>
      <c r="Y403" s="7">
        <f>VLOOKUP($D403,NatureChart,4,0)</f>
        <v>1</v>
      </c>
      <c r="Z403" s="7">
        <f>VLOOKUP($D403,NatureChart,5,0)</f>
        <v>1.1</v>
      </c>
      <c r="AA403" s="84">
        <f>VLOOKUP($D403,NatureChart,6,0)</f>
        <v>1</v>
      </c>
      <c r="AB403" s="84">
        <f>IF($C403="Shedinja",1,(INT((2*VLOOKUP($C403,DexData,5,0)+INT(Q403/4)+K403)/2)+60))</f>
        <v>196</v>
      </c>
      <c r="AC403" s="84">
        <f>INT(INT((INT((2*VLOOKUP($C403,DexData,6,0)+INT(R403/4)+L403)/2)+5)*W403)*IF($E403="Choice Band",1.5,IF(OR($E403="Mawilite",$E403="Medichamite",$E403="Thick Club"),2,1)))</f>
        <v>90</v>
      </c>
      <c r="AD403" s="84">
        <f>INT(INT((INT((2*VLOOKUP($C403,DexData,7,0)+INT(S403/4)+M403)/2)+5)*X403)*IF($E403="Eviolite",1.5,1))</f>
        <v>100</v>
      </c>
      <c r="AE403" s="84">
        <f>INT(INT((INT((2*VLOOKUP($C403,DexData,9,0)+INT(T403/4)+N403)/2)+5)*Y403)*IF($E403="Choice Specs",1.5,1))</f>
        <v>153</v>
      </c>
      <c r="AF403" s="84">
        <f>INT(INT((INT((2*VLOOKUP($C403,DexData,10,0)+INT(U403/4)+O403)/2)+5)*Z403)*IF(OR($E403="Eviolite",$E403="Assault Vest"),1.5,1))</f>
        <v>133</v>
      </c>
      <c r="AG403" s="84">
        <f>INT(INT((INT((2*VLOOKUP($C403,DexData,11,0)+INT(V403/4)+P403)/2)+5)*AA403)*IF($E403="Choice Scarf",1.5,IF($E403="Iron Ball",0.5,1)))</f>
        <v>70</v>
      </c>
      <c r="AH403" s="84" t="str">
        <f>VLOOKUP(VLOOKUP($C403,DexData,3,0),Aliases!D$2:E$19,2,0)&amp;IFERROR("/"&amp;VLOOKUP(VLOOKUP($C403,DexData,4,0),Aliases!D$2:E$19,2,0),"")</f>
        <v>GRS/PSY</v>
      </c>
      <c r="AI403" s="7">
        <v>3.0</v>
      </c>
      <c r="AJ403" s="7">
        <f>IF(VLOOKUP(B403,'Set Odds'!A$2:AN$1067,40,0),1,IF(VLOOKUP(B403,'Set Odds'!A$2:AO$1067,41,0),2,0))</f>
        <v>0</v>
      </c>
      <c r="AK403" s="7"/>
      <c r="AL403" s="7" t="str">
        <f t="shared" si="1"/>
        <v/>
      </c>
    </row>
    <row r="404" ht="12.75" customHeight="1">
      <c r="A404" s="86">
        <v>403.0</v>
      </c>
      <c r="B404" s="84" t="s">
        <v>3856</v>
      </c>
      <c r="C404" s="7" t="s">
        <v>3857</v>
      </c>
      <c r="D404" s="7" t="s">
        <v>2635</v>
      </c>
      <c r="E404" s="7" t="s">
        <v>2515</v>
      </c>
      <c r="F404" s="84" t="s">
        <v>3341</v>
      </c>
      <c r="G404" s="84" t="s">
        <v>3435</v>
      </c>
      <c r="H404" s="84" t="s">
        <v>2823</v>
      </c>
      <c r="I404" s="84" t="s">
        <v>2659</v>
      </c>
      <c r="J404" s="7" t="s">
        <v>3169</v>
      </c>
      <c r="K404" s="7">
        <v>31.0</v>
      </c>
      <c r="L404" s="7">
        <v>0.0</v>
      </c>
      <c r="M404" s="7">
        <v>20.0</v>
      </c>
      <c r="N404" s="7">
        <v>31.0</v>
      </c>
      <c r="O404" s="7">
        <v>20.0</v>
      </c>
      <c r="P404" s="7">
        <v>31.0</v>
      </c>
      <c r="Q404" s="7">
        <v>52.0</v>
      </c>
      <c r="R404" s="7">
        <v>0.0</v>
      </c>
      <c r="S404" s="7">
        <v>0.0</v>
      </c>
      <c r="T404" s="7">
        <v>204.0</v>
      </c>
      <c r="U404" s="7">
        <v>0.0</v>
      </c>
      <c r="V404" s="7">
        <v>252.0</v>
      </c>
      <c r="W404" s="7">
        <f>VLOOKUP($D404,NatureChart,2,0)</f>
        <v>0.9</v>
      </c>
      <c r="X404" s="7">
        <f>VLOOKUP($D404,NatureChart,3,0)</f>
        <v>1</v>
      </c>
      <c r="Y404" s="7">
        <f>VLOOKUP($D404,NatureChart,4,0)</f>
        <v>1</v>
      </c>
      <c r="Z404" s="7">
        <f>VLOOKUP($D404,NatureChart,5,0)</f>
        <v>1</v>
      </c>
      <c r="AA404" s="84">
        <f>VLOOKUP($D404,NatureChart,6,0)</f>
        <v>1.1</v>
      </c>
      <c r="AB404" s="84">
        <f>IF($C404="Shedinja",1,(INT((2*VLOOKUP($C404,DexData,5,0)+INT(Q404/4)+K404)/2)+60))</f>
        <v>142</v>
      </c>
      <c r="AC404" s="84">
        <f>INT(INT((INT((2*VLOOKUP($C404,DexData,6,0)+INT(R404/4)+L404)/2)+5)*W404)*IF($E404="Choice Band",1.5,IF(OR($E404="Mawilite",$E404="Medichamite",$E404="Thick Club"),2,1)))</f>
        <v>72</v>
      </c>
      <c r="AD404" s="84">
        <f>INT(INT((INT((2*VLOOKUP($C404,DexData,7,0)+INT(S404/4)+M404)/2)+5)*X404)*IF($E404="Eviolite",1.5,1))</f>
        <v>100</v>
      </c>
      <c r="AE404" s="84">
        <f>INT(INT((INT((2*VLOOKUP($C404,DexData,9,0)+INT(T404/4)+N404)/2)+5)*Y404)*IF($E404="Choice Specs",1.5,1))</f>
        <v>146</v>
      </c>
      <c r="AF404" s="84">
        <f>INT(INT((INT((2*VLOOKUP($C404,DexData,10,0)+INT(U404/4)+O404)/2)+5)*Z404)*IF(OR($E404="Eviolite",$E404="Assault Vest"),1.5,1))</f>
        <v>100</v>
      </c>
      <c r="AG404" s="84">
        <f>INT(INT((INT((2*VLOOKUP($C404,DexData,11,0)+INT(V404/4)+P404)/2)+5)*AA404)*IF($E404="Choice Scarf",1.5,IF($E404="Iron Ball",0.5,1)))</f>
        <v>183</v>
      </c>
      <c r="AH404" s="84" t="str">
        <f>VLOOKUP(VLOOKUP($C404,DexData,3,0),Aliases!D$2:E$19,2,0)&amp;IFERROR("/"&amp;VLOOKUP(VLOOKUP($C404,DexData,4,0),Aliases!D$2:E$19,2,0),"")</f>
        <v>WTR/PSY</v>
      </c>
      <c r="AI404" s="7">
        <v>3.0</v>
      </c>
      <c r="AJ404" s="7">
        <f>IF(VLOOKUP(B404,'Set Odds'!A$2:AN$1067,40,0),1,IF(VLOOKUP(B404,'Set Odds'!A$2:AO$1067,41,0),2,0))</f>
        <v>0</v>
      </c>
      <c r="AK404" s="7"/>
      <c r="AL404" s="7" t="str">
        <f t="shared" si="1"/>
        <v/>
      </c>
    </row>
    <row r="405" ht="12.75" customHeight="1">
      <c r="A405" s="86">
        <v>404.0</v>
      </c>
      <c r="B405" s="84" t="s">
        <v>3858</v>
      </c>
      <c r="C405" s="7" t="s">
        <v>3859</v>
      </c>
      <c r="D405" s="7" t="s">
        <v>2571</v>
      </c>
      <c r="E405" s="7" t="s">
        <v>2750</v>
      </c>
      <c r="F405" s="84" t="s">
        <v>3454</v>
      </c>
      <c r="G405" s="84" t="s">
        <v>2801</v>
      </c>
      <c r="H405" s="84" t="s">
        <v>3441</v>
      </c>
      <c r="I405" s="84" t="s">
        <v>2764</v>
      </c>
      <c r="J405" s="7" t="s">
        <v>2714</v>
      </c>
      <c r="K405" s="7">
        <v>31.0</v>
      </c>
      <c r="L405" s="7">
        <v>31.0</v>
      </c>
      <c r="M405" s="7">
        <v>25.0</v>
      </c>
      <c r="N405" s="7">
        <v>0.0</v>
      </c>
      <c r="O405" s="7">
        <v>25.0</v>
      </c>
      <c r="P405" s="7">
        <v>31.0</v>
      </c>
      <c r="Q405" s="7">
        <v>44.0</v>
      </c>
      <c r="R405" s="7">
        <v>220.0</v>
      </c>
      <c r="S405" s="7">
        <v>0.0</v>
      </c>
      <c r="T405" s="7">
        <v>0.0</v>
      </c>
      <c r="U405" s="7">
        <v>0.0</v>
      </c>
      <c r="V405" s="7">
        <v>220.0</v>
      </c>
      <c r="W405" s="7">
        <f>VLOOKUP($D405,NatureChart,2,0)</f>
        <v>1.1</v>
      </c>
      <c r="X405" s="7">
        <f>VLOOKUP($D405,NatureChart,3,0)</f>
        <v>1</v>
      </c>
      <c r="Y405" s="7">
        <f>VLOOKUP($D405,NatureChart,4,0)</f>
        <v>0.9</v>
      </c>
      <c r="Z405" s="7">
        <f>VLOOKUP($D405,NatureChart,5,0)</f>
        <v>1</v>
      </c>
      <c r="AA405" s="84">
        <f>VLOOKUP($D405,NatureChart,6,0)</f>
        <v>1</v>
      </c>
      <c r="AB405" s="84">
        <f>IF($C405="Shedinja",1,(INT((2*VLOOKUP($C405,DexData,5,0)+INT(Q405/4)+K405)/2)+60))</f>
        <v>161</v>
      </c>
      <c r="AC405" s="84">
        <f>INT(INT((INT((2*VLOOKUP($C405,DexData,6,0)+INT(R405/4)+L405)/2)+5)*W405)*IF($E405="Choice Band",1.5,IF(OR($E405="Mawilite",$E405="Medichamite",$E405="Thick Club"),2,1)))</f>
        <v>162</v>
      </c>
      <c r="AD405" s="84">
        <f>INT(INT((INT((2*VLOOKUP($C405,DexData,7,0)+INT(S405/4)+M405)/2)+5)*X405)*IF($E405="Eviolite",1.5,1))</f>
        <v>97</v>
      </c>
      <c r="AE405" s="84">
        <f>INT(INT((INT((2*VLOOKUP($C405,DexData,9,0)+INT(T405/4)+N405)/2)+5)*Y405)*IF($E405="Choice Specs",1.5,1))</f>
        <v>76</v>
      </c>
      <c r="AF405" s="84">
        <f>INT(INT((INT((2*VLOOKUP($C405,DexData,10,0)+INT(U405/4)+O405)/2)+5)*Z405)*IF(OR($E405="Eviolite",$E405="Assault Vest"),1.5,1))</f>
        <v>97</v>
      </c>
      <c r="AG405" s="84">
        <f>INT(INT((INT((2*VLOOKUP($C405,DexData,11,0)+INT(V405/4)+P405)/2)+5)*AA405)*IF($E405="Choice Scarf",1.5,IF($E405="Iron Ball",0.5,1)))</f>
        <v>148</v>
      </c>
      <c r="AH405" s="84" t="str">
        <f>VLOOKUP(VLOOKUP($C405,DexData,3,0),Aliases!D$2:E$19,2,0)&amp;IFERROR("/"&amp;VLOOKUP(VLOOKUP($C405,DexData,4,0),Aliases!D$2:E$19,2,0),"")</f>
        <v>GRD/DRG</v>
      </c>
      <c r="AI405" s="7">
        <v>3.0</v>
      </c>
      <c r="AJ405" s="7">
        <f>IF(VLOOKUP(B405,'Set Odds'!A$2:AN$1067,40,0),1,IF(VLOOKUP(B405,'Set Odds'!A$2:AO$1067,41,0),2,0))</f>
        <v>0</v>
      </c>
      <c r="AK405" s="7"/>
      <c r="AL405" s="7" t="str">
        <f t="shared" si="1"/>
        <v/>
      </c>
    </row>
    <row r="406" ht="12.75" customHeight="1">
      <c r="A406" s="86">
        <v>405.0</v>
      </c>
      <c r="B406" s="84" t="s">
        <v>3860</v>
      </c>
      <c r="C406" s="7" t="s">
        <v>3861</v>
      </c>
      <c r="D406" s="7" t="s">
        <v>2862</v>
      </c>
      <c r="E406" s="7" t="s">
        <v>2685</v>
      </c>
      <c r="F406" s="84" t="s">
        <v>2880</v>
      </c>
      <c r="G406" s="84" t="s">
        <v>2823</v>
      </c>
      <c r="H406" s="84" t="s">
        <v>2972</v>
      </c>
      <c r="I406" s="84" t="s">
        <v>2841</v>
      </c>
      <c r="J406" s="7" t="s">
        <v>3059</v>
      </c>
      <c r="K406" s="7">
        <v>31.0</v>
      </c>
      <c r="L406" s="7">
        <v>0.0</v>
      </c>
      <c r="M406" s="7">
        <v>31.0</v>
      </c>
      <c r="N406" s="7">
        <v>31.0</v>
      </c>
      <c r="O406" s="7">
        <v>25.0</v>
      </c>
      <c r="P406" s="7">
        <v>25.0</v>
      </c>
      <c r="Q406" s="7">
        <v>220.0</v>
      </c>
      <c r="R406" s="7">
        <v>0.0</v>
      </c>
      <c r="S406" s="7">
        <v>220.0</v>
      </c>
      <c r="T406" s="7">
        <v>44.0</v>
      </c>
      <c r="U406" s="7">
        <v>0.0</v>
      </c>
      <c r="V406" s="7">
        <v>0.0</v>
      </c>
      <c r="W406" s="7">
        <f>VLOOKUP($D406,NatureChart,2,0)</f>
        <v>0.9</v>
      </c>
      <c r="X406" s="7">
        <f>VLOOKUP($D406,NatureChart,3,0)</f>
        <v>1.1</v>
      </c>
      <c r="Y406" s="7">
        <f>VLOOKUP($D406,NatureChart,4,0)</f>
        <v>1</v>
      </c>
      <c r="Z406" s="7">
        <f>VLOOKUP($D406,NatureChart,5,0)</f>
        <v>1</v>
      </c>
      <c r="AA406" s="84">
        <f>VLOOKUP($D406,NatureChart,6,0)</f>
        <v>1</v>
      </c>
      <c r="AB406" s="84">
        <f>IF($C406="Shedinja",1,(INT((2*VLOOKUP($C406,DexData,5,0)+INT(Q406/4)+K406)/2)+60))</f>
        <v>233</v>
      </c>
      <c r="AC406" s="84">
        <f>INT(INT((INT((2*VLOOKUP($C406,DexData,6,0)+INT(R406/4)+L406)/2)+5)*W406)*IF($E406="Choice Band",1.5,IF(OR($E406="Mawilite",$E406="Medichamite",$E406="Thick Club"),2,1)))</f>
        <v>63</v>
      </c>
      <c r="AD406" s="84">
        <f>INT(INT((INT((2*VLOOKUP($C406,DexData,7,0)+INT(S406/4)+M406)/2)+5)*X406)*IF($E406="Eviolite",1.5,1))</f>
        <v>118</v>
      </c>
      <c r="AE406" s="84">
        <f>INT(INT((INT((2*VLOOKUP($C406,DexData,9,0)+INT(T406/4)+N406)/2)+5)*Y406)*IF($E406="Choice Specs",1.5,1))</f>
        <v>136</v>
      </c>
      <c r="AF406" s="84">
        <f>INT(INT((INT((2*VLOOKUP($C406,DexData,10,0)+INT(U406/4)+O406)/2)+5)*Z406)*IF(OR($E406="Eviolite",$E406="Assault Vest"),1.5,1))</f>
        <v>112</v>
      </c>
      <c r="AG406" s="84">
        <f>INT(INT((INT((2*VLOOKUP($C406,DexData,11,0)+INT(V406/4)+P406)/2)+5)*AA406)*IF($E406="Choice Scarf",1.5,IF($E406="Iron Ball",0.5,1)))</f>
        <v>82</v>
      </c>
      <c r="AH406" s="84" t="str">
        <f>VLOOKUP(VLOOKUP($C406,DexData,3,0),Aliases!D$2:E$19,2,0)&amp;IFERROR("/"&amp;VLOOKUP(VLOOKUP($C406,DexData,4,0),Aliases!D$2:E$19,2,0),"")</f>
        <v>WTR</v>
      </c>
      <c r="AI406" s="7">
        <v>3.0</v>
      </c>
      <c r="AJ406" s="7">
        <f>IF(VLOOKUP(B406,'Set Odds'!A$2:AN$1067,40,0),1,IF(VLOOKUP(B406,'Set Odds'!A$2:AO$1067,41,0),2,0))</f>
        <v>0</v>
      </c>
      <c r="AK406" s="7"/>
      <c r="AL406" s="7" t="str">
        <f t="shared" si="1"/>
        <v/>
      </c>
    </row>
    <row r="407" ht="12.75" customHeight="1">
      <c r="A407" s="86">
        <v>406.0</v>
      </c>
      <c r="B407" s="84" t="s">
        <v>3862</v>
      </c>
      <c r="C407" s="7" t="s">
        <v>3863</v>
      </c>
      <c r="D407" s="7" t="s">
        <v>2635</v>
      </c>
      <c r="E407" s="7" t="s">
        <v>3148</v>
      </c>
      <c r="F407" s="84" t="s">
        <v>3435</v>
      </c>
      <c r="G407" s="84" t="s">
        <v>3523</v>
      </c>
      <c r="H407" s="84" t="s">
        <v>2661</v>
      </c>
      <c r="I407" s="84" t="s">
        <v>2688</v>
      </c>
      <c r="J407" s="7" t="s">
        <v>3000</v>
      </c>
      <c r="K407" s="7">
        <v>31.0</v>
      </c>
      <c r="L407" s="7">
        <v>0.0</v>
      </c>
      <c r="M407" s="7">
        <v>25.0</v>
      </c>
      <c r="N407" s="7">
        <v>31.0</v>
      </c>
      <c r="O407" s="7">
        <v>25.0</v>
      </c>
      <c r="P407" s="7">
        <v>31.0</v>
      </c>
      <c r="Q407" s="7">
        <v>36.0</v>
      </c>
      <c r="R407" s="7">
        <v>0.0</v>
      </c>
      <c r="S407" s="7">
        <v>0.0</v>
      </c>
      <c r="T407" s="7">
        <v>220.0</v>
      </c>
      <c r="U407" s="7">
        <v>0.0</v>
      </c>
      <c r="V407" s="7">
        <v>252.0</v>
      </c>
      <c r="W407" s="7">
        <f>VLOOKUP($D407,NatureChart,2,0)</f>
        <v>0.9</v>
      </c>
      <c r="X407" s="7">
        <f>VLOOKUP($D407,NatureChart,3,0)</f>
        <v>1</v>
      </c>
      <c r="Y407" s="7">
        <f>VLOOKUP($D407,NatureChart,4,0)</f>
        <v>1</v>
      </c>
      <c r="Z407" s="7">
        <f>VLOOKUP($D407,NatureChart,5,0)</f>
        <v>1</v>
      </c>
      <c r="AA407" s="84">
        <f>VLOOKUP($D407,NatureChart,6,0)</f>
        <v>1.1</v>
      </c>
      <c r="AB407" s="84">
        <f>IF($C407="Shedinja",1,(INT((2*VLOOKUP($C407,DexData,5,0)+INT(Q407/4)+K407)/2)+60))</f>
        <v>145</v>
      </c>
      <c r="AC407" s="84">
        <f>INT(INT((INT((2*VLOOKUP($C407,DexData,6,0)+INT(R407/4)+L407)/2)+5)*W407)*IF($E407="Choice Band",1.5,IF(OR($E407="Mawilite",$E407="Medichamite",$E407="Thick Club"),2,1)))</f>
        <v>63</v>
      </c>
      <c r="AD407" s="84">
        <f>INT(INT((INT((2*VLOOKUP($C407,DexData,7,0)+INT(S407/4)+M407)/2)+5)*X407)*IF($E407="Eviolite",1.5,1))</f>
        <v>77</v>
      </c>
      <c r="AE407" s="84">
        <f>INT(INT((INT((2*VLOOKUP($C407,DexData,9,0)+INT(T407/4)+N407)/2)+5)*Y407)*IF($E407="Choice Specs",1.5,1))</f>
        <v>158</v>
      </c>
      <c r="AF407" s="84">
        <f>INT(INT((INT((2*VLOOKUP($C407,DexData,10,0)+INT(U407/4)+O407)/2)+5)*Z407)*IF(OR($E407="Eviolite",$E407="Assault Vest"),1.5,1))</f>
        <v>112</v>
      </c>
      <c r="AG407" s="84">
        <f>INT(INT((INT((2*VLOOKUP($C407,DexData,11,0)+INT(V407/4)+P407)/2)+5)*AA407)*IF($E407="Choice Scarf",1.5,IF($E407="Iron Ball",0.5,1)))</f>
        <v>200</v>
      </c>
      <c r="AH407" s="84" t="str">
        <f>VLOOKUP(VLOOKUP($C407,DexData,3,0),Aliases!D$2:E$19,2,0)&amp;IFERROR("/"&amp;VLOOKUP(VLOOKUP($C407,DexData,4,0),Aliases!D$2:E$19,2,0),"")</f>
        <v>ELC</v>
      </c>
      <c r="AI407" s="7">
        <v>3.0</v>
      </c>
      <c r="AJ407" s="7">
        <f>IF(VLOOKUP(B407,'Set Odds'!A$2:AN$1067,40,0),1,IF(VLOOKUP(B407,'Set Odds'!A$2:AO$1067,41,0),2,0))</f>
        <v>0</v>
      </c>
      <c r="AK407" s="7"/>
      <c r="AL407" s="7" t="str">
        <f t="shared" si="1"/>
        <v/>
      </c>
    </row>
    <row r="408" ht="12.75" customHeight="1">
      <c r="A408" s="86">
        <v>407.0</v>
      </c>
      <c r="B408" s="84" t="s">
        <v>3864</v>
      </c>
      <c r="C408" s="7" t="s">
        <v>3865</v>
      </c>
      <c r="D408" s="7" t="s">
        <v>2571</v>
      </c>
      <c r="E408" s="7" t="s">
        <v>3014</v>
      </c>
      <c r="F408" s="84" t="s">
        <v>2732</v>
      </c>
      <c r="G408" s="84" t="s">
        <v>3608</v>
      </c>
      <c r="H408" s="84" t="s">
        <v>2746</v>
      </c>
      <c r="I408" s="84" t="s">
        <v>2602</v>
      </c>
      <c r="J408" s="7" t="s">
        <v>3016</v>
      </c>
      <c r="K408" s="7">
        <v>31.0</v>
      </c>
      <c r="L408" s="7">
        <v>31.0</v>
      </c>
      <c r="M408" s="7">
        <v>31.0</v>
      </c>
      <c r="N408" s="7">
        <v>0.0</v>
      </c>
      <c r="O408" s="7">
        <v>25.0</v>
      </c>
      <c r="P408" s="7">
        <v>25.0</v>
      </c>
      <c r="Q408" s="7">
        <v>220.0</v>
      </c>
      <c r="R408" s="7">
        <v>220.0</v>
      </c>
      <c r="S408" s="7">
        <v>44.0</v>
      </c>
      <c r="T408" s="7">
        <v>0.0</v>
      </c>
      <c r="U408" s="7">
        <v>0.0</v>
      </c>
      <c r="V408" s="7">
        <v>0.0</v>
      </c>
      <c r="W408" s="7">
        <f>VLOOKUP($D408,NatureChart,2,0)</f>
        <v>1.1</v>
      </c>
      <c r="X408" s="7">
        <f>VLOOKUP($D408,NatureChart,3,0)</f>
        <v>1</v>
      </c>
      <c r="Y408" s="7">
        <f>VLOOKUP($D408,NatureChart,4,0)</f>
        <v>0.9</v>
      </c>
      <c r="Z408" s="7">
        <f>VLOOKUP($D408,NatureChart,5,0)</f>
        <v>1</v>
      </c>
      <c r="AA408" s="84">
        <f>VLOOKUP($D408,NatureChart,6,0)</f>
        <v>1</v>
      </c>
      <c r="AB408" s="84">
        <f>IF($C408="Shedinja",1,(INT((2*VLOOKUP($C408,DexData,5,0)+INT(Q408/4)+K408)/2)+60))</f>
        <v>168</v>
      </c>
      <c r="AC408" s="84">
        <f>INT(INT((INT((2*VLOOKUP($C408,DexData,6,0)+INT(R408/4)+L408)/2)+5)*W408)*IF($E408="Choice Band",1.5,IF(OR($E408="Mawilite",$E408="Medichamite",$E408="Thick Club"),2,1)))</f>
        <v>195</v>
      </c>
      <c r="AD408" s="84">
        <f>INT(INT((INT((2*VLOOKUP($C408,DexData,7,0)+INT(S408/4)+M408)/2)+5)*X408)*IF($E408="Eviolite",1.5,1))</f>
        <v>86</v>
      </c>
      <c r="AE408" s="84">
        <f>INT(INT((INT((2*VLOOKUP($C408,DexData,9,0)+INT(T408/4)+N408)/2)+5)*Y408)*IF($E408="Choice Specs",1.5,1))</f>
        <v>90</v>
      </c>
      <c r="AF408" s="84">
        <f>INT(INT((INT((2*VLOOKUP($C408,DexData,10,0)+INT(U408/4)+O408)/2)+5)*Z408)*IF(OR($E408="Eviolite",$E408="Assault Vest"),1.5,1))</f>
        <v>127</v>
      </c>
      <c r="AG408" s="84">
        <f>INT(INT((INT((2*VLOOKUP($C408,DexData,11,0)+INT(V408/4)+P408)/2)+5)*AA408)*IF($E408="Choice Scarf",1.5,IF($E408="Iron Ball",0.5,1)))</f>
        <v>82</v>
      </c>
      <c r="AH408" s="84" t="str">
        <f>VLOOKUP(VLOOKUP($C408,DexData,3,0),Aliases!D$2:E$19,2,0)&amp;IFERROR("/"&amp;VLOOKUP(VLOOKUP($C408,DexData,4,0),Aliases!D$2:E$19,2,0),"")</f>
        <v>FIR</v>
      </c>
      <c r="AI408" s="7">
        <v>3.0</v>
      </c>
      <c r="AJ408" s="7">
        <f>IF(VLOOKUP(B408,'Set Odds'!A$2:AN$1067,40,0),1,IF(VLOOKUP(B408,'Set Odds'!A$2:AO$1067,41,0),2,0))</f>
        <v>0</v>
      </c>
      <c r="AK408" s="7"/>
      <c r="AL408" s="7" t="str">
        <f t="shared" si="1"/>
        <v/>
      </c>
    </row>
    <row r="409" ht="12.75" customHeight="1">
      <c r="A409" s="86">
        <v>408.0</v>
      </c>
      <c r="B409" s="84" t="s">
        <v>3866</v>
      </c>
      <c r="C409" s="7" t="s">
        <v>3867</v>
      </c>
      <c r="D409" s="7" t="s">
        <v>2635</v>
      </c>
      <c r="E409" s="7" t="s">
        <v>2515</v>
      </c>
      <c r="F409" s="84" t="s">
        <v>2596</v>
      </c>
      <c r="G409" s="84" t="s">
        <v>2659</v>
      </c>
      <c r="H409" s="84" t="s">
        <v>2661</v>
      </c>
      <c r="I409" s="84" t="s">
        <v>3260</v>
      </c>
      <c r="J409" s="7" t="s">
        <v>2953</v>
      </c>
      <c r="K409" s="7">
        <v>31.0</v>
      </c>
      <c r="L409" s="7">
        <v>0.0</v>
      </c>
      <c r="M409" s="7">
        <v>25.0</v>
      </c>
      <c r="N409" s="7">
        <v>31.0</v>
      </c>
      <c r="O409" s="7">
        <v>25.0</v>
      </c>
      <c r="P409" s="7">
        <v>31.0</v>
      </c>
      <c r="Q409" s="7">
        <v>44.0</v>
      </c>
      <c r="R409" s="7">
        <v>0.0</v>
      </c>
      <c r="S409" s="7">
        <v>0.0</v>
      </c>
      <c r="T409" s="7">
        <v>220.0</v>
      </c>
      <c r="U409" s="7">
        <v>0.0</v>
      </c>
      <c r="V409" s="7">
        <v>220.0</v>
      </c>
      <c r="W409" s="7">
        <f>VLOOKUP($D409,NatureChart,2,0)</f>
        <v>0.9</v>
      </c>
      <c r="X409" s="7">
        <f>VLOOKUP($D409,NatureChart,3,0)</f>
        <v>1</v>
      </c>
      <c r="Y409" s="7">
        <f>VLOOKUP($D409,NatureChart,4,0)</f>
        <v>1</v>
      </c>
      <c r="Z409" s="7">
        <f>VLOOKUP($D409,NatureChart,5,0)</f>
        <v>1</v>
      </c>
      <c r="AA409" s="84">
        <f>VLOOKUP($D409,NatureChart,6,0)</f>
        <v>1.1</v>
      </c>
      <c r="AB409" s="84">
        <f>IF($C409="Shedinja",1,(INT((2*VLOOKUP($C409,DexData,5,0)+INT(Q409/4)+K409)/2)+60))</f>
        <v>146</v>
      </c>
      <c r="AC409" s="84">
        <f>INT(INT((INT((2*VLOOKUP($C409,DexData,6,0)+INT(R409/4)+L409)/2)+5)*W409)*IF($E409="Choice Band",1.5,IF(OR($E409="Mawilite",$E409="Medichamite",$E409="Thick Club"),2,1)))</f>
        <v>63</v>
      </c>
      <c r="AD409" s="84">
        <f>INT(INT((INT((2*VLOOKUP($C409,DexData,7,0)+INT(S409/4)+M409)/2)+5)*X409)*IF($E409="Eviolite",1.5,1))</f>
        <v>77</v>
      </c>
      <c r="AE409" s="84">
        <f>INT(INT((INT((2*VLOOKUP($C409,DexData,9,0)+INT(T409/4)+N409)/2)+5)*Y409)*IF($E409="Choice Specs",1.5,1))</f>
        <v>178</v>
      </c>
      <c r="AF409" s="84">
        <f>INT(INT((INT((2*VLOOKUP($C409,DexData,10,0)+INT(U409/4)+O409)/2)+5)*Z409)*IF(OR($E409="Eviolite",$E409="Assault Vest"),1.5,1))</f>
        <v>112</v>
      </c>
      <c r="AG409" s="84">
        <f>INT(INT((INT((2*VLOOKUP($C409,DexData,11,0)+INT(V409/4)+P409)/2)+5)*AA409)*IF($E409="Choice Scarf",1.5,IF($E409="Iron Ball",0.5,1)))</f>
        <v>173</v>
      </c>
      <c r="AH409" s="84" t="str">
        <f>VLOOKUP(VLOOKUP($C409,DexData,3,0),Aliases!D$2:E$19,2,0)&amp;IFERROR("/"&amp;VLOOKUP(VLOOKUP($C409,DexData,4,0),Aliases!D$2:E$19,2,0),"")</f>
        <v>PSY</v>
      </c>
      <c r="AI409" s="7">
        <v>3.0</v>
      </c>
      <c r="AJ409" s="7">
        <f>IF(VLOOKUP(B409,'Set Odds'!A$2:AN$1067,40,0),1,IF(VLOOKUP(B409,'Set Odds'!A$2:AO$1067,41,0),2,0))</f>
        <v>0</v>
      </c>
      <c r="AK409" s="7"/>
      <c r="AL409" s="7" t="str">
        <f t="shared" si="1"/>
        <v/>
      </c>
    </row>
    <row r="410" ht="12.75" customHeight="1">
      <c r="A410" s="86">
        <v>409.0</v>
      </c>
      <c r="B410" s="84" t="s">
        <v>3868</v>
      </c>
      <c r="C410" s="7" t="s">
        <v>3869</v>
      </c>
      <c r="D410" s="7" t="s">
        <v>2862</v>
      </c>
      <c r="E410" s="7" t="s">
        <v>2685</v>
      </c>
      <c r="F410" s="84" t="s">
        <v>2938</v>
      </c>
      <c r="G410" s="84" t="s">
        <v>3264</v>
      </c>
      <c r="H410" s="84" t="s">
        <v>2688</v>
      </c>
      <c r="I410" s="84" t="s">
        <v>2517</v>
      </c>
      <c r="J410" s="7" t="s">
        <v>3233</v>
      </c>
      <c r="K410" s="7">
        <v>31.0</v>
      </c>
      <c r="L410" s="7">
        <v>0.0</v>
      </c>
      <c r="M410" s="7">
        <v>31.0</v>
      </c>
      <c r="N410" s="7">
        <v>25.0</v>
      </c>
      <c r="O410" s="7">
        <v>31.0</v>
      </c>
      <c r="P410" s="7">
        <v>25.0</v>
      </c>
      <c r="Q410" s="7">
        <v>220.0</v>
      </c>
      <c r="R410" s="7">
        <v>0.0</v>
      </c>
      <c r="S410" s="7">
        <v>220.0</v>
      </c>
      <c r="T410" s="7">
        <v>0.0</v>
      </c>
      <c r="U410" s="7">
        <v>44.0</v>
      </c>
      <c r="V410" s="7">
        <v>0.0</v>
      </c>
      <c r="W410" s="7">
        <f>VLOOKUP($D410,NatureChart,2,0)</f>
        <v>0.9</v>
      </c>
      <c r="X410" s="7">
        <f>VLOOKUP($D410,NatureChart,3,0)</f>
        <v>1.1</v>
      </c>
      <c r="Y410" s="7">
        <f>VLOOKUP($D410,NatureChart,4,0)</f>
        <v>1</v>
      </c>
      <c r="Z410" s="7">
        <f>VLOOKUP($D410,NatureChart,5,0)</f>
        <v>1</v>
      </c>
      <c r="AA410" s="84">
        <f>VLOOKUP($D410,NatureChart,6,0)</f>
        <v>1</v>
      </c>
      <c r="AB410" s="84">
        <f>IF($C410="Shedinja",1,(INT((2*VLOOKUP($C410,DexData,5,0)+INT(Q410/4)+K410)/2)+60))</f>
        <v>198</v>
      </c>
      <c r="AC410" s="84">
        <f>INT(INT((INT((2*VLOOKUP($C410,DexData,6,0)+INT(R410/4)+L410)/2)+5)*W410)*IF($E410="Choice Band",1.5,IF(OR($E410="Mawilite",$E410="Medichamite",$E410="Thick Club"),2,1)))</f>
        <v>63</v>
      </c>
      <c r="AD410" s="84">
        <f>INT(INT((INT((2*VLOOKUP($C410,DexData,7,0)+INT(S410/4)+M410)/2)+5)*X410)*IF($E410="Eviolite",1.5,1))</f>
        <v>173</v>
      </c>
      <c r="AE410" s="84">
        <f>INT(INT((INT((2*VLOOKUP($C410,DexData,9,0)+INT(T410/4)+N410)/2)+5)*Y410)*IF($E410="Choice Specs",1.5,1))</f>
        <v>77</v>
      </c>
      <c r="AF410" s="84">
        <f>INT(INT((INT((2*VLOOKUP($C410,DexData,10,0)+INT(U410/4)+O410)/2)+5)*Z410)*IF(OR($E410="Eviolite",$E410="Assault Vest"),1.5,1))</f>
        <v>156</v>
      </c>
      <c r="AG410" s="84">
        <f>INT(INT((INT((2*VLOOKUP($C410,DexData,11,0)+INT(V410/4)+P410)/2)+5)*AA410)*IF($E410="Choice Scarf",1.5,IF($E410="Iron Ball",0.5,1)))</f>
        <v>82</v>
      </c>
      <c r="AH410" s="84" t="str">
        <f>VLOOKUP(VLOOKUP($C410,DexData,3,0),Aliases!D$2:E$19,2,0)&amp;IFERROR("/"&amp;VLOOKUP(VLOOKUP($C410,DexData,4,0),Aliases!D$2:E$19,2,0),"")</f>
        <v>DRK</v>
      </c>
      <c r="AI410" s="7">
        <v>3.0</v>
      </c>
      <c r="AJ410" s="7">
        <f>IF(VLOOKUP(B410,'Set Odds'!A$2:AN$1067,40,0),1,IF(VLOOKUP(B410,'Set Odds'!A$2:AO$1067,41,0),2,0))</f>
        <v>0</v>
      </c>
      <c r="AK410" s="7"/>
      <c r="AL410" s="7" t="str">
        <f t="shared" si="1"/>
        <v/>
      </c>
    </row>
    <row r="411" ht="12.75" customHeight="1">
      <c r="A411" s="86">
        <v>410.0</v>
      </c>
      <c r="B411" s="84" t="s">
        <v>3870</v>
      </c>
      <c r="C411" s="7" t="s">
        <v>3871</v>
      </c>
      <c r="D411" s="7" t="s">
        <v>2571</v>
      </c>
      <c r="E411" s="7" t="s">
        <v>2685</v>
      </c>
      <c r="F411" s="84" t="s">
        <v>2856</v>
      </c>
      <c r="G411" s="84" t="s">
        <v>3685</v>
      </c>
      <c r="H411" s="84" t="s">
        <v>2575</v>
      </c>
      <c r="I411" s="84" t="s">
        <v>2688</v>
      </c>
      <c r="J411" s="7" t="s">
        <v>2701</v>
      </c>
      <c r="K411" s="7">
        <v>31.0</v>
      </c>
      <c r="L411" s="7">
        <v>31.0</v>
      </c>
      <c r="M411" s="7">
        <v>25.0</v>
      </c>
      <c r="N411" s="7">
        <v>0.0</v>
      </c>
      <c r="O411" s="7">
        <v>25.0</v>
      </c>
      <c r="P411" s="7">
        <v>31.0</v>
      </c>
      <c r="Q411" s="7">
        <v>220.0</v>
      </c>
      <c r="R411" s="7">
        <v>220.0</v>
      </c>
      <c r="S411" s="7">
        <v>0.0</v>
      </c>
      <c r="T411" s="7">
        <v>0.0</v>
      </c>
      <c r="U411" s="7">
        <v>0.0</v>
      </c>
      <c r="V411" s="7">
        <v>44.0</v>
      </c>
      <c r="W411" s="7">
        <f>VLOOKUP($D411,NatureChart,2,0)</f>
        <v>1.1</v>
      </c>
      <c r="X411" s="7">
        <f>VLOOKUP($D411,NatureChart,3,0)</f>
        <v>1</v>
      </c>
      <c r="Y411" s="7">
        <f>VLOOKUP($D411,NatureChart,4,0)</f>
        <v>0.9</v>
      </c>
      <c r="Z411" s="7">
        <f>VLOOKUP($D411,NatureChart,5,0)</f>
        <v>1</v>
      </c>
      <c r="AA411" s="84">
        <f>VLOOKUP($D411,NatureChart,6,0)</f>
        <v>1</v>
      </c>
      <c r="AB411" s="84">
        <f>IF($C411="Shedinja",1,(INT((2*VLOOKUP($C411,DexData,5,0)+INT(Q411/4)+K411)/2)+60))</f>
        <v>168</v>
      </c>
      <c r="AC411" s="84">
        <f>INT(INT((INT((2*VLOOKUP($C411,DexData,6,0)+INT(R411/4)+L411)/2)+5)*W411)*IF($E411="Choice Band",1.5,IF(OR($E411="Mawilite",$E411="Medichamite",$E411="Thick Club"),2,1)))</f>
        <v>173</v>
      </c>
      <c r="AD411" s="84">
        <f>INT(INT((INT((2*VLOOKUP($C411,DexData,7,0)+INT(S411/4)+M411)/2)+5)*X411)*IF($E411="Eviolite",1.5,1))</f>
        <v>147</v>
      </c>
      <c r="AE411" s="84">
        <f>INT(INT((INT((2*VLOOKUP($C411,DexData,9,0)+INT(T411/4)+N411)/2)+5)*Y411)*IF($E411="Choice Specs",1.5,1))</f>
        <v>58</v>
      </c>
      <c r="AF411" s="84">
        <f>INT(INT((INT((2*VLOOKUP($C411,DexData,10,0)+INT(U411/4)+O411)/2)+5)*Z411)*IF(OR($E411="Eviolite",$E411="Assault Vest"),1.5,1))</f>
        <v>82</v>
      </c>
      <c r="AG411" s="84">
        <f>INT(INT((INT((2*VLOOKUP($C411,DexData,11,0)+INT(V411/4)+P411)/2)+5)*AA411)*IF($E411="Choice Scarf",1.5,IF($E411="Iron Ball",0.5,1)))</f>
        <v>121</v>
      </c>
      <c r="AH411" s="84" t="str">
        <f>VLOOKUP(VLOOKUP($C411,DexData,3,0),Aliases!D$2:E$19,2,0)&amp;IFERROR("/"&amp;VLOOKUP(VLOOKUP($C411,DexData,4,0),Aliases!D$2:E$19,2,0),"")</f>
        <v>GRS</v>
      </c>
      <c r="AI411" s="7">
        <v>3.0</v>
      </c>
      <c r="AJ411" s="7">
        <f>IF(VLOOKUP(B411,'Set Odds'!A$2:AN$1067,40,0),1,IF(VLOOKUP(B411,'Set Odds'!A$2:AO$1067,41,0),2,0))</f>
        <v>0</v>
      </c>
      <c r="AK411" s="7"/>
      <c r="AL411" s="7" t="str">
        <f t="shared" si="1"/>
        <v/>
      </c>
    </row>
    <row r="412" ht="12.75" customHeight="1">
      <c r="A412" s="86">
        <v>411.0</v>
      </c>
      <c r="B412" s="84" t="s">
        <v>3872</v>
      </c>
      <c r="C412" s="7" t="s">
        <v>3873</v>
      </c>
      <c r="D412" s="7" t="s">
        <v>2656</v>
      </c>
      <c r="E412" s="7" t="s">
        <v>2685</v>
      </c>
      <c r="F412" s="84" t="s">
        <v>3168</v>
      </c>
      <c r="G412" s="84" t="s">
        <v>3282</v>
      </c>
      <c r="H412" s="84" t="s">
        <v>2620</v>
      </c>
      <c r="I412" s="84" t="s">
        <v>3874</v>
      </c>
      <c r="J412" s="7" t="s">
        <v>3328</v>
      </c>
      <c r="K412" s="7">
        <v>31.0</v>
      </c>
      <c r="L412" s="7">
        <v>0.0</v>
      </c>
      <c r="M412" s="7">
        <v>25.0</v>
      </c>
      <c r="N412" s="7">
        <v>31.0</v>
      </c>
      <c r="O412" s="7">
        <v>25.0</v>
      </c>
      <c r="P412" s="7">
        <v>31.0</v>
      </c>
      <c r="Q412" s="7">
        <v>220.0</v>
      </c>
      <c r="R412" s="7">
        <v>0.0</v>
      </c>
      <c r="S412" s="7">
        <v>0.0</v>
      </c>
      <c r="T412" s="7">
        <v>220.0</v>
      </c>
      <c r="U412" s="7">
        <v>0.0</v>
      </c>
      <c r="V412" s="7">
        <v>44.0</v>
      </c>
      <c r="W412" s="7">
        <f>VLOOKUP($D412,NatureChart,2,0)</f>
        <v>0.9</v>
      </c>
      <c r="X412" s="7">
        <f>VLOOKUP($D412,NatureChart,3,0)</f>
        <v>1</v>
      </c>
      <c r="Y412" s="7">
        <f>VLOOKUP($D412,NatureChart,4,0)</f>
        <v>1.1</v>
      </c>
      <c r="Z412" s="7">
        <f>VLOOKUP($D412,NatureChart,5,0)</f>
        <v>1</v>
      </c>
      <c r="AA412" s="84">
        <f>VLOOKUP($D412,NatureChart,6,0)</f>
        <v>1</v>
      </c>
      <c r="AB412" s="84">
        <f>IF($C412="Shedinja",1,(INT((2*VLOOKUP($C412,DexData,5,0)+INT(Q412/4)+K412)/2)+60))</f>
        <v>168</v>
      </c>
      <c r="AC412" s="84">
        <f>INT(INT((INT((2*VLOOKUP($C412,DexData,6,0)+INT(R412/4)+L412)/2)+5)*W412)*IF($E412="Choice Band",1.5,IF(OR($E412="Mawilite",$E412="Medichamite",$E412="Thick Club"),2,1)))</f>
        <v>58</v>
      </c>
      <c r="AD412" s="84">
        <f>INT(INT((INT((2*VLOOKUP($C412,DexData,7,0)+INT(S412/4)+M412)/2)+5)*X412)*IF($E412="Eviolite",1.5,1))</f>
        <v>127</v>
      </c>
      <c r="AE412" s="84">
        <f>INT(INT((INT((2*VLOOKUP($C412,DexData,9,0)+INT(T412/4)+N412)/2)+5)*Y412)*IF($E412="Choice Specs",1.5,1))</f>
        <v>195</v>
      </c>
      <c r="AF412" s="84">
        <f>INT(INT((INT((2*VLOOKUP($C412,DexData,10,0)+INT(U412/4)+O412)/2)+5)*Z412)*IF(OR($E412="Eviolite",$E412="Assault Vest"),1.5,1))</f>
        <v>112</v>
      </c>
      <c r="AG412" s="84">
        <f>INT(INT((INT((2*VLOOKUP($C412,DexData,11,0)+INT(V412/4)+P412)/2)+5)*AA412)*IF($E412="Choice Scarf",1.5,IF($E412="Iron Ball",0.5,1)))</f>
        <v>91</v>
      </c>
      <c r="AH412" s="84" t="str">
        <f>VLOOKUP(VLOOKUP($C412,DexData,3,0),Aliases!D$2:E$19,2,0)&amp;IFERROR("/"&amp;VLOOKUP(VLOOKUP($C412,DexData,4,0),Aliases!D$2:E$19,2,0),"")</f>
        <v>ICE</v>
      </c>
      <c r="AI412" s="7">
        <v>3.0</v>
      </c>
      <c r="AJ412" s="7">
        <f>IF(VLOOKUP(B412,'Set Odds'!A$2:AN$1067,40,0),1,IF(VLOOKUP(B412,'Set Odds'!A$2:AO$1067,41,0),2,0))</f>
        <v>0</v>
      </c>
      <c r="AK412" s="7"/>
      <c r="AL412" s="7" t="str">
        <f t="shared" si="1"/>
        <v/>
      </c>
    </row>
    <row r="413" ht="12.75" customHeight="1">
      <c r="A413" s="86">
        <v>412.0</v>
      </c>
      <c r="B413" s="84" t="s">
        <v>3875</v>
      </c>
      <c r="C413" s="7" t="s">
        <v>3876</v>
      </c>
      <c r="D413" s="7" t="s">
        <v>2656</v>
      </c>
      <c r="E413" s="7" t="s">
        <v>2524</v>
      </c>
      <c r="F413" s="84" t="s">
        <v>3264</v>
      </c>
      <c r="G413" s="84" t="s">
        <v>3427</v>
      </c>
      <c r="H413" s="84" t="s">
        <v>3877</v>
      </c>
      <c r="I413" s="84" t="s">
        <v>2638</v>
      </c>
      <c r="J413" s="7" t="s">
        <v>3233</v>
      </c>
      <c r="K413" s="7">
        <v>31.0</v>
      </c>
      <c r="L413" s="7">
        <v>0.0</v>
      </c>
      <c r="M413" s="7">
        <v>25.0</v>
      </c>
      <c r="N413" s="7">
        <v>31.0</v>
      </c>
      <c r="O413" s="7">
        <v>25.0</v>
      </c>
      <c r="P413" s="7">
        <v>31.0</v>
      </c>
      <c r="Q413" s="7">
        <v>44.0</v>
      </c>
      <c r="R413" s="7">
        <v>0.0</v>
      </c>
      <c r="S413" s="7">
        <v>0.0</v>
      </c>
      <c r="T413" s="7">
        <v>220.0</v>
      </c>
      <c r="U413" s="7">
        <v>0.0</v>
      </c>
      <c r="V413" s="7">
        <v>220.0</v>
      </c>
      <c r="W413" s="7">
        <f>VLOOKUP($D413,NatureChart,2,0)</f>
        <v>0.9</v>
      </c>
      <c r="X413" s="7">
        <f>VLOOKUP($D413,NatureChart,3,0)</f>
        <v>1</v>
      </c>
      <c r="Y413" s="7">
        <f>VLOOKUP($D413,NatureChart,4,0)</f>
        <v>1.1</v>
      </c>
      <c r="Z413" s="7">
        <f>VLOOKUP($D413,NatureChart,5,0)</f>
        <v>1</v>
      </c>
      <c r="AA413" s="84">
        <f>VLOOKUP($D413,NatureChart,6,0)</f>
        <v>1</v>
      </c>
      <c r="AB413" s="84">
        <f>IF($C413="Shedinja",1,(INT((2*VLOOKUP($C413,DexData,5,0)+INT(Q413/4)+K413)/2)+60))</f>
        <v>151</v>
      </c>
      <c r="AC413" s="84">
        <f>INT(INT((INT((2*VLOOKUP($C413,DexData,6,0)+INT(R413/4)+L413)/2)+5)*W413)*IF($E413="Choice Band",1.5,IF(OR($E413="Mawilite",$E413="Medichamite",$E413="Thick Club"),2,1)))</f>
        <v>103</v>
      </c>
      <c r="AD413" s="84">
        <f>INT(INT((INT((2*VLOOKUP($C413,DexData,7,0)+INT(S413/4)+M413)/2)+5)*X413)*IF($E413="Eviolite",1.5,1))</f>
        <v>87</v>
      </c>
      <c r="AE413" s="84">
        <f>INT(INT((INT((2*VLOOKUP($C413,DexData,9,0)+INT(T413/4)+N413)/2)+5)*Y413)*IF($E413="Choice Specs",1.5,1))</f>
        <v>179</v>
      </c>
      <c r="AF413" s="84">
        <f>INT(INT((INT((2*VLOOKUP($C413,DexData,10,0)+INT(U413/4)+O413)/2)+5)*Z413)*IF(OR($E413="Eviolite",$E413="Assault Vest"),1.5,1))</f>
        <v>87</v>
      </c>
      <c r="AG413" s="84">
        <f>INT(INT((INT((2*VLOOKUP($C413,DexData,11,0)+INT(V413/4)+P413)/2)+5)*AA413)*IF($E413="Choice Scarf",1.5,IF($E413="Iron Ball",0.5,1)))</f>
        <v>138</v>
      </c>
      <c r="AH413" s="84" t="str">
        <f>VLOOKUP(VLOOKUP($C413,DexData,3,0),Aliases!D$2:E$19,2,0)&amp;IFERROR("/"&amp;VLOOKUP(VLOOKUP($C413,DexData,4,0),Aliases!D$2:E$19,2,0),"")</f>
        <v>FTG/STL</v>
      </c>
      <c r="AI413" s="7">
        <v>3.0</v>
      </c>
      <c r="AJ413" s="7">
        <f>IF(VLOOKUP(B413,'Set Odds'!A$2:AN$1067,40,0),1,IF(VLOOKUP(B413,'Set Odds'!A$2:AO$1067,41,0),2,0))</f>
        <v>0</v>
      </c>
      <c r="AK413" s="7"/>
      <c r="AL413" s="7" t="str">
        <f t="shared" si="1"/>
        <v/>
      </c>
    </row>
    <row r="414" ht="12.75" customHeight="1">
      <c r="A414" s="86">
        <v>413.0</v>
      </c>
      <c r="B414" s="84" t="s">
        <v>3878</v>
      </c>
      <c r="C414" s="7" t="s">
        <v>3879</v>
      </c>
      <c r="D414" s="7" t="s">
        <v>2723</v>
      </c>
      <c r="E414" s="7" t="s">
        <v>2724</v>
      </c>
      <c r="F414" s="84" t="s">
        <v>2688</v>
      </c>
      <c r="G414" s="84" t="s">
        <v>3543</v>
      </c>
      <c r="H414" s="84" t="s">
        <v>2694</v>
      </c>
      <c r="I414" s="84" t="s">
        <v>3603</v>
      </c>
      <c r="J414" s="7" t="s">
        <v>3034</v>
      </c>
      <c r="K414" s="7">
        <v>31.0</v>
      </c>
      <c r="L414" s="7">
        <v>25.0</v>
      </c>
      <c r="M414" s="7">
        <v>31.0</v>
      </c>
      <c r="N414" s="7">
        <v>0.0</v>
      </c>
      <c r="O414" s="7">
        <v>31.0</v>
      </c>
      <c r="P414" s="7">
        <v>25.0</v>
      </c>
      <c r="Q414" s="7">
        <v>220.0</v>
      </c>
      <c r="R414" s="7">
        <v>0.0</v>
      </c>
      <c r="S414" s="7">
        <v>44.0</v>
      </c>
      <c r="T414" s="7">
        <v>0.0</v>
      </c>
      <c r="U414" s="7">
        <v>220.0</v>
      </c>
      <c r="V414" s="7">
        <v>0.0</v>
      </c>
      <c r="W414" s="7">
        <f>VLOOKUP($D414,NatureChart,2,0)</f>
        <v>1</v>
      </c>
      <c r="X414" s="7">
        <f>VLOOKUP($D414,NatureChart,3,0)</f>
        <v>1</v>
      </c>
      <c r="Y414" s="7">
        <f>VLOOKUP($D414,NatureChart,4,0)</f>
        <v>0.9</v>
      </c>
      <c r="Z414" s="7">
        <f>VLOOKUP($D414,NatureChart,5,0)</f>
        <v>1.1</v>
      </c>
      <c r="AA414" s="84">
        <f>VLOOKUP($D414,NatureChart,6,0)</f>
        <v>1</v>
      </c>
      <c r="AB414" s="84">
        <f>IF($C414="Shedinja",1,(INT((2*VLOOKUP($C414,DexData,5,0)+INT(Q414/4)+K414)/2)+60))</f>
        <v>211</v>
      </c>
      <c r="AC414" s="84">
        <f>INT(INT((INT((2*VLOOKUP($C414,DexData,6,0)+INT(R414/4)+L414)/2)+5)*W414)*IF($E414="Choice Band",1.5,IF(OR($E414="Mawilite",$E414="Medichamite",$E414="Thick Club"),2,1)))</f>
        <v>129</v>
      </c>
      <c r="AD414" s="84">
        <f>INT(INT((INT((2*VLOOKUP($C414,DexData,7,0)+INT(S414/4)+M414)/2)+5)*X414)*IF($E414="Eviolite",1.5,1))</f>
        <v>144</v>
      </c>
      <c r="AE414" s="84">
        <f>INT(INT((INT((2*VLOOKUP($C414,DexData,9,0)+INT(T414/4)+N414)/2)+5)*Y414)*IF($E414="Choice Specs",1.5,1))</f>
        <v>65</v>
      </c>
      <c r="AF414" s="84">
        <f>INT(INT((INT((2*VLOOKUP($C414,DexData,10,0)+INT(U414/4)+O414)/2)+5)*Z414)*IF(OR($E414="Eviolite",$E414="Assault Vest"),1.5,1))</f>
        <v>132</v>
      </c>
      <c r="AG414" s="84">
        <f>INT(INT((INT((2*VLOOKUP($C414,DexData,11,0)+INT(V414/4)+P414)/2)+5)*AA414)*IF($E414="Choice Scarf",1.5,IF($E414="Iron Ball",0.5,1)))</f>
        <v>64</v>
      </c>
      <c r="AH414" s="84" t="str">
        <f>VLOOKUP(VLOOKUP($C414,DexData,3,0),Aliases!D$2:E$19,2,0)&amp;IFERROR("/"&amp;VLOOKUP(VLOOKUP($C414,DexData,4,0),Aliases!D$2:E$19,2,0),"")</f>
        <v>GRD</v>
      </c>
      <c r="AI414" s="7">
        <v>3.0</v>
      </c>
      <c r="AJ414" s="7">
        <f>IF(VLOOKUP(B414,'Set Odds'!A$2:AN$1067,40,0),1,IF(VLOOKUP(B414,'Set Odds'!A$2:AO$1067,41,0),2,0))</f>
        <v>0</v>
      </c>
      <c r="AK414" s="7"/>
      <c r="AL414" s="7" t="str">
        <f t="shared" si="1"/>
        <v/>
      </c>
    </row>
    <row r="415" ht="12.75" customHeight="1">
      <c r="A415" s="86">
        <v>414.0</v>
      </c>
      <c r="B415" s="84" t="s">
        <v>3880</v>
      </c>
      <c r="C415" s="7" t="s">
        <v>3881</v>
      </c>
      <c r="D415" s="7" t="s">
        <v>2648</v>
      </c>
      <c r="E415" s="7" t="s">
        <v>3882</v>
      </c>
      <c r="F415" s="84" t="s">
        <v>3800</v>
      </c>
      <c r="G415" s="84" t="s">
        <v>3543</v>
      </c>
      <c r="H415" s="84" t="s">
        <v>3883</v>
      </c>
      <c r="I415" s="84" t="s">
        <v>3441</v>
      </c>
      <c r="J415" s="7" t="s">
        <v>2728</v>
      </c>
      <c r="K415" s="7">
        <v>31.0</v>
      </c>
      <c r="L415" s="7">
        <v>31.0</v>
      </c>
      <c r="M415" s="7">
        <v>31.0</v>
      </c>
      <c r="N415" s="7">
        <v>0.0</v>
      </c>
      <c r="O415" s="7">
        <v>25.0</v>
      </c>
      <c r="P415" s="7">
        <v>25.0</v>
      </c>
      <c r="Q415" s="7">
        <v>220.0</v>
      </c>
      <c r="R415" s="7">
        <v>44.0</v>
      </c>
      <c r="S415" s="7">
        <v>220.0</v>
      </c>
      <c r="T415" s="7">
        <v>0.0</v>
      </c>
      <c r="U415" s="7">
        <v>0.0</v>
      </c>
      <c r="V415" s="7">
        <v>0.0</v>
      </c>
      <c r="W415" s="7">
        <f>VLOOKUP($D415,NatureChart,2,0)</f>
        <v>1</v>
      </c>
      <c r="X415" s="7">
        <f>VLOOKUP($D415,NatureChart,3,0)</f>
        <v>1.1</v>
      </c>
      <c r="Y415" s="7">
        <f>VLOOKUP($D415,NatureChart,4,0)</f>
        <v>0.9</v>
      </c>
      <c r="Z415" s="7">
        <f>VLOOKUP($D415,NatureChart,5,0)</f>
        <v>1</v>
      </c>
      <c r="AA415" s="84">
        <f>VLOOKUP($D415,NatureChart,6,0)</f>
        <v>1</v>
      </c>
      <c r="AB415" s="84">
        <f>IF($C415="Shedinja",1,(INT((2*VLOOKUP($C415,DexData,5,0)+INT(Q415/4)+K415)/2)+60))</f>
        <v>163</v>
      </c>
      <c r="AC415" s="84">
        <f>INT(INT((INT((2*VLOOKUP($C415,DexData,6,0)+INT(R415/4)+L415)/2)+5)*W415)*IF($E415="Choice Band",1.5,IF(OR($E415="Mawilite",$E415="Medichamite",$E415="Thick Club"),2,1)))</f>
        <v>81</v>
      </c>
      <c r="AD415" s="84">
        <f>INT(INT((INT((2*VLOOKUP($C415,DexData,7,0)+INT(S415/4)+M415)/2)+5)*X415)*IF($E415="Eviolite",1.5,1))</f>
        <v>212</v>
      </c>
      <c r="AE415" s="84">
        <f>INT(INT((INT((2*VLOOKUP($C415,DexData,9,0)+INT(T415/4)+N415)/2)+5)*Y415)*IF($E415="Choice Specs",1.5,1))</f>
        <v>72</v>
      </c>
      <c r="AF415" s="84">
        <f>INT(INT((INT((2*VLOOKUP($C415,DexData,10,0)+INT(U415/4)+O415)/2)+5)*Z415)*IF(OR($E415="Eviolite",$E415="Assault Vest"),1.5,1))</f>
        <v>167</v>
      </c>
      <c r="AG415" s="84">
        <f>INT(INT((INT((2*VLOOKUP($C415,DexData,11,0)+INT(V415/4)+P415)/2)+5)*AA415)*IF($E415="Choice Scarf",1.5,IF($E415="Iron Ball",0.5,1)))</f>
        <v>57</v>
      </c>
      <c r="AH415" s="84" t="str">
        <f>VLOOKUP(VLOOKUP($C415,DexData,3,0),Aliases!D$2:E$19,2,0)&amp;IFERROR("/"&amp;VLOOKUP(VLOOKUP($C415,DexData,4,0),Aliases!D$2:E$19,2,0),"")</f>
        <v>RCK/STL</v>
      </c>
      <c r="AI415" s="7">
        <v>3.0</v>
      </c>
      <c r="AJ415" s="7">
        <f>IF(VLOOKUP(B415,'Set Odds'!A$2:AN$1067,40,0),1,IF(VLOOKUP(B415,'Set Odds'!A$2:AO$1067,41,0),2,0))</f>
        <v>0</v>
      </c>
      <c r="AK415" s="7"/>
      <c r="AL415" s="7" t="str">
        <f t="shared" si="1"/>
        <v/>
      </c>
    </row>
    <row r="416" ht="12.75" customHeight="1">
      <c r="A416" s="86">
        <v>415.0</v>
      </c>
      <c r="B416" s="84" t="s">
        <v>3884</v>
      </c>
      <c r="C416" s="7" t="s">
        <v>3885</v>
      </c>
      <c r="D416" s="7" t="s">
        <v>2648</v>
      </c>
      <c r="E416" s="7" t="s">
        <v>3886</v>
      </c>
      <c r="F416" s="84" t="s">
        <v>2632</v>
      </c>
      <c r="G416" s="84" t="s">
        <v>3407</v>
      </c>
      <c r="H416" s="84" t="s">
        <v>3390</v>
      </c>
      <c r="I416" s="84" t="s">
        <v>2517</v>
      </c>
      <c r="J416" s="7" t="s">
        <v>3499</v>
      </c>
      <c r="K416" s="7">
        <v>31.0</v>
      </c>
      <c r="L416" s="7">
        <v>31.0</v>
      </c>
      <c r="M416" s="7">
        <v>31.0</v>
      </c>
      <c r="N416" s="7">
        <v>0.0</v>
      </c>
      <c r="O416" s="7">
        <v>25.0</v>
      </c>
      <c r="P416" s="7">
        <v>25.0</v>
      </c>
      <c r="Q416" s="7">
        <v>220.0</v>
      </c>
      <c r="R416" s="7">
        <v>44.0</v>
      </c>
      <c r="S416" s="7">
        <v>220.0</v>
      </c>
      <c r="T416" s="7">
        <v>0.0</v>
      </c>
      <c r="U416" s="7">
        <v>0.0</v>
      </c>
      <c r="V416" s="7">
        <v>0.0</v>
      </c>
      <c r="W416" s="7">
        <f>VLOOKUP($D416,NatureChart,2,0)</f>
        <v>1</v>
      </c>
      <c r="X416" s="7">
        <f>VLOOKUP($D416,NatureChart,3,0)</f>
        <v>1.1</v>
      </c>
      <c r="Y416" s="7">
        <f>VLOOKUP($D416,NatureChart,4,0)</f>
        <v>0.9</v>
      </c>
      <c r="Z416" s="7">
        <f>VLOOKUP($D416,NatureChart,5,0)</f>
        <v>1</v>
      </c>
      <c r="AA416" s="84">
        <f>VLOOKUP($D416,NatureChart,6,0)</f>
        <v>1</v>
      </c>
      <c r="AB416" s="84">
        <f>IF($C416="Shedinja",1,(INT((2*VLOOKUP($C416,DexData,5,0)+INT(Q416/4)+K416)/2)+60))</f>
        <v>148</v>
      </c>
      <c r="AC416" s="84">
        <f>INT(INT((INT((2*VLOOKUP($C416,DexData,6,0)+INT(R416/4)+L416)/2)+5)*W416)*IF($E416="Choice Band",1.5,IF(OR($E416="Mawilite",$E416="Medichamite",$E416="Thick Club"),2,1)))</f>
        <v>126</v>
      </c>
      <c r="AD416" s="84">
        <f>INT(INT((INT((2*VLOOKUP($C416,DexData,7,0)+INT(S416/4)+M416)/2)+5)*X416)*IF($E416="Eviolite",1.5,1))</f>
        <v>201</v>
      </c>
      <c r="AE416" s="84">
        <f>INT(INT((INT((2*VLOOKUP($C416,DexData,9,0)+INT(T416/4)+N416)/2)+5)*Y416)*IF($E416="Choice Specs",1.5,1))</f>
        <v>63</v>
      </c>
      <c r="AF416" s="84">
        <f>INT(INT((INT((2*VLOOKUP($C416,DexData,10,0)+INT(U416/4)+O416)/2)+5)*Z416)*IF(OR($E416="Eviolite",$E416="Assault Vest"),1.5,1))</f>
        <v>152</v>
      </c>
      <c r="AG416" s="84">
        <f>INT(INT((INT((2*VLOOKUP($C416,DexData,11,0)+INT(V416/4)+P416)/2)+5)*AA416)*IF($E416="Choice Scarf",1.5,IF($E416="Iron Ball",0.5,1)))</f>
        <v>62</v>
      </c>
      <c r="AH416" s="84" t="str">
        <f>VLOOKUP(VLOOKUP($C416,DexData,3,0),Aliases!D$2:E$19,2,0)&amp;IFERROR("/"&amp;VLOOKUP(VLOOKUP($C416,DexData,4,0),Aliases!D$2:E$19,2,0),"")</f>
        <v>GHO</v>
      </c>
      <c r="AI416" s="7">
        <v>3.0</v>
      </c>
      <c r="AJ416" s="7">
        <f>IF(VLOOKUP(B416,'Set Odds'!A$2:AN$1067,40,0),1,IF(VLOOKUP(B416,'Set Odds'!A$2:AO$1067,41,0),2,0))</f>
        <v>0</v>
      </c>
      <c r="AK416" s="7"/>
      <c r="AL416" s="7" t="str">
        <f t="shared" si="1"/>
        <v/>
      </c>
    </row>
    <row r="417" ht="12.75" customHeight="1">
      <c r="A417" s="86">
        <v>416.0</v>
      </c>
      <c r="B417" s="84" t="s">
        <v>3887</v>
      </c>
      <c r="C417" s="7" t="s">
        <v>3888</v>
      </c>
      <c r="D417" s="7" t="s">
        <v>2692</v>
      </c>
      <c r="E417" s="7" t="s">
        <v>3889</v>
      </c>
      <c r="F417" s="84" t="s">
        <v>3800</v>
      </c>
      <c r="G417" s="84" t="s">
        <v>3626</v>
      </c>
      <c r="H417" s="84" t="s">
        <v>3454</v>
      </c>
      <c r="I417" s="84" t="s">
        <v>3440</v>
      </c>
      <c r="J417" s="7" t="s">
        <v>2728</v>
      </c>
      <c r="K417" s="7">
        <v>31.0</v>
      </c>
      <c r="L417" s="7">
        <v>31.0</v>
      </c>
      <c r="M417" s="7">
        <v>25.0</v>
      </c>
      <c r="N417" s="7">
        <v>0.0</v>
      </c>
      <c r="O417" s="7">
        <v>25.0</v>
      </c>
      <c r="P417" s="7">
        <v>31.0</v>
      </c>
      <c r="Q417" s="7">
        <v>44.0</v>
      </c>
      <c r="R417" s="7">
        <v>220.0</v>
      </c>
      <c r="S417" s="7">
        <v>0.0</v>
      </c>
      <c r="T417" s="7">
        <v>0.0</v>
      </c>
      <c r="U417" s="7">
        <v>0.0</v>
      </c>
      <c r="V417" s="7">
        <v>220.0</v>
      </c>
      <c r="W417" s="7">
        <f>VLOOKUP($D417,NatureChart,2,0)</f>
        <v>1</v>
      </c>
      <c r="X417" s="7">
        <f>VLOOKUP($D417,NatureChart,3,0)</f>
        <v>1</v>
      </c>
      <c r="Y417" s="7">
        <f>VLOOKUP($D417,NatureChart,4,0)</f>
        <v>0.9</v>
      </c>
      <c r="Z417" s="7">
        <f>VLOOKUP($D417,NatureChart,5,0)</f>
        <v>1</v>
      </c>
      <c r="AA417" s="84">
        <f>VLOOKUP($D417,NatureChart,6,0)</f>
        <v>1.1</v>
      </c>
      <c r="AB417" s="84">
        <f>IF($C417="Shedinja",1,(INT((2*VLOOKUP($C417,DexData,5,0)+INT(Q417/4)+K417)/2)+60))</f>
        <v>151</v>
      </c>
      <c r="AC417" s="84">
        <f>INT(INT((INT((2*VLOOKUP($C417,DexData,6,0)+INT(R417/4)+L417)/2)+5)*W417)*IF($E417="Choice Band",1.5,IF(OR($E417="Mawilite",$E417="Medichamite",$E417="Thick Club"),2,1)))</f>
        <v>158</v>
      </c>
      <c r="AD417" s="84">
        <f>INT(INT((INT((2*VLOOKUP($C417,DexData,7,0)+INT(S417/4)+M417)/2)+5)*X417)*IF($E417="Eviolite",1.5,1))</f>
        <v>197</v>
      </c>
      <c r="AE417" s="84">
        <f>INT(INT((INT((2*VLOOKUP($C417,DexData,9,0)+INT(T417/4)+N417)/2)+5)*Y417)*IF($E417="Choice Specs",1.5,1))</f>
        <v>58</v>
      </c>
      <c r="AF417" s="84">
        <f>INT(INT((INT((2*VLOOKUP($C417,DexData,10,0)+INT(U417/4)+O417)/2)+5)*Z417)*IF(OR($E417="Eviolite",$E417="Assault Vest"),1.5,1))</f>
        <v>77</v>
      </c>
      <c r="AG417" s="84">
        <f>INT(INT((INT((2*VLOOKUP($C417,DexData,11,0)+INT(V417/4)+P417)/2)+5)*AA417)*IF($E417="Choice Scarf",1.5,IF($E417="Iron Ball",0.5,1)))</f>
        <v>107</v>
      </c>
      <c r="AH417" s="84" t="str">
        <f>VLOOKUP(VLOOKUP($C417,DexData,3,0),Aliases!D$2:E$19,2,0)&amp;IFERROR("/"&amp;VLOOKUP(VLOOKUP($C417,DexData,4,0),Aliases!D$2:E$19,2,0),"")</f>
        <v>STL/RCK</v>
      </c>
      <c r="AI417" s="7">
        <v>3.0</v>
      </c>
      <c r="AJ417" s="7">
        <f>IF(VLOOKUP(B417,'Set Odds'!A$2:AN$1067,40,0),1,IF(VLOOKUP(B417,'Set Odds'!A$2:AO$1067,41,0),2,0))</f>
        <v>0</v>
      </c>
      <c r="AK417" s="7"/>
      <c r="AL417" s="7" t="str">
        <f t="shared" si="1"/>
        <v/>
      </c>
    </row>
    <row r="418" ht="12.75" customHeight="1">
      <c r="A418" s="86">
        <v>417.0</v>
      </c>
      <c r="B418" s="84" t="s">
        <v>3890</v>
      </c>
      <c r="C418" s="7" t="s">
        <v>3891</v>
      </c>
      <c r="D418" s="7" t="s">
        <v>2648</v>
      </c>
      <c r="E418" s="7" t="s">
        <v>2516</v>
      </c>
      <c r="F418" s="84" t="s">
        <v>2841</v>
      </c>
      <c r="G418" s="84" t="s">
        <v>3510</v>
      </c>
      <c r="H418" s="84" t="s">
        <v>2526</v>
      </c>
      <c r="I418" s="84" t="s">
        <v>2514</v>
      </c>
      <c r="J418" s="7" t="s">
        <v>2968</v>
      </c>
      <c r="K418" s="7">
        <v>31.0</v>
      </c>
      <c r="L418" s="7">
        <v>25.0</v>
      </c>
      <c r="M418" s="7">
        <v>31.0</v>
      </c>
      <c r="N418" s="7">
        <v>0.0</v>
      </c>
      <c r="O418" s="7">
        <v>31.0</v>
      </c>
      <c r="P418" s="7">
        <v>25.0</v>
      </c>
      <c r="Q418" s="7">
        <v>220.0</v>
      </c>
      <c r="R418" s="7">
        <v>44.0</v>
      </c>
      <c r="S418" s="7">
        <v>220.0</v>
      </c>
      <c r="T418" s="7">
        <v>0.0</v>
      </c>
      <c r="U418" s="7">
        <v>0.0</v>
      </c>
      <c r="V418" s="7">
        <v>0.0</v>
      </c>
      <c r="W418" s="7">
        <f>VLOOKUP($D418,NatureChart,2,0)</f>
        <v>1</v>
      </c>
      <c r="X418" s="7">
        <f>VLOOKUP($D418,NatureChart,3,0)</f>
        <v>1.1</v>
      </c>
      <c r="Y418" s="7">
        <f>VLOOKUP($D418,NatureChart,4,0)</f>
        <v>0.9</v>
      </c>
      <c r="Z418" s="7">
        <f>VLOOKUP($D418,NatureChart,5,0)</f>
        <v>1</v>
      </c>
      <c r="AA418" s="84">
        <f>VLOOKUP($D418,NatureChart,6,0)</f>
        <v>1</v>
      </c>
      <c r="AB418" s="84">
        <f>IF($C418="Shedinja",1,(INT((2*VLOOKUP($C418,DexData,5,0)+INT(Q418/4)+K418)/2)+60))</f>
        <v>213</v>
      </c>
      <c r="AC418" s="84">
        <f>INT(INT((INT((2*VLOOKUP($C418,DexData,6,0)+INT(R418/4)+L418)/2)+5)*W418)*IF($E418="Choice Band",1.5,IF(OR($E418="Mawilite",$E418="Medichamite",$E418="Thick Club"),2,1)))</f>
        <v>103</v>
      </c>
      <c r="AD418" s="84">
        <f>INT(INT((INT((2*VLOOKUP($C418,DexData,7,0)+INT(S418/4)+M418)/2)+5)*X418)*IF($E418="Eviolite",1.5,1))</f>
        <v>151</v>
      </c>
      <c r="AE418" s="84">
        <f>INT(INT((INT((2*VLOOKUP($C418,DexData,9,0)+INT(T418/4)+N418)/2)+5)*Y418)*IF($E418="Choice Specs",1.5,1))</f>
        <v>90</v>
      </c>
      <c r="AF418" s="84">
        <f>INT(INT((INT((2*VLOOKUP($C418,DexData,10,0)+INT(U418/4)+O418)/2)+5)*Z418)*IF(OR($E418="Eviolite",$E418="Assault Vest"),1.5,1))</f>
        <v>110</v>
      </c>
      <c r="AG418" s="84">
        <f>INT(INT((INT((2*VLOOKUP($C418,DexData,11,0)+INT(V418/4)+P418)/2)+5)*AA418)*IF($E418="Choice Scarf",1.5,IF($E418="Iron Ball",0.5,1)))</f>
        <v>82</v>
      </c>
      <c r="AH418" s="84" t="str">
        <f>VLOOKUP(VLOOKUP($C418,DexData,3,0),Aliases!D$2:E$19,2,0)&amp;IFERROR("/"&amp;VLOOKUP(VLOOKUP($C418,DexData,4,0),Aliases!D$2:E$19,2,0),"")</f>
        <v>ICE/WTR</v>
      </c>
      <c r="AI418" s="7">
        <v>3.0</v>
      </c>
      <c r="AJ418" s="7">
        <f>IF(VLOOKUP(B418,'Set Odds'!A$2:AN$1067,40,0),1,IF(VLOOKUP(B418,'Set Odds'!A$2:AO$1067,41,0),2,0))</f>
        <v>0</v>
      </c>
      <c r="AK418" s="7"/>
      <c r="AL418" s="7" t="str">
        <f t="shared" si="1"/>
        <v/>
      </c>
    </row>
    <row r="419" ht="12.75" customHeight="1">
      <c r="A419" s="86">
        <v>418.0</v>
      </c>
      <c r="B419" s="84" t="s">
        <v>3892</v>
      </c>
      <c r="C419" s="7" t="s">
        <v>3893</v>
      </c>
      <c r="D419" s="7" t="s">
        <v>2656</v>
      </c>
      <c r="E419" s="7" t="s">
        <v>3046</v>
      </c>
      <c r="F419" s="84" t="s">
        <v>3010</v>
      </c>
      <c r="G419" s="84" t="s">
        <v>3047</v>
      </c>
      <c r="H419" s="84" t="s">
        <v>2976</v>
      </c>
      <c r="I419" s="84" t="s">
        <v>2781</v>
      </c>
      <c r="J419" s="7" t="s">
        <v>3894</v>
      </c>
      <c r="K419" s="7">
        <v>31.0</v>
      </c>
      <c r="L419" s="7">
        <v>0.0</v>
      </c>
      <c r="M419" s="7">
        <v>25.0</v>
      </c>
      <c r="N419" s="7">
        <v>31.0</v>
      </c>
      <c r="O419" s="7">
        <v>25.0</v>
      </c>
      <c r="P419" s="7">
        <v>31.0</v>
      </c>
      <c r="Q419" s="7">
        <v>44.0</v>
      </c>
      <c r="R419" s="7">
        <v>0.0</v>
      </c>
      <c r="S419" s="7">
        <v>0.0</v>
      </c>
      <c r="T419" s="7">
        <v>220.0</v>
      </c>
      <c r="U419" s="7">
        <v>0.0</v>
      </c>
      <c r="V419" s="7">
        <v>220.0</v>
      </c>
      <c r="W419" s="7">
        <f>VLOOKUP($D419,NatureChart,2,0)</f>
        <v>0.9</v>
      </c>
      <c r="X419" s="7">
        <f>VLOOKUP($D419,NatureChart,3,0)</f>
        <v>1</v>
      </c>
      <c r="Y419" s="7">
        <f>VLOOKUP($D419,NatureChart,4,0)</f>
        <v>1.1</v>
      </c>
      <c r="Z419" s="7">
        <f>VLOOKUP($D419,NatureChart,5,0)</f>
        <v>1</v>
      </c>
      <c r="AA419" s="84">
        <f>VLOOKUP($D419,NatureChart,6,0)</f>
        <v>1</v>
      </c>
      <c r="AB419" s="84">
        <f>IF($C419="Shedinja",1,(INT((2*VLOOKUP($C419,DexData,5,0)+INT(Q419/4)+K419)/2)+60))</f>
        <v>191</v>
      </c>
      <c r="AC419" s="84">
        <f>INT(INT((INT((2*VLOOKUP($C419,DexData,6,0)+INT(R419/4)+L419)/2)+5)*W419)*IF($E419="Choice Band",1.5,IF(OR($E419="Mawilite",$E419="Medichamite",$E419="Thick Club"),2,1)))</f>
        <v>121</v>
      </c>
      <c r="AD419" s="84">
        <f>INT(INT((INT((2*VLOOKUP($C419,DexData,7,0)+INT(S419/4)+M419)/2)+5)*X419)*IF($E419="Eviolite",1.5,1))</f>
        <v>97</v>
      </c>
      <c r="AE419" s="84">
        <f>INT(INT((INT((2*VLOOKUP($C419,DexData,9,0)+INT(T419/4)+N419)/2)+5)*Y419)*IF($E419="Choice Specs",1.5,1))</f>
        <v>129</v>
      </c>
      <c r="AF419" s="84">
        <f>INT(INT((INT((2*VLOOKUP($C419,DexData,10,0)+INT(U419/4)+O419)/2)+5)*Z419)*IF(OR($E419="Eviolite",$E419="Assault Vest"),1.5,1))</f>
        <v>77</v>
      </c>
      <c r="AG419" s="84">
        <f>INT(INT((INT((2*VLOOKUP($C419,DexData,11,0)+INT(V419/4)+P419)/2)+5)*AA419)*IF($E419="Choice Scarf",1.5,IF($E419="Iron Ball",0.5,1)))</f>
        <v>128</v>
      </c>
      <c r="AH419" s="84" t="str">
        <f>VLOOKUP(VLOOKUP($C419,DexData,3,0),Aliases!D$2:E$19,2,0)&amp;IFERROR("/"&amp;VLOOKUP(VLOOKUP($C419,DexData,4,0),Aliases!D$2:E$19,2,0),"")</f>
        <v>ICE/GRD</v>
      </c>
      <c r="AI419" s="7">
        <v>3.0</v>
      </c>
      <c r="AJ419" s="7">
        <f>IF(VLOOKUP(B419,'Set Odds'!A$2:AN$1067,40,0),1,IF(VLOOKUP(B419,'Set Odds'!A$2:AO$1067,41,0),2,0))</f>
        <v>0</v>
      </c>
      <c r="AK419" s="7"/>
      <c r="AL419" s="7" t="str">
        <f t="shared" si="1"/>
        <v/>
      </c>
    </row>
    <row r="420" ht="12.75" customHeight="1">
      <c r="A420" s="86">
        <v>419.0</v>
      </c>
      <c r="B420" s="84" t="s">
        <v>3895</v>
      </c>
      <c r="C420" s="7" t="s">
        <v>3896</v>
      </c>
      <c r="D420" s="7" t="s">
        <v>2571</v>
      </c>
      <c r="E420" s="7" t="s">
        <v>3726</v>
      </c>
      <c r="F420" s="84" t="s">
        <v>2764</v>
      </c>
      <c r="G420" s="84" t="s">
        <v>2593</v>
      </c>
      <c r="H420" s="84" t="s">
        <v>2869</v>
      </c>
      <c r="I420" s="84" t="s">
        <v>3048</v>
      </c>
      <c r="J420" s="7" t="s">
        <v>3088</v>
      </c>
      <c r="K420" s="7">
        <v>31.0</v>
      </c>
      <c r="L420" s="7">
        <v>31.0</v>
      </c>
      <c r="M420" s="7">
        <v>25.0</v>
      </c>
      <c r="N420" s="7">
        <v>0.0</v>
      </c>
      <c r="O420" s="7">
        <v>25.0</v>
      </c>
      <c r="P420" s="7">
        <v>31.0</v>
      </c>
      <c r="Q420" s="7">
        <v>44.0</v>
      </c>
      <c r="R420" s="7">
        <v>220.0</v>
      </c>
      <c r="S420" s="7">
        <v>0.0</v>
      </c>
      <c r="T420" s="7">
        <v>0.0</v>
      </c>
      <c r="U420" s="7">
        <v>0.0</v>
      </c>
      <c r="V420" s="7">
        <v>220.0</v>
      </c>
      <c r="W420" s="7">
        <f>VLOOKUP($D420,NatureChart,2,0)</f>
        <v>1.1</v>
      </c>
      <c r="X420" s="7">
        <f>VLOOKUP($D420,NatureChart,3,0)</f>
        <v>1</v>
      </c>
      <c r="Y420" s="7">
        <f>VLOOKUP($D420,NatureChart,4,0)</f>
        <v>0.9</v>
      </c>
      <c r="Z420" s="7">
        <f>VLOOKUP($D420,NatureChart,5,0)</f>
        <v>1</v>
      </c>
      <c r="AA420" s="84">
        <f>VLOOKUP($D420,NatureChart,6,0)</f>
        <v>1</v>
      </c>
      <c r="AB420" s="84">
        <f>IF($C420="Shedinja",1,(INT((2*VLOOKUP($C420,DexData,5,0)+INT(Q420/4)+K420)/2)+60))</f>
        <v>211</v>
      </c>
      <c r="AC420" s="84">
        <f>INT(INT((INT((2*VLOOKUP($C420,DexData,6,0)+INT(R420/4)+L420)/2)+5)*W420)*IF($E420="Choice Band",1.5,IF(OR($E420="Mawilite",$E420="Medichamite",$E420="Thick Club"),2,1)))</f>
        <v>146</v>
      </c>
      <c r="AD420" s="84">
        <f>INT(INT((INT((2*VLOOKUP($C420,DexData,7,0)+INT(S420/4)+M420)/2)+5)*X420)*IF($E420="Eviolite",1.5,1))</f>
        <v>97</v>
      </c>
      <c r="AE420" s="84">
        <f>INT(INT((INT((2*VLOOKUP($C420,DexData,9,0)+INT(T420/4)+N420)/2)+5)*Y420)*IF($E420="Choice Specs",1.5,1))</f>
        <v>81</v>
      </c>
      <c r="AF420" s="84">
        <f>INT(INT((INT((2*VLOOKUP($C420,DexData,10,0)+INT(U420/4)+O420)/2)+5)*Z420)*IF(OR($E420="Eviolite",$E420="Assault Vest"),1.5,1))</f>
        <v>112</v>
      </c>
      <c r="AG420" s="84">
        <f>INT(INT((INT((2*VLOOKUP($C420,DexData,11,0)+INT(V420/4)+P420)/2)+5)*AA420)*IF($E420="Choice Scarf",1.5,IF($E420="Iron Ball",0.5,1)))</f>
        <v>108</v>
      </c>
      <c r="AH420" s="84" t="str">
        <f>VLOOKUP(VLOOKUP($C420,DexData,3,0),Aliases!D$2:E$19,2,0)&amp;IFERROR("/"&amp;VLOOKUP(VLOOKUP($C420,DexData,4,0),Aliases!D$2:E$19,2,0),"")</f>
        <v>WTR/ICE</v>
      </c>
      <c r="AI420" s="7">
        <v>3.0</v>
      </c>
      <c r="AJ420" s="7">
        <f>IF(VLOOKUP(B420,'Set Odds'!A$2:AN$1067,40,0),1,IF(VLOOKUP(B420,'Set Odds'!A$2:AO$1067,41,0),2,0))</f>
        <v>0</v>
      </c>
      <c r="AK420" s="7"/>
      <c r="AL420" s="7" t="str">
        <f t="shared" si="1"/>
        <v/>
      </c>
    </row>
    <row r="421" ht="12.75" customHeight="1">
      <c r="A421" s="86">
        <v>420.0</v>
      </c>
      <c r="B421" s="84" t="s">
        <v>3897</v>
      </c>
      <c r="C421" s="7" t="s">
        <v>3898</v>
      </c>
      <c r="D421" s="7" t="s">
        <v>2692</v>
      </c>
      <c r="E421" s="7" t="s">
        <v>2675</v>
      </c>
      <c r="F421" s="84" t="s">
        <v>3538</v>
      </c>
      <c r="G421" s="84" t="s">
        <v>3710</v>
      </c>
      <c r="H421" s="84" t="s">
        <v>3809</v>
      </c>
      <c r="I421" s="84" t="s">
        <v>3314</v>
      </c>
      <c r="J421" s="7" t="s">
        <v>3233</v>
      </c>
      <c r="K421" s="7">
        <v>31.0</v>
      </c>
      <c r="L421" s="7">
        <v>31.0</v>
      </c>
      <c r="M421" s="7">
        <v>25.0</v>
      </c>
      <c r="N421" s="7">
        <v>0.0</v>
      </c>
      <c r="O421" s="7">
        <v>25.0</v>
      </c>
      <c r="P421" s="7">
        <v>31.0</v>
      </c>
      <c r="Q421" s="7">
        <v>36.0</v>
      </c>
      <c r="R421" s="7">
        <v>220.0</v>
      </c>
      <c r="S421" s="7">
        <v>0.0</v>
      </c>
      <c r="T421" s="7">
        <v>0.0</v>
      </c>
      <c r="U421" s="7">
        <v>0.0</v>
      </c>
      <c r="V421" s="7">
        <v>252.0</v>
      </c>
      <c r="W421" s="7">
        <f>VLOOKUP($D421,NatureChart,2,0)</f>
        <v>1</v>
      </c>
      <c r="X421" s="7">
        <f>VLOOKUP($D421,NatureChart,3,0)</f>
        <v>1</v>
      </c>
      <c r="Y421" s="7">
        <f>VLOOKUP($D421,NatureChart,4,0)</f>
        <v>0.9</v>
      </c>
      <c r="Z421" s="7">
        <f>VLOOKUP($D421,NatureChart,5,0)</f>
        <v>1</v>
      </c>
      <c r="AA421" s="84">
        <f>VLOOKUP($D421,NatureChart,6,0)</f>
        <v>1.1</v>
      </c>
      <c r="AB421" s="84">
        <f>IF($C421="Shedinja",1,(INT((2*VLOOKUP($C421,DexData,5,0)+INT(Q421/4)+K421)/2)+60))</f>
        <v>165</v>
      </c>
      <c r="AC421" s="84">
        <f>INT(INT((INT((2*VLOOKUP($C421,DexData,6,0)+INT(R421/4)+L421)/2)+5)*W421)*IF($E421="Choice Band",1.5,IF(OR($E421="Mawilite",$E421="Medichamite",$E421="Thick Club"),2,1)))</f>
        <v>138</v>
      </c>
      <c r="AD421" s="84">
        <f>INT(INT((INT((2*VLOOKUP($C421,DexData,7,0)+INT(S421/4)+M421)/2)+5)*X421)*IF($E421="Eviolite",1.5,1))</f>
        <v>97</v>
      </c>
      <c r="AE421" s="84">
        <f>INT(INT((INT((2*VLOOKUP($C421,DexData,9,0)+INT(T421/4)+N421)/2)+5)*Y421)*IF($E421="Choice Specs",1.5,1))</f>
        <v>67</v>
      </c>
      <c r="AF421" s="84">
        <f>INT(INT((INT((2*VLOOKUP($C421,DexData,10,0)+INT(U421/4)+O421)/2)+5)*Z421)*IF(OR($E421="Eviolite",$E421="Assault Vest"),1.5,1))</f>
        <v>97</v>
      </c>
      <c r="AG421" s="84">
        <f>INT(INT((INT((2*VLOOKUP($C421,DexData,11,0)+INT(V421/4)+P421)/2)+5)*AA421)*IF($E421="Choice Scarf",1.5,IF($E421="Iron Ball",0.5,1)))</f>
        <v>200</v>
      </c>
      <c r="AH421" s="84" t="str">
        <f>VLOOKUP(VLOOKUP($C421,DexData,3,0),Aliases!D$2:E$19,2,0)&amp;IFERROR("/"&amp;VLOOKUP(VLOOKUP($C421,DexData,4,0),Aliases!D$2:E$19,2,0),"")</f>
        <v>PSN/FLY</v>
      </c>
      <c r="AI421" s="7">
        <v>3.0</v>
      </c>
      <c r="AJ421" s="7">
        <f>IF(VLOOKUP(B421,'Set Odds'!A$2:AN$1067,40,0),1,IF(VLOOKUP(B421,'Set Odds'!A$2:AO$1067,41,0),2,0))</f>
        <v>0</v>
      </c>
      <c r="AK421" s="7"/>
      <c r="AL421" s="7" t="str">
        <f t="shared" si="1"/>
        <v/>
      </c>
    </row>
    <row r="422" ht="12.75" customHeight="1">
      <c r="A422" s="86">
        <v>421.0</v>
      </c>
      <c r="B422" s="84" t="s">
        <v>3899</v>
      </c>
      <c r="C422" s="7" t="s">
        <v>3900</v>
      </c>
      <c r="D422" s="7" t="s">
        <v>2656</v>
      </c>
      <c r="E422" s="7" t="s">
        <v>2516</v>
      </c>
      <c r="F422" s="84" t="s">
        <v>3435</v>
      </c>
      <c r="G422" s="84" t="s">
        <v>3524</v>
      </c>
      <c r="H422" s="84" t="s">
        <v>3228</v>
      </c>
      <c r="I422" s="84" t="s">
        <v>3523</v>
      </c>
      <c r="J422" s="7" t="s">
        <v>2728</v>
      </c>
      <c r="K422" s="7">
        <v>31.0</v>
      </c>
      <c r="L422" s="7">
        <v>0.0</v>
      </c>
      <c r="M422" s="7">
        <v>25.0</v>
      </c>
      <c r="N422" s="7">
        <v>31.0</v>
      </c>
      <c r="O422" s="7">
        <v>25.0</v>
      </c>
      <c r="P422" s="7">
        <v>31.0</v>
      </c>
      <c r="Q422" s="7">
        <v>44.0</v>
      </c>
      <c r="R422" s="7">
        <v>0.0</v>
      </c>
      <c r="S422" s="7">
        <v>0.0</v>
      </c>
      <c r="T422" s="7">
        <v>220.0</v>
      </c>
      <c r="U422" s="7">
        <v>0.0</v>
      </c>
      <c r="V422" s="7">
        <v>220.0</v>
      </c>
      <c r="W422" s="7">
        <f>VLOOKUP($D422,NatureChart,2,0)</f>
        <v>0.9</v>
      </c>
      <c r="X422" s="7">
        <f>VLOOKUP($D422,NatureChart,3,0)</f>
        <v>1</v>
      </c>
      <c r="Y422" s="7">
        <f>VLOOKUP($D422,NatureChart,4,0)</f>
        <v>1.1</v>
      </c>
      <c r="Z422" s="7">
        <f>VLOOKUP($D422,NatureChart,5,0)</f>
        <v>1</v>
      </c>
      <c r="AA422" s="84">
        <f>VLOOKUP($D422,NatureChart,6,0)</f>
        <v>1</v>
      </c>
      <c r="AB422" s="84">
        <f>IF($C422="Shedinja",1,(INT((2*VLOOKUP($C422,DexData,5,0)+INT(Q422/4)+K422)/2)+60))</f>
        <v>151</v>
      </c>
      <c r="AC422" s="84">
        <f>INT(INT((INT((2*VLOOKUP($C422,DexData,6,0)+INT(R422/4)+L422)/2)+5)*W422)*IF($E422="Choice Band",1.5,IF(OR($E422="Mawilite",$E422="Medichamite",$E422="Thick Club"),2,1)))</f>
        <v>67</v>
      </c>
      <c r="AD422" s="84">
        <f>INT(INT((INT((2*VLOOKUP($C422,DexData,7,0)+INT(S422/4)+M422)/2)+5)*X422)*IF($E422="Eviolite",1.5,1))</f>
        <v>132</v>
      </c>
      <c r="AE422" s="84">
        <f>INT(INT((INT((2*VLOOKUP($C422,DexData,9,0)+INT(T422/4)+N422)/2)+5)*Y422)*IF($E422="Choice Specs",1.5,1))</f>
        <v>195</v>
      </c>
      <c r="AF422" s="84">
        <f>INT(INT((INT((2*VLOOKUP($C422,DexData,10,0)+INT(U422/4)+O422)/2)+5)*Z422)*IF(OR($E422="Eviolite",$E422="Assault Vest"),1.5,1))</f>
        <v>107</v>
      </c>
      <c r="AG422" s="84">
        <f>INT(INT((INT((2*VLOOKUP($C422,DexData,11,0)+INT(V422/4)+P422)/2)+5)*AA422)*IF($E422="Choice Scarf",1.5,IF($E422="Iron Ball",0.5,1)))</f>
        <v>108</v>
      </c>
      <c r="AH422" s="84" t="str">
        <f>VLOOKUP(VLOOKUP($C422,DexData,3,0),Aliases!D$2:E$19,2,0)&amp;IFERROR("/"&amp;VLOOKUP(VLOOKUP($C422,DexData,4,0),Aliases!D$2:E$19,2,0),"")</f>
        <v>ELC/STL</v>
      </c>
      <c r="AI422" s="7">
        <v>3.0</v>
      </c>
      <c r="AJ422" s="7">
        <f>IF(VLOOKUP(B422,'Set Odds'!A$2:AN$1067,40,0),1,IF(VLOOKUP(B422,'Set Odds'!A$2:AO$1067,41,0),2,0))</f>
        <v>0</v>
      </c>
      <c r="AK422" s="7"/>
      <c r="AL422" s="7" t="str">
        <f t="shared" si="1"/>
        <v/>
      </c>
    </row>
    <row r="423" ht="12.75" customHeight="1">
      <c r="A423" s="86">
        <v>422.0</v>
      </c>
      <c r="B423" s="84" t="s">
        <v>3901</v>
      </c>
      <c r="C423" s="7" t="s">
        <v>3432</v>
      </c>
      <c r="D423" s="7" t="s">
        <v>2827</v>
      </c>
      <c r="E423" s="7" t="s">
        <v>3433</v>
      </c>
      <c r="F423" s="84" t="s">
        <v>3434</v>
      </c>
      <c r="G423" s="84" t="s">
        <v>2823</v>
      </c>
      <c r="H423" s="84" t="s">
        <v>3435</v>
      </c>
      <c r="I423" s="84" t="s">
        <v>2660</v>
      </c>
      <c r="J423" s="7" t="s">
        <v>3436</v>
      </c>
      <c r="K423" s="7">
        <v>31.0</v>
      </c>
      <c r="L423" s="7">
        <v>0.0</v>
      </c>
      <c r="M423" s="7">
        <v>31.0</v>
      </c>
      <c r="N423" s="7">
        <v>31.0</v>
      </c>
      <c r="O423" s="7">
        <v>0.0</v>
      </c>
      <c r="P423" s="7">
        <v>0.0</v>
      </c>
      <c r="Q423" s="7">
        <v>44.0</v>
      </c>
      <c r="R423" s="7">
        <v>0.0</v>
      </c>
      <c r="S423" s="7">
        <v>0.0</v>
      </c>
      <c r="T423" s="7">
        <v>220.0</v>
      </c>
      <c r="U423" s="7">
        <v>220.0</v>
      </c>
      <c r="V423" s="7">
        <v>0.0</v>
      </c>
      <c r="W423" s="7">
        <f>VLOOKUP($D423,NatureChart,2,0)</f>
        <v>1</v>
      </c>
      <c r="X423" s="7">
        <f>VLOOKUP($D423,NatureChart,3,0)</f>
        <v>1</v>
      </c>
      <c r="Y423" s="7">
        <f>VLOOKUP($D423,NatureChart,4,0)</f>
        <v>1.1</v>
      </c>
      <c r="Z423" s="7">
        <f>VLOOKUP($D423,NatureChart,5,0)</f>
        <v>1</v>
      </c>
      <c r="AA423" s="84">
        <f>VLOOKUP($D423,NatureChart,6,0)</f>
        <v>0.9</v>
      </c>
      <c r="AB423" s="84">
        <f>IF($C423="Shedinja",1,(INT((2*VLOOKUP($C423,DexData,5,0)+INT(Q423/4)+K423)/2)+60))</f>
        <v>196</v>
      </c>
      <c r="AC423" s="84">
        <f>INT(INT((INT((2*VLOOKUP($C423,DexData,6,0)+INT(R423/4)+L423)/2)+5)*W423)*IF($E423="Choice Band",1.5,IF(OR($E423="Mawilite",$E423="Medichamite",$E423="Thick Club"),2,1)))</f>
        <v>145</v>
      </c>
      <c r="AD423" s="84">
        <f>INT(INT((INT((2*VLOOKUP($C423,DexData,7,0)+INT(S423/4)+M423)/2)+5)*X423)*IF($E423="Eviolite",1.5,1))</f>
        <v>150</v>
      </c>
      <c r="AE423" s="84">
        <f>INT(INT((INT((2*VLOOKUP($C423,DexData,9,0)+INT(T423/4)+N423)/2)+5)*Y423)*IF($E423="Choice Specs",1.5,1))</f>
        <v>113</v>
      </c>
      <c r="AF423" s="84">
        <f>INT(INT((INT((2*VLOOKUP($C423,DexData,10,0)+INT(U423/4)+O423)/2)+5)*Z423)*IF(OR($E423="Eviolite",$E423="Assault Vest"),1.5,1))</f>
        <v>87</v>
      </c>
      <c r="AG423" s="84">
        <f>INT(INT((INT((2*VLOOKUP($C423,DexData,11,0)+INT(V423/4)+P423)/2)+5)*AA423)*IF($E423="Choice Scarf",1.5,IF($E423="Iron Ball",0.5,1)))</f>
        <v>40</v>
      </c>
      <c r="AH423" s="84" t="str">
        <f>VLOOKUP(VLOOKUP($C423,DexData,3,0),Aliases!D$2:E$19,2,0)&amp;IFERROR("/"&amp;VLOOKUP(VLOOKUP($C423,DexData,4,0),Aliases!D$2:E$19,2,0),"")</f>
        <v>GRD/RCK</v>
      </c>
      <c r="AI423" s="7">
        <v>3.0</v>
      </c>
      <c r="AJ423" s="7">
        <f>IF(VLOOKUP(B423,'Set Odds'!A$2:AN$1067,40,0),1,IF(VLOOKUP(B423,'Set Odds'!A$2:AO$1067,41,0),2,0))</f>
        <v>0</v>
      </c>
      <c r="AK423" s="7"/>
      <c r="AL423" s="7" t="str">
        <f t="shared" si="1"/>
        <v/>
      </c>
    </row>
    <row r="424" ht="12.75" customHeight="1">
      <c r="A424" s="86">
        <v>423.0</v>
      </c>
      <c r="B424" s="84" t="s">
        <v>3902</v>
      </c>
      <c r="C424" s="7" t="s">
        <v>3903</v>
      </c>
      <c r="D424" s="7" t="s">
        <v>3597</v>
      </c>
      <c r="E424" s="7" t="s">
        <v>2612</v>
      </c>
      <c r="F424" s="84" t="s">
        <v>2575</v>
      </c>
      <c r="G424" s="84" t="s">
        <v>2532</v>
      </c>
      <c r="H424" s="84" t="s">
        <v>2705</v>
      </c>
      <c r="I424" s="84" t="s">
        <v>2704</v>
      </c>
      <c r="J424" s="7" t="s">
        <v>3404</v>
      </c>
      <c r="K424" s="7">
        <v>31.0</v>
      </c>
      <c r="L424" s="7">
        <v>0.0</v>
      </c>
      <c r="M424" s="7">
        <v>25.0</v>
      </c>
      <c r="N424" s="7">
        <v>31.0</v>
      </c>
      <c r="O424" s="7">
        <v>31.0</v>
      </c>
      <c r="P424" s="7">
        <v>25.0</v>
      </c>
      <c r="Q424" s="7">
        <v>220.0</v>
      </c>
      <c r="R424" s="7">
        <v>0.0</v>
      </c>
      <c r="S424" s="7">
        <v>0.0</v>
      </c>
      <c r="T424" s="7">
        <v>44.0</v>
      </c>
      <c r="U424" s="7">
        <v>220.0</v>
      </c>
      <c r="V424" s="7">
        <v>0.0</v>
      </c>
      <c r="W424" s="7">
        <f>VLOOKUP($D424,NatureChart,2,0)</f>
        <v>0.9</v>
      </c>
      <c r="X424" s="7">
        <f>VLOOKUP($D424,NatureChart,3,0)</f>
        <v>1</v>
      </c>
      <c r="Y424" s="7">
        <f>VLOOKUP($D424,NatureChart,4,0)</f>
        <v>1</v>
      </c>
      <c r="Z424" s="7">
        <f>VLOOKUP($D424,NatureChart,5,0)</f>
        <v>1.1</v>
      </c>
      <c r="AA424" s="84">
        <f>VLOOKUP($D424,NatureChart,6,0)</f>
        <v>1</v>
      </c>
      <c r="AB424" s="84">
        <f>IF($C424="Shedinja",1,(INT((2*VLOOKUP($C424,DexData,5,0)+INT(Q424/4)+K424)/2)+60))</f>
        <v>203</v>
      </c>
      <c r="AC424" s="84">
        <f>INT(INT((INT((2*VLOOKUP($C424,DexData,6,0)+INT(R424/4)+L424)/2)+5)*W424)*IF($E424="Choice Band",1.5,IF(OR($E424="Mawilite",$E424="Medichamite",$E424="Thick Club"),2,1)))</f>
        <v>94</v>
      </c>
      <c r="AD424" s="84">
        <f>INT(INT((INT((2*VLOOKUP($C424,DexData,7,0)+INT(S424/4)+M424)/2)+5)*X424)*IF($E424="Eviolite",1.5,1))</f>
        <v>142</v>
      </c>
      <c r="AE424" s="84">
        <f>INT(INT((INT((2*VLOOKUP($C424,DexData,9,0)+INT(T424/4)+N424)/2)+5)*Y424)*IF($E424="Choice Specs",1.5,1))</f>
        <v>136</v>
      </c>
      <c r="AF424" s="84">
        <f>INT(INT((INT((2*VLOOKUP($C424,DexData,10,0)+INT(U424/4)+O424)/2)+5)*Z424)*IF(OR($E424="Eviolite",$E424="Assault Vest"),1.5,1))</f>
        <v>107</v>
      </c>
      <c r="AG424" s="84">
        <f>INT(INT((INT((2*VLOOKUP($C424,DexData,11,0)+INT(V424/4)+P424)/2)+5)*AA424)*IF($E424="Choice Scarf",1.5,IF($E424="Iron Ball",0.5,1)))</f>
        <v>67</v>
      </c>
      <c r="AH424" s="84" t="str">
        <f>VLOOKUP(VLOOKUP($C424,DexData,3,0),Aliases!D$2:E$19,2,0)&amp;IFERROR("/"&amp;VLOOKUP(VLOOKUP($C424,DexData,4,0),Aliases!D$2:E$19,2,0),"")</f>
        <v>GRS</v>
      </c>
      <c r="AI424" s="7">
        <v>3.0</v>
      </c>
      <c r="AJ424" s="7">
        <f>IF(VLOOKUP(B424,'Set Odds'!A$2:AN$1067,40,0),1,IF(VLOOKUP(B424,'Set Odds'!A$2:AO$1067,41,0),2,0))</f>
        <v>0</v>
      </c>
      <c r="AK424" s="7"/>
      <c r="AL424" s="7" t="str">
        <f t="shared" si="1"/>
        <v/>
      </c>
    </row>
    <row r="425" ht="12.75" customHeight="1">
      <c r="A425" s="86">
        <v>424.0</v>
      </c>
      <c r="B425" s="84" t="s">
        <v>3904</v>
      </c>
      <c r="C425" s="7" t="s">
        <v>3905</v>
      </c>
      <c r="D425" s="7" t="s">
        <v>2656</v>
      </c>
      <c r="E425" s="7" t="s">
        <v>3522</v>
      </c>
      <c r="F425" s="84" t="s">
        <v>3228</v>
      </c>
      <c r="G425" s="84" t="s">
        <v>2661</v>
      </c>
      <c r="H425" s="84" t="s">
        <v>2823</v>
      </c>
      <c r="I425" s="84" t="s">
        <v>3435</v>
      </c>
      <c r="J425" s="7" t="s">
        <v>3229</v>
      </c>
      <c r="K425" s="7">
        <v>31.0</v>
      </c>
      <c r="L425" s="7">
        <v>0.0</v>
      </c>
      <c r="M425" s="7">
        <v>25.0</v>
      </c>
      <c r="N425" s="7">
        <v>31.0</v>
      </c>
      <c r="O425" s="7">
        <v>25.0</v>
      </c>
      <c r="P425" s="7">
        <v>31.0</v>
      </c>
      <c r="Q425" s="7">
        <v>36.0</v>
      </c>
      <c r="R425" s="7">
        <v>0.0</v>
      </c>
      <c r="S425" s="7">
        <v>0.0</v>
      </c>
      <c r="T425" s="7">
        <v>252.0</v>
      </c>
      <c r="U425" s="7">
        <v>0.0</v>
      </c>
      <c r="V425" s="7">
        <v>220.0</v>
      </c>
      <c r="W425" s="7">
        <f>VLOOKUP($D425,NatureChart,2,0)</f>
        <v>0.9</v>
      </c>
      <c r="X425" s="7">
        <f>VLOOKUP($D425,NatureChart,3,0)</f>
        <v>1</v>
      </c>
      <c r="Y425" s="7">
        <f>VLOOKUP($D425,NatureChart,4,0)</f>
        <v>1.1</v>
      </c>
      <c r="Z425" s="7">
        <f>VLOOKUP($D425,NatureChart,5,0)</f>
        <v>1</v>
      </c>
      <c r="AA425" s="84">
        <f>VLOOKUP($D425,NatureChart,6,0)</f>
        <v>1</v>
      </c>
      <c r="AB425" s="84">
        <f>IF($C425="Shedinja",1,(INT((2*VLOOKUP($C425,DexData,5,0)+INT(Q425/4)+K425)/2)+60))</f>
        <v>165</v>
      </c>
      <c r="AC425" s="84">
        <f>INT(INT((INT((2*VLOOKUP($C425,DexData,6,0)+INT(R425/4)+L425)/2)+5)*W425)*IF($E425="Choice Band",1.5,IF(OR($E425="Mawilite",$E425="Medichamite",$E425="Thick Club"),2,1)))</f>
        <v>76</v>
      </c>
      <c r="AD425" s="84">
        <f>INT(INT((INT((2*VLOOKUP($C425,DexData,7,0)+INT(S425/4)+M425)/2)+5)*X425)*IF($E425="Eviolite",1.5,1))</f>
        <v>87</v>
      </c>
      <c r="AE425" s="84">
        <f>INT(INT((INT((2*VLOOKUP($C425,DexData,9,0)+INT(T425/4)+N425)/2)+5)*Y425)*IF($E425="Choice Specs",1.5,1))</f>
        <v>307</v>
      </c>
      <c r="AF425" s="84">
        <f>INT(INT((INT((2*VLOOKUP($C425,DexData,10,0)+INT(U425/4)+O425)/2)+5)*Z425)*IF(OR($E425="Eviolite",$E425="Assault Vest"),1.5,1))</f>
        <v>92</v>
      </c>
      <c r="AG425" s="84">
        <f>INT(INT((INT((2*VLOOKUP($C425,DexData,11,0)+INT(V425/4)+P425)/2)+5)*AA425)*IF($E425="Choice Scarf",1.5,IF($E425="Iron Ball",0.5,1)))</f>
        <v>138</v>
      </c>
      <c r="AH425" s="84" t="str">
        <f>VLOOKUP(VLOOKUP($C425,DexData,3,0),Aliases!D$2:E$19,2,0)&amp;IFERROR("/"&amp;VLOOKUP(VLOOKUP($C425,DexData,4,0),Aliases!D$2:E$19,2,0),"")</f>
        <v>NRM</v>
      </c>
      <c r="AI425" s="7">
        <v>3.0</v>
      </c>
      <c r="AJ425" s="7">
        <f>IF(VLOOKUP(B425,'Set Odds'!A$2:AN$1067,40,0),1,IF(VLOOKUP(B425,'Set Odds'!A$2:AO$1067,41,0),2,0))</f>
        <v>0</v>
      </c>
      <c r="AK425" s="7"/>
      <c r="AL425" s="7" t="str">
        <f t="shared" si="1"/>
        <v/>
      </c>
    </row>
    <row r="426" ht="12.75" customHeight="1">
      <c r="A426" s="86">
        <v>425.0</v>
      </c>
      <c r="B426" s="84" t="s">
        <v>3906</v>
      </c>
      <c r="C426" s="7" t="s">
        <v>3907</v>
      </c>
      <c r="D426" s="7" t="s">
        <v>2571</v>
      </c>
      <c r="E426" s="7" t="s">
        <v>3726</v>
      </c>
      <c r="F426" s="84" t="s">
        <v>2764</v>
      </c>
      <c r="G426" s="84" t="s">
        <v>2869</v>
      </c>
      <c r="H426" s="84" t="s">
        <v>3454</v>
      </c>
      <c r="I426" s="84" t="s">
        <v>3603</v>
      </c>
      <c r="J426" s="7" t="s">
        <v>2696</v>
      </c>
      <c r="K426" s="7">
        <v>31.0</v>
      </c>
      <c r="L426" s="7">
        <v>31.0</v>
      </c>
      <c r="M426" s="7">
        <v>25.0</v>
      </c>
      <c r="N426" s="7">
        <v>0.0</v>
      </c>
      <c r="O426" s="7">
        <v>25.0</v>
      </c>
      <c r="P426" s="7">
        <v>31.0</v>
      </c>
      <c r="Q426" s="7">
        <v>44.0</v>
      </c>
      <c r="R426" s="7">
        <v>220.0</v>
      </c>
      <c r="S426" s="7">
        <v>0.0</v>
      </c>
      <c r="T426" s="7">
        <v>0.0</v>
      </c>
      <c r="U426" s="7">
        <v>0.0</v>
      </c>
      <c r="V426" s="7">
        <v>220.0</v>
      </c>
      <c r="W426" s="7">
        <f>VLOOKUP($D426,NatureChart,2,0)</f>
        <v>1.1</v>
      </c>
      <c r="X426" s="7">
        <f>VLOOKUP($D426,NatureChart,3,0)</f>
        <v>1</v>
      </c>
      <c r="Y426" s="7">
        <f>VLOOKUP($D426,NatureChart,4,0)</f>
        <v>0.9</v>
      </c>
      <c r="Z426" s="7">
        <f>VLOOKUP($D426,NatureChart,5,0)</f>
        <v>1</v>
      </c>
      <c r="AA426" s="84">
        <f>VLOOKUP($D426,NatureChart,6,0)</f>
        <v>1</v>
      </c>
      <c r="AB426" s="84">
        <f>IF($C426="Shedinja",1,(INT((2*VLOOKUP($C426,DexData,5,0)+INT(Q426/4)+K426)/2)+60))</f>
        <v>176</v>
      </c>
      <c r="AC426" s="84">
        <f>INT(INT((INT((2*VLOOKUP($C426,DexData,6,0)+INT(R426/4)+L426)/2)+5)*W426)*IF($E426="Choice Band",1.5,IF(OR($E426="Mawilite",$E426="Medichamite",$E426="Thick Club"),2,1)))</f>
        <v>190</v>
      </c>
      <c r="AD426" s="84">
        <f>INT(INT((INT((2*VLOOKUP($C426,DexData,7,0)+INT(S426/4)+M426)/2)+5)*X426)*IF($E426="Eviolite",1.5,1))</f>
        <v>96</v>
      </c>
      <c r="AE426" s="84">
        <f>INT(INT((INT((2*VLOOKUP($C426,DexData,9,0)+INT(T426/4)+N426)/2)+5)*Y426)*IF($E426="Choice Specs",1.5,1))</f>
        <v>58</v>
      </c>
      <c r="AF426" s="84">
        <f>INT(INT((INT((2*VLOOKUP($C426,DexData,10,0)+INT(U426/4)+O426)/2)+5)*Z426)*IF(OR($E426="Eviolite",$E426="Assault Vest"),1.5,1))</f>
        <v>117</v>
      </c>
      <c r="AG426" s="84">
        <f>INT(INT((INT((2*VLOOKUP($C426,DexData,11,0)+INT(V426/4)+P426)/2)+5)*AA426)*IF($E426="Choice Scarf",1.5,IF($E426="Iron Ball",0.5,1)))</f>
        <v>129</v>
      </c>
      <c r="AH426" s="84" t="str">
        <f>VLOOKUP(VLOOKUP($C426,DexData,3,0),Aliases!D$2:E$19,2,0)&amp;IFERROR("/"&amp;VLOOKUP(VLOOKUP($C426,DexData,4,0),Aliases!D$2:E$19,2,0),"")</f>
        <v>WTR/FLY</v>
      </c>
      <c r="AI426" s="7">
        <v>3.0</v>
      </c>
      <c r="AJ426" s="7">
        <f>IF(VLOOKUP(B426,'Set Odds'!A$2:AN$1067,40,0),1,IF(VLOOKUP(B426,'Set Odds'!A$2:AO$1067,41,0),2,0))</f>
        <v>0</v>
      </c>
      <c r="AK426" s="7"/>
      <c r="AL426" s="7" t="str">
        <f t="shared" si="1"/>
        <v/>
      </c>
    </row>
    <row r="427" ht="12.75" customHeight="1">
      <c r="A427" s="86">
        <v>426.0</v>
      </c>
      <c r="B427" s="84" t="s">
        <v>3908</v>
      </c>
      <c r="C427" s="7" t="s">
        <v>3909</v>
      </c>
      <c r="D427" s="7" t="s">
        <v>2571</v>
      </c>
      <c r="E427" s="7" t="s">
        <v>2685</v>
      </c>
      <c r="F427" s="84" t="s">
        <v>2593</v>
      </c>
      <c r="G427" s="84" t="s">
        <v>3454</v>
      </c>
      <c r="H427" s="84" t="s">
        <v>2632</v>
      </c>
      <c r="I427" s="84" t="s">
        <v>2688</v>
      </c>
      <c r="J427" s="7" t="s">
        <v>3910</v>
      </c>
      <c r="K427" s="7">
        <v>31.0</v>
      </c>
      <c r="L427" s="7">
        <v>31.0</v>
      </c>
      <c r="M427" s="7">
        <v>31.0</v>
      </c>
      <c r="N427" s="7">
        <v>0.0</v>
      </c>
      <c r="O427" s="7">
        <v>25.0</v>
      </c>
      <c r="P427" s="7">
        <v>25.0</v>
      </c>
      <c r="Q427" s="7">
        <v>44.0</v>
      </c>
      <c r="R427" s="7">
        <v>220.0</v>
      </c>
      <c r="S427" s="7">
        <v>220.0</v>
      </c>
      <c r="T427" s="7">
        <v>0.0</v>
      </c>
      <c r="U427" s="7">
        <v>0.0</v>
      </c>
      <c r="V427" s="7">
        <v>0.0</v>
      </c>
      <c r="W427" s="7">
        <f>VLOOKUP($D427,NatureChart,2,0)</f>
        <v>1.1</v>
      </c>
      <c r="X427" s="7">
        <f>VLOOKUP($D427,NatureChart,3,0)</f>
        <v>1</v>
      </c>
      <c r="Y427" s="7">
        <f>VLOOKUP($D427,NatureChart,4,0)</f>
        <v>0.9</v>
      </c>
      <c r="Z427" s="7">
        <f>VLOOKUP($D427,NatureChart,5,0)</f>
        <v>1</v>
      </c>
      <c r="AA427" s="84">
        <f>VLOOKUP($D427,NatureChart,6,0)</f>
        <v>1</v>
      </c>
      <c r="AB427" s="84">
        <f>IF($C427="Shedinja",1,(INT((2*VLOOKUP($C427,DexData,5,0)+INT(Q427/4)+K427)/2)+60))</f>
        <v>241</v>
      </c>
      <c r="AC427" s="84">
        <f>INT(INT((INT((2*VLOOKUP($C427,DexData,6,0)+INT(R427/4)+L427)/2)+5)*W427)*IF($E427="Choice Band",1.5,IF(OR($E427="Mawilite",$E427="Medichamite",$E427="Thick Club"),2,1)))</f>
        <v>173</v>
      </c>
      <c r="AD427" s="84">
        <f>INT(INT((INT((2*VLOOKUP($C427,DexData,7,0)+INT(S427/4)+M427)/2)+5)*X427)*IF($E427="Eviolite",1.5,1))</f>
        <v>113</v>
      </c>
      <c r="AE427" s="84">
        <f>INT(INT((INT((2*VLOOKUP($C427,DexData,9,0)+INT(T427/4)+N427)/2)+5)*Y427)*IF($E427="Choice Specs",1.5,1))</f>
        <v>63</v>
      </c>
      <c r="AF427" s="84">
        <f>INT(INT((INT((2*VLOOKUP($C427,DexData,10,0)+INT(U427/4)+O427)/2)+5)*Z427)*IF(OR($E427="Eviolite",$E427="Assault Vest"),1.5,1))</f>
        <v>127</v>
      </c>
      <c r="AG427" s="84">
        <f>INT(INT((INT((2*VLOOKUP($C427,DexData,11,0)+INT(V427/4)+P427)/2)+5)*AA427)*IF($E427="Choice Scarf",1.5,IF($E427="Iron Ball",0.5,1)))</f>
        <v>47</v>
      </c>
      <c r="AH427" s="84" t="str">
        <f>VLOOKUP(VLOOKUP($C427,DexData,3,0),Aliases!D$2:E$19,2,0)&amp;IFERROR("/"&amp;VLOOKUP(VLOOKUP($C427,DexData,4,0),Aliases!D$2:E$19,2,0),"")</f>
        <v>NRM</v>
      </c>
      <c r="AI427" s="7">
        <v>3.0</v>
      </c>
      <c r="AJ427" s="7">
        <f>IF(VLOOKUP(B427,'Set Odds'!A$2:AN$1067,40,0),1,IF(VLOOKUP(B427,'Set Odds'!A$2:AO$1067,41,0),2,0))</f>
        <v>0</v>
      </c>
      <c r="AK427" s="7"/>
      <c r="AL427" s="7" t="str">
        <f t="shared" si="1"/>
        <v/>
      </c>
    </row>
    <row r="428" ht="12.75" customHeight="1">
      <c r="A428" s="86">
        <v>427.0</v>
      </c>
      <c r="B428" s="84" t="s">
        <v>3911</v>
      </c>
      <c r="C428" s="7" t="s">
        <v>3912</v>
      </c>
      <c r="D428" s="7" t="s">
        <v>2692</v>
      </c>
      <c r="E428" s="7" t="s">
        <v>3635</v>
      </c>
      <c r="F428" s="84" t="s">
        <v>2869</v>
      </c>
      <c r="G428" s="84" t="s">
        <v>3484</v>
      </c>
      <c r="H428" s="84" t="s">
        <v>2764</v>
      </c>
      <c r="I428" s="84" t="s">
        <v>2688</v>
      </c>
      <c r="J428" s="7" t="s">
        <v>2773</v>
      </c>
      <c r="K428" s="7">
        <v>31.0</v>
      </c>
      <c r="L428" s="7">
        <v>31.0</v>
      </c>
      <c r="M428" s="7">
        <v>25.0</v>
      </c>
      <c r="N428" s="7">
        <v>0.0</v>
      </c>
      <c r="O428" s="7">
        <v>25.0</v>
      </c>
      <c r="P428" s="7">
        <v>31.0</v>
      </c>
      <c r="Q428" s="7">
        <v>44.0</v>
      </c>
      <c r="R428" s="7">
        <v>220.0</v>
      </c>
      <c r="S428" s="7">
        <v>0.0</v>
      </c>
      <c r="T428" s="7">
        <v>0.0</v>
      </c>
      <c r="U428" s="7">
        <v>0.0</v>
      </c>
      <c r="V428" s="7">
        <v>220.0</v>
      </c>
      <c r="W428" s="7">
        <f>VLOOKUP($D428,NatureChart,2,0)</f>
        <v>1</v>
      </c>
      <c r="X428" s="7">
        <f>VLOOKUP($D428,NatureChart,3,0)</f>
        <v>1</v>
      </c>
      <c r="Y428" s="7">
        <f>VLOOKUP($D428,NatureChart,4,0)</f>
        <v>0.9</v>
      </c>
      <c r="Z428" s="7">
        <f>VLOOKUP($D428,NatureChart,5,0)</f>
        <v>1</v>
      </c>
      <c r="AA428" s="84">
        <f>VLOOKUP($D428,NatureChart,6,0)</f>
        <v>1.1</v>
      </c>
      <c r="AB428" s="84">
        <f>IF($C428="Shedinja",1,(INT((2*VLOOKUP($C428,DexData,5,0)+INT(Q428/4)+K428)/2)+60))</f>
        <v>156</v>
      </c>
      <c r="AC428" s="84">
        <f>INT(INT((INT((2*VLOOKUP($C428,DexData,6,0)+INT(R428/4)+L428)/2)+5)*W428)*IF($E428="Choice Band",1.5,IF(OR($E428="Mawilite",$E428="Medichamite",$E428="Thick Club"),2,1)))</f>
        <v>143</v>
      </c>
      <c r="AD428" s="84">
        <f>INT(INT((INT((2*VLOOKUP($C428,DexData,7,0)+INT(S428/4)+M428)/2)+5)*X428)*IF($E428="Eviolite",1.5,1))</f>
        <v>112</v>
      </c>
      <c r="AE428" s="84">
        <f>INT(INT((INT((2*VLOOKUP($C428,DexData,9,0)+INT(T428/4)+N428)/2)+5)*Y428)*IF($E428="Choice Specs",1.5,1))</f>
        <v>90</v>
      </c>
      <c r="AF428" s="84">
        <f>INT(INT((INT((2*VLOOKUP($C428,DexData,10,0)+INT(U428/4)+O428)/2)+5)*Z428)*IF(OR($E428="Eviolite",$E428="Assault Vest"),1.5,1))</f>
        <v>112</v>
      </c>
      <c r="AG428" s="84">
        <f>INT(INT((INT((2*VLOOKUP($C428,DexData,11,0)+INT(V428/4)+P428)/2)+5)*AA428)*IF($E428="Choice Scarf",1.5,IF($E428="Iron Ball",0.5,1)))</f>
        <v>146</v>
      </c>
      <c r="AH428" s="84" t="str">
        <f>VLOOKUP(VLOOKUP($C428,DexData,3,0),Aliases!D$2:E$19,2,0)&amp;IFERROR("/"&amp;VLOOKUP(VLOOKUP($C428,DexData,4,0),Aliases!D$2:E$19,2,0),"")</f>
        <v>WTR/DRG</v>
      </c>
      <c r="AI428" s="7">
        <v>3.0</v>
      </c>
      <c r="AJ428" s="7">
        <f>IF(VLOOKUP(B428,'Set Odds'!A$2:AN$1067,40,0),1,IF(VLOOKUP(B428,'Set Odds'!A$2:AO$1067,41,0),2,0))</f>
        <v>0</v>
      </c>
      <c r="AK428" s="7"/>
      <c r="AL428" s="7" t="str">
        <f t="shared" si="1"/>
        <v/>
      </c>
    </row>
    <row r="429" ht="12.75" customHeight="1">
      <c r="A429" s="86">
        <v>428.0</v>
      </c>
      <c r="B429" s="84" t="s">
        <v>3913</v>
      </c>
      <c r="C429" s="7" t="s">
        <v>3914</v>
      </c>
      <c r="D429" s="7" t="s">
        <v>2862</v>
      </c>
      <c r="E429" s="7" t="s">
        <v>2685</v>
      </c>
      <c r="F429" s="84" t="s">
        <v>2823</v>
      </c>
      <c r="G429" s="84" t="s">
        <v>3435</v>
      </c>
      <c r="H429" s="84" t="s">
        <v>2660</v>
      </c>
      <c r="I429" s="84" t="s">
        <v>3459</v>
      </c>
      <c r="J429" s="7" t="s">
        <v>2662</v>
      </c>
      <c r="K429" s="7">
        <v>25.0</v>
      </c>
      <c r="L429" s="7">
        <v>0.0</v>
      </c>
      <c r="M429" s="7">
        <v>31.0</v>
      </c>
      <c r="N429" s="7">
        <v>25.0</v>
      </c>
      <c r="O429" s="7">
        <v>31.0</v>
      </c>
      <c r="P429" s="7">
        <v>31.0</v>
      </c>
      <c r="Q429" s="7">
        <v>0.0</v>
      </c>
      <c r="R429" s="7">
        <v>0.0</v>
      </c>
      <c r="S429" s="7">
        <v>220.0</v>
      </c>
      <c r="T429" s="7">
        <v>0.0</v>
      </c>
      <c r="U429" s="7">
        <v>44.0</v>
      </c>
      <c r="V429" s="7">
        <v>220.0</v>
      </c>
      <c r="W429" s="7">
        <f>VLOOKUP($D429,NatureChart,2,0)</f>
        <v>0.9</v>
      </c>
      <c r="X429" s="7">
        <f>VLOOKUP($D429,NatureChart,3,0)</f>
        <v>1.1</v>
      </c>
      <c r="Y429" s="7">
        <f>VLOOKUP($D429,NatureChart,4,0)</f>
        <v>1</v>
      </c>
      <c r="Z429" s="7">
        <f>VLOOKUP($D429,NatureChart,5,0)</f>
        <v>1</v>
      </c>
      <c r="AA429" s="84">
        <f>VLOOKUP($D429,NatureChart,6,0)</f>
        <v>1</v>
      </c>
      <c r="AB429" s="84">
        <f>IF($C429="Shedinja",1,(INT((2*VLOOKUP($C429,DexData,5,0)+INT(Q429/4)+K429)/2)+60))</f>
        <v>327</v>
      </c>
      <c r="AC429" s="84">
        <f>INT(INT((INT((2*VLOOKUP($C429,DexData,6,0)+INT(R429/4)+L429)/2)+5)*W429)*IF($E429="Choice Band",1.5,IF(OR($E429="Mawilite",$E429="Medichamite",$E429="Thick Club"),2,1)))</f>
        <v>13</v>
      </c>
      <c r="AD429" s="84">
        <f>INT(INT((INT((2*VLOOKUP($C429,DexData,7,0)+INT(S429/4)+M429)/2)+5)*X429)*IF($E429="Eviolite",1.5,1))</f>
        <v>63</v>
      </c>
      <c r="AE429" s="84">
        <f>INT(INT((INT((2*VLOOKUP($C429,DexData,9,0)+INT(T429/4)+N429)/2)+5)*Y429)*IF($E429="Choice Specs",1.5,1))</f>
        <v>92</v>
      </c>
      <c r="AF429" s="84">
        <f>INT(INT((INT((2*VLOOKUP($C429,DexData,10,0)+INT(U429/4)+O429)/2)+5)*Z429)*IF(OR($E429="Eviolite",$E429="Assault Vest"),1.5,1))</f>
        <v>161</v>
      </c>
      <c r="AG429" s="84">
        <f>INT(INT((INT((2*VLOOKUP($C429,DexData,11,0)+INT(V429/4)+P429)/2)+5)*AA429)*IF($E429="Choice Scarf",1.5,IF($E429="Iron Ball",0.5,1)))</f>
        <v>103</v>
      </c>
      <c r="AH429" s="84" t="str">
        <f>VLOOKUP(VLOOKUP($C429,DexData,3,0),Aliases!D$2:E$19,2,0)&amp;IFERROR("/"&amp;VLOOKUP(VLOOKUP($C429,DexData,4,0),Aliases!D$2:E$19,2,0),"")</f>
        <v>NRM</v>
      </c>
      <c r="AI429" s="7">
        <v>3.0</v>
      </c>
      <c r="AJ429" s="7">
        <f>IF(VLOOKUP(B429,'Set Odds'!A$2:AN$1067,40,0),1,IF(VLOOKUP(B429,'Set Odds'!A$2:AO$1067,41,0),2,0))</f>
        <v>0</v>
      </c>
      <c r="AK429" s="7"/>
      <c r="AL429" s="7" t="str">
        <f t="shared" si="1"/>
        <v/>
      </c>
    </row>
    <row r="430" ht="12.75" customHeight="1">
      <c r="A430" s="86">
        <v>429.0</v>
      </c>
      <c r="B430" s="84" t="s">
        <v>3915</v>
      </c>
      <c r="C430" s="7" t="s">
        <v>3426</v>
      </c>
      <c r="D430" s="7" t="s">
        <v>2635</v>
      </c>
      <c r="E430" s="7" t="s">
        <v>2983</v>
      </c>
      <c r="F430" s="84" t="s">
        <v>3341</v>
      </c>
      <c r="G430" s="84" t="s">
        <v>2823</v>
      </c>
      <c r="H430" s="84" t="s">
        <v>3428</v>
      </c>
      <c r="I430" s="84" t="s">
        <v>2797</v>
      </c>
      <c r="J430" s="7" t="s">
        <v>3377</v>
      </c>
      <c r="K430" s="7">
        <v>31.0</v>
      </c>
      <c r="L430" s="7">
        <v>0.0</v>
      </c>
      <c r="M430" s="7">
        <v>25.0</v>
      </c>
      <c r="N430" s="7">
        <v>31.0</v>
      </c>
      <c r="O430" s="7">
        <v>25.0</v>
      </c>
      <c r="P430" s="7">
        <v>31.0</v>
      </c>
      <c r="Q430" s="7">
        <v>36.0</v>
      </c>
      <c r="R430" s="7">
        <v>0.0</v>
      </c>
      <c r="S430" s="7">
        <v>0.0</v>
      </c>
      <c r="T430" s="7">
        <v>220.0</v>
      </c>
      <c r="U430" s="7">
        <v>0.0</v>
      </c>
      <c r="V430" s="7">
        <v>252.0</v>
      </c>
      <c r="W430" s="7">
        <f>VLOOKUP($D430,NatureChart,2,0)</f>
        <v>0.9</v>
      </c>
      <c r="X430" s="7">
        <f>VLOOKUP($D430,NatureChart,3,0)</f>
        <v>1</v>
      </c>
      <c r="Y430" s="7">
        <f>VLOOKUP($D430,NatureChart,4,0)</f>
        <v>1</v>
      </c>
      <c r="Z430" s="7">
        <f>VLOOKUP($D430,NatureChart,5,0)</f>
        <v>1</v>
      </c>
      <c r="AA430" s="84">
        <f>VLOOKUP($D430,NatureChart,6,0)</f>
        <v>1.1</v>
      </c>
      <c r="AB430" s="84">
        <f>IF($C430="Shedinja",1,(INT((2*VLOOKUP($C430,DexData,5,0)+INT(Q430/4)+K430)/2)+60))</f>
        <v>175</v>
      </c>
      <c r="AC430" s="84">
        <f>INT(INT((INT((2*VLOOKUP($C430,DexData,6,0)+INT(R430/4)+L430)/2)+5)*W430)*IF($E430="Choice Band",1.5,IF(OR($E430="Mawilite",$E430="Medichamite",$E430="Thick Club"),2,1)))</f>
        <v>58</v>
      </c>
      <c r="AD430" s="84">
        <f>INT(INT((INT((2*VLOOKUP($C430,DexData,7,0)+INT(S430/4)+M430)/2)+5)*X430)*IF($E430="Eviolite",1.5,1))</f>
        <v>96</v>
      </c>
      <c r="AE430" s="84">
        <f>INT(INT((INT((2*VLOOKUP($C430,DexData,9,0)+INT(T430/4)+N430)/2)+5)*Y430)*IF($E430="Choice Specs",1.5,1))</f>
        <v>148</v>
      </c>
      <c r="AF430" s="84">
        <f>INT(INT((INT((2*VLOOKUP($C430,DexData,10,0)+INT(U430/4)+O430)/2)+5)*Z430)*IF(OR($E430="Eviolite",$E430="Assault Vest"),1.5,1))</f>
        <v>142</v>
      </c>
      <c r="AG430" s="84">
        <f>INT(INT((INT((2*VLOOKUP($C430,DexData,11,0)+INT(V430/4)+P430)/2)+5)*AA430)*IF($E430="Choice Scarf",1.5,IF($E430="Iron Ball",0.5,1)))</f>
        <v>146</v>
      </c>
      <c r="AH430" s="84" t="str">
        <f>VLOOKUP(VLOOKUP($C430,DexData,3,0),Aliases!D$2:E$19,2,0)&amp;IFERROR("/"&amp;VLOOKUP(VLOOKUP($C430,DexData,4,0),Aliases!D$2:E$19,2,0),"")</f>
        <v>WTR</v>
      </c>
      <c r="AI430" s="7">
        <v>3.0</v>
      </c>
      <c r="AJ430" s="7">
        <f>IF(VLOOKUP(B430,'Set Odds'!A$2:AN$1067,40,0),1,IF(VLOOKUP(B430,'Set Odds'!A$2:AO$1067,41,0),2,0))</f>
        <v>0</v>
      </c>
      <c r="AK430" s="7"/>
      <c r="AL430" s="7" t="str">
        <f t="shared" si="1"/>
        <v/>
      </c>
    </row>
    <row r="431" ht="12.75" customHeight="1">
      <c r="A431" s="86">
        <v>430.0</v>
      </c>
      <c r="B431" s="84" t="s">
        <v>3916</v>
      </c>
      <c r="C431" s="7" t="s">
        <v>3917</v>
      </c>
      <c r="D431" s="7" t="s">
        <v>2648</v>
      </c>
      <c r="E431" s="7" t="s">
        <v>3077</v>
      </c>
      <c r="F431" s="84" t="s">
        <v>3135</v>
      </c>
      <c r="G431" s="84" t="s">
        <v>3478</v>
      </c>
      <c r="H431" s="84" t="s">
        <v>2763</v>
      </c>
      <c r="I431" s="84" t="s">
        <v>2608</v>
      </c>
      <c r="J431" s="7" t="s">
        <v>3918</v>
      </c>
      <c r="K431" s="7">
        <v>31.0</v>
      </c>
      <c r="L431" s="7">
        <v>31.0</v>
      </c>
      <c r="M431" s="7">
        <v>31.0</v>
      </c>
      <c r="N431" s="7">
        <v>0.0</v>
      </c>
      <c r="O431" s="7">
        <v>25.0</v>
      </c>
      <c r="P431" s="7">
        <v>25.0</v>
      </c>
      <c r="Q431" s="7">
        <v>220.0</v>
      </c>
      <c r="R431" s="7">
        <v>44.0</v>
      </c>
      <c r="S431" s="7">
        <v>220.0</v>
      </c>
      <c r="T431" s="7">
        <v>0.0</v>
      </c>
      <c r="U431" s="7">
        <v>0.0</v>
      </c>
      <c r="V431" s="7">
        <v>0.0</v>
      </c>
      <c r="W431" s="7">
        <f>VLOOKUP($D431,NatureChart,2,0)</f>
        <v>1</v>
      </c>
      <c r="X431" s="7">
        <f>VLOOKUP($D431,NatureChart,3,0)</f>
        <v>1.1</v>
      </c>
      <c r="Y431" s="7">
        <f>VLOOKUP($D431,NatureChart,4,0)</f>
        <v>0.9</v>
      </c>
      <c r="Z431" s="7">
        <f>VLOOKUP($D431,NatureChart,5,0)</f>
        <v>1</v>
      </c>
      <c r="AA431" s="84">
        <f>VLOOKUP($D431,NatureChart,6,0)</f>
        <v>1</v>
      </c>
      <c r="AB431" s="84">
        <f>IF($C431="Shedinja",1,(INT((2*VLOOKUP($C431,DexData,5,0)+INT(Q431/4)+K431)/2)+60))</f>
        <v>178</v>
      </c>
      <c r="AC431" s="84">
        <f>INT(INT((INT((2*VLOOKUP($C431,DexData,6,0)+INT(R431/4)+L431)/2)+5)*W431)*IF($E431="Choice Band",1.5,IF(OR($E431="Mawilite",$E431="Medichamite",$E431="Thick Club"),2,1)))</f>
        <v>149</v>
      </c>
      <c r="AD431" s="84">
        <f>INT(INT((INT((2*VLOOKUP($C431,DexData,7,0)+INT(S431/4)+M431)/2)+5)*X431)*IF($E431="Eviolite",1.5,1))</f>
        <v>126</v>
      </c>
      <c r="AE431" s="84">
        <f>INT(INT((INT((2*VLOOKUP($C431,DexData,9,0)+INT(T431/4)+N431)/2)+5)*Y431)*IF($E431="Choice Specs",1.5,1))</f>
        <v>90</v>
      </c>
      <c r="AF431" s="84">
        <f>INT(INT((INT((2*VLOOKUP($C431,DexData,10,0)+INT(U431/4)+O431)/2)+5)*Z431)*IF(OR($E431="Eviolite",$E431="Assault Vest"),1.5,1))</f>
        <v>102</v>
      </c>
      <c r="AG431" s="84">
        <f>INT(INT((INT((2*VLOOKUP($C431,DexData,11,0)+INT(V431/4)+P431)/2)+5)*AA431)*IF($E431="Choice Scarf",1.5,IF($E431="Iron Ball",0.5,1)))</f>
        <v>112</v>
      </c>
      <c r="AH431" s="84" t="str">
        <f>VLOOKUP(VLOOKUP($C431,DexData,3,0),Aliases!D$2:E$19,2,0)&amp;IFERROR("/"&amp;VLOOKUP(VLOOKUP($C431,DexData,4,0),Aliases!D$2:E$19,2,0),"")</f>
        <v>ELC</v>
      </c>
      <c r="AI431" s="7">
        <v>3.0</v>
      </c>
      <c r="AJ431" s="7">
        <f>IF(VLOOKUP(B431,'Set Odds'!A$2:AN$1067,40,0),1,IF(VLOOKUP(B431,'Set Odds'!A$2:AO$1067,41,0),2,0))</f>
        <v>0</v>
      </c>
      <c r="AK431" s="7"/>
      <c r="AL431" s="7" t="str">
        <f t="shared" si="1"/>
        <v/>
      </c>
    </row>
    <row r="432" ht="12.75" customHeight="1">
      <c r="A432" s="86">
        <v>431.0</v>
      </c>
      <c r="B432" s="84" t="s">
        <v>3919</v>
      </c>
      <c r="C432" s="7" t="s">
        <v>3920</v>
      </c>
      <c r="D432" s="7" t="s">
        <v>2656</v>
      </c>
      <c r="E432" s="7" t="s">
        <v>2636</v>
      </c>
      <c r="F432" s="84" t="s">
        <v>3617</v>
      </c>
      <c r="G432" s="84" t="s">
        <v>3435</v>
      </c>
      <c r="H432" s="84" t="s">
        <v>2659</v>
      </c>
      <c r="I432" s="84" t="s">
        <v>3921</v>
      </c>
      <c r="J432" s="7" t="s">
        <v>3162</v>
      </c>
      <c r="K432" s="7">
        <v>31.0</v>
      </c>
      <c r="L432" s="7">
        <v>0.0</v>
      </c>
      <c r="M432" s="7">
        <v>25.0</v>
      </c>
      <c r="N432" s="7">
        <v>31.0</v>
      </c>
      <c r="O432" s="7">
        <v>25.0</v>
      </c>
      <c r="P432" s="7">
        <v>31.0</v>
      </c>
      <c r="Q432" s="7">
        <v>44.0</v>
      </c>
      <c r="R432" s="7">
        <v>0.0</v>
      </c>
      <c r="S432" s="7">
        <v>0.0</v>
      </c>
      <c r="T432" s="7">
        <v>220.0</v>
      </c>
      <c r="U432" s="7">
        <v>0.0</v>
      </c>
      <c r="V432" s="7">
        <v>220.0</v>
      </c>
      <c r="W432" s="7">
        <f>VLOOKUP($D432,NatureChart,2,0)</f>
        <v>0.9</v>
      </c>
      <c r="X432" s="7">
        <f>VLOOKUP($D432,NatureChart,3,0)</f>
        <v>1</v>
      </c>
      <c r="Y432" s="7">
        <f>VLOOKUP($D432,NatureChart,4,0)</f>
        <v>1.1</v>
      </c>
      <c r="Z432" s="7">
        <f>VLOOKUP($D432,NatureChart,5,0)</f>
        <v>1</v>
      </c>
      <c r="AA432" s="84">
        <f>VLOOKUP($D432,NatureChart,6,0)</f>
        <v>1</v>
      </c>
      <c r="AB432" s="84">
        <f>IF($C432="Shedinja",1,(INT((2*VLOOKUP($C432,DexData,5,0)+INT(Q432/4)+K432)/2)+60))</f>
        <v>156</v>
      </c>
      <c r="AC432" s="84">
        <f>INT(INT((INT((2*VLOOKUP($C432,DexData,6,0)+INT(R432/4)+L432)/2)+5)*W432)*IF($E432="Choice Band",1.5,IF(OR($E432="Mawilite",$E432="Medichamite",$E432="Thick Club"),2,1)))</f>
        <v>90</v>
      </c>
      <c r="AD432" s="84">
        <f>INT(INT((INT((2*VLOOKUP($C432,DexData,7,0)+INT(S432/4)+M432)/2)+5)*X432)*IF($E432="Eviolite",1.5,1))</f>
        <v>84</v>
      </c>
      <c r="AE432" s="84">
        <f>INT(INT((INT((2*VLOOKUP($C432,DexData,9,0)+INT(T432/4)+N432)/2)+5)*Y432)*IF($E432="Choice Specs",1.5,1))</f>
        <v>190</v>
      </c>
      <c r="AF432" s="84">
        <f>INT(INT((INT((2*VLOOKUP($C432,DexData,10,0)+INT(U432/4)+O432)/2)+5)*Z432)*IF(OR($E432="Eviolite",$E432="Assault Vest"),1.5,1))</f>
        <v>112</v>
      </c>
      <c r="AG432" s="84">
        <f>INT(INT((INT((2*VLOOKUP($C432,DexData,11,0)+INT(V432/4)+P432)/2)+5)*AA432)*IF($E432="Choice Scarf",1.5,IF($E432="Iron Ball",0.5,1)))</f>
        <v>131</v>
      </c>
      <c r="AH432" s="84" t="str">
        <f>VLOOKUP(VLOOKUP($C432,DexData,3,0),Aliases!D$2:E$19,2,0)&amp;IFERROR("/"&amp;VLOOKUP(VLOOKUP($C432,DexData,4,0),Aliases!D$2:E$19,2,0),"")</f>
        <v>FIR</v>
      </c>
      <c r="AI432" s="7">
        <v>3.0</v>
      </c>
      <c r="AJ432" s="7">
        <f>IF(VLOOKUP(B432,'Set Odds'!A$2:AN$1067,40,0),1,IF(VLOOKUP(B432,'Set Odds'!A$2:AO$1067,41,0),2,0))</f>
        <v>0</v>
      </c>
      <c r="AK432" s="7"/>
      <c r="AL432" s="7" t="str">
        <f t="shared" si="1"/>
        <v/>
      </c>
    </row>
    <row r="433" ht="12.75" customHeight="1">
      <c r="A433" s="86">
        <v>432.0</v>
      </c>
      <c r="B433" s="84" t="s">
        <v>3922</v>
      </c>
      <c r="C433" s="7" t="s">
        <v>3923</v>
      </c>
      <c r="D433" s="7" t="s">
        <v>2571</v>
      </c>
      <c r="E433" s="7" t="s">
        <v>3439</v>
      </c>
      <c r="F433" s="84" t="s">
        <v>3360</v>
      </c>
      <c r="G433" s="84" t="s">
        <v>2614</v>
      </c>
      <c r="H433" s="84" t="s">
        <v>3475</v>
      </c>
      <c r="I433" s="84" t="s">
        <v>3448</v>
      </c>
      <c r="J433" s="7" t="s">
        <v>3924</v>
      </c>
      <c r="K433" s="7">
        <v>31.0</v>
      </c>
      <c r="L433" s="7">
        <v>31.0</v>
      </c>
      <c r="M433" s="7">
        <v>25.0</v>
      </c>
      <c r="N433" s="7">
        <v>0.0</v>
      </c>
      <c r="O433" s="7">
        <v>25.0</v>
      </c>
      <c r="P433" s="7">
        <v>31.0</v>
      </c>
      <c r="Q433" s="7">
        <v>44.0</v>
      </c>
      <c r="R433" s="7">
        <v>220.0</v>
      </c>
      <c r="S433" s="7">
        <v>0.0</v>
      </c>
      <c r="T433" s="7">
        <v>0.0</v>
      </c>
      <c r="U433" s="7">
        <v>0.0</v>
      </c>
      <c r="V433" s="7">
        <v>220.0</v>
      </c>
      <c r="W433" s="7">
        <f>VLOOKUP($D433,NatureChart,2,0)</f>
        <v>1.1</v>
      </c>
      <c r="X433" s="7">
        <f>VLOOKUP($D433,NatureChart,3,0)</f>
        <v>1</v>
      </c>
      <c r="Y433" s="7">
        <f>VLOOKUP($D433,NatureChart,4,0)</f>
        <v>0.9</v>
      </c>
      <c r="Z433" s="7">
        <f>VLOOKUP($D433,NatureChart,5,0)</f>
        <v>1</v>
      </c>
      <c r="AA433" s="84">
        <f>VLOOKUP($D433,NatureChart,6,0)</f>
        <v>1</v>
      </c>
      <c r="AB433" s="84">
        <f>IF($C433="Shedinja",1,(INT((2*VLOOKUP($C433,DexData,5,0)+INT(Q433/4)+K433)/2)+60))</f>
        <v>166</v>
      </c>
      <c r="AC433" s="84">
        <f>INT(INT((INT((2*VLOOKUP($C433,DexData,6,0)+INT(R433/4)+L433)/2)+5)*W433)*IF($E433="Choice Band",1.5,IF(OR($E433="Mawilite",$E433="Medichamite",$E433="Thick Club"),2,1)))</f>
        <v>107</v>
      </c>
      <c r="AD433" s="84">
        <f>INT(INT((INT((2*VLOOKUP($C433,DexData,7,0)+INT(S433/4)+M433)/2)+5)*X433)*IF($E433="Eviolite",1.5,1))</f>
        <v>112</v>
      </c>
      <c r="AE433" s="84">
        <f>INT(INT((INT((2*VLOOKUP($C433,DexData,9,0)+INT(T433/4)+N433)/2)+5)*Y433)*IF($E433="Choice Specs",1.5,1))</f>
        <v>112</v>
      </c>
      <c r="AF433" s="84">
        <f>INT(INT((INT((2*VLOOKUP($C433,DexData,10,0)+INT(U433/4)+O433)/2)+5)*Z433)*IF(OR($E433="Eviolite",$E433="Assault Vest"),1.5,1))</f>
        <v>132</v>
      </c>
      <c r="AG433" s="84">
        <f>INT(INT((INT((2*VLOOKUP($C433,DexData,11,0)+INT(V433/4)+P433)/2)+5)*AA433)*IF($E433="Choice Scarf",1.5,IF($E433="Iron Ball",0.5,1)))</f>
        <v>128</v>
      </c>
      <c r="AH433" s="84" t="str">
        <f>VLOOKUP(VLOOKUP($C433,DexData,3,0),Aliases!D$2:E$19,2,0)&amp;IFERROR("/"&amp;VLOOKUP(VLOOKUP($C433,DexData,4,0),Aliases!D$2:E$19,2,0),"")</f>
        <v>FAI/FLY</v>
      </c>
      <c r="AI433" s="7">
        <v>3.0</v>
      </c>
      <c r="AJ433" s="7">
        <f>IF(VLOOKUP(B433,'Set Odds'!A$2:AN$1067,40,0),1,IF(VLOOKUP(B433,'Set Odds'!A$2:AO$1067,41,0),2,0))</f>
        <v>0</v>
      </c>
      <c r="AK433" s="7"/>
      <c r="AL433" s="7" t="str">
        <f t="shared" si="1"/>
        <v/>
      </c>
    </row>
    <row r="434" ht="12.75" customHeight="1">
      <c r="A434" s="86">
        <v>433.0</v>
      </c>
      <c r="B434" s="84" t="s">
        <v>3925</v>
      </c>
      <c r="C434" s="7" t="s">
        <v>3926</v>
      </c>
      <c r="D434" s="7" t="s">
        <v>2656</v>
      </c>
      <c r="E434" s="7" t="s">
        <v>3726</v>
      </c>
      <c r="F434" s="84" t="s">
        <v>2660</v>
      </c>
      <c r="G434" s="84" t="s">
        <v>3427</v>
      </c>
      <c r="H434" s="84" t="s">
        <v>2732</v>
      </c>
      <c r="I434" s="84" t="s">
        <v>3360</v>
      </c>
      <c r="J434" s="7" t="s">
        <v>2696</v>
      </c>
      <c r="K434" s="7">
        <v>31.0</v>
      </c>
      <c r="L434" s="7">
        <v>0.0</v>
      </c>
      <c r="M434" s="7">
        <v>25.0</v>
      </c>
      <c r="N434" s="7">
        <v>31.0</v>
      </c>
      <c r="O434" s="7">
        <v>25.0</v>
      </c>
      <c r="P434" s="7">
        <v>31.0</v>
      </c>
      <c r="Q434" s="7">
        <v>68.0</v>
      </c>
      <c r="R434" s="7">
        <v>0.0</v>
      </c>
      <c r="S434" s="7">
        <v>0.0</v>
      </c>
      <c r="T434" s="7">
        <v>220.0</v>
      </c>
      <c r="U434" s="7">
        <v>0.0</v>
      </c>
      <c r="V434" s="7">
        <v>220.0</v>
      </c>
      <c r="W434" s="7">
        <f>VLOOKUP($D434,NatureChart,2,0)</f>
        <v>0.9</v>
      </c>
      <c r="X434" s="7">
        <f>VLOOKUP($D434,NatureChart,3,0)</f>
        <v>1</v>
      </c>
      <c r="Y434" s="7">
        <f>VLOOKUP($D434,NatureChart,4,0)</f>
        <v>1.1</v>
      </c>
      <c r="Z434" s="7">
        <f>VLOOKUP($D434,NatureChart,5,0)</f>
        <v>1</v>
      </c>
      <c r="AA434" s="84">
        <f>VLOOKUP($D434,NatureChart,6,0)</f>
        <v>1</v>
      </c>
      <c r="AB434" s="84">
        <f>IF($C434="Shedinja",1,(INT((2*VLOOKUP($C434,DexData,5,0)+INT(Q434/4)+K434)/2)+60))</f>
        <v>174</v>
      </c>
      <c r="AC434" s="84">
        <f>INT(INT((INT((2*VLOOKUP($C434,DexData,6,0)+INT(R434/4)+L434)/2)+5)*W434)*IF($E434="Choice Band",1.5,IF(OR($E434="Mawilite",$E434="Medichamite",$E434="Thick Club"),2,1)))</f>
        <v>103</v>
      </c>
      <c r="AD434" s="84">
        <f>INT(INT((INT((2*VLOOKUP($C434,DexData,7,0)+INT(S434/4)+M434)/2)+5)*X434)*IF($E434="Eviolite",1.5,1))</f>
        <v>97</v>
      </c>
      <c r="AE434" s="84">
        <f>INT(INT((INT((2*VLOOKUP($C434,DexData,9,0)+INT(T434/4)+N434)/2)+5)*Y434)*IF($E434="Choice Specs",1.5,1))</f>
        <v>162</v>
      </c>
      <c r="AF434" s="84">
        <f>INT(INT((INT((2*VLOOKUP($C434,DexData,10,0)+INT(U434/4)+O434)/2)+5)*Z434)*IF(OR($E434="Eviolite",$E434="Assault Vest"),1.5,1))</f>
        <v>97</v>
      </c>
      <c r="AG434" s="84">
        <f>INT(INT((INT((2*VLOOKUP($C434,DexData,11,0)+INT(V434/4)+P434)/2)+5)*AA434)*IF($E434="Choice Scarf",1.5,IF($E434="Iron Ball",0.5,1)))</f>
        <v>143</v>
      </c>
      <c r="AH434" s="84" t="str">
        <f>VLOOKUP(VLOOKUP($C434,DexData,3,0),Aliases!D$2:E$19,2,0)&amp;IFERROR("/"&amp;VLOOKUP(VLOOKUP($C434,DexData,4,0),Aliases!D$2:E$19,2,0),"")</f>
        <v>FIR</v>
      </c>
      <c r="AI434" s="7">
        <v>3.0</v>
      </c>
      <c r="AJ434" s="7">
        <f>IF(VLOOKUP(B434,'Set Odds'!A$2:AN$1067,40,0),1,IF(VLOOKUP(B434,'Set Odds'!A$2:AO$1067,41,0),2,0))</f>
        <v>0</v>
      </c>
      <c r="AK434" s="7"/>
      <c r="AL434" s="7" t="str">
        <f t="shared" si="1"/>
        <v/>
      </c>
    </row>
    <row r="435" ht="12.75" customHeight="1">
      <c r="A435" s="86">
        <v>434.0</v>
      </c>
      <c r="B435" s="84" t="s">
        <v>3927</v>
      </c>
      <c r="C435" s="7" t="s">
        <v>3438</v>
      </c>
      <c r="D435" s="7" t="s">
        <v>2571</v>
      </c>
      <c r="E435" s="7" t="s">
        <v>3439</v>
      </c>
      <c r="F435" s="84" t="s">
        <v>2762</v>
      </c>
      <c r="G435" s="84" t="s">
        <v>2587</v>
      </c>
      <c r="H435" s="84" t="s">
        <v>2746</v>
      </c>
      <c r="I435" s="84" t="s">
        <v>3441</v>
      </c>
      <c r="J435" s="7" t="s">
        <v>3442</v>
      </c>
      <c r="K435" s="7">
        <v>31.0</v>
      </c>
      <c r="L435" s="7">
        <v>31.0</v>
      </c>
      <c r="M435" s="7">
        <v>25.0</v>
      </c>
      <c r="N435" s="7">
        <v>0.0</v>
      </c>
      <c r="O435" s="7">
        <v>25.0</v>
      </c>
      <c r="P435" s="7">
        <v>31.0</v>
      </c>
      <c r="Q435" s="7">
        <v>36.0</v>
      </c>
      <c r="R435" s="7">
        <v>252.0</v>
      </c>
      <c r="S435" s="7">
        <v>0.0</v>
      </c>
      <c r="T435" s="7">
        <v>0.0</v>
      </c>
      <c r="U435" s="7">
        <v>0.0</v>
      </c>
      <c r="V435" s="7">
        <v>220.0</v>
      </c>
      <c r="W435" s="7">
        <f>VLOOKUP($D435,NatureChart,2,0)</f>
        <v>1.1</v>
      </c>
      <c r="X435" s="7">
        <f>VLOOKUP($D435,NatureChart,3,0)</f>
        <v>1</v>
      </c>
      <c r="Y435" s="7">
        <f>VLOOKUP($D435,NatureChart,4,0)</f>
        <v>0.9</v>
      </c>
      <c r="Z435" s="7">
        <f>VLOOKUP($D435,NatureChart,5,0)</f>
        <v>1</v>
      </c>
      <c r="AA435" s="84">
        <f>VLOOKUP($D435,NatureChart,6,0)</f>
        <v>1</v>
      </c>
      <c r="AB435" s="84">
        <f>IF($C435="Shedinja",1,(INT((2*VLOOKUP($C435,DexData,5,0)+INT(Q435/4)+K435)/2)+60))</f>
        <v>171</v>
      </c>
      <c r="AC435" s="84">
        <f>INT(INT((INT((2*VLOOKUP($C435,DexData,6,0)+INT(R435/4)+L435)/2)+5)*W435)*IF($E435="Choice Band",1.5,IF(OR($E435="Mawilite",$E435="Medichamite",$E435="Thick Club"),2,1)))</f>
        <v>204</v>
      </c>
      <c r="AD435" s="84">
        <f>INT(INT((INT((2*VLOOKUP($C435,DexData,7,0)+INT(S435/4)+M435)/2)+5)*X435)*IF($E435="Eviolite",1.5,1))</f>
        <v>112</v>
      </c>
      <c r="AE435" s="84">
        <f>INT(INT((INT((2*VLOOKUP($C435,DexData,9,0)+INT(T435/4)+N435)/2)+5)*Y435)*IF($E435="Choice Specs",1.5,1))</f>
        <v>94</v>
      </c>
      <c r="AF435" s="84">
        <f>INT(INT((INT((2*VLOOKUP($C435,DexData,10,0)+INT(U435/4)+O435)/2)+5)*Z435)*IF(OR($E435="Eviolite",$E435="Assault Vest"),1.5,1))</f>
        <v>117</v>
      </c>
      <c r="AG435" s="84">
        <f>INT(INT((INT((2*VLOOKUP($C435,DexData,11,0)+INT(V435/4)+P435)/2)+5)*AA435)*IF($E435="Choice Scarf",1.5,IF($E435="Iron Ball",0.5,1)))</f>
        <v>128</v>
      </c>
      <c r="AH435" s="84" t="str">
        <f>VLOOKUP(VLOOKUP($C435,DexData,3,0),Aliases!D$2:E$19,2,0)&amp;IFERROR("/"&amp;VLOOKUP(VLOOKUP($C435,DexData,4,0),Aliases!D$2:E$19,2,0),"")</f>
        <v>DRG/FLY</v>
      </c>
      <c r="AI435" s="7">
        <v>3.0</v>
      </c>
      <c r="AJ435" s="7">
        <f>IF(VLOOKUP(B435,'Set Odds'!A$2:AN$1067,40,0),1,IF(VLOOKUP(B435,'Set Odds'!A$2:AO$1067,41,0),2,0))</f>
        <v>0</v>
      </c>
      <c r="AK435" s="7"/>
      <c r="AL435" s="7" t="str">
        <f t="shared" si="1"/>
        <v/>
      </c>
    </row>
    <row r="436" ht="12.75" customHeight="1">
      <c r="A436" s="86">
        <v>435.0</v>
      </c>
      <c r="B436" s="84" t="s">
        <v>3928</v>
      </c>
      <c r="C436" s="7" t="s">
        <v>3929</v>
      </c>
      <c r="D436" s="7" t="s">
        <v>2656</v>
      </c>
      <c r="E436" s="7" t="s">
        <v>3433</v>
      </c>
      <c r="F436" s="84" t="s">
        <v>3264</v>
      </c>
      <c r="G436" s="84" t="s">
        <v>2823</v>
      </c>
      <c r="H436" s="84" t="s">
        <v>2660</v>
      </c>
      <c r="I436" s="84" t="s">
        <v>2781</v>
      </c>
      <c r="J436" s="7" t="s">
        <v>3034</v>
      </c>
      <c r="K436" s="7">
        <v>31.0</v>
      </c>
      <c r="L436" s="7">
        <v>0.0</v>
      </c>
      <c r="M436" s="7">
        <v>25.0</v>
      </c>
      <c r="N436" s="7">
        <v>31.0</v>
      </c>
      <c r="O436" s="7">
        <v>25.0</v>
      </c>
      <c r="P436" s="7">
        <v>31.0</v>
      </c>
      <c r="Q436" s="7">
        <v>44.0</v>
      </c>
      <c r="R436" s="7">
        <v>0.0</v>
      </c>
      <c r="S436" s="7">
        <v>0.0</v>
      </c>
      <c r="T436" s="7">
        <v>220.0</v>
      </c>
      <c r="U436" s="7">
        <v>0.0</v>
      </c>
      <c r="V436" s="7">
        <v>220.0</v>
      </c>
      <c r="W436" s="7">
        <f>VLOOKUP($D436,NatureChart,2,0)</f>
        <v>0.9</v>
      </c>
      <c r="X436" s="7">
        <f>VLOOKUP($D436,NatureChart,3,0)</f>
        <v>1</v>
      </c>
      <c r="Y436" s="7">
        <f>VLOOKUP($D436,NatureChart,4,0)</f>
        <v>1.1</v>
      </c>
      <c r="Z436" s="7">
        <f>VLOOKUP($D436,NatureChart,5,0)</f>
        <v>1</v>
      </c>
      <c r="AA436" s="84">
        <f>VLOOKUP($D436,NatureChart,6,0)</f>
        <v>1</v>
      </c>
      <c r="AB436" s="84">
        <f>IF($C436="Shedinja",1,(INT((2*VLOOKUP($C436,DexData,5,0)+INT(Q436/4)+K436)/2)+60))</f>
        <v>181</v>
      </c>
      <c r="AC436" s="84">
        <f>INT(INT((INT((2*VLOOKUP($C436,DexData,6,0)+INT(R436/4)+L436)/2)+5)*W436)*IF($E436="Choice Band",1.5,IF(OR($E436="Mawilite",$E436="Medichamite",$E436="Thick Club"),2,1)))</f>
        <v>125</v>
      </c>
      <c r="AD436" s="84">
        <f>INT(INT((INT((2*VLOOKUP($C436,DexData,7,0)+INT(S436/4)+M436)/2)+5)*X436)*IF($E436="Eviolite",1.5,1))</f>
        <v>127</v>
      </c>
      <c r="AE436" s="84">
        <f>INT(INT((INT((2*VLOOKUP($C436,DexData,9,0)+INT(T436/4)+N436)/2)+5)*Y436)*IF($E436="Choice Specs",1.5,1))</f>
        <v>157</v>
      </c>
      <c r="AF436" s="84">
        <f>INT(INT((INT((2*VLOOKUP($C436,DexData,10,0)+INT(U436/4)+O436)/2)+5)*Z436)*IF(OR($E436="Eviolite",$E436="Assault Vest"),1.5,1))</f>
        <v>117</v>
      </c>
      <c r="AG436" s="84">
        <f>INT(INT((INT((2*VLOOKUP($C436,DexData,11,0)+INT(V436/4)+P436)/2)+5)*AA436)*IF($E436="Choice Scarf",1.5,IF($E436="Iron Ball",0.5,1)))</f>
        <v>109</v>
      </c>
      <c r="AH436" s="84" t="str">
        <f>VLOOKUP(VLOOKUP($C436,DexData,3,0),Aliases!D$2:E$19,2,0)&amp;IFERROR("/"&amp;VLOOKUP(VLOOKUP($C436,DexData,4,0),Aliases!D$2:E$19,2,0),"")</f>
        <v>RCK/DRK</v>
      </c>
      <c r="AI436" s="7">
        <v>3.0</v>
      </c>
      <c r="AJ436" s="7">
        <f>IF(VLOOKUP(B436,'Set Odds'!A$2:AN$1067,40,0),1,IF(VLOOKUP(B436,'Set Odds'!A$2:AO$1067,41,0),2,0))</f>
        <v>0</v>
      </c>
      <c r="AK436" s="7"/>
      <c r="AL436" s="7" t="str">
        <f t="shared" si="1"/>
        <v/>
      </c>
    </row>
    <row r="437" ht="12.75" customHeight="1">
      <c r="A437" s="86">
        <v>436.0</v>
      </c>
      <c r="B437" s="84" t="s">
        <v>3930</v>
      </c>
      <c r="C437" s="7" t="s">
        <v>3931</v>
      </c>
      <c r="D437" s="7" t="s">
        <v>2571</v>
      </c>
      <c r="E437" s="7" t="s">
        <v>3077</v>
      </c>
      <c r="F437" s="84" t="s">
        <v>3265</v>
      </c>
      <c r="G437" s="84" t="s">
        <v>2614</v>
      </c>
      <c r="H437" s="84" t="s">
        <v>3475</v>
      </c>
      <c r="I437" s="84" t="s">
        <v>3448</v>
      </c>
      <c r="J437" s="7" t="s">
        <v>2696</v>
      </c>
      <c r="K437" s="7">
        <v>31.0</v>
      </c>
      <c r="L437" s="7">
        <v>31.0</v>
      </c>
      <c r="M437" s="7">
        <v>25.0</v>
      </c>
      <c r="N437" s="7">
        <v>0.0</v>
      </c>
      <c r="O437" s="7">
        <v>25.0</v>
      </c>
      <c r="P437" s="7">
        <v>31.0</v>
      </c>
      <c r="Q437" s="7">
        <v>44.0</v>
      </c>
      <c r="R437" s="7">
        <v>220.0</v>
      </c>
      <c r="S437" s="7">
        <v>0.0</v>
      </c>
      <c r="T437" s="7">
        <v>0.0</v>
      </c>
      <c r="U437" s="7">
        <v>0.0</v>
      </c>
      <c r="V437" s="7">
        <v>220.0</v>
      </c>
      <c r="W437" s="7">
        <f>VLOOKUP($D437,NatureChart,2,0)</f>
        <v>1.1</v>
      </c>
      <c r="X437" s="7">
        <f>VLOOKUP($D437,NatureChart,3,0)</f>
        <v>1</v>
      </c>
      <c r="Y437" s="7">
        <f>VLOOKUP($D437,NatureChart,4,0)</f>
        <v>0.9</v>
      </c>
      <c r="Z437" s="7">
        <f>VLOOKUP($D437,NatureChart,5,0)</f>
        <v>1</v>
      </c>
      <c r="AA437" s="84">
        <f>VLOOKUP($D437,NatureChart,6,0)</f>
        <v>1</v>
      </c>
      <c r="AB437" s="84">
        <f>IF($C437="Shedinja",1,(INT((2*VLOOKUP($C437,DexData,5,0)+INT(Q437/4)+K437)/2)+60))</f>
        <v>176</v>
      </c>
      <c r="AC437" s="84">
        <f>INT(INT((INT((2*VLOOKUP($C437,DexData,6,0)+INT(R437/4)+L437)/2)+5)*W437)*IF($E437="Choice Band",1.5,IF(OR($E437="Mawilite",$E437="Medichamite",$E437="Thick Club"),2,1)))</f>
        <v>201</v>
      </c>
      <c r="AD437" s="84">
        <f>INT(INT((INT((2*VLOOKUP($C437,DexData,7,0)+INT(S437/4)+M437)/2)+5)*X437)*IF($E437="Eviolite",1.5,1))</f>
        <v>97</v>
      </c>
      <c r="AE437" s="84">
        <f>INT(INT((INT((2*VLOOKUP($C437,DexData,9,0)+INT(T437/4)+N437)/2)+5)*Y437)*IF($E437="Choice Specs",1.5,1))</f>
        <v>103</v>
      </c>
      <c r="AF437" s="84">
        <f>INT(INT((INT((2*VLOOKUP($C437,DexData,10,0)+INT(U437/4)+O437)/2)+5)*Z437)*IF(OR($E437="Eviolite",$E437="Assault Vest"),1.5,1))</f>
        <v>97</v>
      </c>
      <c r="AG437" s="84">
        <f>INT(INT((INT((2*VLOOKUP($C437,DexData,11,0)+INT(V437/4)+P437)/2)+5)*AA437)*IF($E437="Choice Scarf",1.5,IF($E437="Iron Ball",0.5,1)))</f>
        <v>148</v>
      </c>
      <c r="AH437" s="84" t="str">
        <f>VLOOKUP(VLOOKUP($C437,DexData,3,0),Aliases!D$2:E$19,2,0)&amp;IFERROR("/"&amp;VLOOKUP(VLOOKUP($C437,DexData,4,0),Aliases!D$2:E$19,2,0),"")</f>
        <v>DRG/FLY</v>
      </c>
      <c r="AI437" s="7">
        <v>3.0</v>
      </c>
      <c r="AJ437" s="7">
        <f>IF(VLOOKUP(B437,'Set Odds'!A$2:AN$1067,40,0),1,IF(VLOOKUP(B437,'Set Odds'!A$2:AO$1067,41,0),2,0))</f>
        <v>0</v>
      </c>
      <c r="AK437" s="7"/>
      <c r="AL437" s="7" t="str">
        <f t="shared" si="1"/>
        <v/>
      </c>
    </row>
    <row r="438" ht="12.75" customHeight="1">
      <c r="A438" s="86">
        <v>437.0</v>
      </c>
      <c r="B438" s="84" t="s">
        <v>3932</v>
      </c>
      <c r="C438" s="7" t="s">
        <v>3933</v>
      </c>
      <c r="D438" s="7" t="s">
        <v>2571</v>
      </c>
      <c r="E438" s="7" t="s">
        <v>2630</v>
      </c>
      <c r="F438" s="84" t="s">
        <v>3839</v>
      </c>
      <c r="G438" s="84" t="s">
        <v>3800</v>
      </c>
      <c r="H438" s="84" t="s">
        <v>3710</v>
      </c>
      <c r="I438" s="84" t="s">
        <v>3934</v>
      </c>
      <c r="J438" s="7" t="s">
        <v>3370</v>
      </c>
      <c r="K438" s="7">
        <v>31.0</v>
      </c>
      <c r="L438" s="7">
        <v>31.0</v>
      </c>
      <c r="M438" s="7">
        <v>25.0</v>
      </c>
      <c r="N438" s="7">
        <v>0.0</v>
      </c>
      <c r="O438" s="7">
        <v>25.0</v>
      </c>
      <c r="P438" s="7">
        <v>31.0</v>
      </c>
      <c r="Q438" s="7">
        <v>44.0</v>
      </c>
      <c r="R438" s="7">
        <v>220.0</v>
      </c>
      <c r="S438" s="7">
        <v>0.0</v>
      </c>
      <c r="T438" s="7">
        <v>0.0</v>
      </c>
      <c r="U438" s="7">
        <v>0.0</v>
      </c>
      <c r="V438" s="7">
        <v>220.0</v>
      </c>
      <c r="W438" s="7">
        <f>VLOOKUP($D438,NatureChart,2,0)</f>
        <v>1.1</v>
      </c>
      <c r="X438" s="7">
        <f>VLOOKUP($D438,NatureChart,3,0)</f>
        <v>1</v>
      </c>
      <c r="Y438" s="7">
        <f>VLOOKUP($D438,NatureChart,4,0)</f>
        <v>0.9</v>
      </c>
      <c r="Z438" s="7">
        <f>VLOOKUP($D438,NatureChart,5,0)</f>
        <v>1</v>
      </c>
      <c r="AA438" s="84">
        <f>VLOOKUP($D438,NatureChart,6,0)</f>
        <v>1</v>
      </c>
      <c r="AB438" s="84">
        <f>IF($C438="Shedinja",1,(INT((2*VLOOKUP($C438,DexData,5,0)+INT(Q438/4)+K438)/2)+60))</f>
        <v>161</v>
      </c>
      <c r="AC438" s="84">
        <f>INT(INT((INT((2*VLOOKUP($C438,DexData,6,0)+INT(R438/4)+L438)/2)+5)*W438)*IF($E438="Choice Band",1.5,IF(OR($E438="Mawilite",$E438="Medichamite",$E438="Thick Club"),2,1)))</f>
        <v>201</v>
      </c>
      <c r="AD438" s="84">
        <f>INT(INT((INT((2*VLOOKUP($C438,DexData,7,0)+INT(S438/4)+M438)/2)+5)*X438)*IF($E438="Eviolite",1.5,1))</f>
        <v>147</v>
      </c>
      <c r="AE438" s="84">
        <f>INT(INT((INT((2*VLOOKUP($C438,DexData,9,0)+INT(T438/4)+N438)/2)+5)*Y438)*IF($E438="Choice Specs",1.5,1))</f>
        <v>90</v>
      </c>
      <c r="AF438" s="84">
        <f>INT(INT((INT((2*VLOOKUP($C438,DexData,10,0)+INT(U438/4)+O438)/2)+5)*Z438)*IF(OR($E438="Eviolite",$E438="Assault Vest"),1.5,1))</f>
        <v>107</v>
      </c>
      <c r="AG438" s="84">
        <f>INT(INT((INT((2*VLOOKUP($C438,DexData,11,0)+INT(V438/4)+P438)/2)+5)*AA438)*IF($E438="Choice Scarf",1.5,IF($E438="Iron Ball",0.5,1)))</f>
        <v>118</v>
      </c>
      <c r="AH438" s="84" t="str">
        <f>VLOOKUP(VLOOKUP($C438,DexData,3,0),Aliases!D$2:E$19,2,0)&amp;IFERROR("/"&amp;VLOOKUP(VLOOKUP($C438,DexData,4,0),Aliases!D$2:E$19,2,0),"")</f>
        <v>STL/PSY</v>
      </c>
      <c r="AI438" s="7">
        <v>3.0</v>
      </c>
      <c r="AJ438" s="7">
        <f>IF(VLOOKUP(B438,'Set Odds'!A$2:AN$1067,40,0),1,IF(VLOOKUP(B438,'Set Odds'!A$2:AO$1067,41,0),2,0))</f>
        <v>0</v>
      </c>
      <c r="AK438" s="7"/>
      <c r="AL438" s="7" t="str">
        <f t="shared" si="1"/>
        <v/>
      </c>
    </row>
    <row r="439" ht="12.75" customHeight="1">
      <c r="A439" s="86">
        <v>438.0</v>
      </c>
      <c r="B439" s="84" t="s">
        <v>3935</v>
      </c>
      <c r="C439" s="7" t="s">
        <v>3936</v>
      </c>
      <c r="D439" s="7" t="s">
        <v>2692</v>
      </c>
      <c r="E439" s="7" t="s">
        <v>2761</v>
      </c>
      <c r="F439" s="84" t="s">
        <v>2762</v>
      </c>
      <c r="G439" s="84" t="s">
        <v>3113</v>
      </c>
      <c r="H439" s="84" t="s">
        <v>3441</v>
      </c>
      <c r="I439" s="84" t="s">
        <v>3454</v>
      </c>
      <c r="J439" s="7" t="s">
        <v>2803</v>
      </c>
      <c r="K439" s="7">
        <v>31.0</v>
      </c>
      <c r="L439" s="7">
        <v>31.0</v>
      </c>
      <c r="M439" s="7">
        <v>25.0</v>
      </c>
      <c r="N439" s="7">
        <v>0.0</v>
      </c>
      <c r="O439" s="7">
        <v>25.0</v>
      </c>
      <c r="P439" s="7">
        <v>31.0</v>
      </c>
      <c r="Q439" s="7">
        <v>36.0</v>
      </c>
      <c r="R439" s="7">
        <v>220.0</v>
      </c>
      <c r="S439" s="7">
        <v>0.0</v>
      </c>
      <c r="T439" s="7">
        <v>0.0</v>
      </c>
      <c r="U439" s="7">
        <v>0.0</v>
      </c>
      <c r="V439" s="7">
        <v>252.0</v>
      </c>
      <c r="W439" s="7">
        <f>VLOOKUP($D439,NatureChart,2,0)</f>
        <v>1</v>
      </c>
      <c r="X439" s="7">
        <f>VLOOKUP($D439,NatureChart,3,0)</f>
        <v>1</v>
      </c>
      <c r="Y439" s="7">
        <f>VLOOKUP($D439,NatureChart,4,0)</f>
        <v>0.9</v>
      </c>
      <c r="Z439" s="7">
        <f>VLOOKUP($D439,NatureChart,5,0)</f>
        <v>1</v>
      </c>
      <c r="AA439" s="84">
        <f>VLOOKUP($D439,NatureChart,6,0)</f>
        <v>1.1</v>
      </c>
      <c r="AB439" s="84">
        <f>IF($C439="Shedinja",1,(INT((2*VLOOKUP($C439,DexData,5,0)+INT(Q439/4)+K439)/2)+60))</f>
        <v>188</v>
      </c>
      <c r="AC439" s="84">
        <f>INT(INT((INT((2*VLOOKUP($C439,DexData,6,0)+INT(R439/4)+L439)/2)+5)*W439)*IF($E439="Choice Band",1.5,IF(OR($E439="Mawilite",$E439="Medichamite",$E439="Thick Club"),2,1)))</f>
        <v>178</v>
      </c>
      <c r="AD439" s="84">
        <f>INT(INT((INT((2*VLOOKUP($C439,DexData,7,0)+INT(S439/4)+M439)/2)+5)*X439)*IF($E439="Eviolite",1.5,1))</f>
        <v>112</v>
      </c>
      <c r="AE439" s="84">
        <f>INT(INT((INT((2*VLOOKUP($C439,DexData,9,0)+INT(T439/4)+N439)/2)+5)*Y439)*IF($E439="Choice Specs",1.5,1))</f>
        <v>76</v>
      </c>
      <c r="AF439" s="84">
        <f>INT(INT((INT((2*VLOOKUP($C439,DexData,10,0)+INT(U439/4)+O439)/2)+5)*Z439)*IF(OR($E439="Eviolite",$E439="Assault Vest"),1.5,1))</f>
        <v>102</v>
      </c>
      <c r="AG439" s="84">
        <f>INT(INT((INT((2*VLOOKUP($C439,DexData,11,0)+INT(V439/4)+P439)/2)+5)*AA439)*IF($E439="Choice Scarf",1.5,IF($E439="Iron Ball",0.5,1)))</f>
        <v>169</v>
      </c>
      <c r="AH439" s="84" t="str">
        <f>VLOOKUP(VLOOKUP($C439,DexData,3,0),Aliases!D$2:E$19,2,0)&amp;IFERROR("/"&amp;VLOOKUP(VLOOKUP($C439,DexData,4,0),Aliases!D$2:E$19,2,0),"")</f>
        <v>DRG/GRD</v>
      </c>
      <c r="AI439" s="7">
        <v>3.0</v>
      </c>
      <c r="AJ439" s="7">
        <f>IF(VLOOKUP(B439,'Set Odds'!A$2:AN$1067,40,0),1,IF(VLOOKUP(B439,'Set Odds'!A$2:AO$1067,41,0),2,0))</f>
        <v>0</v>
      </c>
      <c r="AK439" s="7"/>
      <c r="AL439" s="7" t="str">
        <f t="shared" si="1"/>
        <v/>
      </c>
    </row>
    <row r="440" ht="12.75" customHeight="1">
      <c r="A440" s="86">
        <v>439.0</v>
      </c>
      <c r="B440" s="84" t="s">
        <v>3937</v>
      </c>
      <c r="C440" s="7" t="s">
        <v>3938</v>
      </c>
      <c r="D440" s="7" t="s">
        <v>2723</v>
      </c>
      <c r="E440" s="7" t="s">
        <v>2636</v>
      </c>
      <c r="F440" s="84" t="s">
        <v>2718</v>
      </c>
      <c r="G440" s="84" t="s">
        <v>2957</v>
      </c>
      <c r="H440" s="84" t="s">
        <v>2593</v>
      </c>
      <c r="I440" s="84" t="s">
        <v>3719</v>
      </c>
      <c r="J440" s="7" t="s">
        <v>3939</v>
      </c>
      <c r="K440" s="7">
        <v>31.0</v>
      </c>
      <c r="L440" s="7">
        <v>31.0</v>
      </c>
      <c r="M440" s="7">
        <v>25.0</v>
      </c>
      <c r="N440" s="7">
        <v>0.0</v>
      </c>
      <c r="O440" s="7">
        <v>31.0</v>
      </c>
      <c r="P440" s="7">
        <v>25.0</v>
      </c>
      <c r="Q440" s="7">
        <v>44.0</v>
      </c>
      <c r="R440" s="7">
        <v>220.0</v>
      </c>
      <c r="S440" s="7">
        <v>0.0</v>
      </c>
      <c r="T440" s="7">
        <v>0.0</v>
      </c>
      <c r="U440" s="7">
        <v>220.0</v>
      </c>
      <c r="V440" s="7">
        <v>0.0</v>
      </c>
      <c r="W440" s="7">
        <f>VLOOKUP($D440,NatureChart,2,0)</f>
        <v>1</v>
      </c>
      <c r="X440" s="7">
        <f>VLOOKUP($D440,NatureChart,3,0)</f>
        <v>1</v>
      </c>
      <c r="Y440" s="7">
        <f>VLOOKUP($D440,NatureChart,4,0)</f>
        <v>0.9</v>
      </c>
      <c r="Z440" s="7">
        <f>VLOOKUP($D440,NatureChart,5,0)</f>
        <v>1.1</v>
      </c>
      <c r="AA440" s="84">
        <f>VLOOKUP($D440,NatureChart,6,0)</f>
        <v>1</v>
      </c>
      <c r="AB440" s="84">
        <f>IF($C440="Shedinja",1,(INT((2*VLOOKUP($C440,DexData,5,0)+INT(Q440/4)+K440)/2)+60))</f>
        <v>231</v>
      </c>
      <c r="AC440" s="84">
        <f>INT(INT((INT((2*VLOOKUP($C440,DexData,6,0)+INT(R440/4)+L440)/2)+5)*W440)*IF($E440="Choice Band",1.5,IF(OR($E440="Mawilite",$E440="Medichamite",$E440="Thick Club"),2,1)))</f>
        <v>208</v>
      </c>
      <c r="AD440" s="84">
        <f>INT(INT((INT((2*VLOOKUP($C440,DexData,7,0)+INT(S440/4)+M440)/2)+5)*X440)*IF($E440="Eviolite",1.5,1))</f>
        <v>117</v>
      </c>
      <c r="AE440" s="84">
        <f>INT(INT((INT((2*VLOOKUP($C440,DexData,9,0)+INT(T440/4)+N440)/2)+5)*Y440)*IF($E440="Choice Specs",1.5,1))</f>
        <v>90</v>
      </c>
      <c r="AF440" s="84">
        <f>INT(INT((INT((2*VLOOKUP($C440,DexData,10,0)+INT(U440/4)+O440)/2)+5)*Z440)*IF(OR($E440="Eviolite",$E440="Assault Vest"),1.5,1))</f>
        <v>124</v>
      </c>
      <c r="AG440" s="84">
        <f>INT(INT((INT((2*VLOOKUP($C440,DexData,11,0)+INT(V440/4)+P440)/2)+5)*AA440)*IF($E440="Choice Scarf",1.5,IF($E440="Iron Ball",0.5,1)))</f>
        <v>117</v>
      </c>
      <c r="AH440" s="84" t="str">
        <f>VLOOKUP(VLOOKUP($C440,DexData,3,0),Aliases!D$2:E$19,2,0)&amp;IFERROR("/"&amp;VLOOKUP(VLOOKUP($C440,DexData,4,0),Aliases!D$2:E$19,2,0),"")</f>
        <v>NRM</v>
      </c>
      <c r="AI440" s="7">
        <v>3.0</v>
      </c>
      <c r="AJ440" s="7">
        <f>IF(VLOOKUP(B440,'Set Odds'!A$2:AN$1067,40,0),1,IF(VLOOKUP(B440,'Set Odds'!A$2:AO$1067,41,0),2,0))</f>
        <v>0</v>
      </c>
      <c r="AK440" s="7"/>
      <c r="AL440" s="7" t="str">
        <f t="shared" si="1"/>
        <v/>
      </c>
    </row>
    <row r="441" ht="12.75" customHeight="1">
      <c r="A441" s="86">
        <v>440.0</v>
      </c>
      <c r="B441" s="84" t="s">
        <v>3940</v>
      </c>
      <c r="C441" s="7" t="s">
        <v>3586</v>
      </c>
      <c r="D441" s="7" t="s">
        <v>2862</v>
      </c>
      <c r="E441" s="7" t="s">
        <v>2612</v>
      </c>
      <c r="F441" s="84" t="s">
        <v>2575</v>
      </c>
      <c r="G441" s="84" t="s">
        <v>3123</v>
      </c>
      <c r="H441" s="84" t="s">
        <v>2704</v>
      </c>
      <c r="I441" s="84" t="s">
        <v>2574</v>
      </c>
      <c r="J441" s="7" t="s">
        <v>2576</v>
      </c>
      <c r="K441" s="7">
        <v>31.0</v>
      </c>
      <c r="L441" s="7">
        <v>0.0</v>
      </c>
      <c r="M441" s="7">
        <v>31.0</v>
      </c>
      <c r="N441" s="7">
        <v>31.0</v>
      </c>
      <c r="O441" s="7">
        <v>25.0</v>
      </c>
      <c r="P441" s="7">
        <v>25.0</v>
      </c>
      <c r="Q441" s="7">
        <v>220.0</v>
      </c>
      <c r="R441" s="7">
        <v>0.0</v>
      </c>
      <c r="S441" s="7">
        <v>220.0</v>
      </c>
      <c r="T441" s="7">
        <v>44.0</v>
      </c>
      <c r="U441" s="7">
        <v>0.0</v>
      </c>
      <c r="V441" s="7">
        <v>0.0</v>
      </c>
      <c r="W441" s="7">
        <f>VLOOKUP($D441,NatureChart,2,0)</f>
        <v>0.9</v>
      </c>
      <c r="X441" s="7">
        <f>VLOOKUP($D441,NatureChart,3,0)</f>
        <v>1.1</v>
      </c>
      <c r="Y441" s="7">
        <f>VLOOKUP($D441,NatureChart,4,0)</f>
        <v>1</v>
      </c>
      <c r="Z441" s="7">
        <f>VLOOKUP($D441,NatureChart,5,0)</f>
        <v>1</v>
      </c>
      <c r="AA441" s="84">
        <f>VLOOKUP($D441,NatureChart,6,0)</f>
        <v>1</v>
      </c>
      <c r="AB441" s="84">
        <f>IF($C441="Shedinja",1,(INT((2*VLOOKUP($C441,DexData,5,0)+INT(Q441/4)+K441)/2)+60))</f>
        <v>183</v>
      </c>
      <c r="AC441" s="84">
        <f>INT(INT((INT((2*VLOOKUP($C441,DexData,6,0)+INT(R441/4)+L441)/2)+5)*W441)*IF($E441="Choice Band",1.5,IF(OR($E441="Mawilite",$E441="Medichamite",$E441="Thick Club"),2,1)))</f>
        <v>78</v>
      </c>
      <c r="AD441" s="84">
        <f>INT(INT((INT((2*VLOOKUP($C441,DexData,7,0)+INT(S441/4)+M441)/2)+5)*X441)*IF($E441="Eviolite",1.5,1))</f>
        <v>144</v>
      </c>
      <c r="AE441" s="84">
        <f>INT(INT((INT((2*VLOOKUP($C441,DexData,9,0)+INT(T441/4)+N441)/2)+5)*Y441)*IF($E441="Choice Specs",1.5,1))</f>
        <v>126</v>
      </c>
      <c r="AF441" s="84">
        <f>INT(INT((INT((2*VLOOKUP($C441,DexData,10,0)+INT(U441/4)+O441)/2)+5)*Z441)*IF(OR($E441="Eviolite",$E441="Assault Vest"),1.5,1))</f>
        <v>117</v>
      </c>
      <c r="AG441" s="84">
        <f>INT(INT((INT((2*VLOOKUP($C441,DexData,11,0)+INT(V441/4)+P441)/2)+5)*AA441)*IF($E441="Choice Scarf",1.5,IF($E441="Iron Ball",0.5,1)))</f>
        <v>97</v>
      </c>
      <c r="AH441" s="84" t="str">
        <f>VLOOKUP(VLOOKUP($C441,DexData,3,0),Aliases!D$2:E$19,2,0)&amp;IFERROR("/"&amp;VLOOKUP(VLOOKUP($C441,DexData,4,0),Aliases!D$2:E$19,2,0),"")</f>
        <v>GRS/PSN</v>
      </c>
      <c r="AI441" s="7">
        <v>3.0</v>
      </c>
      <c r="AJ441" s="7">
        <f>IF(VLOOKUP(B441,'Set Odds'!A$2:AN$1067,40,0),1,IF(VLOOKUP(B441,'Set Odds'!A$2:AO$1067,41,0),2,0))</f>
        <v>0</v>
      </c>
      <c r="AK441" s="7"/>
      <c r="AL441" s="7" t="str">
        <f t="shared" si="1"/>
        <v/>
      </c>
    </row>
    <row r="442" ht="12.75" customHeight="1">
      <c r="A442" s="86">
        <v>441.0</v>
      </c>
      <c r="B442" s="84" t="s">
        <v>3941</v>
      </c>
      <c r="C442" s="7" t="s">
        <v>3589</v>
      </c>
      <c r="D442" s="7" t="s">
        <v>2571</v>
      </c>
      <c r="E442" s="7" t="s">
        <v>2579</v>
      </c>
      <c r="F442" s="84" t="s">
        <v>3608</v>
      </c>
      <c r="G442" s="84" t="s">
        <v>2614</v>
      </c>
      <c r="H442" s="84" t="s">
        <v>3015</v>
      </c>
      <c r="I442" s="84" t="s">
        <v>2801</v>
      </c>
      <c r="J442" s="7" t="s">
        <v>2584</v>
      </c>
      <c r="K442" s="7">
        <v>31.0</v>
      </c>
      <c r="L442" s="7">
        <v>31.0</v>
      </c>
      <c r="M442" s="7">
        <v>25.0</v>
      </c>
      <c r="N442" s="7">
        <v>0.0</v>
      </c>
      <c r="O442" s="7">
        <v>25.0</v>
      </c>
      <c r="P442" s="7">
        <v>31.0</v>
      </c>
      <c r="Q442" s="7">
        <v>44.0</v>
      </c>
      <c r="R442" s="7">
        <v>220.0</v>
      </c>
      <c r="S442" s="7">
        <v>0.0</v>
      </c>
      <c r="T442" s="7">
        <v>0.0</v>
      </c>
      <c r="U442" s="7">
        <v>0.0</v>
      </c>
      <c r="V442" s="7">
        <v>220.0</v>
      </c>
      <c r="W442" s="7">
        <f>VLOOKUP($D442,NatureChart,2,0)</f>
        <v>1.1</v>
      </c>
      <c r="X442" s="7">
        <f>VLOOKUP($D442,NatureChart,3,0)</f>
        <v>1</v>
      </c>
      <c r="Y442" s="7">
        <f>VLOOKUP($D442,NatureChart,4,0)</f>
        <v>0.9</v>
      </c>
      <c r="Z442" s="7">
        <f>VLOOKUP($D442,NatureChart,5,0)</f>
        <v>1</v>
      </c>
      <c r="AA442" s="84">
        <f>VLOOKUP($D442,NatureChart,6,0)</f>
        <v>1</v>
      </c>
      <c r="AB442" s="84">
        <f>IF($C442="Shedinja",1,(INT((2*VLOOKUP($C442,DexData,5,0)+INT(Q442/4)+K442)/2)+60))</f>
        <v>159</v>
      </c>
      <c r="AC442" s="84">
        <f>INT(INT((INT((2*VLOOKUP($C442,DexData,6,0)+INT(R442/4)+L442)/2)+5)*W442)*IF($E442="Choice Band",1.5,IF(OR($E442="Mawilite",$E442="Medichamite",$E442="Thick Club"),2,1)))</f>
        <v>145</v>
      </c>
      <c r="AD442" s="84">
        <f>INT(INT((INT((2*VLOOKUP($C442,DexData,7,0)+INT(S442/4)+M442)/2)+5)*X442)*IF($E442="Eviolite",1.5,1))</f>
        <v>95</v>
      </c>
      <c r="AE442" s="84">
        <f>INT(INT((INT((2*VLOOKUP($C442,DexData,9,0)+INT(T442/4)+N442)/2)+5)*Y442)*IF($E442="Choice Specs",1.5,1))</f>
        <v>102</v>
      </c>
      <c r="AF442" s="84">
        <f>INT(INT((INT((2*VLOOKUP($C442,DexData,10,0)+INT(U442/4)+O442)/2)+5)*Z442)*IF(OR($E442="Eviolite",$E442="Assault Vest"),1.5,1))</f>
        <v>102</v>
      </c>
      <c r="AG442" s="84">
        <f>INT(INT((INT((2*VLOOKUP($C442,DexData,11,0)+INT(V442/4)+P442)/2)+5)*AA442)*IF($E442="Choice Scarf",1.5,IF($E442="Iron Ball",0.5,1)))</f>
        <v>148</v>
      </c>
      <c r="AH442" s="84" t="str">
        <f>VLOOKUP(VLOOKUP($C442,DexData,3,0),Aliases!D$2:E$19,2,0)&amp;IFERROR("/"&amp;VLOOKUP(VLOOKUP($C442,DexData,4,0),Aliases!D$2:E$19,2,0),"")</f>
        <v>FIR/FLY</v>
      </c>
      <c r="AI442" s="7">
        <v>3.0</v>
      </c>
      <c r="AJ442" s="7">
        <f>IF(VLOOKUP(B442,'Set Odds'!A$2:AN$1067,40,0),1,IF(VLOOKUP(B442,'Set Odds'!A$2:AO$1067,41,0),2,0))</f>
        <v>0</v>
      </c>
      <c r="AK442" s="7"/>
      <c r="AL442" s="7" t="str">
        <f t="shared" si="1"/>
        <v/>
      </c>
    </row>
    <row r="443" ht="12.75" customHeight="1">
      <c r="A443" s="86">
        <v>442.0</v>
      </c>
      <c r="B443" s="84" t="s">
        <v>3942</v>
      </c>
      <c r="C443" s="7" t="s">
        <v>3592</v>
      </c>
      <c r="D443" s="7" t="s">
        <v>2571</v>
      </c>
      <c r="E443" s="7" t="s">
        <v>3557</v>
      </c>
      <c r="F443" s="84" t="s">
        <v>3587</v>
      </c>
      <c r="G443" s="84" t="s">
        <v>3454</v>
      </c>
      <c r="H443" s="84" t="s">
        <v>2869</v>
      </c>
      <c r="I443" s="84" t="s">
        <v>3031</v>
      </c>
      <c r="J443" s="7" t="s">
        <v>2590</v>
      </c>
      <c r="K443" s="7">
        <v>31.0</v>
      </c>
      <c r="L443" s="7">
        <v>31.0</v>
      </c>
      <c r="M443" s="7">
        <v>25.0</v>
      </c>
      <c r="N443" s="7">
        <v>0.0</v>
      </c>
      <c r="O443" s="7">
        <v>25.0</v>
      </c>
      <c r="P443" s="7">
        <v>31.0</v>
      </c>
      <c r="Q443" s="7">
        <v>44.0</v>
      </c>
      <c r="R443" s="7">
        <v>220.0</v>
      </c>
      <c r="S443" s="7">
        <v>0.0</v>
      </c>
      <c r="T443" s="7">
        <v>0.0</v>
      </c>
      <c r="U443" s="7">
        <v>0.0</v>
      </c>
      <c r="V443" s="7">
        <v>220.0</v>
      </c>
      <c r="W443" s="7">
        <f>VLOOKUP($D443,NatureChart,2,0)</f>
        <v>1.1</v>
      </c>
      <c r="X443" s="7">
        <f>VLOOKUP($D443,NatureChart,3,0)</f>
        <v>1</v>
      </c>
      <c r="Y443" s="7">
        <f>VLOOKUP($D443,NatureChart,4,0)</f>
        <v>0.9</v>
      </c>
      <c r="Z443" s="7">
        <f>VLOOKUP($D443,NatureChart,5,0)</f>
        <v>1</v>
      </c>
      <c r="AA443" s="84">
        <f>VLOOKUP($D443,NatureChart,6,0)</f>
        <v>1</v>
      </c>
      <c r="AB443" s="84">
        <f>IF($C443="Shedinja",1,(INT((2*VLOOKUP($C443,DexData,5,0)+INT(Q443/4)+K443)/2)+60))</f>
        <v>160</v>
      </c>
      <c r="AC443" s="84">
        <f>INT(INT((INT((2*VLOOKUP($C443,DexData,6,0)+INT(R443/4)+L443)/2)+5)*W443)*IF($E443="Choice Band",1.5,IF(OR($E443="Mawilite",$E443="Medichamite",$E443="Thick Club"),2,1)))</f>
        <v>144</v>
      </c>
      <c r="AD443" s="84">
        <f>INT(INT((INT((2*VLOOKUP($C443,DexData,7,0)+INT(S443/4)+M443)/2)+5)*X443)*IF($E443="Eviolite",1.5,1))</f>
        <v>117</v>
      </c>
      <c r="AE443" s="84">
        <f>INT(INT((INT((2*VLOOKUP($C443,DexData,9,0)+INT(T443/4)+N443)/2)+5)*Y443)*IF($E443="Choice Specs",1.5,1))</f>
        <v>81</v>
      </c>
      <c r="AF443" s="84">
        <f>INT(INT((INT((2*VLOOKUP($C443,DexData,10,0)+INT(U443/4)+O443)/2)+5)*Z443)*IF(OR($E443="Eviolite",$E443="Assault Vest"),1.5,1))</f>
        <v>122</v>
      </c>
      <c r="AG443" s="84">
        <f>INT(INT((INT((2*VLOOKUP($C443,DexData,11,0)+INT(V443/4)+P443)/2)+5)*AA443)*IF($E443="Choice Scarf",1.5,IF($E443="Iron Ball",0.5,1)))</f>
        <v>126</v>
      </c>
      <c r="AH443" s="84" t="str">
        <f>VLOOKUP(VLOOKUP($C443,DexData,3,0),Aliases!D$2:E$19,2,0)&amp;IFERROR("/"&amp;VLOOKUP(VLOOKUP($C443,DexData,4,0),Aliases!D$2:E$19,2,0),"")</f>
        <v>WTR</v>
      </c>
      <c r="AI443" s="7">
        <v>3.0</v>
      </c>
      <c r="AJ443" s="7">
        <f>IF(VLOOKUP(B443,'Set Odds'!A$2:AN$1067,40,0),1,IF(VLOOKUP(B443,'Set Odds'!A$2:AO$1067,41,0),2,0))</f>
        <v>0</v>
      </c>
      <c r="AK443" s="7"/>
      <c r="AL443" s="7" t="str">
        <f t="shared" si="1"/>
        <v/>
      </c>
    </row>
    <row r="444" ht="12.75" customHeight="1">
      <c r="A444" s="86">
        <v>443.0</v>
      </c>
      <c r="B444" s="84" t="s">
        <v>3943</v>
      </c>
      <c r="C444" s="7" t="s">
        <v>3596</v>
      </c>
      <c r="D444" s="7" t="s">
        <v>2656</v>
      </c>
      <c r="E444" s="7" t="s">
        <v>2630</v>
      </c>
      <c r="F444" s="84" t="s">
        <v>3558</v>
      </c>
      <c r="G444" s="84" t="s">
        <v>2700</v>
      </c>
      <c r="H444" s="84" t="s">
        <v>2856</v>
      </c>
      <c r="I444" s="84" t="s">
        <v>2781</v>
      </c>
      <c r="J444" s="7" t="s">
        <v>2576</v>
      </c>
      <c r="K444" s="7">
        <v>31.0</v>
      </c>
      <c r="L444" s="7">
        <v>0.0</v>
      </c>
      <c r="M444" s="7">
        <v>25.0</v>
      </c>
      <c r="N444" s="7">
        <v>31.0</v>
      </c>
      <c r="O444" s="7">
        <v>25.0</v>
      </c>
      <c r="P444" s="7">
        <v>31.0</v>
      </c>
      <c r="Q444" s="7">
        <v>44.0</v>
      </c>
      <c r="R444" s="7">
        <v>0.0</v>
      </c>
      <c r="S444" s="7">
        <v>0.0</v>
      </c>
      <c r="T444" s="7">
        <v>220.0</v>
      </c>
      <c r="U444" s="7">
        <v>0.0</v>
      </c>
      <c r="V444" s="7">
        <v>220.0</v>
      </c>
      <c r="W444" s="7">
        <f>VLOOKUP($D444,NatureChart,2,0)</f>
        <v>0.9</v>
      </c>
      <c r="X444" s="7">
        <f>VLOOKUP($D444,NatureChart,3,0)</f>
        <v>1</v>
      </c>
      <c r="Y444" s="7">
        <f>VLOOKUP($D444,NatureChart,4,0)</f>
        <v>1.1</v>
      </c>
      <c r="Z444" s="7">
        <f>VLOOKUP($D444,NatureChart,5,0)</f>
        <v>1</v>
      </c>
      <c r="AA444" s="84">
        <f>VLOOKUP($D444,NatureChart,6,0)</f>
        <v>1</v>
      </c>
      <c r="AB444" s="84">
        <f>IF($C444="Shedinja",1,(INT((2*VLOOKUP($C444,DexData,5,0)+INT(Q444/4)+K444)/2)+60))</f>
        <v>161</v>
      </c>
      <c r="AC444" s="84">
        <f>INT(INT((INT((2*VLOOKUP($C444,DexData,6,0)+INT(R444/4)+L444)/2)+5)*W444)*IF($E444="Choice Band",1.5,IF(OR($E444="Mawilite",$E444="Medichamite",$E444="Thick Club"),2,1)))</f>
        <v>78</v>
      </c>
      <c r="AD444" s="84">
        <f>INT(INT((INT((2*VLOOKUP($C444,DexData,7,0)+INT(S444/4)+M444)/2)+5)*X444)*IF($E444="Eviolite",1.5,1))</f>
        <v>117</v>
      </c>
      <c r="AE444" s="84">
        <f>INT(INT((INT((2*VLOOKUP($C444,DexData,9,0)+INT(T444/4)+N444)/2)+5)*Y444)*IF($E444="Choice Specs",1.5,1))</f>
        <v>144</v>
      </c>
      <c r="AF444" s="84">
        <f>INT(INT((INT((2*VLOOKUP($C444,DexData,10,0)+INT(U444/4)+O444)/2)+5)*Z444)*IF(OR($E444="Eviolite",$E444="Assault Vest"),1.5,1))</f>
        <v>117</v>
      </c>
      <c r="AG444" s="84">
        <f>INT(INT((INT((2*VLOOKUP($C444,DexData,11,0)+INT(V444/4)+P444)/2)+5)*AA444)*IF($E444="Choice Scarf",1.5,IF($E444="Iron Ball",0.5,1)))</f>
        <v>128</v>
      </c>
      <c r="AH444" s="84" t="str">
        <f>VLOOKUP(VLOOKUP($C444,DexData,3,0),Aliases!D$2:E$19,2,0)&amp;IFERROR("/"&amp;VLOOKUP(VLOOKUP($C444,DexData,4,0),Aliases!D$2:E$19,2,0),"")</f>
        <v>GRS</v>
      </c>
      <c r="AI444" s="7">
        <v>3.0</v>
      </c>
      <c r="AJ444" s="7">
        <f>IF(VLOOKUP(B444,'Set Odds'!A$2:AN$1067,40,0),1,IF(VLOOKUP(B444,'Set Odds'!A$2:AO$1067,41,0),2,0))</f>
        <v>0</v>
      </c>
      <c r="AK444" s="7"/>
      <c r="AL444" s="7" t="str">
        <f t="shared" si="1"/>
        <v/>
      </c>
    </row>
    <row r="445" ht="12.75" customHeight="1">
      <c r="A445" s="86">
        <v>444.0</v>
      </c>
      <c r="B445" s="84" t="s">
        <v>3944</v>
      </c>
      <c r="C445" s="7" t="s">
        <v>3599</v>
      </c>
      <c r="D445" s="7" t="s">
        <v>2599</v>
      </c>
      <c r="E445" s="7" t="s">
        <v>2983</v>
      </c>
      <c r="F445" s="84" t="s">
        <v>3515</v>
      </c>
      <c r="G445" s="84" t="s">
        <v>3454</v>
      </c>
      <c r="H445" s="84" t="s">
        <v>2525</v>
      </c>
      <c r="I445" s="84" t="s">
        <v>3945</v>
      </c>
      <c r="J445" s="7" t="s">
        <v>2584</v>
      </c>
      <c r="K445" s="7">
        <v>0.0</v>
      </c>
      <c r="L445" s="7">
        <v>31.0</v>
      </c>
      <c r="M445" s="7">
        <v>25.0</v>
      </c>
      <c r="N445" s="7">
        <v>31.0</v>
      </c>
      <c r="O445" s="7">
        <v>25.0</v>
      </c>
      <c r="P445" s="7">
        <v>31.0</v>
      </c>
      <c r="Q445" s="7">
        <v>0.0</v>
      </c>
      <c r="R445" s="7">
        <v>44.0</v>
      </c>
      <c r="S445" s="7">
        <v>0.0</v>
      </c>
      <c r="T445" s="7">
        <v>220.0</v>
      </c>
      <c r="U445" s="7">
        <v>0.0</v>
      </c>
      <c r="V445" s="7">
        <v>220.0</v>
      </c>
      <c r="W445" s="7">
        <f>VLOOKUP($D445,NatureChart,2,0)</f>
        <v>1</v>
      </c>
      <c r="X445" s="7">
        <f>VLOOKUP($D445,NatureChart,3,0)</f>
        <v>1</v>
      </c>
      <c r="Y445" s="7">
        <f>VLOOKUP($D445,NatureChart,4,0)</f>
        <v>1</v>
      </c>
      <c r="Z445" s="7">
        <f>VLOOKUP($D445,NatureChart,5,0)</f>
        <v>1</v>
      </c>
      <c r="AA445" s="84">
        <f>VLOOKUP($D445,NatureChart,6,0)</f>
        <v>1</v>
      </c>
      <c r="AB445" s="84">
        <f>IF($C445="Shedinja",1,(INT((2*VLOOKUP($C445,DexData,5,0)+INT(Q445/4)+K445)/2)+60))</f>
        <v>138</v>
      </c>
      <c r="AC445" s="84">
        <f>INT(INT((INT((2*VLOOKUP($C445,DexData,6,0)+INT(R445/4)+L445)/2)+5)*W445)*IF($E445="Choice Band",1.5,IF(OR($E445="Mawilite",$E445="Medichamite",$E445="Thick Club"),2,1)))</f>
        <v>110</v>
      </c>
      <c r="AD445" s="84">
        <f>INT(INT((INT((2*VLOOKUP($C445,DexData,7,0)+INT(S445/4)+M445)/2)+5)*X445)*IF($E445="Eviolite",1.5,1))</f>
        <v>95</v>
      </c>
      <c r="AE445" s="84">
        <f>INT(INT((INT((2*VLOOKUP($C445,DexData,9,0)+INT(T445/4)+N445)/2)+5)*Y445)*IF($E445="Choice Specs",1.5,1))</f>
        <v>157</v>
      </c>
      <c r="AF445" s="84">
        <f>INT(INT((INT((2*VLOOKUP($C445,DexData,10,0)+INT(U445/4)+O445)/2)+5)*Z445)*IF(OR($E445="Eviolite",$E445="Assault Vest"),1.5,1))</f>
        <v>102</v>
      </c>
      <c r="AG445" s="84">
        <f>INT(INT((INT((2*VLOOKUP($C445,DexData,11,0)+INT(V445/4)+P445)/2)+5)*AA445)*IF($E445="Choice Scarf",1.5,IF($E445="Iron Ball",0.5,1)))</f>
        <v>148</v>
      </c>
      <c r="AH445" s="84" t="str">
        <f>VLOOKUP(VLOOKUP($C445,DexData,3,0),Aliases!D$2:E$19,2,0)&amp;IFERROR("/"&amp;VLOOKUP(VLOOKUP($C445,DexData,4,0),Aliases!D$2:E$19,2,0),"")</f>
        <v>FIR</v>
      </c>
      <c r="AI445" s="7">
        <v>3.0</v>
      </c>
      <c r="AJ445" s="7">
        <f>IF(VLOOKUP(B445,'Set Odds'!A$2:AN$1067,40,0),1,IF(VLOOKUP(B445,'Set Odds'!A$2:AO$1067,41,0),2,0))</f>
        <v>0</v>
      </c>
      <c r="AK445" s="7"/>
      <c r="AL445" s="7" t="str">
        <f t="shared" si="1"/>
        <v/>
      </c>
    </row>
    <row r="446" ht="12.75" customHeight="1">
      <c r="A446" s="86">
        <v>445.0</v>
      </c>
      <c r="B446" s="84" t="s">
        <v>3946</v>
      </c>
      <c r="C446" s="7" t="s">
        <v>3602</v>
      </c>
      <c r="D446" s="7" t="s">
        <v>2656</v>
      </c>
      <c r="E446" s="7" t="s">
        <v>3715</v>
      </c>
      <c r="F446" s="84" t="s">
        <v>3341</v>
      </c>
      <c r="G446" s="84" t="s">
        <v>2823</v>
      </c>
      <c r="H446" s="84" t="s">
        <v>3427</v>
      </c>
      <c r="I446" s="84" t="s">
        <v>2781</v>
      </c>
      <c r="J446" s="7" t="s">
        <v>2590</v>
      </c>
      <c r="K446" s="7">
        <v>31.0</v>
      </c>
      <c r="L446" s="7">
        <v>0.0</v>
      </c>
      <c r="M446" s="7">
        <v>25.0</v>
      </c>
      <c r="N446" s="7">
        <v>31.0</v>
      </c>
      <c r="O446" s="7">
        <v>25.0</v>
      </c>
      <c r="P446" s="7">
        <v>31.0</v>
      </c>
      <c r="Q446" s="7">
        <v>44.0</v>
      </c>
      <c r="R446" s="7">
        <v>0.0</v>
      </c>
      <c r="S446" s="7">
        <v>0.0</v>
      </c>
      <c r="T446" s="7">
        <v>220.0</v>
      </c>
      <c r="U446" s="7">
        <v>0.0</v>
      </c>
      <c r="V446" s="7">
        <v>220.0</v>
      </c>
      <c r="W446" s="7">
        <f>VLOOKUP($D446,NatureChart,2,0)</f>
        <v>0.9</v>
      </c>
      <c r="X446" s="7">
        <f>VLOOKUP($D446,NatureChart,3,0)</f>
        <v>1</v>
      </c>
      <c r="Y446" s="7">
        <f>VLOOKUP($D446,NatureChart,4,0)</f>
        <v>1.1</v>
      </c>
      <c r="Z446" s="7">
        <f>VLOOKUP($D446,NatureChart,5,0)</f>
        <v>1</v>
      </c>
      <c r="AA446" s="84">
        <f>VLOOKUP($D446,NatureChart,6,0)</f>
        <v>1</v>
      </c>
      <c r="AB446" s="84">
        <f>IF($C446="Shedinja",1,(INT((2*VLOOKUP($C446,DexData,5,0)+INT(Q446/4)+K446)/2)+60))</f>
        <v>166</v>
      </c>
      <c r="AC446" s="84">
        <f>INT(INT((INT((2*VLOOKUP($C446,DexData,6,0)+INT(R446/4)+L446)/2)+5)*W446)*IF($E446="Choice Band",1.5,IF(OR($E446="Mawilite",$E446="Medichamite",$E446="Thick Club"),2,1)))</f>
        <v>99</v>
      </c>
      <c r="AD446" s="84">
        <f>INT(INT((INT((2*VLOOKUP($C446,DexData,7,0)+INT(S446/4)+M446)/2)+5)*X446)*IF($E446="Eviolite",1.5,1))</f>
        <v>117</v>
      </c>
      <c r="AE446" s="84">
        <f>INT(INT((INT((2*VLOOKUP($C446,DexData,9,0)+INT(T446/4)+N446)/2)+5)*Y446)*IF($E446="Choice Specs",1.5,1))</f>
        <v>139</v>
      </c>
      <c r="AF446" s="84">
        <f>INT(INT((INT((2*VLOOKUP($C446,DexData,10,0)+INT(U446/4)+O446)/2)+5)*Z446)*IF(OR($E446="Eviolite",$E446="Assault Vest"),1.5,1))</f>
        <v>100</v>
      </c>
      <c r="AG446" s="84">
        <f>INT(INT((INT((2*VLOOKUP($C446,DexData,11,0)+INT(V446/4)+P446)/2)+5)*AA446)*IF($E446="Choice Scarf",1.5,IF($E446="Iron Ball",0.5,1)))</f>
        <v>126</v>
      </c>
      <c r="AH446" s="84" t="str">
        <f>VLOOKUP(VLOOKUP($C446,DexData,3,0),Aliases!D$2:E$19,2,0)&amp;IFERROR("/"&amp;VLOOKUP(VLOOKUP($C446,DexData,4,0),Aliases!D$2:E$19,2,0),"")</f>
        <v>WTR</v>
      </c>
      <c r="AI446" s="7">
        <v>3.0</v>
      </c>
      <c r="AJ446" s="7">
        <f>IF(VLOOKUP(B446,'Set Odds'!A$2:AN$1067,40,0),1,IF(VLOOKUP(B446,'Set Odds'!A$2:AO$1067,41,0),2,0))</f>
        <v>0</v>
      </c>
      <c r="AK446" s="7"/>
      <c r="AL446" s="7" t="str">
        <f t="shared" si="1"/>
        <v/>
      </c>
    </row>
    <row r="447" ht="12.75" customHeight="1">
      <c r="A447" s="86">
        <v>446.0</v>
      </c>
      <c r="B447" s="84" t="s">
        <v>3947</v>
      </c>
      <c r="C447" s="7" t="s">
        <v>3605</v>
      </c>
      <c r="D447" s="7" t="s">
        <v>2635</v>
      </c>
      <c r="E447" s="7" t="s">
        <v>2524</v>
      </c>
      <c r="F447" s="84" t="s">
        <v>3730</v>
      </c>
      <c r="G447" s="84" t="s">
        <v>3427</v>
      </c>
      <c r="H447" s="84" t="s">
        <v>3590</v>
      </c>
      <c r="I447" s="84" t="s">
        <v>2856</v>
      </c>
      <c r="J447" s="7" t="s">
        <v>2576</v>
      </c>
      <c r="K447" s="7">
        <v>31.0</v>
      </c>
      <c r="L447" s="7">
        <v>0.0</v>
      </c>
      <c r="M447" s="7">
        <v>25.0</v>
      </c>
      <c r="N447" s="7">
        <v>31.0</v>
      </c>
      <c r="O447" s="7">
        <v>25.0</v>
      </c>
      <c r="P447" s="7">
        <v>31.0</v>
      </c>
      <c r="Q447" s="7">
        <v>44.0</v>
      </c>
      <c r="R447" s="7">
        <v>0.0</v>
      </c>
      <c r="S447" s="7">
        <v>0.0</v>
      </c>
      <c r="T447" s="7">
        <v>220.0</v>
      </c>
      <c r="U447" s="7">
        <v>0.0</v>
      </c>
      <c r="V447" s="7">
        <v>220.0</v>
      </c>
      <c r="W447" s="7">
        <f>VLOOKUP($D447,NatureChart,2,0)</f>
        <v>0.9</v>
      </c>
      <c r="X447" s="7">
        <f>VLOOKUP($D447,NatureChart,3,0)</f>
        <v>1</v>
      </c>
      <c r="Y447" s="7">
        <f>VLOOKUP($D447,NatureChart,4,0)</f>
        <v>1</v>
      </c>
      <c r="Z447" s="7">
        <f>VLOOKUP($D447,NatureChart,5,0)</f>
        <v>1</v>
      </c>
      <c r="AA447" s="84">
        <f>VLOOKUP($D447,NatureChart,6,0)</f>
        <v>1.1</v>
      </c>
      <c r="AB447" s="84">
        <f>IF($C447="Shedinja",1,(INT((2*VLOOKUP($C447,DexData,5,0)+INT(Q447/4)+K447)/2)+60))</f>
        <v>151</v>
      </c>
      <c r="AC447" s="84">
        <f>INT(INT((INT((2*VLOOKUP($C447,DexData,6,0)+INT(R447/4)+L447)/2)+5)*W447)*IF($E447="Choice Band",1.5,IF(OR($E447="Mawilite",$E447="Medichamite",$E447="Thick Club"),2,1)))</f>
        <v>81</v>
      </c>
      <c r="AD447" s="84">
        <f>INT(INT((INT((2*VLOOKUP($C447,DexData,7,0)+INT(S447/4)+M447)/2)+5)*X447)*IF($E447="Eviolite",1.5,1))</f>
        <v>82</v>
      </c>
      <c r="AE447" s="84">
        <f>INT(INT((INT((2*VLOOKUP($C447,DexData,9,0)+INT(T447/4)+N447)/2)+5)*Y447)*IF($E447="Choice Specs",1.5,1))</f>
        <v>153</v>
      </c>
      <c r="AF447" s="84">
        <f>INT(INT((INT((2*VLOOKUP($C447,DexData,10,0)+INT(U447/4)+O447)/2)+5)*Z447)*IF(OR($E447="Eviolite",$E447="Assault Vest"),1.5,1))</f>
        <v>102</v>
      </c>
      <c r="AG447" s="84">
        <f>INT(INT((INT((2*VLOOKUP($C447,DexData,11,0)+INT(V447/4)+P447)/2)+5)*AA447)*IF($E447="Choice Scarf",1.5,IF($E447="Iron Ball",0.5,1)))</f>
        <v>184</v>
      </c>
      <c r="AH447" s="84" t="str">
        <f>VLOOKUP(VLOOKUP($C447,DexData,3,0),Aliases!D$2:E$19,2,0)&amp;IFERROR("/"&amp;VLOOKUP(VLOOKUP($C447,DexData,4,0),Aliases!D$2:E$19,2,0),"")</f>
        <v>GRS</v>
      </c>
      <c r="AI447" s="7">
        <v>3.0</v>
      </c>
      <c r="AJ447" s="7">
        <f>IF(VLOOKUP(B447,'Set Odds'!A$2:AN$1067,40,0),1,IF(VLOOKUP(B447,'Set Odds'!A$2:AO$1067,41,0),2,0))</f>
        <v>0</v>
      </c>
      <c r="AK447" s="7"/>
      <c r="AL447" s="7" t="str">
        <f t="shared" si="1"/>
        <v/>
      </c>
    </row>
    <row r="448" ht="12.75" customHeight="1">
      <c r="A448" s="86">
        <v>447.0</v>
      </c>
      <c r="B448" s="84" t="s">
        <v>3948</v>
      </c>
      <c r="C448" s="7" t="s">
        <v>3607</v>
      </c>
      <c r="D448" s="7" t="s">
        <v>2692</v>
      </c>
      <c r="E448" s="7" t="s">
        <v>3548</v>
      </c>
      <c r="F448" s="84" t="s">
        <v>2517</v>
      </c>
      <c r="G448" s="84" t="s">
        <v>3483</v>
      </c>
      <c r="H448" s="84" t="s">
        <v>3608</v>
      </c>
      <c r="I448" s="84" t="s">
        <v>3130</v>
      </c>
      <c r="J448" s="7" t="s">
        <v>2584</v>
      </c>
      <c r="K448" s="7">
        <v>31.0</v>
      </c>
      <c r="L448" s="7">
        <v>31.0</v>
      </c>
      <c r="M448" s="7">
        <v>25.0</v>
      </c>
      <c r="N448" s="7">
        <v>0.0</v>
      </c>
      <c r="O448" s="7">
        <v>25.0</v>
      </c>
      <c r="P448" s="7">
        <v>31.0</v>
      </c>
      <c r="Q448" s="7">
        <v>68.0</v>
      </c>
      <c r="R448" s="7">
        <v>220.0</v>
      </c>
      <c r="S448" s="7">
        <v>0.0</v>
      </c>
      <c r="T448" s="7">
        <v>0.0</v>
      </c>
      <c r="U448" s="7">
        <v>0.0</v>
      </c>
      <c r="V448" s="7">
        <v>220.0</v>
      </c>
      <c r="W448" s="7">
        <f>VLOOKUP($D448,NatureChart,2,0)</f>
        <v>1</v>
      </c>
      <c r="X448" s="7">
        <f>VLOOKUP($D448,NatureChart,3,0)</f>
        <v>1</v>
      </c>
      <c r="Y448" s="7">
        <f>VLOOKUP($D448,NatureChart,4,0)</f>
        <v>0.9</v>
      </c>
      <c r="Z448" s="7">
        <f>VLOOKUP($D448,NatureChart,5,0)</f>
        <v>1</v>
      </c>
      <c r="AA448" s="84">
        <f>VLOOKUP($D448,NatureChart,6,0)</f>
        <v>1.1</v>
      </c>
      <c r="AB448" s="84">
        <f>IF($C448="Shedinja",1,(INT((2*VLOOKUP($C448,DexData,5,0)+INT(Q448/4)+K448)/2)+60))</f>
        <v>164</v>
      </c>
      <c r="AC448" s="84">
        <f>INT(INT((INT((2*VLOOKUP($C448,DexData,6,0)+INT(R448/4)+L448)/2)+5)*W448)*IF($E448="Choice Band",1.5,IF(OR($E448="Mawilite",$E448="Medichamite",$E448="Thick Club"),2,1)))</f>
        <v>168</v>
      </c>
      <c r="AD448" s="84">
        <f>INT(INT((INT((2*VLOOKUP($C448,DexData,7,0)+INT(S448/4)+M448)/2)+5)*X448)*IF($E448="Eviolite",1.5,1))</f>
        <v>87</v>
      </c>
      <c r="AE448" s="84">
        <f>INT(INT((INT((2*VLOOKUP($C448,DexData,9,0)+INT(T448/4)+N448)/2)+5)*Y448)*IF($E448="Choice Specs",1.5,1))</f>
        <v>103</v>
      </c>
      <c r="AF448" s="84">
        <f>INT(INT((INT((2*VLOOKUP($C448,DexData,10,0)+INT(U448/4)+O448)/2)+5)*Z448)*IF(OR($E448="Eviolite",$E448="Assault Vest"),1.5,1))</f>
        <v>87</v>
      </c>
      <c r="AG448" s="84">
        <f>INT(INT((INT((2*VLOOKUP($C448,DexData,11,0)+INT(V448/4)+P448)/2)+5)*AA448)*IF($E448="Choice Scarf",1.5,IF($E448="Iron Ball",0.5,1)))</f>
        <v>140</v>
      </c>
      <c r="AH448" s="84" t="str">
        <f>VLOOKUP(VLOOKUP($C448,DexData,3,0),Aliases!D$2:E$19,2,0)&amp;IFERROR("/"&amp;VLOOKUP(VLOOKUP($C448,DexData,4,0),Aliases!D$2:E$19,2,0),"")</f>
        <v>FIR/FTG</v>
      </c>
      <c r="AI448" s="7">
        <v>3.0</v>
      </c>
      <c r="AJ448" s="7">
        <f>IF(VLOOKUP(B448,'Set Odds'!A$2:AN$1067,40,0),1,IF(VLOOKUP(B448,'Set Odds'!A$2:AO$1067,41,0),2,0))</f>
        <v>0</v>
      </c>
      <c r="AK448" s="7"/>
      <c r="AL448" s="7" t="str">
        <f t="shared" si="1"/>
        <v/>
      </c>
    </row>
    <row r="449" ht="12.75" customHeight="1">
      <c r="A449" s="86">
        <v>448.0</v>
      </c>
      <c r="B449" s="84" t="s">
        <v>3949</v>
      </c>
      <c r="C449" s="7" t="s">
        <v>3610</v>
      </c>
      <c r="D449" s="7" t="s">
        <v>2571</v>
      </c>
      <c r="E449" s="7" t="s">
        <v>3726</v>
      </c>
      <c r="F449" s="84" t="s">
        <v>3454</v>
      </c>
      <c r="G449" s="84" t="s">
        <v>2869</v>
      </c>
      <c r="H449" s="84" t="s">
        <v>3950</v>
      </c>
      <c r="I449" s="84" t="s">
        <v>2632</v>
      </c>
      <c r="J449" s="7" t="s">
        <v>2590</v>
      </c>
      <c r="K449" s="7">
        <v>31.0</v>
      </c>
      <c r="L449" s="7">
        <v>31.0</v>
      </c>
      <c r="M449" s="7">
        <v>31.0</v>
      </c>
      <c r="N449" s="7">
        <v>0.0</v>
      </c>
      <c r="O449" s="7">
        <v>25.0</v>
      </c>
      <c r="P449" s="7">
        <v>25.0</v>
      </c>
      <c r="Q449" s="7">
        <v>220.0</v>
      </c>
      <c r="R449" s="7">
        <v>220.0</v>
      </c>
      <c r="S449" s="7">
        <v>44.0</v>
      </c>
      <c r="T449" s="7">
        <v>0.0</v>
      </c>
      <c r="U449" s="7">
        <v>0.0</v>
      </c>
      <c r="V449" s="7">
        <v>0.0</v>
      </c>
      <c r="W449" s="7">
        <f>VLOOKUP($D449,NatureChart,2,0)</f>
        <v>1.1</v>
      </c>
      <c r="X449" s="7">
        <f>VLOOKUP($D449,NatureChart,3,0)</f>
        <v>1</v>
      </c>
      <c r="Y449" s="7">
        <f>VLOOKUP($D449,NatureChart,4,0)</f>
        <v>0.9</v>
      </c>
      <c r="Z449" s="7">
        <f>VLOOKUP($D449,NatureChart,5,0)</f>
        <v>1</v>
      </c>
      <c r="AA449" s="84">
        <f>VLOOKUP($D449,NatureChart,6,0)</f>
        <v>1</v>
      </c>
      <c r="AB449" s="84">
        <f>IF($C449="Shedinja",1,(INT((2*VLOOKUP($C449,DexData,5,0)+INT(Q449/4)+K449)/2)+60))</f>
        <v>203</v>
      </c>
      <c r="AC449" s="84">
        <f>INT(INT((INT((2*VLOOKUP($C449,DexData,6,0)+INT(R449/4)+L449)/2)+5)*W449)*IF($E449="Choice Band",1.5,IF(OR($E449="Mawilite",$E449="Medichamite",$E449="Thick Club"),2,1)))</f>
        <v>173</v>
      </c>
      <c r="AD449" s="84">
        <f>INT(INT((INT((2*VLOOKUP($C449,DexData,7,0)+INT(S449/4)+M449)/2)+5)*X449)*IF($E449="Eviolite",1.5,1))</f>
        <v>116</v>
      </c>
      <c r="AE449" s="84">
        <f>INT(INT((INT((2*VLOOKUP($C449,DexData,9,0)+INT(T449/4)+N449)/2)+5)*Y449)*IF($E449="Choice Specs",1.5,1))</f>
        <v>81</v>
      </c>
      <c r="AF449" s="84">
        <f>INT(INT((INT((2*VLOOKUP($C449,DexData,10,0)+INT(U449/4)+O449)/2)+5)*Z449)*IF(OR($E449="Eviolite",$E449="Assault Vest"),1.5,1))</f>
        <v>107</v>
      </c>
      <c r="AG449" s="84">
        <f>INT(INT((INT((2*VLOOKUP($C449,DexData,11,0)+INT(V449/4)+P449)/2)+5)*AA449)*IF($E449="Choice Scarf",1.5,IF($E449="Iron Ball",0.5,1)))</f>
        <v>77</v>
      </c>
      <c r="AH449" s="84" t="str">
        <f>VLOOKUP(VLOOKUP($C449,DexData,3,0),Aliases!D$2:E$19,2,0)&amp;IFERROR("/"&amp;VLOOKUP(VLOOKUP($C449,DexData,4,0),Aliases!D$2:E$19,2,0),"")</f>
        <v>WTR/GRD</v>
      </c>
      <c r="AI449" s="7">
        <v>3.0</v>
      </c>
      <c r="AJ449" s="7">
        <f>IF(VLOOKUP(B449,'Set Odds'!A$2:AN$1067,40,0),1,IF(VLOOKUP(B449,'Set Odds'!A$2:AO$1067,41,0),2,0))</f>
        <v>0</v>
      </c>
      <c r="AK449" s="7"/>
      <c r="AL449" s="7" t="str">
        <f t="shared" si="1"/>
        <v/>
      </c>
    </row>
    <row r="450" ht="12.75" customHeight="1">
      <c r="A450" s="86">
        <v>449.0</v>
      </c>
      <c r="B450" s="84" t="s">
        <v>3951</v>
      </c>
      <c r="C450" s="7" t="s">
        <v>3613</v>
      </c>
      <c r="D450" s="7" t="s">
        <v>2827</v>
      </c>
      <c r="E450" s="7" t="s">
        <v>3096</v>
      </c>
      <c r="F450" s="84" t="s">
        <v>3952</v>
      </c>
      <c r="G450" s="84" t="s">
        <v>2706</v>
      </c>
      <c r="H450" s="84" t="s">
        <v>3454</v>
      </c>
      <c r="I450" s="84" t="s">
        <v>2588</v>
      </c>
      <c r="J450" s="7" t="s">
        <v>2576</v>
      </c>
      <c r="K450" s="7">
        <v>31.0</v>
      </c>
      <c r="L450" s="7">
        <v>31.0</v>
      </c>
      <c r="M450" s="7">
        <v>25.0</v>
      </c>
      <c r="N450" s="7">
        <v>31.0</v>
      </c>
      <c r="O450" s="7">
        <v>25.0</v>
      </c>
      <c r="P450" s="7">
        <v>0.0</v>
      </c>
      <c r="Q450" s="7">
        <v>220.0</v>
      </c>
      <c r="R450" s="7">
        <v>44.0</v>
      </c>
      <c r="S450" s="7">
        <v>0.0</v>
      </c>
      <c r="T450" s="7">
        <v>220.0</v>
      </c>
      <c r="U450" s="7">
        <v>0.0</v>
      </c>
      <c r="V450" s="7">
        <v>0.0</v>
      </c>
      <c r="W450" s="7">
        <f>VLOOKUP($D450,NatureChart,2,0)</f>
        <v>1</v>
      </c>
      <c r="X450" s="7">
        <f>VLOOKUP($D450,NatureChart,3,0)</f>
        <v>1</v>
      </c>
      <c r="Y450" s="7">
        <f>VLOOKUP($D450,NatureChart,4,0)</f>
        <v>1.1</v>
      </c>
      <c r="Z450" s="7">
        <f>VLOOKUP($D450,NatureChart,5,0)</f>
        <v>1</v>
      </c>
      <c r="AA450" s="84">
        <f>VLOOKUP($D450,NatureChart,6,0)</f>
        <v>0.9</v>
      </c>
      <c r="AB450" s="84">
        <f>IF($C450="Shedinja",1,(INT((2*VLOOKUP($C450,DexData,5,0)+INT(Q450/4)+K450)/2)+60))</f>
        <v>198</v>
      </c>
      <c r="AC450" s="84">
        <f>INT(INT((INT((2*VLOOKUP($C450,DexData,6,0)+INT(R450/4)+L450)/2)+5)*W450)*IF($E450="Choice Band",1.5,IF(OR($E450="Mawilite",$E450="Medichamite",$E450="Thick Club"),2,1)))</f>
        <v>135</v>
      </c>
      <c r="AD450" s="84">
        <f>INT(INT((INT((2*VLOOKUP($C450,DexData,7,0)+INT(S450/4)+M450)/2)+5)*X450)*IF($E450="Eviolite",1.5,1))</f>
        <v>122</v>
      </c>
      <c r="AE450" s="84">
        <f>INT(INT((INT((2*VLOOKUP($C450,DexData,9,0)+INT(T450/4)+N450)/2)+5)*Y450)*IF($E450="Choice Specs",1.5,1))</f>
        <v>135</v>
      </c>
      <c r="AF450" s="84">
        <f>INT(INT((INT((2*VLOOKUP($C450,DexData,10,0)+INT(U450/4)+O450)/2)+5)*Z450)*IF(OR($E450="Eviolite",$E450="Assault Vest"),1.5,1))</f>
        <v>102</v>
      </c>
      <c r="AG450" s="84">
        <f>INT(INT((INT((2*VLOOKUP($C450,DexData,11,0)+INT(V450/4)+P450)/2)+5)*AA450)*IF($E450="Choice Scarf",1.5,IF($E450="Iron Ball",0.5,1)))</f>
        <v>54</v>
      </c>
      <c r="AH450" s="84" t="str">
        <f>VLOOKUP(VLOOKUP($C450,DexData,3,0),Aliases!D$2:E$19,2,0)&amp;IFERROR("/"&amp;VLOOKUP(VLOOKUP($C450,DexData,4,0),Aliases!D$2:E$19,2,0),"")</f>
        <v>GRS/GRD</v>
      </c>
      <c r="AI450" s="7">
        <v>3.0</v>
      </c>
      <c r="AJ450" s="7">
        <f>IF(VLOOKUP(B450,'Set Odds'!A$2:AN$1067,40,0),1,IF(VLOOKUP(B450,'Set Odds'!A$2:AO$1067,41,0),2,0))</f>
        <v>0</v>
      </c>
      <c r="AK450" s="7"/>
      <c r="AL450" s="7" t="str">
        <f t="shared" si="1"/>
        <v/>
      </c>
    </row>
    <row r="451" ht="12.75" customHeight="1">
      <c r="A451" s="86">
        <v>450.0</v>
      </c>
      <c r="B451" s="84" t="s">
        <v>3953</v>
      </c>
      <c r="C451" s="7" t="s">
        <v>3616</v>
      </c>
      <c r="D451" s="7" t="s">
        <v>2692</v>
      </c>
      <c r="E451" s="7" t="s">
        <v>2889</v>
      </c>
      <c r="F451" s="84" t="s">
        <v>3608</v>
      </c>
      <c r="G451" s="84" t="s">
        <v>3135</v>
      </c>
      <c r="H451" s="84" t="s">
        <v>3483</v>
      </c>
      <c r="I451" s="84" t="s">
        <v>3314</v>
      </c>
      <c r="J451" s="7" t="s">
        <v>2584</v>
      </c>
      <c r="K451" s="7">
        <v>31.0</v>
      </c>
      <c r="L451" s="7">
        <v>31.0</v>
      </c>
      <c r="M451" s="7">
        <v>25.0</v>
      </c>
      <c r="N451" s="7">
        <v>0.0</v>
      </c>
      <c r="O451" s="7">
        <v>25.0</v>
      </c>
      <c r="P451" s="7">
        <v>31.0</v>
      </c>
      <c r="Q451" s="7">
        <v>36.0</v>
      </c>
      <c r="R451" s="7">
        <v>220.0</v>
      </c>
      <c r="S451" s="7">
        <v>0.0</v>
      </c>
      <c r="T451" s="7">
        <v>0.0</v>
      </c>
      <c r="U451" s="7">
        <v>0.0</v>
      </c>
      <c r="V451" s="7">
        <v>252.0</v>
      </c>
      <c r="W451" s="7">
        <f>VLOOKUP($D451,NatureChart,2,0)</f>
        <v>1</v>
      </c>
      <c r="X451" s="7">
        <f>VLOOKUP($D451,NatureChart,3,0)</f>
        <v>1</v>
      </c>
      <c r="Y451" s="7">
        <f>VLOOKUP($D451,NatureChart,4,0)</f>
        <v>0.9</v>
      </c>
      <c r="Z451" s="7">
        <f>VLOOKUP($D451,NatureChart,5,0)</f>
        <v>1</v>
      </c>
      <c r="AA451" s="84">
        <f>VLOOKUP($D451,NatureChart,6,0)</f>
        <v>1.1</v>
      </c>
      <c r="AB451" s="84">
        <f>IF($C451="Shedinja",1,(INT((2*VLOOKUP($C451,DexData,5,0)+INT(Q451/4)+K451)/2)+60))</f>
        <v>156</v>
      </c>
      <c r="AC451" s="84">
        <f>INT(INT((INT((2*VLOOKUP($C451,DexData,6,0)+INT(R451/4)+L451)/2)+5)*W451)*IF($E451="Choice Band",1.5,IF(OR($E451="Mawilite",$E451="Medichamite",$E451="Thick Club"),2,1)))</f>
        <v>152</v>
      </c>
      <c r="AD451" s="84">
        <f>INT(INT((INT((2*VLOOKUP($C451,DexData,7,0)+INT(S451/4)+M451)/2)+5)*X451)*IF($E451="Eviolite",1.5,1))</f>
        <v>88</v>
      </c>
      <c r="AE451" s="84">
        <f>INT(INT((INT((2*VLOOKUP($C451,DexData,9,0)+INT(T451/4)+N451)/2)+5)*Y451)*IF($E451="Choice Specs",1.5,1))</f>
        <v>98</v>
      </c>
      <c r="AF451" s="84">
        <f>INT(INT((INT((2*VLOOKUP($C451,DexData,10,0)+INT(U451/4)+O451)/2)+5)*Z451)*IF(OR($E451="Eviolite",$E451="Assault Vest"),1.5,1))</f>
        <v>88</v>
      </c>
      <c r="AG451" s="84">
        <f>INT(INT((INT((2*VLOOKUP($C451,DexData,11,0)+INT(V451/4)+P451)/2)+5)*AA451)*IF($E451="Choice Scarf",1.5,IF($E451="Iron Ball",0.5,1)))</f>
        <v>176</v>
      </c>
      <c r="AH451" s="84" t="str">
        <f>VLOOKUP(VLOOKUP($C451,DexData,3,0),Aliases!D$2:E$19,2,0)&amp;IFERROR("/"&amp;VLOOKUP(VLOOKUP($C451,DexData,4,0),Aliases!D$2:E$19,2,0),"")</f>
        <v>FIR/FTG</v>
      </c>
      <c r="AI451" s="7">
        <v>3.0</v>
      </c>
      <c r="AJ451" s="7">
        <f>IF(VLOOKUP(B451,'Set Odds'!A$2:AN$1067,40,0),1,IF(VLOOKUP(B451,'Set Odds'!A$2:AO$1067,41,0),2,0))</f>
        <v>0</v>
      </c>
      <c r="AK451" s="7"/>
      <c r="AL451" s="7" t="str">
        <f t="shared" si="1"/>
        <v/>
      </c>
    </row>
    <row r="452" ht="12.75" customHeight="1">
      <c r="A452" s="86">
        <v>451.0</v>
      </c>
      <c r="B452" s="84" t="s">
        <v>3954</v>
      </c>
      <c r="C452" s="7" t="s">
        <v>3619</v>
      </c>
      <c r="D452" s="7" t="s">
        <v>2599</v>
      </c>
      <c r="E452" s="7" t="s">
        <v>2642</v>
      </c>
      <c r="F452" s="84" t="s">
        <v>3447</v>
      </c>
      <c r="G452" s="84" t="s">
        <v>2581</v>
      </c>
      <c r="H452" s="84" t="s">
        <v>3031</v>
      </c>
      <c r="I452" s="84" t="s">
        <v>2823</v>
      </c>
      <c r="J452" s="7" t="s">
        <v>2590</v>
      </c>
      <c r="K452" s="7">
        <v>0.0</v>
      </c>
      <c r="L452" s="7">
        <v>31.0</v>
      </c>
      <c r="M452" s="7">
        <v>25.0</v>
      </c>
      <c r="N452" s="7">
        <v>31.0</v>
      </c>
      <c r="O452" s="7">
        <v>25.0</v>
      </c>
      <c r="P452" s="7">
        <v>31.0</v>
      </c>
      <c r="Q452" s="7">
        <v>0.0</v>
      </c>
      <c r="R452" s="7">
        <v>220.0</v>
      </c>
      <c r="S452" s="7">
        <v>0.0</v>
      </c>
      <c r="T452" s="7">
        <v>220.0</v>
      </c>
      <c r="U452" s="7">
        <v>0.0</v>
      </c>
      <c r="V452" s="7">
        <v>44.0</v>
      </c>
      <c r="W452" s="7">
        <f>VLOOKUP($D452,NatureChart,2,0)</f>
        <v>1</v>
      </c>
      <c r="X452" s="7">
        <f>VLOOKUP($D452,NatureChart,3,0)</f>
        <v>1</v>
      </c>
      <c r="Y452" s="7">
        <f>VLOOKUP($D452,NatureChart,4,0)</f>
        <v>1</v>
      </c>
      <c r="Z452" s="7">
        <f>VLOOKUP($D452,NatureChart,5,0)</f>
        <v>1</v>
      </c>
      <c r="AA452" s="84">
        <f>VLOOKUP($D452,NatureChart,6,0)</f>
        <v>1</v>
      </c>
      <c r="AB452" s="84">
        <f>IF($C452="Shedinja",1,(INT((2*VLOOKUP($C452,DexData,5,0)+INT(Q452/4)+K452)/2)+60))</f>
        <v>144</v>
      </c>
      <c r="AC452" s="84">
        <f>INT(INT((INT((2*VLOOKUP($C452,DexData,6,0)+INT(R452/4)+L452)/2)+5)*W452)*IF($E452="Choice Band",1.5,IF(OR($E452="Mawilite",$E452="Medichamite",$E452="Thick Club"),2,1)))</f>
        <v>134</v>
      </c>
      <c r="AD452" s="84">
        <f>INT(INT((INT((2*VLOOKUP($C452,DexData,7,0)+INT(S452/4)+M452)/2)+5)*X452)*IF($E452="Eviolite",1.5,1))</f>
        <v>105</v>
      </c>
      <c r="AE452" s="84">
        <f>INT(INT((INT((2*VLOOKUP($C452,DexData,9,0)+INT(T452/4)+N452)/2)+5)*Y452)*IF($E452="Choice Specs",1.5,1))</f>
        <v>159</v>
      </c>
      <c r="AF452" s="84">
        <f>INT(INT((INT((2*VLOOKUP($C452,DexData,10,0)+INT(U452/4)+O452)/2)+5)*Z452)*IF(OR($E452="Eviolite",$E452="Assault Vest"),1.5,1))</f>
        <v>118</v>
      </c>
      <c r="AG452" s="84">
        <f>INT(INT((INT((2*VLOOKUP($C452,DexData,11,0)+INT(V452/4)+P452)/2)+5)*AA452)*IF($E452="Choice Scarf",1.5,IF($E452="Iron Ball",0.5,1)))</f>
        <v>86</v>
      </c>
      <c r="AH452" s="84" t="str">
        <f>VLOOKUP(VLOOKUP($C452,DexData,3,0),Aliases!D$2:E$19,2,0)&amp;IFERROR("/"&amp;VLOOKUP(VLOOKUP($C452,DexData,4,0),Aliases!D$2:E$19,2,0),"")</f>
        <v>WTR/STL</v>
      </c>
      <c r="AI452" s="7">
        <v>3.0</v>
      </c>
      <c r="AJ452" s="7">
        <f>IF(VLOOKUP(B452,'Set Odds'!A$2:AN$1067,40,0),1,IF(VLOOKUP(B452,'Set Odds'!A$2:AO$1067,41,0),2,0))</f>
        <v>0</v>
      </c>
      <c r="AK452" s="7"/>
      <c r="AL452" s="7" t="str">
        <f t="shared" si="1"/>
        <v/>
      </c>
    </row>
    <row r="453" ht="12.75" customHeight="1">
      <c r="A453" s="86">
        <v>452.0</v>
      </c>
      <c r="B453" s="84" t="s">
        <v>3955</v>
      </c>
      <c r="C453" s="7" t="s">
        <v>3621</v>
      </c>
      <c r="D453" s="7" t="s">
        <v>2723</v>
      </c>
      <c r="E453" s="7" t="s">
        <v>2524</v>
      </c>
      <c r="F453" s="84" t="s">
        <v>2534</v>
      </c>
      <c r="G453" s="84" t="s">
        <v>2848</v>
      </c>
      <c r="H453" s="84" t="s">
        <v>2620</v>
      </c>
      <c r="I453" s="84" t="s">
        <v>3554</v>
      </c>
      <c r="J453" s="7" t="s">
        <v>3622</v>
      </c>
      <c r="K453" s="7">
        <v>25.0</v>
      </c>
      <c r="L453" s="7">
        <v>31.0</v>
      </c>
      <c r="M453" s="7">
        <v>25.0</v>
      </c>
      <c r="N453" s="7">
        <v>0.0</v>
      </c>
      <c r="O453" s="7">
        <v>31.0</v>
      </c>
      <c r="P453" s="7">
        <v>31.0</v>
      </c>
      <c r="Q453" s="7">
        <v>0.0</v>
      </c>
      <c r="R453" s="7">
        <v>220.0</v>
      </c>
      <c r="S453" s="7">
        <v>0.0</v>
      </c>
      <c r="T453" s="7">
        <v>0.0</v>
      </c>
      <c r="U453" s="7">
        <v>220.0</v>
      </c>
      <c r="V453" s="7">
        <v>44.0</v>
      </c>
      <c r="W453" s="7">
        <f>VLOOKUP($D453,NatureChart,2,0)</f>
        <v>1</v>
      </c>
      <c r="X453" s="7">
        <f>VLOOKUP($D453,NatureChart,3,0)</f>
        <v>1</v>
      </c>
      <c r="Y453" s="7">
        <f>VLOOKUP($D453,NatureChart,4,0)</f>
        <v>0.9</v>
      </c>
      <c r="Z453" s="7">
        <f>VLOOKUP($D453,NatureChart,5,0)</f>
        <v>1.1</v>
      </c>
      <c r="AA453" s="84">
        <f>VLOOKUP($D453,NatureChart,6,0)</f>
        <v>1</v>
      </c>
      <c r="AB453" s="84">
        <f>IF($C453="Shedinja",1,(INT((2*VLOOKUP($C453,DexData,5,0)+INT(Q453/4)+K453)/2)+60))</f>
        <v>107</v>
      </c>
      <c r="AC453" s="84">
        <f>INT(INT((INT((2*VLOOKUP($C453,DexData,6,0)+INT(R453/4)+L453)/2)+5)*W453)*IF($E453="Choice Band",1.5,IF(OR($E453="Mawilite",$E453="Medichamite",$E453="Thick Club"),2,1)))</f>
        <v>148</v>
      </c>
      <c r="AD453" s="84">
        <f>INT(INT((INT((2*VLOOKUP($C453,DexData,7,0)+INT(S453/4)+M453)/2)+5)*X453)*IF($E453="Eviolite",1.5,1))</f>
        <v>67</v>
      </c>
      <c r="AE453" s="84">
        <f>INT(INT((INT((2*VLOOKUP($C453,DexData,9,0)+INT(T453/4)+N453)/2)+5)*Y453)*IF($E453="Choice Specs",1.5,1))</f>
        <v>49</v>
      </c>
      <c r="AF453" s="84">
        <f>INT(INT((INT((2*VLOOKUP($C453,DexData,10,0)+INT(U453/4)+O453)/2)+5)*Z453)*IF(OR($E453="Eviolite",$E453="Assault Vest"),1.5,1))</f>
        <v>129</v>
      </c>
      <c r="AG453" s="84">
        <f>INT(INT((INT((2*VLOOKUP($C453,DexData,11,0)+INT(V453/4)+P453)/2)+5)*AA453)*IF($E453="Choice Scarf",1.5,IF($E453="Iron Ball",0.5,1)))</f>
        <v>146</v>
      </c>
      <c r="AH453" s="84" t="str">
        <f>VLOOKUP(VLOOKUP($C453,DexData,3,0),Aliases!D$2:E$19,2,0)&amp;IFERROR("/"&amp;VLOOKUP(VLOOKUP($C453,DexData,4,0),Aliases!D$2:E$19,2,0),"")</f>
        <v>GRD</v>
      </c>
      <c r="AI453" s="7">
        <v>3.0</v>
      </c>
      <c r="AJ453" s="7">
        <f>IF(VLOOKUP(B453,'Set Odds'!A$2:AN$1067,40,0),1,IF(VLOOKUP(B453,'Set Odds'!A$2:AO$1067,41,0),2,0))</f>
        <v>0</v>
      </c>
      <c r="AK453" s="7"/>
      <c r="AL453" s="7" t="str">
        <f t="shared" si="1"/>
        <v/>
      </c>
    </row>
    <row r="454" ht="12.75" customHeight="1">
      <c r="A454" s="86">
        <v>453.0</v>
      </c>
      <c r="B454" s="84" t="s">
        <v>3956</v>
      </c>
      <c r="C454" s="7" t="s">
        <v>3624</v>
      </c>
      <c r="D454" s="7" t="s">
        <v>2692</v>
      </c>
      <c r="E454" s="7" t="s">
        <v>3625</v>
      </c>
      <c r="F454" s="84" t="s">
        <v>3454</v>
      </c>
      <c r="G454" s="84" t="s">
        <v>3319</v>
      </c>
      <c r="H454" s="84" t="s">
        <v>2614</v>
      </c>
      <c r="I454" s="84" t="s">
        <v>2581</v>
      </c>
      <c r="J454" s="7" t="s">
        <v>2945</v>
      </c>
      <c r="K454" s="7">
        <v>31.0</v>
      </c>
      <c r="L454" s="7">
        <v>31.0</v>
      </c>
      <c r="M454" s="7">
        <v>25.0</v>
      </c>
      <c r="N454" s="7">
        <v>0.0</v>
      </c>
      <c r="O454" s="7">
        <v>25.0</v>
      </c>
      <c r="P454" s="7">
        <v>31.0</v>
      </c>
      <c r="Q454" s="7">
        <v>44.0</v>
      </c>
      <c r="R454" s="7">
        <v>220.0</v>
      </c>
      <c r="S454" s="7">
        <v>0.0</v>
      </c>
      <c r="T454" s="7">
        <v>0.0</v>
      </c>
      <c r="U454" s="7">
        <v>0.0</v>
      </c>
      <c r="V454" s="7">
        <v>220.0</v>
      </c>
      <c r="W454" s="7">
        <f>VLOOKUP($D454,NatureChart,2,0)</f>
        <v>1</v>
      </c>
      <c r="X454" s="7">
        <f>VLOOKUP($D454,NatureChart,3,0)</f>
        <v>1</v>
      </c>
      <c r="Y454" s="7">
        <f>VLOOKUP($D454,NatureChart,4,0)</f>
        <v>0.9</v>
      </c>
      <c r="Z454" s="7">
        <f>VLOOKUP($D454,NatureChart,5,0)</f>
        <v>1</v>
      </c>
      <c r="AA454" s="84">
        <f>VLOOKUP($D454,NatureChart,6,0)</f>
        <v>1.1</v>
      </c>
      <c r="AB454" s="84">
        <f>IF($C454="Shedinja",1,(INT((2*VLOOKUP($C454,DexData,5,0)+INT(Q454/4)+K454)/2)+60))</f>
        <v>141</v>
      </c>
      <c r="AC454" s="84">
        <f>INT(INT((INT((2*VLOOKUP($C454,DexData,6,0)+INT(R454/4)+L454)/2)+5)*W454)*IF($E454="Choice Band",1.5,IF(OR($E454="Mawilite",$E454="Medichamite",$E454="Thick Club"),2,1)))</f>
        <v>256</v>
      </c>
      <c r="AD454" s="84">
        <f>INT(INT((INT((2*VLOOKUP($C454,DexData,7,0)+INT(S454/4)+M454)/2)+5)*X454)*IF($E454="Eviolite",1.5,1))</f>
        <v>127</v>
      </c>
      <c r="AE454" s="84">
        <f>INT(INT((INT((2*VLOOKUP($C454,DexData,9,0)+INT(T454/4)+N454)/2)+5)*Y454)*IF($E454="Choice Specs",1.5,1))</f>
        <v>49</v>
      </c>
      <c r="AF454" s="84">
        <f>INT(INT((INT((2*VLOOKUP($C454,DexData,10,0)+INT(U454/4)+O454)/2)+5)*Z454)*IF(OR($E454="Eviolite",$E454="Assault Vest"),1.5,1))</f>
        <v>97</v>
      </c>
      <c r="AG454" s="84">
        <f>INT(INT((INT((2*VLOOKUP($C454,DexData,11,0)+INT(V454/4)+P454)/2)+5)*AA454)*IF($E454="Choice Scarf",1.5,IF($E454="Iron Ball",0.5,1)))</f>
        <v>102</v>
      </c>
      <c r="AH454" s="84" t="str">
        <f>VLOOKUP(VLOOKUP($C454,DexData,3,0),Aliases!D$2:E$19,2,0)&amp;IFERROR("/"&amp;VLOOKUP(VLOOKUP($C454,DexData,4,0),Aliases!D$2:E$19,2,0),"")</f>
        <v>GRD</v>
      </c>
      <c r="AI454" s="7">
        <v>3.0</v>
      </c>
      <c r="AJ454" s="7">
        <f>IF(VLOOKUP(B454,'Set Odds'!A$2:AN$1067,40,0),1,IF(VLOOKUP(B454,'Set Odds'!A$2:AO$1067,41,0),2,0))</f>
        <v>0</v>
      </c>
      <c r="AK454" s="7"/>
      <c r="AL454" s="7" t="str">
        <f t="shared" si="1"/>
        <v/>
      </c>
    </row>
    <row r="455" ht="12.75" customHeight="1">
      <c r="A455" s="86">
        <v>454.0</v>
      </c>
      <c r="B455" s="84" t="s">
        <v>3957</v>
      </c>
      <c r="C455" s="7" t="s">
        <v>3958</v>
      </c>
      <c r="D455" s="7" t="s">
        <v>2656</v>
      </c>
      <c r="E455" s="7" t="s">
        <v>2524</v>
      </c>
      <c r="F455" s="84" t="s">
        <v>2832</v>
      </c>
      <c r="G455" s="84" t="s">
        <v>3959</v>
      </c>
      <c r="H455" s="84" t="s">
        <v>3264</v>
      </c>
      <c r="I455" s="84" t="s">
        <v>3524</v>
      </c>
      <c r="J455" s="7" t="s">
        <v>3016</v>
      </c>
      <c r="K455" s="7">
        <v>31.0</v>
      </c>
      <c r="L455" s="7">
        <v>0.0</v>
      </c>
      <c r="M455" s="7">
        <v>31.0</v>
      </c>
      <c r="N455" s="7">
        <v>31.0</v>
      </c>
      <c r="O455" s="7">
        <v>31.0</v>
      </c>
      <c r="P455" s="7">
        <v>31.0</v>
      </c>
      <c r="Q455" s="7">
        <v>252.0</v>
      </c>
      <c r="R455" s="7">
        <v>4.0</v>
      </c>
      <c r="S455" s="7">
        <v>0.0</v>
      </c>
      <c r="T455" s="7">
        <v>252.0</v>
      </c>
      <c r="U455" s="7">
        <v>0.0</v>
      </c>
      <c r="V455" s="7">
        <v>0.0</v>
      </c>
      <c r="W455" s="7">
        <f>VLOOKUP($D455,NatureChart,2,0)</f>
        <v>0.9</v>
      </c>
      <c r="X455" s="7">
        <f>VLOOKUP($D455,NatureChart,3,0)</f>
        <v>1</v>
      </c>
      <c r="Y455" s="7">
        <f>VLOOKUP($D455,NatureChart,4,0)</f>
        <v>1.1</v>
      </c>
      <c r="Z455" s="7">
        <f>VLOOKUP($D455,NatureChart,5,0)</f>
        <v>1</v>
      </c>
      <c r="AA455" s="84">
        <f>VLOOKUP($D455,NatureChart,6,0)</f>
        <v>1</v>
      </c>
      <c r="AB455" s="84">
        <f>IF($C455="Shedinja",1,(INT((2*VLOOKUP($C455,DexData,5,0)+INT(Q455/4)+K455)/2)+60))</f>
        <v>198</v>
      </c>
      <c r="AC455" s="84">
        <f>INT(INT((INT((2*VLOOKUP($C455,DexData,6,0)+INT(R455/4)+L455)/2)+5)*W455)*IF($E455="Choice Band",1.5,IF(OR($E455="Mawilite",$E455="Medichamite",$E455="Thick Club"),2,1)))</f>
        <v>85</v>
      </c>
      <c r="AD455" s="84">
        <f>INT(INT((INT((2*VLOOKUP($C455,DexData,7,0)+INT(S455/4)+M455)/2)+5)*X455)*IF($E455="Eviolite",1.5,1))</f>
        <v>126</v>
      </c>
      <c r="AE455" s="84">
        <f>INT(INT((INT((2*VLOOKUP($C455,DexData,9,0)+INT(T455/4)+N455)/2)+5)*Y455)*IF($E455="Choice Specs",1.5,1))</f>
        <v>200</v>
      </c>
      <c r="AF455" s="84">
        <f>INT(INT((INT((2*VLOOKUP($C455,DexData,10,0)+INT(U455/4)+O455)/2)+5)*Z455)*IF(OR($E455="Eviolite",$E455="Assault Vest"),1.5,1))</f>
        <v>126</v>
      </c>
      <c r="AG455" s="84">
        <f>INT(INT((INT((2*VLOOKUP($C455,DexData,11,0)+INT(V455/4)+P455)/2)+5)*AA455)*IF($E455="Choice Scarf",1.5,IF($E455="Iron Ball",0.5,1)))</f>
        <v>97</v>
      </c>
      <c r="AH455" s="84" t="str">
        <f>VLOOKUP(VLOOKUP($C455,DexData,3,0),Aliases!D$2:E$19,2,0)&amp;IFERROR("/"&amp;VLOOKUP(VLOOKUP($C455,DexData,4,0),Aliases!D$2:E$19,2,0),"")</f>
        <v>FIR/STL</v>
      </c>
      <c r="AI455" s="7">
        <v>0.0</v>
      </c>
      <c r="AJ455" s="7">
        <f>IF(VLOOKUP(B455,'Set Odds'!A$2:AN$1067,40,0),1,IF(VLOOKUP(B455,'Set Odds'!A$2:AO$1067,41,0),2,0))</f>
        <v>0</v>
      </c>
      <c r="AK455" s="85" t="s">
        <v>3960</v>
      </c>
      <c r="AL455" s="7">
        <f t="shared" si="1"/>
        <v>1</v>
      </c>
    </row>
    <row r="456" ht="12.75" customHeight="1">
      <c r="A456" s="86">
        <v>455.0</v>
      </c>
      <c r="B456" s="84" t="s">
        <v>3961</v>
      </c>
      <c r="C456" s="7" t="s">
        <v>3962</v>
      </c>
      <c r="D456" s="7" t="s">
        <v>2635</v>
      </c>
      <c r="E456" s="7" t="s">
        <v>2685</v>
      </c>
      <c r="F456" s="84" t="s">
        <v>3718</v>
      </c>
      <c r="G456" s="84" t="s">
        <v>2938</v>
      </c>
      <c r="H456" s="84" t="s">
        <v>3963</v>
      </c>
      <c r="I456" s="84" t="s">
        <v>3185</v>
      </c>
      <c r="J456" s="7" t="s">
        <v>2714</v>
      </c>
      <c r="K456" s="7">
        <v>31.0</v>
      </c>
      <c r="L456" s="7">
        <v>0.0</v>
      </c>
      <c r="M456" s="7">
        <v>31.0</v>
      </c>
      <c r="N456" s="7">
        <v>31.0</v>
      </c>
      <c r="O456" s="7">
        <v>31.0</v>
      </c>
      <c r="P456" s="7">
        <v>31.0</v>
      </c>
      <c r="Q456" s="7">
        <v>252.0</v>
      </c>
      <c r="R456" s="7">
        <v>0.0</v>
      </c>
      <c r="S456" s="7">
        <v>4.0</v>
      </c>
      <c r="T456" s="7">
        <v>0.0</v>
      </c>
      <c r="U456" s="7">
        <v>0.0</v>
      </c>
      <c r="V456" s="7">
        <v>252.0</v>
      </c>
      <c r="W456" s="7">
        <f>VLOOKUP($D456,NatureChart,2,0)</f>
        <v>0.9</v>
      </c>
      <c r="X456" s="7">
        <f>VLOOKUP($D456,NatureChart,3,0)</f>
        <v>1</v>
      </c>
      <c r="Y456" s="7">
        <f>VLOOKUP($D456,NatureChart,4,0)</f>
        <v>1</v>
      </c>
      <c r="Z456" s="7">
        <f>VLOOKUP($D456,NatureChart,5,0)</f>
        <v>1</v>
      </c>
      <c r="AA456" s="84">
        <f>VLOOKUP($D456,NatureChart,6,0)</f>
        <v>1.1</v>
      </c>
      <c r="AB456" s="84">
        <f>IF($C456="Shedinja",1,(INT((2*VLOOKUP($C456,DexData,5,0)+INT(Q456/4)+K456)/2)+60))</f>
        <v>227</v>
      </c>
      <c r="AC456" s="84">
        <f>INT(INT((INT((2*VLOOKUP($C456,DexData,6,0)+INT(R456/4)+L456)/2)+5)*W456)*IF($E456="Choice Band",1.5,IF(OR($E456="Mawilite",$E456="Medichamite",$E456="Thick Club"),2,1)))</f>
        <v>67</v>
      </c>
      <c r="AD456" s="84">
        <f>INT(INT((INT((2*VLOOKUP($C456,DexData,7,0)+INT(S456/4)+M456)/2)+5)*X456)*IF($E456="Eviolite",1.5,1))</f>
        <v>141</v>
      </c>
      <c r="AE456" s="84">
        <f>INT(INT((INT((2*VLOOKUP($C456,DexData,9,0)+INT(T456/4)+N456)/2)+5)*Y456)*IF($E456="Choice Specs",1.5,1))</f>
        <v>95</v>
      </c>
      <c r="AF456" s="84">
        <f>INT(INT((INT((2*VLOOKUP($C456,DexData,10,0)+INT(U456/4)+O456)/2)+5)*Z456)*IF(OR($E456="Eviolite",$E456="Assault Vest"),1.5,1))</f>
        <v>150</v>
      </c>
      <c r="AG456" s="84">
        <f>INT(INT((INT((2*VLOOKUP($C456,DexData,11,0)+INT(V456/4)+P456)/2)+5)*AA456)*IF($E456="Choice Scarf",1.5,IF($E456="Iron Ball",0.5,1)))</f>
        <v>150</v>
      </c>
      <c r="AH456" s="84" t="str">
        <f>VLOOKUP(VLOOKUP($C456,DexData,3,0),Aliases!D$2:E$19,2,0)&amp;IFERROR("/"&amp;VLOOKUP(VLOOKUP($C456,DexData,4,0),Aliases!D$2:E$19,2,0),"")</f>
        <v>PSY</v>
      </c>
      <c r="AI456" s="7">
        <v>3.0</v>
      </c>
      <c r="AJ456" s="7">
        <f>IF(VLOOKUP(B456,'Set Odds'!A$2:AN$1067,40,0),1,IF(VLOOKUP(B456,'Set Odds'!A$2:AO$1067,41,0),2,0))</f>
        <v>0</v>
      </c>
      <c r="AK456" s="85" t="s">
        <v>3964</v>
      </c>
      <c r="AL456" s="7" t="str">
        <f t="shared" si="1"/>
        <v/>
      </c>
    </row>
    <row r="457" ht="12.75" customHeight="1">
      <c r="A457" s="86">
        <v>456.0</v>
      </c>
      <c r="B457" s="84" t="s">
        <v>3965</v>
      </c>
      <c r="C457" s="7" t="s">
        <v>3966</v>
      </c>
      <c r="D457" s="7" t="s">
        <v>2571</v>
      </c>
      <c r="E457" s="7" t="s">
        <v>3889</v>
      </c>
      <c r="F457" s="84" t="s">
        <v>3967</v>
      </c>
      <c r="G457" s="84" t="s">
        <v>3390</v>
      </c>
      <c r="H457" s="84" t="s">
        <v>3441</v>
      </c>
      <c r="I457" s="84" t="s">
        <v>2517</v>
      </c>
      <c r="J457" s="7" t="s">
        <v>3968</v>
      </c>
      <c r="K457" s="7">
        <v>31.0</v>
      </c>
      <c r="L457" s="7">
        <v>31.0</v>
      </c>
      <c r="M457" s="7">
        <v>31.0</v>
      </c>
      <c r="N457" s="7">
        <v>31.0</v>
      </c>
      <c r="O457" s="7">
        <v>31.0</v>
      </c>
      <c r="P457" s="7">
        <v>31.0</v>
      </c>
      <c r="Q457" s="7">
        <v>252.0</v>
      </c>
      <c r="R457" s="7">
        <v>252.0</v>
      </c>
      <c r="S457" s="7">
        <v>0.0</v>
      </c>
      <c r="T457" s="7">
        <v>0.0</v>
      </c>
      <c r="U457" s="7">
        <v>0.0</v>
      </c>
      <c r="V457" s="7">
        <v>4.0</v>
      </c>
      <c r="W457" s="7">
        <f>VLOOKUP($D457,NatureChart,2,0)</f>
        <v>1.1</v>
      </c>
      <c r="X457" s="7">
        <f>VLOOKUP($D457,NatureChart,3,0)</f>
        <v>1</v>
      </c>
      <c r="Y457" s="7">
        <f>VLOOKUP($D457,NatureChart,4,0)</f>
        <v>0.9</v>
      </c>
      <c r="Z457" s="7">
        <f>VLOOKUP($D457,NatureChart,5,0)</f>
        <v>1</v>
      </c>
      <c r="AA457" s="84">
        <f>VLOOKUP($D457,NatureChart,6,0)</f>
        <v>1</v>
      </c>
      <c r="AB457" s="84">
        <f>IF($C457="Shedinja",1,(INT((2*VLOOKUP($C457,DexData,5,0)+INT(Q457/4)+K457)/2)+60))</f>
        <v>217</v>
      </c>
      <c r="AC457" s="84">
        <f>INT(INT((INT((2*VLOOKUP($C457,DexData,6,0)+INT(R457/4)+L457)/2)+5)*W457)*IF($E457="Choice Band",1.5,IF(OR($E457="Mawilite",$E457="Medichamite",$E457="Thick Club"),2,1)))</f>
        <v>233</v>
      </c>
      <c r="AD457" s="84">
        <f>INT(INT((INT((2*VLOOKUP($C457,DexData,7,0)+INT(S457/4)+M457)/2)+5)*X457)*IF($E457="Eviolite",1.5,1))</f>
        <v>130</v>
      </c>
      <c r="AE457" s="84">
        <f>INT(INT((INT((2*VLOOKUP($C457,DexData,9,0)+INT(T457/4)+N457)/2)+5)*Y457)*IF($E457="Choice Specs",1.5,1))</f>
        <v>90</v>
      </c>
      <c r="AF457" s="84">
        <f>INT(INT((INT((2*VLOOKUP($C457,DexData,10,0)+INT(U457/4)+O457)/2)+5)*Z457)*IF(OR($E457="Eviolite",$E457="Assault Vest"),1.5,1))</f>
        <v>130</v>
      </c>
      <c r="AG457" s="84">
        <f>INT(INT((INT((2*VLOOKUP($C457,DexData,11,0)+INT(V457/4)+P457)/2)+5)*AA457)*IF($E457="Choice Scarf",1.5,IF($E457="Iron Ball",0.5,1)))</f>
        <v>121</v>
      </c>
      <c r="AH457" s="84" t="str">
        <f>VLOOKUP(VLOOKUP($C457,DexData,3,0),Aliases!D$2:E$19,2,0)&amp;IFERROR("/"&amp;VLOOKUP(VLOOKUP($C457,DexData,4,0),Aliases!D$2:E$19,2,0),"")</f>
        <v>NRM</v>
      </c>
      <c r="AI457" s="7">
        <v>3.0</v>
      </c>
      <c r="AJ457" s="7">
        <f>IF(VLOOKUP(B457,'Set Odds'!A$2:AN$1067,40,0),1,IF(VLOOKUP(B457,'Set Odds'!A$2:AO$1067,41,0),2,0))</f>
        <v>0</v>
      </c>
      <c r="AK457" s="85" t="s">
        <v>3960</v>
      </c>
      <c r="AL457" s="7" t="str">
        <f t="shared" si="1"/>
        <v/>
      </c>
    </row>
    <row r="458" ht="12.75" customHeight="1">
      <c r="A458" s="86">
        <v>457.0</v>
      </c>
      <c r="B458" s="84" t="s">
        <v>3969</v>
      </c>
      <c r="C458" s="7" t="s">
        <v>3628</v>
      </c>
      <c r="D458" s="7" t="s">
        <v>2692</v>
      </c>
      <c r="E458" s="7" t="s">
        <v>2983</v>
      </c>
      <c r="F458" s="84" t="s">
        <v>2525</v>
      </c>
      <c r="G458" s="84" t="s">
        <v>3945</v>
      </c>
      <c r="H458" s="84" t="s">
        <v>3852</v>
      </c>
      <c r="I458" s="84" t="s">
        <v>3135</v>
      </c>
      <c r="J458" s="7" t="s">
        <v>3630</v>
      </c>
      <c r="K458" s="7">
        <v>31.0</v>
      </c>
      <c r="L458" s="7">
        <v>31.0</v>
      </c>
      <c r="M458" s="7">
        <v>31.0</v>
      </c>
      <c r="N458" s="7">
        <v>0.0</v>
      </c>
      <c r="O458" s="7">
        <v>31.0</v>
      </c>
      <c r="P458" s="7">
        <v>31.0</v>
      </c>
      <c r="Q458" s="7">
        <v>4.0</v>
      </c>
      <c r="R458" s="7">
        <v>252.0</v>
      </c>
      <c r="S458" s="7">
        <v>0.0</v>
      </c>
      <c r="T458" s="7">
        <v>0.0</v>
      </c>
      <c r="U458" s="7">
        <v>0.0</v>
      </c>
      <c r="V458" s="7">
        <v>252.0</v>
      </c>
      <c r="W458" s="7">
        <f>VLOOKUP($D458,NatureChart,2,0)</f>
        <v>1</v>
      </c>
      <c r="X458" s="7">
        <f>VLOOKUP($D458,NatureChart,3,0)</f>
        <v>1</v>
      </c>
      <c r="Y458" s="7">
        <f>VLOOKUP($D458,NatureChart,4,0)</f>
        <v>0.9</v>
      </c>
      <c r="Z458" s="7">
        <f>VLOOKUP($D458,NatureChart,5,0)</f>
        <v>1</v>
      </c>
      <c r="AA458" s="84">
        <f>VLOOKUP($D458,NatureChart,6,0)</f>
        <v>1.1</v>
      </c>
      <c r="AB458" s="84">
        <f>IF($C458="Shedinja",1,(INT((2*VLOOKUP($C458,DexData,5,0)+INT(Q458/4)+K458)/2)+60))</f>
        <v>136</v>
      </c>
      <c r="AC458" s="84">
        <f>INT(INT((INT((2*VLOOKUP($C458,DexData,6,0)+INT(R458/4)+L458)/2)+5)*W458)*IF($E458="Choice Band",1.5,IF(OR($E458="Mawilite",$E458="Medichamite",$E458="Thick Club"),2,1)))</f>
        <v>112</v>
      </c>
      <c r="AD458" s="84">
        <f>INT(INT((INT((2*VLOOKUP($C458,DexData,7,0)+INT(S458/4)+M458)/2)+5)*X458)*IF($E458="Eviolite",1.5,1))</f>
        <v>95</v>
      </c>
      <c r="AE458" s="84">
        <f>INT(INT((INT((2*VLOOKUP($C458,DexData,9,0)+INT(T458/4)+N458)/2)+5)*Y458)*IF($E458="Choice Specs",1.5,1))</f>
        <v>58</v>
      </c>
      <c r="AF458" s="84">
        <f>INT(INT((INT((2*VLOOKUP($C458,DexData,10,0)+INT(U458/4)+O458)/2)+5)*Z458)*IF(OR($E458="Eviolite",$E458="Assault Vest"),1.5,1))</f>
        <v>95</v>
      </c>
      <c r="AG458" s="84">
        <f>INT(INT((INT((2*VLOOKUP($C458,DexData,11,0)+INT(V458/4)+P458)/2)+5)*AA458)*IF($E458="Choice Scarf",1.5,IF($E458="Iron Ball",0.5,1)))</f>
        <v>145</v>
      </c>
      <c r="AH458" s="84" t="str">
        <f>VLOOKUP(VLOOKUP($C458,DexData,3,0),Aliases!D$2:E$19,2,0)&amp;IFERROR("/"&amp;VLOOKUP(VLOOKUP($C458,DexData,4,0),Aliases!D$2:E$19,2,0),"")</f>
        <v>FTG/PSY</v>
      </c>
      <c r="AI458" s="7">
        <v>3.0</v>
      </c>
      <c r="AJ458" s="7">
        <f>IF(VLOOKUP(B458,'Set Odds'!A$2:AN$1067,40,0),1,IF(VLOOKUP(B458,'Set Odds'!A$2:AO$1067,41,0),2,0))</f>
        <v>1</v>
      </c>
      <c r="AK458" s="7"/>
      <c r="AL458" s="7" t="str">
        <f t="shared" si="1"/>
        <v/>
      </c>
    </row>
    <row r="459" ht="12.75" customHeight="1">
      <c r="A459" s="86">
        <v>458.0</v>
      </c>
      <c r="B459" s="84" t="s">
        <v>3970</v>
      </c>
      <c r="C459" s="7" t="s">
        <v>3632</v>
      </c>
      <c r="D459" s="7" t="s">
        <v>2629</v>
      </c>
      <c r="E459" s="7" t="s">
        <v>2515</v>
      </c>
      <c r="F459" s="84" t="s">
        <v>2718</v>
      </c>
      <c r="G459" s="84" t="s">
        <v>3594</v>
      </c>
      <c r="H459" s="84" t="s">
        <v>2688</v>
      </c>
      <c r="I459" s="84" t="s">
        <v>2823</v>
      </c>
      <c r="J459" s="7" t="s">
        <v>3971</v>
      </c>
      <c r="K459" s="7">
        <v>31.0</v>
      </c>
      <c r="L459" s="7">
        <v>31.0</v>
      </c>
      <c r="M459" s="7">
        <v>31.0</v>
      </c>
      <c r="N459" s="7">
        <v>31.0</v>
      </c>
      <c r="O459" s="7">
        <v>31.0</v>
      </c>
      <c r="P459" s="7">
        <v>0.0</v>
      </c>
      <c r="Q459" s="7">
        <v>252.0</v>
      </c>
      <c r="R459" s="7">
        <v>252.0</v>
      </c>
      <c r="S459" s="7">
        <v>4.0</v>
      </c>
      <c r="T459" s="7">
        <v>0.0</v>
      </c>
      <c r="U459" s="7">
        <v>0.0</v>
      </c>
      <c r="V459" s="7">
        <v>0.0</v>
      </c>
      <c r="W459" s="7">
        <f>VLOOKUP($D459,NatureChart,2,0)</f>
        <v>1.1</v>
      </c>
      <c r="X459" s="7">
        <f>VLOOKUP($D459,NatureChart,3,0)</f>
        <v>1</v>
      </c>
      <c r="Y459" s="7">
        <f>VLOOKUP($D459,NatureChart,4,0)</f>
        <v>1</v>
      </c>
      <c r="Z459" s="7">
        <f>VLOOKUP($D459,NatureChart,5,0)</f>
        <v>1</v>
      </c>
      <c r="AA459" s="84">
        <f>VLOOKUP($D459,NatureChart,6,0)</f>
        <v>0.9</v>
      </c>
      <c r="AB459" s="84">
        <f>IF($C459="Shedinja",1,(INT((2*VLOOKUP($C459,DexData,5,0)+INT(Q459/4)+K459)/2)+60))</f>
        <v>202</v>
      </c>
      <c r="AC459" s="84">
        <f>INT(INT((INT((2*VLOOKUP($C459,DexData,6,0)+INT(R459/4)+L459)/2)+5)*W459)*IF($E459="Choice Band",1.5,IF(OR($E459="Mawilite",$E459="Medichamite",$E459="Thick Club"),2,1)))</f>
        <v>150</v>
      </c>
      <c r="AD459" s="84">
        <f>INT(INT((INT((2*VLOOKUP($C459,DexData,7,0)+INT(S459/4)+M459)/2)+5)*X459)*IF($E459="Eviolite",1.5,1))</f>
        <v>106</v>
      </c>
      <c r="AE459" s="84">
        <f>INT(INT((INT((2*VLOOKUP($C459,DexData,9,0)+INT(T459/4)+N459)/2)+5)*Y459)*IF($E459="Choice Specs",1.5,1))</f>
        <v>85</v>
      </c>
      <c r="AF459" s="84">
        <f>INT(INT((INT((2*VLOOKUP($C459,DexData,10,0)+INT(U459/4)+O459)/2)+5)*Z459)*IF(OR($E459="Eviolite",$E459="Assault Vest"),1.5,1))</f>
        <v>85</v>
      </c>
      <c r="AG459" s="84">
        <f>INT(INT((INT((2*VLOOKUP($C459,DexData,11,0)+INT(V459/4)+P459)/2)+5)*AA459)*IF($E459="Choice Scarf",1.5,IF($E459="Iron Ball",0.5,1)))</f>
        <v>36</v>
      </c>
      <c r="AH459" s="84" t="str">
        <f>VLOOKUP(VLOOKUP($C459,DexData,3,0),Aliases!D$2:E$19,2,0)&amp;IFERROR("/"&amp;VLOOKUP(VLOOKUP($C459,DexData,4,0),Aliases!D$2:E$19,2,0),"")</f>
        <v>WTR/GRD</v>
      </c>
      <c r="AI459" s="7">
        <v>3.0</v>
      </c>
      <c r="AJ459" s="7">
        <f>IF(VLOOKUP(B459,'Set Odds'!A$2:AN$1067,40,0),1,IF(VLOOKUP(B459,'Set Odds'!A$2:AO$1067,41,0),2,0))</f>
        <v>1</v>
      </c>
      <c r="AK459" s="7"/>
      <c r="AL459" s="7" t="str">
        <f t="shared" si="1"/>
        <v/>
      </c>
    </row>
    <row r="460" ht="12.75" customHeight="1">
      <c r="A460" s="86">
        <v>459.0</v>
      </c>
      <c r="B460" s="84" t="s">
        <v>3972</v>
      </c>
      <c r="C460" s="7" t="s">
        <v>3634</v>
      </c>
      <c r="D460" s="7" t="s">
        <v>2692</v>
      </c>
      <c r="E460" s="7" t="s">
        <v>2889</v>
      </c>
      <c r="F460" s="84" t="s">
        <v>2580</v>
      </c>
      <c r="G460" s="84" t="s">
        <v>3285</v>
      </c>
      <c r="H460" s="84" t="s">
        <v>2581</v>
      </c>
      <c r="I460" s="84" t="s">
        <v>3793</v>
      </c>
      <c r="J460" s="7" t="s">
        <v>2696</v>
      </c>
      <c r="K460" s="7">
        <v>31.0</v>
      </c>
      <c r="L460" s="7">
        <v>31.0</v>
      </c>
      <c r="M460" s="7">
        <v>31.0</v>
      </c>
      <c r="N460" s="7">
        <v>0.0</v>
      </c>
      <c r="O460" s="7">
        <v>31.0</v>
      </c>
      <c r="P460" s="7">
        <v>31.0</v>
      </c>
      <c r="Q460" s="7">
        <v>4.0</v>
      </c>
      <c r="R460" s="7">
        <v>252.0</v>
      </c>
      <c r="S460" s="7">
        <v>0.0</v>
      </c>
      <c r="T460" s="7">
        <v>0.0</v>
      </c>
      <c r="U460" s="7">
        <v>0.0</v>
      </c>
      <c r="V460" s="7">
        <v>252.0</v>
      </c>
      <c r="W460" s="7">
        <f>VLOOKUP($D460,NatureChart,2,0)</f>
        <v>1</v>
      </c>
      <c r="X460" s="7">
        <f>VLOOKUP($D460,NatureChart,3,0)</f>
        <v>1</v>
      </c>
      <c r="Y460" s="7">
        <f>VLOOKUP($D460,NatureChart,4,0)</f>
        <v>0.9</v>
      </c>
      <c r="Z460" s="7">
        <f>VLOOKUP($D460,NatureChart,5,0)</f>
        <v>1</v>
      </c>
      <c r="AA460" s="84">
        <f>VLOOKUP($D460,NatureChart,6,0)</f>
        <v>1.1</v>
      </c>
      <c r="AB460" s="84">
        <f>IF($C460="Shedinja",1,(INT((2*VLOOKUP($C460,DexData,5,0)+INT(Q460/4)+K460)/2)+60))</f>
        <v>166</v>
      </c>
      <c r="AC460" s="84">
        <f>INT(INT((INT((2*VLOOKUP($C460,DexData,6,0)+INT(R460/4)+L460)/2)+5)*W460)*IF($E460="Choice Band",1.5,IF(OR($E460="Mawilite",$E460="Medichamite",$E460="Thick Club"),2,1)))</f>
        <v>172</v>
      </c>
      <c r="AD460" s="84">
        <f>INT(INT((INT((2*VLOOKUP($C460,DexData,7,0)+INT(S460/4)+M460)/2)+5)*X460)*IF($E460="Eviolite",1.5,1))</f>
        <v>95</v>
      </c>
      <c r="AE460" s="84">
        <f>INT(INT((INT((2*VLOOKUP($C460,DexData,9,0)+INT(T460/4)+N460)/2)+5)*Y460)*IF($E460="Choice Specs",1.5,1))</f>
        <v>58</v>
      </c>
      <c r="AF460" s="84">
        <f>INT(INT((INT((2*VLOOKUP($C460,DexData,10,0)+INT(U460/4)+O460)/2)+5)*Z460)*IF(OR($E460="Eviolite",$E460="Assault Vest"),1.5,1))</f>
        <v>80</v>
      </c>
      <c r="AG460" s="84">
        <f>INT(INT((INT((2*VLOOKUP($C460,DexData,11,0)+INT(V460/4)+P460)/2)+5)*AA460)*IF($E460="Choice Scarf",1.5,IF($E460="Iron Ball",0.5,1)))</f>
        <v>106</v>
      </c>
      <c r="AH460" s="84" t="str">
        <f>VLOOKUP(VLOOKUP($C460,DexData,3,0),Aliases!D$2:E$19,2,0)&amp;IFERROR("/"&amp;VLOOKUP(VLOOKUP($C460,DexData,4,0),Aliases!D$2:E$19,2,0),"")</f>
        <v>FAI</v>
      </c>
      <c r="AI460" s="7">
        <v>3.0</v>
      </c>
      <c r="AJ460" s="7">
        <f>IF(VLOOKUP(B460,'Set Odds'!A$2:AN$1067,40,0),1,IF(VLOOKUP(B460,'Set Odds'!A$2:AO$1067,41,0),2,0))</f>
        <v>1</v>
      </c>
      <c r="AK460" s="7"/>
      <c r="AL460" s="7" t="str">
        <f t="shared" si="1"/>
        <v/>
      </c>
    </row>
    <row r="461" ht="12.75" customHeight="1">
      <c r="A461" s="86">
        <v>460.0</v>
      </c>
      <c r="B461" s="84" t="s">
        <v>3973</v>
      </c>
      <c r="C461" s="7" t="s">
        <v>3638</v>
      </c>
      <c r="D461" s="7" t="s">
        <v>2635</v>
      </c>
      <c r="E461" s="7" t="s">
        <v>3974</v>
      </c>
      <c r="F461" s="84" t="s">
        <v>3641</v>
      </c>
      <c r="G461" s="84" t="s">
        <v>2847</v>
      </c>
      <c r="H461" s="84" t="s">
        <v>2658</v>
      </c>
      <c r="I461" s="84" t="s">
        <v>3730</v>
      </c>
      <c r="J461" s="7" t="s">
        <v>3642</v>
      </c>
      <c r="K461" s="7">
        <v>31.0</v>
      </c>
      <c r="L461" s="7">
        <v>31.0</v>
      </c>
      <c r="M461" s="7">
        <v>31.0</v>
      </c>
      <c r="N461" s="7">
        <v>31.0</v>
      </c>
      <c r="O461" s="7">
        <v>31.0</v>
      </c>
      <c r="P461" s="7">
        <v>31.0</v>
      </c>
      <c r="Q461" s="7">
        <v>4.0</v>
      </c>
      <c r="R461" s="7">
        <v>0.0</v>
      </c>
      <c r="S461" s="7">
        <v>0.0</v>
      </c>
      <c r="T461" s="7">
        <v>252.0</v>
      </c>
      <c r="U461" s="7">
        <v>0.0</v>
      </c>
      <c r="V461" s="7">
        <v>252.0</v>
      </c>
      <c r="W461" s="7">
        <f>VLOOKUP($D461,NatureChart,2,0)</f>
        <v>0.9</v>
      </c>
      <c r="X461" s="7">
        <f>VLOOKUP($D461,NatureChart,3,0)</f>
        <v>1</v>
      </c>
      <c r="Y461" s="7">
        <f>VLOOKUP($D461,NatureChart,4,0)</f>
        <v>1</v>
      </c>
      <c r="Z461" s="7">
        <f>VLOOKUP($D461,NatureChart,5,0)</f>
        <v>1</v>
      </c>
      <c r="AA461" s="84">
        <f>VLOOKUP($D461,NatureChart,6,0)</f>
        <v>1.1</v>
      </c>
      <c r="AB461" s="84">
        <f>IF($C461="Shedinja",1,(INT((2*VLOOKUP($C461,DexData,5,0)+INT(Q461/4)+K461)/2)+60))</f>
        <v>141</v>
      </c>
      <c r="AC461" s="84">
        <f>INT(INT((INT((2*VLOOKUP($C461,DexData,6,0)+INT(R461/4)+L461)/2)+5)*W461)*IF($E461="Choice Band",1.5,IF(OR($E461="Mawilite",$E461="Medichamite",$E461="Thick Club"),2,1)))</f>
        <v>63</v>
      </c>
      <c r="AD461" s="84">
        <f>INT(INT((INT((2*VLOOKUP($C461,DexData,7,0)+INT(S461/4)+M461)/2)+5)*X461)*IF($E461="Eviolite",1.5,1))</f>
        <v>55</v>
      </c>
      <c r="AE461" s="84">
        <f>INT(INT((INT((2*VLOOKUP($C461,DexData,9,0)+INT(T461/4)+N461)/2)+5)*Y461)*IF($E461="Choice Specs",1.5,1))</f>
        <v>167</v>
      </c>
      <c r="AF461" s="84">
        <f>INT(INT((INT((2*VLOOKUP($C461,DexData,10,0)+INT(U461/4)+O461)/2)+5)*Z461)*IF(OR($E461="Eviolite",$E461="Assault Vest"),1.5,1))</f>
        <v>115</v>
      </c>
      <c r="AG461" s="84">
        <f>INT(INT((INT((2*VLOOKUP($C461,DexData,11,0)+INT(V461/4)+P461)/2)+5)*AA461)*IF($E461="Choice Scarf",1.5,IF($E461="Iron Ball",0.5,1)))</f>
        <v>161</v>
      </c>
      <c r="AH461" s="84" t="str">
        <f>VLOOKUP(VLOOKUP($C461,DexData,3,0),Aliases!D$2:E$19,2,0)&amp;IFERROR("/"&amp;VLOOKUP(VLOOKUP($C461,DexData,4,0),Aliases!D$2:E$19,2,0),"")</f>
        <v>ICE/PSY</v>
      </c>
      <c r="AI461" s="7">
        <v>3.0</v>
      </c>
      <c r="AJ461" s="7">
        <f>IF(VLOOKUP(B461,'Set Odds'!A$2:AN$1067,40,0),1,IF(VLOOKUP(B461,'Set Odds'!A$2:AO$1067,41,0),2,0))</f>
        <v>1</v>
      </c>
      <c r="AK461" s="7"/>
      <c r="AL461" s="7" t="str">
        <f t="shared" si="1"/>
        <v/>
      </c>
    </row>
    <row r="462" ht="12.75" customHeight="1">
      <c r="A462" s="86">
        <v>461.0</v>
      </c>
      <c r="B462" s="84" t="s">
        <v>3975</v>
      </c>
      <c r="C462" s="7" t="s">
        <v>3644</v>
      </c>
      <c r="D462" s="7" t="s">
        <v>3597</v>
      </c>
      <c r="E462" s="7" t="s">
        <v>3976</v>
      </c>
      <c r="F462" s="84" t="s">
        <v>2772</v>
      </c>
      <c r="G462" s="84" t="s">
        <v>2863</v>
      </c>
      <c r="H462" s="84" t="s">
        <v>2596</v>
      </c>
      <c r="I462" s="84" t="s">
        <v>3232</v>
      </c>
      <c r="J462" s="7" t="s">
        <v>3646</v>
      </c>
      <c r="K462" s="7">
        <v>31.0</v>
      </c>
      <c r="L462" s="7">
        <v>0.0</v>
      </c>
      <c r="M462" s="7">
        <v>31.0</v>
      </c>
      <c r="N462" s="7">
        <v>31.0</v>
      </c>
      <c r="O462" s="7">
        <v>31.0</v>
      </c>
      <c r="P462" s="7">
        <v>31.0</v>
      </c>
      <c r="Q462" s="7">
        <v>252.0</v>
      </c>
      <c r="R462" s="7">
        <v>0.0</v>
      </c>
      <c r="S462" s="7">
        <v>0.0</v>
      </c>
      <c r="T462" s="7">
        <v>4.0</v>
      </c>
      <c r="U462" s="7">
        <v>252.0</v>
      </c>
      <c r="V462" s="7">
        <v>0.0</v>
      </c>
      <c r="W462" s="7">
        <f>VLOOKUP($D462,NatureChart,2,0)</f>
        <v>0.9</v>
      </c>
      <c r="X462" s="7">
        <f>VLOOKUP($D462,NatureChart,3,0)</f>
        <v>1</v>
      </c>
      <c r="Y462" s="7">
        <f>VLOOKUP($D462,NatureChart,4,0)</f>
        <v>1</v>
      </c>
      <c r="Z462" s="7">
        <f>VLOOKUP($D462,NatureChart,5,0)</f>
        <v>1.1</v>
      </c>
      <c r="AA462" s="84">
        <f>VLOOKUP($D462,NatureChart,6,0)</f>
        <v>1</v>
      </c>
      <c r="AB462" s="84">
        <f>IF($C462="Shedinja",1,(INT((2*VLOOKUP($C462,DexData,5,0)+INT(Q462/4)+K462)/2)+60))</f>
        <v>147</v>
      </c>
      <c r="AC462" s="84">
        <f>INT(INT((INT((2*VLOOKUP($C462,DexData,6,0)+INT(R462/4)+L462)/2)+5)*W462)*IF($E462="Choice Band",1.5,IF(OR($E462="Mawilite",$E462="Medichamite",$E462="Thick Club"),2,1)))</f>
        <v>45</v>
      </c>
      <c r="AD462" s="84">
        <f>INT(INT((INT((2*VLOOKUP($C462,DexData,7,0)+INT(S462/4)+M462)/2)+5)*X462)*IF($E462="Eviolite",1.5,1))</f>
        <v>85</v>
      </c>
      <c r="AE462" s="84">
        <f>INT(INT((INT((2*VLOOKUP($C462,DexData,9,0)+INT(T462/4)+N462)/2)+5)*Y462)*IF($E462="Choice Specs",1.5,1))</f>
        <v>121</v>
      </c>
      <c r="AF462" s="84">
        <f>INT(INT((INT((2*VLOOKUP($C462,DexData,10,0)+INT(U462/4)+O462)/2)+5)*Z462)*IF(OR($E462="Eviolite",$E462="Assault Vest"),1.5,1))</f>
        <v>189</v>
      </c>
      <c r="AG462" s="84">
        <f>INT(INT((INT((2*VLOOKUP($C462,DexData,11,0)+INT(V462/4)+P462)/2)+5)*AA462)*IF($E462="Choice Scarf",1.5,IF($E462="Iron Ball",0.5,1)))</f>
        <v>110</v>
      </c>
      <c r="AH462" s="84" t="str">
        <f>VLOOKUP(VLOOKUP($C462,DexData,3,0),Aliases!D$2:E$19,2,0)&amp;IFERROR("/"&amp;VLOOKUP(VLOOKUP($C462,DexData,4,0),Aliases!D$2:E$19,2,0),"")</f>
        <v>PSY/FAI</v>
      </c>
      <c r="AI462" s="7">
        <v>3.0</v>
      </c>
      <c r="AJ462" s="7">
        <f>IF(VLOOKUP(B462,'Set Odds'!A$2:AN$1067,40,0),1,IF(VLOOKUP(B462,'Set Odds'!A$2:AO$1067,41,0),2,0))</f>
        <v>1</v>
      </c>
      <c r="AK462" s="7"/>
      <c r="AL462" s="7" t="str">
        <f t="shared" si="1"/>
        <v/>
      </c>
    </row>
    <row r="463" ht="12.75" customHeight="1">
      <c r="A463" s="86">
        <v>462.0</v>
      </c>
      <c r="B463" s="84" t="s">
        <v>3977</v>
      </c>
      <c r="C463" s="7" t="s">
        <v>3648</v>
      </c>
      <c r="D463" s="7" t="s">
        <v>3597</v>
      </c>
      <c r="E463" s="7" t="s">
        <v>3433</v>
      </c>
      <c r="F463" s="84" t="s">
        <v>3435</v>
      </c>
      <c r="G463" s="84" t="s">
        <v>3812</v>
      </c>
      <c r="H463" s="84" t="s">
        <v>2880</v>
      </c>
      <c r="I463" s="84" t="s">
        <v>2967</v>
      </c>
      <c r="J463" s="7" t="s">
        <v>3000</v>
      </c>
      <c r="K463" s="7">
        <v>31.0</v>
      </c>
      <c r="L463" s="7">
        <v>0.0</v>
      </c>
      <c r="M463" s="7">
        <v>31.0</v>
      </c>
      <c r="N463" s="7">
        <v>31.0</v>
      </c>
      <c r="O463" s="7">
        <v>31.0</v>
      </c>
      <c r="P463" s="7">
        <v>31.0</v>
      </c>
      <c r="Q463" s="7">
        <v>252.0</v>
      </c>
      <c r="R463" s="7">
        <v>0.0</v>
      </c>
      <c r="S463" s="7">
        <v>0.0</v>
      </c>
      <c r="T463" s="7">
        <v>4.0</v>
      </c>
      <c r="U463" s="7">
        <v>252.0</v>
      </c>
      <c r="V463" s="7">
        <v>0.0</v>
      </c>
      <c r="W463" s="7">
        <f>VLOOKUP($D463,NatureChart,2,0)</f>
        <v>0.9</v>
      </c>
      <c r="X463" s="7">
        <f>VLOOKUP($D463,NatureChart,3,0)</f>
        <v>1</v>
      </c>
      <c r="Y463" s="7">
        <f>VLOOKUP($D463,NatureChart,4,0)</f>
        <v>1</v>
      </c>
      <c r="Z463" s="7">
        <f>VLOOKUP($D463,NatureChart,5,0)</f>
        <v>1.1</v>
      </c>
      <c r="AA463" s="84">
        <f>VLOOKUP($D463,NatureChart,6,0)</f>
        <v>1</v>
      </c>
      <c r="AB463" s="84">
        <f>IF($C463="Shedinja",1,(INT((2*VLOOKUP($C463,DexData,5,0)+INT(Q463/4)+K463)/2)+60))</f>
        <v>232</v>
      </c>
      <c r="AC463" s="84">
        <f>INT(INT((INT((2*VLOOKUP($C463,DexData,6,0)+INT(R463/4)+L463)/2)+5)*W463)*IF($E463="Choice Band",1.5,IF(OR($E463="Mawilite",$E463="Medichamite",$E463="Thick Club"),2,1)))</f>
        <v>56</v>
      </c>
      <c r="AD463" s="84">
        <f>INT(INT((INT((2*VLOOKUP($C463,DexData,7,0)+INT(S463/4)+M463)/2)+5)*X463)*IF($E463="Eviolite",1.5,1))</f>
        <v>78</v>
      </c>
      <c r="AE463" s="84">
        <f>INT(INT((INT((2*VLOOKUP($C463,DexData,9,0)+INT(T463/4)+N463)/2)+5)*Y463)*IF($E463="Choice Specs",1.5,1))</f>
        <v>97</v>
      </c>
      <c r="AF463" s="84">
        <f>INT(INT((INT((2*VLOOKUP($C463,DexData,10,0)+INT(U463/4)+O463)/2)+5)*Z463)*IF(OR($E463="Eviolite",$E463="Assault Vest"),1.5,1))</f>
        <v>140</v>
      </c>
      <c r="AG463" s="84">
        <f>INT(INT((INT((2*VLOOKUP($C463,DexData,11,0)+INT(V463/4)+P463)/2)+5)*AA463)*IF($E463="Choice Scarf",1.5,IF($E463="Iron Ball",0.5,1)))</f>
        <v>87</v>
      </c>
      <c r="AH463" s="84" t="str">
        <f>VLOOKUP(VLOOKUP($C463,DexData,3,0),Aliases!D$2:E$19,2,0)&amp;IFERROR("/"&amp;VLOOKUP(VLOOKUP($C463,DexData,4,0),Aliases!D$2:E$19,2,0),"")</f>
        <v>WTR/ELC</v>
      </c>
      <c r="AI463" s="7">
        <v>3.0</v>
      </c>
      <c r="AJ463" s="7">
        <f>IF(VLOOKUP(B463,'Set Odds'!A$2:AN$1067,40,0),1,IF(VLOOKUP(B463,'Set Odds'!A$2:AO$1067,41,0),2,0))</f>
        <v>1</v>
      </c>
      <c r="AK463" s="7"/>
      <c r="AL463" s="7" t="str">
        <f t="shared" si="1"/>
        <v/>
      </c>
    </row>
    <row r="464" ht="12.75" customHeight="1">
      <c r="A464" s="86">
        <v>463.0</v>
      </c>
      <c r="B464" s="84" t="s">
        <v>3978</v>
      </c>
      <c r="C464" s="7" t="s">
        <v>3650</v>
      </c>
      <c r="D464" s="7" t="s">
        <v>2692</v>
      </c>
      <c r="E464" s="7" t="s">
        <v>2612</v>
      </c>
      <c r="F464" s="84" t="s">
        <v>3249</v>
      </c>
      <c r="G464" s="84" t="s">
        <v>3594</v>
      </c>
      <c r="H464" s="84" t="s">
        <v>3692</v>
      </c>
      <c r="I464" s="84" t="s">
        <v>3113</v>
      </c>
      <c r="J464" s="7" t="s">
        <v>3250</v>
      </c>
      <c r="K464" s="7">
        <v>31.0</v>
      </c>
      <c r="L464" s="7">
        <v>31.0</v>
      </c>
      <c r="M464" s="7">
        <v>31.0</v>
      </c>
      <c r="N464" s="7">
        <v>0.0</v>
      </c>
      <c r="O464" s="7">
        <v>31.0</v>
      </c>
      <c r="P464" s="7">
        <v>31.0</v>
      </c>
      <c r="Q464" s="7">
        <v>4.0</v>
      </c>
      <c r="R464" s="7">
        <v>252.0</v>
      </c>
      <c r="S464" s="7">
        <v>0.0</v>
      </c>
      <c r="T464" s="7">
        <v>0.0</v>
      </c>
      <c r="U464" s="7">
        <v>0.0</v>
      </c>
      <c r="V464" s="7">
        <v>252.0</v>
      </c>
      <c r="W464" s="7">
        <f>VLOOKUP($D464,NatureChart,2,0)</f>
        <v>1</v>
      </c>
      <c r="X464" s="7">
        <f>VLOOKUP($D464,NatureChart,3,0)</f>
        <v>1</v>
      </c>
      <c r="Y464" s="7">
        <f>VLOOKUP($D464,NatureChart,4,0)</f>
        <v>0.9</v>
      </c>
      <c r="Z464" s="7">
        <f>VLOOKUP($D464,NatureChart,5,0)</f>
        <v>1</v>
      </c>
      <c r="AA464" s="84">
        <f>VLOOKUP($D464,NatureChart,6,0)</f>
        <v>1.1</v>
      </c>
      <c r="AB464" s="84">
        <f>IF($C464="Shedinja",1,(INT((2*VLOOKUP($C464,DexData,5,0)+INT(Q464/4)+K464)/2)+60))</f>
        <v>136</v>
      </c>
      <c r="AC464" s="84">
        <f>INT(INT((INT((2*VLOOKUP($C464,DexData,6,0)+INT(R464/4)+L464)/2)+5)*W464)*IF($E464="Choice Band",1.5,IF(OR($E464="Mawilite",$E464="Medichamite",$E464="Thick Club"),2,1)))</f>
        <v>182</v>
      </c>
      <c r="AD464" s="84">
        <f>INT(INT((INT((2*VLOOKUP($C464,DexData,7,0)+INT(S464/4)+M464)/2)+5)*X464)*IF($E464="Eviolite",1.5,1))</f>
        <v>100</v>
      </c>
      <c r="AE464" s="84">
        <f>INT(INT((INT((2*VLOOKUP($C464,DexData,9,0)+INT(T464/4)+N464)/2)+5)*Y464)*IF($E464="Choice Specs",1.5,1))</f>
        <v>58</v>
      </c>
      <c r="AF464" s="84">
        <f>INT(INT((INT((2*VLOOKUP($C464,DexData,10,0)+INT(U464/4)+O464)/2)+5)*Z464)*IF(OR($E464="Eviolite",$E464="Assault Vest"),1.5,1))</f>
        <v>80</v>
      </c>
      <c r="AG464" s="84">
        <f>INT(INT((INT((2*VLOOKUP($C464,DexData,11,0)+INT(V464/4)+P464)/2)+5)*AA464)*IF($E464="Choice Scarf",1.5,IF($E464="Iron Ball",0.5,1)))</f>
        <v>134</v>
      </c>
      <c r="AH464" s="84" t="str">
        <f>VLOOKUP(VLOOKUP($C464,DexData,3,0),Aliases!D$2:E$19,2,0)&amp;IFERROR("/"&amp;VLOOKUP(VLOOKUP($C464,DexData,4,0),Aliases!D$2:E$19,2,0),"")</f>
        <v>GRS/FTG</v>
      </c>
      <c r="AI464" s="7">
        <v>3.0</v>
      </c>
      <c r="AJ464" s="7">
        <f>IF(VLOOKUP(B464,'Set Odds'!A$2:AN$1067,40,0),1,IF(VLOOKUP(B464,'Set Odds'!A$2:AO$1067,41,0),2,0))</f>
        <v>1</v>
      </c>
      <c r="AK464" s="7"/>
      <c r="AL464" s="7" t="str">
        <f t="shared" si="1"/>
        <v/>
      </c>
    </row>
    <row r="465" ht="12.75" customHeight="1">
      <c r="A465" s="86">
        <v>464.0</v>
      </c>
      <c r="B465" s="84" t="s">
        <v>3979</v>
      </c>
      <c r="C465" s="7" t="s">
        <v>3655</v>
      </c>
      <c r="D465" s="7" t="s">
        <v>2629</v>
      </c>
      <c r="E465" s="7" t="s">
        <v>2636</v>
      </c>
      <c r="F465" s="84" t="s">
        <v>3057</v>
      </c>
      <c r="G465" s="84" t="s">
        <v>3039</v>
      </c>
      <c r="H465" s="84" t="s">
        <v>2798</v>
      </c>
      <c r="I465" s="84" t="s">
        <v>3387</v>
      </c>
      <c r="J465" s="7" t="s">
        <v>2728</v>
      </c>
      <c r="K465" s="7">
        <v>31.0</v>
      </c>
      <c r="L465" s="7">
        <v>31.0</v>
      </c>
      <c r="M465" s="7">
        <v>31.0</v>
      </c>
      <c r="N465" s="7">
        <v>31.0</v>
      </c>
      <c r="O465" s="7">
        <v>31.0</v>
      </c>
      <c r="P465" s="7">
        <v>0.0</v>
      </c>
      <c r="Q465" s="7">
        <v>252.0</v>
      </c>
      <c r="R465" s="7">
        <v>252.0</v>
      </c>
      <c r="S465" s="7">
        <v>4.0</v>
      </c>
      <c r="T465" s="7">
        <v>0.0</v>
      </c>
      <c r="U465" s="7">
        <v>0.0</v>
      </c>
      <c r="V465" s="7">
        <v>0.0</v>
      </c>
      <c r="W465" s="7">
        <f>VLOOKUP($D465,NatureChart,2,0)</f>
        <v>1.1</v>
      </c>
      <c r="X465" s="7">
        <f>VLOOKUP($D465,NatureChart,3,0)</f>
        <v>1</v>
      </c>
      <c r="Y465" s="7">
        <f>VLOOKUP($D465,NatureChart,4,0)</f>
        <v>1</v>
      </c>
      <c r="Z465" s="7">
        <f>VLOOKUP($D465,NatureChart,5,0)</f>
        <v>1</v>
      </c>
      <c r="AA465" s="84">
        <f>VLOOKUP($D465,NatureChart,6,0)</f>
        <v>0.9</v>
      </c>
      <c r="AB465" s="84">
        <f>IF($C465="Shedinja",1,(INT((2*VLOOKUP($C465,DexData,5,0)+INT(Q465/4)+K465)/2)+60))</f>
        <v>182</v>
      </c>
      <c r="AC465" s="84">
        <f>INT(INT((INT((2*VLOOKUP($C465,DexData,6,0)+INT(R465/4)+L465)/2)+5)*W465)*IF($E465="Choice Band",1.5,IF(OR($E465="Mawilite",$E465="Medichamite",$E465="Thick Club"),2,1)))</f>
        <v>156</v>
      </c>
      <c r="AD465" s="84">
        <f>INT(INT((INT((2*VLOOKUP($C465,DexData,7,0)+INT(S465/4)+M465)/2)+5)*X465)*IF($E465="Eviolite",1.5,1))</f>
        <v>161</v>
      </c>
      <c r="AE465" s="84">
        <f>INT(INT((INT((2*VLOOKUP($C465,DexData,9,0)+INT(T465/4)+N465)/2)+5)*Y465)*IF($E465="Choice Specs",1.5,1))</f>
        <v>80</v>
      </c>
      <c r="AF465" s="84">
        <f>INT(INT((INT((2*VLOOKUP($C465,DexData,10,0)+INT(U465/4)+O465)/2)+5)*Z465)*IF(OR($E465="Eviolite",$E465="Assault Vest"),1.5,1))</f>
        <v>80</v>
      </c>
      <c r="AG465" s="84">
        <f>INT(INT((INT((2*VLOOKUP($C465,DexData,11,0)+INT(V465/4)+P465)/2)+5)*AA465)*IF($E465="Choice Scarf",1.5,IF($E465="Iron Ball",0.5,1)))</f>
        <v>40</v>
      </c>
      <c r="AH465" s="84" t="str">
        <f>VLOOKUP(VLOOKUP($C465,DexData,3,0),Aliases!D$2:E$19,2,0)&amp;IFERROR("/"&amp;VLOOKUP(VLOOKUP($C465,DexData,4,0),Aliases!D$2:E$19,2,0),"")</f>
        <v>BUG/STL</v>
      </c>
      <c r="AI465" s="7">
        <v>3.0</v>
      </c>
      <c r="AJ465" s="7">
        <f>IF(VLOOKUP(B465,'Set Odds'!A$2:AN$1067,40,0),1,IF(VLOOKUP(B465,'Set Odds'!A$2:AO$1067,41,0),2,0))</f>
        <v>1</v>
      </c>
      <c r="AK465" s="7"/>
      <c r="AL465" s="7" t="str">
        <f t="shared" si="1"/>
        <v/>
      </c>
    </row>
    <row r="466" ht="12.75" customHeight="1">
      <c r="A466" s="86">
        <v>465.0</v>
      </c>
      <c r="B466" s="84" t="s">
        <v>3980</v>
      </c>
      <c r="C466" s="7" t="s">
        <v>3657</v>
      </c>
      <c r="D466" s="7" t="s">
        <v>2692</v>
      </c>
      <c r="E466" s="7" t="s">
        <v>2630</v>
      </c>
      <c r="F466" s="84" t="s">
        <v>3447</v>
      </c>
      <c r="G466" s="84" t="s">
        <v>2962</v>
      </c>
      <c r="H466" s="84" t="s">
        <v>2532</v>
      </c>
      <c r="I466" s="84" t="s">
        <v>2620</v>
      </c>
      <c r="J466" s="7" t="s">
        <v>2728</v>
      </c>
      <c r="K466" s="7">
        <v>31.0</v>
      </c>
      <c r="L466" s="7">
        <v>31.0</v>
      </c>
      <c r="M466" s="7">
        <v>31.0</v>
      </c>
      <c r="N466" s="7">
        <v>0.0</v>
      </c>
      <c r="O466" s="7">
        <v>31.0</v>
      </c>
      <c r="P466" s="7">
        <v>31.0</v>
      </c>
      <c r="Q466" s="7">
        <v>4.0</v>
      </c>
      <c r="R466" s="7">
        <v>252.0</v>
      </c>
      <c r="S466" s="7">
        <v>0.0</v>
      </c>
      <c r="T466" s="7">
        <v>0.0</v>
      </c>
      <c r="U466" s="7">
        <v>0.0</v>
      </c>
      <c r="V466" s="7">
        <v>252.0</v>
      </c>
      <c r="W466" s="7">
        <f>VLOOKUP($D466,NatureChart,2,0)</f>
        <v>1</v>
      </c>
      <c r="X466" s="7">
        <f>VLOOKUP($D466,NatureChart,3,0)</f>
        <v>1</v>
      </c>
      <c r="Y466" s="7">
        <f>VLOOKUP($D466,NatureChart,4,0)</f>
        <v>0.9</v>
      </c>
      <c r="Z466" s="7">
        <f>VLOOKUP($D466,NatureChart,5,0)</f>
        <v>1</v>
      </c>
      <c r="AA466" s="84">
        <f>VLOOKUP($D466,NatureChart,6,0)</f>
        <v>1.1</v>
      </c>
      <c r="AB466" s="84">
        <f>IF($C466="Shedinja",1,(INT((2*VLOOKUP($C466,DexData,5,0)+INT(Q466/4)+K466)/2)+60))</f>
        <v>141</v>
      </c>
      <c r="AC466" s="84">
        <f>INT(INT((INT((2*VLOOKUP($C466,DexData,6,0)+INT(R466/4)+L466)/2)+5)*W466)*IF($E466="Choice Band",1.5,IF(OR($E466="Mawilite",$E466="Medichamite",$E466="Thick Club"),2,1)))</f>
        <v>132</v>
      </c>
      <c r="AD466" s="84">
        <f>INT(INT((INT((2*VLOOKUP($C466,DexData,7,0)+INT(S466/4)+M466)/2)+5)*X466)*IF($E466="Eviolite",1.5,1))</f>
        <v>160</v>
      </c>
      <c r="AE466" s="84">
        <f>INT(INT((INT((2*VLOOKUP($C466,DexData,9,0)+INT(T466/4)+N466)/2)+5)*Y466)*IF($E466="Choice Specs",1.5,1))</f>
        <v>40</v>
      </c>
      <c r="AF466" s="84">
        <f>INT(INT((INT((2*VLOOKUP($C466,DexData,10,0)+INT(U466/4)+O466)/2)+5)*Z466)*IF(OR($E466="Eviolite",$E466="Assault Vest"),1.5,1))</f>
        <v>90</v>
      </c>
      <c r="AG466" s="84">
        <f>INT(INT((INT((2*VLOOKUP($C466,DexData,11,0)+INT(V466/4)+P466)/2)+5)*AA466)*IF($E466="Choice Scarf",1.5,IF($E466="Iron Ball",0.5,1)))</f>
        <v>134</v>
      </c>
      <c r="AH466" s="84" t="str">
        <f>VLOOKUP(VLOOKUP($C466,DexData,3,0),Aliases!D$2:E$19,2,0)&amp;IFERROR("/"&amp;VLOOKUP(VLOOKUP($C466,DexData,4,0),Aliases!D$2:E$19,2,0),"")</f>
        <v>STL/FLY</v>
      </c>
      <c r="AI466" s="7">
        <v>3.0</v>
      </c>
      <c r="AJ466" s="7">
        <f>IF(VLOOKUP(B466,'Set Odds'!A$2:AN$1067,40,0),1,IF(VLOOKUP(B466,'Set Odds'!A$2:AO$1067,41,0),2,0))</f>
        <v>1</v>
      </c>
      <c r="AK466" s="7"/>
      <c r="AL466" s="7" t="str">
        <f t="shared" si="1"/>
        <v/>
      </c>
    </row>
    <row r="467" ht="12.75" customHeight="1">
      <c r="A467" s="86">
        <v>466.0</v>
      </c>
      <c r="B467" s="84" t="s">
        <v>3981</v>
      </c>
      <c r="C467" s="7" t="s">
        <v>3659</v>
      </c>
      <c r="D467" s="7" t="s">
        <v>2571</v>
      </c>
      <c r="E467" s="7" t="s">
        <v>2515</v>
      </c>
      <c r="F467" s="84" t="s">
        <v>2534</v>
      </c>
      <c r="G467" s="84" t="s">
        <v>3578</v>
      </c>
      <c r="H467" s="84" t="s">
        <v>3554</v>
      </c>
      <c r="I467" s="84" t="s">
        <v>2537</v>
      </c>
      <c r="J467" s="7" t="s">
        <v>3499</v>
      </c>
      <c r="K467" s="7">
        <v>31.0</v>
      </c>
      <c r="L467" s="7">
        <v>31.0</v>
      </c>
      <c r="M467" s="7">
        <v>31.0</v>
      </c>
      <c r="N467" s="7">
        <v>0.0</v>
      </c>
      <c r="O467" s="7">
        <v>31.0</v>
      </c>
      <c r="P467" s="7">
        <v>31.0</v>
      </c>
      <c r="Q467" s="7">
        <v>4.0</v>
      </c>
      <c r="R467" s="7">
        <v>252.0</v>
      </c>
      <c r="S467" s="7">
        <v>0.0</v>
      </c>
      <c r="T467" s="7">
        <v>0.0</v>
      </c>
      <c r="U467" s="7">
        <v>0.0</v>
      </c>
      <c r="V467" s="7">
        <v>252.0</v>
      </c>
      <c r="W467" s="7">
        <f>VLOOKUP($D467,NatureChart,2,0)</f>
        <v>1.1</v>
      </c>
      <c r="X467" s="7">
        <f>VLOOKUP($D467,NatureChart,3,0)</f>
        <v>1</v>
      </c>
      <c r="Y467" s="7">
        <f>VLOOKUP($D467,NatureChart,4,0)</f>
        <v>0.9</v>
      </c>
      <c r="Z467" s="7">
        <f>VLOOKUP($D467,NatureChart,5,0)</f>
        <v>1</v>
      </c>
      <c r="AA467" s="84">
        <f>VLOOKUP($D467,NatureChart,6,0)</f>
        <v>1</v>
      </c>
      <c r="AB467" s="84">
        <f>IF($C467="Shedinja",1,(INT((2*VLOOKUP($C467,DexData,5,0)+INT(Q467/4)+K467)/2)+60))</f>
        <v>141</v>
      </c>
      <c r="AC467" s="84">
        <f>INT(INT((INT((2*VLOOKUP($C467,DexData,6,0)+INT(R467/4)+L467)/2)+5)*W467)*IF($E467="Choice Band",1.5,IF(OR($E467="Mawilite",$E467="Medichamite",$E467="Thick Club"),2,1)))</f>
        <v>200</v>
      </c>
      <c r="AD467" s="84">
        <f>INT(INT((INT((2*VLOOKUP($C467,DexData,7,0)+INT(S467/4)+M467)/2)+5)*X467)*IF($E467="Eviolite",1.5,1))</f>
        <v>80</v>
      </c>
      <c r="AE467" s="84">
        <f>INT(INT((INT((2*VLOOKUP($C467,DexData,9,0)+INT(T467/4)+N467)/2)+5)*Y467)*IF($E467="Choice Specs",1.5,1))</f>
        <v>72</v>
      </c>
      <c r="AF467" s="84">
        <f>INT(INT((INT((2*VLOOKUP($C467,DexData,10,0)+INT(U467/4)+O467)/2)+5)*Z467)*IF(OR($E467="Eviolite",$E467="Assault Vest"),1.5,1))</f>
        <v>80</v>
      </c>
      <c r="AG467" s="84">
        <f>INT(INT((INT((2*VLOOKUP($C467,DexData,11,0)+INT(V467/4)+P467)/2)+5)*AA467)*IF($E467="Choice Scarf",1.5,IF($E467="Iron Ball",0.5,1)))</f>
        <v>127</v>
      </c>
      <c r="AH467" s="84" t="str">
        <f>VLOOKUP(VLOOKUP($C467,DexData,3,0),Aliases!D$2:E$19,2,0)&amp;IFERROR("/"&amp;VLOOKUP(VLOOKUP($C467,DexData,4,0),Aliases!D$2:E$19,2,0),"")</f>
        <v>DRK</v>
      </c>
      <c r="AI467" s="7">
        <v>3.0</v>
      </c>
      <c r="AJ467" s="7">
        <f>IF(VLOOKUP(B467,'Set Odds'!A$2:AN$1067,40,0),1,IF(VLOOKUP(B467,'Set Odds'!A$2:AO$1067,41,0),2,0))</f>
        <v>1</v>
      </c>
      <c r="AK467" s="7"/>
      <c r="AL467" s="7" t="str">
        <f t="shared" si="1"/>
        <v/>
      </c>
    </row>
    <row r="468" ht="12.75" customHeight="1">
      <c r="A468" s="86">
        <v>467.0</v>
      </c>
      <c r="B468" s="84" t="s">
        <v>3982</v>
      </c>
      <c r="C468" s="7" t="s">
        <v>3661</v>
      </c>
      <c r="D468" s="7" t="s">
        <v>3105</v>
      </c>
      <c r="E468" s="7" t="s">
        <v>3003</v>
      </c>
      <c r="F468" s="84" t="s">
        <v>2514</v>
      </c>
      <c r="G468" s="84" t="s">
        <v>3569</v>
      </c>
      <c r="H468" s="84" t="s">
        <v>2693</v>
      </c>
      <c r="I468" s="84" t="s">
        <v>2841</v>
      </c>
      <c r="J468" s="7" t="s">
        <v>2824</v>
      </c>
      <c r="K468" s="7">
        <v>31.0</v>
      </c>
      <c r="L468" s="7">
        <v>31.0</v>
      </c>
      <c r="M468" s="7">
        <v>31.0</v>
      </c>
      <c r="N468" s="7">
        <v>31.0</v>
      </c>
      <c r="O468" s="7">
        <v>31.0</v>
      </c>
      <c r="P468" s="7">
        <v>31.0</v>
      </c>
      <c r="Q468" s="7">
        <v>252.0</v>
      </c>
      <c r="R468" s="7">
        <v>0.0</v>
      </c>
      <c r="S468" s="7">
        <v>4.0</v>
      </c>
      <c r="T468" s="7">
        <v>0.0</v>
      </c>
      <c r="U468" s="7">
        <v>252.0</v>
      </c>
      <c r="V468" s="7">
        <v>0.0</v>
      </c>
      <c r="W468" s="7">
        <f>VLOOKUP($D468,NatureChart,2,0)</f>
        <v>1</v>
      </c>
      <c r="X468" s="7">
        <f>VLOOKUP($D468,NatureChart,3,0)</f>
        <v>1</v>
      </c>
      <c r="Y468" s="7">
        <f>VLOOKUP($D468,NatureChart,4,0)</f>
        <v>1</v>
      </c>
      <c r="Z468" s="7">
        <f>VLOOKUP($D468,NatureChart,5,0)</f>
        <v>1.1</v>
      </c>
      <c r="AA468" s="84">
        <f>VLOOKUP($D468,NatureChart,6,0)</f>
        <v>0.9</v>
      </c>
      <c r="AB468" s="84">
        <f>IF($C468="Shedinja",1,(INT((2*VLOOKUP($C468,DexData,5,0)+INT(Q468/4)+K468)/2)+60))</f>
        <v>217</v>
      </c>
      <c r="AC468" s="84">
        <f>INT(INT((INT((2*VLOOKUP($C468,DexData,6,0)+INT(R468/4)+L468)/2)+5)*W468)*IF($E468="Choice Band",1.5,IF(OR($E468="Mawilite",$E468="Medichamite",$E468="Thick Club"),2,1)))</f>
        <v>98</v>
      </c>
      <c r="AD468" s="84">
        <f>INT(INT((INT((2*VLOOKUP($C468,DexData,7,0)+INT(S468/4)+M468)/2)+5)*X468)*IF($E468="Eviolite",1.5,1))</f>
        <v>94</v>
      </c>
      <c r="AE468" s="84">
        <f>INT(INT((INT((2*VLOOKUP($C468,DexData,9,0)+INT(T468/4)+N468)/2)+5)*Y468)*IF($E468="Choice Specs",1.5,1))</f>
        <v>96</v>
      </c>
      <c r="AF468" s="84">
        <f>INT(INT((INT((2*VLOOKUP($C468,DexData,10,0)+INT(U468/4)+O468)/2)+5)*Z468)*IF(OR($E468="Eviolite",$E468="Assault Vest"),1.5,1))</f>
        <v>135</v>
      </c>
      <c r="AG468" s="84">
        <f>INT(INT((INT((2*VLOOKUP($C468,DexData,11,0)+INT(V468/4)+P468)/2)+5)*AA468)*IF($E468="Choice Scarf",1.5,IF($E468="Iron Ball",0.5,1)))</f>
        <v>72</v>
      </c>
      <c r="AH468" s="84" t="str">
        <f>VLOOKUP(VLOOKUP($C468,DexData,3,0),Aliases!D$2:E$19,2,0)&amp;IFERROR("/"&amp;VLOOKUP(VLOOKUP($C468,DexData,4,0),Aliases!D$2:E$19,2,0),"")</f>
        <v>WTR/GRD</v>
      </c>
      <c r="AI468" s="7">
        <v>3.0</v>
      </c>
      <c r="AJ468" s="7">
        <f>IF(VLOOKUP(B468,'Set Odds'!A$2:AN$1067,40,0),1,IF(VLOOKUP(B468,'Set Odds'!A$2:AO$1067,41,0),2,0))</f>
        <v>1</v>
      </c>
      <c r="AK468" s="7"/>
      <c r="AL468" s="7" t="str">
        <f t="shared" si="1"/>
        <v/>
      </c>
    </row>
    <row r="469" ht="12.75" customHeight="1">
      <c r="A469" s="86">
        <v>468.0</v>
      </c>
      <c r="B469" s="84" t="s">
        <v>3983</v>
      </c>
      <c r="C469" s="7" t="s">
        <v>3664</v>
      </c>
      <c r="D469" s="7" t="s">
        <v>2648</v>
      </c>
      <c r="E469" s="7" t="s">
        <v>2516</v>
      </c>
      <c r="F469" s="84" t="s">
        <v>3844</v>
      </c>
      <c r="G469" s="84" t="s">
        <v>2581</v>
      </c>
      <c r="H469" s="84" t="s">
        <v>3454</v>
      </c>
      <c r="I469" s="84" t="s">
        <v>3441</v>
      </c>
      <c r="J469" s="7" t="s">
        <v>2968</v>
      </c>
      <c r="K469" s="7">
        <v>31.0</v>
      </c>
      <c r="L469" s="7">
        <v>31.0</v>
      </c>
      <c r="M469" s="7">
        <v>31.0</v>
      </c>
      <c r="N469" s="7">
        <v>0.0</v>
      </c>
      <c r="O469" s="7">
        <v>31.0</v>
      </c>
      <c r="P469" s="7">
        <v>31.0</v>
      </c>
      <c r="Q469" s="7">
        <v>252.0</v>
      </c>
      <c r="R469" s="7">
        <v>0.0</v>
      </c>
      <c r="S469" s="7">
        <v>252.0</v>
      </c>
      <c r="T469" s="7">
        <v>0.0</v>
      </c>
      <c r="U469" s="7">
        <v>4.0</v>
      </c>
      <c r="V469" s="7">
        <v>0.0</v>
      </c>
      <c r="W469" s="7">
        <f>VLOOKUP($D469,NatureChart,2,0)</f>
        <v>1</v>
      </c>
      <c r="X469" s="7">
        <f>VLOOKUP($D469,NatureChart,3,0)</f>
        <v>1.1</v>
      </c>
      <c r="Y469" s="7">
        <f>VLOOKUP($D469,NatureChart,4,0)</f>
        <v>0.9</v>
      </c>
      <c r="Z469" s="7">
        <f>VLOOKUP($D469,NatureChart,5,0)</f>
        <v>1</v>
      </c>
      <c r="AA469" s="84">
        <f>VLOOKUP($D469,NatureChart,6,0)</f>
        <v>1</v>
      </c>
      <c r="AB469" s="84">
        <f>IF($C469="Shedinja",1,(INT((2*VLOOKUP($C469,DexData,5,0)+INT(Q469/4)+K469)/2)+60))</f>
        <v>251</v>
      </c>
      <c r="AC469" s="84">
        <f>INT(INT((INT((2*VLOOKUP($C469,DexData,6,0)+INT(R469/4)+L469)/2)+5)*W469)*IF($E469="Choice Band",1.5,IF(OR($E469="Mawilite",$E469="Medichamite",$E469="Thick Club"),2,1)))</f>
        <v>140</v>
      </c>
      <c r="AD469" s="84">
        <f>INT(INT((INT((2*VLOOKUP($C469,DexData,7,0)+INT(S469/4)+M469)/2)+5)*X469)*IF($E469="Eviolite",1.5,1))</f>
        <v>123</v>
      </c>
      <c r="AE469" s="84">
        <f>INT(INT((INT((2*VLOOKUP($C469,DexData,9,0)+INT(T469/4)+N469)/2)+5)*Y469)*IF($E469="Choice Specs",1.5,1))</f>
        <v>40</v>
      </c>
      <c r="AF469" s="84">
        <f>INT(INT((INT((2*VLOOKUP($C469,DexData,10,0)+INT(U469/4)+O469)/2)+5)*Z469)*IF(OR($E469="Eviolite",$E469="Assault Vest"),1.5,1))</f>
        <v>81</v>
      </c>
      <c r="AG469" s="84">
        <f>INT(INT((INT((2*VLOOKUP($C469,DexData,11,0)+INT(V469/4)+P469)/2)+5)*AA469)*IF($E469="Choice Scarf",1.5,IF($E469="Iron Ball",0.5,1)))</f>
        <v>70</v>
      </c>
      <c r="AH469" s="84" t="str">
        <f>VLOOKUP(VLOOKUP($C469,DexData,3,0),Aliases!D$2:E$19,2,0)&amp;IFERROR("/"&amp;VLOOKUP(VLOOKUP($C469,DexData,4,0),Aliases!D$2:E$19,2,0),"")</f>
        <v>FTG</v>
      </c>
      <c r="AI469" s="7">
        <v>3.0</v>
      </c>
      <c r="AJ469" s="7">
        <f>IF(VLOOKUP(B469,'Set Odds'!A$2:AN$1067,40,0),1,IF(VLOOKUP(B469,'Set Odds'!A$2:AO$1067,41,0),2,0))</f>
        <v>1</v>
      </c>
      <c r="AK469" s="7"/>
      <c r="AL469" s="7" t="str">
        <f t="shared" si="1"/>
        <v/>
      </c>
    </row>
    <row r="470" ht="12.75" customHeight="1">
      <c r="A470" s="86">
        <v>469.0</v>
      </c>
      <c r="B470" s="84" t="s">
        <v>3984</v>
      </c>
      <c r="C470" s="7" t="s">
        <v>3666</v>
      </c>
      <c r="D470" s="7" t="s">
        <v>2723</v>
      </c>
      <c r="E470" s="7" t="s">
        <v>2685</v>
      </c>
      <c r="F470" s="84" t="s">
        <v>2532</v>
      </c>
      <c r="G470" s="84" t="s">
        <v>3668</v>
      </c>
      <c r="H470" s="84" t="s">
        <v>3448</v>
      </c>
      <c r="I470" s="84" t="s">
        <v>2855</v>
      </c>
      <c r="J470" s="7" t="s">
        <v>3499</v>
      </c>
      <c r="K470" s="7">
        <v>31.0</v>
      </c>
      <c r="L470" s="7">
        <v>0.0</v>
      </c>
      <c r="M470" s="7">
        <v>31.0</v>
      </c>
      <c r="N470" s="7">
        <v>31.0</v>
      </c>
      <c r="O470" s="7">
        <v>31.0</v>
      </c>
      <c r="P470" s="7">
        <v>31.0</v>
      </c>
      <c r="Q470" s="7">
        <v>252.0</v>
      </c>
      <c r="R470" s="7">
        <v>0.0</v>
      </c>
      <c r="S470" s="7">
        <v>0.0</v>
      </c>
      <c r="T470" s="7">
        <v>0.0</v>
      </c>
      <c r="U470" s="7">
        <v>252.0</v>
      </c>
      <c r="V470" s="7">
        <v>4.0</v>
      </c>
      <c r="W470" s="7">
        <f>VLOOKUP($D470,NatureChart,2,0)</f>
        <v>1</v>
      </c>
      <c r="X470" s="7">
        <f>VLOOKUP($D470,NatureChart,3,0)</f>
        <v>1</v>
      </c>
      <c r="Y470" s="7">
        <f>VLOOKUP($D470,NatureChart,4,0)</f>
        <v>0.9</v>
      </c>
      <c r="Z470" s="7">
        <f>VLOOKUP($D470,NatureChart,5,0)</f>
        <v>1.1</v>
      </c>
      <c r="AA470" s="84">
        <f>VLOOKUP($D470,NatureChart,6,0)</f>
        <v>1</v>
      </c>
      <c r="AB470" s="84">
        <f>IF($C470="Shedinja",1,(INT((2*VLOOKUP($C470,DexData,5,0)+INT(Q470/4)+K470)/2)+60))</f>
        <v>177</v>
      </c>
      <c r="AC470" s="84">
        <f>INT(INT((INT((2*VLOOKUP($C470,DexData,6,0)+INT(R470/4)+L470)/2)+5)*W470)*IF($E470="Choice Band",1.5,IF(OR($E470="Mawilite",$E470="Medichamite",$E470="Thick Club"),2,1)))</f>
        <v>85</v>
      </c>
      <c r="AD470" s="84">
        <f>INT(INT((INT((2*VLOOKUP($C470,DexData,7,0)+INT(S470/4)+M470)/2)+5)*X470)*IF($E470="Eviolite",1.5,1))</f>
        <v>122</v>
      </c>
      <c r="AE470" s="84">
        <f>INT(INT((INT((2*VLOOKUP($C470,DexData,9,0)+INT(T470/4)+N470)/2)+5)*Y470)*IF($E470="Choice Specs",1.5,1))</f>
        <v>90</v>
      </c>
      <c r="AF470" s="84">
        <f>INT(INT((INT((2*VLOOKUP($C470,DexData,10,0)+INT(U470/4)+O470)/2)+5)*Z470)*IF(OR($E470="Eviolite",$E470="Assault Vest"),1.5,1))</f>
        <v>169</v>
      </c>
      <c r="AG470" s="84">
        <f>INT(INT((INT((2*VLOOKUP($C470,DexData,11,0)+INT(V470/4)+P470)/2)+5)*AA470)*IF($E470="Choice Scarf",1.5,IF($E470="Iron Ball",0.5,1)))</f>
        <v>61</v>
      </c>
      <c r="AH470" s="84" t="str">
        <f>VLOOKUP(VLOOKUP($C470,DexData,3,0),Aliases!D$2:E$19,2,0)&amp;IFERROR("/"&amp;VLOOKUP(VLOOKUP($C470,DexData,4,0),Aliases!D$2:E$19,2,0),"")</f>
        <v>BUG/FLY</v>
      </c>
      <c r="AI470" s="7">
        <v>3.0</v>
      </c>
      <c r="AJ470" s="7">
        <f>IF(VLOOKUP(B470,'Set Odds'!A$2:AN$1067,40,0),1,IF(VLOOKUP(B470,'Set Odds'!A$2:AO$1067,41,0),2,0))</f>
        <v>1</v>
      </c>
      <c r="AK470" s="7"/>
      <c r="AL470" s="7" t="str">
        <f t="shared" si="1"/>
        <v/>
      </c>
    </row>
    <row r="471" ht="12.75" customHeight="1">
      <c r="A471" s="86">
        <v>470.0</v>
      </c>
      <c r="B471" s="84" t="s">
        <v>3985</v>
      </c>
      <c r="C471" s="7" t="s">
        <v>3670</v>
      </c>
      <c r="D471" s="7" t="s">
        <v>2692</v>
      </c>
      <c r="E471" s="7" t="s">
        <v>2520</v>
      </c>
      <c r="F471" s="84" t="s">
        <v>3135</v>
      </c>
      <c r="G471" s="84" t="s">
        <v>3313</v>
      </c>
      <c r="H471" s="84" t="s">
        <v>2581</v>
      </c>
      <c r="I471" s="84" t="s">
        <v>2532</v>
      </c>
      <c r="J471" s="7" t="s">
        <v>2747</v>
      </c>
      <c r="K471" s="7">
        <v>31.0</v>
      </c>
      <c r="L471" s="7">
        <v>31.0</v>
      </c>
      <c r="M471" s="7">
        <v>31.0</v>
      </c>
      <c r="N471" s="7">
        <v>0.0</v>
      </c>
      <c r="O471" s="7">
        <v>31.0</v>
      </c>
      <c r="P471" s="7">
        <v>31.0</v>
      </c>
      <c r="Q471" s="7">
        <v>4.0</v>
      </c>
      <c r="R471" s="7">
        <v>252.0</v>
      </c>
      <c r="S471" s="7">
        <v>0.0</v>
      </c>
      <c r="T471" s="7">
        <v>0.0</v>
      </c>
      <c r="U471" s="7">
        <v>0.0</v>
      </c>
      <c r="V471" s="7">
        <v>252.0</v>
      </c>
      <c r="W471" s="7">
        <f>VLOOKUP($D471,NatureChart,2,0)</f>
        <v>1</v>
      </c>
      <c r="X471" s="7">
        <f>VLOOKUP($D471,NatureChart,3,0)</f>
        <v>1</v>
      </c>
      <c r="Y471" s="7">
        <f>VLOOKUP($D471,NatureChart,4,0)</f>
        <v>0.9</v>
      </c>
      <c r="Z471" s="7">
        <f>VLOOKUP($D471,NatureChart,5,0)</f>
        <v>1</v>
      </c>
      <c r="AA471" s="84">
        <f>VLOOKUP($D471,NatureChart,6,0)</f>
        <v>1.1</v>
      </c>
      <c r="AB471" s="84">
        <f>IF($C471="Shedinja",1,(INT((2*VLOOKUP($C471,DexData,5,0)+INT(Q471/4)+K471)/2)+60))</f>
        <v>136</v>
      </c>
      <c r="AC471" s="84">
        <f>INT(INT((INT((2*VLOOKUP($C471,DexData,6,0)+INT(R471/4)+L471)/2)+5)*W471)*IF($E471="Choice Band",1.5,IF(OR($E471="Mawilite",$E471="Medichamite",$E471="Thick Club"),2,1)))</f>
        <v>142</v>
      </c>
      <c r="AD471" s="84">
        <f>INT(INT((INT((2*VLOOKUP($C471,DexData,7,0)+INT(S471/4)+M471)/2)+5)*X471)*IF($E471="Eviolite",1.5,1))</f>
        <v>75</v>
      </c>
      <c r="AE471" s="84">
        <f>INT(INT((INT((2*VLOOKUP($C471,DexData,9,0)+INT(T471/4)+N471)/2)+5)*Y471)*IF($E471="Choice Specs",1.5,1))</f>
        <v>85</v>
      </c>
      <c r="AF471" s="84">
        <f>INT(INT((INT((2*VLOOKUP($C471,DexData,10,0)+INT(U471/4)+O471)/2)+5)*Z471)*IF(OR($E471="Eviolite",$E471="Assault Vest"),1.5,1))</f>
        <v>100</v>
      </c>
      <c r="AG471" s="84">
        <f>INT(INT((INT((2*VLOOKUP($C471,DexData,11,0)+INT(V471/4)+P471)/2)+5)*AA471)*IF($E471="Choice Scarf",1.5,IF($E471="Iron Ball",0.5,1)))</f>
        <v>178</v>
      </c>
      <c r="AH471" s="84" t="str">
        <f>VLOOKUP(VLOOKUP($C471,DexData,3,0),Aliases!D$2:E$19,2,0)&amp;IFERROR("/"&amp;VLOOKUP(VLOOKUP($C471,DexData,4,0),Aliases!D$2:E$19,2,0),"")</f>
        <v>ELC</v>
      </c>
      <c r="AI471" s="7">
        <v>3.0</v>
      </c>
      <c r="AJ471" s="7">
        <f>IF(VLOOKUP(B471,'Set Odds'!A$2:AN$1067,40,0),1,IF(VLOOKUP(B471,'Set Odds'!A$2:AO$1067,41,0),2,0))</f>
        <v>1</v>
      </c>
      <c r="AK471" s="7"/>
      <c r="AL471" s="7" t="str">
        <f t="shared" si="1"/>
        <v/>
      </c>
    </row>
    <row r="472" ht="12.75" customHeight="1">
      <c r="A472" s="86">
        <v>471.0</v>
      </c>
      <c r="B472" s="84" t="s">
        <v>3986</v>
      </c>
      <c r="C472" s="7" t="s">
        <v>3672</v>
      </c>
      <c r="D472" s="7" t="s">
        <v>3597</v>
      </c>
      <c r="E472" s="7" t="s">
        <v>3003</v>
      </c>
      <c r="F472" s="84" t="s">
        <v>2957</v>
      </c>
      <c r="G472" s="84" t="s">
        <v>2739</v>
      </c>
      <c r="H472" s="84" t="s">
        <v>2841</v>
      </c>
      <c r="I472" s="84" t="s">
        <v>2823</v>
      </c>
      <c r="J472" s="7" t="s">
        <v>2968</v>
      </c>
      <c r="K472" s="7">
        <v>31.0</v>
      </c>
      <c r="L472" s="7">
        <v>0.0</v>
      </c>
      <c r="M472" s="7">
        <v>31.0</v>
      </c>
      <c r="N472" s="7">
        <v>31.0</v>
      </c>
      <c r="O472" s="7">
        <v>31.0</v>
      </c>
      <c r="P472" s="7">
        <v>31.0</v>
      </c>
      <c r="Q472" s="7">
        <v>252.0</v>
      </c>
      <c r="R472" s="7">
        <v>0.0</v>
      </c>
      <c r="S472" s="7">
        <v>0.0</v>
      </c>
      <c r="T472" s="7">
        <v>0.0</v>
      </c>
      <c r="U472" s="7">
        <v>252.0</v>
      </c>
      <c r="V472" s="7">
        <v>4.0</v>
      </c>
      <c r="W472" s="7">
        <f>VLOOKUP($D472,NatureChart,2,0)</f>
        <v>0.9</v>
      </c>
      <c r="X472" s="7">
        <f>VLOOKUP($D472,NatureChart,3,0)</f>
        <v>1</v>
      </c>
      <c r="Y472" s="7">
        <f>VLOOKUP($D472,NatureChart,4,0)</f>
        <v>1</v>
      </c>
      <c r="Z472" s="7">
        <f>VLOOKUP($D472,NatureChart,5,0)</f>
        <v>1.1</v>
      </c>
      <c r="AA472" s="84">
        <f>VLOOKUP($D472,NatureChart,6,0)</f>
        <v>1</v>
      </c>
      <c r="AB472" s="84">
        <f>IF($C472="Shedinja",1,(INT((2*VLOOKUP($C472,DexData,5,0)+INT(Q472/4)+K472)/2)+60))</f>
        <v>197</v>
      </c>
      <c r="AC472" s="84">
        <f>INT(INT((INT((2*VLOOKUP($C472,DexData,6,0)+INT(R472/4)+L472)/2)+5)*W472)*IF($E472="Choice Band",1.5,IF(OR($E472="Mawilite",$E472="Medichamite",$E472="Thick Club"),2,1)))</f>
        <v>67</v>
      </c>
      <c r="AD472" s="84">
        <f>INT(INT((INT((2*VLOOKUP($C472,DexData,7,0)+INT(S472/4)+M472)/2)+5)*X472)*IF($E472="Eviolite",1.5,1))</f>
        <v>100</v>
      </c>
      <c r="AE472" s="84">
        <f>INT(INT((INT((2*VLOOKUP($C472,DexData,9,0)+INT(T472/4)+N472)/2)+5)*Y472)*IF($E472="Choice Specs",1.5,1))</f>
        <v>90</v>
      </c>
      <c r="AF472" s="84">
        <f>INT(INT((INT((2*VLOOKUP($C472,DexData,10,0)+INT(U472/4)+O472)/2)+5)*Z472)*IF(OR($E472="Eviolite",$E472="Assault Vest"),1.5,1))</f>
        <v>161</v>
      </c>
      <c r="AG472" s="84">
        <f>INT(INT((INT((2*VLOOKUP($C472,DexData,11,0)+INT(V472/4)+P472)/2)+5)*AA472)*IF($E472="Choice Scarf",1.5,IF($E472="Iron Ball",0.5,1)))</f>
        <v>91</v>
      </c>
      <c r="AH472" s="84" t="str">
        <f>VLOOKUP(VLOOKUP($C472,DexData,3,0),Aliases!D$2:E$19,2,0)&amp;IFERROR("/"&amp;VLOOKUP(VLOOKUP($C472,DexData,4,0),Aliases!D$2:E$19,2,0),"")</f>
        <v>WTR/ICE</v>
      </c>
      <c r="AI472" s="7">
        <v>3.0</v>
      </c>
      <c r="AJ472" s="7">
        <f>IF(VLOOKUP(B472,'Set Odds'!A$2:AN$1067,40,0),1,IF(VLOOKUP(B472,'Set Odds'!A$2:AO$1067,41,0),2,0))</f>
        <v>1</v>
      </c>
      <c r="AK472" s="7"/>
      <c r="AL472" s="7" t="str">
        <f t="shared" si="1"/>
        <v/>
      </c>
    </row>
    <row r="473" ht="12.75" customHeight="1">
      <c r="A473" s="86">
        <v>472.0</v>
      </c>
      <c r="B473" s="84" t="s">
        <v>3987</v>
      </c>
      <c r="C473" s="7" t="s">
        <v>3674</v>
      </c>
      <c r="D473" s="7" t="s">
        <v>2635</v>
      </c>
      <c r="E473" s="7" t="s">
        <v>2618</v>
      </c>
      <c r="F473" s="84" t="s">
        <v>3435</v>
      </c>
      <c r="G473" s="84" t="s">
        <v>3617</v>
      </c>
      <c r="H473" s="84" t="s">
        <v>2694</v>
      </c>
      <c r="I473" s="84" t="s">
        <v>2763</v>
      </c>
      <c r="J473" s="7" t="s">
        <v>2747</v>
      </c>
      <c r="K473" s="7">
        <v>31.0</v>
      </c>
      <c r="L473" s="7">
        <v>0.0</v>
      </c>
      <c r="M473" s="7">
        <v>31.0</v>
      </c>
      <c r="N473" s="7">
        <v>31.0</v>
      </c>
      <c r="O473" s="7">
        <v>31.0</v>
      </c>
      <c r="P473" s="7">
        <v>31.0</v>
      </c>
      <c r="Q473" s="7">
        <v>4.0</v>
      </c>
      <c r="R473" s="7">
        <v>0.0</v>
      </c>
      <c r="S473" s="7">
        <v>0.0</v>
      </c>
      <c r="T473" s="7">
        <v>252.0</v>
      </c>
      <c r="U473" s="7">
        <v>0.0</v>
      </c>
      <c r="V473" s="7">
        <v>252.0</v>
      </c>
      <c r="W473" s="7">
        <f>VLOOKUP($D473,NatureChart,2,0)</f>
        <v>0.9</v>
      </c>
      <c r="X473" s="7">
        <f>VLOOKUP($D473,NatureChart,3,0)</f>
        <v>1</v>
      </c>
      <c r="Y473" s="7">
        <f>VLOOKUP($D473,NatureChart,4,0)</f>
        <v>1</v>
      </c>
      <c r="Z473" s="7">
        <f>VLOOKUP($D473,NatureChart,5,0)</f>
        <v>1</v>
      </c>
      <c r="AA473" s="84">
        <f>VLOOKUP($D473,NatureChart,6,0)</f>
        <v>1.1</v>
      </c>
      <c r="AB473" s="84">
        <f>IF($C473="Shedinja",1,(INT((2*VLOOKUP($C473,DexData,5,0)+INT(Q473/4)+K473)/2)+60))</f>
        <v>146</v>
      </c>
      <c r="AC473" s="84">
        <f>INT(INT((INT((2*VLOOKUP($C473,DexData,6,0)+INT(R473/4)+L473)/2)+5)*W473)*IF($E473="Choice Band",1.5,IF(OR($E473="Mawilite",$E473="Medichamite",$E473="Thick Club"),2,1)))</f>
        <v>72</v>
      </c>
      <c r="AD473" s="84">
        <f>INT(INT((INT((2*VLOOKUP($C473,DexData,7,0)+INT(S473/4)+M473)/2)+5)*X473)*IF($E473="Eviolite",1.5,1))</f>
        <v>80</v>
      </c>
      <c r="AE473" s="84">
        <f>INT(INT((INT((2*VLOOKUP($C473,DexData,9,0)+INT(T473/4)+N473)/2)+5)*Y473)*IF($E473="Choice Specs",1.5,1))</f>
        <v>157</v>
      </c>
      <c r="AF473" s="84">
        <f>INT(INT((INT((2*VLOOKUP($C473,DexData,10,0)+INT(U473/4)+O473)/2)+5)*Z473)*IF(OR($E473="Eviolite",$E473="Assault Vest"),1.5,1))</f>
        <v>80</v>
      </c>
      <c r="AG473" s="84">
        <f>INT(INT((INT((2*VLOOKUP($C473,DexData,11,0)+INT(V473/4)+P473)/2)+5)*AA473)*IF($E473="Choice Scarf",1.5,IF($E473="Iron Ball",0.5,1)))</f>
        <v>172</v>
      </c>
      <c r="AH473" s="84" t="str">
        <f>VLOOKUP(VLOOKUP($C473,DexData,3,0),Aliases!D$2:E$19,2,0)&amp;IFERROR("/"&amp;VLOOKUP(VLOOKUP($C473,DexData,4,0),Aliases!D$2:E$19,2,0),"")</f>
        <v>ELC</v>
      </c>
      <c r="AI473" s="7">
        <v>3.0</v>
      </c>
      <c r="AJ473" s="7">
        <f>IF(VLOOKUP(B473,'Set Odds'!A$2:AN$1067,40,0),1,IF(VLOOKUP(B473,'Set Odds'!A$2:AO$1067,41,0),2,0))</f>
        <v>1</v>
      </c>
      <c r="AK473" s="7"/>
      <c r="AL473" s="7" t="str">
        <f t="shared" si="1"/>
        <v/>
      </c>
    </row>
    <row r="474" ht="12.75" customHeight="1">
      <c r="A474" s="86">
        <v>473.0</v>
      </c>
      <c r="B474" s="84" t="s">
        <v>3988</v>
      </c>
      <c r="C474" s="7" t="s">
        <v>3676</v>
      </c>
      <c r="D474" s="7" t="s">
        <v>2571</v>
      </c>
      <c r="E474" s="7" t="s">
        <v>3635</v>
      </c>
      <c r="F474" s="84" t="s">
        <v>3538</v>
      </c>
      <c r="G474" s="84" t="s">
        <v>3448</v>
      </c>
      <c r="H474" s="84" t="s">
        <v>2525</v>
      </c>
      <c r="I474" s="84" t="s">
        <v>2624</v>
      </c>
      <c r="J474" s="7" t="s">
        <v>2696</v>
      </c>
      <c r="K474" s="7">
        <v>31.0</v>
      </c>
      <c r="L474" s="7">
        <v>31.0</v>
      </c>
      <c r="M474" s="7">
        <v>31.0</v>
      </c>
      <c r="N474" s="7">
        <v>0.0</v>
      </c>
      <c r="O474" s="7">
        <v>31.0</v>
      </c>
      <c r="P474" s="7">
        <v>31.0</v>
      </c>
      <c r="Q474" s="7">
        <v>4.0</v>
      </c>
      <c r="R474" s="7">
        <v>252.0</v>
      </c>
      <c r="S474" s="7">
        <v>0.0</v>
      </c>
      <c r="T474" s="7">
        <v>0.0</v>
      </c>
      <c r="U474" s="7">
        <v>0.0</v>
      </c>
      <c r="V474" s="7">
        <v>252.0</v>
      </c>
      <c r="W474" s="7">
        <f>VLOOKUP($D474,NatureChart,2,0)</f>
        <v>1.1</v>
      </c>
      <c r="X474" s="7">
        <f>VLOOKUP($D474,NatureChart,3,0)</f>
        <v>1</v>
      </c>
      <c r="Y474" s="7">
        <f>VLOOKUP($D474,NatureChart,4,0)</f>
        <v>0.9</v>
      </c>
      <c r="Z474" s="7">
        <f>VLOOKUP($D474,NatureChart,5,0)</f>
        <v>1</v>
      </c>
      <c r="AA474" s="84">
        <f>VLOOKUP($D474,NatureChart,6,0)</f>
        <v>1</v>
      </c>
      <c r="AB474" s="84">
        <f>IF($C474="Shedinja",1,(INT((2*VLOOKUP($C474,DexData,5,0)+INT(Q474/4)+K474)/2)+60))</f>
        <v>161</v>
      </c>
      <c r="AC474" s="84">
        <f>INT(INT((INT((2*VLOOKUP($C474,DexData,6,0)+INT(R474/4)+L474)/2)+5)*W474)*IF($E474="Choice Band",1.5,IF(OR($E474="Mawilite",$E474="Medichamite",$E474="Thick Club"),2,1)))</f>
        <v>189</v>
      </c>
      <c r="AD474" s="84">
        <f>INT(INT((INT((2*VLOOKUP($C474,DexData,7,0)+INT(S474/4)+M474)/2)+5)*X474)*IF($E474="Eviolite",1.5,1))</f>
        <v>90</v>
      </c>
      <c r="AE474" s="84">
        <f>INT(INT((INT((2*VLOOKUP($C474,DexData,9,0)+INT(T474/4)+N474)/2)+5)*Y474)*IF($E474="Choice Specs",1.5,1))</f>
        <v>49</v>
      </c>
      <c r="AF474" s="84">
        <f>INT(INT((INT((2*VLOOKUP($C474,DexData,10,0)+INT(U474/4)+O474)/2)+5)*Z474)*IF(OR($E474="Eviolite",$E474="Assault Vest"),1.5,1))</f>
        <v>80</v>
      </c>
      <c r="AG474" s="84">
        <f>INT(INT((INT((2*VLOOKUP($C474,DexData,11,0)+INT(V474/4)+P474)/2)+5)*AA474)*IF($E474="Choice Scarf",1.5,IF($E474="Iron Ball",0.5,1)))</f>
        <v>152</v>
      </c>
      <c r="AH474" s="84" t="str">
        <f>VLOOKUP(VLOOKUP($C474,DexData,3,0),Aliases!D$2:E$19,2,0)&amp;IFERROR("/"&amp;VLOOKUP(VLOOKUP($C474,DexData,4,0),Aliases!D$2:E$19,2,0),"")</f>
        <v>NRM/FLY</v>
      </c>
      <c r="AI474" s="7">
        <v>3.0</v>
      </c>
      <c r="AJ474" s="7">
        <f>IF(VLOOKUP(B474,'Set Odds'!A$2:AN$1067,40,0),1,IF(VLOOKUP(B474,'Set Odds'!A$2:AO$1067,41,0),2,0))</f>
        <v>1</v>
      </c>
      <c r="AK474" s="7"/>
      <c r="AL474" s="7" t="str">
        <f t="shared" si="1"/>
        <v/>
      </c>
    </row>
    <row r="475" ht="12.75" customHeight="1">
      <c r="A475" s="86">
        <v>474.0</v>
      </c>
      <c r="B475" s="84" t="s">
        <v>3989</v>
      </c>
      <c r="C475" s="7" t="s">
        <v>3678</v>
      </c>
      <c r="D475" s="7" t="s">
        <v>3597</v>
      </c>
      <c r="E475" s="7" t="s">
        <v>2524</v>
      </c>
      <c r="F475" s="84" t="s">
        <v>2832</v>
      </c>
      <c r="G475" s="84" t="s">
        <v>2880</v>
      </c>
      <c r="H475" s="84" t="s">
        <v>2823</v>
      </c>
      <c r="I475" s="84" t="s">
        <v>2688</v>
      </c>
      <c r="J475" s="7" t="s">
        <v>2988</v>
      </c>
      <c r="K475" s="7">
        <v>31.0</v>
      </c>
      <c r="L475" s="7">
        <v>0.0</v>
      </c>
      <c r="M475" s="7">
        <v>31.0</v>
      </c>
      <c r="N475" s="7">
        <v>31.0</v>
      </c>
      <c r="O475" s="7">
        <v>31.0</v>
      </c>
      <c r="P475" s="7">
        <v>31.0</v>
      </c>
      <c r="Q475" s="7">
        <v>252.0</v>
      </c>
      <c r="R475" s="7">
        <v>0.0</v>
      </c>
      <c r="S475" s="7">
        <v>0.0</v>
      </c>
      <c r="T475" s="7">
        <v>4.0</v>
      </c>
      <c r="U475" s="7">
        <v>252.0</v>
      </c>
      <c r="V475" s="7">
        <v>0.0</v>
      </c>
      <c r="W475" s="7">
        <f>VLOOKUP($D475,NatureChart,2,0)</f>
        <v>0.9</v>
      </c>
      <c r="X475" s="7">
        <f>VLOOKUP($D475,NatureChart,3,0)</f>
        <v>1</v>
      </c>
      <c r="Y475" s="7">
        <f>VLOOKUP($D475,NatureChart,4,0)</f>
        <v>1</v>
      </c>
      <c r="Z475" s="7">
        <f>VLOOKUP($D475,NatureChart,5,0)</f>
        <v>1.1</v>
      </c>
      <c r="AA475" s="84">
        <f>VLOOKUP($D475,NatureChart,6,0)</f>
        <v>1</v>
      </c>
      <c r="AB475" s="84">
        <f>IF($C475="Shedinja",1,(INT((2*VLOOKUP($C475,DexData,5,0)+INT(Q475/4)+K475)/2)+60))</f>
        <v>218</v>
      </c>
      <c r="AC475" s="84">
        <f>INT(INT((INT((2*VLOOKUP($C475,DexData,6,0)+INT(R475/4)+L475)/2)+5)*W475)*IF($E475="Choice Band",1.5,IF(OR($E475="Mawilite",$E475="Medichamite",$E475="Thick Club"),2,1)))</f>
        <v>79</v>
      </c>
      <c r="AD475" s="84">
        <f>INT(INT((INT((2*VLOOKUP($C475,DexData,7,0)+INT(S475/4)+M475)/2)+5)*X475)*IF($E475="Eviolite",1.5,1))</f>
        <v>88</v>
      </c>
      <c r="AE475" s="84">
        <f>INT(INT((INT((2*VLOOKUP($C475,DexData,9,0)+INT(T475/4)+N475)/2)+5)*Y475)*IF($E475="Choice Specs",1.5,1))</f>
        <v>113</v>
      </c>
      <c r="AF475" s="84">
        <f>INT(INT((INT((2*VLOOKUP($C475,DexData,10,0)+INT(U475/4)+O475)/2)+5)*Z475)*IF(OR($E475="Eviolite",$E475="Assault Vest"),1.5,1))</f>
        <v>147</v>
      </c>
      <c r="AG475" s="84">
        <f>INT(INT((INT((2*VLOOKUP($C475,DexData,11,0)+INT(V475/4)+P475)/2)+5)*AA475)*IF($E475="Choice Scarf",1.5,IF($E475="Iron Ball",0.5,1)))</f>
        <v>59</v>
      </c>
      <c r="AH475" s="84" t="str">
        <f>VLOOKUP(VLOOKUP($C475,DexData,3,0),Aliases!D$2:E$19,2,0)&amp;IFERROR("/"&amp;VLOOKUP(VLOOKUP($C475,DexData,4,0),Aliases!D$2:E$19,2,0),"")</f>
        <v>WTR/GRD</v>
      </c>
      <c r="AI475" s="7">
        <v>3.0</v>
      </c>
      <c r="AJ475" s="7">
        <f>IF(VLOOKUP(B475,'Set Odds'!A$2:AN$1067,40,0),1,IF(VLOOKUP(B475,'Set Odds'!A$2:AO$1067,41,0),2,0))</f>
        <v>1</v>
      </c>
      <c r="AK475" s="7"/>
      <c r="AL475" s="7" t="str">
        <f t="shared" si="1"/>
        <v/>
      </c>
    </row>
    <row r="476" ht="12.75" customHeight="1">
      <c r="A476" s="86">
        <v>475.0</v>
      </c>
      <c r="B476" s="84" t="s">
        <v>3990</v>
      </c>
      <c r="C476" s="7" t="s">
        <v>3680</v>
      </c>
      <c r="D476" s="7" t="s">
        <v>2635</v>
      </c>
      <c r="E476" s="7" t="s">
        <v>2685</v>
      </c>
      <c r="F476" s="84" t="s">
        <v>3264</v>
      </c>
      <c r="G476" s="84" t="s">
        <v>2660</v>
      </c>
      <c r="H476" s="84" t="s">
        <v>2855</v>
      </c>
      <c r="I476" s="84" t="s">
        <v>2532</v>
      </c>
      <c r="J476" s="7" t="s">
        <v>2995</v>
      </c>
      <c r="K476" s="7">
        <v>31.0</v>
      </c>
      <c r="L476" s="7">
        <v>0.0</v>
      </c>
      <c r="M476" s="7">
        <v>31.0</v>
      </c>
      <c r="N476" s="7">
        <v>31.0</v>
      </c>
      <c r="O476" s="7">
        <v>31.0</v>
      </c>
      <c r="P476" s="7">
        <v>31.0</v>
      </c>
      <c r="Q476" s="7">
        <v>4.0</v>
      </c>
      <c r="R476" s="7">
        <v>0.0</v>
      </c>
      <c r="S476" s="7">
        <v>0.0</v>
      </c>
      <c r="T476" s="7">
        <v>252.0</v>
      </c>
      <c r="U476" s="7">
        <v>0.0</v>
      </c>
      <c r="V476" s="7">
        <v>252.0</v>
      </c>
      <c r="W476" s="7">
        <f>VLOOKUP($D476,NatureChart,2,0)</f>
        <v>0.9</v>
      </c>
      <c r="X476" s="7">
        <f>VLOOKUP($D476,NatureChart,3,0)</f>
        <v>1</v>
      </c>
      <c r="Y476" s="7">
        <f>VLOOKUP($D476,NatureChart,4,0)</f>
        <v>1</v>
      </c>
      <c r="Z476" s="7">
        <f>VLOOKUP($D476,NatureChart,5,0)</f>
        <v>1</v>
      </c>
      <c r="AA476" s="84">
        <f>VLOOKUP($D476,NatureChart,6,0)</f>
        <v>1.1</v>
      </c>
      <c r="AB476" s="84">
        <f>IF($C476="Shedinja",1,(INT((2*VLOOKUP($C476,DexData,5,0)+INT(Q476/4)+K476)/2)+60))</f>
        <v>179</v>
      </c>
      <c r="AC476" s="84">
        <f>INT(INT((INT((2*VLOOKUP($C476,DexData,6,0)+INT(R476/4)+L476)/2)+5)*W476)*IF($E476="Choice Band",1.5,IF(OR($E476="Mawilite",$E476="Medichamite",$E476="Thick Club"),2,1)))</f>
        <v>88</v>
      </c>
      <c r="AD476" s="84">
        <f>INT(INT((INT((2*VLOOKUP($C476,DexData,7,0)+INT(S476/4)+M476)/2)+5)*X476)*IF($E476="Eviolite",1.5,1))</f>
        <v>87</v>
      </c>
      <c r="AE476" s="84">
        <f>INT(INT((INT((2*VLOOKUP($C476,DexData,9,0)+INT(T476/4)+N476)/2)+5)*Y476)*IF($E476="Choice Specs",1.5,1))</f>
        <v>123</v>
      </c>
      <c r="AF476" s="84">
        <f>INT(INT((INT((2*VLOOKUP($C476,DexData,10,0)+INT(U476/4)+O476)/2)+5)*Z476)*IF(OR($E476="Eviolite",$E476="Assault Vest"),1.5,1))</f>
        <v>81</v>
      </c>
      <c r="AG476" s="84">
        <f>INT(INT((INT((2*VLOOKUP($C476,DexData,11,0)+INT(V476/4)+P476)/2)+5)*AA476)*IF($E476="Choice Scarf",1.5,IF($E476="Iron Ball",0.5,1)))</f>
        <v>149</v>
      </c>
      <c r="AH476" s="84" t="str">
        <f>VLOOKUP(VLOOKUP($C476,DexData,3,0),Aliases!D$2:E$19,2,0)&amp;IFERROR("/"&amp;VLOOKUP(VLOOKUP($C476,DexData,4,0),Aliases!D$2:E$19,2,0),"")</f>
        <v>PSN/DRK</v>
      </c>
      <c r="AI476" s="7">
        <v>3.0</v>
      </c>
      <c r="AJ476" s="7">
        <f>IF(VLOOKUP(B476,'Set Odds'!A$2:AN$1067,40,0),1,IF(VLOOKUP(B476,'Set Odds'!A$2:AO$1067,41,0),2,0))</f>
        <v>1</v>
      </c>
      <c r="AK476" s="7"/>
      <c r="AL476" s="7" t="str">
        <f t="shared" si="1"/>
        <v/>
      </c>
    </row>
    <row r="477" ht="12.75" customHeight="1">
      <c r="A477" s="86">
        <v>476.0</v>
      </c>
      <c r="B477" s="84" t="s">
        <v>3991</v>
      </c>
      <c r="C477" s="7" t="s">
        <v>3682</v>
      </c>
      <c r="D477" s="7" t="s">
        <v>2862</v>
      </c>
      <c r="E477" s="7" t="s">
        <v>2806</v>
      </c>
      <c r="F477" s="84" t="s">
        <v>2855</v>
      </c>
      <c r="G477" s="84" t="s">
        <v>2631</v>
      </c>
      <c r="H477" s="84" t="s">
        <v>2532</v>
      </c>
      <c r="I477" s="84" t="s">
        <v>2848</v>
      </c>
      <c r="J477" s="7" t="s">
        <v>2701</v>
      </c>
      <c r="K477" s="7">
        <v>31.0</v>
      </c>
      <c r="L477" s="7">
        <v>0.0</v>
      </c>
      <c r="M477" s="7">
        <v>31.0</v>
      </c>
      <c r="N477" s="7">
        <v>31.0</v>
      </c>
      <c r="O477" s="7">
        <v>31.0</v>
      </c>
      <c r="P477" s="7">
        <v>31.0</v>
      </c>
      <c r="Q477" s="7">
        <v>252.0</v>
      </c>
      <c r="R477" s="7">
        <v>0.0</v>
      </c>
      <c r="S477" s="7">
        <v>252.0</v>
      </c>
      <c r="T477" s="7">
        <v>0.0</v>
      </c>
      <c r="U477" s="7">
        <v>4.0</v>
      </c>
      <c r="V477" s="7">
        <v>0.0</v>
      </c>
      <c r="W477" s="7">
        <f>VLOOKUP($D477,NatureChart,2,0)</f>
        <v>0.9</v>
      </c>
      <c r="X477" s="7">
        <f>VLOOKUP($D477,NatureChart,3,0)</f>
        <v>1.1</v>
      </c>
      <c r="Y477" s="7">
        <f>VLOOKUP($D477,NatureChart,4,0)</f>
        <v>1</v>
      </c>
      <c r="Z477" s="7">
        <f>VLOOKUP($D477,NatureChart,5,0)</f>
        <v>1</v>
      </c>
      <c r="AA477" s="84">
        <f>VLOOKUP($D477,NatureChart,6,0)</f>
        <v>1</v>
      </c>
      <c r="AB477" s="84">
        <f>IF($C477="Shedinja",1,(INT((2*VLOOKUP($C477,DexData,5,0)+INT(Q477/4)+K477)/2)+60))</f>
        <v>182</v>
      </c>
      <c r="AC477" s="84">
        <f>INT(INT((INT((2*VLOOKUP($C477,DexData,6,0)+INT(R477/4)+L477)/2)+5)*W477)*IF($E477="Choice Band",1.5,IF(OR($E477="Mawilite",$E477="Medichamite",$E477="Thick Club"),2,1)))</f>
        <v>76</v>
      </c>
      <c r="AD477" s="84">
        <f>INT(INT((INT((2*VLOOKUP($C477,DexData,7,0)+INT(S477/4)+M477)/2)+5)*X477)*IF($E477="Eviolite",1.5,1))</f>
        <v>150</v>
      </c>
      <c r="AE477" s="84">
        <f>INT(INT((INT((2*VLOOKUP($C477,DexData,9,0)+INT(T477/4)+N477)/2)+5)*Y477)*IF($E477="Choice Specs",1.5,1))</f>
        <v>130</v>
      </c>
      <c r="AF477" s="84">
        <f>INT(INT((INT((2*VLOOKUP($C477,DexData,10,0)+INT(U477/4)+O477)/2)+5)*Z477)*IF(OR($E477="Eviolite",$E477="Assault Vest"),1.5,1))</f>
        <v>111</v>
      </c>
      <c r="AG477" s="84">
        <f>INT(INT((INT((2*VLOOKUP($C477,DexData,11,0)+INT(V477/4)+P477)/2)+5)*AA477)*IF($E477="Choice Scarf",1.5,IF($E477="Iron Ball",0.5,1)))</f>
        <v>70</v>
      </c>
      <c r="AH477" s="84" t="str">
        <f>VLOOKUP(VLOOKUP($C477,DexData,3,0),Aliases!D$2:E$19,2,0)&amp;IFERROR("/"&amp;VLOOKUP(VLOOKUP($C477,DexData,4,0),Aliases!D$2:E$19,2,0),"")</f>
        <v>GRS/PSN</v>
      </c>
      <c r="AI477" s="7">
        <v>3.0</v>
      </c>
      <c r="AJ477" s="7">
        <f>IF(VLOOKUP(B477,'Set Odds'!A$2:AN$1067,40,0),1,IF(VLOOKUP(B477,'Set Odds'!A$2:AO$1067,41,0),2,0))</f>
        <v>1</v>
      </c>
      <c r="AK477" s="7"/>
      <c r="AL477" s="7" t="str">
        <f t="shared" si="1"/>
        <v/>
      </c>
    </row>
    <row r="478" ht="12.75" customHeight="1">
      <c r="A478" s="86">
        <v>477.0</v>
      </c>
      <c r="B478" s="84" t="s">
        <v>3992</v>
      </c>
      <c r="C478" s="7" t="s">
        <v>3684</v>
      </c>
      <c r="D478" s="7" t="s">
        <v>2692</v>
      </c>
      <c r="E478" s="7" t="s">
        <v>2579</v>
      </c>
      <c r="F478" s="84" t="s">
        <v>3472</v>
      </c>
      <c r="G478" s="84" t="s">
        <v>3686</v>
      </c>
      <c r="H478" s="84" t="s">
        <v>3113</v>
      </c>
      <c r="I478" s="84" t="s">
        <v>2807</v>
      </c>
      <c r="J478" s="7" t="s">
        <v>2701</v>
      </c>
      <c r="K478" s="7">
        <v>31.0</v>
      </c>
      <c r="L478" s="7">
        <v>31.0</v>
      </c>
      <c r="M478" s="7">
        <v>31.0</v>
      </c>
      <c r="N478" s="7">
        <v>31.0</v>
      </c>
      <c r="O478" s="7">
        <v>31.0</v>
      </c>
      <c r="P478" s="7">
        <v>31.0</v>
      </c>
      <c r="Q478" s="7">
        <v>4.0</v>
      </c>
      <c r="R478" s="7">
        <v>252.0</v>
      </c>
      <c r="S478" s="7">
        <v>0.0</v>
      </c>
      <c r="T478" s="7">
        <v>0.0</v>
      </c>
      <c r="U478" s="7">
        <v>0.0</v>
      </c>
      <c r="V478" s="7">
        <v>252.0</v>
      </c>
      <c r="W478" s="7">
        <f>VLOOKUP($D478,NatureChart,2,0)</f>
        <v>1</v>
      </c>
      <c r="X478" s="7">
        <f>VLOOKUP($D478,NatureChart,3,0)</f>
        <v>1</v>
      </c>
      <c r="Y478" s="7">
        <f>VLOOKUP($D478,NatureChart,4,0)</f>
        <v>0.9</v>
      </c>
      <c r="Z478" s="7">
        <f>VLOOKUP($D478,NatureChart,5,0)</f>
        <v>1</v>
      </c>
      <c r="AA478" s="84">
        <f>VLOOKUP($D478,NatureChart,6,0)</f>
        <v>1.1</v>
      </c>
      <c r="AB478" s="84">
        <f>IF($C478="Shedinja",1,(INT((2*VLOOKUP($C478,DexData,5,0)+INT(Q478/4)+K478)/2)+60))</f>
        <v>156</v>
      </c>
      <c r="AC478" s="84">
        <f>INT(INT((INT((2*VLOOKUP($C478,DexData,6,0)+INT(R478/4)+L478)/2)+5)*W478)*IF($E478="Choice Band",1.5,IF(OR($E478="Mawilite",$E478="Medichamite",$E478="Thick Club"),2,1)))</f>
        <v>157</v>
      </c>
      <c r="AD478" s="84">
        <f>INT(INT((INT((2*VLOOKUP($C478,DexData,7,0)+INT(S478/4)+M478)/2)+5)*X478)*IF($E478="Eviolite",1.5,1))</f>
        <v>85</v>
      </c>
      <c r="AE478" s="84">
        <f>INT(INT((INT((2*VLOOKUP($C478,DexData,9,0)+INT(T478/4)+N478)/2)+5)*Y478)*IF($E478="Choice Specs",1.5,1))</f>
        <v>108</v>
      </c>
      <c r="AF478" s="84">
        <f>INT(INT((INT((2*VLOOKUP($C478,DexData,10,0)+INT(U478/4)+O478)/2)+5)*Z478)*IF(OR($E478="Eviolite",$E478="Assault Vest"),1.5,1))</f>
        <v>90</v>
      </c>
      <c r="AG478" s="84">
        <f>INT(INT((INT((2*VLOOKUP($C478,DexData,11,0)+INT(V478/4)+P478)/2)+5)*AA478)*IF($E478="Choice Scarf",1.5,IF($E478="Iron Ball",0.5,1)))</f>
        <v>134</v>
      </c>
      <c r="AH478" s="84" t="str">
        <f>VLOOKUP(VLOOKUP($C478,DexData,3,0),Aliases!D$2:E$19,2,0)&amp;IFERROR("/"&amp;VLOOKUP(VLOOKUP($C478,DexData,4,0),Aliases!D$2:E$19,2,0),"")</f>
        <v>GRS/PSN</v>
      </c>
      <c r="AI478" s="7">
        <v>3.0</v>
      </c>
      <c r="AJ478" s="7">
        <f>IF(VLOOKUP(B478,'Set Odds'!A$2:AN$1067,40,0),1,IF(VLOOKUP(B478,'Set Odds'!A$2:AO$1067,41,0),2,0))</f>
        <v>1</v>
      </c>
      <c r="AK478" s="7"/>
      <c r="AL478" s="7" t="str">
        <f t="shared" si="1"/>
        <v/>
      </c>
    </row>
    <row r="479" ht="12.75" customHeight="1">
      <c r="A479" s="86">
        <v>478.0</v>
      </c>
      <c r="B479" s="84" t="s">
        <v>3993</v>
      </c>
      <c r="C479" s="7" t="s">
        <v>3689</v>
      </c>
      <c r="D479" s="7" t="s">
        <v>2635</v>
      </c>
      <c r="E479" s="7" t="s">
        <v>2618</v>
      </c>
      <c r="F479" s="84" t="s">
        <v>3839</v>
      </c>
      <c r="G479" s="84" t="s">
        <v>3762</v>
      </c>
      <c r="H479" s="84" t="s">
        <v>3994</v>
      </c>
      <c r="I479" s="84" t="s">
        <v>2763</v>
      </c>
      <c r="J479" s="7" t="s">
        <v>2995</v>
      </c>
      <c r="K479" s="7">
        <v>31.0</v>
      </c>
      <c r="L479" s="7">
        <v>0.0</v>
      </c>
      <c r="M479" s="7">
        <v>31.0</v>
      </c>
      <c r="N479" s="7">
        <v>31.0</v>
      </c>
      <c r="O479" s="7">
        <v>31.0</v>
      </c>
      <c r="P479" s="7">
        <v>31.0</v>
      </c>
      <c r="Q479" s="7">
        <v>4.0</v>
      </c>
      <c r="R479" s="7">
        <v>0.0</v>
      </c>
      <c r="S479" s="7">
        <v>0.0</v>
      </c>
      <c r="T479" s="7">
        <v>252.0</v>
      </c>
      <c r="U479" s="7">
        <v>0.0</v>
      </c>
      <c r="V479" s="7">
        <v>252.0</v>
      </c>
      <c r="W479" s="7">
        <f>VLOOKUP($D479,NatureChart,2,0)</f>
        <v>0.9</v>
      </c>
      <c r="X479" s="7">
        <f>VLOOKUP($D479,NatureChart,3,0)</f>
        <v>1</v>
      </c>
      <c r="Y479" s="7">
        <f>VLOOKUP($D479,NatureChart,4,0)</f>
        <v>1</v>
      </c>
      <c r="Z479" s="7">
        <f>VLOOKUP($D479,NatureChart,5,0)</f>
        <v>1</v>
      </c>
      <c r="AA479" s="84">
        <f>VLOOKUP($D479,NatureChart,6,0)</f>
        <v>1.1</v>
      </c>
      <c r="AB479" s="84">
        <f>IF($C479="Shedinja",1,(INT((2*VLOOKUP($C479,DexData,5,0)+INT(Q479/4)+K479)/2)+60))</f>
        <v>136</v>
      </c>
      <c r="AC479" s="84">
        <f>INT(INT((INT((2*VLOOKUP($C479,DexData,6,0)+INT(R479/4)+L479)/2)+5)*W479)*IF($E479="Choice Band",1.5,IF(OR($E479="Mawilite",$E479="Medichamite",$E479="Thick Club"),2,1)))</f>
        <v>49</v>
      </c>
      <c r="AD479" s="84">
        <f>INT(INT((INT((2*VLOOKUP($C479,DexData,7,0)+INT(S479/4)+M479)/2)+5)*X479)*IF($E479="Eviolite",1.5,1))</f>
        <v>90</v>
      </c>
      <c r="AE479" s="84">
        <f>INT(INT((INT((2*VLOOKUP($C479,DexData,9,0)+INT(T479/4)+N479)/2)+5)*Y479)*IF($E479="Choice Specs",1.5,1))</f>
        <v>132</v>
      </c>
      <c r="AF479" s="84">
        <f>INT(INT((INT((2*VLOOKUP($C479,DexData,10,0)+INT(U479/4)+O479)/2)+5)*Z479)*IF(OR($E479="Eviolite",$E479="Assault Vest"),1.5,1))</f>
        <v>100</v>
      </c>
      <c r="AG479" s="84">
        <f>INT(INT((INT((2*VLOOKUP($C479,DexData,11,0)+INT(V479/4)+P479)/2)+5)*AA479)*IF($E479="Choice Scarf",1.5,IF($E479="Iron Ball",0.5,1)))</f>
        <v>222</v>
      </c>
      <c r="AH479" s="84" t="str">
        <f>VLOOKUP(VLOOKUP($C479,DexData,3,0),Aliases!D$2:E$19,2,0)&amp;IFERROR("/"&amp;VLOOKUP(VLOOKUP($C479,DexData,4,0),Aliases!D$2:E$19,2,0),"")</f>
        <v>ELC</v>
      </c>
      <c r="AI479" s="7">
        <v>3.0</v>
      </c>
      <c r="AJ479" s="7">
        <f>IF(VLOOKUP(B479,'Set Odds'!A$2:AN$1067,40,0),1,IF(VLOOKUP(B479,'Set Odds'!A$2:AO$1067,41,0),2,0))</f>
        <v>1</v>
      </c>
      <c r="AK479" s="7"/>
      <c r="AL479" s="7" t="str">
        <f t="shared" si="1"/>
        <v/>
      </c>
    </row>
    <row r="480" ht="12.75" customHeight="1">
      <c r="A480" s="86">
        <v>479.0</v>
      </c>
      <c r="B480" s="84" t="s">
        <v>3995</v>
      </c>
      <c r="C480" s="7" t="s">
        <v>3691</v>
      </c>
      <c r="D480" s="7" t="s">
        <v>2862</v>
      </c>
      <c r="E480" s="7" t="s">
        <v>2685</v>
      </c>
      <c r="F480" s="84" t="s">
        <v>2575</v>
      </c>
      <c r="G480" s="84" t="s">
        <v>2532</v>
      </c>
      <c r="H480" s="84" t="s">
        <v>2880</v>
      </c>
      <c r="I480" s="84" t="s">
        <v>3185</v>
      </c>
      <c r="J480" s="7" t="s">
        <v>3996</v>
      </c>
      <c r="K480" s="7">
        <v>31.0</v>
      </c>
      <c r="L480" s="7">
        <v>0.0</v>
      </c>
      <c r="M480" s="7">
        <v>31.0</v>
      </c>
      <c r="N480" s="7">
        <v>31.0</v>
      </c>
      <c r="O480" s="7">
        <v>31.0</v>
      </c>
      <c r="P480" s="7">
        <v>31.0</v>
      </c>
      <c r="Q480" s="7">
        <v>252.0</v>
      </c>
      <c r="R480" s="7">
        <v>0.0</v>
      </c>
      <c r="S480" s="7">
        <v>252.0</v>
      </c>
      <c r="T480" s="7">
        <v>0.0</v>
      </c>
      <c r="U480" s="7">
        <v>0.0</v>
      </c>
      <c r="V480" s="7">
        <v>4.0</v>
      </c>
      <c r="W480" s="7">
        <f>VLOOKUP($D480,NatureChart,2,0)</f>
        <v>0.9</v>
      </c>
      <c r="X480" s="7">
        <f>VLOOKUP($D480,NatureChart,3,0)</f>
        <v>1.1</v>
      </c>
      <c r="Y480" s="7">
        <f>VLOOKUP($D480,NatureChart,4,0)</f>
        <v>1</v>
      </c>
      <c r="Z480" s="7">
        <f>VLOOKUP($D480,NatureChart,5,0)</f>
        <v>1</v>
      </c>
      <c r="AA480" s="84">
        <f>VLOOKUP($D480,NatureChart,6,0)</f>
        <v>1</v>
      </c>
      <c r="AB480" s="84">
        <f>IF($C480="Shedinja",1,(INT((2*VLOOKUP($C480,DexData,5,0)+INT(Q480/4)+K480)/2)+60))</f>
        <v>187</v>
      </c>
      <c r="AC480" s="84">
        <f>INT(INT((INT((2*VLOOKUP($C480,DexData,6,0)+INT(R480/4)+L480)/2)+5)*W480)*IF($E480="Choice Band",1.5,IF(OR($E480="Mawilite",$E480="Medichamite",$E480="Thick Club"),2,1)))</f>
        <v>67</v>
      </c>
      <c r="AD480" s="84">
        <f>INT(INT((INT((2*VLOOKUP($C480,DexData,7,0)+INT(S480/4)+M480)/2)+5)*X480)*IF($E480="Eviolite",1.5,1))</f>
        <v>134</v>
      </c>
      <c r="AE480" s="84">
        <f>INT(INT((INT((2*VLOOKUP($C480,DexData,9,0)+INT(T480/4)+N480)/2)+5)*Y480)*IF($E480="Choice Specs",1.5,1))</f>
        <v>110</v>
      </c>
      <c r="AF480" s="84">
        <f>INT(INT((INT((2*VLOOKUP($C480,DexData,10,0)+INT(U480/4)+O480)/2)+5)*Z480)*IF(OR($E480="Eviolite",$E480="Assault Vest"),1.5,1))</f>
        <v>120</v>
      </c>
      <c r="AG480" s="84">
        <f>INT(INT((INT((2*VLOOKUP($C480,DexData,11,0)+INT(V480/4)+P480)/2)+5)*AA480)*IF($E480="Choice Scarf",1.5,IF($E480="Iron Ball",0.5,1)))</f>
        <v>91</v>
      </c>
      <c r="AH480" s="84" t="str">
        <f>VLOOKUP(VLOOKUP($C480,DexData,3,0),Aliases!D$2:E$19,2,0)&amp;IFERROR("/"&amp;VLOOKUP(VLOOKUP($C480,DexData,4,0),Aliases!D$2:E$19,2,0),"")</f>
        <v>WTR/GRS</v>
      </c>
      <c r="AI480" s="7">
        <v>3.0</v>
      </c>
      <c r="AJ480" s="7">
        <f>IF(VLOOKUP(B480,'Set Odds'!A$2:AN$1067,40,0),1,IF(VLOOKUP(B480,'Set Odds'!A$2:AO$1067,41,0),2,0))</f>
        <v>1</v>
      </c>
      <c r="AK480" s="7"/>
      <c r="AL480" s="7" t="str">
        <f t="shared" si="1"/>
        <v/>
      </c>
    </row>
    <row r="481" ht="12.75" customHeight="1">
      <c r="A481" s="86">
        <v>480.0</v>
      </c>
      <c r="B481" s="84" t="s">
        <v>3997</v>
      </c>
      <c r="C481" s="7" t="s">
        <v>3694</v>
      </c>
      <c r="D481" s="7" t="s">
        <v>2571</v>
      </c>
      <c r="E481" s="7" t="s">
        <v>2516</v>
      </c>
      <c r="F481" s="84" t="s">
        <v>2539</v>
      </c>
      <c r="G481" s="84" t="s">
        <v>2513</v>
      </c>
      <c r="H481" s="84" t="s">
        <v>2671</v>
      </c>
      <c r="I481" s="84" t="s">
        <v>3554</v>
      </c>
      <c r="J481" s="7" t="s">
        <v>2701</v>
      </c>
      <c r="K481" s="7">
        <v>31.0</v>
      </c>
      <c r="L481" s="7">
        <v>31.0</v>
      </c>
      <c r="M481" s="7">
        <v>31.0</v>
      </c>
      <c r="N481" s="7">
        <v>0.0</v>
      </c>
      <c r="O481" s="7">
        <v>31.0</v>
      </c>
      <c r="P481" s="7">
        <v>31.0</v>
      </c>
      <c r="Q481" s="7">
        <v>4.0</v>
      </c>
      <c r="R481" s="7">
        <v>252.0</v>
      </c>
      <c r="S481" s="7">
        <v>0.0</v>
      </c>
      <c r="T481" s="7">
        <v>0.0</v>
      </c>
      <c r="U481" s="7">
        <v>0.0</v>
      </c>
      <c r="V481" s="7">
        <v>252.0</v>
      </c>
      <c r="W481" s="7">
        <f>VLOOKUP($D481,NatureChart,2,0)</f>
        <v>1.1</v>
      </c>
      <c r="X481" s="7">
        <f>VLOOKUP($D481,NatureChart,3,0)</f>
        <v>1</v>
      </c>
      <c r="Y481" s="7">
        <f>VLOOKUP($D481,NatureChart,4,0)</f>
        <v>0.9</v>
      </c>
      <c r="Z481" s="7">
        <f>VLOOKUP($D481,NatureChart,5,0)</f>
        <v>1</v>
      </c>
      <c r="AA481" s="84">
        <f>VLOOKUP($D481,NatureChart,6,0)</f>
        <v>1</v>
      </c>
      <c r="AB481" s="84">
        <f>IF($C481="Shedinja",1,(INT((2*VLOOKUP($C481,DexData,5,0)+INT(Q481/4)+K481)/2)+60))</f>
        <v>166</v>
      </c>
      <c r="AC481" s="84">
        <f>INT(INT((INT((2*VLOOKUP($C481,DexData,6,0)+INT(R481/4)+L481)/2)+5)*W481)*IF($E481="Choice Band",1.5,IF(OR($E481="Mawilite",$E481="Medichamite",$E481="Thick Club"),2,1)))</f>
        <v>167</v>
      </c>
      <c r="AD481" s="84">
        <f>INT(INT((INT((2*VLOOKUP($C481,DexData,7,0)+INT(S481/4)+M481)/2)+5)*X481)*IF($E481="Eviolite",1.5,1))</f>
        <v>80</v>
      </c>
      <c r="AE481" s="84">
        <f>INT(INT((INT((2*VLOOKUP($C481,DexData,9,0)+INT(T481/4)+N481)/2)+5)*Y481)*IF($E481="Choice Specs",1.5,1))</f>
        <v>85</v>
      </c>
      <c r="AF481" s="84">
        <f>INT(INT((INT((2*VLOOKUP($C481,DexData,10,0)+INT(U481/4)+O481)/2)+5)*Z481)*IF(OR($E481="Eviolite",$E481="Assault Vest"),1.5,1))</f>
        <v>80</v>
      </c>
      <c r="AG481" s="84">
        <f>INT(INT((INT((2*VLOOKUP($C481,DexData,11,0)+INT(V481/4)+P481)/2)+5)*AA481)*IF($E481="Choice Scarf",1.5,IF($E481="Iron Ball",0.5,1)))</f>
        <v>132</v>
      </c>
      <c r="AH481" s="84" t="str">
        <f>VLOOKUP(VLOOKUP($C481,DexData,3,0),Aliases!D$2:E$19,2,0)&amp;IFERROR("/"&amp;VLOOKUP(VLOOKUP($C481,DexData,4,0),Aliases!D$2:E$19,2,0),"")</f>
        <v>GRS/DRK</v>
      </c>
      <c r="AI481" s="7">
        <v>3.0</v>
      </c>
      <c r="AJ481" s="7">
        <f>IF(VLOOKUP(B481,'Set Odds'!A$2:AN$1067,40,0),1,IF(VLOOKUP(B481,'Set Odds'!A$2:AO$1067,41,0),2,0))</f>
        <v>1</v>
      </c>
      <c r="AK481" s="7"/>
      <c r="AL481" s="7" t="str">
        <f t="shared" si="1"/>
        <v/>
      </c>
    </row>
    <row r="482" ht="12.75" customHeight="1">
      <c r="A482" s="86">
        <v>481.0</v>
      </c>
      <c r="B482" s="84" t="s">
        <v>3998</v>
      </c>
      <c r="C482" s="7" t="s">
        <v>3696</v>
      </c>
      <c r="D482" s="7" t="s">
        <v>2648</v>
      </c>
      <c r="E482" s="7" t="s">
        <v>2636</v>
      </c>
      <c r="F482" s="84" t="s">
        <v>2841</v>
      </c>
      <c r="G482" s="84" t="s">
        <v>3510</v>
      </c>
      <c r="H482" s="84" t="s">
        <v>3697</v>
      </c>
      <c r="I482" s="84" t="s">
        <v>2532</v>
      </c>
      <c r="J482" s="7" t="s">
        <v>2931</v>
      </c>
      <c r="K482" s="7">
        <v>31.0</v>
      </c>
      <c r="L482" s="7">
        <v>31.0</v>
      </c>
      <c r="M482" s="7">
        <v>31.0</v>
      </c>
      <c r="N482" s="7">
        <v>31.0</v>
      </c>
      <c r="O482" s="7">
        <v>31.0</v>
      </c>
      <c r="P482" s="7">
        <v>31.0</v>
      </c>
      <c r="Q482" s="7">
        <v>252.0</v>
      </c>
      <c r="R482" s="7">
        <v>0.0</v>
      </c>
      <c r="S482" s="7">
        <v>0.0</v>
      </c>
      <c r="T482" s="7">
        <v>4.0</v>
      </c>
      <c r="U482" s="7">
        <v>0.0</v>
      </c>
      <c r="V482" s="7">
        <v>252.0</v>
      </c>
      <c r="W482" s="7">
        <f>VLOOKUP($D482,NatureChart,2,0)</f>
        <v>1</v>
      </c>
      <c r="X482" s="7">
        <f>VLOOKUP($D482,NatureChart,3,0)</f>
        <v>1.1</v>
      </c>
      <c r="Y482" s="7">
        <f>VLOOKUP($D482,NatureChart,4,0)</f>
        <v>0.9</v>
      </c>
      <c r="Z482" s="7">
        <f>VLOOKUP($D482,NatureChart,5,0)</f>
        <v>1</v>
      </c>
      <c r="AA482" s="84">
        <f>VLOOKUP($D482,NatureChart,6,0)</f>
        <v>1</v>
      </c>
      <c r="AB482" s="84">
        <f>IF($C482="Shedinja",1,(INT((2*VLOOKUP($C482,DexData,5,0)+INT(Q482/4)+K482)/2)+60))</f>
        <v>211</v>
      </c>
      <c r="AC482" s="84">
        <f>INT(INT((INT((2*VLOOKUP($C482,DexData,6,0)+INT(R482/4)+L482)/2)+5)*W482)*IF($E482="Choice Band",1.5,IF(OR($E482="Mawilite",$E482="Medichamite",$E482="Thick Club"),2,1)))</f>
        <v>111</v>
      </c>
      <c r="AD482" s="84">
        <f>INT(INT((INT((2*VLOOKUP($C482,DexData,7,0)+INT(S482/4)+M482)/2)+5)*X482)*IF($E482="Eviolite",1.5,1))</f>
        <v>91</v>
      </c>
      <c r="AE482" s="84">
        <f>INT(INT((INT((2*VLOOKUP($C482,DexData,9,0)+INT(T482/4)+N482)/2)+5)*Y482)*IF($E482="Choice Specs",1.5,1))</f>
        <v>100</v>
      </c>
      <c r="AF482" s="84">
        <f>INT(INT((INT((2*VLOOKUP($C482,DexData,10,0)+INT(U482/4)+O482)/2)+5)*Z482)*IF(OR($E482="Eviolite",$E482="Assault Vest"),1.5,1))</f>
        <v>93</v>
      </c>
      <c r="AG482" s="84">
        <f>INT(INT((INT((2*VLOOKUP($C482,DexData,11,0)+INT(V482/4)+P482)/2)+5)*AA482)*IF($E482="Choice Scarf",1.5,IF($E482="Iron Ball",0.5,1)))</f>
        <v>120</v>
      </c>
      <c r="AH482" s="84" t="str">
        <f>VLOOKUP(VLOOKUP($C482,DexData,3,0),Aliases!D$2:E$19,2,0)&amp;IFERROR("/"&amp;VLOOKUP(VLOOKUP($C482,DexData,4,0),Aliases!D$2:E$19,2,0),"")</f>
        <v>NRM</v>
      </c>
      <c r="AI482" s="7">
        <v>3.0</v>
      </c>
      <c r="AJ482" s="7">
        <f>IF(VLOOKUP(B482,'Set Odds'!A$2:AN$1067,40,0),1,IF(VLOOKUP(B482,'Set Odds'!A$2:AO$1067,41,0),2,0))</f>
        <v>1</v>
      </c>
      <c r="AK482" s="7"/>
      <c r="AL482" s="7" t="str">
        <f t="shared" si="1"/>
        <v/>
      </c>
    </row>
    <row r="483" ht="12.75" customHeight="1">
      <c r="A483" s="86">
        <v>482.0</v>
      </c>
      <c r="B483" s="84" t="s">
        <v>3999</v>
      </c>
      <c r="C483" s="7" t="s">
        <v>3699</v>
      </c>
      <c r="D483" s="7" t="s">
        <v>2635</v>
      </c>
      <c r="E483" s="7" t="s">
        <v>2685</v>
      </c>
      <c r="F483" s="84" t="s">
        <v>2532</v>
      </c>
      <c r="G483" s="84" t="s">
        <v>2526</v>
      </c>
      <c r="H483" s="84" t="s">
        <v>2841</v>
      </c>
      <c r="I483" s="84" t="s">
        <v>3510</v>
      </c>
      <c r="J483" s="7" t="s">
        <v>2786</v>
      </c>
      <c r="K483" s="7">
        <v>31.0</v>
      </c>
      <c r="L483" s="7">
        <v>0.0</v>
      </c>
      <c r="M483" s="7">
        <v>31.0</v>
      </c>
      <c r="N483" s="7">
        <v>31.0</v>
      </c>
      <c r="O483" s="7">
        <v>31.0</v>
      </c>
      <c r="P483" s="7">
        <v>31.0</v>
      </c>
      <c r="Q483" s="7">
        <v>252.0</v>
      </c>
      <c r="R483" s="7">
        <v>0.0</v>
      </c>
      <c r="S483" s="7">
        <v>4.0</v>
      </c>
      <c r="T483" s="7">
        <v>0.0</v>
      </c>
      <c r="U483" s="7">
        <v>0.0</v>
      </c>
      <c r="V483" s="7">
        <v>252.0</v>
      </c>
      <c r="W483" s="7">
        <f>VLOOKUP($D483,NatureChart,2,0)</f>
        <v>0.9</v>
      </c>
      <c r="X483" s="7">
        <f>VLOOKUP($D483,NatureChart,3,0)</f>
        <v>1</v>
      </c>
      <c r="Y483" s="7">
        <f>VLOOKUP($D483,NatureChart,4,0)</f>
        <v>1</v>
      </c>
      <c r="Z483" s="7">
        <f>VLOOKUP($D483,NatureChart,5,0)</f>
        <v>1</v>
      </c>
      <c r="AA483" s="84">
        <f>VLOOKUP($D483,NatureChart,6,0)</f>
        <v>1.1</v>
      </c>
      <c r="AB483" s="84">
        <f>IF($C483="Shedinja",1,(INT((2*VLOOKUP($C483,DexData,5,0)+INT(Q483/4)+K483)/2)+60))</f>
        <v>187</v>
      </c>
      <c r="AC483" s="84">
        <f>INT(INT((INT((2*VLOOKUP($C483,DexData,6,0)+INT(R483/4)+L483)/2)+5)*W483)*IF($E483="Choice Band",1.5,IF(OR($E483="Mawilite",$E483="Medichamite",$E483="Thick Club"),2,1)))</f>
        <v>76</v>
      </c>
      <c r="AD483" s="84">
        <f>INT(INT((INT((2*VLOOKUP($C483,DexData,7,0)+INT(S483/4)+M483)/2)+5)*X483)*IF($E483="Eviolite",1.5,1))</f>
        <v>101</v>
      </c>
      <c r="AE483" s="84">
        <f>INT(INT((INT((2*VLOOKUP($C483,DexData,9,0)+INT(T483/4)+N483)/2)+5)*Y483)*IF($E483="Choice Specs",1.5,1))</f>
        <v>100</v>
      </c>
      <c r="AF483" s="84">
        <f>INT(INT((INT((2*VLOOKUP($C483,DexData,10,0)+INT(U483/4)+O483)/2)+5)*Z483)*IF(OR($E483="Eviolite",$E483="Assault Vest"),1.5,1))</f>
        <v>100</v>
      </c>
      <c r="AG483" s="84">
        <f>INT(INT((INT((2*VLOOKUP($C483,DexData,11,0)+INT(V483/4)+P483)/2)+5)*AA483)*IF($E483="Choice Scarf",1.5,IF($E483="Iron Ball",0.5,1)))</f>
        <v>145</v>
      </c>
      <c r="AH483" s="84" t="str">
        <f>VLOOKUP(VLOOKUP($C483,DexData,3,0),Aliases!D$2:E$19,2,0)&amp;IFERROR("/"&amp;VLOOKUP(VLOOKUP($C483,DexData,4,0),Aliases!D$2:E$19,2,0),"")</f>
        <v>ICE</v>
      </c>
      <c r="AI483" s="7">
        <v>3.0</v>
      </c>
      <c r="AJ483" s="7">
        <f>IF(VLOOKUP(B483,'Set Odds'!A$2:AN$1067,40,0),1,IF(VLOOKUP(B483,'Set Odds'!A$2:AO$1067,41,0),2,0))</f>
        <v>1</v>
      </c>
      <c r="AK483" s="7"/>
      <c r="AL483" s="7" t="str">
        <f t="shared" si="1"/>
        <v/>
      </c>
    </row>
    <row r="484" ht="12.75" customHeight="1">
      <c r="A484" s="86">
        <v>483.0</v>
      </c>
      <c r="B484" s="84" t="s">
        <v>4000</v>
      </c>
      <c r="C484" s="7" t="s">
        <v>3702</v>
      </c>
      <c r="D484" s="7" t="s">
        <v>2692</v>
      </c>
      <c r="E484" s="7" t="s">
        <v>2520</v>
      </c>
      <c r="F484" s="84" t="s">
        <v>3160</v>
      </c>
      <c r="G484" s="84" t="s">
        <v>2767</v>
      </c>
      <c r="H484" s="84" t="s">
        <v>2957</v>
      </c>
      <c r="I484" s="84" t="s">
        <v>3135</v>
      </c>
      <c r="J484" s="7" t="s">
        <v>2853</v>
      </c>
      <c r="K484" s="7">
        <v>31.0</v>
      </c>
      <c r="L484" s="7">
        <v>31.0</v>
      </c>
      <c r="M484" s="7">
        <v>31.0</v>
      </c>
      <c r="N484" s="7">
        <v>0.0</v>
      </c>
      <c r="O484" s="7">
        <v>31.0</v>
      </c>
      <c r="P484" s="7">
        <v>31.0</v>
      </c>
      <c r="Q484" s="7">
        <v>4.0</v>
      </c>
      <c r="R484" s="7">
        <v>252.0</v>
      </c>
      <c r="S484" s="7">
        <v>0.0</v>
      </c>
      <c r="T484" s="7">
        <v>0.0</v>
      </c>
      <c r="U484" s="7">
        <v>0.0</v>
      </c>
      <c r="V484" s="7">
        <v>252.0</v>
      </c>
      <c r="W484" s="7">
        <f>VLOOKUP($D484,NatureChart,2,0)</f>
        <v>1</v>
      </c>
      <c r="X484" s="7">
        <f>VLOOKUP($D484,NatureChart,3,0)</f>
        <v>1</v>
      </c>
      <c r="Y484" s="7">
        <f>VLOOKUP($D484,NatureChart,4,0)</f>
        <v>0.9</v>
      </c>
      <c r="Z484" s="7">
        <f>VLOOKUP($D484,NatureChart,5,0)</f>
        <v>1</v>
      </c>
      <c r="AA484" s="84">
        <f>VLOOKUP($D484,NatureChart,6,0)</f>
        <v>1.1</v>
      </c>
      <c r="AB484" s="84">
        <f>IF($C484="Shedinja",1,(INT((2*VLOOKUP($C484,DexData,5,0)+INT(Q484/4)+K484)/2)+60))</f>
        <v>141</v>
      </c>
      <c r="AC484" s="84">
        <f>INT(INT((INT((2*VLOOKUP($C484,DexData,6,0)+INT(R484/4)+L484)/2)+5)*W484)*IF($E484="Choice Band",1.5,IF(OR($E484="Mawilite",$E484="Medichamite",$E484="Thick Club"),2,1)))</f>
        <v>128</v>
      </c>
      <c r="AD484" s="84">
        <f>INT(INT((INT((2*VLOOKUP($C484,DexData,7,0)+INT(S484/4)+M484)/2)+5)*X484)*IF($E484="Eviolite",1.5,1))</f>
        <v>104</v>
      </c>
      <c r="AE484" s="84">
        <f>INT(INT((INT((2*VLOOKUP($C484,DexData,9,0)+INT(T484/4)+N484)/2)+5)*Y484)*IF($E484="Choice Specs",1.5,1))</f>
        <v>53</v>
      </c>
      <c r="AF484" s="84">
        <f>INT(INT((INT((2*VLOOKUP($C484,DexData,10,0)+INT(U484/4)+O484)/2)+5)*Z484)*IF(OR($E484="Eviolite",$E484="Assault Vest"),1.5,1))</f>
        <v>116</v>
      </c>
      <c r="AG484" s="84">
        <f>INT(INT((INT((2*VLOOKUP($C484,DexData,11,0)+INT(V484/4)+P484)/2)+5)*AA484)*IF($E484="Choice Scarf",1.5,IF($E484="Iron Ball",0.5,1)))</f>
        <v>172</v>
      </c>
      <c r="AH484" s="84" t="str">
        <f>VLOOKUP(VLOOKUP($C484,DexData,3,0),Aliases!D$2:E$19,2,0)&amp;IFERROR("/"&amp;VLOOKUP(VLOOKUP($C484,DexData,4,0),Aliases!D$2:E$19,2,0),"")</f>
        <v>NRM</v>
      </c>
      <c r="AI484" s="7">
        <v>3.0</v>
      </c>
      <c r="AJ484" s="7">
        <f>IF(VLOOKUP(B484,'Set Odds'!A$2:AN$1067,40,0),1,IF(VLOOKUP(B484,'Set Odds'!A$2:AO$1067,41,0),2,0))</f>
        <v>1</v>
      </c>
      <c r="AK484" s="7"/>
      <c r="AL484" s="7" t="str">
        <f t="shared" si="1"/>
        <v/>
      </c>
    </row>
    <row r="485" ht="12.75" customHeight="1">
      <c r="A485" s="86">
        <v>484.0</v>
      </c>
      <c r="B485" s="84" t="s">
        <v>4001</v>
      </c>
      <c r="C485" s="7" t="s">
        <v>3704</v>
      </c>
      <c r="D485" s="7" t="s">
        <v>2635</v>
      </c>
      <c r="E485" s="7" t="s">
        <v>3715</v>
      </c>
      <c r="F485" s="84" t="s">
        <v>2661</v>
      </c>
      <c r="G485" s="84" t="s">
        <v>3047</v>
      </c>
      <c r="H485" s="84" t="s">
        <v>2848</v>
      </c>
      <c r="I485" s="84" t="s">
        <v>3435</v>
      </c>
      <c r="J485" s="7" t="s">
        <v>3496</v>
      </c>
      <c r="K485" s="7">
        <v>31.0</v>
      </c>
      <c r="L485" s="7">
        <v>0.0</v>
      </c>
      <c r="M485" s="7">
        <v>31.0</v>
      </c>
      <c r="N485" s="7">
        <v>31.0</v>
      </c>
      <c r="O485" s="7">
        <v>31.0</v>
      </c>
      <c r="P485" s="7">
        <v>31.0</v>
      </c>
      <c r="Q485" s="7">
        <v>4.0</v>
      </c>
      <c r="R485" s="7">
        <v>0.0</v>
      </c>
      <c r="S485" s="7">
        <v>0.0</v>
      </c>
      <c r="T485" s="7">
        <v>252.0</v>
      </c>
      <c r="U485" s="7">
        <v>0.0</v>
      </c>
      <c r="V485" s="7">
        <v>252.0</v>
      </c>
      <c r="W485" s="7">
        <f>VLOOKUP($D485,NatureChart,2,0)</f>
        <v>0.9</v>
      </c>
      <c r="X485" s="7">
        <f>VLOOKUP($D485,NatureChart,3,0)</f>
        <v>1</v>
      </c>
      <c r="Y485" s="7">
        <f>VLOOKUP($D485,NatureChart,4,0)</f>
        <v>1</v>
      </c>
      <c r="Z485" s="7">
        <f>VLOOKUP($D485,NatureChart,5,0)</f>
        <v>1</v>
      </c>
      <c r="AA485" s="84">
        <f>VLOOKUP($D485,NatureChart,6,0)</f>
        <v>1.1</v>
      </c>
      <c r="AB485" s="84">
        <f>IF($C485="Shedinja",1,(INT((2*VLOOKUP($C485,DexData,5,0)+INT(Q485/4)+K485)/2)+60))</f>
        <v>146</v>
      </c>
      <c r="AC485" s="84">
        <f>INT(INT((INT((2*VLOOKUP($C485,DexData,6,0)+INT(R485/4)+L485)/2)+5)*W485)*IF($E485="Choice Band",1.5,IF(OR($E485="Mawilite",$E485="Medichamite",$E485="Thick Club"),2,1)))</f>
        <v>76</v>
      </c>
      <c r="AD485" s="84">
        <f>INT(INT((INT((2*VLOOKUP($C485,DexData,7,0)+INT(S485/4)+M485)/2)+5)*X485)*IF($E485="Eviolite",1.5,1))</f>
        <v>90</v>
      </c>
      <c r="AE485" s="84">
        <f>INT(INT((INT((2*VLOOKUP($C485,DexData,9,0)+INT(T485/4)+N485)/2)+5)*Y485)*IF($E485="Choice Specs",1.5,1))</f>
        <v>132</v>
      </c>
      <c r="AF485" s="84">
        <f>INT(INT((INT((2*VLOOKUP($C485,DexData,10,0)+INT(U485/4)+O485)/2)+5)*Z485)*IF(OR($E485="Eviolite",$E485="Assault Vest"),1.5,1))</f>
        <v>90</v>
      </c>
      <c r="AG485" s="84">
        <f>INT(INT((INT((2*VLOOKUP($C485,DexData,11,0)+INT(V485/4)+P485)/2)+5)*AA485)*IF($E485="Choice Scarf",1.5,IF($E485="Iron Ball",0.5,1)))</f>
        <v>178</v>
      </c>
      <c r="AH485" s="84" t="str">
        <f>VLOOKUP(VLOOKUP($C485,DexData,3,0),Aliases!D$2:E$19,2,0)&amp;IFERROR("/"&amp;VLOOKUP(VLOOKUP($C485,DexData,4,0),Aliases!D$2:E$19,2,0),"")</f>
        <v>ICE/GHO</v>
      </c>
      <c r="AI485" s="7">
        <v>3.0</v>
      </c>
      <c r="AJ485" s="7">
        <f>IF(VLOOKUP(B485,'Set Odds'!A$2:AN$1067,40,0),1,IF(VLOOKUP(B485,'Set Odds'!A$2:AO$1067,41,0),2,0))</f>
        <v>1</v>
      </c>
      <c r="AK485" s="7"/>
      <c r="AL485" s="7" t="str">
        <f t="shared" si="1"/>
        <v/>
      </c>
    </row>
    <row r="486" ht="12.75" customHeight="1">
      <c r="A486" s="86">
        <v>485.0</v>
      </c>
      <c r="B486" s="84" t="s">
        <v>4002</v>
      </c>
      <c r="C486" s="7" t="s">
        <v>3706</v>
      </c>
      <c r="D486" s="7" t="s">
        <v>2656</v>
      </c>
      <c r="E486" s="7" t="s">
        <v>3715</v>
      </c>
      <c r="F486" s="84" t="s">
        <v>2661</v>
      </c>
      <c r="G486" s="84" t="s">
        <v>3435</v>
      </c>
      <c r="H486" s="84" t="s">
        <v>2601</v>
      </c>
      <c r="I486" s="84" t="s">
        <v>2638</v>
      </c>
      <c r="J486" s="7" t="s">
        <v>3412</v>
      </c>
      <c r="K486" s="7">
        <v>31.0</v>
      </c>
      <c r="L486" s="7">
        <v>0.0</v>
      </c>
      <c r="M486" s="7">
        <v>31.0</v>
      </c>
      <c r="N486" s="7">
        <v>31.0</v>
      </c>
      <c r="O486" s="7">
        <v>31.0</v>
      </c>
      <c r="P486" s="7">
        <v>31.0</v>
      </c>
      <c r="Q486" s="7">
        <v>4.0</v>
      </c>
      <c r="R486" s="7">
        <v>0.0</v>
      </c>
      <c r="S486" s="7">
        <v>0.0</v>
      </c>
      <c r="T486" s="7">
        <v>252.0</v>
      </c>
      <c r="U486" s="7">
        <v>0.0</v>
      </c>
      <c r="V486" s="7">
        <v>252.0</v>
      </c>
      <c r="W486" s="7">
        <f>VLOOKUP($D486,NatureChart,2,0)</f>
        <v>0.9</v>
      </c>
      <c r="X486" s="7">
        <f>VLOOKUP($D486,NatureChart,3,0)</f>
        <v>1</v>
      </c>
      <c r="Y486" s="7">
        <f>VLOOKUP($D486,NatureChart,4,0)</f>
        <v>1.1</v>
      </c>
      <c r="Z486" s="7">
        <f>VLOOKUP($D486,NatureChart,5,0)</f>
        <v>1</v>
      </c>
      <c r="AA486" s="84">
        <f>VLOOKUP($D486,NatureChart,6,0)</f>
        <v>1</v>
      </c>
      <c r="AB486" s="84">
        <f>IF($C486="Shedinja",1,(INT((2*VLOOKUP($C486,DexData,5,0)+INT(Q486/4)+K486)/2)+60))</f>
        <v>151</v>
      </c>
      <c r="AC486" s="84">
        <f>INT(INT((INT((2*VLOOKUP($C486,DexData,6,0)+INT(R486/4)+L486)/2)+5)*W486)*IF($E486="Choice Band",1.5,IF(OR($E486="Mawilite",$E486="Medichamite",$E486="Thick Club"),2,1)))</f>
        <v>94</v>
      </c>
      <c r="AD486" s="84">
        <f>INT(INT((INT((2*VLOOKUP($C486,DexData,7,0)+INT(S486/4)+M486)/2)+5)*X486)*IF($E486="Eviolite",1.5,1))</f>
        <v>86</v>
      </c>
      <c r="AE486" s="84">
        <f>INT(INT((INT((2*VLOOKUP($C486,DexData,9,0)+INT(T486/4)+N486)/2)+5)*Y486)*IF($E486="Choice Specs",1.5,1))</f>
        <v>123</v>
      </c>
      <c r="AF486" s="84">
        <f>INT(INT((INT((2*VLOOKUP($C486,DexData,10,0)+INT(U486/4)+O486)/2)+5)*Z486)*IF(OR($E486="Eviolite",$E486="Assault Vest"),1.5,1))</f>
        <v>86</v>
      </c>
      <c r="AG486" s="84">
        <f>INT(INT((INT((2*VLOOKUP($C486,DexData,11,0)+INT(V486/4)+P486)/2)+5)*AA486)*IF($E486="Choice Scarf",1.5,IF($E486="Iron Ball",0.5,1)))</f>
        <v>167</v>
      </c>
      <c r="AH486" s="84" t="str">
        <f>VLOOKUP(VLOOKUP($C486,DexData,3,0),Aliases!D$2:E$19,2,0)&amp;IFERROR("/"&amp;VLOOKUP(VLOOKUP($C486,DexData,4,0),Aliases!D$2:E$19,2,0),"")</f>
        <v>NRM</v>
      </c>
      <c r="AI486" s="7">
        <v>3.0</v>
      </c>
      <c r="AJ486" s="7">
        <f>IF(VLOOKUP(B486,'Set Odds'!A$2:AN$1067,40,0),1,IF(VLOOKUP(B486,'Set Odds'!A$2:AO$1067,41,0),2,0))</f>
        <v>1</v>
      </c>
      <c r="AK486" s="7"/>
      <c r="AL486" s="7" t="str">
        <f t="shared" si="1"/>
        <v/>
      </c>
    </row>
    <row r="487" ht="12.75" customHeight="1">
      <c r="A487" s="86">
        <v>486.0</v>
      </c>
      <c r="B487" s="84" t="s">
        <v>4003</v>
      </c>
      <c r="C487" s="7" t="s">
        <v>3709</v>
      </c>
      <c r="D487" s="7" t="s">
        <v>2656</v>
      </c>
      <c r="E487" s="7" t="s">
        <v>2520</v>
      </c>
      <c r="F487" s="84" t="s">
        <v>2659</v>
      </c>
      <c r="G487" s="84" t="s">
        <v>3590</v>
      </c>
      <c r="H487" s="84" t="s">
        <v>2763</v>
      </c>
      <c r="I487" s="84" t="s">
        <v>3718</v>
      </c>
      <c r="J487" s="7" t="s">
        <v>2735</v>
      </c>
      <c r="K487" s="7">
        <v>31.0</v>
      </c>
      <c r="L487" s="7">
        <v>0.0</v>
      </c>
      <c r="M487" s="7">
        <v>31.0</v>
      </c>
      <c r="N487" s="7">
        <v>31.0</v>
      </c>
      <c r="O487" s="7">
        <v>31.0</v>
      </c>
      <c r="P487" s="7">
        <v>31.0</v>
      </c>
      <c r="Q487" s="7">
        <v>4.0</v>
      </c>
      <c r="R487" s="7">
        <v>0.0</v>
      </c>
      <c r="S487" s="7">
        <v>0.0</v>
      </c>
      <c r="T487" s="7">
        <v>252.0</v>
      </c>
      <c r="U487" s="7">
        <v>0.0</v>
      </c>
      <c r="V487" s="7">
        <v>252.0</v>
      </c>
      <c r="W487" s="7">
        <f>VLOOKUP($D487,NatureChart,2,0)</f>
        <v>0.9</v>
      </c>
      <c r="X487" s="7">
        <f>VLOOKUP($D487,NatureChart,3,0)</f>
        <v>1</v>
      </c>
      <c r="Y487" s="7">
        <f>VLOOKUP($D487,NatureChart,4,0)</f>
        <v>1.1</v>
      </c>
      <c r="Z487" s="7">
        <f>VLOOKUP($D487,NatureChart,5,0)</f>
        <v>1</v>
      </c>
      <c r="AA487" s="84">
        <f>VLOOKUP($D487,NatureChart,6,0)</f>
        <v>1</v>
      </c>
      <c r="AB487" s="84">
        <f>IF($C487="Shedinja",1,(INT((2*VLOOKUP($C487,DexData,5,0)+INT(Q487/4)+K487)/2)+60))</f>
        <v>161</v>
      </c>
      <c r="AC487" s="84">
        <f>INT(INT((INT((2*VLOOKUP($C487,DexData,6,0)+INT(R487/4)+L487)/2)+5)*W487)*IF($E487="Choice Band",1.5,IF(OR($E487="Mawilite",$E487="Medichamite",$E487="Thick Club"),2,1)))</f>
        <v>70</v>
      </c>
      <c r="AD487" s="84">
        <f>INT(INT((INT((2*VLOOKUP($C487,DexData,7,0)+INT(S487/4)+M487)/2)+5)*X487)*IF($E487="Eviolite",1.5,1))</f>
        <v>90</v>
      </c>
      <c r="AE487" s="84">
        <f>INT(INT((INT((2*VLOOKUP($C487,DexData,9,0)+INT(T487/4)+N487)/2)+5)*Y487)*IF($E487="Choice Specs",1.5,1))</f>
        <v>137</v>
      </c>
      <c r="AF487" s="84">
        <f>INT(INT((INT((2*VLOOKUP($C487,DexData,10,0)+INT(U487/4)+O487)/2)+5)*Z487)*IF(OR($E487="Eviolite",$E487="Assault Vest"),1.5,1))</f>
        <v>135</v>
      </c>
      <c r="AG487" s="84">
        <f>INT(INT((INT((2*VLOOKUP($C487,DexData,11,0)+INT(V487/4)+P487)/2)+5)*AA487)*IF($E487="Choice Scarf",1.5,IF($E487="Iron Ball",0.5,1)))</f>
        <v>119</v>
      </c>
      <c r="AH487" s="84" t="str">
        <f>VLOOKUP(VLOOKUP($C487,DexData,3,0),Aliases!D$2:E$19,2,0)&amp;IFERROR("/"&amp;VLOOKUP(VLOOKUP($C487,DexData,4,0),Aliases!D$2:E$19,2,0),"")</f>
        <v>PSY</v>
      </c>
      <c r="AI487" s="7">
        <v>3.0</v>
      </c>
      <c r="AJ487" s="7">
        <f>IF(VLOOKUP(B487,'Set Odds'!A$2:AN$1067,40,0),1,IF(VLOOKUP(B487,'Set Odds'!A$2:AO$1067,41,0),2,0))</f>
        <v>1</v>
      </c>
      <c r="AK487" s="7"/>
      <c r="AL487" s="7" t="str">
        <f t="shared" si="1"/>
        <v/>
      </c>
    </row>
    <row r="488" ht="12.75" customHeight="1">
      <c r="A488" s="86">
        <v>487.0</v>
      </c>
      <c r="B488" s="84" t="s">
        <v>4004</v>
      </c>
      <c r="C488" s="7" t="s">
        <v>3712</v>
      </c>
      <c r="D488" s="7" t="s">
        <v>2629</v>
      </c>
      <c r="E488" s="7" t="s">
        <v>2520</v>
      </c>
      <c r="F488" s="84" t="s">
        <v>2752</v>
      </c>
      <c r="G488" s="84" t="s">
        <v>2895</v>
      </c>
      <c r="H488" s="84" t="s">
        <v>2757</v>
      </c>
      <c r="I488" s="84" t="s">
        <v>2798</v>
      </c>
      <c r="J488" s="7" t="s">
        <v>4005</v>
      </c>
      <c r="K488" s="7">
        <v>31.0</v>
      </c>
      <c r="L488" s="7">
        <v>31.0</v>
      </c>
      <c r="M488" s="7">
        <v>31.0</v>
      </c>
      <c r="N488" s="7">
        <v>0.0</v>
      </c>
      <c r="O488" s="7">
        <v>31.0</v>
      </c>
      <c r="P488" s="7">
        <v>0.0</v>
      </c>
      <c r="Q488" s="7">
        <v>252.0</v>
      </c>
      <c r="R488" s="7">
        <v>252.0</v>
      </c>
      <c r="S488" s="7">
        <v>4.0</v>
      </c>
      <c r="T488" s="7">
        <v>0.0</v>
      </c>
      <c r="U488" s="7">
        <v>0.0</v>
      </c>
      <c r="V488" s="7">
        <v>0.0</v>
      </c>
      <c r="W488" s="7">
        <f>VLOOKUP($D488,NatureChart,2,0)</f>
        <v>1.1</v>
      </c>
      <c r="X488" s="7">
        <f>VLOOKUP($D488,NatureChart,3,0)</f>
        <v>1</v>
      </c>
      <c r="Y488" s="7">
        <f>VLOOKUP($D488,NatureChart,4,0)</f>
        <v>1</v>
      </c>
      <c r="Z488" s="7">
        <f>VLOOKUP($D488,NatureChart,5,0)</f>
        <v>1</v>
      </c>
      <c r="AA488" s="84">
        <f>VLOOKUP($D488,NatureChart,6,0)</f>
        <v>0.9</v>
      </c>
      <c r="AB488" s="84">
        <f>IF($C488="Shedinja",1,(INT((2*VLOOKUP($C488,DexData,5,0)+INT(Q488/4)+K488)/2)+60))</f>
        <v>187</v>
      </c>
      <c r="AC488" s="84">
        <f>INT(INT((INT((2*VLOOKUP($C488,DexData,6,0)+INT(R488/4)+L488)/2)+5)*W488)*IF($E488="Choice Band",1.5,IF(OR($E488="Mawilite",$E488="Medichamite",$E488="Thick Club"),2,1)))</f>
        <v>189</v>
      </c>
      <c r="AD488" s="84">
        <f>INT(INT((INT((2*VLOOKUP($C488,DexData,7,0)+INT(S488/4)+M488)/2)+5)*X488)*IF($E488="Eviolite",1.5,1))</f>
        <v>151</v>
      </c>
      <c r="AE488" s="84">
        <f>INT(INT((INT((2*VLOOKUP($C488,DexData,9,0)+INT(T488/4)+N488)/2)+5)*Y488)*IF($E488="Choice Specs",1.5,1))</f>
        <v>60</v>
      </c>
      <c r="AF488" s="84">
        <f>INT(INT((INT((2*VLOOKUP($C488,DexData,10,0)+INT(U488/4)+O488)/2)+5)*Z488)*IF(OR($E488="Eviolite",$E488="Assault Vest"),1.5,1))</f>
        <v>85</v>
      </c>
      <c r="AG488" s="84">
        <f>INT(INT((INT((2*VLOOKUP($C488,DexData,11,0)+INT(V488/4)+P488)/2)+5)*AA488)*IF($E488="Choice Scarf",1.5,IF($E488="Iron Ball",0.5,1)))</f>
        <v>45</v>
      </c>
      <c r="AH488" s="84" t="str">
        <f>VLOOKUP(VLOOKUP($C488,DexData,3,0),Aliases!D$2:E$19,2,0)&amp;IFERROR("/"&amp;VLOOKUP(VLOOKUP($C488,DexData,4,0),Aliases!D$2:E$19,2,0),"")</f>
        <v>RCK/GRD</v>
      </c>
      <c r="AI488" s="7">
        <v>3.0</v>
      </c>
      <c r="AJ488" s="7">
        <f>IF(VLOOKUP(B488,'Set Odds'!A$2:AN$1067,40,0),1,IF(VLOOKUP(B488,'Set Odds'!A$2:AO$1067,41,0),2,0))</f>
        <v>1</v>
      </c>
      <c r="AK488" s="7"/>
      <c r="AL488" s="7" t="str">
        <f t="shared" si="1"/>
        <v/>
      </c>
    </row>
    <row r="489" ht="12.75" customHeight="1">
      <c r="A489" s="86">
        <v>488.0</v>
      </c>
      <c r="B489" s="84" t="s">
        <v>4006</v>
      </c>
      <c r="C489" s="7" t="s">
        <v>3714</v>
      </c>
      <c r="D489" s="7" t="s">
        <v>2629</v>
      </c>
      <c r="E489" s="7" t="s">
        <v>4007</v>
      </c>
      <c r="F489" s="84" t="s">
        <v>2757</v>
      </c>
      <c r="G489" s="84" t="s">
        <v>2580</v>
      </c>
      <c r="H489" s="84" t="s">
        <v>3454</v>
      </c>
      <c r="I489" s="84" t="s">
        <v>2874</v>
      </c>
      <c r="J489" s="7" t="s">
        <v>2747</v>
      </c>
      <c r="K489" s="7">
        <v>31.0</v>
      </c>
      <c r="L489" s="7">
        <v>31.0</v>
      </c>
      <c r="M489" s="7">
        <v>31.0</v>
      </c>
      <c r="N489" s="7">
        <v>0.0</v>
      </c>
      <c r="O489" s="7">
        <v>31.0</v>
      </c>
      <c r="P489" s="7">
        <v>0.0</v>
      </c>
      <c r="Q489" s="7">
        <v>252.0</v>
      </c>
      <c r="R489" s="7">
        <v>252.0</v>
      </c>
      <c r="S489" s="7">
        <v>4.0</v>
      </c>
      <c r="T489" s="7">
        <v>0.0</v>
      </c>
      <c r="U489" s="7">
        <v>0.0</v>
      </c>
      <c r="V489" s="7">
        <v>0.0</v>
      </c>
      <c r="W489" s="7">
        <f>VLOOKUP($D489,NatureChart,2,0)</f>
        <v>1.1</v>
      </c>
      <c r="X489" s="7">
        <f>VLOOKUP($D489,NatureChart,3,0)</f>
        <v>1</v>
      </c>
      <c r="Y489" s="7">
        <f>VLOOKUP($D489,NatureChart,4,0)</f>
        <v>1</v>
      </c>
      <c r="Z489" s="7">
        <f>VLOOKUP($D489,NatureChart,5,0)</f>
        <v>1</v>
      </c>
      <c r="AA489" s="84">
        <f>VLOOKUP($D489,NatureChart,6,0)</f>
        <v>0.9</v>
      </c>
      <c r="AB489" s="84">
        <f>IF($C489="Shedinja",1,(INT((2*VLOOKUP($C489,DexData,5,0)+INT(Q489/4)+K489)/2)+60))</f>
        <v>212</v>
      </c>
      <c r="AC489" s="84">
        <f>INT(INT((INT((2*VLOOKUP($C489,DexData,6,0)+INT(R489/4)+L489)/2)+5)*W489)*IF($E489="Choice Band",1.5,IF(OR($E489="Mawilite",$E489="Medichamite",$E489="Thick Club"),2,1)))</f>
        <v>200</v>
      </c>
      <c r="AD489" s="84">
        <f>INT(INT((INT((2*VLOOKUP($C489,DexData,7,0)+INT(S489/4)+M489)/2)+5)*X489)*IF($E489="Eviolite",1.5,1))</f>
        <v>141</v>
      </c>
      <c r="AE489" s="84">
        <f>INT(INT((INT((2*VLOOKUP($C489,DexData,9,0)+INT(T489/4)+N489)/2)+5)*Y489)*IF($E489="Choice Specs",1.5,1))</f>
        <v>50</v>
      </c>
      <c r="AF489" s="84">
        <f>INT(INT((INT((2*VLOOKUP($C489,DexData,10,0)+INT(U489/4)+O489)/2)+5)*Z489)*IF(OR($E489="Eviolite",$E489="Assault Vest"),1.5,1))</f>
        <v>65</v>
      </c>
      <c r="AG489" s="84">
        <f>INT(INT((INT((2*VLOOKUP($C489,DexData,11,0)+INT(V489/4)+P489)/2)+5)*AA489)*IF($E489="Choice Scarf",1.5,IF($E489="Iron Ball",0.5,1)))</f>
        <v>40</v>
      </c>
      <c r="AH489" s="84" t="str">
        <f>VLOOKUP(VLOOKUP($C489,DexData,3,0),Aliases!D$2:E$19,2,0)&amp;IFERROR("/"&amp;VLOOKUP(VLOOKUP($C489,DexData,4,0),Aliases!D$2:E$19,2,0),"")</f>
        <v>RCK/GRD</v>
      </c>
      <c r="AI489" s="7">
        <v>3.0</v>
      </c>
      <c r="AJ489" s="7">
        <f>IF(VLOOKUP(B489,'Set Odds'!A$2:AN$1067,40,0),1,IF(VLOOKUP(B489,'Set Odds'!A$2:AO$1067,41,0),2,0))</f>
        <v>1</v>
      </c>
      <c r="AK489" s="7"/>
      <c r="AL489" s="7" t="str">
        <f t="shared" si="1"/>
        <v/>
      </c>
    </row>
    <row r="490" ht="12.75" customHeight="1">
      <c r="A490" s="86">
        <v>489.0</v>
      </c>
      <c r="B490" s="84" t="s">
        <v>4008</v>
      </c>
      <c r="C490" s="7" t="s">
        <v>3717</v>
      </c>
      <c r="D490" s="7" t="s">
        <v>2571</v>
      </c>
      <c r="E490" s="7" t="s">
        <v>3726</v>
      </c>
      <c r="F490" s="84" t="s">
        <v>2688</v>
      </c>
      <c r="G490" s="84" t="s">
        <v>3710</v>
      </c>
      <c r="H490" s="84" t="s">
        <v>3454</v>
      </c>
      <c r="I490" s="84" t="s">
        <v>2581</v>
      </c>
      <c r="J490" s="7" t="s">
        <v>3404</v>
      </c>
      <c r="K490" s="7">
        <v>31.0</v>
      </c>
      <c r="L490" s="7">
        <v>31.0</v>
      </c>
      <c r="M490" s="7">
        <v>31.0</v>
      </c>
      <c r="N490" s="7">
        <v>0.0</v>
      </c>
      <c r="O490" s="7">
        <v>31.0</v>
      </c>
      <c r="P490" s="7">
        <v>31.0</v>
      </c>
      <c r="Q490" s="7">
        <v>252.0</v>
      </c>
      <c r="R490" s="7">
        <v>252.0</v>
      </c>
      <c r="S490" s="7">
        <v>4.0</v>
      </c>
      <c r="T490" s="7">
        <v>0.0</v>
      </c>
      <c r="U490" s="7">
        <v>0.0</v>
      </c>
      <c r="V490" s="7">
        <v>0.0</v>
      </c>
      <c r="W490" s="7">
        <f>VLOOKUP($D490,NatureChart,2,0)</f>
        <v>1.1</v>
      </c>
      <c r="X490" s="7">
        <f>VLOOKUP($D490,NatureChart,3,0)</f>
        <v>1</v>
      </c>
      <c r="Y490" s="7">
        <f>VLOOKUP($D490,NatureChart,4,0)</f>
        <v>0.9</v>
      </c>
      <c r="Z490" s="7">
        <f>VLOOKUP($D490,NatureChart,5,0)</f>
        <v>1</v>
      </c>
      <c r="AA490" s="84">
        <f>VLOOKUP($D490,NatureChart,6,0)</f>
        <v>1</v>
      </c>
      <c r="AB490" s="84">
        <f>IF($C490="Shedinja",1,(INT((2*VLOOKUP($C490,DexData,5,0)+INT(Q490/4)+K490)/2)+60))</f>
        <v>202</v>
      </c>
      <c r="AC490" s="84">
        <f>INT(INT((INT((2*VLOOKUP($C490,DexData,6,0)+INT(R490/4)+L490)/2)+5)*W490)*IF($E490="Choice Band",1.5,IF(OR($E490="Mawilite",$E490="Medichamite",$E490="Thick Club"),2,1)))</f>
        <v>139</v>
      </c>
      <c r="AD490" s="84">
        <f>INT(INT((INT((2*VLOOKUP($C490,DexData,7,0)+INT(S490/4)+M490)/2)+5)*X490)*IF($E490="Eviolite",1.5,1))</f>
        <v>131</v>
      </c>
      <c r="AE490" s="84">
        <f>INT(INT((INT((2*VLOOKUP($C490,DexData,9,0)+INT(T490/4)+N490)/2)+5)*Y490)*IF($E490="Choice Specs",1.5,1))</f>
        <v>94</v>
      </c>
      <c r="AF490" s="84">
        <f>INT(INT((INT((2*VLOOKUP($C490,DexData,10,0)+INT(U490/4)+O490)/2)+5)*Z490)*IF(OR($E490="Eviolite",$E490="Assault Vest"),1.5,1))</f>
        <v>100</v>
      </c>
      <c r="AG490" s="84">
        <f>INT(INT((INT((2*VLOOKUP($C490,DexData,11,0)+INT(V490/4)+P490)/2)+5)*AA490)*IF($E490="Choice Scarf",1.5,IF($E490="Iron Ball",0.5,1)))</f>
        <v>50</v>
      </c>
      <c r="AH490" s="84" t="str">
        <f>VLOOKUP(VLOOKUP($C490,DexData,3,0),Aliases!D$2:E$19,2,0)&amp;IFERROR("/"&amp;VLOOKUP(VLOOKUP($C490,DexData,4,0),Aliases!D$2:E$19,2,0),"")</f>
        <v>WTR/PSY</v>
      </c>
      <c r="AI490" s="7">
        <v>3.0</v>
      </c>
      <c r="AJ490" s="7">
        <f>IF(VLOOKUP(B490,'Set Odds'!A$2:AN$1067,40,0),1,IF(VLOOKUP(B490,'Set Odds'!A$2:AO$1067,41,0),2,0))</f>
        <v>1</v>
      </c>
      <c r="AK490" s="7"/>
      <c r="AL490" s="7" t="str">
        <f t="shared" si="1"/>
        <v/>
      </c>
    </row>
    <row r="491" ht="12.75" customHeight="1">
      <c r="A491" s="86">
        <v>490.0</v>
      </c>
      <c r="B491" s="84" t="s">
        <v>4009</v>
      </c>
      <c r="C491" s="7" t="s">
        <v>3721</v>
      </c>
      <c r="D491" s="7" t="s">
        <v>3597</v>
      </c>
      <c r="E491" s="7" t="s">
        <v>2524</v>
      </c>
      <c r="F491" s="84" t="s">
        <v>3052</v>
      </c>
      <c r="G491" s="84" t="s">
        <v>3600</v>
      </c>
      <c r="H491" s="84" t="s">
        <v>2732</v>
      </c>
      <c r="I491" s="84" t="s">
        <v>3407</v>
      </c>
      <c r="J491" s="7" t="s">
        <v>2714</v>
      </c>
      <c r="K491" s="7">
        <v>31.0</v>
      </c>
      <c r="L491" s="7">
        <v>0.0</v>
      </c>
      <c r="M491" s="7">
        <v>31.0</v>
      </c>
      <c r="N491" s="7">
        <v>31.0</v>
      </c>
      <c r="O491" s="7">
        <v>31.0</v>
      </c>
      <c r="P491" s="7">
        <v>31.0</v>
      </c>
      <c r="Q491" s="7">
        <v>252.0</v>
      </c>
      <c r="R491" s="7">
        <v>0.0</v>
      </c>
      <c r="S491" s="7">
        <v>4.0</v>
      </c>
      <c r="T491" s="7">
        <v>0.0</v>
      </c>
      <c r="U491" s="7">
        <v>252.0</v>
      </c>
      <c r="V491" s="7">
        <v>0.0</v>
      </c>
      <c r="W491" s="7">
        <f>VLOOKUP($D491,NatureChart,2,0)</f>
        <v>0.9</v>
      </c>
      <c r="X491" s="7">
        <f>VLOOKUP($D491,NatureChart,3,0)</f>
        <v>1</v>
      </c>
      <c r="Y491" s="7">
        <f>VLOOKUP($D491,NatureChart,4,0)</f>
        <v>1</v>
      </c>
      <c r="Z491" s="7">
        <f>VLOOKUP($D491,NatureChart,5,0)</f>
        <v>1.1</v>
      </c>
      <c r="AA491" s="84">
        <f>VLOOKUP($D491,NatureChart,6,0)</f>
        <v>1</v>
      </c>
      <c r="AB491" s="84">
        <f>IF($C491="Shedinja",1,(INT((2*VLOOKUP($C491,DexData,5,0)+INT(Q491/4)+K491)/2)+60))</f>
        <v>172</v>
      </c>
      <c r="AC491" s="84">
        <f>INT(INT((INT((2*VLOOKUP($C491,DexData,6,0)+INT(R491/4)+L491)/2)+5)*W491)*IF($E491="Choice Band",1.5,IF(OR($E491="Mawilite",$E491="Medichamite",$E491="Thick Club"),2,1)))</f>
        <v>85</v>
      </c>
      <c r="AD491" s="84">
        <f>INT(INT((INT((2*VLOOKUP($C491,DexData,7,0)+INT(S491/4)+M491)/2)+5)*X491)*IF($E491="Eviolite",1.5,1))</f>
        <v>141</v>
      </c>
      <c r="AE491" s="84">
        <f>INT(INT((INT((2*VLOOKUP($C491,DexData,9,0)+INT(T491/4)+N491)/2)+5)*Y491)*IF($E491="Choice Specs",1.5,1))</f>
        <v>105</v>
      </c>
      <c r="AF491" s="84">
        <f>INT(INT((INT((2*VLOOKUP($C491,DexData,10,0)+INT(U491/4)+O491)/2)+5)*Z491)*IF(OR($E491="Eviolite",$E491="Assault Vest"),1.5,1))</f>
        <v>134</v>
      </c>
      <c r="AG491" s="84">
        <f>INT(INT((INT((2*VLOOKUP($C491,DexData,11,0)+INT(V491/4)+P491)/2)+5)*AA491)*IF($E491="Choice Scarf",1.5,IF($E491="Iron Ball",0.5,1)))</f>
        <v>80</v>
      </c>
      <c r="AH491" s="84" t="str">
        <f>VLOOKUP(VLOOKUP($C491,DexData,3,0),Aliases!D$2:E$19,2,0)&amp;IFERROR("/"&amp;VLOOKUP(VLOOKUP($C491,DexData,4,0),Aliases!D$2:E$19,2,0),"")</f>
        <v>PSN</v>
      </c>
      <c r="AI491" s="7">
        <v>3.0</v>
      </c>
      <c r="AJ491" s="7">
        <f>IF(VLOOKUP(B491,'Set Odds'!A$2:AN$1067,40,0),1,IF(VLOOKUP(B491,'Set Odds'!A$2:AO$1067,41,0),2,0))</f>
        <v>1</v>
      </c>
      <c r="AK491" s="7"/>
      <c r="AL491" s="7" t="str">
        <f t="shared" si="1"/>
        <v/>
      </c>
    </row>
    <row r="492" ht="12.75" customHeight="1">
      <c r="A492" s="86">
        <v>491.0</v>
      </c>
      <c r="B492" s="84" t="s">
        <v>4010</v>
      </c>
      <c r="C492" s="7" t="s">
        <v>3723</v>
      </c>
      <c r="D492" s="7" t="s">
        <v>2648</v>
      </c>
      <c r="E492" s="7" t="s">
        <v>2515</v>
      </c>
      <c r="F492" s="84" t="s">
        <v>2525</v>
      </c>
      <c r="G492" s="84" t="s">
        <v>3945</v>
      </c>
      <c r="H492" s="84" t="s">
        <v>2513</v>
      </c>
      <c r="I492" s="84" t="s">
        <v>3707</v>
      </c>
      <c r="J492" s="7" t="s">
        <v>3141</v>
      </c>
      <c r="K492" s="7">
        <v>31.0</v>
      </c>
      <c r="L492" s="7">
        <v>31.0</v>
      </c>
      <c r="M492" s="7">
        <v>31.0</v>
      </c>
      <c r="N492" s="7">
        <v>0.0</v>
      </c>
      <c r="O492" s="7">
        <v>31.0</v>
      </c>
      <c r="P492" s="7">
        <v>31.0</v>
      </c>
      <c r="Q492" s="7">
        <v>252.0</v>
      </c>
      <c r="R492" s="7">
        <v>4.0</v>
      </c>
      <c r="S492" s="7">
        <v>252.0</v>
      </c>
      <c r="T492" s="7">
        <v>0.0</v>
      </c>
      <c r="U492" s="7">
        <v>0.0</v>
      </c>
      <c r="V492" s="7">
        <v>0.0</v>
      </c>
      <c r="W492" s="7">
        <f>VLOOKUP($D492,NatureChart,2,0)</f>
        <v>1</v>
      </c>
      <c r="X492" s="7">
        <f>VLOOKUP($D492,NatureChart,3,0)</f>
        <v>1.1</v>
      </c>
      <c r="Y492" s="7">
        <f>VLOOKUP($D492,NatureChart,4,0)</f>
        <v>0.9</v>
      </c>
      <c r="Z492" s="7">
        <f>VLOOKUP($D492,NatureChart,5,0)</f>
        <v>1</v>
      </c>
      <c r="AA492" s="84">
        <f>VLOOKUP($D492,NatureChart,6,0)</f>
        <v>1</v>
      </c>
      <c r="AB492" s="84">
        <f>IF($C492="Shedinja",1,(INT((2*VLOOKUP($C492,DexData,5,0)+INT(Q492/4)+K492)/2)+60))</f>
        <v>212</v>
      </c>
      <c r="AC492" s="84">
        <f>INT(INT((INT((2*VLOOKUP($C492,DexData,6,0)+INT(R492/4)+L492)/2)+5)*W492)*IF($E492="Choice Band",1.5,IF(OR($E492="Mawilite",$E492="Medichamite",$E492="Thick Club"),2,1)))</f>
        <v>116</v>
      </c>
      <c r="AD492" s="84">
        <f>INT(INT((INT((2*VLOOKUP($C492,DexData,7,0)+INT(S492/4)+M492)/2)+5)*X492)*IF($E492="Eviolite",1.5,1))</f>
        <v>145</v>
      </c>
      <c r="AE492" s="84">
        <f>INT(INT((INT((2*VLOOKUP($C492,DexData,9,0)+INT(T492/4)+N492)/2)+5)*Y492)*IF($E492="Choice Specs",1.5,1))</f>
        <v>40</v>
      </c>
      <c r="AF492" s="84">
        <f>INT(INT((INT((2*VLOOKUP($C492,DexData,10,0)+INT(U492/4)+O492)/2)+5)*Z492)*IF(OR($E492="Eviolite",$E492="Assault Vest"),1.5,1))</f>
        <v>100</v>
      </c>
      <c r="AG492" s="84">
        <f>INT(INT((INT((2*VLOOKUP($C492,DexData,11,0)+INT(V492/4)+P492)/2)+5)*AA492)*IF($E492="Choice Scarf",1.5,IF($E492="Iron Ball",0.5,1)))</f>
        <v>110</v>
      </c>
      <c r="AH492" s="84" t="str">
        <f>VLOOKUP(VLOOKUP($C492,DexData,3,0),Aliases!D$2:E$19,2,0)&amp;IFERROR("/"&amp;VLOOKUP(VLOOKUP($C492,DexData,4,0),Aliases!D$2:E$19,2,0),"")</f>
        <v>NRM</v>
      </c>
      <c r="AI492" s="7">
        <v>3.0</v>
      </c>
      <c r="AJ492" s="7">
        <f>IF(VLOOKUP(B492,'Set Odds'!A$2:AN$1067,40,0),1,IF(VLOOKUP(B492,'Set Odds'!A$2:AO$1067,41,0),2,0))</f>
        <v>1</v>
      </c>
      <c r="AK492" s="7"/>
      <c r="AL492" s="7" t="str">
        <f t="shared" si="1"/>
        <v/>
      </c>
    </row>
    <row r="493" ht="12.75" customHeight="1">
      <c r="A493" s="86">
        <v>492.0</v>
      </c>
      <c r="B493" s="84" t="s">
        <v>4011</v>
      </c>
      <c r="C493" s="7" t="s">
        <v>3725</v>
      </c>
      <c r="D493" s="7" t="s">
        <v>2571</v>
      </c>
      <c r="E493" s="7" t="s">
        <v>2685</v>
      </c>
      <c r="F493" s="84" t="s">
        <v>3319</v>
      </c>
      <c r="G493" s="84" t="s">
        <v>3057</v>
      </c>
      <c r="H493" s="84" t="s">
        <v>3441</v>
      </c>
      <c r="I493" s="84" t="s">
        <v>3185</v>
      </c>
      <c r="J493" s="7" t="s">
        <v>2696</v>
      </c>
      <c r="K493" s="7">
        <v>31.0</v>
      </c>
      <c r="L493" s="7">
        <v>31.0</v>
      </c>
      <c r="M493" s="7">
        <v>31.0</v>
      </c>
      <c r="N493" s="7">
        <v>0.0</v>
      </c>
      <c r="O493" s="7">
        <v>31.0</v>
      </c>
      <c r="P493" s="7">
        <v>31.0</v>
      </c>
      <c r="Q493" s="7">
        <v>4.0</v>
      </c>
      <c r="R493" s="7">
        <v>252.0</v>
      </c>
      <c r="S493" s="7">
        <v>0.0</v>
      </c>
      <c r="T493" s="7">
        <v>0.0</v>
      </c>
      <c r="U493" s="7">
        <v>0.0</v>
      </c>
      <c r="V493" s="7">
        <v>252.0</v>
      </c>
      <c r="W493" s="7">
        <f>VLOOKUP($D493,NatureChart,2,0)</f>
        <v>1.1</v>
      </c>
      <c r="X493" s="7">
        <f>VLOOKUP($D493,NatureChart,3,0)</f>
        <v>1</v>
      </c>
      <c r="Y493" s="7">
        <f>VLOOKUP($D493,NatureChart,4,0)</f>
        <v>0.9</v>
      </c>
      <c r="Z493" s="7">
        <f>VLOOKUP($D493,NatureChart,5,0)</f>
        <v>1</v>
      </c>
      <c r="AA493" s="84">
        <f>VLOOKUP($D493,NatureChart,6,0)</f>
        <v>1</v>
      </c>
      <c r="AB493" s="84">
        <f>IF($C493="Shedinja",1,(INT((2*VLOOKUP($C493,DexData,5,0)+INT(Q493/4)+K493)/2)+60))</f>
        <v>151</v>
      </c>
      <c r="AC493" s="84">
        <f>INT(INT((INT((2*VLOOKUP($C493,DexData,6,0)+INT(R493/4)+L493)/2)+5)*W493)*IF($E493="Choice Band",1.5,IF(OR($E493="Mawilite",$E493="Medichamite",$E493="Thick Club"),2,1)))</f>
        <v>167</v>
      </c>
      <c r="AD493" s="84">
        <f>INT(INT((INT((2*VLOOKUP($C493,DexData,7,0)+INT(S493/4)+M493)/2)+5)*X493)*IF($E493="Eviolite",1.5,1))</f>
        <v>115</v>
      </c>
      <c r="AE493" s="84">
        <f>INT(INT((INT((2*VLOOKUP($C493,DexData,9,0)+INT(T493/4)+N493)/2)+5)*Y493)*IF($E493="Choice Specs",1.5,1))</f>
        <v>40</v>
      </c>
      <c r="AF493" s="84">
        <f>INT(INT((INT((2*VLOOKUP($C493,DexData,10,0)+INT(U493/4)+O493)/2)+5)*Z493)*IF(OR($E493="Eviolite",$E493="Assault Vest"),1.5,1))</f>
        <v>90</v>
      </c>
      <c r="AG493" s="84">
        <f>INT(INT((INT((2*VLOOKUP($C493,DexData,11,0)+INT(V493/4)+P493)/2)+5)*AA493)*IF($E493="Choice Scarf",1.5,IF($E493="Iron Ball",0.5,1)))</f>
        <v>162</v>
      </c>
      <c r="AH493" s="84" t="str">
        <f>VLOOKUP(VLOOKUP($C493,DexData,3,0),Aliases!D$2:E$19,2,0)&amp;IFERROR("/"&amp;VLOOKUP(VLOOKUP($C493,DexData,4,0),Aliases!D$2:E$19,2,0),"")</f>
        <v>NRM</v>
      </c>
      <c r="AI493" s="7">
        <v>3.0</v>
      </c>
      <c r="AJ493" s="7">
        <f>IF(VLOOKUP(B493,'Set Odds'!A$2:AN$1067,40,0),1,IF(VLOOKUP(B493,'Set Odds'!A$2:AO$1067,41,0),2,0))</f>
        <v>1</v>
      </c>
      <c r="AK493" s="7"/>
      <c r="AL493" s="7" t="str">
        <f t="shared" si="1"/>
        <v/>
      </c>
    </row>
    <row r="494" ht="12.75" customHeight="1">
      <c r="A494" s="86">
        <v>493.0</v>
      </c>
      <c r="B494" s="84" t="s">
        <v>4012</v>
      </c>
      <c r="C494" s="7" t="s">
        <v>3728</v>
      </c>
      <c r="D494" s="7" t="s">
        <v>2635</v>
      </c>
      <c r="E494" s="7" t="s">
        <v>3759</v>
      </c>
      <c r="F494" s="84" t="s">
        <v>2659</v>
      </c>
      <c r="G494" s="84" t="s">
        <v>3718</v>
      </c>
      <c r="H494" s="84" t="s">
        <v>2661</v>
      </c>
      <c r="I494" s="84" t="s">
        <v>2952</v>
      </c>
      <c r="J494" s="7" t="s">
        <v>2958</v>
      </c>
      <c r="K494" s="7">
        <v>31.0</v>
      </c>
      <c r="L494" s="7">
        <v>0.0</v>
      </c>
      <c r="M494" s="7">
        <v>31.0</v>
      </c>
      <c r="N494" s="7">
        <v>31.0</v>
      </c>
      <c r="O494" s="7">
        <v>31.0</v>
      </c>
      <c r="P494" s="7">
        <v>31.0</v>
      </c>
      <c r="Q494" s="7">
        <v>4.0</v>
      </c>
      <c r="R494" s="7">
        <v>0.0</v>
      </c>
      <c r="S494" s="7">
        <v>0.0</v>
      </c>
      <c r="T494" s="7">
        <v>252.0</v>
      </c>
      <c r="U494" s="7">
        <v>0.0</v>
      </c>
      <c r="V494" s="7">
        <v>252.0</v>
      </c>
      <c r="W494" s="7">
        <f>VLOOKUP($D494,NatureChart,2,0)</f>
        <v>0.9</v>
      </c>
      <c r="X494" s="7">
        <f>VLOOKUP($D494,NatureChart,3,0)</f>
        <v>1</v>
      </c>
      <c r="Y494" s="7">
        <f>VLOOKUP($D494,NatureChart,4,0)</f>
        <v>1</v>
      </c>
      <c r="Z494" s="7">
        <f>VLOOKUP($D494,NatureChart,5,0)</f>
        <v>1</v>
      </c>
      <c r="AA494" s="84">
        <f>VLOOKUP($D494,NatureChart,6,0)</f>
        <v>1.1</v>
      </c>
      <c r="AB494" s="84">
        <f>IF($C494="Shedinja",1,(INT((2*VLOOKUP($C494,DexData,5,0)+INT(Q494/4)+K494)/2)+60))</f>
        <v>131</v>
      </c>
      <c r="AC494" s="84">
        <f>INT(INT((INT((2*VLOOKUP($C494,DexData,6,0)+INT(R494/4)+L494)/2)+5)*W494)*IF($E494="Choice Band",1.5,IF(OR($E494="Mawilite",$E494="Medichamite",$E494="Thick Club"),2,1)))</f>
        <v>49</v>
      </c>
      <c r="AD494" s="84">
        <f>INT(INT((INT((2*VLOOKUP($C494,DexData,7,0)+INT(S494/4)+M494)/2)+5)*X494)*IF($E494="Eviolite",1.5,1))</f>
        <v>65</v>
      </c>
      <c r="AE494" s="84">
        <f>INT(INT((INT((2*VLOOKUP($C494,DexData,9,0)+INT(T494/4)+N494)/2)+5)*Y494)*IF($E494="Choice Specs",1.5,1))</f>
        <v>187</v>
      </c>
      <c r="AF494" s="84">
        <f>INT(INT((INT((2*VLOOKUP($C494,DexData,10,0)+INT(U494/4)+O494)/2)+5)*Z494)*IF(OR($E494="Eviolite",$E494="Assault Vest"),1.5,1))</f>
        <v>115</v>
      </c>
      <c r="AG494" s="84">
        <f>INT(INT((INT((2*VLOOKUP($C494,DexData,11,0)+INT(V494/4)+P494)/2)+5)*AA494)*IF($E494="Choice Scarf",1.5,IF($E494="Iron Ball",0.5,1)))</f>
        <v>189</v>
      </c>
      <c r="AH494" s="84" t="str">
        <f>VLOOKUP(VLOOKUP($C494,DexData,3,0),Aliases!D$2:E$19,2,0)&amp;IFERROR("/"&amp;VLOOKUP(VLOOKUP($C494,DexData,4,0),Aliases!D$2:E$19,2,0),"")</f>
        <v>PSY</v>
      </c>
      <c r="AI494" s="7">
        <v>3.0</v>
      </c>
      <c r="AJ494" s="7">
        <f>IF(VLOOKUP(B494,'Set Odds'!A$2:AN$1067,40,0),1,IF(VLOOKUP(B494,'Set Odds'!A$2:AO$1067,41,0),2,0))</f>
        <v>1</v>
      </c>
      <c r="AK494" s="7"/>
      <c r="AL494" s="7" t="str">
        <f t="shared" si="1"/>
        <v/>
      </c>
    </row>
    <row r="495" ht="12.75" customHeight="1">
      <c r="A495" s="86">
        <v>494.0</v>
      </c>
      <c r="B495" s="84" t="s">
        <v>4013</v>
      </c>
      <c r="C495" s="7" t="s">
        <v>3732</v>
      </c>
      <c r="D495" s="7" t="s">
        <v>2862</v>
      </c>
      <c r="E495" s="7" t="s">
        <v>3042</v>
      </c>
      <c r="F495" s="84" t="s">
        <v>2631</v>
      </c>
      <c r="G495" s="84" t="s">
        <v>2659</v>
      </c>
      <c r="H495" s="84" t="s">
        <v>2880</v>
      </c>
      <c r="I495" s="84" t="s">
        <v>2660</v>
      </c>
      <c r="J495" s="7" t="s">
        <v>2824</v>
      </c>
      <c r="K495" s="7">
        <v>31.0</v>
      </c>
      <c r="L495" s="7">
        <v>31.0</v>
      </c>
      <c r="M495" s="7">
        <v>31.0</v>
      </c>
      <c r="N495" s="7">
        <v>31.0</v>
      </c>
      <c r="O495" s="7">
        <v>31.0</v>
      </c>
      <c r="P495" s="7">
        <v>31.0</v>
      </c>
      <c r="Q495" s="7">
        <v>252.0</v>
      </c>
      <c r="R495" s="7">
        <v>0.0</v>
      </c>
      <c r="S495" s="7">
        <v>252.0</v>
      </c>
      <c r="T495" s="7">
        <v>4.0</v>
      </c>
      <c r="U495" s="7">
        <v>0.0</v>
      </c>
      <c r="V495" s="7">
        <v>0.0</v>
      </c>
      <c r="W495" s="7">
        <f>VLOOKUP($D495,NatureChart,2,0)</f>
        <v>0.9</v>
      </c>
      <c r="X495" s="7">
        <f>VLOOKUP($D495,NatureChart,3,0)</f>
        <v>1.1</v>
      </c>
      <c r="Y495" s="7">
        <f>VLOOKUP($D495,NatureChart,4,0)</f>
        <v>1</v>
      </c>
      <c r="Z495" s="7">
        <f>VLOOKUP($D495,NatureChart,5,0)</f>
        <v>1</v>
      </c>
      <c r="AA495" s="84">
        <f>VLOOKUP($D495,NatureChart,6,0)</f>
        <v>1</v>
      </c>
      <c r="AB495" s="84">
        <f>IF($C495="Shedinja",1,(INT((2*VLOOKUP($C495,DexData,5,0)+INT(Q495/4)+K495)/2)+60))</f>
        <v>202</v>
      </c>
      <c r="AC495" s="84">
        <f>INT(INT((INT((2*VLOOKUP($C495,DexData,6,0)+INT(R495/4)+L495)/2)+5)*W495)*IF($E495="Choice Band",1.5,IF(OR($E495="Mawilite",$E495="Medichamite",$E495="Thick Club"),2,1)))</f>
        <v>85</v>
      </c>
      <c r="AD495" s="84">
        <f>INT(INT((INT((2*VLOOKUP($C495,DexData,7,0)+INT(S495/4)+M495)/2)+5)*X495)*IF($E495="Eviolite",1.5,1))</f>
        <v>145</v>
      </c>
      <c r="AE495" s="84">
        <f>INT(INT((INT((2*VLOOKUP($C495,DexData,9,0)+INT(T495/4)+N495)/2)+5)*Y495)*IF($E495="Choice Specs",1.5,1))</f>
        <v>121</v>
      </c>
      <c r="AF495" s="84">
        <f>INT(INT((INT((2*VLOOKUP($C495,DexData,10,0)+INT(U495/4)+O495)/2)+5)*Z495)*IF(OR($E495="Eviolite",$E495="Assault Vest"),1.5,1))</f>
        <v>130</v>
      </c>
      <c r="AG495" s="84">
        <f>INT(INT((INT((2*VLOOKUP($C495,DexData,11,0)+INT(V495/4)+P495)/2)+5)*AA495)*IF($E495="Choice Scarf",1.5,IF($E495="Iron Ball",0.5,1)))</f>
        <v>50</v>
      </c>
      <c r="AH495" s="84" t="str">
        <f>VLOOKUP(VLOOKUP($C495,DexData,3,0),Aliases!D$2:E$19,2,0)&amp;IFERROR("/"&amp;VLOOKUP(VLOOKUP($C495,DexData,4,0),Aliases!D$2:E$19,2,0),"")</f>
        <v>WTR/PSY</v>
      </c>
      <c r="AI495" s="7">
        <v>3.0</v>
      </c>
      <c r="AJ495" s="7">
        <f>IF(VLOOKUP(B495,'Set Odds'!A$2:AN$1067,40,0),1,IF(VLOOKUP(B495,'Set Odds'!A$2:AO$1067,41,0),2,0))</f>
        <v>1</v>
      </c>
      <c r="AK495" s="7"/>
      <c r="AL495" s="7" t="str">
        <f t="shared" si="1"/>
        <v/>
      </c>
    </row>
    <row r="496" ht="12.75" customHeight="1">
      <c r="A496" s="86">
        <v>495.0</v>
      </c>
      <c r="B496" s="84" t="s">
        <v>4014</v>
      </c>
      <c r="C496" s="7" t="s">
        <v>3735</v>
      </c>
      <c r="D496" s="7" t="s">
        <v>2571</v>
      </c>
      <c r="E496" s="7" t="s">
        <v>3129</v>
      </c>
      <c r="F496" s="84" t="s">
        <v>2593</v>
      </c>
      <c r="G496" s="84" t="s">
        <v>3636</v>
      </c>
      <c r="H496" s="84" t="s">
        <v>3454</v>
      </c>
      <c r="I496" s="84" t="s">
        <v>3736</v>
      </c>
      <c r="J496" s="7" t="s">
        <v>3141</v>
      </c>
      <c r="K496" s="7">
        <v>31.0</v>
      </c>
      <c r="L496" s="7">
        <v>31.0</v>
      </c>
      <c r="M496" s="7">
        <v>31.0</v>
      </c>
      <c r="N496" s="7">
        <v>0.0</v>
      </c>
      <c r="O496" s="7">
        <v>31.0</v>
      </c>
      <c r="P496" s="7">
        <v>31.0</v>
      </c>
      <c r="Q496" s="7">
        <v>252.0</v>
      </c>
      <c r="R496" s="7">
        <v>252.0</v>
      </c>
      <c r="S496" s="7">
        <v>4.0</v>
      </c>
      <c r="T496" s="7">
        <v>0.0</v>
      </c>
      <c r="U496" s="7">
        <v>0.0</v>
      </c>
      <c r="V496" s="7">
        <v>0.0</v>
      </c>
      <c r="W496" s="7">
        <f>VLOOKUP($D496,NatureChart,2,0)</f>
        <v>1.1</v>
      </c>
      <c r="X496" s="7">
        <f>VLOOKUP($D496,NatureChart,3,0)</f>
        <v>1</v>
      </c>
      <c r="Y496" s="7">
        <f>VLOOKUP($D496,NatureChart,4,0)</f>
        <v>0.9</v>
      </c>
      <c r="Z496" s="7">
        <f>VLOOKUP($D496,NatureChart,5,0)</f>
        <v>1</v>
      </c>
      <c r="AA496" s="84">
        <f>VLOOKUP($D496,NatureChart,6,0)</f>
        <v>1</v>
      </c>
      <c r="AB496" s="84">
        <f>IF($C496="Shedinja",1,(INT((2*VLOOKUP($C496,DexData,5,0)+INT(Q496/4)+K496)/2)+60))</f>
        <v>202</v>
      </c>
      <c r="AC496" s="84">
        <f>INT(INT((INT((2*VLOOKUP($C496,DexData,6,0)+INT(R496/4)+L496)/2)+5)*W496)*IF($E496="Choice Band",1.5,IF(OR($E496="Mawilite",$E496="Medichamite",$E496="Thick Club"),2,1)))</f>
        <v>145</v>
      </c>
      <c r="AD496" s="84">
        <f>INT(INT((INT((2*VLOOKUP($C496,DexData,7,0)+INT(S496/4)+M496)/2)+5)*X496)*IF($E496="Eviolite",1.5,1))</f>
        <v>126</v>
      </c>
      <c r="AE496" s="84">
        <f>INT(INT((INT((2*VLOOKUP($C496,DexData,9,0)+INT(T496/4)+N496)/2)+5)*Y496)*IF($E496="Choice Specs",1.5,1))</f>
        <v>40</v>
      </c>
      <c r="AF496" s="84">
        <f>INT(INT((INT((2*VLOOKUP($C496,DexData,10,0)+INT(U496/4)+O496)/2)+5)*Z496)*IF(OR($E496="Eviolite",$E496="Assault Vest"),1.5,1))</f>
        <v>90</v>
      </c>
      <c r="AG496" s="84">
        <f>INT(INT((INT((2*VLOOKUP($C496,DexData,11,0)+INT(V496/4)+P496)/2)+5)*AA496)*IF($E496="Choice Scarf",1.5,IF($E496="Iron Ball",0.5,1)))</f>
        <v>120</v>
      </c>
      <c r="AH496" s="84" t="str">
        <f>VLOOKUP(VLOOKUP($C496,DexData,3,0),Aliases!D$2:E$19,2,0)&amp;IFERROR("/"&amp;VLOOKUP(VLOOKUP($C496,DexData,4,0),Aliases!D$2:E$19,2,0),"")</f>
        <v>NRM</v>
      </c>
      <c r="AI496" s="7">
        <v>3.0</v>
      </c>
      <c r="AJ496" s="7">
        <f>IF(VLOOKUP(B496,'Set Odds'!A$2:AN$1067,40,0),1,IF(VLOOKUP(B496,'Set Odds'!A$2:AO$1067,41,0),2,0))</f>
        <v>1</v>
      </c>
      <c r="AK496" s="7"/>
      <c r="AL496" s="7" t="str">
        <f t="shared" si="1"/>
        <v/>
      </c>
    </row>
    <row r="497" ht="12.75" customHeight="1">
      <c r="A497" s="86">
        <v>496.0</v>
      </c>
      <c r="B497" s="84" t="s">
        <v>4015</v>
      </c>
      <c r="C497" s="7" t="s">
        <v>3738</v>
      </c>
      <c r="D497" s="7" t="s">
        <v>2656</v>
      </c>
      <c r="E497" s="7" t="s">
        <v>3096</v>
      </c>
      <c r="F497" s="84" t="s">
        <v>4016</v>
      </c>
      <c r="G497" s="84" t="s">
        <v>3994</v>
      </c>
      <c r="H497" s="84" t="s">
        <v>2823</v>
      </c>
      <c r="I497" s="84" t="s">
        <v>2660</v>
      </c>
      <c r="J497" s="7" t="s">
        <v>2849</v>
      </c>
      <c r="K497" s="7">
        <v>31.0</v>
      </c>
      <c r="L497" s="7">
        <v>0.0</v>
      </c>
      <c r="M497" s="7">
        <v>31.0</v>
      </c>
      <c r="N497" s="7">
        <v>31.0</v>
      </c>
      <c r="O497" s="7">
        <v>31.0</v>
      </c>
      <c r="P497" s="7">
        <v>31.0</v>
      </c>
      <c r="Q497" s="7">
        <v>4.0</v>
      </c>
      <c r="R497" s="7">
        <v>0.0</v>
      </c>
      <c r="S497" s="7">
        <v>0.0</v>
      </c>
      <c r="T497" s="7">
        <v>252.0</v>
      </c>
      <c r="U497" s="7">
        <v>0.0</v>
      </c>
      <c r="V497" s="7">
        <v>252.0</v>
      </c>
      <c r="W497" s="7">
        <f>VLOOKUP($D497,NatureChart,2,0)</f>
        <v>0.9</v>
      </c>
      <c r="X497" s="7">
        <f>VLOOKUP($D497,NatureChart,3,0)</f>
        <v>1</v>
      </c>
      <c r="Y497" s="7">
        <f>VLOOKUP($D497,NatureChart,4,0)</f>
        <v>1.1</v>
      </c>
      <c r="Z497" s="7">
        <f>VLOOKUP($D497,NatureChart,5,0)</f>
        <v>1</v>
      </c>
      <c r="AA497" s="84">
        <f>VLOOKUP($D497,NatureChart,6,0)</f>
        <v>1</v>
      </c>
      <c r="AB497" s="84">
        <f>IF($C497="Shedinja",1,(INT((2*VLOOKUP($C497,DexData,5,0)+INT(Q497/4)+K497)/2)+60))</f>
        <v>151</v>
      </c>
      <c r="AC497" s="84">
        <f>INT(INT((INT((2*VLOOKUP($C497,DexData,6,0)+INT(R497/4)+L497)/2)+5)*W497)*IF($E497="Choice Band",1.5,IF(OR($E497="Mawilite",$E497="Medichamite",$E497="Thick Club"),2,1)))</f>
        <v>67</v>
      </c>
      <c r="AD497" s="84">
        <f>INT(INT((INT((2*VLOOKUP($C497,DexData,7,0)+INT(S497/4)+M497)/2)+5)*X497)*IF($E497="Eviolite",1.5,1))</f>
        <v>110</v>
      </c>
      <c r="AE497" s="84">
        <f>INT(INT((INT((2*VLOOKUP($C497,DexData,9,0)+INT(T497/4)+N497)/2)+5)*Y497)*IF($E497="Choice Specs",1.5,1))</f>
        <v>134</v>
      </c>
      <c r="AF497" s="84">
        <f>INT(INT((INT((2*VLOOKUP($C497,DexData,10,0)+INT(U497/4)+O497)/2)+5)*Z497)*IF(OR($E497="Eviolite",$E497="Assault Vest"),1.5,1))</f>
        <v>125</v>
      </c>
      <c r="AG497" s="84">
        <f>INT(INT((INT((2*VLOOKUP($C497,DexData,11,0)+INT(V497/4)+P497)/2)+5)*AA497)*IF($E497="Choice Scarf",1.5,IF($E497="Iron Ball",0.5,1)))</f>
        <v>132</v>
      </c>
      <c r="AH497" s="84" t="str">
        <f>VLOOKUP(VLOOKUP($C497,DexData,3,0),Aliases!D$2:E$19,2,0)&amp;IFERROR("/"&amp;VLOOKUP(VLOOKUP($C497,DexData,4,0),Aliases!D$2:E$19,2,0),"")</f>
        <v>DRG/FLY</v>
      </c>
      <c r="AI497" s="7">
        <v>3.0</v>
      </c>
      <c r="AJ497" s="7">
        <f>IF(VLOOKUP(B497,'Set Odds'!A$2:AN$1067,40,0),1,IF(VLOOKUP(B497,'Set Odds'!A$2:AO$1067,41,0),2,0))</f>
        <v>1</v>
      </c>
      <c r="AK497" s="7"/>
      <c r="AL497" s="7" t="str">
        <f t="shared" si="1"/>
        <v/>
      </c>
    </row>
    <row r="498" ht="12.75" customHeight="1">
      <c r="A498" s="86">
        <v>497.0</v>
      </c>
      <c r="B498" s="84" t="s">
        <v>4017</v>
      </c>
      <c r="C498" s="7" t="s">
        <v>3740</v>
      </c>
      <c r="D498" s="7" t="s">
        <v>2692</v>
      </c>
      <c r="E498" s="7" t="s">
        <v>2745</v>
      </c>
      <c r="F498" s="84" t="s">
        <v>3777</v>
      </c>
      <c r="G498" s="84" t="s">
        <v>2807</v>
      </c>
      <c r="H498" s="84" t="s">
        <v>2537</v>
      </c>
      <c r="I498" s="84" t="s">
        <v>3554</v>
      </c>
      <c r="J498" s="7" t="s">
        <v>3642</v>
      </c>
      <c r="K498" s="7">
        <v>31.0</v>
      </c>
      <c r="L498" s="7">
        <v>31.0</v>
      </c>
      <c r="M498" s="7">
        <v>31.0</v>
      </c>
      <c r="N498" s="7">
        <v>0.0</v>
      </c>
      <c r="O498" s="7">
        <v>31.0</v>
      </c>
      <c r="P498" s="7">
        <v>31.0</v>
      </c>
      <c r="Q498" s="7">
        <v>4.0</v>
      </c>
      <c r="R498" s="7">
        <v>252.0</v>
      </c>
      <c r="S498" s="7">
        <v>0.0</v>
      </c>
      <c r="T498" s="7">
        <v>0.0</v>
      </c>
      <c r="U498" s="7">
        <v>0.0</v>
      </c>
      <c r="V498" s="7">
        <v>252.0</v>
      </c>
      <c r="W498" s="7">
        <f>VLOOKUP($D498,NatureChart,2,0)</f>
        <v>1</v>
      </c>
      <c r="X498" s="7">
        <f>VLOOKUP($D498,NatureChart,3,0)</f>
        <v>1</v>
      </c>
      <c r="Y498" s="7">
        <f>VLOOKUP($D498,NatureChart,4,0)</f>
        <v>0.9</v>
      </c>
      <c r="Z498" s="7">
        <f>VLOOKUP($D498,NatureChart,5,0)</f>
        <v>1</v>
      </c>
      <c r="AA498" s="84">
        <f>VLOOKUP($D498,NatureChart,6,0)</f>
        <v>1.1</v>
      </c>
      <c r="AB498" s="84">
        <f>IF($C498="Shedinja",1,(INT((2*VLOOKUP($C498,DexData,5,0)+INT(Q498/4)+K498)/2)+60))</f>
        <v>159</v>
      </c>
      <c r="AC498" s="84">
        <f>INT(INT((INT((2*VLOOKUP($C498,DexData,6,0)+INT(R498/4)+L498)/2)+5)*W498)*IF($E498="Choice Band",1.5,IF(OR($E498="Mawilite",$E498="Medichamite",$E498="Thick Club"),2,1)))</f>
        <v>158</v>
      </c>
      <c r="AD498" s="84">
        <f>INT(INT((INT((2*VLOOKUP($C498,DexData,7,0)+INT(S498/4)+M498)/2)+5)*X498)*IF($E498="Eviolite",1.5,1))</f>
        <v>85</v>
      </c>
      <c r="AE498" s="84">
        <f>INT(INT((INT((2*VLOOKUP($C498,DexData,9,0)+INT(T498/4)+N498)/2)+5)*Y498)*IF($E498="Choice Specs",1.5,1))</f>
        <v>81</v>
      </c>
      <c r="AF498" s="84">
        <f>INT(INT((INT((2*VLOOKUP($C498,DexData,10,0)+INT(U498/4)+O498)/2)+5)*Z498)*IF(OR($E498="Eviolite",$E498="Assault Vest"),1.5,1))</f>
        <v>85</v>
      </c>
      <c r="AG498" s="84">
        <f>INT(INT((INT((2*VLOOKUP($C498,DexData,11,0)+INT(V498/4)+P498)/2)+5)*AA498)*IF($E498="Choice Scarf",1.5,IF($E498="Iron Ball",0.5,1)))</f>
        <v>150</v>
      </c>
      <c r="AH498" s="84" t="str">
        <f>VLOOKUP(VLOOKUP($C498,DexData,3,0),Aliases!D$2:E$19,2,0)&amp;IFERROR("/"&amp;VLOOKUP(VLOOKUP($C498,DexData,4,0),Aliases!D$2:E$19,2,0),"")</f>
        <v>PSN/FTG</v>
      </c>
      <c r="AI498" s="7">
        <v>3.0</v>
      </c>
      <c r="AJ498" s="7">
        <f>IF(VLOOKUP(B498,'Set Odds'!A$2:AN$1067,40,0),1,IF(VLOOKUP(B498,'Set Odds'!A$2:AO$1067,41,0),2,0))</f>
        <v>1</v>
      </c>
      <c r="AK498" s="7"/>
      <c r="AL498" s="7" t="str">
        <f t="shared" si="1"/>
        <v/>
      </c>
    </row>
    <row r="499" ht="12.75" customHeight="1">
      <c r="A499" s="86">
        <v>498.0</v>
      </c>
      <c r="B499" s="84" t="s">
        <v>4018</v>
      </c>
      <c r="C499" s="7" t="s">
        <v>3742</v>
      </c>
      <c r="D499" s="7" t="s">
        <v>2571</v>
      </c>
      <c r="E499" s="7" t="s">
        <v>2685</v>
      </c>
      <c r="F499" s="84" t="s">
        <v>4019</v>
      </c>
      <c r="G499" s="84" t="s">
        <v>3123</v>
      </c>
      <c r="H499" s="84" t="s">
        <v>3185</v>
      </c>
      <c r="I499" s="84" t="s">
        <v>2874</v>
      </c>
      <c r="J499" s="7" t="s">
        <v>3049</v>
      </c>
      <c r="K499" s="7">
        <v>31.0</v>
      </c>
      <c r="L499" s="7">
        <v>31.0</v>
      </c>
      <c r="M499" s="7">
        <v>31.0</v>
      </c>
      <c r="N499" s="7">
        <v>0.0</v>
      </c>
      <c r="O499" s="7">
        <v>31.0</v>
      </c>
      <c r="P499" s="7">
        <v>31.0</v>
      </c>
      <c r="Q499" s="7">
        <v>252.0</v>
      </c>
      <c r="R499" s="7">
        <v>252.0</v>
      </c>
      <c r="S499" s="7">
        <v>4.0</v>
      </c>
      <c r="T499" s="7">
        <v>0.0</v>
      </c>
      <c r="U499" s="7">
        <v>0.0</v>
      </c>
      <c r="V499" s="7">
        <v>0.0</v>
      </c>
      <c r="W499" s="7">
        <f>VLOOKUP($D499,NatureChart,2,0)</f>
        <v>1.1</v>
      </c>
      <c r="X499" s="7">
        <f>VLOOKUP($D499,NatureChart,3,0)</f>
        <v>1</v>
      </c>
      <c r="Y499" s="7">
        <f>VLOOKUP($D499,NatureChart,4,0)</f>
        <v>0.9</v>
      </c>
      <c r="Z499" s="7">
        <f>VLOOKUP($D499,NatureChart,5,0)</f>
        <v>1</v>
      </c>
      <c r="AA499" s="84">
        <f>VLOOKUP($D499,NatureChart,6,0)</f>
        <v>1</v>
      </c>
      <c r="AB499" s="84">
        <f>IF($C499="Shedinja",1,(INT((2*VLOOKUP($C499,DexData,5,0)+INT(Q499/4)+K499)/2)+60))</f>
        <v>197</v>
      </c>
      <c r="AC499" s="84">
        <f>INT(INT((INT((2*VLOOKUP($C499,DexData,6,0)+INT(R499/4)+L499)/2)+5)*W499)*IF($E499="Choice Band",1.5,IF(OR($E499="Mawilite",$E499="Medichamite",$E499="Thick Club"),2,1)))</f>
        <v>158</v>
      </c>
      <c r="AD499" s="84">
        <f>INT(INT((INT((2*VLOOKUP($C499,DexData,7,0)+INT(S499/4)+M499)/2)+5)*X499)*IF($E499="Eviolite",1.5,1))</f>
        <v>96</v>
      </c>
      <c r="AE499" s="84">
        <f>INT(INT((INT((2*VLOOKUP($C499,DexData,9,0)+INT(T499/4)+N499)/2)+5)*Y499)*IF($E499="Choice Specs",1.5,1))</f>
        <v>87</v>
      </c>
      <c r="AF499" s="84">
        <f>INT(INT((INT((2*VLOOKUP($C499,DexData,10,0)+INT(U499/4)+O499)/2)+5)*Z499)*IF(OR($E499="Eviolite",$E499="Assault Vest"),1.5,1))</f>
        <v>105</v>
      </c>
      <c r="AG499" s="84">
        <f>INT(INT((INT((2*VLOOKUP($C499,DexData,11,0)+INT(V499/4)+P499)/2)+5)*AA499)*IF($E499="Choice Scarf",1.5,IF($E499="Iron Ball",0.5,1)))</f>
        <v>80</v>
      </c>
      <c r="AH499" s="84" t="str">
        <f>VLOOKUP(VLOOKUP($C499,DexData,3,0),Aliases!D$2:E$19,2,0)&amp;IFERROR("/"&amp;VLOOKUP(VLOOKUP($C499,DexData,4,0),Aliases!D$2:E$19,2,0),"")</f>
        <v>GRS/ICE</v>
      </c>
      <c r="AI499" s="7">
        <v>3.0</v>
      </c>
      <c r="AJ499" s="7">
        <f>IF(VLOOKUP(B499,'Set Odds'!A$2:AN$1067,40,0),1,IF(VLOOKUP(B499,'Set Odds'!A$2:AO$1067,41,0),2,0))</f>
        <v>1</v>
      </c>
      <c r="AK499" s="7"/>
      <c r="AL499" s="7" t="str">
        <f t="shared" si="1"/>
        <v/>
      </c>
    </row>
    <row r="500" ht="12.75" customHeight="1">
      <c r="A500" s="86">
        <v>499.0</v>
      </c>
      <c r="B500" s="84" t="s">
        <v>4020</v>
      </c>
      <c r="C500" s="7" t="s">
        <v>3744</v>
      </c>
      <c r="D500" s="7" t="s">
        <v>2656</v>
      </c>
      <c r="E500" s="7" t="s">
        <v>3439</v>
      </c>
      <c r="F500" s="84" t="s">
        <v>2832</v>
      </c>
      <c r="G500" s="84" t="s">
        <v>3052</v>
      </c>
      <c r="H500" s="84" t="s">
        <v>3600</v>
      </c>
      <c r="I500" s="84" t="s">
        <v>3047</v>
      </c>
      <c r="J500" s="7" t="s">
        <v>3745</v>
      </c>
      <c r="K500" s="7">
        <v>31.0</v>
      </c>
      <c r="L500" s="7">
        <v>0.0</v>
      </c>
      <c r="M500" s="7">
        <v>31.0</v>
      </c>
      <c r="N500" s="7">
        <v>31.0</v>
      </c>
      <c r="O500" s="7">
        <v>31.0</v>
      </c>
      <c r="P500" s="7">
        <v>31.0</v>
      </c>
      <c r="Q500" s="7">
        <v>4.0</v>
      </c>
      <c r="R500" s="7">
        <v>0.0</v>
      </c>
      <c r="S500" s="7">
        <v>0.0</v>
      </c>
      <c r="T500" s="7">
        <v>252.0</v>
      </c>
      <c r="U500" s="7">
        <v>0.0</v>
      </c>
      <c r="V500" s="7">
        <v>252.0</v>
      </c>
      <c r="W500" s="7">
        <f>VLOOKUP($D500,NatureChart,2,0)</f>
        <v>0.9</v>
      </c>
      <c r="X500" s="7">
        <f>VLOOKUP($D500,NatureChart,3,0)</f>
        <v>1</v>
      </c>
      <c r="Y500" s="7">
        <f>VLOOKUP($D500,NatureChart,4,0)</f>
        <v>1.1</v>
      </c>
      <c r="Z500" s="7">
        <f>VLOOKUP($D500,NatureChart,5,0)</f>
        <v>1</v>
      </c>
      <c r="AA500" s="84">
        <f>VLOOKUP($D500,NatureChart,6,0)</f>
        <v>1</v>
      </c>
      <c r="AB500" s="84">
        <f>IF($C500="Shedinja",1,(INT((2*VLOOKUP($C500,DexData,5,0)+INT(Q500/4)+K500)/2)+60))</f>
        <v>166</v>
      </c>
      <c r="AC500" s="84">
        <f>INT(INT((INT((2*VLOOKUP($C500,DexData,6,0)+INT(R500/4)+L500)/2)+5)*W500)*IF($E500="Choice Band",1.5,IF(OR($E500="Mawilite",$E500="Medichamite",$E500="Thick Club"),2,1)))</f>
        <v>87</v>
      </c>
      <c r="AD500" s="84">
        <f>INT(INT((INT((2*VLOOKUP($C500,DexData,7,0)+INT(S500/4)+M500)/2)+5)*X500)*IF($E500="Eviolite",1.5,1))</f>
        <v>107</v>
      </c>
      <c r="AE500" s="84">
        <f>INT(INT((INT((2*VLOOKUP($C500,DexData,9,0)+INT(T500/4)+N500)/2)+5)*Y500)*IF($E500="Choice Specs",1.5,1))</f>
        <v>139</v>
      </c>
      <c r="AF500" s="84">
        <f>INT(INT((INT((2*VLOOKUP($C500,DexData,10,0)+INT(U500/4)+O500)/2)+5)*Z500)*IF(OR($E500="Eviolite",$E500="Assault Vest"),1.5,1))</f>
        <v>105</v>
      </c>
      <c r="AG500" s="84">
        <f>INT(INT((INT((2*VLOOKUP($C500,DexData,11,0)+INT(V500/4)+P500)/2)+5)*AA500)*IF($E500="Choice Scarf",1.5,IF($E500="Iron Ball",0.5,1)))</f>
        <v>128</v>
      </c>
      <c r="AH500" s="84" t="str">
        <f>VLOOKUP(VLOOKUP($C500,DexData,3,0),Aliases!D$2:E$19,2,0)&amp;IFERROR("/"&amp;VLOOKUP(VLOOKUP($C500,DexData,4,0),Aliases!D$2:E$19,2,0),"")</f>
        <v>PSN/GRD</v>
      </c>
      <c r="AI500" s="7">
        <v>3.0</v>
      </c>
      <c r="AJ500" s="7">
        <f>IF(VLOOKUP(B500,'Set Odds'!A$2:AN$1067,40,0),1,IF(VLOOKUP(B500,'Set Odds'!A$2:AO$1067,41,0),2,0))</f>
        <v>1</v>
      </c>
      <c r="AK500" s="7"/>
      <c r="AL500" s="7" t="str">
        <f t="shared" si="1"/>
        <v/>
      </c>
    </row>
    <row r="501" ht="12.75" customHeight="1">
      <c r="A501" s="86">
        <v>500.0</v>
      </c>
      <c r="B501" s="84" t="s">
        <v>4021</v>
      </c>
      <c r="C501" s="7" t="s">
        <v>3747</v>
      </c>
      <c r="D501" s="7" t="s">
        <v>2656</v>
      </c>
      <c r="E501" s="7" t="s">
        <v>3715</v>
      </c>
      <c r="F501" s="84" t="s">
        <v>2832</v>
      </c>
      <c r="G501" s="84" t="s">
        <v>3427</v>
      </c>
      <c r="H501" s="84" t="s">
        <v>3052</v>
      </c>
      <c r="I501" s="84" t="s">
        <v>2752</v>
      </c>
      <c r="J501" s="7" t="s">
        <v>3745</v>
      </c>
      <c r="K501" s="7">
        <v>31.0</v>
      </c>
      <c r="L501" s="7">
        <v>0.0</v>
      </c>
      <c r="M501" s="7">
        <v>31.0</v>
      </c>
      <c r="N501" s="7">
        <v>31.0</v>
      </c>
      <c r="O501" s="7">
        <v>31.0</v>
      </c>
      <c r="P501" s="7">
        <v>31.0</v>
      </c>
      <c r="Q501" s="7">
        <v>4.0</v>
      </c>
      <c r="R501" s="7">
        <v>0.0</v>
      </c>
      <c r="S501" s="7">
        <v>0.0</v>
      </c>
      <c r="T501" s="7">
        <v>252.0</v>
      </c>
      <c r="U501" s="7">
        <v>0.0</v>
      </c>
      <c r="V501" s="7">
        <v>252.0</v>
      </c>
      <c r="W501" s="7">
        <f>VLOOKUP($D501,NatureChart,2,0)</f>
        <v>0.9</v>
      </c>
      <c r="X501" s="7">
        <f>VLOOKUP($D501,NatureChart,3,0)</f>
        <v>1</v>
      </c>
      <c r="Y501" s="7">
        <f>VLOOKUP($D501,NatureChart,4,0)</f>
        <v>1.1</v>
      </c>
      <c r="Z501" s="7">
        <f>VLOOKUP($D501,NatureChart,5,0)</f>
        <v>1</v>
      </c>
      <c r="AA501" s="84">
        <f>VLOOKUP($D501,NatureChart,6,0)</f>
        <v>1</v>
      </c>
      <c r="AB501" s="84">
        <f>IF($C501="Shedinja",1,(INT((2*VLOOKUP($C501,DexData,5,0)+INT(Q501/4)+K501)/2)+60))</f>
        <v>157</v>
      </c>
      <c r="AC501" s="84">
        <f>INT(INT((INT((2*VLOOKUP($C501,DexData,6,0)+INT(R501/4)+L501)/2)+5)*W501)*IF($E501="Choice Band",1.5,IF(OR($E501="Mawilite",$E501="Medichamite",$E501="Thick Club"),2,1)))</f>
        <v>96</v>
      </c>
      <c r="AD501" s="84">
        <f>INT(INT((INT((2*VLOOKUP($C501,DexData,7,0)+INT(S501/4)+M501)/2)+5)*X501)*IF($E501="Eviolite",1.5,1))</f>
        <v>97</v>
      </c>
      <c r="AE501" s="84">
        <f>INT(INT((INT((2*VLOOKUP($C501,DexData,9,0)+INT(T501/4)+N501)/2)+5)*Y501)*IF($E501="Choice Specs",1.5,1))</f>
        <v>150</v>
      </c>
      <c r="AF501" s="84">
        <f>INT(INT((INT((2*VLOOKUP($C501,DexData,10,0)+INT(U501/4)+O501)/2)+5)*Z501)*IF(OR($E501="Eviolite",$E501="Assault Vest"),1.5,1))</f>
        <v>95</v>
      </c>
      <c r="AG501" s="84">
        <f>INT(INT((INT((2*VLOOKUP($C501,DexData,11,0)+INT(V501/4)+P501)/2)+5)*AA501)*IF($E501="Choice Scarf",1.5,IF($E501="Iron Ball",0.5,1)))</f>
        <v>137</v>
      </c>
      <c r="AH501" s="84" t="str">
        <f>VLOOKUP(VLOOKUP($C501,DexData,3,0),Aliases!D$2:E$19,2,0)&amp;IFERROR("/"&amp;VLOOKUP(VLOOKUP($C501,DexData,4,0),Aliases!D$2:E$19,2,0),"")</f>
        <v>PSN/GRD</v>
      </c>
      <c r="AI501" s="7">
        <v>3.0</v>
      </c>
      <c r="AJ501" s="7">
        <f>IF(VLOOKUP(B501,'Set Odds'!A$2:AN$1067,40,0),1,IF(VLOOKUP(B501,'Set Odds'!A$2:AO$1067,41,0),2,0))</f>
        <v>1</v>
      </c>
      <c r="AK501" s="7"/>
      <c r="AL501" s="7" t="str">
        <f t="shared" si="1"/>
        <v/>
      </c>
    </row>
    <row r="502" ht="12.75" customHeight="1">
      <c r="A502" s="86">
        <v>501.0</v>
      </c>
      <c r="B502" s="84" t="s">
        <v>4022</v>
      </c>
      <c r="C502" s="7" t="s">
        <v>3749</v>
      </c>
      <c r="D502" s="7" t="s">
        <v>2656</v>
      </c>
      <c r="E502" s="7" t="s">
        <v>2516</v>
      </c>
      <c r="F502" s="84" t="s">
        <v>2752</v>
      </c>
      <c r="G502" s="84" t="s">
        <v>2781</v>
      </c>
      <c r="H502" s="84" t="s">
        <v>2704</v>
      </c>
      <c r="I502" s="84" t="s">
        <v>3994</v>
      </c>
      <c r="J502" s="7" t="s">
        <v>2988</v>
      </c>
      <c r="K502" s="7">
        <v>31.0</v>
      </c>
      <c r="L502" s="7">
        <v>0.0</v>
      </c>
      <c r="M502" s="7">
        <v>31.0</v>
      </c>
      <c r="N502" s="7">
        <v>31.0</v>
      </c>
      <c r="O502" s="7">
        <v>31.0</v>
      </c>
      <c r="P502" s="7">
        <v>31.0</v>
      </c>
      <c r="Q502" s="7">
        <v>252.0</v>
      </c>
      <c r="R502" s="7">
        <v>0.0</v>
      </c>
      <c r="S502" s="7">
        <v>4.0</v>
      </c>
      <c r="T502" s="7">
        <v>252.0</v>
      </c>
      <c r="U502" s="7">
        <v>0.0</v>
      </c>
      <c r="V502" s="7">
        <v>0.0</v>
      </c>
      <c r="W502" s="7">
        <f>VLOOKUP($D502,NatureChart,2,0)</f>
        <v>0.9</v>
      </c>
      <c r="X502" s="7">
        <f>VLOOKUP($D502,NatureChart,3,0)</f>
        <v>1</v>
      </c>
      <c r="Y502" s="7">
        <f>VLOOKUP($D502,NatureChart,4,0)</f>
        <v>1.1</v>
      </c>
      <c r="Z502" s="7">
        <f>VLOOKUP($D502,NatureChart,5,0)</f>
        <v>1</v>
      </c>
      <c r="AA502" s="84">
        <f>VLOOKUP($D502,NatureChart,6,0)</f>
        <v>1</v>
      </c>
      <c r="AB502" s="84">
        <f>IF($C502="Shedinja",1,(INT((2*VLOOKUP($C502,DexData,5,0)+INT(Q502/4)+K502)/2)+60))</f>
        <v>193</v>
      </c>
      <c r="AC502" s="84">
        <f>INT(INT((INT((2*VLOOKUP($C502,DexData,6,0)+INT(R502/4)+L502)/2)+5)*W502)*IF($E502="Choice Band",1.5,IF(OR($E502="Mawilite",$E502="Medichamite",$E502="Thick Club"),2,1)))</f>
        <v>77</v>
      </c>
      <c r="AD502" s="84">
        <f>INT(INT((INT((2*VLOOKUP($C502,DexData,7,0)+INT(S502/4)+M502)/2)+5)*X502)*IF($E502="Eviolite",1.5,1))</f>
        <v>118</v>
      </c>
      <c r="AE502" s="84">
        <f>INT(INT((INT((2*VLOOKUP($C502,DexData,9,0)+INT(T502/4)+N502)/2)+5)*Y502)*IF($E502="Choice Specs",1.5,1))</f>
        <v>146</v>
      </c>
      <c r="AF502" s="84">
        <f>INT(INT((INT((2*VLOOKUP($C502,DexData,10,0)+INT(U502/4)+O502)/2)+5)*Z502)*IF(OR($E502="Eviolite",$E502="Assault Vest"),1.5,1))</f>
        <v>127</v>
      </c>
      <c r="AG502" s="84">
        <f>INT(INT((INT((2*VLOOKUP($C502,DexData,11,0)+INT(V502/4)+P502)/2)+5)*AA502)*IF($E502="Choice Scarf",1.5,IF($E502="Iron Ball",0.5,1)))</f>
        <v>63</v>
      </c>
      <c r="AH502" s="84" t="str">
        <f>VLOOKUP(VLOOKUP($C502,DexData,3,0),Aliases!D$2:E$19,2,0)&amp;IFERROR("/"&amp;VLOOKUP(VLOOKUP($C502,DexData,4,0),Aliases!D$2:E$19,2,0),"")</f>
        <v>RCK/GRS</v>
      </c>
      <c r="AI502" s="7">
        <v>3.0</v>
      </c>
      <c r="AJ502" s="7">
        <f>IF(VLOOKUP(B502,'Set Odds'!A$2:AN$1067,40,0),1,IF(VLOOKUP(B502,'Set Odds'!A$2:AO$1067,41,0),2,0))</f>
        <v>1</v>
      </c>
      <c r="AK502" s="7"/>
      <c r="AL502" s="7" t="str">
        <f t="shared" si="1"/>
        <v/>
      </c>
    </row>
    <row r="503" ht="12.75" customHeight="1">
      <c r="A503" s="86">
        <v>502.0</v>
      </c>
      <c r="B503" s="84" t="s">
        <v>4023</v>
      </c>
      <c r="C503" s="7" t="s">
        <v>3751</v>
      </c>
      <c r="D503" s="7" t="s">
        <v>2692</v>
      </c>
      <c r="E503" s="7" t="s">
        <v>2515</v>
      </c>
      <c r="F503" s="84" t="s">
        <v>3800</v>
      </c>
      <c r="G503" s="84" t="s">
        <v>2757</v>
      </c>
      <c r="H503" s="84" t="s">
        <v>3809</v>
      </c>
      <c r="I503" s="84" t="s">
        <v>2671</v>
      </c>
      <c r="J503" s="7" t="s">
        <v>2945</v>
      </c>
      <c r="K503" s="7">
        <v>31.0</v>
      </c>
      <c r="L503" s="7">
        <v>31.0</v>
      </c>
      <c r="M503" s="7">
        <v>31.0</v>
      </c>
      <c r="N503" s="7">
        <v>0.0</v>
      </c>
      <c r="O503" s="7">
        <v>31.0</v>
      </c>
      <c r="P503" s="7">
        <v>31.0</v>
      </c>
      <c r="Q503" s="7">
        <v>4.0</v>
      </c>
      <c r="R503" s="7">
        <v>252.0</v>
      </c>
      <c r="S503" s="7">
        <v>0.0</v>
      </c>
      <c r="T503" s="7">
        <v>0.0</v>
      </c>
      <c r="U503" s="7">
        <v>0.0</v>
      </c>
      <c r="V503" s="7">
        <v>252.0</v>
      </c>
      <c r="W503" s="7">
        <f>VLOOKUP($D503,NatureChart,2,0)</f>
        <v>1</v>
      </c>
      <c r="X503" s="7">
        <f>VLOOKUP($D503,NatureChart,3,0)</f>
        <v>1</v>
      </c>
      <c r="Y503" s="7">
        <f>VLOOKUP($D503,NatureChart,4,0)</f>
        <v>0.9</v>
      </c>
      <c r="Z503" s="7">
        <f>VLOOKUP($D503,NatureChart,5,0)</f>
        <v>1</v>
      </c>
      <c r="AA503" s="84">
        <f>VLOOKUP($D503,NatureChart,6,0)</f>
        <v>1.1</v>
      </c>
      <c r="AB503" s="84">
        <f>IF($C503="Shedinja",1,(INT((2*VLOOKUP($C503,DexData,5,0)+INT(Q503/4)+K503)/2)+60))</f>
        <v>151</v>
      </c>
      <c r="AC503" s="84">
        <f>INT(INT((INT((2*VLOOKUP($C503,DexData,6,0)+INT(R503/4)+L503)/2)+5)*W503)*IF($E503="Choice Band",1.5,IF(OR($E503="Mawilite",$E503="Medichamite",$E503="Thick Club"),2,1)))</f>
        <v>177</v>
      </c>
      <c r="AD503" s="84">
        <f>INT(INT((INT((2*VLOOKUP($C503,DexData,7,0)+INT(S503/4)+M503)/2)+5)*X503)*IF($E503="Eviolite",1.5,1))</f>
        <v>120</v>
      </c>
      <c r="AE503" s="84">
        <f>INT(INT((INT((2*VLOOKUP($C503,DexData,9,0)+INT(T503/4)+N503)/2)+5)*Y503)*IF($E503="Choice Specs",1.5,1))</f>
        <v>67</v>
      </c>
      <c r="AF503" s="84">
        <f>INT(INT((INT((2*VLOOKUP($C503,DexData,10,0)+INT(U503/4)+O503)/2)+5)*Z503)*IF(OR($E503="Eviolite",$E503="Assault Vest"),1.5,1))</f>
        <v>100</v>
      </c>
      <c r="AG503" s="84">
        <f>INT(INT((INT((2*VLOOKUP($C503,DexData,11,0)+INT(V503/4)+P503)/2)+5)*AA503)*IF($E503="Choice Scarf",1.5,IF($E503="Iron Ball",0.5,1)))</f>
        <v>106</v>
      </c>
      <c r="AH503" s="84" t="str">
        <f>VLOOKUP(VLOOKUP($C503,DexData,3,0),Aliases!D$2:E$19,2,0)&amp;IFERROR("/"&amp;VLOOKUP(VLOOKUP($C503,DexData,4,0),Aliases!D$2:E$19,2,0),"")</f>
        <v>RCK/BUG</v>
      </c>
      <c r="AI503" s="7">
        <v>3.0</v>
      </c>
      <c r="AJ503" s="7">
        <f>IF(VLOOKUP(B503,'Set Odds'!A$2:AN$1067,40,0),1,IF(VLOOKUP(B503,'Set Odds'!A$2:AO$1067,41,0),2,0))</f>
        <v>1</v>
      </c>
      <c r="AK503" s="7"/>
      <c r="AL503" s="7" t="str">
        <f t="shared" si="1"/>
        <v/>
      </c>
    </row>
    <row r="504" ht="12.75" customHeight="1">
      <c r="A504" s="86">
        <v>503.0</v>
      </c>
      <c r="B504" s="84" t="s">
        <v>4024</v>
      </c>
      <c r="C504" s="7" t="s">
        <v>3753</v>
      </c>
      <c r="D504" s="7" t="s">
        <v>2656</v>
      </c>
      <c r="E504" s="7" t="s">
        <v>2516</v>
      </c>
      <c r="F504" s="84" t="s">
        <v>2752</v>
      </c>
      <c r="G504" s="84" t="s">
        <v>4025</v>
      </c>
      <c r="H504" s="84" t="s">
        <v>3047</v>
      </c>
      <c r="I504" s="84" t="s">
        <v>3600</v>
      </c>
      <c r="J504" s="7" t="s">
        <v>2728</v>
      </c>
      <c r="K504" s="7">
        <v>31.0</v>
      </c>
      <c r="L504" s="7">
        <v>0.0</v>
      </c>
      <c r="M504" s="7">
        <v>31.0</v>
      </c>
      <c r="N504" s="7">
        <v>31.0</v>
      </c>
      <c r="O504" s="7">
        <v>31.0</v>
      </c>
      <c r="P504" s="7">
        <v>31.0</v>
      </c>
      <c r="Q504" s="7">
        <v>252.0</v>
      </c>
      <c r="R504" s="7">
        <v>0.0</v>
      </c>
      <c r="S504" s="7">
        <v>4.0</v>
      </c>
      <c r="T504" s="7">
        <v>252.0</v>
      </c>
      <c r="U504" s="7">
        <v>0.0</v>
      </c>
      <c r="V504" s="7">
        <v>0.0</v>
      </c>
      <c r="W504" s="7">
        <f>VLOOKUP($D504,NatureChart,2,0)</f>
        <v>0.9</v>
      </c>
      <c r="X504" s="7">
        <f>VLOOKUP($D504,NatureChart,3,0)</f>
        <v>1</v>
      </c>
      <c r="Y504" s="7">
        <f>VLOOKUP($D504,NatureChart,4,0)</f>
        <v>1.1</v>
      </c>
      <c r="Z504" s="7">
        <f>VLOOKUP($D504,NatureChart,5,0)</f>
        <v>1</v>
      </c>
      <c r="AA504" s="84">
        <f>VLOOKUP($D504,NatureChart,6,0)</f>
        <v>1</v>
      </c>
      <c r="AB504" s="84">
        <f>IF($C504="Shedinja",1,(INT((2*VLOOKUP($C504,DexData,5,0)+INT(Q504/4)+K504)/2)+60))</f>
        <v>167</v>
      </c>
      <c r="AC504" s="84">
        <f>INT(INT((INT((2*VLOOKUP($C504,DexData,6,0)+INT(R504/4)+L504)/2)+5)*W504)*IF($E504="Choice Band",1.5,IF(OR($E504="Mawilite",$E504="Medichamite",$E504="Thick Club"),2,1)))</f>
        <v>51</v>
      </c>
      <c r="AD504" s="84">
        <f>INT(INT((INT((2*VLOOKUP($C504,DexData,7,0)+INT(S504/4)+M504)/2)+5)*X504)*IF($E504="Eviolite",1.5,1))</f>
        <v>189</v>
      </c>
      <c r="AE504" s="84">
        <f>INT(INT((INT((2*VLOOKUP($C504,DexData,9,0)+INT(T504/4)+N504)/2)+5)*Y504)*IF($E504="Choice Specs",1.5,1))</f>
        <v>108</v>
      </c>
      <c r="AF504" s="84">
        <f>INT(INT((INT((2*VLOOKUP($C504,DexData,10,0)+INT(U504/4)+O504)/2)+5)*Z504)*IF(OR($E504="Eviolite",$E504="Assault Vest"),1.5,1))</f>
        <v>158</v>
      </c>
      <c r="AG504" s="84">
        <f>INT(INT((INT((2*VLOOKUP($C504,DexData,11,0)+INT(V504/4)+P504)/2)+5)*AA504)*IF($E504="Choice Scarf",1.5,IF($E504="Iron Ball",0.5,1)))</f>
        <v>50</v>
      </c>
      <c r="AH504" s="84" t="str">
        <f>VLOOKUP(VLOOKUP($C504,DexData,3,0),Aliases!D$2:E$19,2,0)&amp;IFERROR("/"&amp;VLOOKUP(VLOOKUP($C504,DexData,4,0),Aliases!D$2:E$19,2,0),"")</f>
        <v>RCK/STL</v>
      </c>
      <c r="AI504" s="7">
        <v>3.0</v>
      </c>
      <c r="AJ504" s="7">
        <f>IF(VLOOKUP(B504,'Set Odds'!A$2:AN$1067,40,0),1,IF(VLOOKUP(B504,'Set Odds'!A$2:AO$1067,41,0),2,0))</f>
        <v>1</v>
      </c>
      <c r="AK504" s="7"/>
      <c r="AL504" s="7" t="str">
        <f t="shared" si="1"/>
        <v/>
      </c>
    </row>
    <row r="505" ht="12.75" customHeight="1">
      <c r="A505" s="86">
        <v>504.0</v>
      </c>
      <c r="B505" s="84" t="s">
        <v>4026</v>
      </c>
      <c r="C505" s="7" t="s">
        <v>3756</v>
      </c>
      <c r="D505" s="7" t="s">
        <v>2789</v>
      </c>
      <c r="E505" s="7" t="s">
        <v>2636</v>
      </c>
      <c r="F505" s="84" t="s">
        <v>3015</v>
      </c>
      <c r="G505" s="84" t="s">
        <v>2869</v>
      </c>
      <c r="H505" s="84" t="s">
        <v>2823</v>
      </c>
      <c r="I505" s="84" t="s">
        <v>3031</v>
      </c>
      <c r="J505" s="7" t="s">
        <v>3028</v>
      </c>
      <c r="K505" s="7">
        <v>31.0</v>
      </c>
      <c r="L505" s="7">
        <v>31.0</v>
      </c>
      <c r="M505" s="7">
        <v>31.0</v>
      </c>
      <c r="N505" s="7">
        <v>31.0</v>
      </c>
      <c r="O505" s="7">
        <v>31.0</v>
      </c>
      <c r="P505" s="7">
        <v>31.0</v>
      </c>
      <c r="Q505" s="7">
        <v>0.0</v>
      </c>
      <c r="R505" s="7">
        <v>252.0</v>
      </c>
      <c r="S505" s="7">
        <v>0.0</v>
      </c>
      <c r="T505" s="7">
        <v>4.0</v>
      </c>
      <c r="U505" s="7">
        <v>0.0</v>
      </c>
      <c r="V505" s="7">
        <v>252.0</v>
      </c>
      <c r="W505" s="7">
        <f>VLOOKUP($D505,NatureChart,2,0)</f>
        <v>1.1</v>
      </c>
      <c r="X505" s="7">
        <f>VLOOKUP($D505,NatureChart,3,0)</f>
        <v>1</v>
      </c>
      <c r="Y505" s="7">
        <f>VLOOKUP($D505,NatureChart,4,0)</f>
        <v>1</v>
      </c>
      <c r="Z505" s="7">
        <f>VLOOKUP($D505,NatureChart,5,0)</f>
        <v>0.9</v>
      </c>
      <c r="AA505" s="84">
        <f>VLOOKUP($D505,NatureChart,6,0)</f>
        <v>1</v>
      </c>
      <c r="AB505" s="84">
        <f>IF($C505="Shedinja",1,(INT((2*VLOOKUP($C505,DexData,5,0)+INT(Q505/4)+K505)/2)+60))</f>
        <v>160</v>
      </c>
      <c r="AC505" s="84">
        <f>INT(INT((INT((2*VLOOKUP($C505,DexData,6,0)+INT(R505/4)+L505)/2)+5)*W505)*IF($E505="Choice Band",1.5,IF(OR($E505="Mawilite",$E505="Medichamite",$E505="Thick Club"),2,1)))</f>
        <v>172</v>
      </c>
      <c r="AD505" s="84">
        <f>INT(INT((INT((2*VLOOKUP($C505,DexData,7,0)+INT(S505/4)+M505)/2)+5)*X505)*IF($E505="Eviolite",1.5,1))</f>
        <v>75</v>
      </c>
      <c r="AE505" s="84">
        <f>INT(INT((INT((2*VLOOKUP($C505,DexData,9,0)+INT(T505/4)+N505)/2)+5)*Y505)*IF($E505="Choice Specs",1.5,1))</f>
        <v>106</v>
      </c>
      <c r="AF505" s="84">
        <f>INT(INT((INT((2*VLOOKUP($C505,DexData,10,0)+INT(U505/4)+O505)/2)+5)*Z505)*IF(OR($E505="Eviolite",$E505="Assault Vest"),1.5,1))</f>
        <v>63</v>
      </c>
      <c r="AG505" s="84">
        <f>INT(INT((INT((2*VLOOKUP($C505,DexData,11,0)+INT(V505/4)+P505)/2)+5)*AA505)*IF($E505="Choice Scarf",1.5,IF($E505="Iron Ball",0.5,1)))</f>
        <v>167</v>
      </c>
      <c r="AH505" s="84" t="str">
        <f>VLOOKUP(VLOOKUP($C505,DexData,3,0),Aliases!D$2:E$19,2,0)&amp;IFERROR("/"&amp;VLOOKUP(VLOOKUP($C505,DexData,4,0),Aliases!D$2:E$19,2,0),"")</f>
        <v>WTR</v>
      </c>
      <c r="AI505" s="7">
        <v>3.0</v>
      </c>
      <c r="AJ505" s="7">
        <f>IF(VLOOKUP(B505,'Set Odds'!A$2:AN$1067,40,0),1,IF(VLOOKUP(B505,'Set Odds'!A$2:AO$1067,41,0),2,0))</f>
        <v>1</v>
      </c>
      <c r="AK505" s="7"/>
      <c r="AL505" s="7" t="str">
        <f t="shared" si="1"/>
        <v/>
      </c>
    </row>
    <row r="506" ht="12.75" customHeight="1">
      <c r="A506" s="86">
        <v>505.0</v>
      </c>
      <c r="B506" s="84" t="s">
        <v>4027</v>
      </c>
      <c r="C506" s="7" t="s">
        <v>3758</v>
      </c>
      <c r="D506" s="7" t="s">
        <v>2635</v>
      </c>
      <c r="E506" s="7" t="s">
        <v>2685</v>
      </c>
      <c r="F506" s="84" t="s">
        <v>2661</v>
      </c>
      <c r="G506" s="84" t="s">
        <v>3264</v>
      </c>
      <c r="H506" s="84" t="s">
        <v>3762</v>
      </c>
      <c r="I506" s="84" t="s">
        <v>4028</v>
      </c>
      <c r="J506" s="7" t="s">
        <v>2714</v>
      </c>
      <c r="K506" s="7">
        <v>31.0</v>
      </c>
      <c r="L506" s="7">
        <v>0.0</v>
      </c>
      <c r="M506" s="7">
        <v>31.0</v>
      </c>
      <c r="N506" s="7">
        <v>31.0</v>
      </c>
      <c r="O506" s="7">
        <v>31.0</v>
      </c>
      <c r="P506" s="7">
        <v>31.0</v>
      </c>
      <c r="Q506" s="7">
        <v>4.0</v>
      </c>
      <c r="R506" s="7">
        <v>0.0</v>
      </c>
      <c r="S506" s="7">
        <v>0.0</v>
      </c>
      <c r="T506" s="7">
        <v>252.0</v>
      </c>
      <c r="U506" s="7">
        <v>0.0</v>
      </c>
      <c r="V506" s="7">
        <v>252.0</v>
      </c>
      <c r="W506" s="7">
        <f>VLOOKUP($D506,NatureChart,2,0)</f>
        <v>0.9</v>
      </c>
      <c r="X506" s="7">
        <f>VLOOKUP($D506,NatureChart,3,0)</f>
        <v>1</v>
      </c>
      <c r="Y506" s="7">
        <f>VLOOKUP($D506,NatureChart,4,0)</f>
        <v>1</v>
      </c>
      <c r="Z506" s="7">
        <f>VLOOKUP($D506,NatureChart,5,0)</f>
        <v>1</v>
      </c>
      <c r="AA506" s="84">
        <f>VLOOKUP($D506,NatureChart,6,0)</f>
        <v>1.1</v>
      </c>
      <c r="AB506" s="84">
        <f>IF($C506="Shedinja",1,(INT((2*VLOOKUP($C506,DexData,5,0)+INT(Q506/4)+K506)/2)+60))</f>
        <v>136</v>
      </c>
      <c r="AC506" s="84">
        <f>INT(INT((INT((2*VLOOKUP($C506,DexData,6,0)+INT(R506/4)+L506)/2)+5)*W506)*IF($E506="Choice Band",1.5,IF(OR($E506="Mawilite",$E506="Medichamite",$E506="Thick Club"),2,1)))</f>
        <v>58</v>
      </c>
      <c r="AD506" s="84">
        <f>INT(INT((INT((2*VLOOKUP($C506,DexData,7,0)+INT(S506/4)+M506)/2)+5)*X506)*IF($E506="Eviolite",1.5,1))</f>
        <v>80</v>
      </c>
      <c r="AE506" s="84">
        <f>INT(INT((INT((2*VLOOKUP($C506,DexData,9,0)+INT(T506/4)+N506)/2)+5)*Y506)*IF($E506="Choice Specs",1.5,1))</f>
        <v>157</v>
      </c>
      <c r="AF506" s="84">
        <f>INT(INT((INT((2*VLOOKUP($C506,DexData,10,0)+INT(U506/4)+O506)/2)+5)*Z506)*IF(OR($E506="Eviolite",$E506="Assault Vest"),1.5,1))</f>
        <v>125</v>
      </c>
      <c r="AG506" s="84">
        <f>INT(INT((INT((2*VLOOKUP($C506,DexData,11,0)+INT(V506/4)+P506)/2)+5)*AA506)*IF($E506="Choice Scarf",1.5,IF($E506="Iron Ball",0.5,1)))</f>
        <v>172</v>
      </c>
      <c r="AH506" s="84" t="str">
        <f>VLOOKUP(VLOOKUP($C506,DexData,3,0),Aliases!D$2:E$19,2,0)&amp;IFERROR("/"&amp;VLOOKUP(VLOOKUP($C506,DexData,4,0),Aliases!D$2:E$19,2,0),"")</f>
        <v>GHO</v>
      </c>
      <c r="AI506" s="7">
        <v>3.0</v>
      </c>
      <c r="AJ506" s="7">
        <f>IF(VLOOKUP(B506,'Set Odds'!A$2:AN$1067,40,0),1,IF(VLOOKUP(B506,'Set Odds'!A$2:AO$1067,41,0),2,0))</f>
        <v>1</v>
      </c>
      <c r="AK506" s="7"/>
      <c r="AL506" s="7" t="str">
        <f t="shared" si="1"/>
        <v/>
      </c>
    </row>
    <row r="507" ht="12.75" customHeight="1">
      <c r="A507" s="86">
        <v>506.0</v>
      </c>
      <c r="B507" s="84" t="s">
        <v>4029</v>
      </c>
      <c r="C507" s="7" t="s">
        <v>3761</v>
      </c>
      <c r="D507" s="7" t="s">
        <v>2571</v>
      </c>
      <c r="E507" s="7" t="s">
        <v>4030</v>
      </c>
      <c r="F507" s="84" t="s">
        <v>4031</v>
      </c>
      <c r="G507" s="84" t="s">
        <v>2539</v>
      </c>
      <c r="H507" s="84" t="s">
        <v>4032</v>
      </c>
      <c r="I507" s="84" t="s">
        <v>4033</v>
      </c>
      <c r="J507" s="7" t="s">
        <v>2995</v>
      </c>
      <c r="K507" s="7">
        <v>31.0</v>
      </c>
      <c r="L507" s="7">
        <v>31.0</v>
      </c>
      <c r="M507" s="7">
        <v>31.0</v>
      </c>
      <c r="N507" s="7">
        <v>0.0</v>
      </c>
      <c r="O507" s="7">
        <v>31.0</v>
      </c>
      <c r="P507" s="7">
        <v>31.0</v>
      </c>
      <c r="Q507" s="7">
        <v>4.0</v>
      </c>
      <c r="R507" s="7">
        <v>252.0</v>
      </c>
      <c r="S507" s="7">
        <v>0.0</v>
      </c>
      <c r="T507" s="7">
        <v>0.0</v>
      </c>
      <c r="U507" s="7">
        <v>0.0</v>
      </c>
      <c r="V507" s="7">
        <v>252.0</v>
      </c>
      <c r="W507" s="7">
        <f>VLOOKUP($D507,NatureChart,2,0)</f>
        <v>1.1</v>
      </c>
      <c r="X507" s="7">
        <f>VLOOKUP($D507,NatureChart,3,0)</f>
        <v>1</v>
      </c>
      <c r="Y507" s="7">
        <f>VLOOKUP($D507,NatureChart,4,0)</f>
        <v>0.9</v>
      </c>
      <c r="Z507" s="7">
        <f>VLOOKUP($D507,NatureChart,5,0)</f>
        <v>1</v>
      </c>
      <c r="AA507" s="84">
        <f>VLOOKUP($D507,NatureChart,6,0)</f>
        <v>1</v>
      </c>
      <c r="AB507" s="84">
        <f>IF($C507="Shedinja",1,(INT((2*VLOOKUP($C507,DexData,5,0)+INT(Q507/4)+K507)/2)+60))</f>
        <v>226</v>
      </c>
      <c r="AC507" s="84">
        <f>INT(INT((INT((2*VLOOKUP($C507,DexData,6,0)+INT(R507/4)+L507)/2)+5)*W507)*IF($E507="Choice Band",1.5,IF(OR($E507="Mawilite",$E507="Medichamite",$E507="Thick Club"),2,1)))</f>
        <v>145</v>
      </c>
      <c r="AD507" s="84">
        <f>INT(INT((INT((2*VLOOKUP($C507,DexData,7,0)+INT(S507/4)+M507)/2)+5)*X507)*IF($E507="Eviolite",1.5,1))</f>
        <v>64</v>
      </c>
      <c r="AE507" s="84">
        <f>INT(INT((INT((2*VLOOKUP($C507,DexData,9,0)+INT(T507/4)+N507)/2)+5)*Y507)*IF($E507="Choice Specs",1.5,1))</f>
        <v>85</v>
      </c>
      <c r="AF507" s="84">
        <f>INT(INT((INT((2*VLOOKUP($C507,DexData,10,0)+INT(U507/4)+O507)/2)+5)*Z507)*IF(OR($E507="Eviolite",$E507="Assault Vest"),1.5,1))</f>
        <v>74</v>
      </c>
      <c r="AG507" s="84">
        <f>INT(INT((INT((2*VLOOKUP($C507,DexData,11,0)+INT(V507/4)+P507)/2)+5)*AA507)*IF($E507="Choice Scarf",1.5,IF($E507="Iron Ball",0.5,1)))</f>
        <v>132</v>
      </c>
      <c r="AH507" s="84" t="str">
        <f>VLOOKUP(VLOOKUP($C507,DexData,3,0),Aliases!D$2:E$19,2,0)&amp;IFERROR("/"&amp;VLOOKUP(VLOOKUP($C507,DexData,4,0),Aliases!D$2:E$19,2,0),"")</f>
        <v>GHO/FLY</v>
      </c>
      <c r="AI507" s="7">
        <v>3.0</v>
      </c>
      <c r="AJ507" s="7">
        <f>IF(VLOOKUP(B507,'Set Odds'!A$2:AN$1067,40,0),1,IF(VLOOKUP(B507,'Set Odds'!A$2:AO$1067,41,0),2,0))</f>
        <v>1</v>
      </c>
      <c r="AK507" s="7"/>
      <c r="AL507" s="7" t="str">
        <f t="shared" si="1"/>
        <v/>
      </c>
    </row>
    <row r="508" ht="12.75" customHeight="1">
      <c r="A508" s="86">
        <v>507.0</v>
      </c>
      <c r="B508" s="84" t="s">
        <v>4034</v>
      </c>
      <c r="C508" s="7" t="s">
        <v>3765</v>
      </c>
      <c r="D508" s="7" t="s">
        <v>2941</v>
      </c>
      <c r="E508" s="7" t="s">
        <v>3439</v>
      </c>
      <c r="F508" s="84" t="s">
        <v>3341</v>
      </c>
      <c r="G508" s="84" t="s">
        <v>3710</v>
      </c>
      <c r="H508" s="84" t="s">
        <v>2886</v>
      </c>
      <c r="I508" s="84" t="s">
        <v>2860</v>
      </c>
      <c r="J508" s="7" t="s">
        <v>2849</v>
      </c>
      <c r="K508" s="7">
        <v>31.0</v>
      </c>
      <c r="L508" s="7">
        <v>31.0</v>
      </c>
      <c r="M508" s="7">
        <v>31.0</v>
      </c>
      <c r="N508" s="7">
        <v>31.0</v>
      </c>
      <c r="O508" s="7">
        <v>31.0</v>
      </c>
      <c r="P508" s="7">
        <v>31.0</v>
      </c>
      <c r="Q508" s="7">
        <v>0.0</v>
      </c>
      <c r="R508" s="7">
        <v>252.0</v>
      </c>
      <c r="S508" s="7">
        <v>0.0</v>
      </c>
      <c r="T508" s="7">
        <v>4.0</v>
      </c>
      <c r="U508" s="7">
        <v>0.0</v>
      </c>
      <c r="V508" s="7">
        <v>252.0</v>
      </c>
      <c r="W508" s="7">
        <f>VLOOKUP($D508,NatureChart,2,0)</f>
        <v>1</v>
      </c>
      <c r="X508" s="7">
        <f>VLOOKUP($D508,NatureChart,3,0)</f>
        <v>0.9</v>
      </c>
      <c r="Y508" s="7">
        <f>VLOOKUP($D508,NatureChart,4,0)</f>
        <v>1</v>
      </c>
      <c r="Z508" s="7">
        <f>VLOOKUP($D508,NatureChart,5,0)</f>
        <v>1</v>
      </c>
      <c r="AA508" s="84">
        <f>VLOOKUP($D508,NatureChart,6,0)</f>
        <v>1.1</v>
      </c>
      <c r="AB508" s="84">
        <f>IF($C508="Shedinja",1,(INT((2*VLOOKUP($C508,DexData,5,0)+INT(Q508/4)+K508)/2)+60))</f>
        <v>155</v>
      </c>
      <c r="AC508" s="84">
        <f>INT(INT((INT((2*VLOOKUP($C508,DexData,6,0)+INT(R508/4)+L508)/2)+5)*W508)*IF($E508="Choice Band",1.5,IF(OR($E508="Mawilite",$E508="Medichamite",$E508="Thick Club"),2,1)))</f>
        <v>134</v>
      </c>
      <c r="AD508" s="84">
        <f>INT(INT((INT((2*VLOOKUP($C508,DexData,7,0)+INT(S508/4)+M508)/2)+5)*X508)*IF($E508="Eviolite",1.5,1))</f>
        <v>88</v>
      </c>
      <c r="AE508" s="84">
        <f>INT(INT((INT((2*VLOOKUP($C508,DexData,9,0)+INT(T508/4)+N508)/2)+5)*Y508)*IF($E508="Choice Specs",1.5,1))</f>
        <v>116</v>
      </c>
      <c r="AF508" s="84">
        <f>INT(INT((INT((2*VLOOKUP($C508,DexData,10,0)+INT(U508/4)+O508)/2)+5)*Z508)*IF(OR($E508="Eviolite",$E508="Assault Vest"),1.5,1))</f>
        <v>100</v>
      </c>
      <c r="AG508" s="84">
        <f>INT(INT((INT((2*VLOOKUP($C508,DexData,11,0)+INT(V508/4)+P508)/2)+5)*AA508)*IF($E508="Choice Scarf",1.5,IF($E508="Iron Ball",0.5,1)))</f>
        <v>150</v>
      </c>
      <c r="AH508" s="84" t="str">
        <f>VLOOKUP(VLOOKUP($C508,DexData,3,0),Aliases!D$2:E$19,2,0)&amp;IFERROR("/"&amp;VLOOKUP(VLOOKUP($C508,DexData,4,0),Aliases!D$2:E$19,2,0),"")</f>
        <v>WTR</v>
      </c>
      <c r="AI508" s="7">
        <v>3.0</v>
      </c>
      <c r="AJ508" s="7">
        <f>IF(VLOOKUP(B508,'Set Odds'!A$2:AN$1067,40,0),1,IF(VLOOKUP(B508,'Set Odds'!A$2:AO$1067,41,0),2,0))</f>
        <v>1</v>
      </c>
      <c r="AK508" s="7"/>
      <c r="AL508" s="7" t="str">
        <f t="shared" si="1"/>
        <v/>
      </c>
    </row>
    <row r="509" ht="12.75" customHeight="1">
      <c r="A509" s="86">
        <v>508.0</v>
      </c>
      <c r="B509" s="84" t="s">
        <v>4035</v>
      </c>
      <c r="C509" s="7" t="s">
        <v>3767</v>
      </c>
      <c r="D509" s="7" t="s">
        <v>2571</v>
      </c>
      <c r="E509" s="7" t="s">
        <v>2516</v>
      </c>
      <c r="F509" s="84" t="s">
        <v>2869</v>
      </c>
      <c r="G509" s="84" t="s">
        <v>2581</v>
      </c>
      <c r="H509" s="84" t="s">
        <v>3454</v>
      </c>
      <c r="I509" s="84" t="s">
        <v>2797</v>
      </c>
      <c r="J509" s="7" t="s">
        <v>3059</v>
      </c>
      <c r="K509" s="7">
        <v>31.0</v>
      </c>
      <c r="L509" s="7">
        <v>31.0</v>
      </c>
      <c r="M509" s="7">
        <v>31.0</v>
      </c>
      <c r="N509" s="7">
        <v>0.0</v>
      </c>
      <c r="O509" s="7">
        <v>31.0</v>
      </c>
      <c r="P509" s="7">
        <v>31.0</v>
      </c>
      <c r="Q509" s="7">
        <v>4.0</v>
      </c>
      <c r="R509" s="7">
        <v>252.0</v>
      </c>
      <c r="S509" s="7">
        <v>0.0</v>
      </c>
      <c r="T509" s="7">
        <v>0.0</v>
      </c>
      <c r="U509" s="7">
        <v>0.0</v>
      </c>
      <c r="V509" s="7">
        <v>252.0</v>
      </c>
      <c r="W509" s="7">
        <f>VLOOKUP($D509,NatureChart,2,0)</f>
        <v>1.1</v>
      </c>
      <c r="X509" s="7">
        <f>VLOOKUP($D509,NatureChart,3,0)</f>
        <v>1</v>
      </c>
      <c r="Y509" s="7">
        <f>VLOOKUP($D509,NatureChart,4,0)</f>
        <v>0.9</v>
      </c>
      <c r="Z509" s="7">
        <f>VLOOKUP($D509,NatureChart,5,0)</f>
        <v>1</v>
      </c>
      <c r="AA509" s="84">
        <f>VLOOKUP($D509,NatureChart,6,0)</f>
        <v>1</v>
      </c>
      <c r="AB509" s="84">
        <f>IF($C509="Shedinja",1,(INT((2*VLOOKUP($C509,DexData,5,0)+INT(Q509/4)+K509)/2)+60))</f>
        <v>166</v>
      </c>
      <c r="AC509" s="84">
        <f>INT(INT((INT((2*VLOOKUP($C509,DexData,6,0)+INT(R509/4)+L509)/2)+5)*W509)*IF($E509="Choice Band",1.5,IF(OR($E509="Mawilite",$E509="Medichamite",$E509="Thick Club"),2,1)))</f>
        <v>161</v>
      </c>
      <c r="AD509" s="84">
        <f>INT(INT((INT((2*VLOOKUP($C509,DexData,7,0)+INT(S509/4)+M509)/2)+5)*X509)*IF($E509="Eviolite",1.5,1))</f>
        <v>115</v>
      </c>
      <c r="AE509" s="84">
        <f>INT(INT((INT((2*VLOOKUP($C509,DexData,9,0)+INT(T509/4)+N509)/2)+5)*Y509)*IF($E509="Choice Specs",1.5,1))</f>
        <v>67</v>
      </c>
      <c r="AF509" s="84">
        <f>INT(INT((INT((2*VLOOKUP($C509,DexData,10,0)+INT(U509/4)+O509)/2)+5)*Z509)*IF(OR($E509="Eviolite",$E509="Assault Vest"),1.5,1))</f>
        <v>110</v>
      </c>
      <c r="AG509" s="84">
        <f>INT(INT((INT((2*VLOOKUP($C509,DexData,11,0)+INT(V509/4)+P509)/2)+5)*AA509)*IF($E509="Choice Scarf",1.5,IF($E509="Iron Ball",0.5,1)))</f>
        <v>122</v>
      </c>
      <c r="AH509" s="84" t="str">
        <f>VLOOKUP(VLOOKUP($C509,DexData,3,0),Aliases!D$2:E$19,2,0)&amp;IFERROR("/"&amp;VLOOKUP(VLOOKUP($C509,DexData,4,0),Aliases!D$2:E$19,2,0),"")</f>
        <v>WTR/FTG</v>
      </c>
      <c r="AI509" s="7">
        <v>3.0</v>
      </c>
      <c r="AJ509" s="7">
        <f>IF(VLOOKUP(B509,'Set Odds'!A$2:AN$1067,40,0),1,IF(VLOOKUP(B509,'Set Odds'!A$2:AO$1067,41,0),2,0))</f>
        <v>1</v>
      </c>
      <c r="AK509" s="7"/>
      <c r="AL509" s="7" t="str">
        <f t="shared" si="1"/>
        <v/>
      </c>
    </row>
    <row r="510" ht="12.75" customHeight="1">
      <c r="A510" s="86">
        <v>509.0</v>
      </c>
      <c r="B510" s="84" t="s">
        <v>4036</v>
      </c>
      <c r="C510" s="7" t="s">
        <v>3770</v>
      </c>
      <c r="D510" s="7" t="s">
        <v>2571</v>
      </c>
      <c r="E510" s="7" t="s">
        <v>2520</v>
      </c>
      <c r="F510" s="84" t="s">
        <v>3608</v>
      </c>
      <c r="G510" s="84" t="s">
        <v>3787</v>
      </c>
      <c r="H510" s="84" t="s">
        <v>2518</v>
      </c>
      <c r="I510" s="84" t="s">
        <v>2807</v>
      </c>
      <c r="J510" s="7" t="s">
        <v>3162</v>
      </c>
      <c r="K510" s="7">
        <v>31.0</v>
      </c>
      <c r="L510" s="7">
        <v>31.0</v>
      </c>
      <c r="M510" s="7">
        <v>31.0</v>
      </c>
      <c r="N510" s="7">
        <v>0.0</v>
      </c>
      <c r="O510" s="7">
        <v>31.0</v>
      </c>
      <c r="P510" s="7">
        <v>31.0</v>
      </c>
      <c r="Q510" s="7">
        <v>4.0</v>
      </c>
      <c r="R510" s="7">
        <v>252.0</v>
      </c>
      <c r="S510" s="7">
        <v>0.0</v>
      </c>
      <c r="T510" s="7">
        <v>0.0</v>
      </c>
      <c r="U510" s="7">
        <v>0.0</v>
      </c>
      <c r="V510" s="7">
        <v>252.0</v>
      </c>
      <c r="W510" s="7">
        <f>VLOOKUP($D510,NatureChart,2,0)</f>
        <v>1.1</v>
      </c>
      <c r="X510" s="7">
        <f>VLOOKUP($D510,NatureChart,3,0)</f>
        <v>1</v>
      </c>
      <c r="Y510" s="7">
        <f>VLOOKUP($D510,NatureChart,4,0)</f>
        <v>0.9</v>
      </c>
      <c r="Z510" s="7">
        <f>VLOOKUP($D510,NatureChart,5,0)</f>
        <v>1</v>
      </c>
      <c r="AA510" s="84">
        <f>VLOOKUP($D510,NatureChart,6,0)</f>
        <v>1</v>
      </c>
      <c r="AB510" s="84">
        <f>IF($C510="Shedinja",1,(INT((2*VLOOKUP($C510,DexData,5,0)+INT(Q510/4)+K510)/2)+60))</f>
        <v>141</v>
      </c>
      <c r="AC510" s="84">
        <f>INT(INT((INT((2*VLOOKUP($C510,DexData,6,0)+INT(R510/4)+L510)/2)+5)*W510)*IF($E510="Choice Band",1.5,IF(OR($E510="Mawilite",$E510="Medichamite",$E510="Thick Club"),2,1)))</f>
        <v>167</v>
      </c>
      <c r="AD510" s="84">
        <f>INT(INT((INT((2*VLOOKUP($C510,DexData,7,0)+INT(S510/4)+M510)/2)+5)*X510)*IF($E510="Eviolite",1.5,1))</f>
        <v>90</v>
      </c>
      <c r="AE510" s="84">
        <f>INT(INT((INT((2*VLOOKUP($C510,DexData,9,0)+INT(T510/4)+N510)/2)+5)*Y510)*IF($E510="Choice Specs",1.5,1))</f>
        <v>76</v>
      </c>
      <c r="AF510" s="84">
        <f>INT(INT((INT((2*VLOOKUP($C510,DexData,10,0)+INT(U510/4)+O510)/2)+5)*Z510)*IF(OR($E510="Eviolite",$E510="Assault Vest"),1.5,1))</f>
        <v>100</v>
      </c>
      <c r="AG510" s="84">
        <f>INT(INT((INT((2*VLOOKUP($C510,DexData,11,0)+INT(V510/4)+P510)/2)+5)*AA510)*IF($E510="Choice Scarf",1.5,IF($E510="Iron Ball",0.5,1)))</f>
        <v>157</v>
      </c>
      <c r="AH510" s="84" t="str">
        <f>VLOOKUP(VLOOKUP($C510,DexData,3,0),Aliases!D$2:E$19,2,0)&amp;IFERROR("/"&amp;VLOOKUP(VLOOKUP($C510,DexData,4,0),Aliases!D$2:E$19,2,0),"")</f>
        <v>FIR</v>
      </c>
      <c r="AI510" s="7">
        <v>3.0</v>
      </c>
      <c r="AJ510" s="7">
        <f>IF(VLOOKUP(B510,'Set Odds'!A$2:AN$1067,40,0),1,IF(VLOOKUP(B510,'Set Odds'!A$2:AO$1067,41,0),2,0))</f>
        <v>1</v>
      </c>
      <c r="AK510" s="7"/>
      <c r="AL510" s="7" t="str">
        <f t="shared" si="1"/>
        <v/>
      </c>
    </row>
    <row r="511" ht="12.75" customHeight="1">
      <c r="A511" s="86">
        <v>510.0</v>
      </c>
      <c r="B511" s="84" t="s">
        <v>4037</v>
      </c>
      <c r="C511" s="7" t="s">
        <v>3772</v>
      </c>
      <c r="D511" s="7" t="s">
        <v>2571</v>
      </c>
      <c r="E511" s="7" t="s">
        <v>2515</v>
      </c>
      <c r="F511" s="84" t="s">
        <v>4038</v>
      </c>
      <c r="G511" s="84" t="s">
        <v>2581</v>
      </c>
      <c r="H511" s="84" t="s">
        <v>3256</v>
      </c>
      <c r="I511" s="84" t="s">
        <v>2625</v>
      </c>
      <c r="J511" s="7" t="s">
        <v>2808</v>
      </c>
      <c r="K511" s="7">
        <v>31.0</v>
      </c>
      <c r="L511" s="7">
        <v>31.0</v>
      </c>
      <c r="M511" s="7">
        <v>31.0</v>
      </c>
      <c r="N511" s="7">
        <v>0.0</v>
      </c>
      <c r="O511" s="7">
        <v>31.0</v>
      </c>
      <c r="P511" s="7">
        <v>31.0</v>
      </c>
      <c r="Q511" s="7">
        <v>252.0</v>
      </c>
      <c r="R511" s="7">
        <v>252.0</v>
      </c>
      <c r="S511" s="7">
        <v>4.0</v>
      </c>
      <c r="T511" s="7">
        <v>0.0</v>
      </c>
      <c r="U511" s="7">
        <v>0.0</v>
      </c>
      <c r="V511" s="7">
        <v>0.0</v>
      </c>
      <c r="W511" s="7">
        <f>VLOOKUP($D511,NatureChart,2,0)</f>
        <v>1.1</v>
      </c>
      <c r="X511" s="7">
        <f>VLOOKUP($D511,NatureChart,3,0)</f>
        <v>1</v>
      </c>
      <c r="Y511" s="7">
        <f>VLOOKUP($D511,NatureChart,4,0)</f>
        <v>0.9</v>
      </c>
      <c r="Z511" s="7">
        <f>VLOOKUP($D511,NatureChart,5,0)</f>
        <v>1</v>
      </c>
      <c r="AA511" s="84">
        <f>VLOOKUP($D511,NatureChart,6,0)</f>
        <v>1</v>
      </c>
      <c r="AB511" s="84">
        <f>IF($C511="Shedinja",1,(INT((2*VLOOKUP($C511,DexData,5,0)+INT(Q511/4)+K511)/2)+60))</f>
        <v>212</v>
      </c>
      <c r="AC511" s="84">
        <f>INT(INT((INT((2*VLOOKUP($C511,DexData,6,0)+INT(R511/4)+L511)/2)+5)*W511)*IF($E511="Choice Band",1.5,IF(OR($E511="Mawilite",$E511="Medichamite",$E511="Thick Club"),2,1)))</f>
        <v>172</v>
      </c>
      <c r="AD511" s="84">
        <f>INT(INT((INT((2*VLOOKUP($C511,DexData,7,0)+INT(S511/4)+M511)/2)+5)*X511)*IF($E511="Eviolite",1.5,1))</f>
        <v>96</v>
      </c>
      <c r="AE511" s="84">
        <f>INT(INT((INT((2*VLOOKUP($C511,DexData,9,0)+INT(T511/4)+N511)/2)+5)*Y511)*IF($E511="Choice Specs",1.5,1))</f>
        <v>63</v>
      </c>
      <c r="AF511" s="84">
        <f>INT(INT((INT((2*VLOOKUP($C511,DexData,10,0)+INT(U511/4)+O511)/2)+5)*Z511)*IF(OR($E511="Eviolite",$E511="Assault Vest"),1.5,1))</f>
        <v>120</v>
      </c>
      <c r="AG511" s="84">
        <f>INT(INT((INT((2*VLOOKUP($C511,DexData,11,0)+INT(V511/4)+P511)/2)+5)*AA511)*IF($E511="Choice Scarf",1.5,IF($E511="Iron Ball",0.5,1)))</f>
        <v>70</v>
      </c>
      <c r="AH511" s="84" t="str">
        <f>VLOOKUP(VLOOKUP($C511,DexData,3,0),Aliases!D$2:E$19,2,0)&amp;IFERROR("/"&amp;VLOOKUP(VLOOKUP($C511,DexData,4,0),Aliases!D$2:E$19,2,0),"")</f>
        <v>PSN</v>
      </c>
      <c r="AI511" s="7">
        <v>3.0</v>
      </c>
      <c r="AJ511" s="7">
        <f>IF(VLOOKUP(B511,'Set Odds'!A$2:AN$1067,40,0),1,IF(VLOOKUP(B511,'Set Odds'!A$2:AO$1067,41,0),2,0))</f>
        <v>1</v>
      </c>
      <c r="AK511" s="7"/>
      <c r="AL511" s="7" t="str">
        <f t="shared" si="1"/>
        <v/>
      </c>
    </row>
    <row r="512" ht="12.75" customHeight="1">
      <c r="A512" s="86">
        <v>511.0</v>
      </c>
      <c r="B512" s="84" t="s">
        <v>4039</v>
      </c>
      <c r="C512" s="7" t="s">
        <v>3774</v>
      </c>
      <c r="D512" s="7" t="s">
        <v>2571</v>
      </c>
      <c r="E512" s="7" t="s">
        <v>3037</v>
      </c>
      <c r="F512" s="84" t="s">
        <v>2539</v>
      </c>
      <c r="G512" s="84" t="s">
        <v>3135</v>
      </c>
      <c r="H512" s="84" t="s">
        <v>2807</v>
      </c>
      <c r="I512" s="84" t="s">
        <v>2886</v>
      </c>
      <c r="J512" s="7" t="s">
        <v>3496</v>
      </c>
      <c r="K512" s="7">
        <v>31.0</v>
      </c>
      <c r="L512" s="7">
        <v>31.0</v>
      </c>
      <c r="M512" s="7">
        <v>31.0</v>
      </c>
      <c r="N512" s="7">
        <v>0.0</v>
      </c>
      <c r="O512" s="7">
        <v>31.0</v>
      </c>
      <c r="P512" s="7">
        <v>31.0</v>
      </c>
      <c r="Q512" s="7">
        <v>4.0</v>
      </c>
      <c r="R512" s="7">
        <v>252.0</v>
      </c>
      <c r="S512" s="7">
        <v>0.0</v>
      </c>
      <c r="T512" s="7">
        <v>0.0</v>
      </c>
      <c r="U512" s="7">
        <v>0.0</v>
      </c>
      <c r="V512" s="7">
        <v>252.0</v>
      </c>
      <c r="W512" s="7">
        <f>VLOOKUP($D512,NatureChart,2,0)</f>
        <v>1.1</v>
      </c>
      <c r="X512" s="7">
        <f>VLOOKUP($D512,NatureChart,3,0)</f>
        <v>1</v>
      </c>
      <c r="Y512" s="7">
        <f>VLOOKUP($D512,NatureChart,4,0)</f>
        <v>0.9</v>
      </c>
      <c r="Z512" s="7">
        <f>VLOOKUP($D512,NatureChart,5,0)</f>
        <v>1</v>
      </c>
      <c r="AA512" s="84">
        <f>VLOOKUP($D512,NatureChart,6,0)</f>
        <v>1</v>
      </c>
      <c r="AB512" s="84">
        <f>IF($C512="Shedinja",1,(INT((2*VLOOKUP($C512,DexData,5,0)+INT(Q512/4)+K512)/2)+60))</f>
        <v>136</v>
      </c>
      <c r="AC512" s="84">
        <f>INT(INT((INT((2*VLOOKUP($C512,DexData,6,0)+INT(R512/4)+L512)/2)+5)*W512)*IF($E512="Choice Band",1.5,IF(OR($E512="Mawilite",$E512="Medichamite",$E512="Thick Club"),2,1)))</f>
        <v>128</v>
      </c>
      <c r="AD512" s="84">
        <f>INT(INT((INT((2*VLOOKUP($C512,DexData,7,0)+INT(S512/4)+M512)/2)+5)*X512)*IF($E512="Eviolite",1.5,1))</f>
        <v>80</v>
      </c>
      <c r="AE512" s="84">
        <f>INT(INT((INT((2*VLOOKUP($C512,DexData,9,0)+INT(T512/4)+N512)/2)+5)*Y512)*IF($E512="Choice Specs",1.5,1))</f>
        <v>121</v>
      </c>
      <c r="AF512" s="84">
        <f>INT(INT((INT((2*VLOOKUP($C512,DexData,10,0)+INT(U512/4)+O512)/2)+5)*Z512)*IF(OR($E512="Eviolite",$E512="Assault Vest"),1.5,1))</f>
        <v>95</v>
      </c>
      <c r="AG512" s="84">
        <f>INT(INT((INT((2*VLOOKUP($C512,DexData,11,0)+INT(V512/4)+P512)/2)+5)*AA512)*IF($E512="Choice Scarf",1.5,IF($E512="Iron Ball",0.5,1)))</f>
        <v>162</v>
      </c>
      <c r="AH512" s="84" t="str">
        <f>VLOOKUP(VLOOKUP($C512,DexData,3,0),Aliases!D$2:E$19,2,0)&amp;IFERROR("/"&amp;VLOOKUP(VLOOKUP($C512,DexData,4,0),Aliases!D$2:E$19,2,0),"")</f>
        <v>GHO/PSN</v>
      </c>
      <c r="AI512" s="7">
        <v>3.0</v>
      </c>
      <c r="AJ512" s="7">
        <f>IF(VLOOKUP(B512,'Set Odds'!A$2:AN$1067,40,0),1,IF(VLOOKUP(B512,'Set Odds'!A$2:AO$1067,41,0),2,0))</f>
        <v>1</v>
      </c>
      <c r="AK512" s="7"/>
      <c r="AL512" s="7" t="str">
        <f t="shared" si="1"/>
        <v/>
      </c>
    </row>
    <row r="513" ht="12.75" customHeight="1">
      <c r="A513" s="86">
        <v>512.0</v>
      </c>
      <c r="B513" s="84" t="s">
        <v>4040</v>
      </c>
      <c r="C513" s="7" t="s">
        <v>3776</v>
      </c>
      <c r="D513" s="7" t="s">
        <v>2723</v>
      </c>
      <c r="E513" s="7" t="s">
        <v>3976</v>
      </c>
      <c r="F513" s="84" t="s">
        <v>2863</v>
      </c>
      <c r="G513" s="84" t="s">
        <v>2532</v>
      </c>
      <c r="H513" s="84" t="s">
        <v>3594</v>
      </c>
      <c r="I513" s="84" t="s">
        <v>3135</v>
      </c>
      <c r="J513" s="7" t="s">
        <v>3136</v>
      </c>
      <c r="K513" s="7">
        <v>31.0</v>
      </c>
      <c r="L513" s="7">
        <v>31.0</v>
      </c>
      <c r="M513" s="7">
        <v>31.0</v>
      </c>
      <c r="N513" s="7">
        <v>0.0</v>
      </c>
      <c r="O513" s="7">
        <v>31.0</v>
      </c>
      <c r="P513" s="7">
        <v>31.0</v>
      </c>
      <c r="Q513" s="7">
        <v>252.0</v>
      </c>
      <c r="R513" s="7">
        <v>4.0</v>
      </c>
      <c r="S513" s="7">
        <v>0.0</v>
      </c>
      <c r="T513" s="7">
        <v>0.0</v>
      </c>
      <c r="U513" s="7">
        <v>252.0</v>
      </c>
      <c r="V513" s="7">
        <v>0.0</v>
      </c>
      <c r="W513" s="7">
        <f>VLOOKUP($D513,NatureChart,2,0)</f>
        <v>1</v>
      </c>
      <c r="X513" s="7">
        <f>VLOOKUP($D513,NatureChart,3,0)</f>
        <v>1</v>
      </c>
      <c r="Y513" s="7">
        <f>VLOOKUP($D513,NatureChart,4,0)</f>
        <v>0.9</v>
      </c>
      <c r="Z513" s="7">
        <f>VLOOKUP($D513,NatureChart,5,0)</f>
        <v>1.1</v>
      </c>
      <c r="AA513" s="84">
        <f>VLOOKUP($D513,NatureChart,6,0)</f>
        <v>1</v>
      </c>
      <c r="AB513" s="84">
        <f>IF($C513="Shedinja",1,(INT((2*VLOOKUP($C513,DexData,5,0)+INT(Q513/4)+K513)/2)+60))</f>
        <v>197</v>
      </c>
      <c r="AC513" s="84">
        <f>INT(INT((INT((2*VLOOKUP($C513,DexData,6,0)+INT(R513/4)+L513)/2)+5)*W513)*IF($E513="Choice Band",1.5,IF(OR($E513="Mawilite",$E513="Medichamite",$E513="Thick Club"),2,1)))</f>
        <v>96</v>
      </c>
      <c r="AD513" s="84">
        <f>INT(INT((INT((2*VLOOKUP($C513,DexData,7,0)+INT(S513/4)+M513)/2)+5)*X513)*IF($E513="Eviolite",1.5,1))</f>
        <v>105</v>
      </c>
      <c r="AE513" s="84">
        <f>INT(INT((INT((2*VLOOKUP($C513,DexData,9,0)+INT(T513/4)+N513)/2)+5)*Y513)*IF($E513="Choice Specs",1.5,1))</f>
        <v>108</v>
      </c>
      <c r="AF513" s="84">
        <f>INT(INT((INT((2*VLOOKUP($C513,DexData,10,0)+INT(U513/4)+O513)/2)+5)*Z513)*IF(OR($E513="Eviolite",$E513="Assault Vest"),1.5,1))</f>
        <v>156</v>
      </c>
      <c r="AG513" s="84">
        <f>INT(INT((INT((2*VLOOKUP($C513,DexData,11,0)+INT(V513/4)+P513)/2)+5)*AA513)*IF($E513="Choice Scarf",1.5,IF($E513="Iron Ball",0.5,1)))</f>
        <v>75</v>
      </c>
      <c r="AH513" s="84" t="str">
        <f>VLOOKUP(VLOOKUP($C513,DexData,3,0),Aliases!D$2:E$19,2,0)&amp;IFERROR("/"&amp;VLOOKUP(VLOOKUP($C513,DexData,4,0),Aliases!D$2:E$19,2,0),"")</f>
        <v>ELC</v>
      </c>
      <c r="AI513" s="7">
        <v>3.0</v>
      </c>
      <c r="AJ513" s="7">
        <f>IF(VLOOKUP(B513,'Set Odds'!A$2:AN$1067,40,0),1,IF(VLOOKUP(B513,'Set Odds'!A$2:AO$1067,41,0),2,0))</f>
        <v>1</v>
      </c>
      <c r="AK513" s="7"/>
      <c r="AL513" s="7" t="str">
        <f t="shared" si="1"/>
        <v/>
      </c>
    </row>
    <row r="514" ht="12.75" customHeight="1">
      <c r="A514" s="86">
        <v>513.0</v>
      </c>
      <c r="B514" s="84" t="s">
        <v>4041</v>
      </c>
      <c r="C514" s="7" t="s">
        <v>3779</v>
      </c>
      <c r="D514" s="7" t="s">
        <v>2862</v>
      </c>
      <c r="E514" s="7" t="s">
        <v>2524</v>
      </c>
      <c r="F514" s="84" t="s">
        <v>2967</v>
      </c>
      <c r="G514" s="84" t="s">
        <v>3590</v>
      </c>
      <c r="H514" s="84" t="s">
        <v>2823</v>
      </c>
      <c r="I514" s="84" t="s">
        <v>3640</v>
      </c>
      <c r="J514" s="7" t="s">
        <v>3399</v>
      </c>
      <c r="K514" s="7">
        <v>31.0</v>
      </c>
      <c r="L514" s="7">
        <v>0.0</v>
      </c>
      <c r="M514" s="7">
        <v>31.0</v>
      </c>
      <c r="N514" s="7">
        <v>31.0</v>
      </c>
      <c r="O514" s="7">
        <v>31.0</v>
      </c>
      <c r="P514" s="7">
        <v>31.0</v>
      </c>
      <c r="Q514" s="7">
        <v>252.0</v>
      </c>
      <c r="R514" s="7">
        <v>0.0</v>
      </c>
      <c r="S514" s="7">
        <v>252.0</v>
      </c>
      <c r="T514" s="7">
        <v>4.0</v>
      </c>
      <c r="U514" s="7">
        <v>0.0</v>
      </c>
      <c r="V514" s="7">
        <v>0.0</v>
      </c>
      <c r="W514" s="7">
        <f>VLOOKUP($D514,NatureChart,2,0)</f>
        <v>0.9</v>
      </c>
      <c r="X514" s="7">
        <f>VLOOKUP($D514,NatureChart,3,0)</f>
        <v>1.1</v>
      </c>
      <c r="Y514" s="7">
        <f>VLOOKUP($D514,NatureChart,4,0)</f>
        <v>1</v>
      </c>
      <c r="Z514" s="7">
        <f>VLOOKUP($D514,NatureChart,5,0)</f>
        <v>1</v>
      </c>
      <c r="AA514" s="84">
        <f>VLOOKUP($D514,NatureChart,6,0)</f>
        <v>1</v>
      </c>
      <c r="AB514" s="84">
        <f>IF($C514="Shedinja",1,(INT((2*VLOOKUP($C514,DexData,5,0)+INT(Q514/4)+K514)/2)+60))</f>
        <v>197</v>
      </c>
      <c r="AC514" s="84">
        <f>INT(INT((INT((2*VLOOKUP($C514,DexData,6,0)+INT(R514/4)+L514)/2)+5)*W514)*IF($E514="Choice Band",1.5,IF(OR($E514="Mawilite",$E514="Medichamite",$E514="Thick Club"),2,1)))</f>
        <v>72</v>
      </c>
      <c r="AD514" s="84">
        <f>INT(INT((INT((2*VLOOKUP($C514,DexData,7,0)+INT(S514/4)+M514)/2)+5)*X514)*IF($E514="Eviolite",1.5,1))</f>
        <v>139</v>
      </c>
      <c r="AE514" s="84">
        <f>INT(INT((INT((2*VLOOKUP($C514,DexData,9,0)+INT(T514/4)+N514)/2)+5)*Y514)*IF($E514="Choice Specs",1.5,1))</f>
        <v>111</v>
      </c>
      <c r="AF514" s="84">
        <f>INT(INT((INT((2*VLOOKUP($C514,DexData,10,0)+INT(U514/4)+O514)/2)+5)*Z514)*IF(OR($E514="Eviolite",$E514="Assault Vest"),1.5,1))</f>
        <v>120</v>
      </c>
      <c r="AG514" s="84">
        <f>INT(INT((INT((2*VLOOKUP($C514,DexData,11,0)+INT(V514/4)+P514)/2)+5)*AA514)*IF($E514="Choice Scarf",1.5,IF($E514="Iron Ball",0.5,1)))</f>
        <v>90</v>
      </c>
      <c r="AH514" s="84" t="str">
        <f>VLOOKUP(VLOOKUP($C514,DexData,3,0),Aliases!D$2:E$19,2,0)&amp;IFERROR("/"&amp;VLOOKUP(VLOOKUP($C514,DexData,4,0),Aliases!D$2:E$19,2,0),"")</f>
        <v>WTR</v>
      </c>
      <c r="AI514" s="7">
        <v>3.0</v>
      </c>
      <c r="AJ514" s="7">
        <f>IF(VLOOKUP(B514,'Set Odds'!A$2:AN$1067,40,0),1,IF(VLOOKUP(B514,'Set Odds'!A$2:AO$1067,41,0),2,0))</f>
        <v>1</v>
      </c>
      <c r="AK514" s="7"/>
      <c r="AL514" s="7" t="str">
        <f t="shared" si="1"/>
        <v/>
      </c>
    </row>
    <row r="515" ht="12.75" customHeight="1">
      <c r="A515" s="86">
        <v>514.0</v>
      </c>
      <c r="B515" s="84" t="s">
        <v>4042</v>
      </c>
      <c r="C515" s="7" t="s">
        <v>3781</v>
      </c>
      <c r="D515" s="7" t="s">
        <v>2723</v>
      </c>
      <c r="E515" s="7" t="s">
        <v>2524</v>
      </c>
      <c r="F515" s="84" t="s">
        <v>2878</v>
      </c>
      <c r="G515" s="84" t="s">
        <v>3454</v>
      </c>
      <c r="H515" s="84" t="s">
        <v>2671</v>
      </c>
      <c r="I515" s="84" t="s">
        <v>3441</v>
      </c>
      <c r="J515" s="7" t="s">
        <v>3102</v>
      </c>
      <c r="K515" s="7">
        <v>31.0</v>
      </c>
      <c r="L515" s="7">
        <v>31.0</v>
      </c>
      <c r="M515" s="7">
        <v>31.0</v>
      </c>
      <c r="N515" s="7">
        <v>0.0</v>
      </c>
      <c r="O515" s="7">
        <v>31.0</v>
      </c>
      <c r="P515" s="7">
        <v>31.0</v>
      </c>
      <c r="Q515" s="7">
        <v>4.0</v>
      </c>
      <c r="R515" s="7">
        <v>252.0</v>
      </c>
      <c r="S515" s="7">
        <v>0.0</v>
      </c>
      <c r="T515" s="7">
        <v>0.0</v>
      </c>
      <c r="U515" s="7">
        <v>252.0</v>
      </c>
      <c r="V515" s="7">
        <v>0.0</v>
      </c>
      <c r="W515" s="7">
        <f>VLOOKUP($D515,NatureChart,2,0)</f>
        <v>1</v>
      </c>
      <c r="X515" s="7">
        <f>VLOOKUP($D515,NatureChart,3,0)</f>
        <v>1</v>
      </c>
      <c r="Y515" s="7">
        <f>VLOOKUP($D515,NatureChart,4,0)</f>
        <v>0.9</v>
      </c>
      <c r="Z515" s="7">
        <f>VLOOKUP($D515,NatureChart,5,0)</f>
        <v>1.1</v>
      </c>
      <c r="AA515" s="84">
        <f>VLOOKUP($D515,NatureChart,6,0)</f>
        <v>1</v>
      </c>
      <c r="AB515" s="84">
        <f>IF($C515="Shedinja",1,(INT((2*VLOOKUP($C515,DexData,5,0)+INT(Q515/4)+K515)/2)+60))</f>
        <v>141</v>
      </c>
      <c r="AC515" s="84">
        <f>INT(INT((INT((2*VLOOKUP($C515,DexData,6,0)+INT(R515/4)+L515)/2)+5)*W515)*IF($E515="Choice Band",1.5,IF(OR($E515="Mawilite",$E515="Medichamite",$E515="Thick Club"),2,1)))</f>
        <v>177</v>
      </c>
      <c r="AD515" s="84">
        <f>INT(INT((INT((2*VLOOKUP($C515,DexData,7,0)+INT(S515/4)+M515)/2)+5)*X515)*IF($E515="Eviolite",1.5,1))</f>
        <v>120</v>
      </c>
      <c r="AE515" s="84">
        <f>INT(INT((INT((2*VLOOKUP($C515,DexData,9,0)+INT(T515/4)+N515)/2)+5)*Y515)*IF($E515="Choice Specs",1.5,1))</f>
        <v>54</v>
      </c>
      <c r="AF515" s="84">
        <f>INT(INT((INT((2*VLOOKUP($C515,DexData,10,0)+INT(U515/4)+O515)/2)+5)*Z515)*IF(OR($E515="Eviolite",$E515="Assault Vest"),1.5,1))</f>
        <v>134</v>
      </c>
      <c r="AG515" s="84">
        <f>INT(INT((INT((2*VLOOKUP($C515,DexData,11,0)+INT(V515/4)+P515)/2)+5)*AA515)*IF($E515="Choice Scarf",1.5,IF($E515="Iron Ball",0.5,1)))</f>
        <v>105</v>
      </c>
      <c r="AH515" s="84" t="str">
        <f>VLOOKUP(VLOOKUP($C515,DexData,3,0),Aliases!D$2:E$19,2,0)&amp;IFERROR("/"&amp;VLOOKUP(VLOOKUP($C515,DexData,4,0),Aliases!D$2:E$19,2,0),"")</f>
        <v>BUG</v>
      </c>
      <c r="AI515" s="7">
        <v>3.0</v>
      </c>
      <c r="AJ515" s="7">
        <f>IF(VLOOKUP(B515,'Set Odds'!A$2:AN$1067,40,0),1,IF(VLOOKUP(B515,'Set Odds'!A$2:AO$1067,41,0),2,0))</f>
        <v>1</v>
      </c>
      <c r="AK515" s="7"/>
      <c r="AL515" s="7" t="str">
        <f t="shared" si="1"/>
        <v/>
      </c>
    </row>
    <row r="516" ht="12.75" customHeight="1">
      <c r="A516" s="86">
        <v>515.0</v>
      </c>
      <c r="B516" s="84" t="s">
        <v>4043</v>
      </c>
      <c r="C516" s="7" t="s">
        <v>3783</v>
      </c>
      <c r="D516" s="7" t="s">
        <v>2723</v>
      </c>
      <c r="E516" s="7" t="s">
        <v>2524</v>
      </c>
      <c r="F516" s="84" t="s">
        <v>3113</v>
      </c>
      <c r="G516" s="84" t="s">
        <v>2532</v>
      </c>
      <c r="H516" s="84" t="s">
        <v>3784</v>
      </c>
      <c r="I516" s="84" t="s">
        <v>3448</v>
      </c>
      <c r="J516" s="7" t="s">
        <v>3412</v>
      </c>
      <c r="K516" s="7">
        <v>31.0</v>
      </c>
      <c r="L516" s="7">
        <v>31.0</v>
      </c>
      <c r="M516" s="7">
        <v>31.0</v>
      </c>
      <c r="N516" s="7">
        <v>0.0</v>
      </c>
      <c r="O516" s="7">
        <v>31.0</v>
      </c>
      <c r="P516" s="7">
        <v>31.0</v>
      </c>
      <c r="Q516" s="7">
        <v>236.0</v>
      </c>
      <c r="R516" s="7">
        <v>20.0</v>
      </c>
      <c r="S516" s="7">
        <v>0.0</v>
      </c>
      <c r="T516" s="7">
        <v>0.0</v>
      </c>
      <c r="U516" s="7">
        <v>252.0</v>
      </c>
      <c r="V516" s="7">
        <v>0.0</v>
      </c>
      <c r="W516" s="7">
        <f>VLOOKUP($D516,NatureChart,2,0)</f>
        <v>1</v>
      </c>
      <c r="X516" s="7">
        <f>VLOOKUP($D516,NatureChart,3,0)</f>
        <v>1</v>
      </c>
      <c r="Y516" s="7">
        <f>VLOOKUP($D516,NatureChart,4,0)</f>
        <v>0.9</v>
      </c>
      <c r="Z516" s="7">
        <f>VLOOKUP($D516,NatureChart,5,0)</f>
        <v>1.1</v>
      </c>
      <c r="AA516" s="84">
        <f>VLOOKUP($D516,NatureChart,6,0)</f>
        <v>1</v>
      </c>
      <c r="AB516" s="84">
        <f>IF($C516="Shedinja",1,(INT((2*VLOOKUP($C516,DexData,5,0)+INT(Q516/4)+K516)/2)+60))</f>
        <v>175</v>
      </c>
      <c r="AC516" s="84">
        <f>INT(INT((INT((2*VLOOKUP($C516,DexData,6,0)+INT(R516/4)+L516)/2)+5)*W516)*IF($E516="Choice Band",1.5,IF(OR($E516="Mawilite",$E516="Medichamite",$E516="Thick Club"),2,1)))</f>
        <v>153</v>
      </c>
      <c r="AD516" s="84">
        <f>INT(INT((INT((2*VLOOKUP($C516,DexData,7,0)+INT(S516/4)+M516)/2)+5)*X516)*IF($E516="Eviolite",1.5,1))</f>
        <v>120</v>
      </c>
      <c r="AE516" s="84">
        <f>INT(INT((INT((2*VLOOKUP($C516,DexData,9,0)+INT(T516/4)+N516)/2)+5)*Y516)*IF($E516="Choice Specs",1.5,1))</f>
        <v>54</v>
      </c>
      <c r="AF516" s="84">
        <f>INT(INT((INT((2*VLOOKUP($C516,DexData,10,0)+INT(U516/4)+O516)/2)+5)*Z516)*IF(OR($E516="Eviolite",$E516="Assault Vest"),1.5,1))</f>
        <v>145</v>
      </c>
      <c r="AG516" s="84">
        <f>INT(INT((INT((2*VLOOKUP($C516,DexData,11,0)+INT(V516/4)+P516)/2)+5)*AA516)*IF($E516="Choice Scarf",1.5,IF($E516="Iron Ball",0.5,1)))</f>
        <v>85</v>
      </c>
      <c r="AH516" s="84" t="str">
        <f>VLOOKUP(VLOOKUP($C516,DexData,3,0),Aliases!D$2:E$19,2,0)&amp;IFERROR("/"&amp;VLOOKUP(VLOOKUP($C516,DexData,4,0),Aliases!D$2:E$19,2,0),"")</f>
        <v>BUG/STL</v>
      </c>
      <c r="AI516" s="7">
        <v>3.0</v>
      </c>
      <c r="AJ516" s="7">
        <f>IF(VLOOKUP(B516,'Set Odds'!A$2:AN$1067,40,0),1,IF(VLOOKUP(B516,'Set Odds'!A$2:AO$1067,41,0),2,0))</f>
        <v>1</v>
      </c>
      <c r="AK516" s="7"/>
      <c r="AL516" s="7" t="str">
        <f t="shared" si="1"/>
        <v/>
      </c>
    </row>
    <row r="517" ht="12.75" customHeight="1">
      <c r="A517" s="86">
        <v>516.0</v>
      </c>
      <c r="B517" s="84" t="s">
        <v>4044</v>
      </c>
      <c r="C517" s="7" t="s">
        <v>3786</v>
      </c>
      <c r="D517" s="7" t="s">
        <v>2571</v>
      </c>
      <c r="E517" s="7" t="s">
        <v>2579</v>
      </c>
      <c r="F517" s="84" t="s">
        <v>3483</v>
      </c>
      <c r="G517" s="84" t="s">
        <v>2614</v>
      </c>
      <c r="H517" s="84" t="s">
        <v>3578</v>
      </c>
      <c r="I517" s="84" t="s">
        <v>2878</v>
      </c>
      <c r="J517" s="7" t="s">
        <v>3788</v>
      </c>
      <c r="K517" s="7">
        <v>31.0</v>
      </c>
      <c r="L517" s="7">
        <v>31.0</v>
      </c>
      <c r="M517" s="7">
        <v>31.0</v>
      </c>
      <c r="N517" s="7">
        <v>0.0</v>
      </c>
      <c r="O517" s="7">
        <v>31.0</v>
      </c>
      <c r="P517" s="7">
        <v>31.0</v>
      </c>
      <c r="Q517" s="7">
        <v>4.0</v>
      </c>
      <c r="R517" s="7">
        <v>252.0</v>
      </c>
      <c r="S517" s="7">
        <v>0.0</v>
      </c>
      <c r="T517" s="7">
        <v>0.0</v>
      </c>
      <c r="U517" s="7">
        <v>0.0</v>
      </c>
      <c r="V517" s="7">
        <v>252.0</v>
      </c>
      <c r="W517" s="7">
        <f>VLOOKUP($D517,NatureChart,2,0)</f>
        <v>1.1</v>
      </c>
      <c r="X517" s="7">
        <f>VLOOKUP($D517,NatureChart,3,0)</f>
        <v>1</v>
      </c>
      <c r="Y517" s="7">
        <f>VLOOKUP($D517,NatureChart,4,0)</f>
        <v>0.9</v>
      </c>
      <c r="Z517" s="7">
        <f>VLOOKUP($D517,NatureChart,5,0)</f>
        <v>1</v>
      </c>
      <c r="AA517" s="84">
        <f>VLOOKUP($D517,NatureChart,6,0)</f>
        <v>1</v>
      </c>
      <c r="AB517" s="84">
        <f>IF($C517="Shedinja",1,(INT((2*VLOOKUP($C517,DexData,5,0)+INT(Q517/4)+K517)/2)+60))</f>
        <v>156</v>
      </c>
      <c r="AC517" s="84">
        <f>INT(INT((INT((2*VLOOKUP($C517,DexData,6,0)+INT(R517/4)+L517)/2)+5)*W517)*IF($E517="Choice Band",1.5,IF(OR($E517="Mawilite",$E517="Medichamite",$E517="Thick Club"),2,1)))</f>
        <v>194</v>
      </c>
      <c r="AD517" s="84">
        <f>INT(INT((INT((2*VLOOKUP($C517,DexData,7,0)+INT(S517/4)+M517)/2)+5)*X517)*IF($E517="Eviolite",1.5,1))</f>
        <v>95</v>
      </c>
      <c r="AE517" s="84">
        <f>INT(INT((INT((2*VLOOKUP($C517,DexData,9,0)+INT(T517/4)+N517)/2)+5)*Y517)*IF($E517="Choice Specs",1.5,1))</f>
        <v>40</v>
      </c>
      <c r="AF517" s="84">
        <f>INT(INT((INT((2*VLOOKUP($C517,DexData,10,0)+INT(U517/4)+O517)/2)+5)*Z517)*IF(OR($E517="Eviolite",$E517="Assault Vest"),1.5,1))</f>
        <v>115</v>
      </c>
      <c r="AG517" s="84">
        <f>INT(INT((INT((2*VLOOKUP($C517,DexData,11,0)+INT(V517/4)+P517)/2)+5)*AA517)*IF($E517="Choice Scarf",1.5,IF($E517="Iron Ball",0.5,1)))</f>
        <v>137</v>
      </c>
      <c r="AH517" s="84" t="str">
        <f>VLOOKUP(VLOOKUP($C517,DexData,3,0),Aliases!D$2:E$19,2,0)&amp;IFERROR("/"&amp;VLOOKUP(VLOOKUP($C517,DexData,4,0),Aliases!D$2:E$19,2,0),"")</f>
        <v>BUG/FTG</v>
      </c>
      <c r="AI517" s="7">
        <v>3.0</v>
      </c>
      <c r="AJ517" s="7">
        <f>IF(VLOOKUP(B517,'Set Odds'!A$2:AN$1067,40,0),1,IF(VLOOKUP(B517,'Set Odds'!A$2:AO$1067,41,0),2,0))</f>
        <v>1</v>
      </c>
      <c r="AK517" s="7"/>
      <c r="AL517" s="7" t="str">
        <f t="shared" si="1"/>
        <v/>
      </c>
    </row>
    <row r="518" ht="12.75" customHeight="1">
      <c r="A518" s="86">
        <v>517.0</v>
      </c>
      <c r="B518" s="84" t="s">
        <v>4045</v>
      </c>
      <c r="C518" s="7" t="s">
        <v>3790</v>
      </c>
      <c r="D518" s="7" t="s">
        <v>2571</v>
      </c>
      <c r="E518" s="7" t="s">
        <v>3395</v>
      </c>
      <c r="F518" s="84" t="s">
        <v>3253</v>
      </c>
      <c r="G518" s="84" t="s">
        <v>2614</v>
      </c>
      <c r="H518" s="84" t="s">
        <v>3510</v>
      </c>
      <c r="I518" s="84" t="s">
        <v>2841</v>
      </c>
      <c r="J518" s="7" t="s">
        <v>2777</v>
      </c>
      <c r="K518" s="7">
        <v>31.0</v>
      </c>
      <c r="L518" s="7">
        <v>31.0</v>
      </c>
      <c r="M518" s="7">
        <v>31.0</v>
      </c>
      <c r="N518" s="7">
        <v>0.0</v>
      </c>
      <c r="O518" s="7">
        <v>31.0</v>
      </c>
      <c r="P518" s="7">
        <v>31.0</v>
      </c>
      <c r="Q518" s="7">
        <v>4.0</v>
      </c>
      <c r="R518" s="7">
        <v>252.0</v>
      </c>
      <c r="S518" s="7">
        <v>0.0</v>
      </c>
      <c r="T518" s="7">
        <v>0.0</v>
      </c>
      <c r="U518" s="7">
        <v>0.0</v>
      </c>
      <c r="V518" s="7">
        <v>252.0</v>
      </c>
      <c r="W518" s="7">
        <f>VLOOKUP($D518,NatureChart,2,0)</f>
        <v>1.1</v>
      </c>
      <c r="X518" s="7">
        <f>VLOOKUP($D518,NatureChart,3,0)</f>
        <v>1</v>
      </c>
      <c r="Y518" s="7">
        <f>VLOOKUP($D518,NatureChart,4,0)</f>
        <v>0.9</v>
      </c>
      <c r="Z518" s="7">
        <f>VLOOKUP($D518,NatureChart,5,0)</f>
        <v>1</v>
      </c>
      <c r="AA518" s="84">
        <f>VLOOKUP($D518,NatureChart,6,0)</f>
        <v>1</v>
      </c>
      <c r="AB518" s="84">
        <f>IF($C518="Shedinja",1,(INT((2*VLOOKUP($C518,DexData,5,0)+INT(Q518/4)+K518)/2)+60))</f>
        <v>166</v>
      </c>
      <c r="AC518" s="84">
        <f>INT(INT((INT((2*VLOOKUP($C518,DexData,6,0)+INT(R518/4)+L518)/2)+5)*W518)*IF($E518="Choice Band",1.5,IF(OR($E518="Mawilite",$E518="Medichamite",$E518="Thick Club"),2,1)))</f>
        <v>200</v>
      </c>
      <c r="AD518" s="84">
        <f>INT(INT((INT((2*VLOOKUP($C518,DexData,7,0)+INT(S518/4)+M518)/2)+5)*X518)*IF($E518="Eviolite",1.5,1))</f>
        <v>95</v>
      </c>
      <c r="AE518" s="84">
        <f>INT(INT((INT((2*VLOOKUP($C518,DexData,9,0)+INT(T518/4)+N518)/2)+5)*Y518)*IF($E518="Choice Specs",1.5,1))</f>
        <v>72</v>
      </c>
      <c r="AF518" s="84">
        <f>INT(INT((INT((2*VLOOKUP($C518,DexData,10,0)+INT(U518/4)+O518)/2)+5)*Z518)*IF(OR($E518="Eviolite",$E518="Assault Vest"),1.5,1))</f>
        <v>95</v>
      </c>
      <c r="AG518" s="84">
        <f>INT(INT((INT((2*VLOOKUP($C518,DexData,11,0)+INT(V518/4)+P518)/2)+5)*AA518)*IF($E518="Choice Scarf",1.5,IF($E518="Iron Ball",0.5,1)))</f>
        <v>107</v>
      </c>
      <c r="AH518" s="84" t="str">
        <f>VLOOKUP(VLOOKUP($C518,DexData,3,0),Aliases!D$2:E$19,2,0)&amp;IFERROR("/"&amp;VLOOKUP(VLOOKUP($C518,DexData,4,0),Aliases!D$2:E$19,2,0),"")</f>
        <v>NRM</v>
      </c>
      <c r="AI518" s="7">
        <v>3.0</v>
      </c>
      <c r="AJ518" s="7">
        <f>IF(VLOOKUP(B518,'Set Odds'!A$2:AN$1067,40,0),1,IF(VLOOKUP(B518,'Set Odds'!A$2:AO$1067,41,0),2,0))</f>
        <v>1</v>
      </c>
      <c r="AK518" s="7"/>
      <c r="AL518" s="7" t="str">
        <f t="shared" si="1"/>
        <v/>
      </c>
    </row>
    <row r="519" ht="12.75" customHeight="1">
      <c r="A519" s="86">
        <v>518.0</v>
      </c>
      <c r="B519" s="84" t="s">
        <v>4046</v>
      </c>
      <c r="C519" s="7" t="s">
        <v>3792</v>
      </c>
      <c r="D519" s="7" t="s">
        <v>2571</v>
      </c>
      <c r="E519" s="7" t="s">
        <v>2724</v>
      </c>
      <c r="F519" s="84" t="s">
        <v>2580</v>
      </c>
      <c r="G519" s="84" t="s">
        <v>3793</v>
      </c>
      <c r="H519" s="84" t="s">
        <v>3015</v>
      </c>
      <c r="I519" s="84" t="s">
        <v>2732</v>
      </c>
      <c r="J519" s="7" t="s">
        <v>3016</v>
      </c>
      <c r="K519" s="7">
        <v>31.0</v>
      </c>
      <c r="L519" s="7">
        <v>31.0</v>
      </c>
      <c r="M519" s="7">
        <v>31.0</v>
      </c>
      <c r="N519" s="7">
        <v>0.0</v>
      </c>
      <c r="O519" s="7">
        <v>31.0</v>
      </c>
      <c r="P519" s="7">
        <v>31.0</v>
      </c>
      <c r="Q519" s="7">
        <v>4.0</v>
      </c>
      <c r="R519" s="7">
        <v>252.0</v>
      </c>
      <c r="S519" s="7">
        <v>0.0</v>
      </c>
      <c r="T519" s="7">
        <v>0.0</v>
      </c>
      <c r="U519" s="7">
        <v>0.0</v>
      </c>
      <c r="V519" s="7">
        <v>252.0</v>
      </c>
      <c r="W519" s="7">
        <f>VLOOKUP($D519,NatureChart,2,0)</f>
        <v>1.1</v>
      </c>
      <c r="X519" s="7">
        <f>VLOOKUP($D519,NatureChart,3,0)</f>
        <v>1</v>
      </c>
      <c r="Y519" s="7">
        <f>VLOOKUP($D519,NatureChart,4,0)</f>
        <v>0.9</v>
      </c>
      <c r="Z519" s="7">
        <f>VLOOKUP($D519,NatureChart,5,0)</f>
        <v>1</v>
      </c>
      <c r="AA519" s="84">
        <f>VLOOKUP($D519,NatureChart,6,0)</f>
        <v>1</v>
      </c>
      <c r="AB519" s="84">
        <f>IF($C519="Shedinja",1,(INT((2*VLOOKUP($C519,DexData,5,0)+INT(Q519/4)+K519)/2)+60))</f>
        <v>151</v>
      </c>
      <c r="AC519" s="84">
        <f>INT(INT((INT((2*VLOOKUP($C519,DexData,6,0)+INT(R519/4)+L519)/2)+5)*W519)*IF($E519="Choice Band",1.5,IF(OR($E519="Mawilite",$E519="Medichamite",$E519="Thick Club"),2,1)))</f>
        <v>156</v>
      </c>
      <c r="AD519" s="84">
        <f>INT(INT((INT((2*VLOOKUP($C519,DexData,7,0)+INT(S519/4)+M519)/2)+5)*X519)*IF($E519="Eviolite",1.5,1))</f>
        <v>70</v>
      </c>
      <c r="AE519" s="84">
        <f>INT(INT((INT((2*VLOOKUP($C519,DexData,9,0)+INT(T519/4)+N519)/2)+5)*Y519)*IF($E519="Choice Specs",1.5,1))</f>
        <v>103</v>
      </c>
      <c r="AF519" s="84">
        <f>INT(INT((INT((2*VLOOKUP($C519,DexData,10,0)+INT(U519/4)+O519)/2)+5)*Z519)*IF(OR($E519="Eviolite",$E519="Assault Vest"),1.5,1))</f>
        <v>100</v>
      </c>
      <c r="AG519" s="84">
        <f>INT(INT((INT((2*VLOOKUP($C519,DexData,11,0)+INT(V519/4)+P519)/2)+5)*AA519)*IF($E519="Choice Scarf",1.5,IF($E519="Iron Ball",0.5,1)))</f>
        <v>147</v>
      </c>
      <c r="AH519" s="84" t="str">
        <f>VLOOKUP(VLOOKUP($C519,DexData,3,0),Aliases!D$2:E$19,2,0)&amp;IFERROR("/"&amp;VLOOKUP(VLOOKUP($C519,DexData,4,0),Aliases!D$2:E$19,2,0),"")</f>
        <v>DRK/FIR</v>
      </c>
      <c r="AI519" s="7">
        <v>3.0</v>
      </c>
      <c r="AJ519" s="7">
        <f>IF(VLOOKUP(B519,'Set Odds'!A$2:AN$1067,40,0),1,IF(VLOOKUP(B519,'Set Odds'!A$2:AO$1067,41,0),2,0))</f>
        <v>1</v>
      </c>
      <c r="AK519" s="7"/>
      <c r="AL519" s="7" t="str">
        <f t="shared" si="1"/>
        <v/>
      </c>
    </row>
    <row r="520" ht="12.75" customHeight="1">
      <c r="A520" s="86">
        <v>519.0</v>
      </c>
      <c r="B520" s="84" t="s">
        <v>4047</v>
      </c>
      <c r="C520" s="7" t="s">
        <v>3795</v>
      </c>
      <c r="D520" s="7" t="s">
        <v>2723</v>
      </c>
      <c r="E520" s="7" t="s">
        <v>2520</v>
      </c>
      <c r="F520" s="84" t="s">
        <v>2718</v>
      </c>
      <c r="G520" s="84" t="s">
        <v>3543</v>
      </c>
      <c r="H520" s="84" t="s">
        <v>2694</v>
      </c>
      <c r="I520" s="84" t="s">
        <v>2580</v>
      </c>
      <c r="J520" s="7" t="s">
        <v>2728</v>
      </c>
      <c r="K520" s="7">
        <v>31.0</v>
      </c>
      <c r="L520" s="7">
        <v>31.0</v>
      </c>
      <c r="M520" s="7">
        <v>31.0</v>
      </c>
      <c r="N520" s="7">
        <v>0.0</v>
      </c>
      <c r="O520" s="7">
        <v>31.0</v>
      </c>
      <c r="P520" s="7">
        <v>31.0</v>
      </c>
      <c r="Q520" s="7">
        <v>252.0</v>
      </c>
      <c r="R520" s="7">
        <v>4.0</v>
      </c>
      <c r="S520" s="7">
        <v>0.0</v>
      </c>
      <c r="T520" s="7">
        <v>0.0</v>
      </c>
      <c r="U520" s="7">
        <v>252.0</v>
      </c>
      <c r="V520" s="7">
        <v>0.0</v>
      </c>
      <c r="W520" s="7">
        <f>VLOOKUP($D520,NatureChart,2,0)</f>
        <v>1</v>
      </c>
      <c r="X520" s="7">
        <f>VLOOKUP($D520,NatureChart,3,0)</f>
        <v>1</v>
      </c>
      <c r="Y520" s="7">
        <f>VLOOKUP($D520,NatureChart,4,0)</f>
        <v>0.9</v>
      </c>
      <c r="Z520" s="7">
        <f>VLOOKUP($D520,NatureChart,5,0)</f>
        <v>1.1</v>
      </c>
      <c r="AA520" s="84">
        <f>VLOOKUP($D520,NatureChart,6,0)</f>
        <v>1</v>
      </c>
      <c r="AB520" s="84">
        <f>IF($C520="Shedinja",1,(INT((2*VLOOKUP($C520,DexData,5,0)+INT(Q520/4)+K520)/2)+60))</f>
        <v>197</v>
      </c>
      <c r="AC520" s="84">
        <f>INT(INT((INT((2*VLOOKUP($C520,DexData,6,0)+INT(R520/4)+L520)/2)+5)*W520)*IF($E520="Choice Band",1.5,IF(OR($E520="Mawilite",$E520="Medichamite",$E520="Thick Club"),2,1)))</f>
        <v>141</v>
      </c>
      <c r="AD520" s="84">
        <f>INT(INT((INT((2*VLOOKUP($C520,DexData,7,0)+INT(S520/4)+M520)/2)+5)*X520)*IF($E520="Eviolite",1.5,1))</f>
        <v>140</v>
      </c>
      <c r="AE520" s="84">
        <f>INT(INT((INT((2*VLOOKUP($C520,DexData,9,0)+INT(T520/4)+N520)/2)+5)*Y520)*IF($E520="Choice Specs",1.5,1))</f>
        <v>58</v>
      </c>
      <c r="AF520" s="84">
        <f>INT(INT((INT((2*VLOOKUP($C520,DexData,10,0)+INT(U520/4)+O520)/2)+5)*Z520)*IF(OR($E520="Eviolite",$E520="Assault Vest"),1.5,1))</f>
        <v>123</v>
      </c>
      <c r="AG520" s="84">
        <f>INT(INT((INT((2*VLOOKUP($C520,DexData,11,0)+INT(V520/4)+P520)/2)+5)*AA520)*IF($E520="Choice Scarf",1.5,IF($E520="Iron Ball",0.5,1)))</f>
        <v>70</v>
      </c>
      <c r="AH520" s="84" t="str">
        <f>VLOOKUP(VLOOKUP($C520,DexData,3,0),Aliases!D$2:E$19,2,0)&amp;IFERROR("/"&amp;VLOOKUP(VLOOKUP($C520,DexData,4,0),Aliases!D$2:E$19,2,0),"")</f>
        <v>GRD</v>
      </c>
      <c r="AI520" s="7">
        <v>3.0</v>
      </c>
      <c r="AJ520" s="7">
        <f>IF(VLOOKUP(B520,'Set Odds'!A$2:AN$1067,40,0),1,IF(VLOOKUP(B520,'Set Odds'!A$2:AO$1067,41,0),2,0))</f>
        <v>1</v>
      </c>
      <c r="AK520" s="7"/>
      <c r="AL520" s="7" t="str">
        <f t="shared" si="1"/>
        <v/>
      </c>
    </row>
    <row r="521" ht="12.75" customHeight="1">
      <c r="A521" s="86">
        <v>520.0</v>
      </c>
      <c r="B521" s="84" t="s">
        <v>4048</v>
      </c>
      <c r="C521" s="7" t="s">
        <v>3797</v>
      </c>
      <c r="D521" s="7" t="s">
        <v>3597</v>
      </c>
      <c r="E521" s="7" t="s">
        <v>2835</v>
      </c>
      <c r="F521" s="84" t="s">
        <v>4049</v>
      </c>
      <c r="G521" s="84" t="s">
        <v>2860</v>
      </c>
      <c r="H521" s="84" t="s">
        <v>3245</v>
      </c>
      <c r="I521" s="84" t="s">
        <v>2967</v>
      </c>
      <c r="J521" s="7" t="s">
        <v>3499</v>
      </c>
      <c r="K521" s="7">
        <v>31.0</v>
      </c>
      <c r="L521" s="7">
        <v>0.0</v>
      </c>
      <c r="M521" s="7">
        <v>31.0</v>
      </c>
      <c r="N521" s="7">
        <v>31.0</v>
      </c>
      <c r="O521" s="7">
        <v>31.0</v>
      </c>
      <c r="P521" s="7">
        <v>31.0</v>
      </c>
      <c r="Q521" s="7">
        <v>252.0</v>
      </c>
      <c r="R521" s="7">
        <v>0.0</v>
      </c>
      <c r="S521" s="7">
        <v>0.0</v>
      </c>
      <c r="T521" s="7">
        <v>4.0</v>
      </c>
      <c r="U521" s="7">
        <v>252.0</v>
      </c>
      <c r="V521" s="7">
        <v>0.0</v>
      </c>
      <c r="W521" s="7">
        <f>VLOOKUP($D521,NatureChart,2,0)</f>
        <v>0.9</v>
      </c>
      <c r="X521" s="7">
        <f>VLOOKUP($D521,NatureChart,3,0)</f>
        <v>1</v>
      </c>
      <c r="Y521" s="7">
        <f>VLOOKUP($D521,NatureChart,4,0)</f>
        <v>1</v>
      </c>
      <c r="Z521" s="7">
        <f>VLOOKUP($D521,NatureChart,5,0)</f>
        <v>1.1</v>
      </c>
      <c r="AA521" s="84">
        <f>VLOOKUP($D521,NatureChart,6,0)</f>
        <v>1</v>
      </c>
      <c r="AB521" s="84">
        <f>IF($C521="Shedinja",1,(INT((2*VLOOKUP($C521,DexData,5,0)+INT(Q521/4)+K521)/2)+60))</f>
        <v>277</v>
      </c>
      <c r="AC521" s="84">
        <f>INT(INT((INT((2*VLOOKUP($C521,DexData,6,0)+INT(R521/4)+L521)/2)+5)*W521)*IF($E521="Choice Band",1.5,IF(OR($E521="Mawilite",$E521="Medichamite",$E521="Thick Club"),2,1)))</f>
        <v>85</v>
      </c>
      <c r="AD521" s="84">
        <f>INT(INT((INT((2*VLOOKUP($C521,DexData,7,0)+INT(S521/4)+M521)/2)+5)*X521)*IF($E521="Eviolite",1.5,1))</f>
        <v>65</v>
      </c>
      <c r="AE521" s="84">
        <f>INT(INT((INT((2*VLOOKUP($C521,DexData,9,0)+INT(T521/4)+N521)/2)+5)*Y521)*IF($E521="Choice Specs",1.5,1))</f>
        <v>111</v>
      </c>
      <c r="AF521" s="84">
        <f>INT(INT((INT((2*VLOOKUP($C521,DexData,10,0)+INT(U521/4)+O521)/2)+5)*Z521)*IF(OR($E521="Eviolite",$E521="Assault Vest"),1.5,1))</f>
        <v>106</v>
      </c>
      <c r="AG521" s="84">
        <f>INT(INT((INT((2*VLOOKUP($C521,DexData,11,0)+INT(V521/4)+P521)/2)+5)*AA521)*IF($E521="Choice Scarf",1.5,IF($E521="Iron Ball",0.5,1)))</f>
        <v>80</v>
      </c>
      <c r="AH521" s="84" t="str">
        <f>VLOOKUP(VLOOKUP($C521,DexData,3,0),Aliases!D$2:E$19,2,0)&amp;IFERROR("/"&amp;VLOOKUP(VLOOKUP($C521,DexData,4,0),Aliases!D$2:E$19,2,0),"")</f>
        <v>WTR</v>
      </c>
      <c r="AI521" s="7">
        <v>3.0</v>
      </c>
      <c r="AJ521" s="7">
        <f>IF(VLOOKUP(B521,'Set Odds'!A$2:AN$1067,40,0),1,IF(VLOOKUP(B521,'Set Odds'!A$2:AO$1067,41,0),2,0))</f>
        <v>1</v>
      </c>
      <c r="AK521" s="7"/>
      <c r="AL521" s="7" t="str">
        <f t="shared" si="1"/>
        <v/>
      </c>
    </row>
    <row r="522" ht="12.75" customHeight="1">
      <c r="A522" s="86">
        <v>521.0</v>
      </c>
      <c r="B522" s="84" t="s">
        <v>4050</v>
      </c>
      <c r="C522" s="7" t="s">
        <v>3799</v>
      </c>
      <c r="D522" s="7" t="s">
        <v>2656</v>
      </c>
      <c r="E522" s="7" t="s">
        <v>3715</v>
      </c>
      <c r="F522" s="84" t="s">
        <v>3718</v>
      </c>
      <c r="G522" s="84" t="s">
        <v>2659</v>
      </c>
      <c r="H522" s="84" t="s">
        <v>2832</v>
      </c>
      <c r="I522" s="84" t="s">
        <v>2823</v>
      </c>
      <c r="J522" s="7" t="s">
        <v>2714</v>
      </c>
      <c r="K522" s="7">
        <v>31.0</v>
      </c>
      <c r="L522" s="7">
        <v>0.0</v>
      </c>
      <c r="M522" s="7">
        <v>31.0</v>
      </c>
      <c r="N522" s="7">
        <v>31.0</v>
      </c>
      <c r="O522" s="7">
        <v>31.0</v>
      </c>
      <c r="P522" s="7">
        <v>31.0</v>
      </c>
      <c r="Q522" s="7">
        <v>252.0</v>
      </c>
      <c r="R522" s="7">
        <v>0.0</v>
      </c>
      <c r="S522" s="7">
        <v>4.0</v>
      </c>
      <c r="T522" s="7">
        <v>252.0</v>
      </c>
      <c r="U522" s="7">
        <v>0.0</v>
      </c>
      <c r="V522" s="7">
        <v>0.0</v>
      </c>
      <c r="W522" s="7">
        <f>VLOOKUP($D522,NatureChart,2,0)</f>
        <v>0.9</v>
      </c>
      <c r="X522" s="7">
        <f>VLOOKUP($D522,NatureChart,3,0)</f>
        <v>1</v>
      </c>
      <c r="Y522" s="7">
        <f>VLOOKUP($D522,NatureChart,4,0)</f>
        <v>1.1</v>
      </c>
      <c r="Z522" s="7">
        <f>VLOOKUP($D522,NatureChart,5,0)</f>
        <v>1</v>
      </c>
      <c r="AA522" s="84">
        <f>VLOOKUP($D522,NatureChart,6,0)</f>
        <v>1</v>
      </c>
      <c r="AB522" s="84">
        <f>IF($C522="Shedinja",1,(INT((2*VLOOKUP($C522,DexData,5,0)+INT(Q522/4)+K522)/2)+60))</f>
        <v>167</v>
      </c>
      <c r="AC522" s="84">
        <f>INT(INT((INT((2*VLOOKUP($C522,DexData,6,0)+INT(R522/4)+L522)/2)+5)*W522)*IF($E522="Choice Band",1.5,IF(OR($E522="Mawilite",$E522="Medichamite",$E522="Thick Club"),2,1)))</f>
        <v>67</v>
      </c>
      <c r="AD522" s="84">
        <f>INT(INT((INT((2*VLOOKUP($C522,DexData,7,0)+INT(S522/4)+M522)/2)+5)*X522)*IF($E522="Eviolite",1.5,1))</f>
        <v>126</v>
      </c>
      <c r="AE522" s="84">
        <f>INT(INT((INT((2*VLOOKUP($C522,DexData,9,0)+INT(T522/4)+N522)/2)+5)*Y522)*IF($E522="Choice Specs",1.5,1))</f>
        <v>134</v>
      </c>
      <c r="AF522" s="84">
        <f>INT(INT((INT((2*VLOOKUP($C522,DexData,10,0)+INT(U522/4)+O522)/2)+5)*Z522)*IF(OR($E522="Eviolite",$E522="Assault Vest"),1.5,1))</f>
        <v>140</v>
      </c>
      <c r="AG522" s="84">
        <f>INT(INT((INT((2*VLOOKUP($C522,DexData,11,0)+INT(V522/4)+P522)/2)+5)*AA522)*IF($E522="Choice Scarf",1.5,IF($E522="Iron Ball",0.5,1)))</f>
        <v>95</v>
      </c>
      <c r="AH522" s="84" t="str">
        <f>VLOOKUP(VLOOKUP($C522,DexData,3,0),Aliases!D$2:E$19,2,0)&amp;IFERROR("/"&amp;VLOOKUP(VLOOKUP($C522,DexData,4,0),Aliases!D$2:E$19,2,0),"")</f>
        <v>GRD/PSY</v>
      </c>
      <c r="AI522" s="7">
        <v>3.0</v>
      </c>
      <c r="AJ522" s="7">
        <f>IF(VLOOKUP(B522,'Set Odds'!A$2:AN$1067,40,0),1,IF(VLOOKUP(B522,'Set Odds'!A$2:AO$1067,41,0),2,0))</f>
        <v>1</v>
      </c>
      <c r="AK522" s="7"/>
      <c r="AL522" s="7" t="str">
        <f t="shared" si="1"/>
        <v/>
      </c>
    </row>
    <row r="523" ht="12.75" customHeight="1">
      <c r="A523" s="86">
        <v>522.0</v>
      </c>
      <c r="B523" s="84" t="s">
        <v>4051</v>
      </c>
      <c r="C523" s="7" t="s">
        <v>3802</v>
      </c>
      <c r="D523" s="7" t="s">
        <v>2571</v>
      </c>
      <c r="E523" s="7" t="s">
        <v>2515</v>
      </c>
      <c r="F523" s="84" t="s">
        <v>3800</v>
      </c>
      <c r="G523" s="84" t="s">
        <v>3441</v>
      </c>
      <c r="H523" s="84" t="s">
        <v>3454</v>
      </c>
      <c r="I523" s="84" t="s">
        <v>3710</v>
      </c>
      <c r="J523" s="7" t="s">
        <v>3102</v>
      </c>
      <c r="K523" s="7">
        <v>31.0</v>
      </c>
      <c r="L523" s="7">
        <v>31.0</v>
      </c>
      <c r="M523" s="7">
        <v>31.0</v>
      </c>
      <c r="N523" s="7">
        <v>0.0</v>
      </c>
      <c r="O523" s="7">
        <v>31.0</v>
      </c>
      <c r="P523" s="7">
        <v>31.0</v>
      </c>
      <c r="Q523" s="7">
        <v>4.0</v>
      </c>
      <c r="R523" s="7">
        <v>252.0</v>
      </c>
      <c r="S523" s="7">
        <v>0.0</v>
      </c>
      <c r="T523" s="7">
        <v>0.0</v>
      </c>
      <c r="U523" s="7">
        <v>0.0</v>
      </c>
      <c r="V523" s="7">
        <v>252.0</v>
      </c>
      <c r="W523" s="7">
        <f>VLOOKUP($D523,NatureChart,2,0)</f>
        <v>1.1</v>
      </c>
      <c r="X523" s="7">
        <f>VLOOKUP($D523,NatureChart,3,0)</f>
        <v>1</v>
      </c>
      <c r="Y523" s="7">
        <f>VLOOKUP($D523,NatureChart,4,0)</f>
        <v>0.9</v>
      </c>
      <c r="Z523" s="7">
        <f>VLOOKUP($D523,NatureChart,5,0)</f>
        <v>1</v>
      </c>
      <c r="AA523" s="84">
        <f>VLOOKUP($D523,NatureChart,6,0)</f>
        <v>1</v>
      </c>
      <c r="AB523" s="84">
        <f>IF($C523="Shedinja",1,(INT((2*VLOOKUP($C523,DexData,5,0)+INT(Q523/4)+K523)/2)+60))</f>
        <v>173</v>
      </c>
      <c r="AC523" s="84">
        <f>INT(INT((INT((2*VLOOKUP($C523,DexData,6,0)+INT(R523/4)+L523)/2)+5)*W523)*IF($E523="Choice Band",1.5,IF(OR($E523="Mawilite",$E523="Medichamite",$E523="Thick Club"),2,1)))</f>
        <v>238</v>
      </c>
      <c r="AD523" s="84">
        <f>INT(INT((INT((2*VLOOKUP($C523,DexData,7,0)+INT(S523/4)+M523)/2)+5)*X523)*IF($E523="Eviolite",1.5,1))</f>
        <v>80</v>
      </c>
      <c r="AE523" s="84">
        <f>INT(INT((INT((2*VLOOKUP($C523,DexData,9,0)+INT(T523/4)+N523)/2)+5)*Y523)*IF($E523="Choice Specs",1.5,1))</f>
        <v>63</v>
      </c>
      <c r="AF523" s="84">
        <f>INT(INT((INT((2*VLOOKUP($C523,DexData,10,0)+INT(U523/4)+O523)/2)+5)*Z523)*IF(OR($E523="Eviolite",$E523="Assault Vest"),1.5,1))</f>
        <v>70</v>
      </c>
      <c r="AG523" s="84">
        <f>INT(INT((INT((2*VLOOKUP($C523,DexData,11,0)+INT(V523/4)+P523)/2)+5)*AA523)*IF($E523="Choice Scarf",1.5,IF($E523="Iron Ball",0.5,1)))</f>
        <v>110</v>
      </c>
      <c r="AH523" s="84" t="str">
        <f>VLOOKUP(VLOOKUP($C523,DexData,3,0),Aliases!D$2:E$19,2,0)&amp;IFERROR("/"&amp;VLOOKUP(VLOOKUP($C523,DexData,4,0),Aliases!D$2:E$19,2,0),"")</f>
        <v>RCK</v>
      </c>
      <c r="AI523" s="7">
        <v>3.0</v>
      </c>
      <c r="AJ523" s="7">
        <f>IF(VLOOKUP(B523,'Set Odds'!A$2:AN$1067,40,0),1,IF(VLOOKUP(B523,'Set Odds'!A$2:AO$1067,41,0),2,0))</f>
        <v>1</v>
      </c>
      <c r="AK523" s="7"/>
      <c r="AL523" s="7" t="str">
        <f t="shared" si="1"/>
        <v/>
      </c>
    </row>
    <row r="524" ht="12.75" customHeight="1">
      <c r="A524" s="86">
        <v>523.0</v>
      </c>
      <c r="B524" s="84" t="s">
        <v>4052</v>
      </c>
      <c r="C524" s="7" t="s">
        <v>3805</v>
      </c>
      <c r="D524" s="7" t="s">
        <v>2629</v>
      </c>
      <c r="E524" s="7" t="s">
        <v>2527</v>
      </c>
      <c r="F524" s="84" t="s">
        <v>2798</v>
      </c>
      <c r="G524" s="84" t="s">
        <v>4053</v>
      </c>
      <c r="H524" s="84" t="s">
        <v>3087</v>
      </c>
      <c r="I524" s="84" t="s">
        <v>3454</v>
      </c>
      <c r="J524" s="7" t="s">
        <v>2714</v>
      </c>
      <c r="K524" s="7">
        <v>31.0</v>
      </c>
      <c r="L524" s="7">
        <v>31.0</v>
      </c>
      <c r="M524" s="7">
        <v>31.0</v>
      </c>
      <c r="N524" s="7">
        <v>31.0</v>
      </c>
      <c r="O524" s="7">
        <v>31.0</v>
      </c>
      <c r="P524" s="7">
        <v>0.0</v>
      </c>
      <c r="Q524" s="7">
        <v>252.0</v>
      </c>
      <c r="R524" s="7">
        <v>252.0</v>
      </c>
      <c r="S524" s="7">
        <v>4.0</v>
      </c>
      <c r="T524" s="7">
        <v>0.0</v>
      </c>
      <c r="U524" s="7">
        <v>0.0</v>
      </c>
      <c r="V524" s="7">
        <v>0.0</v>
      </c>
      <c r="W524" s="7">
        <f>VLOOKUP($D524,NatureChart,2,0)</f>
        <v>1.1</v>
      </c>
      <c r="X524" s="7">
        <f>VLOOKUP($D524,NatureChart,3,0)</f>
        <v>1</v>
      </c>
      <c r="Y524" s="7">
        <f>VLOOKUP($D524,NatureChart,4,0)</f>
        <v>1</v>
      </c>
      <c r="Z524" s="7">
        <f>VLOOKUP($D524,NatureChart,5,0)</f>
        <v>1</v>
      </c>
      <c r="AA524" s="84">
        <f>VLOOKUP($D524,NatureChart,6,0)</f>
        <v>0.9</v>
      </c>
      <c r="AB524" s="84">
        <f>IF($C524="Shedinja",1,(INT((2*VLOOKUP($C524,DexData,5,0)+INT(Q524/4)+K524)/2)+60))</f>
        <v>174</v>
      </c>
      <c r="AC524" s="84">
        <f>INT(INT((INT((2*VLOOKUP($C524,DexData,6,0)+INT(R524/4)+L524)/2)+5)*W524)*IF($E524="Choice Band",1.5,IF(OR($E524="Mawilite",$E524="Medichamite",$E524="Thick Club"),2,1)))</f>
        <v>155</v>
      </c>
      <c r="AD524" s="84">
        <f>INT(INT((INT((2*VLOOKUP($C524,DexData,7,0)+INT(S524/4)+M524)/2)+5)*X524)*IF($E524="Eviolite",1.5,1))</f>
        <v>137</v>
      </c>
      <c r="AE524" s="84">
        <f>INT(INT((INT((2*VLOOKUP($C524,DexData,9,0)+INT(T524/4)+N524)/2)+5)*Y524)*IF($E524="Choice Specs",1.5,1))</f>
        <v>99</v>
      </c>
      <c r="AF524" s="84">
        <f>INT(INT((INT((2*VLOOKUP($C524,DexData,10,0)+INT(U524/4)+O524)/2)+5)*Z524)*IF(OR($E524="Eviolite",$E524="Assault Vest"),1.5,1))</f>
        <v>136</v>
      </c>
      <c r="AG524" s="84">
        <f>INT(INT((INT((2*VLOOKUP($C524,DexData,11,0)+INT(V524/4)+P524)/2)+5)*AA524)*IF($E524="Choice Scarf",1.5,IF($E524="Iron Ball",0.5,1)))</f>
        <v>34</v>
      </c>
      <c r="AH524" s="84" t="str">
        <f>VLOOKUP(VLOOKUP($C524,DexData,3,0),Aliases!D$2:E$19,2,0)&amp;IFERROR("/"&amp;VLOOKUP(VLOOKUP($C524,DexData,4,0),Aliases!D$2:E$19,2,0),"")</f>
        <v>STL/PSY</v>
      </c>
      <c r="AI524" s="7">
        <v>3.0</v>
      </c>
      <c r="AJ524" s="7">
        <f>IF(VLOOKUP(B524,'Set Odds'!A$2:AN$1067,40,0),1,IF(VLOOKUP(B524,'Set Odds'!A$2:AO$1067,41,0),2,0))</f>
        <v>1</v>
      </c>
      <c r="AK524" s="7"/>
      <c r="AL524" s="7" t="str">
        <f t="shared" si="1"/>
        <v/>
      </c>
    </row>
    <row r="525" ht="12.75" customHeight="1">
      <c r="A525" s="86">
        <v>524.0</v>
      </c>
      <c r="B525" s="84" t="s">
        <v>4054</v>
      </c>
      <c r="C525" s="7" t="s">
        <v>3807</v>
      </c>
      <c r="D525" s="7" t="s">
        <v>2648</v>
      </c>
      <c r="E525" s="7" t="s">
        <v>2685</v>
      </c>
      <c r="F525" s="84" t="s">
        <v>3039</v>
      </c>
      <c r="G525" s="84" t="s">
        <v>2532</v>
      </c>
      <c r="H525" s="84" t="s">
        <v>2694</v>
      </c>
      <c r="I525" s="84" t="s">
        <v>3057</v>
      </c>
      <c r="J525" s="7" t="s">
        <v>2945</v>
      </c>
      <c r="K525" s="7">
        <v>31.0</v>
      </c>
      <c r="L525" s="7">
        <v>31.0</v>
      </c>
      <c r="M525" s="7">
        <v>31.0</v>
      </c>
      <c r="N525" s="7">
        <v>0.0</v>
      </c>
      <c r="O525" s="7">
        <v>31.0</v>
      </c>
      <c r="P525" s="7">
        <v>31.0</v>
      </c>
      <c r="Q525" s="7">
        <v>252.0</v>
      </c>
      <c r="R525" s="7">
        <v>4.0</v>
      </c>
      <c r="S525" s="7">
        <v>252.0</v>
      </c>
      <c r="T525" s="7">
        <v>0.0</v>
      </c>
      <c r="U525" s="7">
        <v>0.0</v>
      </c>
      <c r="V525" s="7">
        <v>0.0</v>
      </c>
      <c r="W525" s="7">
        <f>VLOOKUP($D525,NatureChart,2,0)</f>
        <v>1</v>
      </c>
      <c r="X525" s="7">
        <f>VLOOKUP($D525,NatureChart,3,0)</f>
        <v>1.1</v>
      </c>
      <c r="Y525" s="7">
        <f>VLOOKUP($D525,NatureChart,4,0)</f>
        <v>0.9</v>
      </c>
      <c r="Z525" s="7">
        <f>VLOOKUP($D525,NatureChart,5,0)</f>
        <v>1</v>
      </c>
      <c r="AA525" s="84">
        <f>VLOOKUP($D525,NatureChart,6,0)</f>
        <v>1</v>
      </c>
      <c r="AB525" s="84">
        <f>IF($C525="Shedinja",1,(INT((2*VLOOKUP($C525,DexData,5,0)+INT(Q525/4)+K525)/2)+60))</f>
        <v>177</v>
      </c>
      <c r="AC525" s="84">
        <f>INT(INT((INT((2*VLOOKUP($C525,DexData,6,0)+INT(R525/4)+L525)/2)+5)*W525)*IF($E525="Choice Band",1.5,IF(OR($E525="Mawilite",$E525="Medichamite",$E525="Thick Club"),2,1)))</f>
        <v>111</v>
      </c>
      <c r="AD525" s="84">
        <f>INT(INT((INT((2*VLOOKUP($C525,DexData,7,0)+INT(S525/4)+M525)/2)+5)*X525)*IF($E525="Eviolite",1.5,1))</f>
        <v>178</v>
      </c>
      <c r="AE525" s="84">
        <f>INT(INT((INT((2*VLOOKUP($C525,DexData,9,0)+INT(T525/4)+N525)/2)+5)*Y525)*IF($E525="Choice Specs",1.5,1))</f>
        <v>58</v>
      </c>
      <c r="AF525" s="84">
        <f>INT(INT((INT((2*VLOOKUP($C525,DexData,10,0)+INT(U525/4)+O525)/2)+5)*Z525)*IF(OR($E525="Eviolite",$E525="Assault Vest"),1.5,1))</f>
        <v>95</v>
      </c>
      <c r="AG525" s="84">
        <f>INT(INT((INT((2*VLOOKUP($C525,DexData,11,0)+INT(V525/4)+P525)/2)+5)*AA525)*IF($E525="Choice Scarf",1.5,IF($E525="Iron Ball",0.5,1)))</f>
        <v>115</v>
      </c>
      <c r="AH525" s="84" t="str">
        <f>VLOOKUP(VLOOKUP($C525,DexData,3,0),Aliases!D$2:E$19,2,0)&amp;IFERROR("/"&amp;VLOOKUP(VLOOKUP($C525,DexData,4,0),Aliases!D$2:E$19,2,0),"")</f>
        <v>PSN/DRK</v>
      </c>
      <c r="AI525" s="7">
        <v>3.0</v>
      </c>
      <c r="AJ525" s="7">
        <f>IF(VLOOKUP(B525,'Set Odds'!A$2:AN$1067,40,0),1,IF(VLOOKUP(B525,'Set Odds'!A$2:AO$1067,41,0),2,0))</f>
        <v>1</v>
      </c>
      <c r="AK525" s="7"/>
      <c r="AL525" s="7" t="str">
        <f t="shared" si="1"/>
        <v/>
      </c>
    </row>
    <row r="526" ht="12.75" customHeight="1">
      <c r="A526" s="86">
        <v>525.0</v>
      </c>
      <c r="B526" s="84" t="s">
        <v>4055</v>
      </c>
      <c r="C526" s="7" t="s">
        <v>3811</v>
      </c>
      <c r="D526" s="7" t="s">
        <v>2571</v>
      </c>
      <c r="E526" s="7" t="s">
        <v>3548</v>
      </c>
      <c r="F526" s="84" t="s">
        <v>3285</v>
      </c>
      <c r="G526" s="84" t="s">
        <v>2602</v>
      </c>
      <c r="H526" s="84" t="s">
        <v>4056</v>
      </c>
      <c r="I526" s="84" t="s">
        <v>2580</v>
      </c>
      <c r="J526" s="7" t="s">
        <v>2696</v>
      </c>
      <c r="K526" s="7">
        <v>31.0</v>
      </c>
      <c r="L526" s="7">
        <v>31.0</v>
      </c>
      <c r="M526" s="7">
        <v>31.0</v>
      </c>
      <c r="N526" s="7">
        <v>31.0</v>
      </c>
      <c r="O526" s="7">
        <v>31.0</v>
      </c>
      <c r="P526" s="7">
        <v>31.0</v>
      </c>
      <c r="Q526" s="7">
        <v>108.0</v>
      </c>
      <c r="R526" s="7">
        <v>252.0</v>
      </c>
      <c r="S526" s="7">
        <v>148.0</v>
      </c>
      <c r="T526" s="7">
        <v>0.0</v>
      </c>
      <c r="U526" s="7">
        <v>0.0</v>
      </c>
      <c r="V526" s="7">
        <v>0.0</v>
      </c>
      <c r="W526" s="7">
        <f>VLOOKUP($D526,NatureChart,2,0)</f>
        <v>1.1</v>
      </c>
      <c r="X526" s="7">
        <f>VLOOKUP($D526,NatureChart,3,0)</f>
        <v>1</v>
      </c>
      <c r="Y526" s="7">
        <f>VLOOKUP($D526,NatureChart,4,0)</f>
        <v>0.9</v>
      </c>
      <c r="Z526" s="7">
        <f>VLOOKUP($D526,NatureChart,5,0)</f>
        <v>1</v>
      </c>
      <c r="AA526" s="84">
        <f>VLOOKUP($D526,NatureChart,6,0)</f>
        <v>1</v>
      </c>
      <c r="AB526" s="84">
        <f>IF($C526="Shedinja",1,(INT((2*VLOOKUP($C526,DexData,5,0)+INT(Q526/4)+K526)/2)+60))</f>
        <v>169</v>
      </c>
      <c r="AC526" s="84">
        <f>INT(INT((INT((2*VLOOKUP($C526,DexData,6,0)+INT(R526/4)+L526)/2)+5)*W526)*IF($E526="Choice Band",1.5,IF(OR($E526="Mawilite",$E526="Medichamite",$E526="Thick Club"),2,1)))</f>
        <v>189</v>
      </c>
      <c r="AD526" s="84">
        <f>INT(INT((INT((2*VLOOKUP($C526,DexData,7,0)+INT(S526/4)+M526)/2)+5)*X526)*IF($E526="Eviolite",1.5,1))</f>
        <v>118</v>
      </c>
      <c r="AE526" s="84">
        <f>INT(INT((INT((2*VLOOKUP($C526,DexData,9,0)+INT(T526/4)+N526)/2)+5)*Y526)*IF($E526="Choice Specs",1.5,1))</f>
        <v>103</v>
      </c>
      <c r="AF526" s="84">
        <f>INT(INT((INT((2*VLOOKUP($C526,DexData,10,0)+INT(U526/4)+O526)/2)+5)*Z526)*IF(OR($E526="Eviolite",$E526="Assault Vest"),1.5,1))</f>
        <v>99</v>
      </c>
      <c r="AG526" s="84">
        <f>INT(INT((INT((2*VLOOKUP($C526,DexData,11,0)+INT(V526/4)+P526)/2)+5)*AA526)*IF($E526="Choice Scarf",1.5,IF($E526="Iron Ball",0.5,1)))</f>
        <v>90</v>
      </c>
      <c r="AH526" s="84" t="str">
        <f>VLOOKUP(VLOOKUP($C526,DexData,3,0),Aliases!D$2:E$19,2,0)&amp;IFERROR("/"&amp;VLOOKUP(VLOOKUP($C526,DexData,4,0),Aliases!D$2:E$19,2,0),"")</f>
        <v>ELC</v>
      </c>
      <c r="AI526" s="7">
        <v>3.0</v>
      </c>
      <c r="AJ526" s="7">
        <f>IF(VLOOKUP(B526,'Set Odds'!A$2:AN$1067,40,0),1,IF(VLOOKUP(B526,'Set Odds'!A$2:AO$1067,41,0),2,0))</f>
        <v>1</v>
      </c>
      <c r="AK526" s="7"/>
      <c r="AL526" s="7" t="str">
        <f t="shared" si="1"/>
        <v/>
      </c>
    </row>
    <row r="527" ht="12.75" customHeight="1">
      <c r="A527" s="86">
        <v>526.0</v>
      </c>
      <c r="B527" s="84" t="s">
        <v>4057</v>
      </c>
      <c r="C527" s="7" t="s">
        <v>3814</v>
      </c>
      <c r="D527" s="7" t="s">
        <v>2635</v>
      </c>
      <c r="E527" s="7" t="s">
        <v>3096</v>
      </c>
      <c r="F527" s="84" t="s">
        <v>3558</v>
      </c>
      <c r="G527" s="84" t="s">
        <v>3617</v>
      </c>
      <c r="H527" s="84" t="s">
        <v>3729</v>
      </c>
      <c r="I527" s="84" t="s">
        <v>2638</v>
      </c>
      <c r="J527" s="7" t="s">
        <v>2742</v>
      </c>
      <c r="K527" s="7">
        <v>31.0</v>
      </c>
      <c r="L527" s="7">
        <v>0.0</v>
      </c>
      <c r="M527" s="7">
        <v>31.0</v>
      </c>
      <c r="N527" s="7">
        <v>31.0</v>
      </c>
      <c r="O527" s="7">
        <v>31.0</v>
      </c>
      <c r="P527" s="7">
        <v>31.0</v>
      </c>
      <c r="Q527" s="7">
        <v>4.0</v>
      </c>
      <c r="R527" s="7">
        <v>0.0</v>
      </c>
      <c r="S527" s="7">
        <v>0.0</v>
      </c>
      <c r="T527" s="7">
        <v>252.0</v>
      </c>
      <c r="U527" s="7">
        <v>0.0</v>
      </c>
      <c r="V527" s="7">
        <v>252.0</v>
      </c>
      <c r="W527" s="7">
        <f>VLOOKUP($D527,NatureChart,2,0)</f>
        <v>0.9</v>
      </c>
      <c r="X527" s="7">
        <f>VLOOKUP($D527,NatureChart,3,0)</f>
        <v>1</v>
      </c>
      <c r="Y527" s="7">
        <f>VLOOKUP($D527,NatureChart,4,0)</f>
        <v>1</v>
      </c>
      <c r="Z527" s="7">
        <f>VLOOKUP($D527,NatureChart,5,0)</f>
        <v>1</v>
      </c>
      <c r="AA527" s="84">
        <f>VLOOKUP($D527,NatureChart,6,0)</f>
        <v>1.1</v>
      </c>
      <c r="AB527" s="84">
        <f>IF($C527="Shedinja",1,(INT((2*VLOOKUP($C527,DexData,5,0)+INT(Q527/4)+K527)/2)+60))</f>
        <v>149</v>
      </c>
      <c r="AC527" s="84">
        <f>INT(INT((INT((2*VLOOKUP($C527,DexData,6,0)+INT(R527/4)+L527)/2)+5)*W527)*IF($E527="Choice Band",1.5,IF(OR($E527="Mawilite",$E527="Medichamite",$E527="Thick Club"),2,1)))</f>
        <v>72</v>
      </c>
      <c r="AD527" s="84">
        <f>INT(INT((INT((2*VLOOKUP($C527,DexData,7,0)+INT(S527/4)+M527)/2)+5)*X527)*IF($E527="Eviolite",1.5,1))</f>
        <v>95</v>
      </c>
      <c r="AE527" s="84">
        <f>INT(INT((INT((2*VLOOKUP($C527,DexData,9,0)+INT(T527/4)+N527)/2)+5)*Y527)*IF($E527="Choice Specs",1.5,1))</f>
        <v>133</v>
      </c>
      <c r="AF527" s="84">
        <f>INT(INT((INT((2*VLOOKUP($C527,DexData,10,0)+INT(U527/4)+O527)/2)+5)*Z527)*IF(OR($E527="Eviolite",$E527="Assault Vest"),1.5,1))</f>
        <v>120</v>
      </c>
      <c r="AG527" s="84">
        <f>INT(INT((INT((2*VLOOKUP($C527,DexData,11,0)+INT(V527/4)+P527)/2)+5)*AA527)*IF($E527="Choice Scarf",1.5,IF($E527="Iron Ball",0.5,1)))</f>
        <v>167</v>
      </c>
      <c r="AH527" s="84" t="str">
        <f>VLOOKUP(VLOOKUP($C527,DexData,3,0),Aliases!D$2:E$19,2,0)&amp;IFERROR("/"&amp;VLOOKUP(VLOOKUP($C527,DexData,4,0),Aliases!D$2:E$19,2,0),"")</f>
        <v>FIR</v>
      </c>
      <c r="AI527" s="7">
        <v>3.0</v>
      </c>
      <c r="AJ527" s="7">
        <f>IF(VLOOKUP(B527,'Set Odds'!A$2:AN$1067,40,0),1,IF(VLOOKUP(B527,'Set Odds'!A$2:AO$1067,41,0),2,0))</f>
        <v>1</v>
      </c>
      <c r="AK527" s="7"/>
      <c r="AL527" s="7" t="str">
        <f t="shared" si="1"/>
        <v/>
      </c>
    </row>
    <row r="528" ht="12.75" customHeight="1">
      <c r="A528" s="86">
        <v>527.0</v>
      </c>
      <c r="B528" s="84" t="s">
        <v>4058</v>
      </c>
      <c r="C528" s="7" t="s">
        <v>3816</v>
      </c>
      <c r="D528" s="7" t="s">
        <v>2692</v>
      </c>
      <c r="E528" s="7" t="s">
        <v>2889</v>
      </c>
      <c r="F528" s="84" t="s">
        <v>2625</v>
      </c>
      <c r="G528" s="84" t="s">
        <v>3817</v>
      </c>
      <c r="H528" s="84" t="s">
        <v>3390</v>
      </c>
      <c r="I528" s="84" t="s">
        <v>3135</v>
      </c>
      <c r="J528" s="7" t="s">
        <v>2819</v>
      </c>
      <c r="K528" s="7">
        <v>31.0</v>
      </c>
      <c r="L528" s="7">
        <v>31.0</v>
      </c>
      <c r="M528" s="7">
        <v>31.0</v>
      </c>
      <c r="N528" s="7">
        <v>0.0</v>
      </c>
      <c r="O528" s="7">
        <v>31.0</v>
      </c>
      <c r="P528" s="7">
        <v>31.0</v>
      </c>
      <c r="Q528" s="7">
        <v>4.0</v>
      </c>
      <c r="R528" s="7">
        <v>252.0</v>
      </c>
      <c r="S528" s="7">
        <v>0.0</v>
      </c>
      <c r="T528" s="7">
        <v>0.0</v>
      </c>
      <c r="U528" s="7">
        <v>0.0</v>
      </c>
      <c r="V528" s="7">
        <v>252.0</v>
      </c>
      <c r="W528" s="7">
        <f>VLOOKUP($D528,NatureChart,2,0)</f>
        <v>1</v>
      </c>
      <c r="X528" s="7">
        <f>VLOOKUP($D528,NatureChart,3,0)</f>
        <v>1</v>
      </c>
      <c r="Y528" s="7">
        <f>VLOOKUP($D528,NatureChart,4,0)</f>
        <v>0.9</v>
      </c>
      <c r="Z528" s="7">
        <f>VLOOKUP($D528,NatureChart,5,0)</f>
        <v>1</v>
      </c>
      <c r="AA528" s="84">
        <f>VLOOKUP($D528,NatureChart,6,0)</f>
        <v>1.1</v>
      </c>
      <c r="AB528" s="84">
        <f>IF($C528="Shedinja",1,(INT((2*VLOOKUP($C528,DexData,5,0)+INT(Q528/4)+K528)/2)+60))</f>
        <v>166</v>
      </c>
      <c r="AC528" s="84">
        <f>INT(INT((INT((2*VLOOKUP($C528,DexData,6,0)+INT(R528/4)+L528)/2)+5)*W528)*IF($E528="Choice Band",1.5,IF(OR($E528="Mawilite",$E528="Medichamite",$E528="Thick Club"),2,1)))</f>
        <v>182</v>
      </c>
      <c r="AD528" s="84">
        <f>INT(INT((INT((2*VLOOKUP($C528,DexData,7,0)+INT(S528/4)+M528)/2)+5)*X528)*IF($E528="Eviolite",1.5,1))</f>
        <v>100</v>
      </c>
      <c r="AE528" s="84">
        <f>INT(INT((INT((2*VLOOKUP($C528,DexData,9,0)+INT(T528/4)+N528)/2)+5)*Y528)*IF($E528="Choice Specs",1.5,1))</f>
        <v>63</v>
      </c>
      <c r="AF528" s="84">
        <f>INT(INT((INT((2*VLOOKUP($C528,DexData,10,0)+INT(U528/4)+O528)/2)+5)*Z528)*IF(OR($E528="Eviolite",$E528="Assault Vest"),1.5,1))</f>
        <v>105</v>
      </c>
      <c r="AG528" s="84">
        <f>INT(INT((INT((2*VLOOKUP($C528,DexData,11,0)+INT(V528/4)+P528)/2)+5)*AA528)*IF($E528="Choice Scarf",1.5,IF($E528="Iron Ball",0.5,1)))</f>
        <v>117</v>
      </c>
      <c r="AH528" s="84" t="str">
        <f>VLOOKUP(VLOOKUP($C528,DexData,3,0),Aliases!D$2:E$19,2,0)&amp;IFERROR("/"&amp;VLOOKUP(VLOOKUP($C528,DexData,4,0),Aliases!D$2:E$19,2,0),"")</f>
        <v>FTG</v>
      </c>
      <c r="AI528" s="7">
        <v>3.0</v>
      </c>
      <c r="AJ528" s="7">
        <f>IF(VLOOKUP(B528,'Set Odds'!A$2:AN$1067,40,0),1,IF(VLOOKUP(B528,'Set Odds'!A$2:AO$1067,41,0),2,0))</f>
        <v>1</v>
      </c>
      <c r="AK528" s="7"/>
      <c r="AL528" s="7" t="str">
        <f t="shared" si="1"/>
        <v/>
      </c>
    </row>
    <row r="529" ht="12.75" customHeight="1">
      <c r="A529" s="86">
        <v>528.0</v>
      </c>
      <c r="B529" s="84" t="s">
        <v>4059</v>
      </c>
      <c r="C529" s="7" t="s">
        <v>3819</v>
      </c>
      <c r="D529" s="7" t="s">
        <v>2648</v>
      </c>
      <c r="E529" s="7" t="s">
        <v>2524</v>
      </c>
      <c r="F529" s="84" t="s">
        <v>4060</v>
      </c>
      <c r="G529" s="84" t="s">
        <v>2532</v>
      </c>
      <c r="H529" s="84" t="s">
        <v>2900</v>
      </c>
      <c r="I529" s="84" t="s">
        <v>2855</v>
      </c>
      <c r="J529" s="7" t="s">
        <v>2728</v>
      </c>
      <c r="K529" s="7">
        <v>31.0</v>
      </c>
      <c r="L529" s="7">
        <v>31.0</v>
      </c>
      <c r="M529" s="7">
        <v>31.0</v>
      </c>
      <c r="N529" s="7">
        <v>0.0</v>
      </c>
      <c r="O529" s="7">
        <v>31.0</v>
      </c>
      <c r="P529" s="7">
        <v>31.0</v>
      </c>
      <c r="Q529" s="7">
        <v>252.0</v>
      </c>
      <c r="R529" s="7">
        <v>0.0</v>
      </c>
      <c r="S529" s="7">
        <v>252.0</v>
      </c>
      <c r="T529" s="7">
        <v>0.0</v>
      </c>
      <c r="U529" s="7">
        <v>4.0</v>
      </c>
      <c r="V529" s="7">
        <v>0.0</v>
      </c>
      <c r="W529" s="7">
        <f>VLOOKUP($D529,NatureChart,2,0)</f>
        <v>1</v>
      </c>
      <c r="X529" s="7">
        <f>VLOOKUP($D529,NatureChart,3,0)</f>
        <v>1.1</v>
      </c>
      <c r="Y529" s="7">
        <f>VLOOKUP($D529,NatureChart,4,0)</f>
        <v>0.9</v>
      </c>
      <c r="Z529" s="7">
        <f>VLOOKUP($D529,NatureChart,5,0)</f>
        <v>1</v>
      </c>
      <c r="AA529" s="84">
        <f>VLOOKUP($D529,NatureChart,6,0)</f>
        <v>1</v>
      </c>
      <c r="AB529" s="84">
        <f>IF($C529="Shedinja",1,(INT((2*VLOOKUP($C529,DexData,5,0)+INT(Q529/4)+K529)/2)+60))</f>
        <v>127</v>
      </c>
      <c r="AC529" s="84">
        <f>INT(INT((INT((2*VLOOKUP($C529,DexData,6,0)+INT(R529/4)+L529)/2)+5)*W529)*IF($E529="Choice Band",1.5,IF(OR($E529="Mawilite",$E529="Medichamite",$E529="Thick Club"),2,1)))</f>
        <v>30</v>
      </c>
      <c r="AD529" s="84">
        <f>INT(INT((INT((2*VLOOKUP($C529,DexData,7,0)+INT(S529/4)+M529)/2)+5)*X529)*IF($E529="Eviolite",1.5,1))</f>
        <v>310</v>
      </c>
      <c r="AE529" s="84">
        <f>INT(INT((INT((2*VLOOKUP($C529,DexData,9,0)+INT(T529/4)+N529)/2)+5)*Y529)*IF($E529="Choice Specs",1.5,1))</f>
        <v>13</v>
      </c>
      <c r="AF529" s="84">
        <f>INT(INT((INT((2*VLOOKUP($C529,DexData,10,0)+INT(U529/4)+O529)/2)+5)*Z529)*IF(OR($E529="Eviolite",$E529="Assault Vest"),1.5,1))</f>
        <v>251</v>
      </c>
      <c r="AG529" s="84">
        <f>INT(INT((INT((2*VLOOKUP($C529,DexData,11,0)+INT(V529/4)+P529)/2)+5)*AA529)*IF($E529="Choice Scarf",1.5,IF($E529="Iron Ball",0.5,1)))</f>
        <v>25</v>
      </c>
      <c r="AH529" s="84" t="str">
        <f>VLOOKUP(VLOOKUP($C529,DexData,3,0),Aliases!D$2:E$19,2,0)&amp;IFERROR("/"&amp;VLOOKUP(VLOOKUP($C529,DexData,4,0),Aliases!D$2:E$19,2,0),"")</f>
        <v>BUG/RCK</v>
      </c>
      <c r="AI529" s="7">
        <v>3.0</v>
      </c>
      <c r="AJ529" s="7">
        <f>IF(VLOOKUP(B529,'Set Odds'!A$2:AN$1067,40,0),1,IF(VLOOKUP(B529,'Set Odds'!A$2:AO$1067,41,0),2,0))</f>
        <v>1</v>
      </c>
      <c r="AK529" s="7"/>
      <c r="AL529" s="7" t="str">
        <f t="shared" si="1"/>
        <v/>
      </c>
    </row>
    <row r="530" ht="12.75" customHeight="1">
      <c r="A530" s="86">
        <v>529.0</v>
      </c>
      <c r="B530" s="84" t="s">
        <v>4061</v>
      </c>
      <c r="C530" s="7" t="s">
        <v>3822</v>
      </c>
      <c r="D530" s="7" t="s">
        <v>2635</v>
      </c>
      <c r="E530" s="7" t="s">
        <v>3096</v>
      </c>
      <c r="F530" s="84" t="s">
        <v>3952</v>
      </c>
      <c r="G530" s="84" t="s">
        <v>3052</v>
      </c>
      <c r="H530" s="84" t="s">
        <v>2661</v>
      </c>
      <c r="I530" s="84" t="s">
        <v>3260</v>
      </c>
      <c r="J530" s="7" t="s">
        <v>2708</v>
      </c>
      <c r="K530" s="7">
        <v>31.0</v>
      </c>
      <c r="L530" s="7">
        <v>0.0</v>
      </c>
      <c r="M530" s="7">
        <v>31.0</v>
      </c>
      <c r="N530" s="7">
        <v>31.0</v>
      </c>
      <c r="O530" s="7">
        <v>31.0</v>
      </c>
      <c r="P530" s="7">
        <v>31.0</v>
      </c>
      <c r="Q530" s="7">
        <v>4.0</v>
      </c>
      <c r="R530" s="7">
        <v>0.0</v>
      </c>
      <c r="S530" s="7">
        <v>0.0</v>
      </c>
      <c r="T530" s="7">
        <v>252.0</v>
      </c>
      <c r="U530" s="7">
        <v>0.0</v>
      </c>
      <c r="V530" s="7">
        <v>252.0</v>
      </c>
      <c r="W530" s="7">
        <f>VLOOKUP($D530,NatureChart,2,0)</f>
        <v>0.9</v>
      </c>
      <c r="X530" s="7">
        <f>VLOOKUP($D530,NatureChart,3,0)</f>
        <v>1</v>
      </c>
      <c r="Y530" s="7">
        <f>VLOOKUP($D530,NatureChart,4,0)</f>
        <v>1</v>
      </c>
      <c r="Z530" s="7">
        <f>VLOOKUP($D530,NatureChart,5,0)</f>
        <v>1</v>
      </c>
      <c r="AA530" s="84">
        <f>VLOOKUP($D530,NatureChart,6,0)</f>
        <v>1.1</v>
      </c>
      <c r="AB530" s="84">
        <f>IF($C530="Shedinja",1,(INT((2*VLOOKUP($C530,DexData,5,0)+INT(Q530/4)+K530)/2)+60))</f>
        <v>136</v>
      </c>
      <c r="AC530" s="84">
        <f>INT(INT((INT((2*VLOOKUP($C530,DexData,6,0)+INT(R530/4)+L530)/2)+5)*W530)*IF($E530="Choice Band",1.5,IF(OR($E530="Mawilite",$E530="Medichamite",$E530="Thick Club"),2,1)))</f>
        <v>67</v>
      </c>
      <c r="AD530" s="84">
        <f>INT(INT((INT((2*VLOOKUP($C530,DexData,7,0)+INT(S530/4)+M530)/2)+5)*X530)*IF($E530="Eviolite",1.5,1))</f>
        <v>85</v>
      </c>
      <c r="AE530" s="84">
        <f>INT(INT((INT((2*VLOOKUP($C530,DexData,9,0)+INT(T530/4)+N530)/2)+5)*Y530)*IF($E530="Choice Specs",1.5,1))</f>
        <v>177</v>
      </c>
      <c r="AF530" s="84">
        <f>INT(INT((INT((2*VLOOKUP($C530,DexData,10,0)+INT(U530/4)+O530)/2)+5)*Z530)*IF(OR($E530="Eviolite",$E530="Assault Vest"),1.5,1))</f>
        <v>125</v>
      </c>
      <c r="AG530" s="84">
        <f>INT(INT((INT((2*VLOOKUP($C530,DexData,11,0)+INT(V530/4)+P530)/2)+5)*AA530)*IF($E530="Choice Scarf",1.5,IF($E530="Iron Ball",0.5,1)))</f>
        <v>156</v>
      </c>
      <c r="AH530" s="84" t="str">
        <f>VLOOKUP(VLOOKUP($C530,DexData,3,0),Aliases!D$2:E$19,2,0)&amp;IFERROR("/"&amp;VLOOKUP(VLOOKUP($C530,DexData,4,0),Aliases!D$2:E$19,2,0),"")</f>
        <v>GRS/PSN</v>
      </c>
      <c r="AI530" s="7">
        <v>3.0</v>
      </c>
      <c r="AJ530" s="7">
        <f>IF(VLOOKUP(B530,'Set Odds'!A$2:AN$1067,40,0),1,IF(VLOOKUP(B530,'Set Odds'!A$2:AO$1067,41,0),2,0))</f>
        <v>1</v>
      </c>
      <c r="AK530" s="7"/>
      <c r="AL530" s="7" t="str">
        <f t="shared" si="1"/>
        <v/>
      </c>
    </row>
    <row r="531" ht="12.75" customHeight="1">
      <c r="A531" s="86">
        <v>530.0</v>
      </c>
      <c r="B531" s="84" t="s">
        <v>4062</v>
      </c>
      <c r="C531" s="7" t="s">
        <v>3824</v>
      </c>
      <c r="D531" s="7" t="s">
        <v>2571</v>
      </c>
      <c r="E531" s="7" t="s">
        <v>2675</v>
      </c>
      <c r="F531" s="84" t="s">
        <v>3578</v>
      </c>
      <c r="G531" s="84" t="s">
        <v>2687</v>
      </c>
      <c r="H531" s="84" t="s">
        <v>2614</v>
      </c>
      <c r="I531" s="84" t="s">
        <v>3448</v>
      </c>
      <c r="J531" s="7" t="s">
        <v>3826</v>
      </c>
      <c r="K531" s="7">
        <v>31.0</v>
      </c>
      <c r="L531" s="7">
        <v>31.0</v>
      </c>
      <c r="M531" s="7">
        <v>31.0</v>
      </c>
      <c r="N531" s="7">
        <v>0.0</v>
      </c>
      <c r="O531" s="7">
        <v>31.0</v>
      </c>
      <c r="P531" s="7">
        <v>31.0</v>
      </c>
      <c r="Q531" s="7">
        <v>4.0</v>
      </c>
      <c r="R531" s="7">
        <v>252.0</v>
      </c>
      <c r="S531" s="7">
        <v>0.0</v>
      </c>
      <c r="T531" s="7">
        <v>0.0</v>
      </c>
      <c r="U531" s="7">
        <v>0.0</v>
      </c>
      <c r="V531" s="7">
        <v>252.0</v>
      </c>
      <c r="W531" s="7">
        <f>VLOOKUP($D531,NatureChart,2,0)</f>
        <v>1.1</v>
      </c>
      <c r="X531" s="7">
        <f>VLOOKUP($D531,NatureChart,3,0)</f>
        <v>1</v>
      </c>
      <c r="Y531" s="7">
        <f>VLOOKUP($D531,NatureChart,4,0)</f>
        <v>0.9</v>
      </c>
      <c r="Z531" s="7">
        <f>VLOOKUP($D531,NatureChart,5,0)</f>
        <v>1</v>
      </c>
      <c r="AA531" s="84">
        <f>VLOOKUP($D531,NatureChart,6,0)</f>
        <v>1</v>
      </c>
      <c r="AB531" s="84">
        <f>IF($C531="Shedinja",1,(INT((2*VLOOKUP($C531,DexData,5,0)+INT(Q531/4)+K531)/2)+60))</f>
        <v>176</v>
      </c>
      <c r="AC531" s="84">
        <f>INT(INT((INT((2*VLOOKUP($C531,DexData,6,0)+INT(R531/4)+L531)/2)+5)*W531)*IF($E531="Choice Band",1.5,IF(OR($E531="Mawilite",$E531="Medichamite",$E531="Thick Club"),2,1)))</f>
        <v>194</v>
      </c>
      <c r="AD531" s="84">
        <f>INT(INT((INT((2*VLOOKUP($C531,DexData,7,0)+INT(S531/4)+M531)/2)+5)*X531)*IF($E531="Eviolite",1.5,1))</f>
        <v>72</v>
      </c>
      <c r="AE531" s="84">
        <f>INT(INT((INT((2*VLOOKUP($C531,DexData,9,0)+INT(T531/4)+N531)/2)+5)*Y531)*IF($E531="Choice Specs",1.5,1))</f>
        <v>99</v>
      </c>
      <c r="AF531" s="84">
        <f>INT(INT((INT((2*VLOOKUP($C531,DexData,10,0)+INT(U531/4)+O531)/2)+5)*Z531)*IF(OR($E531="Eviolite",$E531="Assault Vest"),1.5,1))</f>
        <v>72</v>
      </c>
      <c r="AG531" s="84">
        <f>INT(INT((INT((2*VLOOKUP($C531,DexData,11,0)+INT(V531/4)+P531)/2)+5)*AA531)*IF($E531="Choice Scarf",1.5,IF($E531="Iron Ball",0.5,1)))</f>
        <v>123</v>
      </c>
      <c r="AH531" s="84" t="str">
        <f>VLOOKUP(VLOOKUP($C531,DexData,3,0),Aliases!D$2:E$19,2,0)&amp;IFERROR("/"&amp;VLOOKUP(VLOOKUP($C531,DexData,4,0),Aliases!D$2:E$19,2,0),"")</f>
        <v>DRK/FLY</v>
      </c>
      <c r="AI531" s="7">
        <v>3.0</v>
      </c>
      <c r="AJ531" s="7">
        <f>IF(VLOOKUP(B531,'Set Odds'!A$2:AN$1067,40,0),1,IF(VLOOKUP(B531,'Set Odds'!A$2:AO$1067,41,0),2,0))</f>
        <v>1</v>
      </c>
      <c r="AK531" s="7"/>
      <c r="AL531" s="7" t="str">
        <f t="shared" si="1"/>
        <v/>
      </c>
    </row>
    <row r="532" ht="12.75" customHeight="1">
      <c r="A532" s="86">
        <v>531.0</v>
      </c>
      <c r="B532" s="84" t="s">
        <v>4063</v>
      </c>
      <c r="C532" s="7" t="s">
        <v>3828</v>
      </c>
      <c r="D532" s="7" t="s">
        <v>2629</v>
      </c>
      <c r="E532" s="7" t="s">
        <v>2527</v>
      </c>
      <c r="F532" s="84" t="s">
        <v>2798</v>
      </c>
      <c r="G532" s="84" t="s">
        <v>2580</v>
      </c>
      <c r="H532" s="84" t="s">
        <v>3441</v>
      </c>
      <c r="I532" s="84" t="s">
        <v>3454</v>
      </c>
      <c r="J532" s="7" t="s">
        <v>3745</v>
      </c>
      <c r="K532" s="7">
        <v>31.0</v>
      </c>
      <c r="L532" s="7">
        <v>31.0</v>
      </c>
      <c r="M532" s="7">
        <v>31.0</v>
      </c>
      <c r="N532" s="7">
        <v>0.0</v>
      </c>
      <c r="O532" s="7">
        <v>31.0</v>
      </c>
      <c r="P532" s="7">
        <v>31.0</v>
      </c>
      <c r="Q532" s="7">
        <v>252.0</v>
      </c>
      <c r="R532" s="7">
        <v>4.0</v>
      </c>
      <c r="S532" s="7">
        <v>252.0</v>
      </c>
      <c r="T532" s="7">
        <v>0.0</v>
      </c>
      <c r="U532" s="7">
        <v>0.0</v>
      </c>
      <c r="V532" s="7">
        <v>0.0</v>
      </c>
      <c r="W532" s="7">
        <f>VLOOKUP($D532,NatureChart,2,0)</f>
        <v>1.1</v>
      </c>
      <c r="X532" s="7">
        <f>VLOOKUP($D532,NatureChart,3,0)</f>
        <v>1</v>
      </c>
      <c r="Y532" s="7">
        <f>VLOOKUP($D532,NatureChart,4,0)</f>
        <v>1</v>
      </c>
      <c r="Z532" s="7">
        <f>VLOOKUP($D532,NatureChart,5,0)</f>
        <v>1</v>
      </c>
      <c r="AA532" s="84">
        <f>VLOOKUP($D532,NatureChart,6,0)</f>
        <v>0.9</v>
      </c>
      <c r="AB532" s="84">
        <f>IF($C532="Shedinja",1,(INT((2*VLOOKUP($C532,DexData,5,0)+INT(Q532/4)+K532)/2)+60))</f>
        <v>182</v>
      </c>
      <c r="AC532" s="84">
        <f>INT(INT((INT((2*VLOOKUP($C532,DexData,6,0)+INT(R532/4)+L532)/2)+5)*W532)*IF($E532="Choice Band",1.5,IF(OR($E532="Mawilite",$E532="Medichamite",$E532="Thick Club"),2,1)))</f>
        <v>116</v>
      </c>
      <c r="AD532" s="84">
        <f>INT(INT((INT((2*VLOOKUP($C532,DexData,7,0)+INT(S532/4)+M532)/2)+5)*X532)*IF($E532="Eviolite",1.5,1))</f>
        <v>252</v>
      </c>
      <c r="AE532" s="84">
        <f>INT(INT((INT((2*VLOOKUP($C532,DexData,9,0)+INT(T532/4)+N532)/2)+5)*Y532)*IF($E532="Choice Specs",1.5,1))</f>
        <v>60</v>
      </c>
      <c r="AF532" s="84">
        <f>INT(INT((INT((2*VLOOKUP($C532,DexData,10,0)+INT(U532/4)+O532)/2)+5)*Z532)*IF(OR($E532="Eviolite",$E532="Assault Vest"),1.5,1))</f>
        <v>85</v>
      </c>
      <c r="AG532" s="84">
        <f>INT(INT((INT((2*VLOOKUP($C532,DexData,11,0)+INT(V532/4)+P532)/2)+5)*AA532)*IF($E532="Choice Scarf",1.5,IF($E532="Iron Ball",0.5,1)))</f>
        <v>45</v>
      </c>
      <c r="AH532" s="84" t="str">
        <f>VLOOKUP(VLOOKUP($C532,DexData,3,0),Aliases!D$2:E$19,2,0)&amp;IFERROR("/"&amp;VLOOKUP(VLOOKUP($C532,DexData,4,0),Aliases!D$2:E$19,2,0),"")</f>
        <v>STL/GRD</v>
      </c>
      <c r="AI532" s="7">
        <v>3.0</v>
      </c>
      <c r="AJ532" s="7">
        <f>IF(VLOOKUP(B532,'Set Odds'!A$2:AN$1067,40,0),1,IF(VLOOKUP(B532,'Set Odds'!A$2:AO$1067,41,0),2,0))</f>
        <v>1</v>
      </c>
      <c r="AK532" s="7"/>
      <c r="AL532" s="7" t="str">
        <f t="shared" si="1"/>
        <v/>
      </c>
    </row>
    <row r="533" ht="12.75" customHeight="1">
      <c r="A533" s="86">
        <v>532.0</v>
      </c>
      <c r="B533" s="84" t="s">
        <v>4064</v>
      </c>
      <c r="C533" s="7" t="s">
        <v>3830</v>
      </c>
      <c r="D533" s="7" t="s">
        <v>2692</v>
      </c>
      <c r="E533" s="7" t="s">
        <v>3889</v>
      </c>
      <c r="F533" s="84" t="s">
        <v>3578</v>
      </c>
      <c r="G533" s="84" t="s">
        <v>3048</v>
      </c>
      <c r="H533" s="84" t="s">
        <v>3390</v>
      </c>
      <c r="I533" s="84" t="s">
        <v>2513</v>
      </c>
      <c r="J533" s="7" t="s">
        <v>3392</v>
      </c>
      <c r="K533" s="7">
        <v>31.0</v>
      </c>
      <c r="L533" s="7">
        <v>31.0</v>
      </c>
      <c r="M533" s="7">
        <v>31.0</v>
      </c>
      <c r="N533" s="7">
        <v>0.0</v>
      </c>
      <c r="O533" s="7">
        <v>31.0</v>
      </c>
      <c r="P533" s="7">
        <v>31.0</v>
      </c>
      <c r="Q533" s="7">
        <v>4.0</v>
      </c>
      <c r="R533" s="7">
        <v>252.0</v>
      </c>
      <c r="S533" s="7">
        <v>0.0</v>
      </c>
      <c r="T533" s="7">
        <v>0.0</v>
      </c>
      <c r="U533" s="7">
        <v>0.0</v>
      </c>
      <c r="V533" s="7">
        <v>252.0</v>
      </c>
      <c r="W533" s="7">
        <f>VLOOKUP($D533,NatureChart,2,0)</f>
        <v>1</v>
      </c>
      <c r="X533" s="7">
        <f>VLOOKUP($D533,NatureChart,3,0)</f>
        <v>1</v>
      </c>
      <c r="Y533" s="7">
        <f>VLOOKUP($D533,NatureChart,4,0)</f>
        <v>0.9</v>
      </c>
      <c r="Z533" s="7">
        <f>VLOOKUP($D533,NatureChart,5,0)</f>
        <v>1</v>
      </c>
      <c r="AA533" s="84">
        <f>VLOOKUP($D533,NatureChart,6,0)</f>
        <v>1.1</v>
      </c>
      <c r="AB533" s="84">
        <f>IF($C533="Shedinja",1,(INT((2*VLOOKUP($C533,DexData,5,0)+INT(Q533/4)+K533)/2)+60))</f>
        <v>146</v>
      </c>
      <c r="AC533" s="84">
        <f>INT(INT((INT((2*VLOOKUP($C533,DexData,6,0)+INT(R533/4)+L533)/2)+5)*W533)*IF($E533="Choice Band",1.5,IF(OR($E533="Mawilite",$E533="Medichamite",$E533="Thick Club"),2,1)))</f>
        <v>172</v>
      </c>
      <c r="AD533" s="84">
        <f>INT(INT((INT((2*VLOOKUP($C533,DexData,7,0)+INT(S533/4)+M533)/2)+5)*X533)*IF($E533="Eviolite",1.5,1))</f>
        <v>85</v>
      </c>
      <c r="AE533" s="84">
        <f>INT(INT((INT((2*VLOOKUP($C533,DexData,9,0)+INT(T533/4)+N533)/2)+5)*Y533)*IF($E533="Choice Specs",1.5,1))</f>
        <v>45</v>
      </c>
      <c r="AF533" s="84">
        <f>INT(INT((INT((2*VLOOKUP($C533,DexData,10,0)+INT(U533/4)+O533)/2)+5)*Z533)*IF(OR($E533="Eviolite",$E533="Assault Vest"),1.5,1))</f>
        <v>105</v>
      </c>
      <c r="AG533" s="84">
        <f>INT(INT((INT((2*VLOOKUP($C533,DexData,11,0)+INT(V533/4)+P533)/2)+5)*AA533)*IF($E533="Choice Scarf",1.5,IF($E533="Iron Ball",0.5,1)))</f>
        <v>194</v>
      </c>
      <c r="AH533" s="84" t="str">
        <f>VLOOKUP(VLOOKUP($C533,DexData,3,0),Aliases!D$2:E$19,2,0)&amp;IFERROR("/"&amp;VLOOKUP(VLOOKUP($C533,DexData,4,0),Aliases!D$2:E$19,2,0),"")</f>
        <v>DRK/ICE</v>
      </c>
      <c r="AI533" s="7">
        <v>3.0</v>
      </c>
      <c r="AJ533" s="7">
        <f>IF(VLOOKUP(B533,'Set Odds'!A$2:AN$1067,40,0),1,IF(VLOOKUP(B533,'Set Odds'!A$2:AO$1067,41,0),2,0))</f>
        <v>1</v>
      </c>
      <c r="AK533" s="7"/>
      <c r="AL533" s="7" t="str">
        <f t="shared" si="1"/>
        <v/>
      </c>
    </row>
    <row r="534" ht="12.75" customHeight="1">
      <c r="A534" s="86">
        <v>533.0</v>
      </c>
      <c r="B534" s="84" t="s">
        <v>4065</v>
      </c>
      <c r="C534" s="7" t="s">
        <v>3832</v>
      </c>
      <c r="D534" s="7" t="s">
        <v>2692</v>
      </c>
      <c r="E534" s="7" t="s">
        <v>3071</v>
      </c>
      <c r="F534" s="84" t="s">
        <v>3454</v>
      </c>
      <c r="G534" s="84" t="s">
        <v>2522</v>
      </c>
      <c r="H534" s="84" t="s">
        <v>2807</v>
      </c>
      <c r="I534" s="84" t="s">
        <v>3793</v>
      </c>
      <c r="J534" s="7" t="s">
        <v>2978</v>
      </c>
      <c r="K534" s="7">
        <v>31.0</v>
      </c>
      <c r="L534" s="7">
        <v>31.0</v>
      </c>
      <c r="M534" s="7">
        <v>31.0</v>
      </c>
      <c r="N534" s="7">
        <v>0.0</v>
      </c>
      <c r="O534" s="7">
        <v>31.0</v>
      </c>
      <c r="P534" s="7">
        <v>31.0</v>
      </c>
      <c r="Q534" s="7">
        <v>4.0</v>
      </c>
      <c r="R534" s="7">
        <v>252.0</v>
      </c>
      <c r="S534" s="7">
        <v>0.0</v>
      </c>
      <c r="T534" s="7">
        <v>0.0</v>
      </c>
      <c r="U534" s="7">
        <v>0.0</v>
      </c>
      <c r="V534" s="7">
        <v>252.0</v>
      </c>
      <c r="W534" s="7">
        <f>VLOOKUP($D534,NatureChart,2,0)</f>
        <v>1</v>
      </c>
      <c r="X534" s="7">
        <f>VLOOKUP($D534,NatureChart,3,0)</f>
        <v>1</v>
      </c>
      <c r="Y534" s="7">
        <f>VLOOKUP($D534,NatureChart,4,0)</f>
        <v>0.9</v>
      </c>
      <c r="Z534" s="7">
        <f>VLOOKUP($D534,NatureChart,5,0)</f>
        <v>1</v>
      </c>
      <c r="AA534" s="84">
        <f>VLOOKUP($D534,NatureChart,6,0)</f>
        <v>1.1</v>
      </c>
      <c r="AB534" s="84">
        <f>IF($C534="Shedinja",1,(INT((2*VLOOKUP($C534,DexData,5,0)+INT(Q534/4)+K534)/2)+60))</f>
        <v>151</v>
      </c>
      <c r="AC534" s="84">
        <f>INT(INT((INT((2*VLOOKUP($C534,DexData,6,0)+INT(R534/4)+L534)/2)+5)*W534)*IF($E534="Choice Band",1.5,IF(OR($E534="Mawilite",$E534="Medichamite",$E534="Thick Club"),2,1)))</f>
        <v>147</v>
      </c>
      <c r="AD534" s="84">
        <f>INT(INT((INT((2*VLOOKUP($C534,DexData,7,0)+INT(S534/4)+M534)/2)+5)*X534)*IF($E534="Eviolite",1.5,1))</f>
        <v>145</v>
      </c>
      <c r="AE534" s="84">
        <f>INT(INT((INT((2*VLOOKUP($C534,DexData,9,0)+INT(T534/4)+N534)/2)+5)*Y534)*IF($E534="Choice Specs",1.5,1))</f>
        <v>45</v>
      </c>
      <c r="AF534" s="84">
        <f>INT(INT((INT((2*VLOOKUP($C534,DexData,10,0)+INT(U534/4)+O534)/2)+5)*Z534)*IF(OR($E534="Eviolite",$E534="Assault Vest"),1.5,1))</f>
        <v>95</v>
      </c>
      <c r="AG534" s="84">
        <f>INT(INT((INT((2*VLOOKUP($C534,DexData,11,0)+INT(V534/4)+P534)/2)+5)*AA534)*IF($E534="Choice Scarf",1.5,IF($E534="Iron Ball",0.5,1)))</f>
        <v>161</v>
      </c>
      <c r="AH534" s="84" t="str">
        <f>VLOOKUP(VLOOKUP($C534,DexData,3,0),Aliases!D$2:E$19,2,0)&amp;IFERROR("/"&amp;VLOOKUP(VLOOKUP($C534,DexData,4,0),Aliases!D$2:E$19,2,0),"")</f>
        <v>GRD/FLY</v>
      </c>
      <c r="AI534" s="7">
        <v>3.0</v>
      </c>
      <c r="AJ534" s="7">
        <f>IF(VLOOKUP(B534,'Set Odds'!A$2:AN$1067,40,0),1,IF(VLOOKUP(B534,'Set Odds'!A$2:AO$1067,41,0),2,0))</f>
        <v>1</v>
      </c>
      <c r="AK534" s="7"/>
      <c r="AL534" s="7" t="str">
        <f t="shared" si="1"/>
        <v/>
      </c>
    </row>
    <row r="535" ht="12.75" customHeight="1">
      <c r="A535" s="86">
        <v>534.0</v>
      </c>
      <c r="B535" s="84" t="s">
        <v>4066</v>
      </c>
      <c r="C535" s="7" t="s">
        <v>3834</v>
      </c>
      <c r="D535" s="7" t="s">
        <v>3597</v>
      </c>
      <c r="E535" s="7" t="s">
        <v>2806</v>
      </c>
      <c r="F535" s="84" t="s">
        <v>2967</v>
      </c>
      <c r="G535" s="84" t="s">
        <v>3052</v>
      </c>
      <c r="H535" s="84" t="s">
        <v>2704</v>
      </c>
      <c r="I535" s="84" t="s">
        <v>3168</v>
      </c>
      <c r="J535" s="7" t="s">
        <v>3370</v>
      </c>
      <c r="K535" s="7">
        <v>31.0</v>
      </c>
      <c r="L535" s="7">
        <v>0.0</v>
      </c>
      <c r="M535" s="7">
        <v>31.0</v>
      </c>
      <c r="N535" s="7">
        <v>31.0</v>
      </c>
      <c r="O535" s="7">
        <v>31.0</v>
      </c>
      <c r="P535" s="7">
        <v>31.0</v>
      </c>
      <c r="Q535" s="7">
        <v>252.0</v>
      </c>
      <c r="R535" s="7">
        <v>0.0</v>
      </c>
      <c r="S535" s="7">
        <v>0.0</v>
      </c>
      <c r="T535" s="7">
        <v>4.0</v>
      </c>
      <c r="U535" s="7">
        <v>252.0</v>
      </c>
      <c r="V535" s="7">
        <v>0.0</v>
      </c>
      <c r="W535" s="7">
        <f>VLOOKUP($D535,NatureChart,2,0)</f>
        <v>0.9</v>
      </c>
      <c r="X535" s="7">
        <f>VLOOKUP($D535,NatureChart,3,0)</f>
        <v>1</v>
      </c>
      <c r="Y535" s="7">
        <f>VLOOKUP($D535,NatureChart,4,0)</f>
        <v>1</v>
      </c>
      <c r="Z535" s="7">
        <f>VLOOKUP($D535,NatureChart,5,0)</f>
        <v>1.1</v>
      </c>
      <c r="AA535" s="84">
        <f>VLOOKUP($D535,NatureChart,6,0)</f>
        <v>1</v>
      </c>
      <c r="AB535" s="84">
        <f>IF($C535="Shedinja",1,(INT((2*VLOOKUP($C535,DexData,5,0)+INT(Q535/4)+K535)/2)+60))</f>
        <v>187</v>
      </c>
      <c r="AC535" s="84">
        <f>INT(INT((INT((2*VLOOKUP($C535,DexData,6,0)+INT(R535/4)+L535)/2)+5)*W535)*IF($E535="Choice Band",1.5,IF(OR($E535="Mawilite",$E535="Medichamite",$E535="Thick Club"),2,1)))</f>
        <v>67</v>
      </c>
      <c r="AD535" s="84">
        <f>INT(INT((INT((2*VLOOKUP($C535,DexData,7,0)+INT(S535/4)+M535)/2)+5)*X535)*IF($E535="Eviolite",1.5,1))</f>
        <v>85</v>
      </c>
      <c r="AE535" s="84">
        <f>INT(INT((INT((2*VLOOKUP($C535,DexData,9,0)+INT(T535/4)+N535)/2)+5)*Y535)*IF($E535="Choice Specs",1.5,1))</f>
        <v>101</v>
      </c>
      <c r="AF535" s="84">
        <f>INT(INT((INT((2*VLOOKUP($C535,DexData,10,0)+INT(U535/4)+O535)/2)+5)*Z535)*IF(OR($E535="Eviolite",$E535="Assault Vest"),1.5,1))</f>
        <v>189</v>
      </c>
      <c r="AG535" s="84">
        <f>INT(INT((INT((2*VLOOKUP($C535,DexData,11,0)+INT(V535/4)+P535)/2)+5)*AA535)*IF($E535="Choice Scarf",1.5,IF($E535="Iron Ball",0.5,1)))</f>
        <v>120</v>
      </c>
      <c r="AH535" s="84" t="str">
        <f>VLOOKUP(VLOOKUP($C535,DexData,3,0),Aliases!D$2:E$19,2,0)&amp;IFERROR("/"&amp;VLOOKUP(VLOOKUP($C535,DexData,4,0),Aliases!D$2:E$19,2,0),"")</f>
        <v>WTR/PSN</v>
      </c>
      <c r="AI535" s="7">
        <v>3.0</v>
      </c>
      <c r="AJ535" s="7">
        <f>IF(VLOOKUP(B535,'Set Odds'!A$2:AN$1067,40,0),1,IF(VLOOKUP(B535,'Set Odds'!A$2:AO$1067,41,0),2,0))</f>
        <v>1</v>
      </c>
      <c r="AK535" s="7"/>
      <c r="AL535" s="7" t="str">
        <f t="shared" si="1"/>
        <v/>
      </c>
    </row>
    <row r="536" ht="12.75" customHeight="1">
      <c r="A536" s="86">
        <v>535.0</v>
      </c>
      <c r="B536" s="84" t="s">
        <v>4067</v>
      </c>
      <c r="C536" s="7" t="s">
        <v>3836</v>
      </c>
      <c r="D536" s="7" t="s">
        <v>2692</v>
      </c>
      <c r="E536" s="7" t="s">
        <v>3071</v>
      </c>
      <c r="F536" s="84" t="s">
        <v>2614</v>
      </c>
      <c r="G536" s="84" t="s">
        <v>3015</v>
      </c>
      <c r="H536" s="84" t="s">
        <v>2625</v>
      </c>
      <c r="I536" s="84" t="s">
        <v>3454</v>
      </c>
      <c r="J536" s="7" t="s">
        <v>3499</v>
      </c>
      <c r="K536" s="7">
        <v>31.0</v>
      </c>
      <c r="L536" s="7">
        <v>31.0</v>
      </c>
      <c r="M536" s="7">
        <v>31.0</v>
      </c>
      <c r="N536" s="7">
        <v>0.0</v>
      </c>
      <c r="O536" s="7">
        <v>31.0</v>
      </c>
      <c r="P536" s="7">
        <v>31.0</v>
      </c>
      <c r="Q536" s="7">
        <v>4.0</v>
      </c>
      <c r="R536" s="7">
        <v>252.0</v>
      </c>
      <c r="S536" s="7">
        <v>0.0</v>
      </c>
      <c r="T536" s="7">
        <v>0.0</v>
      </c>
      <c r="U536" s="7">
        <v>0.0</v>
      </c>
      <c r="V536" s="7">
        <v>252.0</v>
      </c>
      <c r="W536" s="7">
        <f>VLOOKUP($D536,NatureChart,2,0)</f>
        <v>1</v>
      </c>
      <c r="X536" s="7">
        <f>VLOOKUP($D536,NatureChart,3,0)</f>
        <v>1</v>
      </c>
      <c r="Y536" s="7">
        <f>VLOOKUP($D536,NatureChart,4,0)</f>
        <v>0.9</v>
      </c>
      <c r="Z536" s="7">
        <f>VLOOKUP($D536,NatureChart,5,0)</f>
        <v>1</v>
      </c>
      <c r="AA536" s="84">
        <f>VLOOKUP($D536,NatureChart,6,0)</f>
        <v>1.1</v>
      </c>
      <c r="AB536" s="84">
        <f>IF($C536="Shedinja",1,(INT((2*VLOOKUP($C536,DexData,5,0)+INT(Q536/4)+K536)/2)+60))</f>
        <v>156</v>
      </c>
      <c r="AC536" s="84">
        <f>INT(INT((INT((2*VLOOKUP($C536,DexData,6,0)+INT(R536/4)+L536)/2)+5)*W536)*IF($E536="Choice Band",1.5,IF(OR($E536="Mawilite",$E536="Medichamite",$E536="Thick Club"),2,1)))</f>
        <v>157</v>
      </c>
      <c r="AD536" s="84">
        <f>INT(INT((INT((2*VLOOKUP($C536,DexData,7,0)+INT(S536/4)+M536)/2)+5)*X536)*IF($E536="Eviolite",1.5,1))</f>
        <v>85</v>
      </c>
      <c r="AE536" s="84">
        <f>INT(INT((INT((2*VLOOKUP($C536,DexData,9,0)+INT(T536/4)+N536)/2)+5)*Y536)*IF($E536="Choice Specs",1.5,1))</f>
        <v>58</v>
      </c>
      <c r="AF536" s="84">
        <f>INT(INT((INT((2*VLOOKUP($C536,DexData,10,0)+INT(U536/4)+O536)/2)+5)*Z536)*IF(OR($E536="Eviolite",$E536="Assault Vest"),1.5,1))</f>
        <v>95</v>
      </c>
      <c r="AG536" s="84">
        <f>INT(INT((INT((2*VLOOKUP($C536,DexData,11,0)+INT(V536/4)+P536)/2)+5)*AA536)*IF($E536="Choice Scarf",1.5,IF($E536="Iron Ball",0.5,1)))</f>
        <v>200</v>
      </c>
      <c r="AH536" s="84" t="str">
        <f>VLOOKUP(VLOOKUP($C536,DexData,3,0),Aliases!D$2:E$19,2,0)&amp;IFERROR("/"&amp;VLOOKUP(VLOOKUP($C536,DexData,4,0),Aliases!D$2:E$19,2,0),"")</f>
        <v>RCK/FLY</v>
      </c>
      <c r="AI536" s="7">
        <v>3.0</v>
      </c>
      <c r="AJ536" s="7">
        <f>IF(VLOOKUP(B536,'Set Odds'!A$2:AN$1067,40,0),1,IF(VLOOKUP(B536,'Set Odds'!A$2:AO$1067,41,0),2,0))</f>
        <v>1</v>
      </c>
      <c r="AK536" s="7"/>
      <c r="AL536" s="7" t="str">
        <f t="shared" si="1"/>
        <v/>
      </c>
    </row>
    <row r="537" ht="12.75" customHeight="1">
      <c r="A537" s="86">
        <v>536.0</v>
      </c>
      <c r="B537" s="84" t="s">
        <v>4068</v>
      </c>
      <c r="C537" s="7" t="s">
        <v>3838</v>
      </c>
      <c r="D537" s="7" t="s">
        <v>2862</v>
      </c>
      <c r="E537" s="7" t="s">
        <v>3715</v>
      </c>
      <c r="F537" s="84" t="s">
        <v>2823</v>
      </c>
      <c r="G537" s="84" t="s">
        <v>2895</v>
      </c>
      <c r="H537" s="84" t="s">
        <v>3428</v>
      </c>
      <c r="I537" s="84" t="s">
        <v>3228</v>
      </c>
      <c r="J537" s="7" t="s">
        <v>1477</v>
      </c>
      <c r="K537" s="7">
        <v>31.0</v>
      </c>
      <c r="L537" s="7">
        <v>0.0</v>
      </c>
      <c r="M537" s="7">
        <v>31.0</v>
      </c>
      <c r="N537" s="7">
        <v>31.0</v>
      </c>
      <c r="O537" s="7">
        <v>31.0</v>
      </c>
      <c r="P537" s="7">
        <v>31.0</v>
      </c>
      <c r="Q537" s="7">
        <v>252.0</v>
      </c>
      <c r="R537" s="7">
        <v>0.0</v>
      </c>
      <c r="S537" s="7">
        <v>252.0</v>
      </c>
      <c r="T537" s="7">
        <v>4.0</v>
      </c>
      <c r="U537" s="7">
        <v>0.0</v>
      </c>
      <c r="V537" s="7">
        <v>0.0</v>
      </c>
      <c r="W537" s="7">
        <f>VLOOKUP($D537,NatureChart,2,0)</f>
        <v>0.9</v>
      </c>
      <c r="X537" s="7">
        <f>VLOOKUP($D537,NatureChart,3,0)</f>
        <v>1.1</v>
      </c>
      <c r="Y537" s="7">
        <f>VLOOKUP($D537,NatureChart,4,0)</f>
        <v>1</v>
      </c>
      <c r="Z537" s="7">
        <f>VLOOKUP($D537,NatureChart,5,0)</f>
        <v>1</v>
      </c>
      <c r="AA537" s="84">
        <f>VLOOKUP($D537,NatureChart,6,0)</f>
        <v>1</v>
      </c>
      <c r="AB537" s="84">
        <f>IF($C537="Shedinja",1,(INT((2*VLOOKUP($C537,DexData,5,0)+INT(Q537/4)+K537)/2)+60))</f>
        <v>192</v>
      </c>
      <c r="AC537" s="84">
        <f>INT(INT((INT((2*VLOOKUP($C537,DexData,6,0)+INT(R537/4)+L537)/2)+5)*W537)*IF($E537="Choice Band",1.5,IF(OR($E537="Mawilite",$E537="Medichamite",$E537="Thick Club"),2,1)))</f>
        <v>76</v>
      </c>
      <c r="AD537" s="84">
        <f>INT(INT((INT((2*VLOOKUP($C537,DexData,7,0)+INT(S537/4)+M537)/2)+5)*X537)*IF($E537="Eviolite",1.5,1))</f>
        <v>156</v>
      </c>
      <c r="AE537" s="84">
        <f>INT(INT((INT((2*VLOOKUP($C537,DexData,9,0)+INT(T537/4)+N537)/2)+5)*Y537)*IF($E537="Choice Specs",1.5,1))</f>
        <v>126</v>
      </c>
      <c r="AF537" s="84">
        <f>INT(INT((INT((2*VLOOKUP($C537,DexData,10,0)+INT(U537/4)+O537)/2)+5)*Z537)*IF(OR($E537="Eviolite",$E537="Assault Vest"),1.5,1))</f>
        <v>115</v>
      </c>
      <c r="AG537" s="84">
        <f>INT(INT((INT((2*VLOOKUP($C537,DexData,11,0)+INT(V537/4)+P537)/2)+5)*AA537)*IF($E537="Choice Scarf",1.5,IF($E537="Iron Ball",0.5,1)))</f>
        <v>80</v>
      </c>
      <c r="AH537" s="84" t="str">
        <f>VLOOKUP(VLOOKUP($C537,DexData,3,0),Aliases!D$2:E$19,2,0)&amp;IFERROR("/"&amp;VLOOKUP(VLOOKUP($C537,DexData,4,0),Aliases!D$2:E$19,2,0),"")</f>
        <v>NRM</v>
      </c>
      <c r="AI537" s="7">
        <v>3.0</v>
      </c>
      <c r="AJ537" s="7">
        <f>IF(VLOOKUP(B537,'Set Odds'!A$2:AN$1067,40,0),1,IF(VLOOKUP(B537,'Set Odds'!A$2:AO$1067,41,0),2,0))</f>
        <v>1</v>
      </c>
      <c r="AK537" s="7"/>
      <c r="AL537" s="7" t="str">
        <f t="shared" si="1"/>
        <v/>
      </c>
    </row>
    <row r="538" ht="12.75" customHeight="1">
      <c r="A538" s="86">
        <v>537.0</v>
      </c>
      <c r="B538" s="84" t="s">
        <v>4069</v>
      </c>
      <c r="C538" s="7" t="s">
        <v>3843</v>
      </c>
      <c r="D538" s="7" t="s">
        <v>2656</v>
      </c>
      <c r="E538" s="7" t="s">
        <v>3433</v>
      </c>
      <c r="F538" s="84" t="s">
        <v>2967</v>
      </c>
      <c r="G538" s="84" t="s">
        <v>2823</v>
      </c>
      <c r="H538" s="84" t="s">
        <v>3435</v>
      </c>
      <c r="I538" s="84" t="s">
        <v>2661</v>
      </c>
      <c r="J538" s="7" t="s">
        <v>2824</v>
      </c>
      <c r="K538" s="7">
        <v>31.0</v>
      </c>
      <c r="L538" s="7">
        <v>0.0</v>
      </c>
      <c r="M538" s="7">
        <v>31.0</v>
      </c>
      <c r="N538" s="7">
        <v>31.0</v>
      </c>
      <c r="O538" s="7">
        <v>31.0</v>
      </c>
      <c r="P538" s="7">
        <v>31.0</v>
      </c>
      <c r="Q538" s="7">
        <v>252.0</v>
      </c>
      <c r="R538" s="7">
        <v>0.0</v>
      </c>
      <c r="S538" s="7">
        <v>4.0</v>
      </c>
      <c r="T538" s="7">
        <v>252.0</v>
      </c>
      <c r="U538" s="7">
        <v>0.0</v>
      </c>
      <c r="V538" s="7">
        <v>0.0</v>
      </c>
      <c r="W538" s="7">
        <f>VLOOKUP($D538,NatureChart,2,0)</f>
        <v>0.9</v>
      </c>
      <c r="X538" s="7">
        <f>VLOOKUP($D538,NatureChart,3,0)</f>
        <v>1</v>
      </c>
      <c r="Y538" s="7">
        <f>VLOOKUP($D538,NatureChart,4,0)</f>
        <v>1.1</v>
      </c>
      <c r="Z538" s="7">
        <f>VLOOKUP($D538,NatureChart,5,0)</f>
        <v>1</v>
      </c>
      <c r="AA538" s="84">
        <f>VLOOKUP($D538,NatureChart,6,0)</f>
        <v>1</v>
      </c>
      <c r="AB538" s="84">
        <f>IF($C538="Shedinja",1,(INT((2*VLOOKUP($C538,DexData,5,0)+INT(Q538/4)+K538)/2)+60))</f>
        <v>217</v>
      </c>
      <c r="AC538" s="84">
        <f>INT(INT((INT((2*VLOOKUP($C538,DexData,6,0)+INT(R538/4)+L538)/2)+5)*W538)*IF($E538="Choice Band",1.5,IF(OR($E538="Mawilite",$E538="Medichamite",$E538="Thick Club"),2,1)))</f>
        <v>81</v>
      </c>
      <c r="AD538" s="84">
        <f>INT(INT((INT((2*VLOOKUP($C538,DexData,7,0)+INT(S538/4)+M538)/2)+5)*X538)*IF($E538="Eviolite",1.5,1))</f>
        <v>116</v>
      </c>
      <c r="AE538" s="84">
        <f>INT(INT((INT((2*VLOOKUP($C538,DexData,9,0)+INT(T538/4)+N538)/2)+5)*Y538)*IF($E538="Choice Specs",1.5,1))</f>
        <v>145</v>
      </c>
      <c r="AF538" s="84">
        <f>INT(INT((INT((2*VLOOKUP($C538,DexData,10,0)+INT(U538/4)+O538)/2)+5)*Z538)*IF(OR($E538="Eviolite",$E538="Assault Vest"),1.5,1))</f>
        <v>115</v>
      </c>
      <c r="AG538" s="84">
        <f>INT(INT((INT((2*VLOOKUP($C538,DexData,11,0)+INT(V538/4)+P538)/2)+5)*AA538)*IF($E538="Choice Scarf",1.5,IF($E538="Iron Ball",0.5,1)))</f>
        <v>70</v>
      </c>
      <c r="AH538" s="84" t="str">
        <f>VLOOKUP(VLOOKUP($C538,DexData,3,0),Aliases!D$2:E$19,2,0)&amp;IFERROR("/"&amp;VLOOKUP(VLOOKUP($C538,DexData,4,0),Aliases!D$2:E$19,2,0),"")</f>
        <v>NRM</v>
      </c>
      <c r="AI538" s="7">
        <v>3.0</v>
      </c>
      <c r="AJ538" s="7">
        <f>IF(VLOOKUP(B538,'Set Odds'!A$2:AN$1067,40,0),1,IF(VLOOKUP(B538,'Set Odds'!A$2:AO$1067,41,0),2,0))</f>
        <v>1</v>
      </c>
      <c r="AK538" s="7"/>
      <c r="AL538" s="7" t="str">
        <f t="shared" si="1"/>
        <v/>
      </c>
    </row>
    <row r="539" ht="12.75" customHeight="1">
      <c r="A539" s="86">
        <v>538.0</v>
      </c>
      <c r="B539" s="84" t="s">
        <v>4070</v>
      </c>
      <c r="C539" s="7" t="s">
        <v>3846</v>
      </c>
      <c r="D539" s="7" t="s">
        <v>2656</v>
      </c>
      <c r="E539" s="7" t="s">
        <v>3726</v>
      </c>
      <c r="F539" s="84" t="s">
        <v>2521</v>
      </c>
      <c r="G539" s="84" t="s">
        <v>3091</v>
      </c>
      <c r="H539" s="84" t="s">
        <v>3186</v>
      </c>
      <c r="I539" s="84" t="s">
        <v>2704</v>
      </c>
      <c r="J539" s="7" t="s">
        <v>3217</v>
      </c>
      <c r="K539" s="7">
        <v>31.0</v>
      </c>
      <c r="L539" s="7">
        <v>31.0</v>
      </c>
      <c r="M539" s="7">
        <v>31.0</v>
      </c>
      <c r="N539" s="7">
        <v>0.0</v>
      </c>
      <c r="O539" s="7">
        <v>31.0</v>
      </c>
      <c r="P539" s="7">
        <v>31.0</v>
      </c>
      <c r="Q539" s="7">
        <v>4.0</v>
      </c>
      <c r="R539" s="7">
        <v>252.0</v>
      </c>
      <c r="S539" s="7">
        <v>0.0</v>
      </c>
      <c r="T539" s="7">
        <v>0.0</v>
      </c>
      <c r="U539" s="7">
        <v>0.0</v>
      </c>
      <c r="V539" s="7">
        <v>252.0</v>
      </c>
      <c r="W539" s="7">
        <f>VLOOKUP($D539,NatureChart,2,0)</f>
        <v>0.9</v>
      </c>
      <c r="X539" s="7">
        <f>VLOOKUP($D539,NatureChart,3,0)</f>
        <v>1</v>
      </c>
      <c r="Y539" s="7">
        <f>VLOOKUP($D539,NatureChart,4,0)</f>
        <v>1.1</v>
      </c>
      <c r="Z539" s="7">
        <f>VLOOKUP($D539,NatureChart,5,0)</f>
        <v>1</v>
      </c>
      <c r="AA539" s="84">
        <f>VLOOKUP($D539,NatureChart,6,0)</f>
        <v>1</v>
      </c>
      <c r="AB539" s="84">
        <f>IF($C539="Shedinja",1,(INT((2*VLOOKUP($C539,DexData,5,0)+INT(Q539/4)+K539)/2)+60))</f>
        <v>162</v>
      </c>
      <c r="AC539" s="84">
        <f>INT(INT((INT((2*VLOOKUP($C539,DexData,6,0)+INT(R539/4)+L539)/2)+5)*W539)*IF($E539="Choice Band",1.5,IF(OR($E539="Mawilite",$E539="Medichamite",$E539="Thick Club"),2,1)))</f>
        <v>115</v>
      </c>
      <c r="AD539" s="84">
        <f>INT(INT((INT((2*VLOOKUP($C539,DexData,7,0)+INT(S539/4)+M539)/2)+5)*X539)*IF($E539="Eviolite",1.5,1))</f>
        <v>106</v>
      </c>
      <c r="AE539" s="84">
        <f>INT(INT((INT((2*VLOOKUP($C539,DexData,9,0)+INT(T539/4)+N539)/2)+5)*Y539)*IF($E539="Choice Specs",1.5,1))</f>
        <v>133</v>
      </c>
      <c r="AF539" s="84">
        <f>INT(INT((INT((2*VLOOKUP($C539,DexData,10,0)+INT(U539/4)+O539)/2)+5)*Z539)*IF(OR($E539="Eviolite",$E539="Assault Vest"),1.5,1))</f>
        <v>76</v>
      </c>
      <c r="AG539" s="84">
        <f>INT(INT((INT((2*VLOOKUP($C539,DexData,11,0)+INT(V539/4)+P539)/2)+5)*AA539)*IF($E539="Choice Scarf",1.5,IF($E539="Iron Ball",0.5,1)))</f>
        <v>147</v>
      </c>
      <c r="AH539" s="84" t="str">
        <f>VLOOKUP(VLOOKUP($C539,DexData,3,0),Aliases!D$2:E$19,2,0)&amp;IFERROR("/"&amp;VLOOKUP(VLOOKUP($C539,DexData,4,0),Aliases!D$2:E$19,2,0),"")</f>
        <v>BUG/FLY</v>
      </c>
      <c r="AI539" s="7">
        <v>3.0</v>
      </c>
      <c r="AJ539" s="7">
        <f>IF(VLOOKUP(B539,'Set Odds'!A$2:AN$1067,40,0),1,IF(VLOOKUP(B539,'Set Odds'!A$2:AO$1067,41,0),2,0))</f>
        <v>1</v>
      </c>
      <c r="AK539" s="7"/>
      <c r="AL539" s="7" t="str">
        <f t="shared" si="1"/>
        <v/>
      </c>
    </row>
    <row r="540" ht="12.75" customHeight="1">
      <c r="A540" s="86">
        <v>539.0</v>
      </c>
      <c r="B540" s="84" t="s">
        <v>4071</v>
      </c>
      <c r="C540" s="7" t="s">
        <v>3848</v>
      </c>
      <c r="D540" s="7" t="s">
        <v>2656</v>
      </c>
      <c r="E540" s="7" t="s">
        <v>2665</v>
      </c>
      <c r="F540" s="84" t="s">
        <v>2956</v>
      </c>
      <c r="G540" s="84" t="s">
        <v>2659</v>
      </c>
      <c r="H540" s="84" t="s">
        <v>3435</v>
      </c>
      <c r="I540" s="84" t="s">
        <v>4072</v>
      </c>
      <c r="J540" s="7" t="s">
        <v>1477</v>
      </c>
      <c r="K540" s="7">
        <v>31.0</v>
      </c>
      <c r="L540" s="7">
        <v>0.0</v>
      </c>
      <c r="M540" s="7">
        <v>31.0</v>
      </c>
      <c r="N540" s="7">
        <v>31.0</v>
      </c>
      <c r="O540" s="7">
        <v>31.0</v>
      </c>
      <c r="P540" s="7">
        <v>31.0</v>
      </c>
      <c r="Q540" s="7">
        <v>4.0</v>
      </c>
      <c r="R540" s="7">
        <v>0.0</v>
      </c>
      <c r="S540" s="7">
        <v>0.0</v>
      </c>
      <c r="T540" s="7">
        <v>252.0</v>
      </c>
      <c r="U540" s="7">
        <v>0.0</v>
      </c>
      <c r="V540" s="7">
        <v>252.0</v>
      </c>
      <c r="W540" s="7">
        <f>VLOOKUP($D540,NatureChart,2,0)</f>
        <v>0.9</v>
      </c>
      <c r="X540" s="7">
        <f>VLOOKUP($D540,NatureChart,3,0)</f>
        <v>1</v>
      </c>
      <c r="Y540" s="7">
        <f>VLOOKUP($D540,NatureChart,4,0)</f>
        <v>1.1</v>
      </c>
      <c r="Z540" s="7">
        <f>VLOOKUP($D540,NatureChart,5,0)</f>
        <v>1</v>
      </c>
      <c r="AA540" s="84">
        <f>VLOOKUP($D540,NatureChart,6,0)</f>
        <v>1</v>
      </c>
      <c r="AB540" s="84">
        <f>IF($C540="Shedinja",1,(INT((2*VLOOKUP($C540,DexData,5,0)+INT(Q540/4)+K540)/2)+60))</f>
        <v>144</v>
      </c>
      <c r="AC540" s="84">
        <f>INT(INT((INT((2*VLOOKUP($C540,DexData,6,0)+INT(R540/4)+L540)/2)+5)*W540)*IF($E540="Choice Band",1.5,IF(OR($E540="Mawilite",$E540="Medichamite",$E540="Thick Club"),2,1)))</f>
        <v>63</v>
      </c>
      <c r="AD540" s="84">
        <f>INT(INT((INT((2*VLOOKUP($C540,DexData,7,0)+INT(S540/4)+M540)/2)+5)*X540)*IF($E540="Eviolite",1.5,1))</f>
        <v>85</v>
      </c>
      <c r="AE540" s="84">
        <f>INT(INT((INT((2*VLOOKUP($C540,DexData,9,0)+INT(T540/4)+N540)/2)+5)*Y540)*IF($E540="Choice Specs",1.5,1))</f>
        <v>194</v>
      </c>
      <c r="AF540" s="84">
        <f>INT(INT((INT((2*VLOOKUP($C540,DexData,10,0)+INT(U540/4)+O540)/2)+5)*Z540)*IF(OR($E540="Eviolite",$E540="Assault Vest"),1.5,1))</f>
        <v>135</v>
      </c>
      <c r="AG540" s="84">
        <f>INT(INT((INT((2*VLOOKUP($C540,DexData,11,0)+INT(V540/4)+P540)/2)+5)*AA540)*IF($E540="Choice Scarf",1.5,IF($E540="Iron Ball",0.5,1)))</f>
        <v>198</v>
      </c>
      <c r="AH540" s="84" t="str">
        <f>VLOOKUP(VLOOKUP($C540,DexData,3,0),Aliases!D$2:E$19,2,0)&amp;IFERROR("/"&amp;VLOOKUP(VLOOKUP($C540,DexData,4,0),Aliases!D$2:E$19,2,0),"")</f>
        <v>PSY/FAI</v>
      </c>
      <c r="AI540" s="7">
        <v>3.0</v>
      </c>
      <c r="AJ540" s="7">
        <f>IF(VLOOKUP(B540,'Set Odds'!A$2:AN$1067,40,0),1,IF(VLOOKUP(B540,'Set Odds'!A$2:AO$1067,41,0),2,0))</f>
        <v>1</v>
      </c>
      <c r="AK540" s="7"/>
      <c r="AL540" s="7" t="str">
        <f t="shared" si="1"/>
        <v/>
      </c>
    </row>
    <row r="541" ht="12.75" customHeight="1">
      <c r="A541" s="86">
        <v>540.0</v>
      </c>
      <c r="B541" s="84" t="s">
        <v>4073</v>
      </c>
      <c r="C541" s="7" t="s">
        <v>3851</v>
      </c>
      <c r="D541" s="7" t="s">
        <v>2692</v>
      </c>
      <c r="E541" s="7" t="s">
        <v>4074</v>
      </c>
      <c r="F541" s="84" t="s">
        <v>3852</v>
      </c>
      <c r="G541" s="84" t="s">
        <v>3483</v>
      </c>
      <c r="H541" s="84" t="s">
        <v>2670</v>
      </c>
      <c r="I541" s="84" t="s">
        <v>4033</v>
      </c>
      <c r="J541" s="7" t="s">
        <v>4075</v>
      </c>
      <c r="K541" s="7">
        <v>31.0</v>
      </c>
      <c r="L541" s="7">
        <v>31.0</v>
      </c>
      <c r="M541" s="7">
        <v>31.0</v>
      </c>
      <c r="N541" s="7">
        <v>0.0</v>
      </c>
      <c r="O541" s="7">
        <v>31.0</v>
      </c>
      <c r="P541" s="7">
        <v>31.0</v>
      </c>
      <c r="Q541" s="7">
        <v>4.0</v>
      </c>
      <c r="R541" s="7">
        <v>252.0</v>
      </c>
      <c r="S541" s="7">
        <v>0.0</v>
      </c>
      <c r="T541" s="7">
        <v>0.0</v>
      </c>
      <c r="U541" s="7">
        <v>0.0</v>
      </c>
      <c r="V541" s="7">
        <v>252.0</v>
      </c>
      <c r="W541" s="7">
        <f>VLOOKUP($D541,NatureChart,2,0)</f>
        <v>1</v>
      </c>
      <c r="X541" s="7">
        <f>VLOOKUP($D541,NatureChart,3,0)</f>
        <v>1</v>
      </c>
      <c r="Y541" s="7">
        <f>VLOOKUP($D541,NatureChart,4,0)</f>
        <v>0.9</v>
      </c>
      <c r="Z541" s="7">
        <f>VLOOKUP($D541,NatureChart,5,0)</f>
        <v>1</v>
      </c>
      <c r="AA541" s="84">
        <f>VLOOKUP($D541,NatureChart,6,0)</f>
        <v>1.1</v>
      </c>
      <c r="AB541" s="84">
        <f>IF($C541="Shedinja",1,(INT((2*VLOOKUP($C541,DexData,5,0)+INT(Q541/4)+K541)/2)+60))</f>
        <v>144</v>
      </c>
      <c r="AC541" s="84">
        <f>INT(INT((INT((2*VLOOKUP($C541,DexData,6,0)+INT(R541/4)+L541)/2)+5)*W541)*IF($E541="Choice Band",1.5,IF(OR($E541="Mawilite",$E541="Medichamite",$E541="Thick Club"),2,1)))</f>
        <v>177</v>
      </c>
      <c r="AD541" s="84">
        <f>INT(INT((INT((2*VLOOKUP($C541,DexData,7,0)+INT(S541/4)+M541)/2)+5)*X541)*IF($E541="Eviolite",1.5,1))</f>
        <v>85</v>
      </c>
      <c r="AE541" s="84">
        <f>INT(INT((INT((2*VLOOKUP($C541,DexData,9,0)+INT(T541/4)+N541)/2)+5)*Y541)*IF($E541="Choice Specs",1.5,1))</f>
        <v>63</v>
      </c>
      <c r="AF541" s="84">
        <f>INT(INT((INT((2*VLOOKUP($C541,DexData,10,0)+INT(U541/4)+O541)/2)+5)*Z541)*IF(OR($E541="Eviolite",$E541="Assault Vest"),1.5,1))</f>
        <v>135</v>
      </c>
      <c r="AG541" s="84">
        <f>INT(INT((INT((2*VLOOKUP($C541,DexData,11,0)+INT(V541/4)+P541)/2)+5)*AA541)*IF($E541="Choice Scarf",1.5,IF($E541="Iron Ball",0.5,1)))</f>
        <v>145</v>
      </c>
      <c r="AH541" s="84" t="str">
        <f>VLOOKUP(VLOOKUP($C541,DexData,3,0),Aliases!D$2:E$19,2,0)&amp;IFERROR("/"&amp;VLOOKUP(VLOOKUP($C541,DexData,4,0),Aliases!D$2:E$19,2,0),"")</f>
        <v>PSY/FTG</v>
      </c>
      <c r="AI541" s="7">
        <v>3.0</v>
      </c>
      <c r="AJ541" s="7">
        <f>IF(VLOOKUP(B541,'Set Odds'!A$2:AN$1067,40,0),1,IF(VLOOKUP(B541,'Set Odds'!A$2:AO$1067,41,0),2,0))</f>
        <v>1</v>
      </c>
      <c r="AK541" s="7"/>
      <c r="AL541" s="7" t="str">
        <f t="shared" si="1"/>
        <v/>
      </c>
    </row>
    <row r="542" ht="12.75" customHeight="1">
      <c r="A542" s="86">
        <v>541.0</v>
      </c>
      <c r="B542" s="84" t="s">
        <v>4076</v>
      </c>
      <c r="C542" s="7" t="s">
        <v>3855</v>
      </c>
      <c r="D542" s="7" t="s">
        <v>2692</v>
      </c>
      <c r="E542" s="7" t="s">
        <v>3350</v>
      </c>
      <c r="F542" s="84" t="s">
        <v>2575</v>
      </c>
      <c r="G542" s="84" t="s">
        <v>2706</v>
      </c>
      <c r="H542" s="84" t="s">
        <v>2594</v>
      </c>
      <c r="I542" s="84" t="s">
        <v>2659</v>
      </c>
      <c r="J542" s="7" t="s">
        <v>2701</v>
      </c>
      <c r="K542" s="7">
        <v>31.0</v>
      </c>
      <c r="L542" s="7">
        <v>31.0</v>
      </c>
      <c r="M542" s="7">
        <v>31.0</v>
      </c>
      <c r="N542" s="7">
        <v>0.0</v>
      </c>
      <c r="O542" s="7">
        <v>31.0</v>
      </c>
      <c r="P542" s="7">
        <v>31.0</v>
      </c>
      <c r="Q542" s="7">
        <v>4.0</v>
      </c>
      <c r="R542" s="7">
        <v>252.0</v>
      </c>
      <c r="S542" s="7">
        <v>0.0</v>
      </c>
      <c r="T542" s="7">
        <v>0.0</v>
      </c>
      <c r="U542" s="7">
        <v>0.0</v>
      </c>
      <c r="V542" s="7">
        <v>252.0</v>
      </c>
      <c r="W542" s="7">
        <f>VLOOKUP($D542,NatureChart,2,0)</f>
        <v>1</v>
      </c>
      <c r="X542" s="7">
        <f>VLOOKUP($D542,NatureChart,3,0)</f>
        <v>1</v>
      </c>
      <c r="Y542" s="7">
        <f>VLOOKUP($D542,NatureChart,4,0)</f>
        <v>0.9</v>
      </c>
      <c r="Z542" s="7">
        <f>VLOOKUP($D542,NatureChart,5,0)</f>
        <v>1</v>
      </c>
      <c r="AA542" s="84">
        <f>VLOOKUP($D542,NatureChart,6,0)</f>
        <v>1.1</v>
      </c>
      <c r="AB542" s="84">
        <f>IF($C542="Shedinja",1,(INT((2*VLOOKUP($C542,DexData,5,0)+INT(Q542/4)+K542)/2)+60))</f>
        <v>171</v>
      </c>
      <c r="AC542" s="84">
        <f>INT(INT((INT((2*VLOOKUP($C542,DexData,6,0)+INT(R542/4)+L542)/2)+5)*W542)*IF($E542="Choice Band",1.5,IF(OR($E542="Mawilite",$E542="Medichamite",$E542="Thick Club"),2,1)))</f>
        <v>147</v>
      </c>
      <c r="AD542" s="84">
        <f>INT(INT((INT((2*VLOOKUP($C542,DexData,7,0)+INT(S542/4)+M542)/2)+5)*X542)*IF($E542="Eviolite",1.5,1))</f>
        <v>105</v>
      </c>
      <c r="AE542" s="84">
        <f>INT(INT((INT((2*VLOOKUP($C542,DexData,9,0)+INT(T542/4)+N542)/2)+5)*Y542)*IF($E542="Choice Specs",1.5,1))</f>
        <v>117</v>
      </c>
      <c r="AF542" s="84">
        <f>INT(INT((INT((2*VLOOKUP($C542,DexData,10,0)+INT(U542/4)+O542)/2)+5)*Z542)*IF(OR($E542="Eviolite",$E542="Assault Vest"),1.5,1))</f>
        <v>95</v>
      </c>
      <c r="AG542" s="84">
        <f>INT(INT((INT((2*VLOOKUP($C542,DexData,11,0)+INT(V542/4)+P542)/2)+5)*AA542)*IF($E542="Choice Scarf",1.5,IF($E542="Iron Ball",0.5,1)))</f>
        <v>117</v>
      </c>
      <c r="AH542" s="84" t="str">
        <f>VLOOKUP(VLOOKUP($C542,DexData,3,0),Aliases!D$2:E$19,2,0)&amp;IFERROR("/"&amp;VLOOKUP(VLOOKUP($C542,DexData,4,0),Aliases!D$2:E$19,2,0),"")</f>
        <v>GRS/PSY</v>
      </c>
      <c r="AI542" s="7">
        <v>3.0</v>
      </c>
      <c r="AJ542" s="7">
        <f>IF(VLOOKUP(B542,'Set Odds'!A$2:AN$1067,40,0),1,IF(VLOOKUP(B542,'Set Odds'!A$2:AO$1067,41,0),2,0))</f>
        <v>1</v>
      </c>
      <c r="AK542" s="7"/>
      <c r="AL542" s="7" t="str">
        <f t="shared" si="1"/>
        <v/>
      </c>
    </row>
    <row r="543" ht="12.75" customHeight="1">
      <c r="A543" s="86">
        <v>542.0</v>
      </c>
      <c r="B543" s="84" t="s">
        <v>4077</v>
      </c>
      <c r="C543" s="7" t="s">
        <v>3857</v>
      </c>
      <c r="D543" s="7" t="s">
        <v>2635</v>
      </c>
      <c r="E543" s="7" t="s">
        <v>2515</v>
      </c>
      <c r="F543" s="84" t="s">
        <v>3341</v>
      </c>
      <c r="G543" s="84" t="s">
        <v>3435</v>
      </c>
      <c r="H543" s="84" t="s">
        <v>2823</v>
      </c>
      <c r="I543" s="84" t="s">
        <v>2659</v>
      </c>
      <c r="J543" s="7" t="s">
        <v>3169</v>
      </c>
      <c r="K543" s="7">
        <v>31.0</v>
      </c>
      <c r="L543" s="7">
        <v>0.0</v>
      </c>
      <c r="M543" s="7">
        <v>31.0</v>
      </c>
      <c r="N543" s="7">
        <v>31.0</v>
      </c>
      <c r="O543" s="7">
        <v>31.0</v>
      </c>
      <c r="P543" s="7">
        <v>31.0</v>
      </c>
      <c r="Q543" s="7">
        <v>4.0</v>
      </c>
      <c r="R543" s="7">
        <v>0.0</v>
      </c>
      <c r="S543" s="7">
        <v>0.0</v>
      </c>
      <c r="T543" s="7">
        <v>252.0</v>
      </c>
      <c r="U543" s="7">
        <v>0.0</v>
      </c>
      <c r="V543" s="7">
        <v>252.0</v>
      </c>
      <c r="W543" s="7">
        <f>VLOOKUP($D543,NatureChart,2,0)</f>
        <v>0.9</v>
      </c>
      <c r="X543" s="7">
        <f>VLOOKUP($D543,NatureChart,3,0)</f>
        <v>1</v>
      </c>
      <c r="Y543" s="7">
        <f>VLOOKUP($D543,NatureChart,4,0)</f>
        <v>1</v>
      </c>
      <c r="Z543" s="7">
        <f>VLOOKUP($D543,NatureChart,5,0)</f>
        <v>1</v>
      </c>
      <c r="AA543" s="84">
        <f>VLOOKUP($D543,NatureChart,6,0)</f>
        <v>1.1</v>
      </c>
      <c r="AB543" s="84">
        <f>IF($C543="Shedinja",1,(INT((2*VLOOKUP($C543,DexData,5,0)+INT(Q543/4)+K543)/2)+60))</f>
        <v>136</v>
      </c>
      <c r="AC543" s="84">
        <f>INT(INT((INT((2*VLOOKUP($C543,DexData,6,0)+INT(R543/4)+L543)/2)+5)*W543)*IF($E543="Choice Band",1.5,IF(OR($E543="Mawilite",$E543="Medichamite",$E543="Thick Club"),2,1)))</f>
        <v>72</v>
      </c>
      <c r="AD543" s="84">
        <f>INT(INT((INT((2*VLOOKUP($C543,DexData,7,0)+INT(S543/4)+M543)/2)+5)*X543)*IF($E543="Eviolite",1.5,1))</f>
        <v>105</v>
      </c>
      <c r="AE543" s="84">
        <f>INT(INT((INT((2*VLOOKUP($C543,DexData,9,0)+INT(T543/4)+N543)/2)+5)*Y543)*IF($E543="Choice Specs",1.5,1))</f>
        <v>152</v>
      </c>
      <c r="AF543" s="84">
        <f>INT(INT((INT((2*VLOOKUP($C543,DexData,10,0)+INT(U543/4)+O543)/2)+5)*Z543)*IF(OR($E543="Eviolite",$E543="Assault Vest"),1.5,1))</f>
        <v>105</v>
      </c>
      <c r="AG543" s="84">
        <f>INT(INT((INT((2*VLOOKUP($C543,DexData,11,0)+INT(V543/4)+P543)/2)+5)*AA543)*IF($E543="Choice Scarf",1.5,IF($E543="Iron Ball",0.5,1)))</f>
        <v>183</v>
      </c>
      <c r="AH543" s="84" t="str">
        <f>VLOOKUP(VLOOKUP($C543,DexData,3,0),Aliases!D$2:E$19,2,0)&amp;IFERROR("/"&amp;VLOOKUP(VLOOKUP($C543,DexData,4,0),Aliases!D$2:E$19,2,0),"")</f>
        <v>WTR/PSY</v>
      </c>
      <c r="AI543" s="7">
        <v>3.0</v>
      </c>
      <c r="AJ543" s="7">
        <f>IF(VLOOKUP(B543,'Set Odds'!A$2:AN$1067,40,0),1,IF(VLOOKUP(B543,'Set Odds'!A$2:AO$1067,41,0),2,0))</f>
        <v>1</v>
      </c>
      <c r="AK543" s="7"/>
      <c r="AL543" s="7" t="str">
        <f t="shared" si="1"/>
        <v/>
      </c>
    </row>
    <row r="544" ht="12.75" customHeight="1">
      <c r="A544" s="86">
        <v>543.0</v>
      </c>
      <c r="B544" s="84" t="s">
        <v>4078</v>
      </c>
      <c r="C544" s="7" t="s">
        <v>3859</v>
      </c>
      <c r="D544" s="7" t="s">
        <v>2692</v>
      </c>
      <c r="E544" s="7" t="s">
        <v>2515</v>
      </c>
      <c r="F544" s="84" t="s">
        <v>3454</v>
      </c>
      <c r="G544" s="84" t="s">
        <v>2762</v>
      </c>
      <c r="H544" s="84" t="s">
        <v>3135</v>
      </c>
      <c r="I544" s="84" t="s">
        <v>2764</v>
      </c>
      <c r="J544" s="7" t="s">
        <v>2714</v>
      </c>
      <c r="K544" s="7">
        <v>31.0</v>
      </c>
      <c r="L544" s="7">
        <v>0.0</v>
      </c>
      <c r="M544" s="7">
        <v>31.0</v>
      </c>
      <c r="N544" s="7">
        <v>31.0</v>
      </c>
      <c r="O544" s="7">
        <v>31.0</v>
      </c>
      <c r="P544" s="7">
        <v>31.0</v>
      </c>
      <c r="Q544" s="7">
        <v>4.0</v>
      </c>
      <c r="R544" s="7">
        <v>252.0</v>
      </c>
      <c r="S544" s="7">
        <v>0.0</v>
      </c>
      <c r="T544" s="7">
        <v>0.0</v>
      </c>
      <c r="U544" s="7">
        <v>0.0</v>
      </c>
      <c r="V544" s="7">
        <v>252.0</v>
      </c>
      <c r="W544" s="7">
        <f>VLOOKUP($D544,NatureChart,2,0)</f>
        <v>1</v>
      </c>
      <c r="X544" s="7">
        <f>VLOOKUP($D544,NatureChart,3,0)</f>
        <v>1</v>
      </c>
      <c r="Y544" s="7">
        <f>VLOOKUP($D544,NatureChart,4,0)</f>
        <v>0.9</v>
      </c>
      <c r="Z544" s="7">
        <f>VLOOKUP($D544,NatureChart,5,0)</f>
        <v>1</v>
      </c>
      <c r="AA544" s="84">
        <f>VLOOKUP($D544,NatureChart,6,0)</f>
        <v>1.1</v>
      </c>
      <c r="AB544" s="84">
        <f>IF($C544="Shedinja",1,(INT((2*VLOOKUP($C544,DexData,5,0)+INT(Q544/4)+K544)/2)+60))</f>
        <v>156</v>
      </c>
      <c r="AC544" s="84">
        <f>INT(INT((INT((2*VLOOKUP($C544,DexData,6,0)+INT(R544/4)+L544)/2)+5)*W544)*IF($E544="Choice Band",1.5,IF(OR($E544="Mawilite",$E544="Medichamite",$E544="Thick Club"),2,1)))</f>
        <v>136</v>
      </c>
      <c r="AD544" s="84">
        <f>INT(INT((INT((2*VLOOKUP($C544,DexData,7,0)+INT(S544/4)+M544)/2)+5)*X544)*IF($E544="Eviolite",1.5,1))</f>
        <v>100</v>
      </c>
      <c r="AE544" s="84">
        <f>INT(INT((INT((2*VLOOKUP($C544,DexData,9,0)+INT(T544/4)+N544)/2)+5)*Y544)*IF($E544="Choice Specs",1.5,1))</f>
        <v>90</v>
      </c>
      <c r="AF544" s="84">
        <f>INT(INT((INT((2*VLOOKUP($C544,DexData,10,0)+INT(U544/4)+O544)/2)+5)*Z544)*IF(OR($E544="Eviolite",$E544="Assault Vest"),1.5,1))</f>
        <v>100</v>
      </c>
      <c r="AG544" s="84">
        <f>INT(INT((INT((2*VLOOKUP($C544,DexData,11,0)+INT(V544/4)+P544)/2)+5)*AA544)*IF($E544="Choice Scarf",1.5,IF($E544="Iron Ball",0.5,1)))</f>
        <v>167</v>
      </c>
      <c r="AH544" s="84" t="str">
        <f>VLOOKUP(VLOOKUP($C544,DexData,3,0),Aliases!D$2:E$19,2,0)&amp;IFERROR("/"&amp;VLOOKUP(VLOOKUP($C544,DexData,4,0),Aliases!D$2:E$19,2,0),"")</f>
        <v>GRD/DRG</v>
      </c>
      <c r="AI544" s="7">
        <v>3.0</v>
      </c>
      <c r="AJ544" s="7">
        <f>IF(VLOOKUP(B544,'Set Odds'!A$2:AN$1067,40,0),1,IF(VLOOKUP(B544,'Set Odds'!A$2:AO$1067,41,0),2,0))</f>
        <v>1</v>
      </c>
      <c r="AK544" s="7"/>
      <c r="AL544" s="7" t="str">
        <f t="shared" si="1"/>
        <v/>
      </c>
    </row>
    <row r="545" ht="12.75" customHeight="1">
      <c r="A545" s="86">
        <v>544.0</v>
      </c>
      <c r="B545" s="84" t="s">
        <v>4079</v>
      </c>
      <c r="C545" s="7" t="s">
        <v>3861</v>
      </c>
      <c r="D545" s="7" t="s">
        <v>2811</v>
      </c>
      <c r="E545" s="7" t="s">
        <v>2623</v>
      </c>
      <c r="F545" s="84" t="s">
        <v>2967</v>
      </c>
      <c r="G545" s="84" t="s">
        <v>3043</v>
      </c>
      <c r="H545" s="84" t="s">
        <v>2972</v>
      </c>
      <c r="I545" s="84" t="s">
        <v>3130</v>
      </c>
      <c r="J545" s="7" t="s">
        <v>3059</v>
      </c>
      <c r="K545" s="7">
        <v>31.0</v>
      </c>
      <c r="L545" s="7">
        <v>0.0</v>
      </c>
      <c r="M545" s="7">
        <v>31.0</v>
      </c>
      <c r="N545" s="7">
        <v>31.0</v>
      </c>
      <c r="O545" s="7">
        <v>31.0</v>
      </c>
      <c r="P545" s="7">
        <v>31.0</v>
      </c>
      <c r="Q545" s="7">
        <v>252.0</v>
      </c>
      <c r="R545" s="7">
        <v>0.0</v>
      </c>
      <c r="S545" s="7">
        <v>252.0</v>
      </c>
      <c r="T545" s="7">
        <v>4.0</v>
      </c>
      <c r="U545" s="7">
        <v>0.0</v>
      </c>
      <c r="V545" s="7">
        <v>0.0</v>
      </c>
      <c r="W545" s="7">
        <f>VLOOKUP($D545,NatureChart,2,0)</f>
        <v>1</v>
      </c>
      <c r="X545" s="7">
        <f>VLOOKUP($D545,NatureChart,3,0)</f>
        <v>1.1</v>
      </c>
      <c r="Y545" s="7">
        <f>VLOOKUP($D545,NatureChart,4,0)</f>
        <v>1</v>
      </c>
      <c r="Z545" s="7">
        <f>VLOOKUP($D545,NatureChart,5,0)</f>
        <v>1</v>
      </c>
      <c r="AA545" s="84">
        <f>VLOOKUP($D545,NatureChart,6,0)</f>
        <v>0.9</v>
      </c>
      <c r="AB545" s="84">
        <f>IF($C545="Shedinja",1,(INT((2*VLOOKUP($C545,DexData,5,0)+INT(Q545/4)+K545)/2)+60))</f>
        <v>237</v>
      </c>
      <c r="AC545" s="84">
        <f>INT(INT((INT((2*VLOOKUP($C545,DexData,6,0)+INT(R545/4)+L545)/2)+5)*W545)*IF($E545="Choice Band",1.5,IF(OR($E545="Mawilite",$E545="Medichamite",$E545="Thick Club"),2,1)))</f>
        <v>70</v>
      </c>
      <c r="AD545" s="84">
        <f>INT(INT((INT((2*VLOOKUP($C545,DexData,7,0)+INT(S545/4)+M545)/2)+5)*X545)*IF($E545="Eviolite",1.5,1))</f>
        <v>123</v>
      </c>
      <c r="AE545" s="84">
        <f>INT(INT((INT((2*VLOOKUP($C545,DexData,9,0)+INT(T545/4)+N545)/2)+5)*Y545)*IF($E545="Choice Specs",1.5,1))</f>
        <v>131</v>
      </c>
      <c r="AF545" s="84">
        <f>INT(INT((INT((2*VLOOKUP($C545,DexData,10,0)+INT(U545/4)+O545)/2)+5)*Z545)*IF(OR($E545="Eviolite",$E545="Assault Vest"),1.5,1))</f>
        <v>115</v>
      </c>
      <c r="AG545" s="84">
        <f>INT(INT((INT((2*VLOOKUP($C545,DexData,11,0)+INT(V545/4)+P545)/2)+5)*AA545)*IF($E545="Choice Scarf",1.5,IF($E545="Iron Ball",0.5,1)))</f>
        <v>76</v>
      </c>
      <c r="AH545" s="84" t="str">
        <f>VLOOKUP(VLOOKUP($C545,DexData,3,0),Aliases!D$2:E$19,2,0)&amp;IFERROR("/"&amp;VLOOKUP(VLOOKUP($C545,DexData,4,0),Aliases!D$2:E$19,2,0),"")</f>
        <v>WTR</v>
      </c>
      <c r="AI545" s="7">
        <v>3.0</v>
      </c>
      <c r="AJ545" s="7">
        <f>IF(VLOOKUP(B545,'Set Odds'!A$2:AN$1067,40,0),1,IF(VLOOKUP(B545,'Set Odds'!A$2:AO$1067,41,0),2,0))</f>
        <v>1</v>
      </c>
      <c r="AK545" s="7"/>
      <c r="AL545" s="7" t="str">
        <f t="shared" si="1"/>
        <v/>
      </c>
    </row>
    <row r="546" ht="12.75" customHeight="1">
      <c r="A546" s="86">
        <v>545.0</v>
      </c>
      <c r="B546" s="84" t="s">
        <v>4080</v>
      </c>
      <c r="C546" s="7" t="s">
        <v>3863</v>
      </c>
      <c r="D546" s="7" t="s">
        <v>2635</v>
      </c>
      <c r="E546" s="7" t="s">
        <v>3635</v>
      </c>
      <c r="F546" s="84" t="s">
        <v>2763</v>
      </c>
      <c r="G546" s="84" t="s">
        <v>3435</v>
      </c>
      <c r="H546" s="84" t="s">
        <v>2661</v>
      </c>
      <c r="I546" s="84" t="s">
        <v>2615</v>
      </c>
      <c r="J546" s="7" t="s">
        <v>3000</v>
      </c>
      <c r="K546" s="7">
        <v>31.0</v>
      </c>
      <c r="L546" s="7">
        <v>31.0</v>
      </c>
      <c r="M546" s="7">
        <v>31.0</v>
      </c>
      <c r="N546" s="7">
        <v>31.0</v>
      </c>
      <c r="O546" s="7">
        <v>31.0</v>
      </c>
      <c r="P546" s="7">
        <v>31.0</v>
      </c>
      <c r="Q546" s="7">
        <v>4.0</v>
      </c>
      <c r="R546" s="7">
        <v>0.0</v>
      </c>
      <c r="S546" s="7">
        <v>0.0</v>
      </c>
      <c r="T546" s="7">
        <v>252.0</v>
      </c>
      <c r="U546" s="7">
        <v>0.0</v>
      </c>
      <c r="V546" s="7">
        <v>252.0</v>
      </c>
      <c r="W546" s="7">
        <f>VLOOKUP($D546,NatureChart,2,0)</f>
        <v>0.9</v>
      </c>
      <c r="X546" s="7">
        <f>VLOOKUP($D546,NatureChart,3,0)</f>
        <v>1</v>
      </c>
      <c r="Y546" s="7">
        <f>VLOOKUP($D546,NatureChart,4,0)</f>
        <v>1</v>
      </c>
      <c r="Z546" s="7">
        <f>VLOOKUP($D546,NatureChart,5,0)</f>
        <v>1</v>
      </c>
      <c r="AA546" s="84">
        <f>VLOOKUP($D546,NatureChart,6,0)</f>
        <v>1.1</v>
      </c>
      <c r="AB546" s="84">
        <f>IF($C546="Shedinja",1,(INT((2*VLOOKUP($C546,DexData,5,0)+INT(Q546/4)+K546)/2)+60))</f>
        <v>141</v>
      </c>
      <c r="AC546" s="84">
        <f>INT(INT((INT((2*VLOOKUP($C546,DexData,6,0)+INT(R546/4)+L546)/2)+5)*W546)*IF($E546="Choice Band",1.5,IF(OR($E546="Mawilite",$E546="Medichamite",$E546="Thick Club"),2,1)))</f>
        <v>76</v>
      </c>
      <c r="AD546" s="84">
        <f>INT(INT((INT((2*VLOOKUP($C546,DexData,7,0)+INT(S546/4)+M546)/2)+5)*X546)*IF($E546="Eviolite",1.5,1))</f>
        <v>80</v>
      </c>
      <c r="AE546" s="84">
        <f>INT(INT((INT((2*VLOOKUP($C546,DexData,9,0)+INT(T546/4)+N546)/2)+5)*Y546)*IF($E546="Choice Specs",1.5,1))</f>
        <v>162</v>
      </c>
      <c r="AF546" s="84">
        <f>INT(INT((INT((2*VLOOKUP($C546,DexData,10,0)+INT(U546/4)+O546)/2)+5)*Z546)*IF(OR($E546="Eviolite",$E546="Assault Vest"),1.5,1))</f>
        <v>115</v>
      </c>
      <c r="AG546" s="84">
        <f>INT(INT((INT((2*VLOOKUP($C546,DexData,11,0)+INT(V546/4)+P546)/2)+5)*AA546)*IF($E546="Choice Scarf",1.5,IF($E546="Iron Ball",0.5,1)))</f>
        <v>200</v>
      </c>
      <c r="AH546" s="84" t="str">
        <f>VLOOKUP(VLOOKUP($C546,DexData,3,0),Aliases!D$2:E$19,2,0)&amp;IFERROR("/"&amp;VLOOKUP(VLOOKUP($C546,DexData,4,0),Aliases!D$2:E$19,2,0),"")</f>
        <v>ELC</v>
      </c>
      <c r="AI546" s="7">
        <v>3.0</v>
      </c>
      <c r="AJ546" s="7">
        <f>IF(VLOOKUP(B546,'Set Odds'!A$2:AN$1067,40,0),1,IF(VLOOKUP(B546,'Set Odds'!A$2:AO$1067,41,0),2,0))</f>
        <v>1</v>
      </c>
      <c r="AK546" s="7"/>
      <c r="AL546" s="7" t="str">
        <f t="shared" si="1"/>
        <v/>
      </c>
    </row>
    <row r="547" ht="12.75" customHeight="1">
      <c r="A547" s="86">
        <v>546.0</v>
      </c>
      <c r="B547" s="84" t="s">
        <v>4081</v>
      </c>
      <c r="C547" s="7" t="s">
        <v>3865</v>
      </c>
      <c r="D547" s="7" t="s">
        <v>2629</v>
      </c>
      <c r="E547" s="7" t="s">
        <v>3096</v>
      </c>
      <c r="F547" s="84" t="s">
        <v>3617</v>
      </c>
      <c r="G547" s="84" t="s">
        <v>3636</v>
      </c>
      <c r="H547" s="84" t="s">
        <v>2746</v>
      </c>
      <c r="I547" s="84" t="s">
        <v>2602</v>
      </c>
      <c r="J547" s="7" t="s">
        <v>3016</v>
      </c>
      <c r="K547" s="7">
        <v>31.0</v>
      </c>
      <c r="L547" s="7">
        <v>31.0</v>
      </c>
      <c r="M547" s="7">
        <v>31.0</v>
      </c>
      <c r="N547" s="7">
        <v>31.0</v>
      </c>
      <c r="O547" s="7">
        <v>31.0</v>
      </c>
      <c r="P547" s="7">
        <v>31.0</v>
      </c>
      <c r="Q547" s="7">
        <v>252.0</v>
      </c>
      <c r="R547" s="7">
        <v>252.0</v>
      </c>
      <c r="S547" s="7">
        <v>4.0</v>
      </c>
      <c r="T547" s="7">
        <v>0.0</v>
      </c>
      <c r="U547" s="7">
        <v>0.0</v>
      </c>
      <c r="V547" s="7">
        <v>0.0</v>
      </c>
      <c r="W547" s="7">
        <f>VLOOKUP($D547,NatureChart,2,0)</f>
        <v>1.1</v>
      </c>
      <c r="X547" s="7">
        <f>VLOOKUP($D547,NatureChart,3,0)</f>
        <v>1</v>
      </c>
      <c r="Y547" s="7">
        <f>VLOOKUP($D547,NatureChart,4,0)</f>
        <v>1</v>
      </c>
      <c r="Z547" s="7">
        <f>VLOOKUP($D547,NatureChart,5,0)</f>
        <v>1</v>
      </c>
      <c r="AA547" s="84">
        <f>VLOOKUP($D547,NatureChart,6,0)</f>
        <v>0.9</v>
      </c>
      <c r="AB547" s="84">
        <f>IF($C547="Shedinja",1,(INT((2*VLOOKUP($C547,DexData,5,0)+INT(Q547/4)+K547)/2)+60))</f>
        <v>172</v>
      </c>
      <c r="AC547" s="84">
        <f>INT(INT((INT((2*VLOOKUP($C547,DexData,6,0)+INT(R547/4)+L547)/2)+5)*W547)*IF($E547="Choice Band",1.5,IF(OR($E547="Mawilite",$E547="Medichamite",$E547="Thick Club"),2,1)))</f>
        <v>200</v>
      </c>
      <c r="AD547" s="84">
        <f>INT(INT((INT((2*VLOOKUP($C547,DexData,7,0)+INT(S547/4)+M547)/2)+5)*X547)*IF($E547="Eviolite",1.5,1))</f>
        <v>81</v>
      </c>
      <c r="AE547" s="84">
        <f>INT(INT((INT((2*VLOOKUP($C547,DexData,9,0)+INT(T547/4)+N547)/2)+5)*Y547)*IF($E547="Choice Specs",1.5,1))</f>
        <v>115</v>
      </c>
      <c r="AF547" s="84">
        <f>INT(INT((INT((2*VLOOKUP($C547,DexData,10,0)+INT(U547/4)+O547)/2)+5)*Z547)*IF(OR($E547="Eviolite",$E547="Assault Vest"),1.5,1))</f>
        <v>130</v>
      </c>
      <c r="AG547" s="84">
        <f>INT(INT((INT((2*VLOOKUP($C547,DexData,11,0)+INT(V547/4)+P547)/2)+5)*AA547)*IF($E547="Choice Scarf",1.5,IF($E547="Iron Ball",0.5,1)))</f>
        <v>76</v>
      </c>
      <c r="AH547" s="84" t="str">
        <f>VLOOKUP(VLOOKUP($C547,DexData,3,0),Aliases!D$2:E$19,2,0)&amp;IFERROR("/"&amp;VLOOKUP(VLOOKUP($C547,DexData,4,0),Aliases!D$2:E$19,2,0),"")</f>
        <v>FIR</v>
      </c>
      <c r="AI547" s="7">
        <v>3.0</v>
      </c>
      <c r="AJ547" s="7">
        <f>IF(VLOOKUP(B547,'Set Odds'!A$2:AN$1067,40,0),1,IF(VLOOKUP(B547,'Set Odds'!A$2:AO$1067,41,0),2,0))</f>
        <v>1</v>
      </c>
      <c r="AK547" s="7"/>
      <c r="AL547" s="7" t="str">
        <f t="shared" si="1"/>
        <v/>
      </c>
    </row>
    <row r="548" ht="12.75" customHeight="1">
      <c r="A548" s="86">
        <v>547.0</v>
      </c>
      <c r="B548" s="84" t="s">
        <v>4082</v>
      </c>
      <c r="C548" s="7" t="s">
        <v>3867</v>
      </c>
      <c r="D548" s="7" t="s">
        <v>2635</v>
      </c>
      <c r="E548" s="7" t="s">
        <v>2524</v>
      </c>
      <c r="F548" s="84" t="s">
        <v>2863</v>
      </c>
      <c r="G548" s="84" t="s">
        <v>2661</v>
      </c>
      <c r="H548" s="84" t="s">
        <v>2659</v>
      </c>
      <c r="I548" s="84" t="s">
        <v>4083</v>
      </c>
      <c r="J548" s="7" t="s">
        <v>2953</v>
      </c>
      <c r="K548" s="7">
        <v>31.0</v>
      </c>
      <c r="L548" s="7">
        <v>0.0</v>
      </c>
      <c r="M548" s="7">
        <v>31.0</v>
      </c>
      <c r="N548" s="7">
        <v>31.0</v>
      </c>
      <c r="O548" s="7">
        <v>31.0</v>
      </c>
      <c r="P548" s="7">
        <v>31.0</v>
      </c>
      <c r="Q548" s="7">
        <v>4.0</v>
      </c>
      <c r="R548" s="7">
        <v>0.0</v>
      </c>
      <c r="S548" s="7">
        <v>0.0</v>
      </c>
      <c r="T548" s="7">
        <v>252.0</v>
      </c>
      <c r="U548" s="7">
        <v>0.0</v>
      </c>
      <c r="V548" s="7">
        <v>252.0</v>
      </c>
      <c r="W548" s="7">
        <f>VLOOKUP($D548,NatureChart,2,0)</f>
        <v>0.9</v>
      </c>
      <c r="X548" s="7">
        <f>VLOOKUP($D548,NatureChart,3,0)</f>
        <v>1</v>
      </c>
      <c r="Y548" s="7">
        <f>VLOOKUP($D548,NatureChart,4,0)</f>
        <v>1</v>
      </c>
      <c r="Z548" s="7">
        <f>VLOOKUP($D548,NatureChart,5,0)</f>
        <v>1</v>
      </c>
      <c r="AA548" s="84">
        <f>VLOOKUP($D548,NatureChart,6,0)</f>
        <v>1.1</v>
      </c>
      <c r="AB548" s="84">
        <f>IF($C548="Shedinja",1,(INT((2*VLOOKUP($C548,DexData,5,0)+INT(Q548/4)+K548)/2)+60))</f>
        <v>141</v>
      </c>
      <c r="AC548" s="84">
        <f>INT(INT((INT((2*VLOOKUP($C548,DexData,6,0)+INT(R548/4)+L548)/2)+5)*W548)*IF($E548="Choice Band",1.5,IF(OR($E548="Mawilite",$E548="Medichamite",$E548="Thick Club"),2,1)))</f>
        <v>63</v>
      </c>
      <c r="AD548" s="84">
        <f>INT(INT((INT((2*VLOOKUP($C548,DexData,7,0)+INT(S548/4)+M548)/2)+5)*X548)*IF($E548="Eviolite",1.5,1))</f>
        <v>80</v>
      </c>
      <c r="AE548" s="84">
        <f>INT(INT((INT((2*VLOOKUP($C548,DexData,9,0)+INT(T548/4)+N548)/2)+5)*Y548)*IF($E548="Choice Specs",1.5,1))</f>
        <v>182</v>
      </c>
      <c r="AF548" s="84">
        <f>INT(INT((INT((2*VLOOKUP($C548,DexData,10,0)+INT(U548/4)+O548)/2)+5)*Z548)*IF(OR($E548="Eviolite",$E548="Assault Vest"),1.5,1))</f>
        <v>115</v>
      </c>
      <c r="AG548" s="84">
        <f>INT(INT((INT((2*VLOOKUP($C548,DexData,11,0)+INT(V548/4)+P548)/2)+5)*AA548)*IF($E548="Choice Scarf",1.5,IF($E548="Iron Ball",0.5,1)))</f>
        <v>178</v>
      </c>
      <c r="AH548" s="84" t="str">
        <f>VLOOKUP(VLOOKUP($C548,DexData,3,0),Aliases!D$2:E$19,2,0)&amp;IFERROR("/"&amp;VLOOKUP(VLOOKUP($C548,DexData,4,0),Aliases!D$2:E$19,2,0),"")</f>
        <v>PSY</v>
      </c>
      <c r="AI548" s="7">
        <v>3.0</v>
      </c>
      <c r="AJ548" s="7">
        <f>IF(VLOOKUP(B548,'Set Odds'!A$2:AN$1067,40,0),1,IF(VLOOKUP(B548,'Set Odds'!A$2:AO$1067,41,0),2,0))</f>
        <v>1</v>
      </c>
      <c r="AK548" s="7"/>
      <c r="AL548" s="7" t="str">
        <f t="shared" si="1"/>
        <v/>
      </c>
    </row>
    <row r="549" ht="12.75" customHeight="1">
      <c r="A549" s="86">
        <v>548.0</v>
      </c>
      <c r="B549" s="84" t="s">
        <v>4084</v>
      </c>
      <c r="C549" s="7" t="s">
        <v>3869</v>
      </c>
      <c r="D549" s="7" t="s">
        <v>3597</v>
      </c>
      <c r="E549" s="7" t="s">
        <v>2524</v>
      </c>
      <c r="F549" s="84" t="s">
        <v>4085</v>
      </c>
      <c r="G549" s="84" t="s">
        <v>2848</v>
      </c>
      <c r="H549" s="84" t="s">
        <v>2517</v>
      </c>
      <c r="I549" s="84" t="s">
        <v>2938</v>
      </c>
      <c r="J549" s="7" t="s">
        <v>3233</v>
      </c>
      <c r="K549" s="7">
        <v>31.0</v>
      </c>
      <c r="L549" s="7">
        <v>0.0</v>
      </c>
      <c r="M549" s="7">
        <v>31.0</v>
      </c>
      <c r="N549" s="7">
        <v>0.0</v>
      </c>
      <c r="O549" s="7">
        <v>31.0</v>
      </c>
      <c r="P549" s="7">
        <v>31.0</v>
      </c>
      <c r="Q549" s="7">
        <v>252.0</v>
      </c>
      <c r="R549" s="7">
        <v>0.0</v>
      </c>
      <c r="S549" s="7">
        <v>4.0</v>
      </c>
      <c r="T549" s="7">
        <v>0.0</v>
      </c>
      <c r="U549" s="7">
        <v>252.0</v>
      </c>
      <c r="V549" s="7">
        <v>0.0</v>
      </c>
      <c r="W549" s="7">
        <f>VLOOKUP($D549,NatureChart,2,0)</f>
        <v>0.9</v>
      </c>
      <c r="X549" s="7">
        <f>VLOOKUP($D549,NatureChart,3,0)</f>
        <v>1</v>
      </c>
      <c r="Y549" s="7">
        <f>VLOOKUP($D549,NatureChart,4,0)</f>
        <v>1</v>
      </c>
      <c r="Z549" s="7">
        <f>VLOOKUP($D549,NatureChart,5,0)</f>
        <v>1.1</v>
      </c>
      <c r="AA549" s="84">
        <f>VLOOKUP($D549,NatureChart,6,0)</f>
        <v>1</v>
      </c>
      <c r="AB549" s="84">
        <f>IF($C549="Shedinja",1,(INT((2*VLOOKUP($C549,DexData,5,0)+INT(Q549/4)+K549)/2)+60))</f>
        <v>202</v>
      </c>
      <c r="AC549" s="84">
        <f>INT(INT((INT((2*VLOOKUP($C549,DexData,6,0)+INT(R549/4)+L549)/2)+5)*W549)*IF($E549="Choice Band",1.5,IF(OR($E549="Mawilite",$E549="Medichamite",$E549="Thick Club"),2,1)))</f>
        <v>63</v>
      </c>
      <c r="AD549" s="84">
        <f>INT(INT((INT((2*VLOOKUP($C549,DexData,7,0)+INT(S549/4)+M549)/2)+5)*X549)*IF($E549="Eviolite",1.5,1))</f>
        <v>131</v>
      </c>
      <c r="AE549" s="84">
        <f>INT(INT((INT((2*VLOOKUP($C549,DexData,9,0)+INT(T549/4)+N549)/2)+5)*Y549)*IF($E549="Choice Specs",1.5,1))</f>
        <v>65</v>
      </c>
      <c r="AF549" s="84">
        <f>INT(INT((INT((2*VLOOKUP($C549,DexData,10,0)+INT(U549/4)+O549)/2)+5)*Z549)*IF(OR($E549="Eviolite",$E549="Assault Vest"),1.5,1))</f>
        <v>200</v>
      </c>
      <c r="AG549" s="84">
        <f>INT(INT((INT((2*VLOOKUP($C549,DexData,11,0)+INT(V549/4)+P549)/2)+5)*AA549)*IF($E549="Choice Scarf",1.5,IF($E549="Iron Ball",0.5,1)))</f>
        <v>85</v>
      </c>
      <c r="AH549" s="84" t="str">
        <f>VLOOKUP(VLOOKUP($C549,DexData,3,0),Aliases!D$2:E$19,2,0)&amp;IFERROR("/"&amp;VLOOKUP(VLOOKUP($C549,DexData,4,0),Aliases!D$2:E$19,2,0),"")</f>
        <v>DRK</v>
      </c>
      <c r="AI549" s="7">
        <v>3.0</v>
      </c>
      <c r="AJ549" s="7">
        <f>IF(VLOOKUP(B549,'Set Odds'!A$2:AN$1067,40,0),1,IF(VLOOKUP(B549,'Set Odds'!A$2:AO$1067,41,0),2,0))</f>
        <v>1</v>
      </c>
      <c r="AK549" s="7"/>
      <c r="AL549" s="7" t="str">
        <f t="shared" si="1"/>
        <v/>
      </c>
    </row>
    <row r="550" ht="12.75" customHeight="1">
      <c r="A550" s="86">
        <v>549.0</v>
      </c>
      <c r="B550" s="84" t="s">
        <v>4086</v>
      </c>
      <c r="C550" s="7" t="s">
        <v>3871</v>
      </c>
      <c r="D550" s="7" t="s">
        <v>3105</v>
      </c>
      <c r="E550" s="7" t="s">
        <v>4087</v>
      </c>
      <c r="F550" s="84" t="s">
        <v>2631</v>
      </c>
      <c r="G550" s="84" t="s">
        <v>2614</v>
      </c>
      <c r="H550" s="84" t="s">
        <v>3730</v>
      </c>
      <c r="I550" s="84" t="s">
        <v>2588</v>
      </c>
      <c r="J550" s="7" t="s">
        <v>2701</v>
      </c>
      <c r="K550" s="7">
        <v>31.0</v>
      </c>
      <c r="L550" s="7">
        <v>31.0</v>
      </c>
      <c r="M550" s="7">
        <v>31.0</v>
      </c>
      <c r="N550" s="7">
        <v>31.0</v>
      </c>
      <c r="O550" s="7">
        <v>31.0</v>
      </c>
      <c r="P550" s="7">
        <v>31.0</v>
      </c>
      <c r="Q550" s="7">
        <v>252.0</v>
      </c>
      <c r="R550" s="7">
        <v>0.0</v>
      </c>
      <c r="S550" s="7">
        <v>4.0</v>
      </c>
      <c r="T550" s="7">
        <v>0.0</v>
      </c>
      <c r="U550" s="7">
        <v>252.0</v>
      </c>
      <c r="V550" s="7">
        <v>0.0</v>
      </c>
      <c r="W550" s="7">
        <f>VLOOKUP($D550,NatureChart,2,0)</f>
        <v>1</v>
      </c>
      <c r="X550" s="7">
        <f>VLOOKUP($D550,NatureChart,3,0)</f>
        <v>1</v>
      </c>
      <c r="Y550" s="7">
        <f>VLOOKUP($D550,NatureChart,4,0)</f>
        <v>1</v>
      </c>
      <c r="Z550" s="7">
        <f>VLOOKUP($D550,NatureChart,5,0)</f>
        <v>1.1</v>
      </c>
      <c r="AA550" s="84">
        <f>VLOOKUP($D550,NatureChart,6,0)</f>
        <v>0.9</v>
      </c>
      <c r="AB550" s="84">
        <f>IF($C550="Shedinja",1,(INT((2*VLOOKUP($C550,DexData,5,0)+INT(Q550/4)+K550)/2)+60))</f>
        <v>172</v>
      </c>
      <c r="AC550" s="84">
        <f>INT(INT((INT((2*VLOOKUP($C550,DexData,6,0)+INT(R550/4)+L550)/2)+5)*W550)*IF($E550="Choice Band",1.5,IF(OR($E550="Mawilite",$E550="Medichamite",$E550="Thick Club"),2,1)))</f>
        <v>130</v>
      </c>
      <c r="AD550" s="84">
        <f>INT(INT((INT((2*VLOOKUP($C550,DexData,7,0)+INT(S550/4)+M550)/2)+5)*X550)*IF($E550="Eviolite",1.5,1))</f>
        <v>151</v>
      </c>
      <c r="AE550" s="84">
        <f>INT(INT((INT((2*VLOOKUP($C550,DexData,9,0)+INT(T550/4)+N550)/2)+5)*Y550)*IF($E550="Choice Specs",1.5,1))</f>
        <v>80</v>
      </c>
      <c r="AF550" s="84">
        <f>INT(INT((INT((2*VLOOKUP($C550,DexData,10,0)+INT(U550/4)+O550)/2)+5)*Z550)*IF(OR($E550="Eviolite",$E550="Assault Vest"),1.5,1))</f>
        <v>128</v>
      </c>
      <c r="AG550" s="84">
        <f>INT(INT((INT((2*VLOOKUP($C550,DexData,11,0)+INT(V550/4)+P550)/2)+5)*AA550)*IF($E550="Choice Scarf",1.5,IF($E550="Iron Ball",0.5,1)))</f>
        <v>103</v>
      </c>
      <c r="AH550" s="84" t="str">
        <f>VLOOKUP(VLOOKUP($C550,DexData,3,0),Aliases!D$2:E$19,2,0)&amp;IFERROR("/"&amp;VLOOKUP(VLOOKUP($C550,DexData,4,0),Aliases!D$2:E$19,2,0),"")</f>
        <v>GRS</v>
      </c>
      <c r="AI550" s="7">
        <v>3.0</v>
      </c>
      <c r="AJ550" s="7">
        <f>IF(VLOOKUP(B550,'Set Odds'!A$2:AN$1067,40,0),1,IF(VLOOKUP(B550,'Set Odds'!A$2:AO$1067,41,0),2,0))</f>
        <v>1</v>
      </c>
      <c r="AK550" s="7"/>
      <c r="AL550" s="7" t="str">
        <f t="shared" si="1"/>
        <v/>
      </c>
    </row>
    <row r="551" ht="12.75" customHeight="1">
      <c r="A551" s="86">
        <v>550.0</v>
      </c>
      <c r="B551" s="84" t="s">
        <v>4088</v>
      </c>
      <c r="C551" s="7" t="s">
        <v>3873</v>
      </c>
      <c r="D551" s="7" t="s">
        <v>2789</v>
      </c>
      <c r="E551" s="7" t="s">
        <v>2515</v>
      </c>
      <c r="F551" s="84" t="s">
        <v>3994</v>
      </c>
      <c r="G551" s="84" t="s">
        <v>3168</v>
      </c>
      <c r="H551" s="84" t="s">
        <v>2874</v>
      </c>
      <c r="I551" s="84" t="s">
        <v>4089</v>
      </c>
      <c r="J551" s="7" t="s">
        <v>3328</v>
      </c>
      <c r="K551" s="7">
        <v>31.0</v>
      </c>
      <c r="L551" s="7">
        <v>31.0</v>
      </c>
      <c r="M551" s="7">
        <v>31.0</v>
      </c>
      <c r="N551" s="7">
        <v>31.0</v>
      </c>
      <c r="O551" s="7">
        <v>31.0</v>
      </c>
      <c r="P551" s="7">
        <v>31.0</v>
      </c>
      <c r="Q551" s="7">
        <v>0.0</v>
      </c>
      <c r="R551" s="7">
        <v>252.0</v>
      </c>
      <c r="S551" s="7">
        <v>4.0</v>
      </c>
      <c r="T551" s="7">
        <v>0.0</v>
      </c>
      <c r="U551" s="7">
        <v>0.0</v>
      </c>
      <c r="V551" s="7">
        <v>252.0</v>
      </c>
      <c r="W551" s="7">
        <f>VLOOKUP($D551,NatureChart,2,0)</f>
        <v>1.1</v>
      </c>
      <c r="X551" s="7">
        <f>VLOOKUP($D551,NatureChart,3,0)</f>
        <v>1</v>
      </c>
      <c r="Y551" s="7">
        <f>VLOOKUP($D551,NatureChart,4,0)</f>
        <v>1</v>
      </c>
      <c r="Z551" s="7">
        <f>VLOOKUP($D551,NatureChart,5,0)</f>
        <v>0.9</v>
      </c>
      <c r="AA551" s="84">
        <f>VLOOKUP($D551,NatureChart,6,0)</f>
        <v>1</v>
      </c>
      <c r="AB551" s="84">
        <f>IF($C551="Shedinja",1,(INT((2*VLOOKUP($C551,DexData,5,0)+INT(Q551/4)+K551)/2)+60))</f>
        <v>140</v>
      </c>
      <c r="AC551" s="84">
        <f>INT(INT((INT((2*VLOOKUP($C551,DexData,6,0)+INT(R551/4)+L551)/2)+5)*W551)*IF($E551="Choice Band",1.5,IF(OR($E551="Mawilite",$E551="Medichamite",$E551="Thick Club"),2,1)))</f>
        <v>123</v>
      </c>
      <c r="AD551" s="84">
        <f>INT(INT((INT((2*VLOOKUP($C551,DexData,7,0)+INT(S551/4)+M551)/2)+5)*X551)*IF($E551="Eviolite",1.5,1))</f>
        <v>131</v>
      </c>
      <c r="AE551" s="84">
        <f>INT(INT((INT((2*VLOOKUP($C551,DexData,9,0)+INT(T551/4)+N551)/2)+5)*Y551)*IF($E551="Choice Specs",1.5,1))</f>
        <v>150</v>
      </c>
      <c r="AF551" s="84">
        <f>INT(INT((INT((2*VLOOKUP($C551,DexData,10,0)+INT(U551/4)+O551)/2)+5)*Z551)*IF(OR($E551="Eviolite",$E551="Assault Vest"),1.5,1))</f>
        <v>103</v>
      </c>
      <c r="AG551" s="84">
        <f>INT(INT((INT((2*VLOOKUP($C551,DexData,11,0)+INT(V551/4)+P551)/2)+5)*AA551)*IF($E551="Choice Scarf",1.5,IF($E551="Iron Ball",0.5,1)))</f>
        <v>117</v>
      </c>
      <c r="AH551" s="84" t="str">
        <f>VLOOKUP(VLOOKUP($C551,DexData,3,0),Aliases!D$2:E$19,2,0)&amp;IFERROR("/"&amp;VLOOKUP(VLOOKUP($C551,DexData,4,0),Aliases!D$2:E$19,2,0),"")</f>
        <v>ICE</v>
      </c>
      <c r="AI551" s="7">
        <v>3.0</v>
      </c>
      <c r="AJ551" s="7">
        <f>IF(VLOOKUP(B551,'Set Odds'!A$2:AN$1067,40,0),1,IF(VLOOKUP(B551,'Set Odds'!A$2:AO$1067,41,0),2,0))</f>
        <v>1</v>
      </c>
      <c r="AK551" s="7"/>
      <c r="AL551" s="7" t="str">
        <f t="shared" si="1"/>
        <v/>
      </c>
    </row>
    <row r="552" ht="12.75" customHeight="1">
      <c r="A552" s="86">
        <v>551.0</v>
      </c>
      <c r="B552" s="84" t="s">
        <v>4090</v>
      </c>
      <c r="C552" s="7" t="s">
        <v>3876</v>
      </c>
      <c r="D552" s="7" t="s">
        <v>2656</v>
      </c>
      <c r="E552" s="7" t="s">
        <v>2515</v>
      </c>
      <c r="F552" s="84" t="s">
        <v>3877</v>
      </c>
      <c r="G552" s="84" t="s">
        <v>3524</v>
      </c>
      <c r="H552" s="84" t="s">
        <v>3264</v>
      </c>
      <c r="I552" s="84" t="s">
        <v>4091</v>
      </c>
      <c r="J552" s="7" t="s">
        <v>3233</v>
      </c>
      <c r="K552" s="7">
        <v>31.0</v>
      </c>
      <c r="L552" s="7">
        <v>0.0</v>
      </c>
      <c r="M552" s="7">
        <v>31.0</v>
      </c>
      <c r="N552" s="7">
        <v>31.0</v>
      </c>
      <c r="O552" s="7">
        <v>31.0</v>
      </c>
      <c r="P552" s="7">
        <v>31.0</v>
      </c>
      <c r="Q552" s="7">
        <v>4.0</v>
      </c>
      <c r="R552" s="7">
        <v>0.0</v>
      </c>
      <c r="S552" s="7">
        <v>0.0</v>
      </c>
      <c r="T552" s="7">
        <v>252.0</v>
      </c>
      <c r="U552" s="7">
        <v>0.0</v>
      </c>
      <c r="V552" s="7">
        <v>252.0</v>
      </c>
      <c r="W552" s="7">
        <f>VLOOKUP($D552,NatureChart,2,0)</f>
        <v>0.9</v>
      </c>
      <c r="X552" s="7">
        <f>VLOOKUP($D552,NatureChart,3,0)</f>
        <v>1</v>
      </c>
      <c r="Y552" s="7">
        <f>VLOOKUP($D552,NatureChart,4,0)</f>
        <v>1.1</v>
      </c>
      <c r="Z552" s="7">
        <f>VLOOKUP($D552,NatureChart,5,0)</f>
        <v>1</v>
      </c>
      <c r="AA552" s="84">
        <f>VLOOKUP($D552,NatureChart,6,0)</f>
        <v>1</v>
      </c>
      <c r="AB552" s="84">
        <f>IF($C552="Shedinja",1,(INT((2*VLOOKUP($C552,DexData,5,0)+INT(Q552/4)+K552)/2)+60))</f>
        <v>146</v>
      </c>
      <c r="AC552" s="84">
        <f>INT(INT((INT((2*VLOOKUP($C552,DexData,6,0)+INT(R552/4)+L552)/2)+5)*W552)*IF($E552="Choice Band",1.5,IF(OR($E552="Mawilite",$E552="Medichamite",$E552="Thick Club"),2,1)))</f>
        <v>103</v>
      </c>
      <c r="AD552" s="84">
        <f>INT(INT((INT((2*VLOOKUP($C552,DexData,7,0)+INT(S552/4)+M552)/2)+5)*X552)*IF($E552="Eviolite",1.5,1))</f>
        <v>90</v>
      </c>
      <c r="AE552" s="84">
        <f>INT(INT((INT((2*VLOOKUP($C552,DexData,9,0)+INT(T552/4)+N552)/2)+5)*Y552)*IF($E552="Choice Specs",1.5,1))</f>
        <v>183</v>
      </c>
      <c r="AF552" s="84">
        <f>INT(INT((INT((2*VLOOKUP($C552,DexData,10,0)+INT(U552/4)+O552)/2)+5)*Z552)*IF(OR($E552="Eviolite",$E552="Assault Vest"),1.5,1))</f>
        <v>90</v>
      </c>
      <c r="AG552" s="84">
        <f>INT(INT((INT((2*VLOOKUP($C552,DexData,11,0)+INT(V552/4)+P552)/2)+5)*AA552)*IF($E552="Choice Scarf",1.5,IF($E552="Iron Ball",0.5,1)))</f>
        <v>142</v>
      </c>
      <c r="AH552" s="84" t="str">
        <f>VLOOKUP(VLOOKUP($C552,DexData,3,0),Aliases!D$2:E$19,2,0)&amp;IFERROR("/"&amp;VLOOKUP(VLOOKUP($C552,DexData,4,0),Aliases!D$2:E$19,2,0),"")</f>
        <v>FTG/STL</v>
      </c>
      <c r="AI552" s="7">
        <v>3.0</v>
      </c>
      <c r="AJ552" s="7">
        <f>IF(VLOOKUP(B552,'Set Odds'!A$2:AN$1067,40,0),1,IF(VLOOKUP(B552,'Set Odds'!A$2:AO$1067,41,0),2,0))</f>
        <v>1</v>
      </c>
      <c r="AK552" s="7"/>
      <c r="AL552" s="7" t="str">
        <f t="shared" si="1"/>
        <v/>
      </c>
    </row>
    <row r="553" ht="12.75" customHeight="1">
      <c r="A553" s="86">
        <v>552.0</v>
      </c>
      <c r="B553" s="84" t="s">
        <v>4092</v>
      </c>
      <c r="C553" s="7" t="s">
        <v>3879</v>
      </c>
      <c r="D553" s="7" t="s">
        <v>2723</v>
      </c>
      <c r="E553" s="7" t="s">
        <v>2685</v>
      </c>
      <c r="F553" s="84" t="s">
        <v>3454</v>
      </c>
      <c r="G553" s="84" t="s">
        <v>3603</v>
      </c>
      <c r="H553" s="84" t="s">
        <v>3719</v>
      </c>
      <c r="I553" s="84" t="s">
        <v>2688</v>
      </c>
      <c r="J553" s="7" t="s">
        <v>3034</v>
      </c>
      <c r="K553" s="7">
        <v>31.0</v>
      </c>
      <c r="L553" s="7">
        <v>31.0</v>
      </c>
      <c r="M553" s="7">
        <v>31.0</v>
      </c>
      <c r="N553" s="7">
        <v>0.0</v>
      </c>
      <c r="O553" s="7">
        <v>31.0</v>
      </c>
      <c r="P553" s="7">
        <v>31.0</v>
      </c>
      <c r="Q553" s="7">
        <v>252.0</v>
      </c>
      <c r="R553" s="7">
        <v>0.0</v>
      </c>
      <c r="S553" s="7">
        <v>4.0</v>
      </c>
      <c r="T553" s="7">
        <v>0.0</v>
      </c>
      <c r="U553" s="7">
        <v>252.0</v>
      </c>
      <c r="V553" s="7">
        <v>0.0</v>
      </c>
      <c r="W553" s="7">
        <f>VLOOKUP($D553,NatureChart,2,0)</f>
        <v>1</v>
      </c>
      <c r="X553" s="7">
        <f>VLOOKUP($D553,NatureChart,3,0)</f>
        <v>1</v>
      </c>
      <c r="Y553" s="7">
        <f>VLOOKUP($D553,NatureChart,4,0)</f>
        <v>0.9</v>
      </c>
      <c r="Z553" s="7">
        <f>VLOOKUP($D553,NatureChart,5,0)</f>
        <v>1.1</v>
      </c>
      <c r="AA553" s="84">
        <f>VLOOKUP($D553,NatureChart,6,0)</f>
        <v>1</v>
      </c>
      <c r="AB553" s="84">
        <f>IF($C553="Shedinja",1,(INT((2*VLOOKUP($C553,DexData,5,0)+INT(Q553/4)+K553)/2)+60))</f>
        <v>215</v>
      </c>
      <c r="AC553" s="84">
        <f>INT(INT((INT((2*VLOOKUP($C553,DexData,6,0)+INT(R553/4)+L553)/2)+5)*W553)*IF($E553="Choice Band",1.5,IF(OR($E553="Mawilite",$E553="Medichamite",$E553="Thick Club"),2,1)))</f>
        <v>132</v>
      </c>
      <c r="AD553" s="84">
        <f>INT(INT((INT((2*VLOOKUP($C553,DexData,7,0)+INT(S553/4)+M553)/2)+5)*X553)*IF($E553="Eviolite",1.5,1))</f>
        <v>139</v>
      </c>
      <c r="AE553" s="84">
        <f>INT(INT((INT((2*VLOOKUP($C553,DexData,9,0)+INT(T553/4)+N553)/2)+5)*Y553)*IF($E553="Choice Specs",1.5,1))</f>
        <v>65</v>
      </c>
      <c r="AF553" s="84">
        <f>INT(INT((INT((2*VLOOKUP($C553,DexData,10,0)+INT(U553/4)+O553)/2)+5)*Z553)*IF(OR($E553="Eviolite",$E553="Assault Vest"),1.5,1))</f>
        <v>136</v>
      </c>
      <c r="AG553" s="84">
        <f>INT(INT((INT((2*VLOOKUP($C553,DexData,11,0)+INT(V553/4)+P553)/2)+5)*AA553)*IF($E553="Choice Scarf",1.5,IF($E553="Iron Ball",0.5,1)))</f>
        <v>67</v>
      </c>
      <c r="AH553" s="84" t="str">
        <f>VLOOKUP(VLOOKUP($C553,DexData,3,0),Aliases!D$2:E$19,2,0)&amp;IFERROR("/"&amp;VLOOKUP(VLOOKUP($C553,DexData,4,0),Aliases!D$2:E$19,2,0),"")</f>
        <v>GRD</v>
      </c>
      <c r="AI553" s="7">
        <v>3.0</v>
      </c>
      <c r="AJ553" s="7">
        <f>IF(VLOOKUP(B553,'Set Odds'!A$2:AN$1067,40,0),1,IF(VLOOKUP(B553,'Set Odds'!A$2:AO$1067,41,0),2,0))</f>
        <v>1</v>
      </c>
      <c r="AK553" s="7"/>
      <c r="AL553" s="7" t="str">
        <f t="shared" si="1"/>
        <v/>
      </c>
    </row>
    <row r="554" ht="12.75" customHeight="1">
      <c r="A554" s="86">
        <v>553.0</v>
      </c>
      <c r="B554" s="84" t="s">
        <v>4093</v>
      </c>
      <c r="C554" s="7" t="s">
        <v>3881</v>
      </c>
      <c r="D554" s="7" t="s">
        <v>2571</v>
      </c>
      <c r="E554" s="7" t="s">
        <v>2519</v>
      </c>
      <c r="F554" s="84" t="s">
        <v>3800</v>
      </c>
      <c r="G554" s="84" t="s">
        <v>3454</v>
      </c>
      <c r="H554" s="84" t="s">
        <v>3441</v>
      </c>
      <c r="I554" s="84" t="s">
        <v>2539</v>
      </c>
      <c r="J554" s="7" t="s">
        <v>2728</v>
      </c>
      <c r="K554" s="7">
        <v>31.0</v>
      </c>
      <c r="L554" s="7">
        <v>31.0</v>
      </c>
      <c r="M554" s="7">
        <v>31.0</v>
      </c>
      <c r="N554" s="7">
        <v>0.0</v>
      </c>
      <c r="O554" s="7">
        <v>31.0</v>
      </c>
      <c r="P554" s="7">
        <v>31.0</v>
      </c>
      <c r="Q554" s="7">
        <v>252.0</v>
      </c>
      <c r="R554" s="7">
        <v>252.0</v>
      </c>
      <c r="S554" s="7">
        <v>4.0</v>
      </c>
      <c r="T554" s="7">
        <v>0.0</v>
      </c>
      <c r="U554" s="7">
        <v>0.0</v>
      </c>
      <c r="V554" s="7">
        <v>0.0</v>
      </c>
      <c r="W554" s="7">
        <f>VLOOKUP($D554,NatureChart,2,0)</f>
        <v>1.1</v>
      </c>
      <c r="X554" s="7">
        <f>VLOOKUP($D554,NatureChart,3,0)</f>
        <v>1</v>
      </c>
      <c r="Y554" s="7">
        <f>VLOOKUP($D554,NatureChart,4,0)</f>
        <v>0.9</v>
      </c>
      <c r="Z554" s="7">
        <f>VLOOKUP($D554,NatureChart,5,0)</f>
        <v>1</v>
      </c>
      <c r="AA554" s="84">
        <f>VLOOKUP($D554,NatureChart,6,0)</f>
        <v>1</v>
      </c>
      <c r="AB554" s="84">
        <f>IF($C554="Shedinja",1,(INT((2*VLOOKUP($C554,DexData,5,0)+INT(Q554/4)+K554)/2)+60))</f>
        <v>167</v>
      </c>
      <c r="AC554" s="84">
        <f>INT(INT((INT((2*VLOOKUP($C554,DexData,6,0)+INT(R554/4)+L554)/2)+5)*W554)*IF($E554="Choice Band",1.5,IF(OR($E554="Mawilite",$E554="Medichamite",$E554="Thick Club"),2,1)))</f>
        <v>117</v>
      </c>
      <c r="AD554" s="84">
        <f>INT(INT((INT((2*VLOOKUP($C554,DexData,7,0)+INT(S554/4)+M554)/2)+5)*X554)*IF($E554="Eviolite",1.5,1))</f>
        <v>166</v>
      </c>
      <c r="AE554" s="84">
        <f>INT(INT((INT((2*VLOOKUP($C554,DexData,9,0)+INT(T554/4)+N554)/2)+5)*Y554)*IF($E554="Choice Specs",1.5,1))</f>
        <v>72</v>
      </c>
      <c r="AF554" s="84">
        <f>INT(INT((INT((2*VLOOKUP($C554,DexData,10,0)+INT(U554/4)+O554)/2)+5)*Z554)*IF(OR($E554="Eviolite",$E554="Assault Vest"),1.5,1))</f>
        <v>170</v>
      </c>
      <c r="AG554" s="84">
        <f>INT(INT((INT((2*VLOOKUP($C554,DexData,11,0)+INT(V554/4)+P554)/2)+5)*AA554)*IF($E554="Choice Scarf",1.5,IF($E554="Iron Ball",0.5,1)))</f>
        <v>60</v>
      </c>
      <c r="AH554" s="84" t="str">
        <f>VLOOKUP(VLOOKUP($C554,DexData,3,0),Aliases!D$2:E$19,2,0)&amp;IFERROR("/"&amp;VLOOKUP(VLOOKUP($C554,DexData,4,0),Aliases!D$2:E$19,2,0),"")</f>
        <v>RCK/STL</v>
      </c>
      <c r="AI554" s="7">
        <v>3.0</v>
      </c>
      <c r="AJ554" s="7">
        <f>IF(VLOOKUP(B554,'Set Odds'!A$2:AN$1067,40,0),1,IF(VLOOKUP(B554,'Set Odds'!A$2:AO$1067,41,0),2,0))</f>
        <v>1</v>
      </c>
      <c r="AK554" s="7"/>
      <c r="AL554" s="7" t="str">
        <f t="shared" si="1"/>
        <v/>
      </c>
    </row>
    <row r="555" ht="12.75" customHeight="1">
      <c r="A555" s="86">
        <v>554.0</v>
      </c>
      <c r="B555" s="84" t="s">
        <v>4094</v>
      </c>
      <c r="C555" s="7" t="s">
        <v>3885</v>
      </c>
      <c r="D555" s="7" t="s">
        <v>3105</v>
      </c>
      <c r="E555" s="7" t="s">
        <v>2524</v>
      </c>
      <c r="F555" s="84" t="s">
        <v>2532</v>
      </c>
      <c r="G555" s="84" t="s">
        <v>2841</v>
      </c>
      <c r="H555" s="84" t="s">
        <v>3510</v>
      </c>
      <c r="I555" s="84" t="s">
        <v>2951</v>
      </c>
      <c r="J555" s="7" t="s">
        <v>3499</v>
      </c>
      <c r="K555" s="7">
        <v>31.0</v>
      </c>
      <c r="L555" s="7">
        <v>0.0</v>
      </c>
      <c r="M555" s="7">
        <v>31.0</v>
      </c>
      <c r="N555" s="7">
        <v>0.0</v>
      </c>
      <c r="O555" s="7">
        <v>31.0</v>
      </c>
      <c r="P555" s="7">
        <v>31.0</v>
      </c>
      <c r="Q555" s="7">
        <v>252.0</v>
      </c>
      <c r="R555" s="7">
        <v>0.0</v>
      </c>
      <c r="S555" s="7">
        <v>4.0</v>
      </c>
      <c r="T555" s="7">
        <v>0.0</v>
      </c>
      <c r="U555" s="7">
        <v>252.0</v>
      </c>
      <c r="V555" s="7">
        <v>0.0</v>
      </c>
      <c r="W555" s="7">
        <f>VLOOKUP($D555,NatureChart,2,0)</f>
        <v>1</v>
      </c>
      <c r="X555" s="7">
        <f>VLOOKUP($D555,NatureChart,3,0)</f>
        <v>1</v>
      </c>
      <c r="Y555" s="7">
        <f>VLOOKUP($D555,NatureChart,4,0)</f>
        <v>1</v>
      </c>
      <c r="Z555" s="7">
        <f>VLOOKUP($D555,NatureChart,5,0)</f>
        <v>1.1</v>
      </c>
      <c r="AA555" s="84">
        <f>VLOOKUP($D555,NatureChart,6,0)</f>
        <v>0.9</v>
      </c>
      <c r="AB555" s="84">
        <f>IF($C555="Shedinja",1,(INT((2*VLOOKUP($C555,DexData,5,0)+INT(Q555/4)+K555)/2)+60))</f>
        <v>152</v>
      </c>
      <c r="AC555" s="84">
        <f>INT(INT((INT((2*VLOOKUP($C555,DexData,6,0)+INT(R555/4)+L555)/2)+5)*W555)*IF($E555="Choice Band",1.5,IF(OR($E555="Mawilite",$E555="Medichamite",$E555="Thick Club"),2,1)))</f>
        <v>105</v>
      </c>
      <c r="AD555" s="84">
        <f>INT(INT((INT((2*VLOOKUP($C555,DexData,7,0)+INT(S555/4)+M555)/2)+5)*X555)*IF($E555="Eviolite",1.5,1))</f>
        <v>156</v>
      </c>
      <c r="AE555" s="84">
        <f>INT(INT((INT((2*VLOOKUP($C555,DexData,9,0)+INT(T555/4)+N555)/2)+5)*Y555)*IF($E555="Choice Specs",1.5,1))</f>
        <v>70</v>
      </c>
      <c r="AF555" s="84">
        <f>INT(INT((INT((2*VLOOKUP($C555,DexData,10,0)+INT(U555/4)+O555)/2)+5)*Z555)*IF(OR($E555="Eviolite",$E555="Assault Vest"),1.5,1))</f>
        <v>205</v>
      </c>
      <c r="AG555" s="84">
        <f>INT(INT((INT((2*VLOOKUP($C555,DexData,11,0)+INT(V555/4)+P555)/2)+5)*AA555)*IF($E555="Choice Scarf",1.5,IF($E555="Iron Ball",0.5,1)))</f>
        <v>58</v>
      </c>
      <c r="AH555" s="84" t="str">
        <f>VLOOKUP(VLOOKUP($C555,DexData,3,0),Aliases!D$2:E$19,2,0)&amp;IFERROR("/"&amp;VLOOKUP(VLOOKUP($C555,DexData,4,0),Aliases!D$2:E$19,2,0),"")</f>
        <v>GHO</v>
      </c>
      <c r="AI555" s="7">
        <v>3.0</v>
      </c>
      <c r="AJ555" s="7">
        <f>IF(VLOOKUP(B555,'Set Odds'!A$2:AN$1067,40,0),1,IF(VLOOKUP(B555,'Set Odds'!A$2:AO$1067,41,0),2,0))</f>
        <v>1</v>
      </c>
      <c r="AK555" s="7"/>
      <c r="AL555" s="7" t="str">
        <f t="shared" si="1"/>
        <v/>
      </c>
    </row>
    <row r="556" ht="12.75" customHeight="1">
      <c r="A556" s="86">
        <v>555.0</v>
      </c>
      <c r="B556" s="84" t="s">
        <v>4095</v>
      </c>
      <c r="C556" s="7" t="s">
        <v>3888</v>
      </c>
      <c r="D556" s="7" t="s">
        <v>2571</v>
      </c>
      <c r="E556" s="7" t="s">
        <v>2618</v>
      </c>
      <c r="F556" s="84" t="s">
        <v>3441</v>
      </c>
      <c r="G556" s="84" t="s">
        <v>2874</v>
      </c>
      <c r="H556" s="84" t="s">
        <v>3057</v>
      </c>
      <c r="I556" s="84" t="s">
        <v>3454</v>
      </c>
      <c r="J556" s="7" t="s">
        <v>2728</v>
      </c>
      <c r="K556" s="7">
        <v>31.0</v>
      </c>
      <c r="L556" s="7">
        <v>31.0</v>
      </c>
      <c r="M556" s="7">
        <v>31.0</v>
      </c>
      <c r="N556" s="7">
        <v>0.0</v>
      </c>
      <c r="O556" s="7">
        <v>31.0</v>
      </c>
      <c r="P556" s="7">
        <v>31.0</v>
      </c>
      <c r="Q556" s="7">
        <v>252.0</v>
      </c>
      <c r="R556" s="7">
        <v>252.0</v>
      </c>
      <c r="S556" s="7">
        <v>4.0</v>
      </c>
      <c r="T556" s="7">
        <v>0.0</v>
      </c>
      <c r="U556" s="7">
        <v>0.0</v>
      </c>
      <c r="V556" s="7">
        <v>0.0</v>
      </c>
      <c r="W556" s="7">
        <f>VLOOKUP($D556,NatureChart,2,0)</f>
        <v>1.1</v>
      </c>
      <c r="X556" s="7">
        <f>VLOOKUP($D556,NatureChart,3,0)</f>
        <v>1</v>
      </c>
      <c r="Y556" s="7">
        <f>VLOOKUP($D556,NatureChart,4,0)</f>
        <v>0.9</v>
      </c>
      <c r="Z556" s="7">
        <f>VLOOKUP($D556,NatureChart,5,0)</f>
        <v>1</v>
      </c>
      <c r="AA556" s="84">
        <f>VLOOKUP($D556,NatureChart,6,0)</f>
        <v>1</v>
      </c>
      <c r="AB556" s="84">
        <f>IF($C556="Shedinja",1,(INT((2*VLOOKUP($C556,DexData,5,0)+INT(Q556/4)+K556)/2)+60))</f>
        <v>177</v>
      </c>
      <c r="AC556" s="84">
        <f>INT(INT((INT((2*VLOOKUP($C556,DexData,6,0)+INT(R556/4)+L556)/2)+5)*W556)*IF($E556="Choice Band",1.5,IF(OR($E556="Mawilite",$E556="Medichamite",$E556="Thick Club"),2,1)))</f>
        <v>178</v>
      </c>
      <c r="AD556" s="84">
        <f>INT(INT((INT((2*VLOOKUP($C556,DexData,7,0)+INT(S556/4)+M556)/2)+5)*X556)*IF($E556="Eviolite",1.5,1))</f>
        <v>201</v>
      </c>
      <c r="AE556" s="84">
        <f>INT(INT((INT((2*VLOOKUP($C556,DexData,9,0)+INT(T556/4)+N556)/2)+5)*Y556)*IF($E556="Choice Specs",1.5,1))</f>
        <v>58</v>
      </c>
      <c r="AF556" s="84">
        <f>INT(INT((INT((2*VLOOKUP($C556,DexData,10,0)+INT(U556/4)+O556)/2)+5)*Z556)*IF(OR($E556="Eviolite",$E556="Assault Vest"),1.5,1))</f>
        <v>80</v>
      </c>
      <c r="AG556" s="84">
        <f>INT(INT((INT((2*VLOOKUP($C556,DexData,11,0)+INT(V556/4)+P556)/2)+5)*AA556)*IF($E556="Choice Scarf",1.5,IF($E556="Iron Ball",0.5,1)))</f>
        <v>70</v>
      </c>
      <c r="AH556" s="84" t="str">
        <f>VLOOKUP(VLOOKUP($C556,DexData,3,0),Aliases!D$2:E$19,2,0)&amp;IFERROR("/"&amp;VLOOKUP(VLOOKUP($C556,DexData,4,0),Aliases!D$2:E$19,2,0),"")</f>
        <v>STL/RCK</v>
      </c>
      <c r="AI556" s="7">
        <v>3.0</v>
      </c>
      <c r="AJ556" s="7">
        <f>IF(VLOOKUP(B556,'Set Odds'!A$2:AN$1067,40,0),1,IF(VLOOKUP(B556,'Set Odds'!A$2:AO$1067,41,0),2,0))</f>
        <v>1</v>
      </c>
      <c r="AK556" s="7"/>
      <c r="AL556" s="7" t="str">
        <f t="shared" si="1"/>
        <v/>
      </c>
    </row>
    <row r="557" ht="12.75" customHeight="1">
      <c r="A557" s="86">
        <v>556.0</v>
      </c>
      <c r="B557" s="84" t="s">
        <v>4096</v>
      </c>
      <c r="C557" s="7" t="s">
        <v>3891</v>
      </c>
      <c r="D557" s="7" t="s">
        <v>2862</v>
      </c>
      <c r="E557" s="7" t="s">
        <v>2524</v>
      </c>
      <c r="F557" s="84" t="s">
        <v>2526</v>
      </c>
      <c r="G557" s="84" t="s">
        <v>2514</v>
      </c>
      <c r="H557" s="84" t="s">
        <v>3510</v>
      </c>
      <c r="I557" s="84" t="s">
        <v>2841</v>
      </c>
      <c r="J557" s="7" t="s">
        <v>2968</v>
      </c>
      <c r="K557" s="7">
        <v>31.0</v>
      </c>
      <c r="L557" s="7">
        <v>0.0</v>
      </c>
      <c r="M557" s="7">
        <v>31.0</v>
      </c>
      <c r="N557" s="7">
        <v>31.0</v>
      </c>
      <c r="O557" s="7">
        <v>31.0</v>
      </c>
      <c r="P557" s="7">
        <v>31.0</v>
      </c>
      <c r="Q557" s="7">
        <v>252.0</v>
      </c>
      <c r="R557" s="7">
        <v>0.0</v>
      </c>
      <c r="S557" s="7">
        <v>252.0</v>
      </c>
      <c r="T557" s="7">
        <v>0.0</v>
      </c>
      <c r="U557" s="7">
        <v>4.0</v>
      </c>
      <c r="V557" s="7">
        <v>0.0</v>
      </c>
      <c r="W557" s="7">
        <f>VLOOKUP($D557,NatureChart,2,0)</f>
        <v>0.9</v>
      </c>
      <c r="X557" s="7">
        <f>VLOOKUP($D557,NatureChart,3,0)</f>
        <v>1.1</v>
      </c>
      <c r="Y557" s="7">
        <f>VLOOKUP($D557,NatureChart,4,0)</f>
        <v>1</v>
      </c>
      <c r="Z557" s="7">
        <f>VLOOKUP($D557,NatureChart,5,0)</f>
        <v>1</v>
      </c>
      <c r="AA557" s="84">
        <f>VLOOKUP($D557,NatureChart,6,0)</f>
        <v>1</v>
      </c>
      <c r="AB557" s="84">
        <f>IF($C557="Shedinja",1,(INT((2*VLOOKUP($C557,DexData,5,0)+INT(Q557/4)+K557)/2)+60))</f>
        <v>217</v>
      </c>
      <c r="AC557" s="84">
        <f>INT(INT((INT((2*VLOOKUP($C557,DexData,6,0)+INT(R557/4)+L557)/2)+5)*W557)*IF($E557="Choice Band",1.5,IF(OR($E557="Mawilite",$E557="Medichamite",$E557="Thick Club"),2,1)))</f>
        <v>76</v>
      </c>
      <c r="AD557" s="84">
        <f>INT(INT((INT((2*VLOOKUP($C557,DexData,7,0)+INT(S557/4)+M557)/2)+5)*X557)*IF($E557="Eviolite",1.5,1))</f>
        <v>156</v>
      </c>
      <c r="AE557" s="84">
        <f>INT(INT((INT((2*VLOOKUP($C557,DexData,9,0)+INT(T557/4)+N557)/2)+5)*Y557)*IF($E557="Choice Specs",1.5,1))</f>
        <v>115</v>
      </c>
      <c r="AF557" s="84">
        <f>INT(INT((INT((2*VLOOKUP($C557,DexData,10,0)+INT(U557/4)+O557)/2)+5)*Z557)*IF(OR($E557="Eviolite",$E557="Assault Vest"),1.5,1))</f>
        <v>111</v>
      </c>
      <c r="AG557" s="84">
        <f>INT(INT((INT((2*VLOOKUP($C557,DexData,11,0)+INT(V557/4)+P557)/2)+5)*AA557)*IF($E557="Choice Scarf",1.5,IF($E557="Iron Ball",0.5,1)))</f>
        <v>85</v>
      </c>
      <c r="AH557" s="84" t="str">
        <f>VLOOKUP(VLOOKUP($C557,DexData,3,0),Aliases!D$2:E$19,2,0)&amp;IFERROR("/"&amp;VLOOKUP(VLOOKUP($C557,DexData,4,0),Aliases!D$2:E$19,2,0),"")</f>
        <v>ICE/WTR</v>
      </c>
      <c r="AI557" s="7">
        <v>3.0</v>
      </c>
      <c r="AJ557" s="7">
        <f>IF(VLOOKUP(B557,'Set Odds'!A$2:AN$1067,40,0),1,IF(VLOOKUP(B557,'Set Odds'!A$2:AO$1067,41,0),2,0))</f>
        <v>1</v>
      </c>
      <c r="AK557" s="7"/>
      <c r="AL557" s="7" t="str">
        <f t="shared" si="1"/>
        <v/>
      </c>
    </row>
    <row r="558" ht="12.75" customHeight="1">
      <c r="A558" s="86">
        <v>557.0</v>
      </c>
      <c r="B558" s="84" t="s">
        <v>4097</v>
      </c>
      <c r="C558" s="7" t="s">
        <v>3893</v>
      </c>
      <c r="D558" s="7" t="s">
        <v>2723</v>
      </c>
      <c r="E558" s="7" t="s">
        <v>2685</v>
      </c>
      <c r="F558" s="84" t="s">
        <v>2514</v>
      </c>
      <c r="G558" s="84" t="s">
        <v>2532</v>
      </c>
      <c r="H558" s="84" t="s">
        <v>2874</v>
      </c>
      <c r="I558" s="84" t="s">
        <v>3454</v>
      </c>
      <c r="J558" s="7" t="s">
        <v>2968</v>
      </c>
      <c r="K558" s="7">
        <v>31.0</v>
      </c>
      <c r="L558" s="7">
        <v>31.0</v>
      </c>
      <c r="M558" s="7">
        <v>31.0</v>
      </c>
      <c r="N558" s="7">
        <v>0.0</v>
      </c>
      <c r="O558" s="7">
        <v>31.0</v>
      </c>
      <c r="P558" s="7">
        <v>31.0</v>
      </c>
      <c r="Q558" s="7">
        <v>252.0</v>
      </c>
      <c r="R558" s="7">
        <v>4.0</v>
      </c>
      <c r="S558" s="7">
        <v>0.0</v>
      </c>
      <c r="T558" s="7">
        <v>0.0</v>
      </c>
      <c r="U558" s="7">
        <v>252.0</v>
      </c>
      <c r="V558" s="7">
        <v>0.0</v>
      </c>
      <c r="W558" s="7">
        <f>VLOOKUP($D558,NatureChart,2,0)</f>
        <v>1</v>
      </c>
      <c r="X558" s="7">
        <f>VLOOKUP($D558,NatureChart,3,0)</f>
        <v>1</v>
      </c>
      <c r="Y558" s="7">
        <f>VLOOKUP($D558,NatureChart,4,0)</f>
        <v>0.9</v>
      </c>
      <c r="Z558" s="7">
        <f>VLOOKUP($D558,NatureChart,5,0)</f>
        <v>1.1</v>
      </c>
      <c r="AA558" s="84">
        <f>VLOOKUP($D558,NatureChart,6,0)</f>
        <v>1</v>
      </c>
      <c r="AB558" s="84">
        <f>IF($C558="Shedinja",1,(INT((2*VLOOKUP($C558,DexData,5,0)+INT(Q558/4)+K558)/2)+60))</f>
        <v>217</v>
      </c>
      <c r="AC558" s="84">
        <f>INT(INT((INT((2*VLOOKUP($C558,DexData,6,0)+INT(R558/4)+L558)/2)+5)*W558)*IF($E558="Choice Band",1.5,IF(OR($E558="Mawilite",$E558="Medichamite",$E558="Thick Club"),2,1)))</f>
        <v>151</v>
      </c>
      <c r="AD558" s="84">
        <f>INT(INT((INT((2*VLOOKUP($C558,DexData,7,0)+INT(S558/4)+M558)/2)+5)*X558)*IF($E558="Eviolite",1.5,1))</f>
        <v>100</v>
      </c>
      <c r="AE558" s="84">
        <f>INT(INT((INT((2*VLOOKUP($C558,DexData,9,0)+INT(T558/4)+N558)/2)+5)*Y558)*IF($E558="Choice Specs",1.5,1))</f>
        <v>67</v>
      </c>
      <c r="AF558" s="84">
        <f>INT(INT((INT((2*VLOOKUP($C558,DexData,10,0)+INT(U558/4)+O558)/2)+5)*Z558)*IF(OR($E558="Eviolite",$E558="Assault Vest"),1.5,1))</f>
        <v>123</v>
      </c>
      <c r="AG558" s="84">
        <f>INT(INT((INT((2*VLOOKUP($C558,DexData,11,0)+INT(V558/4)+P558)/2)+5)*AA558)*IF($E558="Choice Scarf",1.5,IF($E558="Iron Ball",0.5,1)))</f>
        <v>100</v>
      </c>
      <c r="AH558" s="84" t="str">
        <f>VLOOKUP(VLOOKUP($C558,DexData,3,0),Aliases!D$2:E$19,2,0)&amp;IFERROR("/"&amp;VLOOKUP(VLOOKUP($C558,DexData,4,0),Aliases!D$2:E$19,2,0),"")</f>
        <v>ICE/GRD</v>
      </c>
      <c r="AI558" s="7">
        <v>3.0</v>
      </c>
      <c r="AJ558" s="7">
        <f>IF(VLOOKUP(B558,'Set Odds'!A$2:AN$1067,40,0),1,IF(VLOOKUP(B558,'Set Odds'!A$2:AO$1067,41,0),2,0))</f>
        <v>1</v>
      </c>
      <c r="AK558" s="7"/>
      <c r="AL558" s="7" t="str">
        <f t="shared" si="1"/>
        <v/>
      </c>
    </row>
    <row r="559" ht="12.75" customHeight="1">
      <c r="A559" s="86">
        <v>558.0</v>
      </c>
      <c r="B559" s="84" t="s">
        <v>4098</v>
      </c>
      <c r="C559" s="7" t="s">
        <v>3896</v>
      </c>
      <c r="D559" s="7" t="s">
        <v>3597</v>
      </c>
      <c r="E559" s="7" t="s">
        <v>2636</v>
      </c>
      <c r="F559" s="84" t="s">
        <v>2526</v>
      </c>
      <c r="G559" s="84" t="s">
        <v>3510</v>
      </c>
      <c r="H559" s="84" t="s">
        <v>2841</v>
      </c>
      <c r="I559" s="84" t="s">
        <v>2532</v>
      </c>
      <c r="J559" s="7" t="s">
        <v>3088</v>
      </c>
      <c r="K559" s="7">
        <v>31.0</v>
      </c>
      <c r="L559" s="7">
        <v>0.0</v>
      </c>
      <c r="M559" s="7">
        <v>31.0</v>
      </c>
      <c r="N559" s="7">
        <v>31.0</v>
      </c>
      <c r="O559" s="7">
        <v>31.0</v>
      </c>
      <c r="P559" s="7">
        <v>31.0</v>
      </c>
      <c r="Q559" s="7">
        <v>252.0</v>
      </c>
      <c r="R559" s="7">
        <v>0.0</v>
      </c>
      <c r="S559" s="7">
        <v>4.0</v>
      </c>
      <c r="T559" s="7">
        <v>0.0</v>
      </c>
      <c r="U559" s="7">
        <v>252.0</v>
      </c>
      <c r="V559" s="7">
        <v>0.0</v>
      </c>
      <c r="W559" s="7">
        <f>VLOOKUP($D559,NatureChart,2,0)</f>
        <v>0.9</v>
      </c>
      <c r="X559" s="7">
        <f>VLOOKUP($D559,NatureChart,3,0)</f>
        <v>1</v>
      </c>
      <c r="Y559" s="7">
        <f>VLOOKUP($D559,NatureChart,4,0)</f>
        <v>1</v>
      </c>
      <c r="Z559" s="7">
        <f>VLOOKUP($D559,NatureChart,5,0)</f>
        <v>1.1</v>
      </c>
      <c r="AA559" s="84">
        <f>VLOOKUP($D559,NatureChart,6,0)</f>
        <v>1</v>
      </c>
      <c r="AB559" s="84">
        <f>IF($C559="Shedinja",1,(INT((2*VLOOKUP($C559,DexData,5,0)+INT(Q559/4)+K559)/2)+60))</f>
        <v>237</v>
      </c>
      <c r="AC559" s="84">
        <f>INT(INT((INT((2*VLOOKUP($C559,DexData,6,0)+INT(R559/4)+L559)/2)+5)*W559)*IF($E559="Choice Band",1.5,IF(OR($E559="Mawilite",$E559="Medichamite",$E559="Thick Club"),2,1)))</f>
        <v>81</v>
      </c>
      <c r="AD559" s="84">
        <f>INT(INT((INT((2*VLOOKUP($C559,DexData,7,0)+INT(S559/4)+M559)/2)+5)*X559)*IF($E559="Eviolite",1.5,1))</f>
        <v>101</v>
      </c>
      <c r="AE559" s="84">
        <f>INT(INT((INT((2*VLOOKUP($C559,DexData,9,0)+INT(T559/4)+N559)/2)+5)*Y559)*IF($E559="Choice Specs",1.5,1))</f>
        <v>105</v>
      </c>
      <c r="AF559" s="84">
        <f>INT(INT((INT((2*VLOOKUP($C559,DexData,10,0)+INT(U559/4)+O559)/2)+5)*Z559)*IF(OR($E559="Eviolite",$E559="Assault Vest"),1.5,1))</f>
        <v>161</v>
      </c>
      <c r="AG559" s="84">
        <f>INT(INT((INT((2*VLOOKUP($C559,DexData,11,0)+INT(V559/4)+P559)/2)+5)*AA559)*IF($E559="Choice Scarf",1.5,IF($E559="Iron Ball",0.5,1)))</f>
        <v>80</v>
      </c>
      <c r="AH559" s="84" t="str">
        <f>VLOOKUP(VLOOKUP($C559,DexData,3,0),Aliases!D$2:E$19,2,0)&amp;IFERROR("/"&amp;VLOOKUP(VLOOKUP($C559,DexData,4,0),Aliases!D$2:E$19,2,0),"")</f>
        <v>WTR/ICE</v>
      </c>
      <c r="AI559" s="7">
        <v>3.0</v>
      </c>
      <c r="AJ559" s="7">
        <f>IF(VLOOKUP(B559,'Set Odds'!A$2:AN$1067,40,0),1,IF(VLOOKUP(B559,'Set Odds'!A$2:AO$1067,41,0),2,0))</f>
        <v>1</v>
      </c>
      <c r="AK559" s="7"/>
      <c r="AL559" s="7" t="str">
        <f t="shared" si="1"/>
        <v/>
      </c>
    </row>
    <row r="560" ht="12.75" customHeight="1">
      <c r="A560" s="86">
        <v>559.0</v>
      </c>
      <c r="B560" s="84" t="s">
        <v>4099</v>
      </c>
      <c r="C560" s="7" t="s">
        <v>3898</v>
      </c>
      <c r="D560" s="7" t="s">
        <v>2692</v>
      </c>
      <c r="E560" s="7" t="s">
        <v>2675</v>
      </c>
      <c r="F560" s="84" t="s">
        <v>3510</v>
      </c>
      <c r="G560" s="84" t="s">
        <v>3809</v>
      </c>
      <c r="H560" s="84" t="s">
        <v>3538</v>
      </c>
      <c r="I560" s="84" t="s">
        <v>3314</v>
      </c>
      <c r="J560" s="7" t="s">
        <v>3233</v>
      </c>
      <c r="K560" s="7">
        <v>31.0</v>
      </c>
      <c r="L560" s="7">
        <v>31.0</v>
      </c>
      <c r="M560" s="7">
        <v>31.0</v>
      </c>
      <c r="N560" s="7">
        <v>0.0</v>
      </c>
      <c r="O560" s="7">
        <v>31.0</v>
      </c>
      <c r="P560" s="7">
        <v>31.0</v>
      </c>
      <c r="Q560" s="7">
        <v>4.0</v>
      </c>
      <c r="R560" s="7">
        <v>252.0</v>
      </c>
      <c r="S560" s="7">
        <v>0.0</v>
      </c>
      <c r="T560" s="7">
        <v>0.0</v>
      </c>
      <c r="U560" s="7">
        <v>0.0</v>
      </c>
      <c r="V560" s="7">
        <v>252.0</v>
      </c>
      <c r="W560" s="7">
        <f>VLOOKUP($D560,NatureChart,2,0)</f>
        <v>1</v>
      </c>
      <c r="X560" s="7">
        <f>VLOOKUP($D560,NatureChart,3,0)</f>
        <v>1</v>
      </c>
      <c r="Y560" s="7">
        <f>VLOOKUP($D560,NatureChart,4,0)</f>
        <v>0.9</v>
      </c>
      <c r="Z560" s="7">
        <f>VLOOKUP($D560,NatureChart,5,0)</f>
        <v>1</v>
      </c>
      <c r="AA560" s="84">
        <f>VLOOKUP($D560,NatureChart,6,0)</f>
        <v>1.1</v>
      </c>
      <c r="AB560" s="84">
        <f>IF($C560="Shedinja",1,(INT((2*VLOOKUP($C560,DexData,5,0)+INT(Q560/4)+K560)/2)+60))</f>
        <v>161</v>
      </c>
      <c r="AC560" s="84">
        <f>INT(INT((INT((2*VLOOKUP($C560,DexData,6,0)+INT(R560/4)+L560)/2)+5)*W560)*IF($E560="Choice Band",1.5,IF(OR($E560="Mawilite",$E560="Medichamite",$E560="Thick Club"),2,1)))</f>
        <v>142</v>
      </c>
      <c r="AD560" s="84">
        <f>INT(INT((INT((2*VLOOKUP($C560,DexData,7,0)+INT(S560/4)+M560)/2)+5)*X560)*IF($E560="Eviolite",1.5,1))</f>
        <v>100</v>
      </c>
      <c r="AE560" s="84">
        <f>INT(INT((INT((2*VLOOKUP($C560,DexData,9,0)+INT(T560/4)+N560)/2)+5)*Y560)*IF($E560="Choice Specs",1.5,1))</f>
        <v>67</v>
      </c>
      <c r="AF560" s="84">
        <f>INT(INT((INT((2*VLOOKUP($C560,DexData,10,0)+INT(U560/4)+O560)/2)+5)*Z560)*IF(OR($E560="Eviolite",$E560="Assault Vest"),1.5,1))</f>
        <v>100</v>
      </c>
      <c r="AG560" s="84">
        <f>INT(INT((INT((2*VLOOKUP($C560,DexData,11,0)+INT(V560/4)+P560)/2)+5)*AA560)*IF($E560="Choice Scarf",1.5,IF($E560="Iron Ball",0.5,1)))</f>
        <v>200</v>
      </c>
      <c r="AH560" s="84" t="str">
        <f>VLOOKUP(VLOOKUP($C560,DexData,3,0),Aliases!D$2:E$19,2,0)&amp;IFERROR("/"&amp;VLOOKUP(VLOOKUP($C560,DexData,4,0),Aliases!D$2:E$19,2,0),"")</f>
        <v>PSN/FLY</v>
      </c>
      <c r="AI560" s="7">
        <v>3.0</v>
      </c>
      <c r="AJ560" s="7">
        <f>IF(VLOOKUP(B560,'Set Odds'!A$2:AN$1067,40,0),1,IF(VLOOKUP(B560,'Set Odds'!A$2:AO$1067,41,0),2,0))</f>
        <v>1</v>
      </c>
      <c r="AK560" s="7"/>
      <c r="AL560" s="7" t="str">
        <f t="shared" si="1"/>
        <v/>
      </c>
    </row>
    <row r="561" ht="12.75" customHeight="1">
      <c r="A561" s="86">
        <v>560.0</v>
      </c>
      <c r="B561" s="84" t="s">
        <v>4100</v>
      </c>
      <c r="C561" s="7" t="s">
        <v>3900</v>
      </c>
      <c r="D561" s="7" t="s">
        <v>2656</v>
      </c>
      <c r="E561" s="7" t="s">
        <v>2524</v>
      </c>
      <c r="F561" s="84" t="s">
        <v>4053</v>
      </c>
      <c r="G561" s="84" t="s">
        <v>3435</v>
      </c>
      <c r="H561" s="84" t="s">
        <v>3523</v>
      </c>
      <c r="I561" s="84" t="s">
        <v>3524</v>
      </c>
      <c r="J561" s="7" t="s">
        <v>2728</v>
      </c>
      <c r="K561" s="7">
        <v>31.0</v>
      </c>
      <c r="L561" s="7">
        <v>0.0</v>
      </c>
      <c r="M561" s="7">
        <v>31.0</v>
      </c>
      <c r="N561" s="7">
        <v>31.0</v>
      </c>
      <c r="O561" s="7">
        <v>31.0</v>
      </c>
      <c r="P561" s="7">
        <v>31.0</v>
      </c>
      <c r="Q561" s="7">
        <v>252.0</v>
      </c>
      <c r="R561" s="7">
        <v>0.0</v>
      </c>
      <c r="S561" s="7">
        <v>252.0</v>
      </c>
      <c r="T561" s="7">
        <v>4.0</v>
      </c>
      <c r="U561" s="7">
        <v>0.0</v>
      </c>
      <c r="V561" s="7">
        <v>0.0</v>
      </c>
      <c r="W561" s="7">
        <f>VLOOKUP($D561,NatureChart,2,0)</f>
        <v>0.9</v>
      </c>
      <c r="X561" s="7">
        <f>VLOOKUP($D561,NatureChart,3,0)</f>
        <v>1</v>
      </c>
      <c r="Y561" s="7">
        <f>VLOOKUP($D561,NatureChart,4,0)</f>
        <v>1.1</v>
      </c>
      <c r="Z561" s="7">
        <f>VLOOKUP($D561,NatureChart,5,0)</f>
        <v>1</v>
      </c>
      <c r="AA561" s="84">
        <f>VLOOKUP($D561,NatureChart,6,0)</f>
        <v>1</v>
      </c>
      <c r="AB561" s="84">
        <f>IF($C561="Shedinja",1,(INT((2*VLOOKUP($C561,DexData,5,0)+INT(Q561/4)+K561)/2)+60))</f>
        <v>177</v>
      </c>
      <c r="AC561" s="84">
        <f>INT(INT((INT((2*VLOOKUP($C561,DexData,6,0)+INT(R561/4)+L561)/2)+5)*W561)*IF($E561="Choice Band",1.5,IF(OR($E561="Mawilite",$E561="Medichamite",$E561="Thick Club"),2,1)))</f>
        <v>67</v>
      </c>
      <c r="AD561" s="84">
        <f>INT(INT((INT((2*VLOOKUP($C561,DexData,7,0)+INT(S561/4)+M561)/2)+5)*X561)*IF($E561="Eviolite",1.5,1))</f>
        <v>167</v>
      </c>
      <c r="AE561" s="84">
        <f>INT(INT((INT((2*VLOOKUP($C561,DexData,9,0)+INT(T561/4)+N561)/2)+5)*Y561)*IF($E561="Choice Specs",1.5,1))</f>
        <v>166</v>
      </c>
      <c r="AF561" s="84">
        <f>INT(INT((INT((2*VLOOKUP($C561,DexData,10,0)+INT(U561/4)+O561)/2)+5)*Z561)*IF(OR($E561="Eviolite",$E561="Assault Vest"),1.5,1))</f>
        <v>110</v>
      </c>
      <c r="AG561" s="84">
        <f>INT(INT((INT((2*VLOOKUP($C561,DexData,11,0)+INT(V561/4)+P561)/2)+5)*AA561)*IF($E561="Choice Scarf",1.5,IF($E561="Iron Ball",0.5,1)))</f>
        <v>80</v>
      </c>
      <c r="AH561" s="84" t="str">
        <f>VLOOKUP(VLOOKUP($C561,DexData,3,0),Aliases!D$2:E$19,2,0)&amp;IFERROR("/"&amp;VLOOKUP(VLOOKUP($C561,DexData,4,0),Aliases!D$2:E$19,2,0),"")</f>
        <v>ELC/STL</v>
      </c>
      <c r="AI561" s="7">
        <v>3.0</v>
      </c>
      <c r="AJ561" s="7">
        <f>IF(VLOOKUP(B561,'Set Odds'!A$2:AN$1067,40,0),1,IF(VLOOKUP(B561,'Set Odds'!A$2:AO$1067,41,0),2,0))</f>
        <v>1</v>
      </c>
      <c r="AK561" s="7"/>
      <c r="AL561" s="7" t="str">
        <f t="shared" si="1"/>
        <v/>
      </c>
    </row>
    <row r="562" ht="12.75" customHeight="1">
      <c r="A562" s="86">
        <v>561.0</v>
      </c>
      <c r="B562" s="84" t="s">
        <v>4101</v>
      </c>
      <c r="C562" s="7" t="s">
        <v>3432</v>
      </c>
      <c r="D562" s="7" t="s">
        <v>2648</v>
      </c>
      <c r="E562" s="7" t="s">
        <v>4102</v>
      </c>
      <c r="F562" s="84" t="s">
        <v>3441</v>
      </c>
      <c r="G562" s="84" t="s">
        <v>3787</v>
      </c>
      <c r="H562" s="84" t="s">
        <v>3440</v>
      </c>
      <c r="I562" s="84" t="s">
        <v>2874</v>
      </c>
      <c r="J562" s="7" t="s">
        <v>3436</v>
      </c>
      <c r="K562" s="7">
        <v>31.0</v>
      </c>
      <c r="L562" s="7">
        <v>31.0</v>
      </c>
      <c r="M562" s="7">
        <v>31.0</v>
      </c>
      <c r="N562" s="7">
        <v>0.0</v>
      </c>
      <c r="O562" s="7">
        <v>31.0</v>
      </c>
      <c r="P562" s="7">
        <v>31.0</v>
      </c>
      <c r="Q562" s="7">
        <v>252.0</v>
      </c>
      <c r="R562" s="7">
        <v>4.0</v>
      </c>
      <c r="S562" s="7">
        <v>252.0</v>
      </c>
      <c r="T562" s="7">
        <v>0.0</v>
      </c>
      <c r="U562" s="7">
        <v>0.0</v>
      </c>
      <c r="V562" s="7">
        <v>0.0</v>
      </c>
      <c r="W562" s="7">
        <f>VLOOKUP($D562,NatureChart,2,0)</f>
        <v>1</v>
      </c>
      <c r="X562" s="7">
        <f>VLOOKUP($D562,NatureChart,3,0)</f>
        <v>1.1</v>
      </c>
      <c r="Y562" s="7">
        <f>VLOOKUP($D562,NatureChart,4,0)</f>
        <v>0.9</v>
      </c>
      <c r="Z562" s="7">
        <f>VLOOKUP($D562,NatureChart,5,0)</f>
        <v>1</v>
      </c>
      <c r="AA562" s="84">
        <f>VLOOKUP($D562,NatureChart,6,0)</f>
        <v>1</v>
      </c>
      <c r="AB562" s="84">
        <f>IF($C562="Shedinja",1,(INT((2*VLOOKUP($C562,DexData,5,0)+INT(Q562/4)+K562)/2)+60))</f>
        <v>222</v>
      </c>
      <c r="AC562" s="84">
        <f>INT(INT((INT((2*VLOOKUP($C562,DexData,6,0)+INT(R562/4)+L562)/2)+5)*W562)*IF($E562="Choice Band",1.5,IF(OR($E562="Mawilite",$E562="Medichamite",$E562="Thick Club"),2,1)))</f>
        <v>161</v>
      </c>
      <c r="AD562" s="84">
        <f>INT(INT((INT((2*VLOOKUP($C562,DexData,7,0)+INT(S562/4)+M562)/2)+5)*X562)*IF($E562="Eviolite",1.5,1))</f>
        <v>200</v>
      </c>
      <c r="AE562" s="84">
        <f>INT(INT((INT((2*VLOOKUP($C562,DexData,9,0)+INT(T562/4)+N562)/2)+5)*Y562)*IF($E562="Choice Specs",1.5,1))</f>
        <v>54</v>
      </c>
      <c r="AF562" s="84">
        <f>INT(INT((INT((2*VLOOKUP($C562,DexData,10,0)+INT(U562/4)+O562)/2)+5)*Z562)*IF(OR($E562="Eviolite",$E562="Assault Vest"),1.5,1))</f>
        <v>75</v>
      </c>
      <c r="AG562" s="84">
        <f>INT(INT((INT((2*VLOOKUP($C562,DexData,11,0)+INT(V562/4)+P562)/2)+5)*AA562)*IF($E562="Choice Scarf",1.5,IF($E562="Iron Ball",0.5,1)))</f>
        <v>60</v>
      </c>
      <c r="AH562" s="84" t="str">
        <f>VLOOKUP(VLOOKUP($C562,DexData,3,0),Aliases!D$2:E$19,2,0)&amp;IFERROR("/"&amp;VLOOKUP(VLOOKUP($C562,DexData,4,0),Aliases!D$2:E$19,2,0),"")</f>
        <v>GRD/RCK</v>
      </c>
      <c r="AI562" s="7">
        <v>3.0</v>
      </c>
      <c r="AJ562" s="7">
        <f>IF(VLOOKUP(B562,'Set Odds'!A$2:AN$1067,40,0),1,IF(VLOOKUP(B562,'Set Odds'!A$2:AO$1067,41,0),2,0))</f>
        <v>1</v>
      </c>
      <c r="AK562" s="7"/>
      <c r="AL562" s="7" t="str">
        <f t="shared" si="1"/>
        <v/>
      </c>
    </row>
    <row r="563" ht="12.75" customHeight="1">
      <c r="A563" s="86">
        <v>562.0</v>
      </c>
      <c r="B563" s="84" t="s">
        <v>4103</v>
      </c>
      <c r="C563" s="7" t="s">
        <v>3903</v>
      </c>
      <c r="D563" s="7" t="s">
        <v>2648</v>
      </c>
      <c r="E563" s="7" t="s">
        <v>2685</v>
      </c>
      <c r="F563" s="84" t="s">
        <v>2734</v>
      </c>
      <c r="G563" s="84" t="s">
        <v>2751</v>
      </c>
      <c r="H563" s="84" t="s">
        <v>2575</v>
      </c>
      <c r="I563" s="84" t="s">
        <v>2807</v>
      </c>
      <c r="J563" s="7" t="s">
        <v>3404</v>
      </c>
      <c r="K563" s="7">
        <v>31.0</v>
      </c>
      <c r="L563" s="7">
        <v>31.0</v>
      </c>
      <c r="M563" s="7">
        <v>31.0</v>
      </c>
      <c r="N563" s="7">
        <v>31.0</v>
      </c>
      <c r="O563" s="7">
        <v>31.0</v>
      </c>
      <c r="P563" s="7">
        <v>31.0</v>
      </c>
      <c r="Q563" s="7">
        <v>252.0</v>
      </c>
      <c r="R563" s="7">
        <v>4.0</v>
      </c>
      <c r="S563" s="7">
        <v>252.0</v>
      </c>
      <c r="T563" s="7">
        <v>0.0</v>
      </c>
      <c r="U563" s="7">
        <v>0.0</v>
      </c>
      <c r="V563" s="7">
        <v>0.0</v>
      </c>
      <c r="W563" s="7">
        <f>VLOOKUP($D563,NatureChart,2,0)</f>
        <v>1</v>
      </c>
      <c r="X563" s="7">
        <f>VLOOKUP($D563,NatureChart,3,0)</f>
        <v>1.1</v>
      </c>
      <c r="Y563" s="7">
        <f>VLOOKUP($D563,NatureChart,4,0)</f>
        <v>0.9</v>
      </c>
      <c r="Z563" s="7">
        <f>VLOOKUP($D563,NatureChart,5,0)</f>
        <v>1</v>
      </c>
      <c r="AA563" s="84">
        <f>VLOOKUP($D563,NatureChart,6,0)</f>
        <v>1</v>
      </c>
      <c r="AB563" s="84">
        <f>IF($C563="Shedinja",1,(INT((2*VLOOKUP($C563,DexData,5,0)+INT(Q563/4)+K563)/2)+60))</f>
        <v>207</v>
      </c>
      <c r="AC563" s="84">
        <f>INT(INT((INT((2*VLOOKUP($C563,DexData,6,0)+INT(R563/4)+L563)/2)+5)*W563)*IF($E563="Choice Band",1.5,IF(OR($E563="Mawilite",$E563="Medichamite",$E563="Thick Club"),2,1)))</f>
        <v>121</v>
      </c>
      <c r="AD563" s="84">
        <f>INT(INT((INT((2*VLOOKUP($C563,DexData,7,0)+INT(S563/4)+M563)/2)+5)*X563)*IF($E563="Eviolite",1.5,1))</f>
        <v>194</v>
      </c>
      <c r="AE563" s="84">
        <f>INT(INT((INT((2*VLOOKUP($C563,DexData,9,0)+INT(T563/4)+N563)/2)+5)*Y563)*IF($E563="Choice Specs",1.5,1))</f>
        <v>117</v>
      </c>
      <c r="AF563" s="84">
        <f>INT(INT((INT((2*VLOOKUP($C563,DexData,10,0)+INT(U563/4)+O563)/2)+5)*Z563)*IF(OR($E563="Eviolite",$E563="Assault Vest"),1.5,1))</f>
        <v>70</v>
      </c>
      <c r="AG563" s="84">
        <f>INT(INT((INT((2*VLOOKUP($C563,DexData,11,0)+INT(V563/4)+P563)/2)+5)*AA563)*IF($E563="Choice Scarf",1.5,IF($E563="Iron Ball",0.5,1)))</f>
        <v>70</v>
      </c>
      <c r="AH563" s="84" t="str">
        <f>VLOOKUP(VLOOKUP($C563,DexData,3,0),Aliases!D$2:E$19,2,0)&amp;IFERROR("/"&amp;VLOOKUP(VLOOKUP($C563,DexData,4,0),Aliases!D$2:E$19,2,0),"")</f>
        <v>GRS</v>
      </c>
      <c r="AI563" s="7">
        <v>3.0</v>
      </c>
      <c r="AJ563" s="7">
        <f>IF(VLOOKUP(B563,'Set Odds'!A$2:AN$1067,40,0),1,IF(VLOOKUP(B563,'Set Odds'!A$2:AO$1067,41,0),2,0))</f>
        <v>1</v>
      </c>
      <c r="AK563" s="7"/>
      <c r="AL563" s="7" t="str">
        <f t="shared" si="1"/>
        <v/>
      </c>
    </row>
    <row r="564" ht="12.75" customHeight="1">
      <c r="A564" s="86">
        <v>563.0</v>
      </c>
      <c r="B564" s="84" t="s">
        <v>4104</v>
      </c>
      <c r="C564" s="7" t="s">
        <v>3905</v>
      </c>
      <c r="D564" s="7" t="s">
        <v>2635</v>
      </c>
      <c r="E564" s="7" t="s">
        <v>2524</v>
      </c>
      <c r="F564" s="84" t="s">
        <v>3435</v>
      </c>
      <c r="G564" s="84" t="s">
        <v>2823</v>
      </c>
      <c r="H564" s="84" t="s">
        <v>2661</v>
      </c>
      <c r="I564" s="84" t="s">
        <v>3228</v>
      </c>
      <c r="J564" s="7" t="s">
        <v>3229</v>
      </c>
      <c r="K564" s="7">
        <v>31.0</v>
      </c>
      <c r="L564" s="7">
        <v>31.0</v>
      </c>
      <c r="M564" s="7">
        <v>31.0</v>
      </c>
      <c r="N564" s="7">
        <v>0.0</v>
      </c>
      <c r="O564" s="7">
        <v>31.0</v>
      </c>
      <c r="P564" s="7">
        <v>31.0</v>
      </c>
      <c r="Q564" s="7">
        <v>4.0</v>
      </c>
      <c r="R564" s="7">
        <v>0.0</v>
      </c>
      <c r="S564" s="7">
        <v>0.0</v>
      </c>
      <c r="T564" s="7">
        <v>252.0</v>
      </c>
      <c r="U564" s="7">
        <v>0.0</v>
      </c>
      <c r="V564" s="7">
        <v>252.0</v>
      </c>
      <c r="W564" s="7">
        <f>VLOOKUP($D564,NatureChart,2,0)</f>
        <v>0.9</v>
      </c>
      <c r="X564" s="7">
        <f>VLOOKUP($D564,NatureChart,3,0)</f>
        <v>1</v>
      </c>
      <c r="Y564" s="7">
        <f>VLOOKUP($D564,NatureChart,4,0)</f>
        <v>1</v>
      </c>
      <c r="Z564" s="7">
        <f>VLOOKUP($D564,NatureChart,5,0)</f>
        <v>1</v>
      </c>
      <c r="AA564" s="84">
        <f>VLOOKUP($D564,NatureChart,6,0)</f>
        <v>1.1</v>
      </c>
      <c r="AB564" s="84">
        <f>IF($C564="Shedinja",1,(INT((2*VLOOKUP($C564,DexData,5,0)+INT(Q564/4)+K564)/2)+60))</f>
        <v>161</v>
      </c>
      <c r="AC564" s="84">
        <f>INT(INT((INT((2*VLOOKUP($C564,DexData,6,0)+INT(R564/4)+L564)/2)+5)*W564)*IF($E564="Choice Band",1.5,IF(OR($E564="Mawilite",$E564="Medichamite",$E564="Thick Club"),2,1)))</f>
        <v>90</v>
      </c>
      <c r="AD564" s="84">
        <f>INT(INT((INT((2*VLOOKUP($C564,DexData,7,0)+INT(S564/4)+M564)/2)+5)*X564)*IF($E564="Eviolite",1.5,1))</f>
        <v>90</v>
      </c>
      <c r="AE564" s="84">
        <f>INT(INT((INT((2*VLOOKUP($C564,DexData,9,0)+INT(T564/4)+N564)/2)+5)*Y564)*IF($E564="Choice Specs",1.5,1))</f>
        <v>171</v>
      </c>
      <c r="AF564" s="84">
        <f>INT(INT((INT((2*VLOOKUP($C564,DexData,10,0)+INT(U564/4)+O564)/2)+5)*Z564)*IF(OR($E564="Eviolite",$E564="Assault Vest"),1.5,1))</f>
        <v>95</v>
      </c>
      <c r="AG564" s="84">
        <f>INT(INT((INT((2*VLOOKUP($C564,DexData,11,0)+INT(V564/4)+P564)/2)+5)*AA564)*IF($E564="Choice Scarf",1.5,IF($E564="Iron Ball",0.5,1)))</f>
        <v>156</v>
      </c>
      <c r="AH564" s="84" t="str">
        <f>VLOOKUP(VLOOKUP($C564,DexData,3,0),Aliases!D$2:E$19,2,0)&amp;IFERROR("/"&amp;VLOOKUP(VLOOKUP($C564,DexData,4,0),Aliases!D$2:E$19,2,0),"")</f>
        <v>NRM</v>
      </c>
      <c r="AI564" s="7">
        <v>3.0</v>
      </c>
      <c r="AJ564" s="7">
        <f>IF(VLOOKUP(B564,'Set Odds'!A$2:AN$1067,40,0),1,IF(VLOOKUP(B564,'Set Odds'!A$2:AO$1067,41,0),2,0))</f>
        <v>1</v>
      </c>
      <c r="AK564" s="7"/>
      <c r="AL564" s="7" t="str">
        <f t="shared" si="1"/>
        <v/>
      </c>
    </row>
    <row r="565" ht="12.75" customHeight="1">
      <c r="A565" s="86">
        <v>564.0</v>
      </c>
      <c r="B565" s="84" t="s">
        <v>4105</v>
      </c>
      <c r="C565" s="7" t="s">
        <v>3907</v>
      </c>
      <c r="D565" s="7" t="s">
        <v>2723</v>
      </c>
      <c r="E565" s="7" t="s">
        <v>2685</v>
      </c>
      <c r="F565" s="84" t="s">
        <v>2841</v>
      </c>
      <c r="G565" s="84" t="s">
        <v>3454</v>
      </c>
      <c r="H565" s="84" t="s">
        <v>2764</v>
      </c>
      <c r="I565" s="84" t="s">
        <v>2869</v>
      </c>
      <c r="J565" s="7" t="s">
        <v>2696</v>
      </c>
      <c r="K565" s="7">
        <v>31.0</v>
      </c>
      <c r="L565" s="7">
        <v>31.0</v>
      </c>
      <c r="M565" s="7">
        <v>31.0</v>
      </c>
      <c r="N565" s="7">
        <v>0.0</v>
      </c>
      <c r="O565" s="7">
        <v>31.0</v>
      </c>
      <c r="P565" s="7">
        <v>31.0</v>
      </c>
      <c r="Q565" s="7">
        <v>252.0</v>
      </c>
      <c r="R565" s="7">
        <v>4.0</v>
      </c>
      <c r="S565" s="7">
        <v>0.0</v>
      </c>
      <c r="T565" s="7">
        <v>0.0</v>
      </c>
      <c r="U565" s="7">
        <v>252.0</v>
      </c>
      <c r="V565" s="7">
        <v>0.0</v>
      </c>
      <c r="W565" s="7">
        <f>VLOOKUP($D565,NatureChart,2,0)</f>
        <v>1</v>
      </c>
      <c r="X565" s="7">
        <f>VLOOKUP($D565,NatureChart,3,0)</f>
        <v>1</v>
      </c>
      <c r="Y565" s="7">
        <f>VLOOKUP($D565,NatureChart,4,0)</f>
        <v>0.9</v>
      </c>
      <c r="Z565" s="7">
        <f>VLOOKUP($D565,NatureChart,5,0)</f>
        <v>1.1</v>
      </c>
      <c r="AA565" s="84">
        <f>VLOOKUP($D565,NatureChart,6,0)</f>
        <v>1</v>
      </c>
      <c r="AB565" s="84">
        <f>IF($C565="Shedinja",1,(INT((2*VLOOKUP($C565,DexData,5,0)+INT(Q565/4)+K565)/2)+60))</f>
        <v>202</v>
      </c>
      <c r="AC565" s="84">
        <f>INT(INT((INT((2*VLOOKUP($C565,DexData,6,0)+INT(R565/4)+L565)/2)+5)*W565)*IF($E565="Choice Band",1.5,IF(OR($E565="Mawilite",$E565="Medichamite",$E565="Thick Club"),2,1)))</f>
        <v>146</v>
      </c>
      <c r="AD565" s="84">
        <f>INT(INT((INT((2*VLOOKUP($C565,DexData,7,0)+INT(S565/4)+M565)/2)+5)*X565)*IF($E565="Eviolite",1.5,1))</f>
        <v>99</v>
      </c>
      <c r="AE565" s="84">
        <f>INT(INT((INT((2*VLOOKUP($C565,DexData,9,0)+INT(T565/4)+N565)/2)+5)*Y565)*IF($E565="Choice Specs",1.5,1))</f>
        <v>58</v>
      </c>
      <c r="AF565" s="84">
        <f>INT(INT((INT((2*VLOOKUP($C565,DexData,10,0)+INT(U565/4)+O565)/2)+5)*Z565)*IF(OR($E565="Eviolite",$E565="Assault Vest"),1.5,1))</f>
        <v>167</v>
      </c>
      <c r="AG565" s="84">
        <f>INT(INT((INT((2*VLOOKUP($C565,DexData,11,0)+INT(V565/4)+P565)/2)+5)*AA565)*IF($E565="Choice Scarf",1.5,IF($E565="Iron Ball",0.5,1)))</f>
        <v>101</v>
      </c>
      <c r="AH565" s="84" t="str">
        <f>VLOOKUP(VLOOKUP($C565,DexData,3,0),Aliases!D$2:E$19,2,0)&amp;IFERROR("/"&amp;VLOOKUP(VLOOKUP($C565,DexData,4,0),Aliases!D$2:E$19,2,0),"")</f>
        <v>WTR/FLY</v>
      </c>
      <c r="AI565" s="7">
        <v>3.0</v>
      </c>
      <c r="AJ565" s="7">
        <f>IF(VLOOKUP(B565,'Set Odds'!A$2:AN$1067,40,0),1,IF(VLOOKUP(B565,'Set Odds'!A$2:AO$1067,41,0),2,0))</f>
        <v>1</v>
      </c>
      <c r="AK565" s="7"/>
      <c r="AL565" s="7" t="str">
        <f t="shared" si="1"/>
        <v/>
      </c>
    </row>
    <row r="566" ht="12.75" customHeight="1">
      <c r="A566" s="86">
        <v>565.0</v>
      </c>
      <c r="B566" s="84" t="s">
        <v>4106</v>
      </c>
      <c r="C566" s="7" t="s">
        <v>3909</v>
      </c>
      <c r="D566" s="7" t="s">
        <v>2648</v>
      </c>
      <c r="E566" s="7" t="s">
        <v>2685</v>
      </c>
      <c r="F566" s="84" t="s">
        <v>2593</v>
      </c>
      <c r="G566" s="84" t="s">
        <v>2632</v>
      </c>
      <c r="H566" s="84" t="s">
        <v>4107</v>
      </c>
      <c r="I566" s="84" t="s">
        <v>2688</v>
      </c>
      <c r="J566" s="7" t="s">
        <v>3910</v>
      </c>
      <c r="K566" s="7">
        <v>31.0</v>
      </c>
      <c r="L566" s="7">
        <v>31.0</v>
      </c>
      <c r="M566" s="7">
        <v>31.0</v>
      </c>
      <c r="N566" s="7">
        <v>0.0</v>
      </c>
      <c r="O566" s="7">
        <v>31.0</v>
      </c>
      <c r="P566" s="7">
        <v>31.0</v>
      </c>
      <c r="Q566" s="7">
        <v>252.0</v>
      </c>
      <c r="R566" s="7">
        <v>4.0</v>
      </c>
      <c r="S566" s="7">
        <v>252.0</v>
      </c>
      <c r="T566" s="7">
        <v>0.0</v>
      </c>
      <c r="U566" s="7">
        <v>0.0</v>
      </c>
      <c r="V566" s="7">
        <v>0.0</v>
      </c>
      <c r="W566" s="7">
        <f>VLOOKUP($D566,NatureChart,2,0)</f>
        <v>1</v>
      </c>
      <c r="X566" s="7">
        <f>VLOOKUP($D566,NatureChart,3,0)</f>
        <v>1.1</v>
      </c>
      <c r="Y566" s="7">
        <f>VLOOKUP($D566,NatureChart,4,0)</f>
        <v>0.9</v>
      </c>
      <c r="Z566" s="7">
        <f>VLOOKUP($D566,NatureChart,5,0)</f>
        <v>1</v>
      </c>
      <c r="AA566" s="84">
        <f>VLOOKUP($D566,NatureChart,6,0)</f>
        <v>1</v>
      </c>
      <c r="AB566" s="84">
        <f>IF($C566="Shedinja",1,(INT((2*VLOOKUP($C566,DexData,5,0)+INT(Q566/4)+K566)/2)+60))</f>
        <v>267</v>
      </c>
      <c r="AC566" s="84">
        <f>INT(INT((INT((2*VLOOKUP($C566,DexData,6,0)+INT(R566/4)+L566)/2)+5)*W566)*IF($E566="Choice Band",1.5,IF(OR($E566="Mawilite",$E566="Medichamite",$E566="Thick Club"),2,1)))</f>
        <v>131</v>
      </c>
      <c r="AD566" s="84">
        <f>INT(INT((INT((2*VLOOKUP($C566,DexData,7,0)+INT(S566/4)+M566)/2)+5)*X566)*IF($E566="Eviolite",1.5,1))</f>
        <v>128</v>
      </c>
      <c r="AE566" s="84">
        <f>INT(INT((INT((2*VLOOKUP($C566,DexData,9,0)+INT(T566/4)+N566)/2)+5)*Y566)*IF($E566="Choice Specs",1.5,1))</f>
        <v>63</v>
      </c>
      <c r="AF566" s="84">
        <f>INT(INT((INT((2*VLOOKUP($C566,DexData,10,0)+INT(U566/4)+O566)/2)+5)*Z566)*IF(OR($E566="Eviolite",$E566="Assault Vest"),1.5,1))</f>
        <v>130</v>
      </c>
      <c r="AG566" s="84">
        <f>INT(INT((INT((2*VLOOKUP($C566,DexData,11,0)+INT(V566/4)+P566)/2)+5)*AA566)*IF($E566="Choice Scarf",1.5,IF($E566="Iron Ball",0.5,1)))</f>
        <v>50</v>
      </c>
      <c r="AH566" s="84" t="str">
        <f>VLOOKUP(VLOOKUP($C566,DexData,3,0),Aliases!D$2:E$19,2,0)&amp;IFERROR("/"&amp;VLOOKUP(VLOOKUP($C566,DexData,4,0),Aliases!D$2:E$19,2,0),"")</f>
        <v>NRM</v>
      </c>
      <c r="AI566" s="7">
        <v>3.0</v>
      </c>
      <c r="AJ566" s="7">
        <f>IF(VLOOKUP(B566,'Set Odds'!A$2:AN$1067,40,0),1,IF(VLOOKUP(B566,'Set Odds'!A$2:AO$1067,41,0),2,0))</f>
        <v>1</v>
      </c>
      <c r="AK566" s="7"/>
      <c r="AL566" s="7" t="str">
        <f t="shared" si="1"/>
        <v/>
      </c>
    </row>
    <row r="567" ht="12.75" customHeight="1">
      <c r="A567" s="86">
        <v>566.0</v>
      </c>
      <c r="B567" s="84" t="s">
        <v>4108</v>
      </c>
      <c r="C567" s="7" t="s">
        <v>3912</v>
      </c>
      <c r="D567" s="7" t="s">
        <v>2656</v>
      </c>
      <c r="E567" s="7" t="s">
        <v>3439</v>
      </c>
      <c r="F567" s="84" t="s">
        <v>3341</v>
      </c>
      <c r="G567" s="84" t="s">
        <v>2823</v>
      </c>
      <c r="H567" s="84" t="s">
        <v>4109</v>
      </c>
      <c r="I567" s="84" t="s">
        <v>2987</v>
      </c>
      <c r="J567" s="7" t="s">
        <v>3028</v>
      </c>
      <c r="K567" s="7">
        <v>31.0</v>
      </c>
      <c r="L567" s="7">
        <v>0.0</v>
      </c>
      <c r="M567" s="7">
        <v>31.0</v>
      </c>
      <c r="N567" s="7">
        <v>31.0</v>
      </c>
      <c r="O567" s="7">
        <v>31.0</v>
      </c>
      <c r="P567" s="7">
        <v>31.0</v>
      </c>
      <c r="Q567" s="7">
        <v>4.0</v>
      </c>
      <c r="R567" s="7">
        <v>0.0</v>
      </c>
      <c r="S567" s="7">
        <v>0.0</v>
      </c>
      <c r="T567" s="7">
        <v>252.0</v>
      </c>
      <c r="U567" s="7">
        <v>0.0</v>
      </c>
      <c r="V567" s="7">
        <v>252.0</v>
      </c>
      <c r="W567" s="7">
        <f>VLOOKUP($D567,NatureChart,2,0)</f>
        <v>0.9</v>
      </c>
      <c r="X567" s="7">
        <f>VLOOKUP($D567,NatureChart,3,0)</f>
        <v>1</v>
      </c>
      <c r="Y567" s="7">
        <f>VLOOKUP($D567,NatureChart,4,0)</f>
        <v>1.1</v>
      </c>
      <c r="Z567" s="7">
        <f>VLOOKUP($D567,NatureChart,5,0)</f>
        <v>1</v>
      </c>
      <c r="AA567" s="84">
        <f>VLOOKUP($D567,NatureChart,6,0)</f>
        <v>1</v>
      </c>
      <c r="AB567" s="84">
        <f>IF($C567="Shedinja",1,(INT((2*VLOOKUP($C567,DexData,5,0)+INT(Q567/4)+K567)/2)+60))</f>
        <v>151</v>
      </c>
      <c r="AC567" s="84">
        <f>INT(INT((INT((2*VLOOKUP($C567,DexData,6,0)+INT(R567/4)+L567)/2)+5)*W567)*IF($E567="Choice Band",1.5,IF(OR($E567="Mawilite",$E567="Medichamite",$E567="Thick Club"),2,1)))</f>
        <v>90</v>
      </c>
      <c r="AD567" s="84">
        <f>INT(INT((INT((2*VLOOKUP($C567,DexData,7,0)+INT(S567/4)+M567)/2)+5)*X567)*IF($E567="Eviolite",1.5,1))</f>
        <v>115</v>
      </c>
      <c r="AE567" s="84">
        <f>INT(INT((INT((2*VLOOKUP($C567,DexData,9,0)+INT(T567/4)+N567)/2)+5)*Y567)*IF($E567="Choice Specs",1.5,1))</f>
        <v>161</v>
      </c>
      <c r="AF567" s="84">
        <f>INT(INT((INT((2*VLOOKUP($C567,DexData,10,0)+INT(U567/4)+O567)/2)+5)*Z567)*IF(OR($E567="Eviolite",$E567="Assault Vest"),1.5,1))</f>
        <v>115</v>
      </c>
      <c r="AG567" s="84">
        <f>INT(INT((INT((2*VLOOKUP($C567,DexData,11,0)+INT(V567/4)+P567)/2)+5)*AA567)*IF($E567="Choice Scarf",1.5,IF($E567="Iron Ball",0.5,1)))</f>
        <v>137</v>
      </c>
      <c r="AH567" s="84" t="str">
        <f>VLOOKUP(VLOOKUP($C567,DexData,3,0),Aliases!D$2:E$19,2,0)&amp;IFERROR("/"&amp;VLOOKUP(VLOOKUP($C567,DexData,4,0),Aliases!D$2:E$19,2,0),"")</f>
        <v>WTR/DRG</v>
      </c>
      <c r="AI567" s="7">
        <v>3.0</v>
      </c>
      <c r="AJ567" s="7">
        <f>IF(VLOOKUP(B567,'Set Odds'!A$2:AN$1067,40,0),1,IF(VLOOKUP(B567,'Set Odds'!A$2:AO$1067,41,0),2,0))</f>
        <v>1</v>
      </c>
      <c r="AK567" s="7"/>
      <c r="AL567" s="7" t="str">
        <f t="shared" si="1"/>
        <v/>
      </c>
    </row>
    <row r="568" ht="12.75" customHeight="1">
      <c r="A568" s="86">
        <v>567.0</v>
      </c>
      <c r="B568" s="84" t="s">
        <v>4110</v>
      </c>
      <c r="C568" s="7" t="s">
        <v>3914</v>
      </c>
      <c r="D568" s="7" t="s">
        <v>2862</v>
      </c>
      <c r="E568" s="7" t="s">
        <v>2685</v>
      </c>
      <c r="F568" s="84" t="s">
        <v>3459</v>
      </c>
      <c r="G568" s="84" t="s">
        <v>3228</v>
      </c>
      <c r="H568" s="84" t="s">
        <v>3435</v>
      </c>
      <c r="I568" s="84" t="s">
        <v>2660</v>
      </c>
      <c r="J568" s="7" t="s">
        <v>2662</v>
      </c>
      <c r="K568" s="7">
        <v>31.0</v>
      </c>
      <c r="L568" s="7">
        <v>0.0</v>
      </c>
      <c r="M568" s="7">
        <v>31.0</v>
      </c>
      <c r="N568" s="7">
        <v>31.0</v>
      </c>
      <c r="O568" s="7">
        <v>31.0</v>
      </c>
      <c r="P568" s="7">
        <v>31.0</v>
      </c>
      <c r="Q568" s="7">
        <v>0.0</v>
      </c>
      <c r="R568" s="7">
        <v>0.0</v>
      </c>
      <c r="S568" s="7">
        <v>252.0</v>
      </c>
      <c r="T568" s="7">
        <v>252.0</v>
      </c>
      <c r="U568" s="7">
        <v>0.0</v>
      </c>
      <c r="V568" s="7">
        <v>4.0</v>
      </c>
      <c r="W568" s="7">
        <f>VLOOKUP($D568,NatureChart,2,0)</f>
        <v>0.9</v>
      </c>
      <c r="X568" s="7">
        <f>VLOOKUP($D568,NatureChart,3,0)</f>
        <v>1.1</v>
      </c>
      <c r="Y568" s="7">
        <f>VLOOKUP($D568,NatureChart,4,0)</f>
        <v>1</v>
      </c>
      <c r="Z568" s="7">
        <f>VLOOKUP($D568,NatureChart,5,0)</f>
        <v>1</v>
      </c>
      <c r="AA568" s="84">
        <f>VLOOKUP($D568,NatureChart,6,0)</f>
        <v>1</v>
      </c>
      <c r="AB568" s="84">
        <f>IF($C568="Shedinja",1,(INT((2*VLOOKUP($C568,DexData,5,0)+INT(Q568/4)+K568)/2)+60))</f>
        <v>330</v>
      </c>
      <c r="AC568" s="84">
        <f>INT(INT((INT((2*VLOOKUP($C568,DexData,6,0)+INT(R568/4)+L568)/2)+5)*W568)*IF($E568="Choice Band",1.5,IF(OR($E568="Mawilite",$E568="Medichamite",$E568="Thick Club"),2,1)))</f>
        <v>13</v>
      </c>
      <c r="AD568" s="84">
        <f>INT(INT((INT((2*VLOOKUP($C568,DexData,7,0)+INT(S568/4)+M568)/2)+5)*X568)*IF($E568="Eviolite",1.5,1))</f>
        <v>68</v>
      </c>
      <c r="AE568" s="84">
        <f>INT(INT((INT((2*VLOOKUP($C568,DexData,9,0)+INT(T568/4)+N568)/2)+5)*Y568)*IF($E568="Choice Specs",1.5,1))</f>
        <v>127</v>
      </c>
      <c r="AF568" s="84">
        <f>INT(INT((INT((2*VLOOKUP($C568,DexData,10,0)+INT(U568/4)+O568)/2)+5)*Z568)*IF(OR($E568="Eviolite",$E568="Assault Vest"),1.5,1))</f>
        <v>155</v>
      </c>
      <c r="AG568" s="84">
        <f>INT(INT((INT((2*VLOOKUP($C568,DexData,11,0)+INT(V568/4)+P568)/2)+5)*AA568)*IF($E568="Choice Scarf",1.5,IF($E568="Iron Ball",0.5,1)))</f>
        <v>76</v>
      </c>
      <c r="AH568" s="84" t="str">
        <f>VLOOKUP(VLOOKUP($C568,DexData,3,0),Aliases!D$2:E$19,2,0)&amp;IFERROR("/"&amp;VLOOKUP(VLOOKUP($C568,DexData,4,0),Aliases!D$2:E$19,2,0),"")</f>
        <v>NRM</v>
      </c>
      <c r="AI568" s="7">
        <v>3.0</v>
      </c>
      <c r="AJ568" s="7">
        <f>IF(VLOOKUP(B568,'Set Odds'!A$2:AN$1067,40,0),1,IF(VLOOKUP(B568,'Set Odds'!A$2:AO$1067,41,0),2,0))</f>
        <v>1</v>
      </c>
      <c r="AK568" s="7"/>
      <c r="AL568" s="7" t="str">
        <f t="shared" si="1"/>
        <v/>
      </c>
    </row>
    <row r="569" ht="12.75" customHeight="1">
      <c r="A569" s="86">
        <v>568.0</v>
      </c>
      <c r="B569" s="84" t="s">
        <v>4111</v>
      </c>
      <c r="C569" s="7" t="s">
        <v>3426</v>
      </c>
      <c r="D569" s="7" t="s">
        <v>2862</v>
      </c>
      <c r="E569" s="7" t="s">
        <v>2685</v>
      </c>
      <c r="F569" s="84" t="s">
        <v>2967</v>
      </c>
      <c r="G569" s="84" t="s">
        <v>2823</v>
      </c>
      <c r="H569" s="84" t="s">
        <v>3043</v>
      </c>
      <c r="I569" s="84" t="s">
        <v>3063</v>
      </c>
      <c r="J569" s="7" t="s">
        <v>3172</v>
      </c>
      <c r="K569" s="7">
        <v>31.0</v>
      </c>
      <c r="L569" s="7">
        <v>0.0</v>
      </c>
      <c r="M569" s="7">
        <v>31.0</v>
      </c>
      <c r="N569" s="7">
        <v>31.0</v>
      </c>
      <c r="O569" s="7">
        <v>31.0</v>
      </c>
      <c r="P569" s="7">
        <v>31.0</v>
      </c>
      <c r="Q569" s="7">
        <v>252.0</v>
      </c>
      <c r="R569" s="7">
        <v>0.0</v>
      </c>
      <c r="S569" s="7">
        <v>252.0</v>
      </c>
      <c r="T569" s="7">
        <v>0.0</v>
      </c>
      <c r="U569" s="7">
        <v>4.0</v>
      </c>
      <c r="V569" s="7">
        <v>0.0</v>
      </c>
      <c r="W569" s="7">
        <f>VLOOKUP($D569,NatureChart,2,0)</f>
        <v>0.9</v>
      </c>
      <c r="X569" s="7">
        <f>VLOOKUP($D569,NatureChart,3,0)</f>
        <v>1.1</v>
      </c>
      <c r="Y569" s="7">
        <f>VLOOKUP($D569,NatureChart,4,0)</f>
        <v>1</v>
      </c>
      <c r="Z569" s="7">
        <f>VLOOKUP($D569,NatureChart,5,0)</f>
        <v>1</v>
      </c>
      <c r="AA569" s="84">
        <f>VLOOKUP($D569,NatureChart,6,0)</f>
        <v>1</v>
      </c>
      <c r="AB569" s="84">
        <f>IF($C569="Shedinja",1,(INT((2*VLOOKUP($C569,DexData,5,0)+INT(Q569/4)+K569)/2)+60))</f>
        <v>202</v>
      </c>
      <c r="AC569" s="84">
        <f>INT(INT((INT((2*VLOOKUP($C569,DexData,6,0)+INT(R569/4)+L569)/2)+5)*W569)*IF($E569="Choice Band",1.5,IF(OR($E569="Mawilite",$E569="Medichamite",$E569="Thick Club"),2,1)))</f>
        <v>58</v>
      </c>
      <c r="AD569" s="84">
        <f>INT(INT((INT((2*VLOOKUP($C569,DexData,7,0)+INT(S569/4)+M569)/2)+5)*X569)*IF($E569="Eviolite",1.5,1))</f>
        <v>144</v>
      </c>
      <c r="AE569" s="84">
        <f>INT(INT((INT((2*VLOOKUP($C569,DexData,9,0)+INT(T569/4)+N569)/2)+5)*Y569)*IF($E569="Choice Specs",1.5,1))</f>
        <v>120</v>
      </c>
      <c r="AF569" s="84">
        <f>INT(INT((INT((2*VLOOKUP($C569,DexData,10,0)+INT(U569/4)+O569)/2)+5)*Z569)*IF(OR($E569="Eviolite",$E569="Assault Vest"),1.5,1))</f>
        <v>146</v>
      </c>
      <c r="AG569" s="84">
        <f>INT(INT((INT((2*VLOOKUP($C569,DexData,11,0)+INT(V569/4)+P569)/2)+5)*AA569)*IF($E569="Choice Scarf",1.5,IF($E569="Iron Ball",0.5,1)))</f>
        <v>101</v>
      </c>
      <c r="AH569" s="84" t="str">
        <f>VLOOKUP(VLOOKUP($C569,DexData,3,0),Aliases!D$2:E$19,2,0)&amp;IFERROR("/"&amp;VLOOKUP(VLOOKUP($C569,DexData,4,0),Aliases!D$2:E$19,2,0),"")</f>
        <v>WTR</v>
      </c>
      <c r="AI569" s="7">
        <v>3.0</v>
      </c>
      <c r="AJ569" s="7">
        <f>IF(VLOOKUP(B569,'Set Odds'!A$2:AN$1067,40,0),1,IF(VLOOKUP(B569,'Set Odds'!A$2:AO$1067,41,0),2,0))</f>
        <v>1</v>
      </c>
      <c r="AK569" s="7"/>
      <c r="AL569" s="7" t="str">
        <f t="shared" si="1"/>
        <v/>
      </c>
    </row>
    <row r="570" ht="12.75" customHeight="1">
      <c r="A570" s="86">
        <v>569.0</v>
      </c>
      <c r="B570" s="84" t="s">
        <v>4112</v>
      </c>
      <c r="C570" s="7" t="s">
        <v>3917</v>
      </c>
      <c r="D570" s="7" t="s">
        <v>2811</v>
      </c>
      <c r="E570" s="7" t="s">
        <v>3439</v>
      </c>
      <c r="F570" s="84" t="s">
        <v>4025</v>
      </c>
      <c r="G570" s="84" t="s">
        <v>3817</v>
      </c>
      <c r="H570" s="84" t="s">
        <v>2625</v>
      </c>
      <c r="I570" s="84" t="s">
        <v>2746</v>
      </c>
      <c r="J570" s="7" t="s">
        <v>3918</v>
      </c>
      <c r="K570" s="7">
        <v>31.0</v>
      </c>
      <c r="L570" s="7">
        <v>31.0</v>
      </c>
      <c r="M570" s="7">
        <v>31.0</v>
      </c>
      <c r="N570" s="7">
        <v>31.0</v>
      </c>
      <c r="O570" s="7">
        <v>31.0</v>
      </c>
      <c r="P570" s="7">
        <v>31.0</v>
      </c>
      <c r="Q570" s="7">
        <v>252.0</v>
      </c>
      <c r="R570" s="7">
        <v>0.0</v>
      </c>
      <c r="S570" s="7">
        <v>252.0</v>
      </c>
      <c r="T570" s="7">
        <v>0.0</v>
      </c>
      <c r="U570" s="7">
        <v>4.0</v>
      </c>
      <c r="V570" s="7">
        <v>0.0</v>
      </c>
      <c r="W570" s="7">
        <f>VLOOKUP($D570,NatureChart,2,0)</f>
        <v>1</v>
      </c>
      <c r="X570" s="7">
        <f>VLOOKUP($D570,NatureChart,3,0)</f>
        <v>1.1</v>
      </c>
      <c r="Y570" s="7">
        <f>VLOOKUP($D570,NatureChart,4,0)</f>
        <v>1</v>
      </c>
      <c r="Z570" s="7">
        <f>VLOOKUP($D570,NatureChart,5,0)</f>
        <v>1</v>
      </c>
      <c r="AA570" s="84">
        <f>VLOOKUP($D570,NatureChart,6,0)</f>
        <v>0.9</v>
      </c>
      <c r="AB570" s="84">
        <f>IF($C570="Shedinja",1,(INT((2*VLOOKUP($C570,DexData,5,0)+INT(Q570/4)+K570)/2)+60))</f>
        <v>182</v>
      </c>
      <c r="AC570" s="84">
        <f>INT(INT((INT((2*VLOOKUP($C570,DexData,6,0)+INT(R570/4)+L570)/2)+5)*W570)*IF($E570="Choice Band",1.5,IF(OR($E570="Mawilite",$E570="Medichamite",$E570="Thick Club"),2,1)))</f>
        <v>143</v>
      </c>
      <c r="AD570" s="84">
        <f>INT(INT((INT((2*VLOOKUP($C570,DexData,7,0)+INT(S570/4)+M570)/2)+5)*X570)*IF($E570="Eviolite",1.5,1))</f>
        <v>130</v>
      </c>
      <c r="AE570" s="84">
        <f>INT(INT((INT((2*VLOOKUP($C570,DexData,9,0)+INT(T570/4)+N570)/2)+5)*Y570)*IF($E570="Choice Specs",1.5,1))</f>
        <v>115</v>
      </c>
      <c r="AF570" s="84">
        <f>INT(INT((INT((2*VLOOKUP($C570,DexData,10,0)+INT(U570/4)+O570)/2)+5)*Z570)*IF(OR($E570="Eviolite",$E570="Assault Vest"),1.5,1))</f>
        <v>106</v>
      </c>
      <c r="AG570" s="84">
        <f>INT(INT((INT((2*VLOOKUP($C570,DexData,11,0)+INT(V570/4)+P570)/2)+5)*AA570)*IF($E570="Choice Scarf",1.5,IF($E570="Iron Ball",0.5,1)))</f>
        <v>103</v>
      </c>
      <c r="AH570" s="84" t="str">
        <f>VLOOKUP(VLOOKUP($C570,DexData,3,0),Aliases!D$2:E$19,2,0)&amp;IFERROR("/"&amp;VLOOKUP(VLOOKUP($C570,DexData,4,0),Aliases!D$2:E$19,2,0),"")</f>
        <v>ELC</v>
      </c>
      <c r="AI570" s="7">
        <v>3.0</v>
      </c>
      <c r="AJ570" s="7">
        <f>IF(VLOOKUP(B570,'Set Odds'!A$2:AN$1067,40,0),1,IF(VLOOKUP(B570,'Set Odds'!A$2:AO$1067,41,0),2,0))</f>
        <v>1</v>
      </c>
      <c r="AK570" s="7"/>
      <c r="AL570" s="7" t="str">
        <f t="shared" si="1"/>
        <v/>
      </c>
    </row>
    <row r="571" ht="12.75" customHeight="1">
      <c r="A571" s="86">
        <v>570.0</v>
      </c>
      <c r="B571" s="84" t="s">
        <v>4113</v>
      </c>
      <c r="C571" s="7" t="s">
        <v>3920</v>
      </c>
      <c r="D571" s="7" t="s">
        <v>2599</v>
      </c>
      <c r="E571" s="7" t="s">
        <v>4114</v>
      </c>
      <c r="F571" s="84" t="s">
        <v>3454</v>
      </c>
      <c r="G571" s="84" t="s">
        <v>2660</v>
      </c>
      <c r="H571" s="84" t="s">
        <v>3435</v>
      </c>
      <c r="I571" s="84" t="s">
        <v>2732</v>
      </c>
      <c r="J571" s="7" t="s">
        <v>3162</v>
      </c>
      <c r="K571" s="7">
        <v>31.0</v>
      </c>
      <c r="L571" s="7">
        <v>31.0</v>
      </c>
      <c r="M571" s="7">
        <v>31.0</v>
      </c>
      <c r="N571" s="7">
        <v>31.0</v>
      </c>
      <c r="O571" s="7">
        <v>31.0</v>
      </c>
      <c r="P571" s="7">
        <v>31.0</v>
      </c>
      <c r="Q571" s="7">
        <v>4.0</v>
      </c>
      <c r="R571" s="7">
        <v>0.0</v>
      </c>
      <c r="S571" s="7">
        <v>0.0</v>
      </c>
      <c r="T571" s="7">
        <v>252.0</v>
      </c>
      <c r="U571" s="7">
        <v>0.0</v>
      </c>
      <c r="V571" s="7">
        <v>252.0</v>
      </c>
      <c r="W571" s="7">
        <f>VLOOKUP($D571,NatureChart,2,0)</f>
        <v>1</v>
      </c>
      <c r="X571" s="7">
        <f>VLOOKUP($D571,NatureChart,3,0)</f>
        <v>1</v>
      </c>
      <c r="Y571" s="7">
        <f>VLOOKUP($D571,NatureChart,4,0)</f>
        <v>1</v>
      </c>
      <c r="Z571" s="7">
        <f>VLOOKUP($D571,NatureChart,5,0)</f>
        <v>1</v>
      </c>
      <c r="AA571" s="84">
        <f>VLOOKUP($D571,NatureChart,6,0)</f>
        <v>1</v>
      </c>
      <c r="AB571" s="84">
        <f>IF($C571="Shedinja",1,(INT((2*VLOOKUP($C571,DexData,5,0)+INT(Q571/4)+K571)/2)+60))</f>
        <v>151</v>
      </c>
      <c r="AC571" s="84">
        <f>INT(INT((INT((2*VLOOKUP($C571,DexData,6,0)+INT(R571/4)+L571)/2)+5)*W571)*IF($E571="Choice Band",1.5,IF(OR($E571="Mawilite",$E571="Medichamite",$E571="Thick Club"),2,1)))</f>
        <v>115</v>
      </c>
      <c r="AD571" s="84">
        <f>INT(INT((INT((2*VLOOKUP($C571,DexData,7,0)+INT(S571/4)+M571)/2)+5)*X571)*IF($E571="Eviolite",1.5,1))</f>
        <v>87</v>
      </c>
      <c r="AE571" s="84">
        <f>INT(INT((INT((2*VLOOKUP($C571,DexData,9,0)+INT(T571/4)+N571)/2)+5)*Y571)*IF($E571="Choice Specs",1.5,1))</f>
        <v>177</v>
      </c>
      <c r="AF571" s="84">
        <f>INT(INT((INT((2*VLOOKUP($C571,DexData,10,0)+INT(U571/4)+O571)/2)+5)*Z571)*IF(OR($E571="Eviolite",$E571="Assault Vest"),1.5,1))</f>
        <v>115</v>
      </c>
      <c r="AG571" s="84">
        <f>INT(INT((INT((2*VLOOKUP($C571,DexData,11,0)+INT(V571/4)+P571)/2)+5)*AA571)*IF($E571="Choice Scarf",1.5,IF($E571="Iron Ball",0.5,1)))</f>
        <v>135</v>
      </c>
      <c r="AH571" s="84" t="str">
        <f>VLOOKUP(VLOOKUP($C571,DexData,3,0),Aliases!D$2:E$19,2,0)&amp;IFERROR("/"&amp;VLOOKUP(VLOOKUP($C571,DexData,4,0),Aliases!D$2:E$19,2,0),"")</f>
        <v>FIR</v>
      </c>
      <c r="AI571" s="7">
        <v>3.0</v>
      </c>
      <c r="AJ571" s="7">
        <f>IF(VLOOKUP(B571,'Set Odds'!A$2:AN$1067,40,0),1,IF(VLOOKUP(B571,'Set Odds'!A$2:AO$1067,41,0),2,0))</f>
        <v>1</v>
      </c>
      <c r="AK571" s="7"/>
      <c r="AL571" s="7" t="str">
        <f t="shared" si="1"/>
        <v/>
      </c>
    </row>
    <row r="572" ht="12.75" customHeight="1">
      <c r="A572" s="86">
        <v>571.0</v>
      </c>
      <c r="B572" s="84" t="s">
        <v>4115</v>
      </c>
      <c r="C572" s="7" t="s">
        <v>3923</v>
      </c>
      <c r="D572" s="7" t="s">
        <v>2862</v>
      </c>
      <c r="E572" s="7" t="s">
        <v>2685</v>
      </c>
      <c r="F572" s="84" t="s">
        <v>2763</v>
      </c>
      <c r="G572" s="84" t="s">
        <v>2532</v>
      </c>
      <c r="H572" s="84" t="s">
        <v>3185</v>
      </c>
      <c r="I572" s="84" t="s">
        <v>3091</v>
      </c>
      <c r="J572" s="7" t="s">
        <v>2662</v>
      </c>
      <c r="K572" s="7">
        <v>31.0</v>
      </c>
      <c r="L572" s="7">
        <v>0.0</v>
      </c>
      <c r="M572" s="7">
        <v>31.0</v>
      </c>
      <c r="N572" s="7">
        <v>31.0</v>
      </c>
      <c r="O572" s="7">
        <v>31.0</v>
      </c>
      <c r="P572" s="7">
        <v>31.0</v>
      </c>
      <c r="Q572" s="7">
        <v>252.0</v>
      </c>
      <c r="R572" s="7">
        <v>0.0</v>
      </c>
      <c r="S572" s="7">
        <v>252.0</v>
      </c>
      <c r="T572" s="7">
        <v>0.0</v>
      </c>
      <c r="U572" s="7">
        <v>0.0</v>
      </c>
      <c r="V572" s="7">
        <v>4.0</v>
      </c>
      <c r="W572" s="7">
        <f>VLOOKUP($D572,NatureChart,2,0)</f>
        <v>0.9</v>
      </c>
      <c r="X572" s="7">
        <f>VLOOKUP($D572,NatureChart,3,0)</f>
        <v>1.1</v>
      </c>
      <c r="Y572" s="7">
        <f>VLOOKUP($D572,NatureChart,4,0)</f>
        <v>1</v>
      </c>
      <c r="Z572" s="7">
        <f>VLOOKUP($D572,NatureChart,5,0)</f>
        <v>1</v>
      </c>
      <c r="AA572" s="84">
        <f>VLOOKUP($D572,NatureChart,6,0)</f>
        <v>1</v>
      </c>
      <c r="AB572" s="84">
        <f>IF($C572="Shedinja",1,(INT((2*VLOOKUP($C572,DexData,5,0)+INT(Q572/4)+K572)/2)+60))</f>
        <v>192</v>
      </c>
      <c r="AC572" s="84">
        <f>INT(INT((INT((2*VLOOKUP($C572,DexData,6,0)+INT(R572/4)+L572)/2)+5)*W572)*IF($E572="Choice Band",1.5,IF(OR($E572="Mawilite",$E572="Medichamite",$E572="Thick Club"),2,1)))</f>
        <v>49</v>
      </c>
      <c r="AD572" s="84">
        <f>INT(INT((INT((2*VLOOKUP($C572,DexData,7,0)+INT(S572/4)+M572)/2)+5)*X572)*IF($E572="Eviolite",1.5,1))</f>
        <v>161</v>
      </c>
      <c r="AE572" s="84">
        <f>INT(INT((INT((2*VLOOKUP($C572,DexData,9,0)+INT(T572/4)+N572)/2)+5)*Y572)*IF($E572="Choice Specs",1.5,1))</f>
        <v>140</v>
      </c>
      <c r="AF572" s="84">
        <f>INT(INT((INT((2*VLOOKUP($C572,DexData,10,0)+INT(U572/4)+O572)/2)+5)*Z572)*IF(OR($E572="Eviolite",$E572="Assault Vest"),1.5,1))</f>
        <v>135</v>
      </c>
      <c r="AG572" s="84">
        <f>INT(INT((INT((2*VLOOKUP($C572,DexData,11,0)+INT(V572/4)+P572)/2)+5)*AA572)*IF($E572="Choice Scarf",1.5,IF($E572="Iron Ball",0.5,1)))</f>
        <v>101</v>
      </c>
      <c r="AH572" s="84" t="str">
        <f>VLOOKUP(VLOOKUP($C572,DexData,3,0),Aliases!D$2:E$19,2,0)&amp;IFERROR("/"&amp;VLOOKUP(VLOOKUP($C572,DexData,4,0),Aliases!D$2:E$19,2,0),"")</f>
        <v>FAI/FLY</v>
      </c>
      <c r="AI572" s="7">
        <v>3.0</v>
      </c>
      <c r="AJ572" s="7">
        <f>IF(VLOOKUP(B572,'Set Odds'!A$2:AN$1067,40,0),1,IF(VLOOKUP(B572,'Set Odds'!A$2:AO$1067,41,0),2,0))</f>
        <v>1</v>
      </c>
      <c r="AK572" s="7"/>
      <c r="AL572" s="7" t="str">
        <f t="shared" si="1"/>
        <v/>
      </c>
    </row>
    <row r="573" ht="12.75" customHeight="1">
      <c r="A573" s="86">
        <v>572.0</v>
      </c>
      <c r="B573" s="84" t="s">
        <v>4116</v>
      </c>
      <c r="C573" s="7" t="s">
        <v>3926</v>
      </c>
      <c r="D573" s="7" t="s">
        <v>2692</v>
      </c>
      <c r="E573" s="7" t="s">
        <v>2983</v>
      </c>
      <c r="F573" s="84" t="s">
        <v>2525</v>
      </c>
      <c r="G573" s="84" t="s">
        <v>3945</v>
      </c>
      <c r="H573" s="84" t="s">
        <v>3608</v>
      </c>
      <c r="I573" s="84" t="s">
        <v>3285</v>
      </c>
      <c r="J573" s="7" t="s">
        <v>2696</v>
      </c>
      <c r="K573" s="7">
        <v>31.0</v>
      </c>
      <c r="L573" s="7">
        <v>31.0</v>
      </c>
      <c r="M573" s="7">
        <v>31.0</v>
      </c>
      <c r="N573" s="7">
        <v>0.0</v>
      </c>
      <c r="O573" s="7">
        <v>31.0</v>
      </c>
      <c r="P573" s="7">
        <v>31.0</v>
      </c>
      <c r="Q573" s="7">
        <v>4.0</v>
      </c>
      <c r="R573" s="7">
        <v>252.0</v>
      </c>
      <c r="S573" s="7">
        <v>0.0</v>
      </c>
      <c r="T573" s="7">
        <v>0.0</v>
      </c>
      <c r="U573" s="7">
        <v>0.0</v>
      </c>
      <c r="V573" s="7">
        <v>252.0</v>
      </c>
      <c r="W573" s="7">
        <f>VLOOKUP($D573,NatureChart,2,0)</f>
        <v>1</v>
      </c>
      <c r="X573" s="7">
        <f>VLOOKUP($D573,NatureChart,3,0)</f>
        <v>1</v>
      </c>
      <c r="Y573" s="7">
        <f>VLOOKUP($D573,NatureChart,4,0)</f>
        <v>0.9</v>
      </c>
      <c r="Z573" s="7">
        <f>VLOOKUP($D573,NatureChart,5,0)</f>
        <v>1</v>
      </c>
      <c r="AA573" s="84">
        <f>VLOOKUP($D573,NatureChart,6,0)</f>
        <v>1.1</v>
      </c>
      <c r="AB573" s="84">
        <f>IF($C573="Shedinja",1,(INT((2*VLOOKUP($C573,DexData,5,0)+INT(Q573/4)+K573)/2)+60))</f>
        <v>166</v>
      </c>
      <c r="AC573" s="84">
        <f>INT(INT((INT((2*VLOOKUP($C573,DexData,6,0)+INT(R573/4)+L573)/2)+5)*W573)*IF($E573="Choice Band",1.5,IF(OR($E573="Mawilite",$E573="Medichamite",$E573="Thick Club"),2,1)))</f>
        <v>162</v>
      </c>
      <c r="AD573" s="84">
        <f>INT(INT((INT((2*VLOOKUP($C573,DexData,7,0)+INT(S573/4)+M573)/2)+5)*X573)*IF($E573="Eviolite",1.5,1))</f>
        <v>100</v>
      </c>
      <c r="AE573" s="84">
        <f>INT(INT((INT((2*VLOOKUP($C573,DexData,9,0)+INT(T573/4)+N573)/2)+5)*Y573)*IF($E573="Choice Specs",1.5,1))</f>
        <v>94</v>
      </c>
      <c r="AF573" s="84">
        <f>INT(INT((INT((2*VLOOKUP($C573,DexData,10,0)+INT(U573/4)+O573)/2)+5)*Z573)*IF(OR($E573="Eviolite",$E573="Assault Vest"),1.5,1))</f>
        <v>100</v>
      </c>
      <c r="AG573" s="84">
        <f>INT(INT((INT((2*VLOOKUP($C573,DexData,11,0)+INT(V573/4)+P573)/2)+5)*AA573)*IF($E573="Choice Scarf",1.5,IF($E573="Iron Ball",0.5,1)))</f>
        <v>161</v>
      </c>
      <c r="AH573" s="84" t="str">
        <f>VLOOKUP(VLOOKUP($C573,DexData,3,0),Aliases!D$2:E$19,2,0)&amp;IFERROR("/"&amp;VLOOKUP(VLOOKUP($C573,DexData,4,0),Aliases!D$2:E$19,2,0),"")</f>
        <v>FIR</v>
      </c>
      <c r="AI573" s="7">
        <v>3.0</v>
      </c>
      <c r="AJ573" s="7">
        <f>IF(VLOOKUP(B573,'Set Odds'!A$2:AN$1067,40,0),1,IF(VLOOKUP(B573,'Set Odds'!A$2:AO$1067,41,0),2,0))</f>
        <v>1</v>
      </c>
      <c r="AK573" s="7"/>
      <c r="AL573" s="7" t="str">
        <f t="shared" si="1"/>
        <v/>
      </c>
    </row>
    <row r="574" ht="12.75" customHeight="1">
      <c r="A574" s="86">
        <v>573.0</v>
      </c>
      <c r="B574" s="84" t="s">
        <v>4117</v>
      </c>
      <c r="C574" s="7" t="s">
        <v>3438</v>
      </c>
      <c r="D574" s="7" t="s">
        <v>2692</v>
      </c>
      <c r="E574" s="7" t="s">
        <v>3726</v>
      </c>
      <c r="F574" s="84" t="s">
        <v>2762</v>
      </c>
      <c r="G574" s="84" t="s">
        <v>3454</v>
      </c>
      <c r="H574" s="84" t="s">
        <v>3135</v>
      </c>
      <c r="I574" s="84" t="s">
        <v>2581</v>
      </c>
      <c r="J574" s="7" t="s">
        <v>3442</v>
      </c>
      <c r="K574" s="7">
        <v>31.0</v>
      </c>
      <c r="L574" s="7">
        <v>31.0</v>
      </c>
      <c r="M574" s="7">
        <v>31.0</v>
      </c>
      <c r="N574" s="7">
        <v>0.0</v>
      </c>
      <c r="O574" s="7">
        <v>31.0</v>
      </c>
      <c r="P574" s="7">
        <v>31.0</v>
      </c>
      <c r="Q574" s="7">
        <v>4.0</v>
      </c>
      <c r="R574" s="7">
        <v>252.0</v>
      </c>
      <c r="S574" s="7">
        <v>0.0</v>
      </c>
      <c r="T574" s="7">
        <v>0.0</v>
      </c>
      <c r="U574" s="7">
        <v>0.0</v>
      </c>
      <c r="V574" s="7">
        <v>252.0</v>
      </c>
      <c r="W574" s="7">
        <f>VLOOKUP($D574,NatureChart,2,0)</f>
        <v>1</v>
      </c>
      <c r="X574" s="7">
        <f>VLOOKUP($D574,NatureChart,3,0)</f>
        <v>1</v>
      </c>
      <c r="Y574" s="7">
        <f>VLOOKUP($D574,NatureChart,4,0)</f>
        <v>0.9</v>
      </c>
      <c r="Z574" s="7">
        <f>VLOOKUP($D574,NatureChart,5,0)</f>
        <v>1</v>
      </c>
      <c r="AA574" s="84">
        <f>VLOOKUP($D574,NatureChart,6,0)</f>
        <v>1.1</v>
      </c>
      <c r="AB574" s="84">
        <f>IF($C574="Shedinja",1,(INT((2*VLOOKUP($C574,DexData,5,0)+INT(Q574/4)+K574)/2)+60))</f>
        <v>167</v>
      </c>
      <c r="AC574" s="84">
        <f>INT(INT((INT((2*VLOOKUP($C574,DexData,6,0)+INT(R574/4)+L574)/2)+5)*W574)*IF($E574="Choice Band",1.5,IF(OR($E574="Mawilite",$E574="Medichamite",$E574="Thick Club"),2,1)))</f>
        <v>186</v>
      </c>
      <c r="AD574" s="84">
        <f>INT(INT((INT((2*VLOOKUP($C574,DexData,7,0)+INT(S574/4)+M574)/2)+5)*X574)*IF($E574="Eviolite",1.5,1))</f>
        <v>115</v>
      </c>
      <c r="AE574" s="84">
        <f>INT(INT((INT((2*VLOOKUP($C574,DexData,9,0)+INT(T574/4)+N574)/2)+5)*Y574)*IF($E574="Choice Specs",1.5,1))</f>
        <v>94</v>
      </c>
      <c r="AF574" s="84">
        <f>INT(INT((INT((2*VLOOKUP($C574,DexData,10,0)+INT(U574/4)+O574)/2)+5)*Z574)*IF(OR($E574="Eviolite",$E574="Assault Vest"),1.5,1))</f>
        <v>120</v>
      </c>
      <c r="AG574" s="84">
        <f>INT(INT((INT((2*VLOOKUP($C574,DexData,11,0)+INT(V574/4)+P574)/2)+5)*AA574)*IF($E574="Choice Scarf",1.5,IF($E574="Iron Ball",0.5,1)))</f>
        <v>145</v>
      </c>
      <c r="AH574" s="84" t="str">
        <f>VLOOKUP(VLOOKUP($C574,DexData,3,0),Aliases!D$2:E$19,2,0)&amp;IFERROR("/"&amp;VLOOKUP(VLOOKUP($C574,DexData,4,0),Aliases!D$2:E$19,2,0),"")</f>
        <v>DRG/FLY</v>
      </c>
      <c r="AI574" s="7">
        <v>3.0</v>
      </c>
      <c r="AJ574" s="7">
        <f>IF(VLOOKUP(B574,'Set Odds'!A$2:AN$1067,40,0),1,IF(VLOOKUP(B574,'Set Odds'!A$2:AO$1067,41,0),2,0))</f>
        <v>1</v>
      </c>
      <c r="AK574" s="7"/>
      <c r="AL574" s="7" t="str">
        <f t="shared" si="1"/>
        <v/>
      </c>
    </row>
    <row r="575" ht="12.75" customHeight="1">
      <c r="A575" s="86">
        <v>574.0</v>
      </c>
      <c r="B575" s="84" t="s">
        <v>4118</v>
      </c>
      <c r="C575" s="7" t="s">
        <v>3929</v>
      </c>
      <c r="D575" s="7" t="s">
        <v>2571</v>
      </c>
      <c r="E575" s="7" t="s">
        <v>2516</v>
      </c>
      <c r="F575" s="84" t="s">
        <v>3454</v>
      </c>
      <c r="G575" s="84" t="s">
        <v>2801</v>
      </c>
      <c r="H575" s="84" t="s">
        <v>2886</v>
      </c>
      <c r="I575" s="84" t="s">
        <v>3626</v>
      </c>
      <c r="J575" s="7" t="s">
        <v>3034</v>
      </c>
      <c r="K575" s="7">
        <v>31.0</v>
      </c>
      <c r="L575" s="7">
        <v>31.0</v>
      </c>
      <c r="M575" s="7">
        <v>31.0</v>
      </c>
      <c r="N575" s="7">
        <v>0.0</v>
      </c>
      <c r="O575" s="7">
        <v>31.0</v>
      </c>
      <c r="P575" s="7">
        <v>31.0</v>
      </c>
      <c r="Q575" s="7">
        <v>4.0</v>
      </c>
      <c r="R575" s="7">
        <v>252.0</v>
      </c>
      <c r="S575" s="7">
        <v>0.0</v>
      </c>
      <c r="T575" s="7">
        <v>0.0</v>
      </c>
      <c r="U575" s="7">
        <v>0.0</v>
      </c>
      <c r="V575" s="7">
        <v>252.0</v>
      </c>
      <c r="W575" s="7">
        <f>VLOOKUP($D575,NatureChart,2,0)</f>
        <v>1.1</v>
      </c>
      <c r="X575" s="7">
        <f>VLOOKUP($D575,NatureChart,3,0)</f>
        <v>1</v>
      </c>
      <c r="Y575" s="7">
        <f>VLOOKUP($D575,NatureChart,4,0)</f>
        <v>0.9</v>
      </c>
      <c r="Z575" s="7">
        <f>VLOOKUP($D575,NatureChart,5,0)</f>
        <v>1</v>
      </c>
      <c r="AA575" s="84">
        <f>VLOOKUP($D575,NatureChart,6,0)</f>
        <v>1</v>
      </c>
      <c r="AB575" s="84">
        <f>IF($C575="Shedinja",1,(INT((2*VLOOKUP($C575,DexData,5,0)+INT(Q575/4)+K575)/2)+60))</f>
        <v>176</v>
      </c>
      <c r="AC575" s="84">
        <f>INT(INT((INT((2*VLOOKUP($C575,DexData,6,0)+INT(R575/4)+L575)/2)+5)*W575)*IF($E575="Choice Band",1.5,IF(OR($E575="Mawilite",$E575="Medichamite",$E575="Thick Club"),2,1)))</f>
        <v>204</v>
      </c>
      <c r="AD575" s="84">
        <f>INT(INT((INT((2*VLOOKUP($C575,DexData,7,0)+INT(S575/4)+M575)/2)+5)*X575)*IF($E575="Eviolite",1.5,1))</f>
        <v>130</v>
      </c>
      <c r="AE575" s="84">
        <f>INT(INT((INT((2*VLOOKUP($C575,DexData,9,0)+INT(T575/4)+N575)/2)+5)*Y575)*IF($E575="Choice Specs",1.5,1))</f>
        <v>90</v>
      </c>
      <c r="AF575" s="84">
        <f>INT(INT((INT((2*VLOOKUP($C575,DexData,10,0)+INT(U575/4)+O575)/2)+5)*Z575)*IF(OR($E575="Eviolite",$E575="Assault Vest"),1.5,1))</f>
        <v>120</v>
      </c>
      <c r="AG575" s="84">
        <f>INT(INT((INT((2*VLOOKUP($C575,DexData,11,0)+INT(V575/4)+P575)/2)+5)*AA575)*IF($E575="Choice Scarf",1.5,IF($E575="Iron Ball",0.5,1)))</f>
        <v>113</v>
      </c>
      <c r="AH575" s="84" t="str">
        <f>VLOOKUP(VLOOKUP($C575,DexData,3,0),Aliases!D$2:E$19,2,0)&amp;IFERROR("/"&amp;VLOOKUP(VLOOKUP($C575,DexData,4,0),Aliases!D$2:E$19,2,0),"")</f>
        <v>RCK/DRK</v>
      </c>
      <c r="AI575" s="7">
        <v>3.0</v>
      </c>
      <c r="AJ575" s="7">
        <f>IF(VLOOKUP(B575,'Set Odds'!A$2:AN$1067,40,0),1,IF(VLOOKUP(B575,'Set Odds'!A$2:AO$1067,41,0),2,0))</f>
        <v>1</v>
      </c>
      <c r="AK575" s="7"/>
      <c r="AL575" s="7" t="str">
        <f t="shared" si="1"/>
        <v/>
      </c>
    </row>
    <row r="576" ht="12.75" customHeight="1">
      <c r="A576" s="86">
        <v>575.0</v>
      </c>
      <c r="B576" s="84" t="s">
        <v>4119</v>
      </c>
      <c r="C576" s="7" t="s">
        <v>3931</v>
      </c>
      <c r="D576" s="7" t="s">
        <v>2692</v>
      </c>
      <c r="E576" s="7" t="s">
        <v>2519</v>
      </c>
      <c r="F576" s="84" t="s">
        <v>2764</v>
      </c>
      <c r="G576" s="84" t="s">
        <v>3454</v>
      </c>
      <c r="H576" s="84" t="s">
        <v>2762</v>
      </c>
      <c r="I576" s="84" t="s">
        <v>3710</v>
      </c>
      <c r="J576" s="7" t="s">
        <v>2696</v>
      </c>
      <c r="K576" s="7">
        <v>31.0</v>
      </c>
      <c r="L576" s="7">
        <v>31.0</v>
      </c>
      <c r="M576" s="7">
        <v>31.0</v>
      </c>
      <c r="N576" s="7">
        <v>0.0</v>
      </c>
      <c r="O576" s="7">
        <v>31.0</v>
      </c>
      <c r="P576" s="7">
        <v>31.0</v>
      </c>
      <c r="Q576" s="7">
        <v>4.0</v>
      </c>
      <c r="R576" s="7">
        <v>252.0</v>
      </c>
      <c r="S576" s="7">
        <v>0.0</v>
      </c>
      <c r="T576" s="7">
        <v>0.0</v>
      </c>
      <c r="U576" s="7">
        <v>0.0</v>
      </c>
      <c r="V576" s="7">
        <v>252.0</v>
      </c>
      <c r="W576" s="7">
        <f>VLOOKUP($D576,NatureChart,2,0)</f>
        <v>1</v>
      </c>
      <c r="X576" s="7">
        <f>VLOOKUP($D576,NatureChart,3,0)</f>
        <v>1</v>
      </c>
      <c r="Y576" s="7">
        <f>VLOOKUP($D576,NatureChart,4,0)</f>
        <v>0.9</v>
      </c>
      <c r="Z576" s="7">
        <f>VLOOKUP($D576,NatureChart,5,0)</f>
        <v>1</v>
      </c>
      <c r="AA576" s="84">
        <f>VLOOKUP($D576,NatureChart,6,0)</f>
        <v>1.1</v>
      </c>
      <c r="AB576" s="84">
        <f>IF($C576="Shedinja",1,(INT((2*VLOOKUP($C576,DexData,5,0)+INT(Q576/4)+K576)/2)+60))</f>
        <v>171</v>
      </c>
      <c r="AC576" s="84">
        <f>INT(INT((INT((2*VLOOKUP($C576,DexData,6,0)+INT(R576/4)+L576)/2)+5)*W576)*IF($E576="Choice Band",1.5,IF(OR($E576="Mawilite",$E576="Medichamite",$E576="Thick Club"),2,1)))</f>
        <v>187</v>
      </c>
      <c r="AD576" s="84">
        <f>INT(INT((INT((2*VLOOKUP($C576,DexData,7,0)+INT(S576/4)+M576)/2)+5)*X576)*IF($E576="Eviolite",1.5,1))</f>
        <v>100</v>
      </c>
      <c r="AE576" s="84">
        <f>INT(INT((INT((2*VLOOKUP($C576,DexData,9,0)+INT(T576/4)+N576)/2)+5)*Y576)*IF($E576="Choice Specs",1.5,1))</f>
        <v>103</v>
      </c>
      <c r="AF576" s="84">
        <f>INT(INT((INT((2*VLOOKUP($C576,DexData,10,0)+INT(U576/4)+O576)/2)+5)*Z576)*IF(OR($E576="Eviolite",$E576="Assault Vest"),1.5,1))</f>
        <v>100</v>
      </c>
      <c r="AG576" s="84">
        <f>INT(INT((INT((2*VLOOKUP($C576,DexData,11,0)+INT(V576/4)+P576)/2)+5)*AA576)*IF($E576="Choice Scarf",1.5,IF($E576="Iron Ball",0.5,1)))</f>
        <v>167</v>
      </c>
      <c r="AH576" s="84" t="str">
        <f>VLOOKUP(VLOOKUP($C576,DexData,3,0),Aliases!D$2:E$19,2,0)&amp;IFERROR("/"&amp;VLOOKUP(VLOOKUP($C576,DexData,4,0),Aliases!D$2:E$19,2,0),"")</f>
        <v>DRG/FLY</v>
      </c>
      <c r="AI576" s="7">
        <v>3.0</v>
      </c>
      <c r="AJ576" s="7">
        <f>IF(VLOOKUP(B576,'Set Odds'!A$2:AN$1067,40,0),1,IF(VLOOKUP(B576,'Set Odds'!A$2:AO$1067,41,0),2,0))</f>
        <v>1</v>
      </c>
      <c r="AK576" s="7"/>
      <c r="AL576" s="7" t="str">
        <f t="shared" si="1"/>
        <v/>
      </c>
    </row>
    <row r="577" ht="12.75" customHeight="1">
      <c r="A577" s="86">
        <v>576.0</v>
      </c>
      <c r="B577" s="84" t="s">
        <v>4120</v>
      </c>
      <c r="C577" s="7" t="s">
        <v>3933</v>
      </c>
      <c r="D577" s="7" t="s">
        <v>2656</v>
      </c>
      <c r="E577" s="7" t="s">
        <v>3715</v>
      </c>
      <c r="F577" s="84" t="s">
        <v>2659</v>
      </c>
      <c r="G577" s="84" t="s">
        <v>3524</v>
      </c>
      <c r="H577" s="84" t="s">
        <v>2661</v>
      </c>
      <c r="I577" s="84" t="s">
        <v>3052</v>
      </c>
      <c r="J577" s="7" t="s">
        <v>3370</v>
      </c>
      <c r="K577" s="7">
        <v>31.0</v>
      </c>
      <c r="L577" s="7">
        <v>0.0</v>
      </c>
      <c r="M577" s="7">
        <v>31.0</v>
      </c>
      <c r="N577" s="7">
        <v>31.0</v>
      </c>
      <c r="O577" s="7">
        <v>31.0</v>
      </c>
      <c r="P577" s="7">
        <v>31.0</v>
      </c>
      <c r="Q577" s="7">
        <v>4.0</v>
      </c>
      <c r="R577" s="7">
        <v>0.0</v>
      </c>
      <c r="S577" s="7">
        <v>0.0</v>
      </c>
      <c r="T577" s="7">
        <v>252.0</v>
      </c>
      <c r="U577" s="7">
        <v>0.0</v>
      </c>
      <c r="V577" s="7">
        <v>252.0</v>
      </c>
      <c r="W577" s="7">
        <f>VLOOKUP($D577,NatureChart,2,0)</f>
        <v>0.9</v>
      </c>
      <c r="X577" s="7">
        <f>VLOOKUP($D577,NatureChart,3,0)</f>
        <v>1</v>
      </c>
      <c r="Y577" s="7">
        <f>VLOOKUP($D577,NatureChart,4,0)</f>
        <v>1.1</v>
      </c>
      <c r="Z577" s="7">
        <f>VLOOKUP($D577,NatureChart,5,0)</f>
        <v>1</v>
      </c>
      <c r="AA577" s="84">
        <f>VLOOKUP($D577,NatureChart,6,0)</f>
        <v>1</v>
      </c>
      <c r="AB577" s="84">
        <f>IF($C577="Shedinja",1,(INT((2*VLOOKUP($C577,DexData,5,0)+INT(Q577/4)+K577)/2)+60))</f>
        <v>156</v>
      </c>
      <c r="AC577" s="84">
        <f>INT(INT((INT((2*VLOOKUP($C577,DexData,6,0)+INT(R577/4)+L577)/2)+5)*W577)*IF($E577="Choice Band",1.5,IF(OR($E577="Mawilite",$E577="Medichamite",$E577="Thick Club"),2,1)))</f>
        <v>126</v>
      </c>
      <c r="AD577" s="84">
        <f>INT(INT((INT((2*VLOOKUP($C577,DexData,7,0)+INT(S577/4)+M577)/2)+5)*X577)*IF($E577="Eviolite",1.5,1))</f>
        <v>150</v>
      </c>
      <c r="AE577" s="84">
        <f>INT(INT((INT((2*VLOOKUP($C577,DexData,9,0)+INT(T577/4)+N577)/2)+5)*Y577)*IF($E577="Choice Specs",1.5,1))</f>
        <v>161</v>
      </c>
      <c r="AF577" s="84">
        <f>INT(INT((INT((2*VLOOKUP($C577,DexData,10,0)+INT(U577/4)+O577)/2)+5)*Z577)*IF(OR($E577="Eviolite",$E577="Assault Vest"),1.5,1))</f>
        <v>110</v>
      </c>
      <c r="AG577" s="84">
        <f>INT(INT((INT((2*VLOOKUP($C577,DexData,11,0)+INT(V577/4)+P577)/2)+5)*AA577)*IF($E577="Choice Scarf",1.5,IF($E577="Iron Ball",0.5,1)))</f>
        <v>122</v>
      </c>
      <c r="AH577" s="84" t="str">
        <f>VLOOKUP(VLOOKUP($C577,DexData,3,0),Aliases!D$2:E$19,2,0)&amp;IFERROR("/"&amp;VLOOKUP(VLOOKUP($C577,DexData,4,0),Aliases!D$2:E$19,2,0),"")</f>
        <v>STL/PSY</v>
      </c>
      <c r="AI577" s="7">
        <v>3.0</v>
      </c>
      <c r="AJ577" s="7">
        <f>IF(VLOOKUP(B577,'Set Odds'!A$2:AN$1067,40,0),1,IF(VLOOKUP(B577,'Set Odds'!A$2:AO$1067,41,0),2,0))</f>
        <v>1</v>
      </c>
      <c r="AK577" s="7"/>
      <c r="AL577" s="7" t="str">
        <f t="shared" si="1"/>
        <v/>
      </c>
    </row>
    <row r="578" ht="12.75" customHeight="1">
      <c r="A578" s="86">
        <v>577.0</v>
      </c>
      <c r="B578" s="84" t="s">
        <v>4121</v>
      </c>
      <c r="C578" s="7" t="s">
        <v>3936</v>
      </c>
      <c r="D578" s="7" t="s">
        <v>3134</v>
      </c>
      <c r="E578" s="7" t="s">
        <v>2515</v>
      </c>
      <c r="F578" s="84" t="s">
        <v>4016</v>
      </c>
      <c r="G578" s="84" t="s">
        <v>3454</v>
      </c>
      <c r="H578" s="84" t="s">
        <v>2751</v>
      </c>
      <c r="I578" s="84" t="s">
        <v>3543</v>
      </c>
      <c r="J578" s="7" t="s">
        <v>2803</v>
      </c>
      <c r="K578" s="7">
        <v>31.0</v>
      </c>
      <c r="L578" s="7">
        <v>31.0</v>
      </c>
      <c r="M578" s="7">
        <v>31.0</v>
      </c>
      <c r="N578" s="7">
        <v>31.0</v>
      </c>
      <c r="O578" s="7">
        <v>31.0</v>
      </c>
      <c r="P578" s="7">
        <v>31.0</v>
      </c>
      <c r="Q578" s="7">
        <v>0.0</v>
      </c>
      <c r="R578" s="7">
        <v>252.0</v>
      </c>
      <c r="S578" s="7">
        <v>0.0</v>
      </c>
      <c r="T578" s="7">
        <v>4.0</v>
      </c>
      <c r="U578" s="7">
        <v>0.0</v>
      </c>
      <c r="V578" s="7">
        <v>252.0</v>
      </c>
      <c r="W578" s="7">
        <f>VLOOKUP($D578,NatureChart,2,0)</f>
        <v>1</v>
      </c>
      <c r="X578" s="7">
        <f>VLOOKUP($D578,NatureChart,3,0)</f>
        <v>1</v>
      </c>
      <c r="Y578" s="7">
        <f>VLOOKUP($D578,NatureChart,4,0)</f>
        <v>1</v>
      </c>
      <c r="Z578" s="7">
        <f>VLOOKUP($D578,NatureChart,5,0)</f>
        <v>0.9</v>
      </c>
      <c r="AA578" s="84">
        <f>VLOOKUP($D578,NatureChart,6,0)</f>
        <v>1.1</v>
      </c>
      <c r="AB578" s="84">
        <f>IF($C578="Shedinja",1,(INT((2*VLOOKUP($C578,DexData,5,0)+INT(Q578/4)+K578)/2)+60))</f>
        <v>183</v>
      </c>
      <c r="AC578" s="84">
        <f>INT(INT((INT((2*VLOOKUP($C578,DexData,6,0)+INT(R578/4)+L578)/2)+5)*W578)*IF($E578="Choice Band",1.5,IF(OR($E578="Mawilite",$E578="Medichamite",$E578="Thick Club"),2,1)))</f>
        <v>182</v>
      </c>
      <c r="AD578" s="84">
        <f>INT(INT((INT((2*VLOOKUP($C578,DexData,7,0)+INT(S578/4)+M578)/2)+5)*X578)*IF($E578="Eviolite",1.5,1))</f>
        <v>115</v>
      </c>
      <c r="AE578" s="84">
        <f>INT(INT((INT((2*VLOOKUP($C578,DexData,9,0)+INT(T578/4)+N578)/2)+5)*Y578)*IF($E578="Choice Specs",1.5,1))</f>
        <v>101</v>
      </c>
      <c r="AF578" s="84">
        <f>INT(INT((INT((2*VLOOKUP($C578,DexData,10,0)+INT(U578/4)+O578)/2)+5)*Z578)*IF(OR($E578="Eviolite",$E578="Assault Vest"),1.5,1))</f>
        <v>94</v>
      </c>
      <c r="AG578" s="84">
        <f>INT(INT((INT((2*VLOOKUP($C578,DexData,11,0)+INT(V578/4)+P578)/2)+5)*AA578)*IF($E578="Choice Scarf",1.5,IF($E578="Iron Ball",0.5,1)))</f>
        <v>169</v>
      </c>
      <c r="AH578" s="84" t="str">
        <f>VLOOKUP(VLOOKUP($C578,DexData,3,0),Aliases!D$2:E$19,2,0)&amp;IFERROR("/"&amp;VLOOKUP(VLOOKUP($C578,DexData,4,0),Aliases!D$2:E$19,2,0),"")</f>
        <v>DRG/GRD</v>
      </c>
      <c r="AI578" s="7">
        <v>3.0</v>
      </c>
      <c r="AJ578" s="7">
        <f>IF(VLOOKUP(B578,'Set Odds'!A$2:AN$1067,40,0),1,IF(VLOOKUP(B578,'Set Odds'!A$2:AO$1067,41,0),2,0))</f>
        <v>1</v>
      </c>
      <c r="AK578" s="7"/>
      <c r="AL578" s="7" t="str">
        <f t="shared" si="1"/>
        <v/>
      </c>
    </row>
    <row r="579" ht="12.75" customHeight="1">
      <c r="A579" s="86">
        <v>578.0</v>
      </c>
      <c r="B579" s="84" t="s">
        <v>4122</v>
      </c>
      <c r="C579" s="7" t="s">
        <v>3938</v>
      </c>
      <c r="D579" s="7" t="s">
        <v>2635</v>
      </c>
      <c r="E579" s="7" t="s">
        <v>3439</v>
      </c>
      <c r="F579" s="84" t="s">
        <v>3994</v>
      </c>
      <c r="G579" s="84" t="s">
        <v>3047</v>
      </c>
      <c r="H579" s="84" t="s">
        <v>3600</v>
      </c>
      <c r="I579" s="84" t="s">
        <v>3435</v>
      </c>
      <c r="J579" s="7" t="s">
        <v>3939</v>
      </c>
      <c r="K579" s="7">
        <v>31.0</v>
      </c>
      <c r="L579" s="7">
        <v>0.0</v>
      </c>
      <c r="M579" s="7">
        <v>31.0</v>
      </c>
      <c r="N579" s="7">
        <v>31.0</v>
      </c>
      <c r="O579" s="7">
        <v>31.0</v>
      </c>
      <c r="P579" s="7">
        <v>31.0</v>
      </c>
      <c r="Q579" s="7">
        <v>4.0</v>
      </c>
      <c r="R579" s="7">
        <v>0.0</v>
      </c>
      <c r="S579" s="7">
        <v>0.0</v>
      </c>
      <c r="T579" s="7">
        <v>252.0</v>
      </c>
      <c r="U579" s="7">
        <v>0.0</v>
      </c>
      <c r="V579" s="7">
        <v>252.0</v>
      </c>
      <c r="W579" s="7">
        <f>VLOOKUP($D579,NatureChart,2,0)</f>
        <v>0.9</v>
      </c>
      <c r="X579" s="7">
        <f>VLOOKUP($D579,NatureChart,3,0)</f>
        <v>1</v>
      </c>
      <c r="Y579" s="7">
        <f>VLOOKUP($D579,NatureChart,4,0)</f>
        <v>1</v>
      </c>
      <c r="Z579" s="7">
        <f>VLOOKUP($D579,NatureChart,5,0)</f>
        <v>1</v>
      </c>
      <c r="AA579" s="84">
        <f>VLOOKUP($D579,NatureChart,6,0)</f>
        <v>1.1</v>
      </c>
      <c r="AB579" s="84">
        <f>IF($C579="Shedinja",1,(INT((2*VLOOKUP($C579,DexData,5,0)+INT(Q579/4)+K579)/2)+60))</f>
        <v>226</v>
      </c>
      <c r="AC579" s="84">
        <f>INT(INT((INT((2*VLOOKUP($C579,DexData,6,0)+INT(R579/4)+L579)/2)+5)*W579)*IF($E579="Choice Band",1.5,IF(OR($E579="Mawilite",$E579="Medichamite",$E579="Thick Club"),2,1)))</f>
        <v>148</v>
      </c>
      <c r="AD579" s="84">
        <f>INT(INT((INT((2*VLOOKUP($C579,DexData,7,0)+INT(S579/4)+M579)/2)+5)*X579)*IF($E579="Eviolite",1.5,1))</f>
        <v>120</v>
      </c>
      <c r="AE579" s="84">
        <f>INT(INT((INT((2*VLOOKUP($C579,DexData,9,0)+INT(T579/4)+N579)/2)+5)*Y579)*IF($E579="Choice Specs",1.5,1))</f>
        <v>147</v>
      </c>
      <c r="AF579" s="84">
        <f>INT(INT((INT((2*VLOOKUP($C579,DexData,10,0)+INT(U579/4)+O579)/2)+5)*Z579)*IF(OR($E579="Eviolite",$E579="Assault Vest"),1.5,1))</f>
        <v>85</v>
      </c>
      <c r="AG579" s="84">
        <f>INT(INT((INT((2*VLOOKUP($C579,DexData,11,0)+INT(V579/4)+P579)/2)+5)*AA579)*IF($E579="Choice Scarf",1.5,IF($E579="Iron Ball",0.5,1)))</f>
        <v>167</v>
      </c>
      <c r="AH579" s="84" t="str">
        <f>VLOOKUP(VLOOKUP($C579,DexData,3,0),Aliases!D$2:E$19,2,0)&amp;IFERROR("/"&amp;VLOOKUP(VLOOKUP($C579,DexData,4,0),Aliases!D$2:E$19,2,0),"")</f>
        <v>NRM</v>
      </c>
      <c r="AI579" s="7">
        <v>3.0</v>
      </c>
      <c r="AJ579" s="7">
        <f>IF(VLOOKUP(B579,'Set Odds'!A$2:AN$1067,40,0),1,IF(VLOOKUP(B579,'Set Odds'!A$2:AO$1067,41,0),2,0))</f>
        <v>1</v>
      </c>
      <c r="AK579" s="7"/>
      <c r="AL579" s="7" t="str">
        <f t="shared" si="1"/>
        <v/>
      </c>
    </row>
    <row r="580" ht="12.75" customHeight="1">
      <c r="A580" s="86">
        <v>579.0</v>
      </c>
      <c r="B580" s="84" t="s">
        <v>4123</v>
      </c>
      <c r="C580" s="7" t="s">
        <v>3586</v>
      </c>
      <c r="D580" s="7" t="s">
        <v>2571</v>
      </c>
      <c r="E580" s="7" t="s">
        <v>2516</v>
      </c>
      <c r="F580" s="84" t="s">
        <v>3454</v>
      </c>
      <c r="G580" s="84" t="s">
        <v>2762</v>
      </c>
      <c r="H580" s="84" t="s">
        <v>4124</v>
      </c>
      <c r="I580" s="84" t="s">
        <v>2632</v>
      </c>
      <c r="J580" s="7" t="s">
        <v>2576</v>
      </c>
      <c r="K580" s="7">
        <v>31.0</v>
      </c>
      <c r="L580" s="7">
        <v>31.0</v>
      </c>
      <c r="M580" s="7">
        <v>31.0</v>
      </c>
      <c r="N580" s="7">
        <v>0.0</v>
      </c>
      <c r="O580" s="7">
        <v>31.0</v>
      </c>
      <c r="P580" s="7">
        <v>31.0</v>
      </c>
      <c r="Q580" s="7">
        <v>252.0</v>
      </c>
      <c r="R580" s="7">
        <v>252.0</v>
      </c>
      <c r="S580" s="7">
        <v>4.0</v>
      </c>
      <c r="T580" s="7">
        <v>0.0</v>
      </c>
      <c r="U580" s="7">
        <v>0.0</v>
      </c>
      <c r="V580" s="7">
        <v>0.0</v>
      </c>
      <c r="W580" s="7">
        <f>VLOOKUP($D580,NatureChart,2,0)</f>
        <v>1.1</v>
      </c>
      <c r="X580" s="7">
        <f>VLOOKUP($D580,NatureChart,3,0)</f>
        <v>1</v>
      </c>
      <c r="Y580" s="7">
        <f>VLOOKUP($D580,NatureChart,4,0)</f>
        <v>0.9</v>
      </c>
      <c r="Z580" s="7">
        <f>VLOOKUP($D580,NatureChart,5,0)</f>
        <v>1</v>
      </c>
      <c r="AA580" s="84">
        <f>VLOOKUP($D580,NatureChart,6,0)</f>
        <v>1</v>
      </c>
      <c r="AB580" s="84">
        <f>IF($C580="Shedinja",1,(INT((2*VLOOKUP($C580,DexData,5,0)+INT(Q580/4)+K580)/2)+60))</f>
        <v>187</v>
      </c>
      <c r="AC580" s="84">
        <f>INT(INT((INT((2*VLOOKUP($C580,DexData,6,0)+INT(R580/4)+L580)/2)+5)*W580)*IF($E580="Choice Band",1.5,IF(OR($E580="Mawilite",$E580="Medichamite",$E580="Thick Club"),2,1)))</f>
        <v>147</v>
      </c>
      <c r="AD580" s="84">
        <f>INT(INT((INT((2*VLOOKUP($C580,DexData,7,0)+INT(S580/4)+M580)/2)+5)*X580)*IF($E580="Eviolite",1.5,1))</f>
        <v>104</v>
      </c>
      <c r="AE580" s="84">
        <f>INT(INT((INT((2*VLOOKUP($C580,DexData,9,0)+INT(T580/4)+N580)/2)+5)*Y580)*IF($E580="Choice Specs",1.5,1))</f>
        <v>94</v>
      </c>
      <c r="AF580" s="84">
        <f>INT(INT((INT((2*VLOOKUP($C580,DexData,10,0)+INT(U580/4)+O580)/2)+5)*Z580)*IF(OR($E580="Eviolite",$E580="Assault Vest"),1.5,1))</f>
        <v>120</v>
      </c>
      <c r="AG580" s="84">
        <f>INT(INT((INT((2*VLOOKUP($C580,DexData,11,0)+INT(V580/4)+P580)/2)+5)*AA580)*IF($E580="Choice Scarf",1.5,IF($E580="Iron Ball",0.5,1)))</f>
        <v>100</v>
      </c>
      <c r="AH580" s="84" t="str">
        <f>VLOOKUP(VLOOKUP($C580,DexData,3,0),Aliases!D$2:E$19,2,0)&amp;IFERROR("/"&amp;VLOOKUP(VLOOKUP($C580,DexData,4,0),Aliases!D$2:E$19,2,0),"")</f>
        <v>GRS/PSN</v>
      </c>
      <c r="AI580" s="7">
        <v>3.0</v>
      </c>
      <c r="AJ580" s="7">
        <f>IF(VLOOKUP(B580,'Set Odds'!A$2:AN$1067,40,0),1,IF(VLOOKUP(B580,'Set Odds'!A$2:AO$1067,41,0),2,0))</f>
        <v>1</v>
      </c>
      <c r="AK580" s="7"/>
      <c r="AL580" s="7" t="str">
        <f t="shared" si="1"/>
        <v/>
      </c>
    </row>
    <row r="581" ht="12.75" customHeight="1">
      <c r="A581" s="86">
        <v>580.0</v>
      </c>
      <c r="B581" s="84" t="s">
        <v>4125</v>
      </c>
      <c r="C581" s="7" t="s">
        <v>3589</v>
      </c>
      <c r="D581" s="7" t="s">
        <v>2571</v>
      </c>
      <c r="E581" s="7" t="s">
        <v>2519</v>
      </c>
      <c r="F581" s="84" t="s">
        <v>3608</v>
      </c>
      <c r="G581" s="84" t="s">
        <v>2676</v>
      </c>
      <c r="H581" s="84" t="s">
        <v>3440</v>
      </c>
      <c r="I581" s="84" t="s">
        <v>2764</v>
      </c>
      <c r="J581" s="7" t="s">
        <v>2584</v>
      </c>
      <c r="K581" s="7">
        <v>31.0</v>
      </c>
      <c r="L581" s="7">
        <v>31.0</v>
      </c>
      <c r="M581" s="7">
        <v>31.0</v>
      </c>
      <c r="N581" s="7">
        <v>0.0</v>
      </c>
      <c r="O581" s="7">
        <v>31.0</v>
      </c>
      <c r="P581" s="7">
        <v>31.0</v>
      </c>
      <c r="Q581" s="7">
        <v>4.0</v>
      </c>
      <c r="R581" s="7">
        <v>252.0</v>
      </c>
      <c r="S581" s="7">
        <v>0.0</v>
      </c>
      <c r="T581" s="7">
        <v>0.0</v>
      </c>
      <c r="U581" s="7">
        <v>0.0</v>
      </c>
      <c r="V581" s="7">
        <v>252.0</v>
      </c>
      <c r="W581" s="7">
        <f>VLOOKUP($D581,NatureChart,2,0)</f>
        <v>1.1</v>
      </c>
      <c r="X581" s="7">
        <f>VLOOKUP($D581,NatureChart,3,0)</f>
        <v>1</v>
      </c>
      <c r="Y581" s="7">
        <f>VLOOKUP($D581,NatureChart,4,0)</f>
        <v>0.9</v>
      </c>
      <c r="Z581" s="7">
        <f>VLOOKUP($D581,NatureChart,5,0)</f>
        <v>1</v>
      </c>
      <c r="AA581" s="84">
        <f>VLOOKUP($D581,NatureChart,6,0)</f>
        <v>1</v>
      </c>
      <c r="AB581" s="84">
        <f>IF($C581="Shedinja",1,(INT((2*VLOOKUP($C581,DexData,5,0)+INT(Q581/4)+K581)/2)+60))</f>
        <v>154</v>
      </c>
      <c r="AC581" s="84">
        <f>INT(INT((INT((2*VLOOKUP($C581,DexData,6,0)+INT(R581/4)+L581)/2)+5)*W581)*IF($E581="Choice Band",1.5,IF(OR($E581="Mawilite",$E581="Medichamite",$E581="Thick Club"),2,1)))</f>
        <v>149</v>
      </c>
      <c r="AD581" s="84">
        <f>INT(INT((INT((2*VLOOKUP($C581,DexData,7,0)+INT(S581/4)+M581)/2)+5)*X581)*IF($E581="Eviolite",1.5,1))</f>
        <v>98</v>
      </c>
      <c r="AE581" s="84">
        <f>INT(INT((INT((2*VLOOKUP($C581,DexData,9,0)+INT(T581/4)+N581)/2)+5)*Y581)*IF($E581="Choice Specs",1.5,1))</f>
        <v>102</v>
      </c>
      <c r="AF581" s="84">
        <f>INT(INT((INT((2*VLOOKUP($C581,DexData,10,0)+INT(U581/4)+O581)/2)+5)*Z581)*IF(OR($E581="Eviolite",$E581="Assault Vest"),1.5,1))</f>
        <v>105</v>
      </c>
      <c r="AG581" s="84">
        <f>INT(INT((INT((2*VLOOKUP($C581,DexData,11,0)+INT(V581/4)+P581)/2)+5)*AA581)*IF($E581="Choice Scarf",1.5,IF($E581="Iron Ball",0.5,1)))</f>
        <v>152</v>
      </c>
      <c r="AH581" s="84" t="str">
        <f>VLOOKUP(VLOOKUP($C581,DexData,3,0),Aliases!D$2:E$19,2,0)&amp;IFERROR("/"&amp;VLOOKUP(VLOOKUP($C581,DexData,4,0),Aliases!D$2:E$19,2,0),"")</f>
        <v>FIR/FLY</v>
      </c>
      <c r="AI581" s="7">
        <v>3.0</v>
      </c>
      <c r="AJ581" s="7">
        <f>IF(VLOOKUP(B581,'Set Odds'!A$2:AN$1067,40,0),1,IF(VLOOKUP(B581,'Set Odds'!A$2:AO$1067,41,0),2,0))</f>
        <v>1</v>
      </c>
      <c r="AK581" s="7"/>
      <c r="AL581" s="7" t="str">
        <f t="shared" si="1"/>
        <v/>
      </c>
    </row>
    <row r="582" ht="12.75" customHeight="1">
      <c r="A582" s="86">
        <v>581.0</v>
      </c>
      <c r="B582" s="84" t="s">
        <v>4126</v>
      </c>
      <c r="C582" s="7" t="s">
        <v>3592</v>
      </c>
      <c r="D582" s="7" t="s">
        <v>2656</v>
      </c>
      <c r="E582" s="7" t="s">
        <v>2516</v>
      </c>
      <c r="F582" s="84" t="s">
        <v>3341</v>
      </c>
      <c r="G582" s="84" t="s">
        <v>2823</v>
      </c>
      <c r="H582" s="84" t="s">
        <v>3590</v>
      </c>
      <c r="I582" s="84" t="s">
        <v>2987</v>
      </c>
      <c r="J582" s="7" t="s">
        <v>3996</v>
      </c>
      <c r="K582" s="7">
        <v>31.0</v>
      </c>
      <c r="L582" s="7">
        <v>0.0</v>
      </c>
      <c r="M582" s="7">
        <v>31.0</v>
      </c>
      <c r="N582" s="7">
        <v>31.0</v>
      </c>
      <c r="O582" s="7">
        <v>31.0</v>
      </c>
      <c r="P582" s="7">
        <v>31.0</v>
      </c>
      <c r="Q582" s="7">
        <v>4.0</v>
      </c>
      <c r="R582" s="7">
        <v>0.0</v>
      </c>
      <c r="S582" s="7">
        <v>0.0</v>
      </c>
      <c r="T582" s="7">
        <v>252.0</v>
      </c>
      <c r="U582" s="7">
        <v>0.0</v>
      </c>
      <c r="V582" s="7">
        <v>252.0</v>
      </c>
      <c r="W582" s="7">
        <f>VLOOKUP($D582,NatureChart,2,0)</f>
        <v>0.9</v>
      </c>
      <c r="X582" s="7">
        <f>VLOOKUP($D582,NatureChart,3,0)</f>
        <v>1</v>
      </c>
      <c r="Y582" s="7">
        <f>VLOOKUP($D582,NatureChart,4,0)</f>
        <v>1.1</v>
      </c>
      <c r="Z582" s="7">
        <f>VLOOKUP($D582,NatureChart,5,0)</f>
        <v>1</v>
      </c>
      <c r="AA582" s="84">
        <f>VLOOKUP($D582,NatureChart,6,0)</f>
        <v>1</v>
      </c>
      <c r="AB582" s="84">
        <f>IF($C582="Shedinja",1,(INT((2*VLOOKUP($C582,DexData,5,0)+INT(Q582/4)+K582)/2)+60))</f>
        <v>155</v>
      </c>
      <c r="AC582" s="84">
        <f>INT(INT((INT((2*VLOOKUP($C582,DexData,6,0)+INT(R582/4)+L582)/2)+5)*W582)*IF($E582="Choice Band",1.5,IF(OR($E582="Mawilite",$E582="Medichamite",$E582="Thick Club"),2,1)))</f>
        <v>79</v>
      </c>
      <c r="AD582" s="84">
        <f>INT(INT((INT((2*VLOOKUP($C582,DexData,7,0)+INT(S582/4)+M582)/2)+5)*X582)*IF($E582="Eviolite",1.5,1))</f>
        <v>120</v>
      </c>
      <c r="AE582" s="84">
        <f>INT(INT((INT((2*VLOOKUP($C582,DexData,9,0)+INT(T582/4)+N582)/2)+5)*Y582)*IF($E582="Choice Specs",1.5,1))</f>
        <v>150</v>
      </c>
      <c r="AF582" s="84">
        <f>INT(INT((INT((2*VLOOKUP($C582,DexData,10,0)+INT(U582/4)+O582)/2)+5)*Z582)*IF(OR($E582="Eviolite",$E582="Assault Vest"),1.5,1))</f>
        <v>125</v>
      </c>
      <c r="AG582" s="84">
        <f>INT(INT((INT((2*VLOOKUP($C582,DexData,11,0)+INT(V582/4)+P582)/2)+5)*AA582)*IF($E582="Choice Scarf",1.5,IF($E582="Iron Ball",0.5,1)))</f>
        <v>130</v>
      </c>
      <c r="AH582" s="84" t="str">
        <f>VLOOKUP(VLOOKUP($C582,DexData,3,0),Aliases!D$2:E$19,2,0)&amp;IFERROR("/"&amp;VLOOKUP(VLOOKUP($C582,DexData,4,0),Aliases!D$2:E$19,2,0),"")</f>
        <v>WTR</v>
      </c>
      <c r="AI582" s="7">
        <v>3.0</v>
      </c>
      <c r="AJ582" s="7">
        <f>IF(VLOOKUP(B582,'Set Odds'!A$2:AN$1067,40,0),1,IF(VLOOKUP(B582,'Set Odds'!A$2:AO$1067,41,0),2,0))</f>
        <v>1</v>
      </c>
      <c r="AK582" s="7"/>
      <c r="AL582" s="7" t="str">
        <f t="shared" si="1"/>
        <v/>
      </c>
    </row>
    <row r="583" ht="12.75" customHeight="1">
      <c r="A583" s="86">
        <v>582.0</v>
      </c>
      <c r="B583" s="84" t="s">
        <v>4127</v>
      </c>
      <c r="C583" s="7" t="s">
        <v>3596</v>
      </c>
      <c r="D583" s="7" t="s">
        <v>2862</v>
      </c>
      <c r="E583" s="7" t="s">
        <v>3976</v>
      </c>
      <c r="F583" s="84" t="s">
        <v>2575</v>
      </c>
      <c r="G583" s="84" t="s">
        <v>3952</v>
      </c>
      <c r="H583" s="84" t="s">
        <v>2596</v>
      </c>
      <c r="I583" s="84" t="s">
        <v>2863</v>
      </c>
      <c r="J583" s="7" t="s">
        <v>2576</v>
      </c>
      <c r="K583" s="7">
        <v>31.0</v>
      </c>
      <c r="L583" s="7">
        <v>0.0</v>
      </c>
      <c r="M583" s="7">
        <v>31.0</v>
      </c>
      <c r="N583" s="7">
        <v>31.0</v>
      </c>
      <c r="O583" s="7">
        <v>31.0</v>
      </c>
      <c r="P583" s="7">
        <v>31.0</v>
      </c>
      <c r="Q583" s="7">
        <v>252.0</v>
      </c>
      <c r="R583" s="7">
        <v>0.0</v>
      </c>
      <c r="S583" s="7">
        <v>252.0</v>
      </c>
      <c r="T583" s="7">
        <v>4.0</v>
      </c>
      <c r="U583" s="7">
        <v>0.0</v>
      </c>
      <c r="V583" s="7">
        <v>0.0</v>
      </c>
      <c r="W583" s="7">
        <f>VLOOKUP($D583,NatureChart,2,0)</f>
        <v>0.9</v>
      </c>
      <c r="X583" s="7">
        <f>VLOOKUP($D583,NatureChart,3,0)</f>
        <v>1.1</v>
      </c>
      <c r="Y583" s="7">
        <f>VLOOKUP($D583,NatureChart,4,0)</f>
        <v>1</v>
      </c>
      <c r="Z583" s="7">
        <f>VLOOKUP($D583,NatureChart,5,0)</f>
        <v>1</v>
      </c>
      <c r="AA583" s="84">
        <f>VLOOKUP($D583,NatureChart,6,0)</f>
        <v>1</v>
      </c>
      <c r="AB583" s="84">
        <f>IF($C583="Shedinja",1,(INT((2*VLOOKUP($C583,DexData,5,0)+INT(Q583/4)+K583)/2)+60))</f>
        <v>187</v>
      </c>
      <c r="AC583" s="84">
        <f>INT(INT((INT((2*VLOOKUP($C583,DexData,6,0)+INT(R583/4)+L583)/2)+5)*W583)*IF($E583="Choice Band",1.5,IF(OR($E583="Mawilite",$E583="Medichamite",$E583="Thick Club"),2,1)))</f>
        <v>78</v>
      </c>
      <c r="AD583" s="84">
        <f>INT(INT((INT((2*VLOOKUP($C583,DexData,7,0)+INT(S583/4)+M583)/2)+5)*X583)*IF($E583="Eviolite",1.5,1))</f>
        <v>167</v>
      </c>
      <c r="AE583" s="84">
        <f>INT(INT((INT((2*VLOOKUP($C583,DexData,9,0)+INT(T583/4)+N583)/2)+5)*Y583)*IF($E583="Choice Specs",1.5,1))</f>
        <v>104</v>
      </c>
      <c r="AF583" s="84">
        <f>INT(INT((INT((2*VLOOKUP($C583,DexData,10,0)+INT(U583/4)+O583)/2)+5)*Z583)*IF(OR($E583="Eviolite",$E583="Assault Vest"),1.5,1))</f>
        <v>120</v>
      </c>
      <c r="AG583" s="84">
        <f>INT(INT((INT((2*VLOOKUP($C583,DexData,11,0)+INT(V583/4)+P583)/2)+5)*AA583)*IF($E583="Choice Scarf",1.5,IF($E583="Iron Ball",0.5,1)))</f>
        <v>100</v>
      </c>
      <c r="AH583" s="84" t="str">
        <f>VLOOKUP(VLOOKUP($C583,DexData,3,0),Aliases!D$2:E$19,2,0)&amp;IFERROR("/"&amp;VLOOKUP(VLOOKUP($C583,DexData,4,0),Aliases!D$2:E$19,2,0),"")</f>
        <v>GRS</v>
      </c>
      <c r="AI583" s="7">
        <v>3.0</v>
      </c>
      <c r="AJ583" s="7">
        <f>IF(VLOOKUP(B583,'Set Odds'!A$2:AN$1067,40,0),1,IF(VLOOKUP(B583,'Set Odds'!A$2:AO$1067,41,0),2,0))</f>
        <v>1</v>
      </c>
      <c r="AK583" s="7"/>
      <c r="AL583" s="7" t="str">
        <f t="shared" si="1"/>
        <v/>
      </c>
    </row>
    <row r="584" ht="12.75" customHeight="1">
      <c r="A584" s="86">
        <v>583.0</v>
      </c>
      <c r="B584" s="84" t="s">
        <v>4128</v>
      </c>
      <c r="C584" s="7" t="s">
        <v>3599</v>
      </c>
      <c r="D584" s="7" t="s">
        <v>2571</v>
      </c>
      <c r="E584" s="7" t="s">
        <v>2618</v>
      </c>
      <c r="F584" s="84" t="s">
        <v>3608</v>
      </c>
      <c r="G584" s="84" t="s">
        <v>3454</v>
      </c>
      <c r="H584" s="84" t="s">
        <v>2886</v>
      </c>
      <c r="I584" s="84" t="s">
        <v>2614</v>
      </c>
      <c r="J584" s="7" t="s">
        <v>2584</v>
      </c>
      <c r="K584" s="7">
        <v>31.0</v>
      </c>
      <c r="L584" s="7">
        <v>31.0</v>
      </c>
      <c r="M584" s="7">
        <v>31.0</v>
      </c>
      <c r="N584" s="7">
        <v>0.0</v>
      </c>
      <c r="O584" s="7">
        <v>31.0</v>
      </c>
      <c r="P584" s="7">
        <v>31.0</v>
      </c>
      <c r="Q584" s="7">
        <v>4.0</v>
      </c>
      <c r="R584" s="7">
        <v>252.0</v>
      </c>
      <c r="S584" s="7">
        <v>0.0</v>
      </c>
      <c r="T584" s="7">
        <v>0.0</v>
      </c>
      <c r="U584" s="7">
        <v>0.0</v>
      </c>
      <c r="V584" s="7">
        <v>252.0</v>
      </c>
      <c r="W584" s="7">
        <f>VLOOKUP($D584,NatureChart,2,0)</f>
        <v>1.1</v>
      </c>
      <c r="X584" s="7">
        <f>VLOOKUP($D584,NatureChart,3,0)</f>
        <v>1</v>
      </c>
      <c r="Y584" s="7">
        <f>VLOOKUP($D584,NatureChart,4,0)</f>
        <v>0.9</v>
      </c>
      <c r="Z584" s="7">
        <f>VLOOKUP($D584,NatureChart,5,0)</f>
        <v>1</v>
      </c>
      <c r="AA584" s="84">
        <f>VLOOKUP($D584,NatureChart,6,0)</f>
        <v>1</v>
      </c>
      <c r="AB584" s="84">
        <f>IF($C584="Shedinja",1,(INT((2*VLOOKUP($C584,DexData,5,0)+INT(Q584/4)+K584)/2)+60))</f>
        <v>154</v>
      </c>
      <c r="AC584" s="84">
        <f>INT(INT((INT((2*VLOOKUP($C584,DexData,6,0)+INT(R584/4)+L584)/2)+5)*W584)*IF($E584="Choice Band",1.5,IF(OR($E584="Mawilite",$E584="Medichamite",$E584="Thick Club"),2,1)))</f>
        <v>149</v>
      </c>
      <c r="AD584" s="84">
        <f>INT(INT((INT((2*VLOOKUP($C584,DexData,7,0)+INT(S584/4)+M584)/2)+5)*X584)*IF($E584="Eviolite",1.5,1))</f>
        <v>98</v>
      </c>
      <c r="AE584" s="84">
        <f>INT(INT((INT((2*VLOOKUP($C584,DexData,9,0)+INT(T584/4)+N584)/2)+5)*Y584)*IF($E584="Choice Specs",1.5,1))</f>
        <v>102</v>
      </c>
      <c r="AF584" s="84">
        <f>INT(INT((INT((2*VLOOKUP($C584,DexData,10,0)+INT(U584/4)+O584)/2)+5)*Z584)*IF(OR($E584="Eviolite",$E584="Assault Vest"),1.5,1))</f>
        <v>105</v>
      </c>
      <c r="AG584" s="84">
        <f>INT(INT((INT((2*VLOOKUP($C584,DexData,11,0)+INT(V584/4)+P584)/2)+5)*AA584)*IF($E584="Choice Scarf",1.5,IF($E584="Iron Ball",0.5,1)))</f>
        <v>152</v>
      </c>
      <c r="AH584" s="84" t="str">
        <f>VLOOKUP(VLOOKUP($C584,DexData,3,0),Aliases!D$2:E$19,2,0)&amp;IFERROR("/"&amp;VLOOKUP(VLOOKUP($C584,DexData,4,0),Aliases!D$2:E$19,2,0),"")</f>
        <v>FIR</v>
      </c>
      <c r="AI584" s="7">
        <v>3.0</v>
      </c>
      <c r="AJ584" s="7">
        <f>IF(VLOOKUP(B584,'Set Odds'!A$2:AN$1067,40,0),1,IF(VLOOKUP(B584,'Set Odds'!A$2:AO$1067,41,0),2,0))</f>
        <v>1</v>
      </c>
      <c r="AK584" s="7"/>
      <c r="AL584" s="7" t="str">
        <f t="shared" si="1"/>
        <v/>
      </c>
    </row>
    <row r="585" ht="12.75" customHeight="1">
      <c r="A585" s="86">
        <v>584.0</v>
      </c>
      <c r="B585" s="84" t="s">
        <v>4129</v>
      </c>
      <c r="C585" s="7" t="s">
        <v>3602</v>
      </c>
      <c r="D585" s="7" t="s">
        <v>2571</v>
      </c>
      <c r="E585" s="7" t="s">
        <v>2642</v>
      </c>
      <c r="F585" s="84" t="s">
        <v>2869</v>
      </c>
      <c r="G585" s="84" t="s">
        <v>3454</v>
      </c>
      <c r="H585" s="84" t="s">
        <v>3603</v>
      </c>
      <c r="I585" s="84" t="s">
        <v>2764</v>
      </c>
      <c r="J585" s="7" t="s">
        <v>2590</v>
      </c>
      <c r="K585" s="7">
        <v>31.0</v>
      </c>
      <c r="L585" s="7">
        <v>31.0</v>
      </c>
      <c r="M585" s="7">
        <v>31.0</v>
      </c>
      <c r="N585" s="7">
        <v>0.0</v>
      </c>
      <c r="O585" s="7">
        <v>31.0</v>
      </c>
      <c r="P585" s="7">
        <v>31.0</v>
      </c>
      <c r="Q585" s="7">
        <v>4.0</v>
      </c>
      <c r="R585" s="7">
        <v>252.0</v>
      </c>
      <c r="S585" s="7">
        <v>0.0</v>
      </c>
      <c r="T585" s="7">
        <v>0.0</v>
      </c>
      <c r="U585" s="7">
        <v>0.0</v>
      </c>
      <c r="V585" s="7">
        <v>252.0</v>
      </c>
      <c r="W585" s="7">
        <f>VLOOKUP($D585,NatureChart,2,0)</f>
        <v>1.1</v>
      </c>
      <c r="X585" s="7">
        <f>VLOOKUP($D585,NatureChart,3,0)</f>
        <v>1</v>
      </c>
      <c r="Y585" s="7">
        <f>VLOOKUP($D585,NatureChart,4,0)</f>
        <v>0.9</v>
      </c>
      <c r="Z585" s="7">
        <f>VLOOKUP($D585,NatureChart,5,0)</f>
        <v>1</v>
      </c>
      <c r="AA585" s="84">
        <f>VLOOKUP($D585,NatureChart,6,0)</f>
        <v>1</v>
      </c>
      <c r="AB585" s="84">
        <f>IF($C585="Shedinja",1,(INT((2*VLOOKUP($C585,DexData,5,0)+INT(Q585/4)+K585)/2)+60))</f>
        <v>161</v>
      </c>
      <c r="AC585" s="84">
        <f>INT(INT((INT((2*VLOOKUP($C585,DexData,6,0)+INT(R585/4)+L585)/2)+5)*W585)*IF($E585="Choice Band",1.5,IF(OR($E585="Mawilite",$E585="Medichamite",$E585="Thick Club"),2,1)))</f>
        <v>172</v>
      </c>
      <c r="AD585" s="84">
        <f>INT(INT((INT((2*VLOOKUP($C585,DexData,7,0)+INT(S585/4)+M585)/2)+5)*X585)*IF($E585="Eviolite",1.5,1))</f>
        <v>120</v>
      </c>
      <c r="AE585" s="84">
        <f>INT(INT((INT((2*VLOOKUP($C585,DexData,9,0)+INT(T585/4)+N585)/2)+5)*Y585)*IF($E585="Choice Specs",1.5,1))</f>
        <v>75</v>
      </c>
      <c r="AF585" s="84">
        <f>INT(INT((INT((2*VLOOKUP($C585,DexData,10,0)+INT(U585/4)+O585)/2)+5)*Z585)*IF(OR($E585="Eviolite",$E585="Assault Vest"),1.5,1))</f>
        <v>103</v>
      </c>
      <c r="AG585" s="84">
        <f>INT(INT((INT((2*VLOOKUP($C585,DexData,11,0)+INT(V585/4)+P585)/2)+5)*AA585)*IF($E585="Choice Scarf",1.5,IF($E585="Iron Ball",0.5,1)))</f>
        <v>130</v>
      </c>
      <c r="AH585" s="84" t="str">
        <f>VLOOKUP(VLOOKUP($C585,DexData,3,0),Aliases!D$2:E$19,2,0)&amp;IFERROR("/"&amp;VLOOKUP(VLOOKUP($C585,DexData,4,0),Aliases!D$2:E$19,2,0),"")</f>
        <v>WTR</v>
      </c>
      <c r="AI585" s="7">
        <v>3.0</v>
      </c>
      <c r="AJ585" s="7">
        <f>IF(VLOOKUP(B585,'Set Odds'!A$2:AN$1067,40,0),1,IF(VLOOKUP(B585,'Set Odds'!A$2:AO$1067,41,0),2,0))</f>
        <v>1</v>
      </c>
      <c r="AK585" s="7"/>
      <c r="AL585" s="7" t="str">
        <f t="shared" si="1"/>
        <v/>
      </c>
    </row>
    <row r="586" ht="12.75" customHeight="1">
      <c r="A586" s="86">
        <v>585.0</v>
      </c>
      <c r="B586" s="84" t="s">
        <v>4130</v>
      </c>
      <c r="C586" s="7" t="s">
        <v>3605</v>
      </c>
      <c r="D586" s="7" t="s">
        <v>3344</v>
      </c>
      <c r="E586" s="7" t="s">
        <v>2630</v>
      </c>
      <c r="F586" s="84" t="s">
        <v>3952</v>
      </c>
      <c r="G586" s="84" t="s">
        <v>2614</v>
      </c>
      <c r="H586" s="84" t="s">
        <v>3685</v>
      </c>
      <c r="I586" s="84" t="s">
        <v>3590</v>
      </c>
      <c r="J586" s="7" t="s">
        <v>2576</v>
      </c>
      <c r="K586" s="7">
        <v>31.0</v>
      </c>
      <c r="L586" s="7">
        <v>31.0</v>
      </c>
      <c r="M586" s="7">
        <v>31.0</v>
      </c>
      <c r="N586" s="7">
        <v>31.0</v>
      </c>
      <c r="O586" s="7">
        <v>31.0</v>
      </c>
      <c r="P586" s="7">
        <v>31.0</v>
      </c>
      <c r="Q586" s="7">
        <v>0.0</v>
      </c>
      <c r="R586" s="7">
        <v>4.0</v>
      </c>
      <c r="S586" s="7">
        <v>0.0</v>
      </c>
      <c r="T586" s="7">
        <v>252.0</v>
      </c>
      <c r="U586" s="7">
        <v>0.0</v>
      </c>
      <c r="V586" s="7">
        <v>252.0</v>
      </c>
      <c r="W586" s="7">
        <f>VLOOKUP($D586,NatureChart,2,0)</f>
        <v>1</v>
      </c>
      <c r="X586" s="7">
        <f>VLOOKUP($D586,NatureChart,3,0)</f>
        <v>1</v>
      </c>
      <c r="Y586" s="7">
        <f>VLOOKUP($D586,NatureChart,4,0)</f>
        <v>1</v>
      </c>
      <c r="Z586" s="7">
        <f>VLOOKUP($D586,NatureChart,5,0)</f>
        <v>1</v>
      </c>
      <c r="AA586" s="84">
        <f>VLOOKUP($D586,NatureChart,6,0)</f>
        <v>1</v>
      </c>
      <c r="AB586" s="84">
        <f>IF($C586="Shedinja",1,(INT((2*VLOOKUP($C586,DexData,5,0)+INT(Q586/4)+K586)/2)+60))</f>
        <v>145</v>
      </c>
      <c r="AC586" s="84">
        <f>INT(INT((INT((2*VLOOKUP($C586,DexData,6,0)+INT(R586/4)+L586)/2)+5)*W586)*IF($E586="Choice Band",1.5,IF(OR($E586="Mawilite",$E586="Medichamite",$E586="Thick Club"),2,1)))</f>
        <v>106</v>
      </c>
      <c r="AD586" s="84">
        <f>INT(INT((INT((2*VLOOKUP($C586,DexData,7,0)+INT(S586/4)+M586)/2)+5)*X586)*IF($E586="Eviolite",1.5,1))</f>
        <v>85</v>
      </c>
      <c r="AE586" s="84">
        <f>INT(INT((INT((2*VLOOKUP($C586,DexData,9,0)+INT(T586/4)+N586)/2)+5)*Y586)*IF($E586="Choice Specs",1.5,1))</f>
        <v>157</v>
      </c>
      <c r="AF586" s="84">
        <f>INT(INT((INT((2*VLOOKUP($C586,DexData,10,0)+INT(U586/4)+O586)/2)+5)*Z586)*IF(OR($E586="Eviolite",$E586="Assault Vest"),1.5,1))</f>
        <v>105</v>
      </c>
      <c r="AG586" s="84">
        <f>INT(INT((INT((2*VLOOKUP($C586,DexData,11,0)+INT(V586/4)+P586)/2)+5)*AA586)*IF($E586="Choice Scarf",1.5,IF($E586="Iron Ball",0.5,1)))</f>
        <v>172</v>
      </c>
      <c r="AH586" s="84" t="str">
        <f>VLOOKUP(VLOOKUP($C586,DexData,3,0),Aliases!D$2:E$19,2,0)&amp;IFERROR("/"&amp;VLOOKUP(VLOOKUP($C586,DexData,4,0),Aliases!D$2:E$19,2,0),"")</f>
        <v>GRS</v>
      </c>
      <c r="AI586" s="7">
        <v>3.0</v>
      </c>
      <c r="AJ586" s="7">
        <f>IF(VLOOKUP(B586,'Set Odds'!A$2:AN$1067,40,0),1,IF(VLOOKUP(B586,'Set Odds'!A$2:AO$1067,41,0),2,0))</f>
        <v>1</v>
      </c>
      <c r="AK586" s="7"/>
      <c r="AL586" s="7" t="str">
        <f t="shared" si="1"/>
        <v/>
      </c>
    </row>
    <row r="587" ht="12.75" customHeight="1">
      <c r="A587" s="86">
        <v>586.0</v>
      </c>
      <c r="B587" s="84" t="s">
        <v>4131</v>
      </c>
      <c r="C587" s="7" t="s">
        <v>3607</v>
      </c>
      <c r="D587" s="7" t="s">
        <v>2789</v>
      </c>
      <c r="E587" s="7" t="s">
        <v>2724</v>
      </c>
      <c r="F587" s="84" t="s">
        <v>3617</v>
      </c>
      <c r="G587" s="84" t="s">
        <v>3608</v>
      </c>
      <c r="H587" s="84" t="s">
        <v>2517</v>
      </c>
      <c r="I587" s="84" t="s">
        <v>3483</v>
      </c>
      <c r="J587" s="7" t="s">
        <v>3217</v>
      </c>
      <c r="K587" s="7">
        <v>31.0</v>
      </c>
      <c r="L587" s="7">
        <v>31.0</v>
      </c>
      <c r="M587" s="7">
        <v>31.0</v>
      </c>
      <c r="N587" s="7">
        <v>31.0</v>
      </c>
      <c r="O587" s="7">
        <v>31.0</v>
      </c>
      <c r="P587" s="7">
        <v>31.0</v>
      </c>
      <c r="Q587" s="7">
        <v>0.0</v>
      </c>
      <c r="R587" s="7">
        <v>252.0</v>
      </c>
      <c r="S587" s="7">
        <v>0.0</v>
      </c>
      <c r="T587" s="7">
        <v>4.0</v>
      </c>
      <c r="U587" s="7">
        <v>0.0</v>
      </c>
      <c r="V587" s="7">
        <v>252.0</v>
      </c>
      <c r="W587" s="7">
        <f>VLOOKUP($D587,NatureChart,2,0)</f>
        <v>1.1</v>
      </c>
      <c r="X587" s="7">
        <f>VLOOKUP($D587,NatureChart,3,0)</f>
        <v>1</v>
      </c>
      <c r="Y587" s="7">
        <f>VLOOKUP($D587,NatureChart,4,0)</f>
        <v>1</v>
      </c>
      <c r="Z587" s="7">
        <f>VLOOKUP($D587,NatureChart,5,0)</f>
        <v>0.9</v>
      </c>
      <c r="AA587" s="84">
        <f>VLOOKUP($D587,NatureChart,6,0)</f>
        <v>1</v>
      </c>
      <c r="AB587" s="84">
        <f>IF($C587="Shedinja",1,(INT((2*VLOOKUP($C587,DexData,5,0)+INT(Q587/4)+K587)/2)+60))</f>
        <v>155</v>
      </c>
      <c r="AC587" s="84">
        <f>INT(INT((INT((2*VLOOKUP($C587,DexData,6,0)+INT(R587/4)+L587)/2)+5)*W587)*IF($E587="Choice Band",1.5,IF(OR($E587="Mawilite",$E587="Medichamite",$E587="Thick Club"),2,1)))</f>
        <v>189</v>
      </c>
      <c r="AD587" s="84">
        <f>INT(INT((INT((2*VLOOKUP($C587,DexData,7,0)+INT(S587/4)+M587)/2)+5)*X587)*IF($E587="Eviolite",1.5,1))</f>
        <v>90</v>
      </c>
      <c r="AE587" s="84">
        <f>INT(INT((INT((2*VLOOKUP($C587,DexData,9,0)+INT(T587/4)+N587)/2)+5)*Y587)*IF($E587="Choice Specs",1.5,1))</f>
        <v>131</v>
      </c>
      <c r="AF587" s="84">
        <f>INT(INT((INT((2*VLOOKUP($C587,DexData,10,0)+INT(U587/4)+O587)/2)+5)*Z587)*IF(OR($E587="Eviolite",$E587="Assault Vest"),1.5,1))</f>
        <v>81</v>
      </c>
      <c r="AG587" s="84">
        <f>INT(INT((INT((2*VLOOKUP($C587,DexData,11,0)+INT(V587/4)+P587)/2)+5)*AA587)*IF($E587="Choice Scarf",1.5,IF($E587="Iron Ball",0.5,1)))</f>
        <v>132</v>
      </c>
      <c r="AH587" s="84" t="str">
        <f>VLOOKUP(VLOOKUP($C587,DexData,3,0),Aliases!D$2:E$19,2,0)&amp;IFERROR("/"&amp;VLOOKUP(VLOOKUP($C587,DexData,4,0),Aliases!D$2:E$19,2,0),"")</f>
        <v>FIR/FTG</v>
      </c>
      <c r="AI587" s="7">
        <v>3.0</v>
      </c>
      <c r="AJ587" s="7">
        <f>IF(VLOOKUP(B587,'Set Odds'!A$2:AN$1067,40,0),1,IF(VLOOKUP(B587,'Set Odds'!A$2:AO$1067,41,0),2,0))</f>
        <v>1</v>
      </c>
      <c r="AK587" s="7"/>
      <c r="AL587" s="7" t="str">
        <f t="shared" si="1"/>
        <v/>
      </c>
    </row>
    <row r="588" ht="12.75" customHeight="1">
      <c r="A588" s="86">
        <v>587.0</v>
      </c>
      <c r="B588" s="84" t="s">
        <v>4132</v>
      </c>
      <c r="C588" s="7" t="s">
        <v>3610</v>
      </c>
      <c r="D588" s="7" t="s">
        <v>2629</v>
      </c>
      <c r="E588" s="7" t="s">
        <v>2636</v>
      </c>
      <c r="F588" s="84" t="s">
        <v>2869</v>
      </c>
      <c r="G588" s="84" t="s">
        <v>3454</v>
      </c>
      <c r="H588" s="84" t="s">
        <v>3390</v>
      </c>
      <c r="I588" s="84" t="s">
        <v>2632</v>
      </c>
      <c r="J588" s="7" t="s">
        <v>2590</v>
      </c>
      <c r="K588" s="7">
        <v>31.0</v>
      </c>
      <c r="L588" s="7">
        <v>31.0</v>
      </c>
      <c r="M588" s="7">
        <v>31.0</v>
      </c>
      <c r="N588" s="7">
        <v>31.0</v>
      </c>
      <c r="O588" s="7">
        <v>31.0</v>
      </c>
      <c r="P588" s="7">
        <v>31.0</v>
      </c>
      <c r="Q588" s="7">
        <v>252.0</v>
      </c>
      <c r="R588" s="7">
        <v>252.0</v>
      </c>
      <c r="S588" s="7">
        <v>4.0</v>
      </c>
      <c r="T588" s="7">
        <v>0.0</v>
      </c>
      <c r="U588" s="7">
        <v>0.0</v>
      </c>
      <c r="V588" s="7">
        <v>0.0</v>
      </c>
      <c r="W588" s="7">
        <f>VLOOKUP($D588,NatureChart,2,0)</f>
        <v>1.1</v>
      </c>
      <c r="X588" s="7">
        <f>VLOOKUP($D588,NatureChart,3,0)</f>
        <v>1</v>
      </c>
      <c r="Y588" s="7">
        <f>VLOOKUP($D588,NatureChart,4,0)</f>
        <v>1</v>
      </c>
      <c r="Z588" s="7">
        <f>VLOOKUP($D588,NatureChart,5,0)</f>
        <v>1</v>
      </c>
      <c r="AA588" s="84">
        <f>VLOOKUP($D588,NatureChart,6,0)</f>
        <v>0.9</v>
      </c>
      <c r="AB588" s="84">
        <f>IF($C588="Shedinja",1,(INT((2*VLOOKUP($C588,DexData,5,0)+INT(Q588/4)+K588)/2)+60))</f>
        <v>207</v>
      </c>
      <c r="AC588" s="84">
        <f>INT(INT((INT((2*VLOOKUP($C588,DexData,6,0)+INT(R588/4)+L588)/2)+5)*W588)*IF($E588="Choice Band",1.5,IF(OR($E588="Mawilite",$E588="Medichamite",$E588="Thick Club"),2,1)))</f>
        <v>178</v>
      </c>
      <c r="AD588" s="84">
        <f>INT(INT((INT((2*VLOOKUP($C588,DexData,7,0)+INT(S588/4)+M588)/2)+5)*X588)*IF($E588="Eviolite",1.5,1))</f>
        <v>111</v>
      </c>
      <c r="AE588" s="84">
        <f>INT(INT((INT((2*VLOOKUP($C588,DexData,9,0)+INT(T588/4)+N588)/2)+5)*Y588)*IF($E588="Choice Specs",1.5,1))</f>
        <v>105</v>
      </c>
      <c r="AF588" s="84">
        <f>INT(INT((INT((2*VLOOKUP($C588,DexData,10,0)+INT(U588/4)+O588)/2)+5)*Z588)*IF(OR($E588="Eviolite",$E588="Assault Vest"),1.5,1))</f>
        <v>110</v>
      </c>
      <c r="AG588" s="84">
        <f>INT(INT((INT((2*VLOOKUP($C588,DexData,11,0)+INT(V588/4)+P588)/2)+5)*AA588)*IF($E588="Choice Scarf",1.5,IF($E588="Iron Ball",0.5,1)))</f>
        <v>72</v>
      </c>
      <c r="AH588" s="84" t="str">
        <f>VLOOKUP(VLOOKUP($C588,DexData,3,0),Aliases!D$2:E$19,2,0)&amp;IFERROR("/"&amp;VLOOKUP(VLOOKUP($C588,DexData,4,0),Aliases!D$2:E$19,2,0),"")</f>
        <v>WTR/GRD</v>
      </c>
      <c r="AI588" s="7">
        <v>3.0</v>
      </c>
      <c r="AJ588" s="7">
        <f>IF(VLOOKUP(B588,'Set Odds'!A$2:AN$1067,40,0),1,IF(VLOOKUP(B588,'Set Odds'!A$2:AO$1067,41,0),2,0))</f>
        <v>1</v>
      </c>
      <c r="AK588" s="7"/>
      <c r="AL588" s="7" t="str">
        <f t="shared" si="1"/>
        <v/>
      </c>
    </row>
    <row r="589" ht="12.75" customHeight="1">
      <c r="A589" s="86">
        <v>588.0</v>
      </c>
      <c r="B589" s="84" t="s">
        <v>4133</v>
      </c>
      <c r="C589" s="7" t="s">
        <v>3613</v>
      </c>
      <c r="D589" s="7" t="s">
        <v>2656</v>
      </c>
      <c r="E589" s="7" t="s">
        <v>2524</v>
      </c>
      <c r="F589" s="84" t="s">
        <v>4134</v>
      </c>
      <c r="G589" s="84" t="s">
        <v>2532</v>
      </c>
      <c r="H589" s="84" t="s">
        <v>3994</v>
      </c>
      <c r="I589" s="84" t="s">
        <v>2575</v>
      </c>
      <c r="J589" s="7" t="s">
        <v>2576</v>
      </c>
      <c r="K589" s="7">
        <v>31.0</v>
      </c>
      <c r="L589" s="7">
        <v>0.0</v>
      </c>
      <c r="M589" s="7">
        <v>31.0</v>
      </c>
      <c r="N589" s="7">
        <v>31.0</v>
      </c>
      <c r="O589" s="7">
        <v>31.0</v>
      </c>
      <c r="P589" s="7">
        <v>31.0</v>
      </c>
      <c r="Q589" s="7">
        <v>252.0</v>
      </c>
      <c r="R589" s="7">
        <v>0.0</v>
      </c>
      <c r="S589" s="7">
        <v>4.0</v>
      </c>
      <c r="T589" s="7">
        <v>252.0</v>
      </c>
      <c r="U589" s="7">
        <v>0.0</v>
      </c>
      <c r="V589" s="7">
        <v>0.0</v>
      </c>
      <c r="W589" s="7">
        <f>VLOOKUP($D589,NatureChart,2,0)</f>
        <v>0.9</v>
      </c>
      <c r="X589" s="7">
        <f>VLOOKUP($D589,NatureChart,3,0)</f>
        <v>1</v>
      </c>
      <c r="Y589" s="7">
        <f>VLOOKUP($D589,NatureChart,4,0)</f>
        <v>1.1</v>
      </c>
      <c r="Z589" s="7">
        <f>VLOOKUP($D589,NatureChart,5,0)</f>
        <v>1</v>
      </c>
      <c r="AA589" s="84">
        <f>VLOOKUP($D589,NatureChart,6,0)</f>
        <v>1</v>
      </c>
      <c r="AB589" s="84">
        <f>IF($C589="Shedinja",1,(INT((2*VLOOKUP($C589,DexData,5,0)+INT(Q589/4)+K589)/2)+60))</f>
        <v>202</v>
      </c>
      <c r="AC589" s="84">
        <f>INT(INT((INT((2*VLOOKUP($C589,DexData,6,0)+INT(R589/4)+L589)/2)+5)*W589)*IF($E589="Choice Band",1.5,IF(OR($E589="Mawilite",$E589="Medichamite",$E589="Thick Club"),2,1)))</f>
        <v>102</v>
      </c>
      <c r="AD589" s="84">
        <f>INT(INT((INT((2*VLOOKUP($C589,DexData,7,0)+INT(S589/4)+M589)/2)+5)*X589)*IF($E589="Eviolite",1.5,1))</f>
        <v>126</v>
      </c>
      <c r="AE589" s="84">
        <f>INT(INT((INT((2*VLOOKUP($C589,DexData,9,0)+INT(T589/4)+N589)/2)+5)*Y589)*IF($E589="Choice Specs",1.5,1))</f>
        <v>139</v>
      </c>
      <c r="AF589" s="84">
        <f>INT(INT((INT((2*VLOOKUP($C589,DexData,10,0)+INT(U589/4)+O589)/2)+5)*Z589)*IF(OR($E589="Eviolite",$E589="Assault Vest"),1.5,1))</f>
        <v>105</v>
      </c>
      <c r="AG589" s="84">
        <f>INT(INT((INT((2*VLOOKUP($C589,DexData,11,0)+INT(V589/4)+P589)/2)+5)*AA589)*IF($E589="Choice Scarf",1.5,IF($E589="Iron Ball",0.5,1)))</f>
        <v>76</v>
      </c>
      <c r="AH589" s="84" t="str">
        <f>VLOOKUP(VLOOKUP($C589,DexData,3,0),Aliases!D$2:E$19,2,0)&amp;IFERROR("/"&amp;VLOOKUP(VLOOKUP($C589,DexData,4,0),Aliases!D$2:E$19,2,0),"")</f>
        <v>GRS/GRD</v>
      </c>
      <c r="AI589" s="7">
        <v>3.0</v>
      </c>
      <c r="AJ589" s="7">
        <f>IF(VLOOKUP(B589,'Set Odds'!A$2:AN$1067,40,0),1,IF(VLOOKUP(B589,'Set Odds'!A$2:AO$1067,41,0),2,0))</f>
        <v>1</v>
      </c>
      <c r="AK589" s="7"/>
      <c r="AL589" s="7" t="str">
        <f t="shared" si="1"/>
        <v/>
      </c>
    </row>
    <row r="590" ht="12.75" customHeight="1">
      <c r="A590" s="86">
        <v>589.0</v>
      </c>
      <c r="B590" s="84" t="s">
        <v>4135</v>
      </c>
      <c r="C590" s="7" t="s">
        <v>3616</v>
      </c>
      <c r="D590" s="7" t="s">
        <v>2656</v>
      </c>
      <c r="E590" s="7" t="s">
        <v>3715</v>
      </c>
      <c r="F590" s="84" t="s">
        <v>2660</v>
      </c>
      <c r="G590" s="84" t="s">
        <v>3590</v>
      </c>
      <c r="H590" s="84" t="s">
        <v>3718</v>
      </c>
      <c r="I590" s="84" t="s">
        <v>2631</v>
      </c>
      <c r="J590" s="7" t="s">
        <v>2584</v>
      </c>
      <c r="K590" s="7">
        <v>31.0</v>
      </c>
      <c r="L590" s="7">
        <v>0.0</v>
      </c>
      <c r="M590" s="7">
        <v>31.0</v>
      </c>
      <c r="N590" s="7">
        <v>31.0</v>
      </c>
      <c r="O590" s="7">
        <v>31.0</v>
      </c>
      <c r="P590" s="7">
        <v>31.0</v>
      </c>
      <c r="Q590" s="7">
        <v>4.0</v>
      </c>
      <c r="R590" s="7">
        <v>0.0</v>
      </c>
      <c r="S590" s="7">
        <v>0.0</v>
      </c>
      <c r="T590" s="7">
        <v>252.0</v>
      </c>
      <c r="U590" s="7">
        <v>0.0</v>
      </c>
      <c r="V590" s="7">
        <v>252.0</v>
      </c>
      <c r="W590" s="7">
        <f>VLOOKUP($D590,NatureChart,2,0)</f>
        <v>0.9</v>
      </c>
      <c r="X590" s="7">
        <f>VLOOKUP($D590,NatureChart,3,0)</f>
        <v>1</v>
      </c>
      <c r="Y590" s="7">
        <f>VLOOKUP($D590,NatureChart,4,0)</f>
        <v>1.1</v>
      </c>
      <c r="Z590" s="7">
        <f>VLOOKUP($D590,NatureChart,5,0)</f>
        <v>1</v>
      </c>
      <c r="AA590" s="84">
        <f>VLOOKUP($D590,NatureChart,6,0)</f>
        <v>1</v>
      </c>
      <c r="AB590" s="84">
        <f>IF($C590="Shedinja",1,(INT((2*VLOOKUP($C590,DexData,5,0)+INT(Q590/4)+K590)/2)+60))</f>
        <v>152</v>
      </c>
      <c r="AC590" s="84">
        <f>INT(INT((INT((2*VLOOKUP($C590,DexData,6,0)+INT(R590/4)+L590)/2)+5)*W590)*IF($E590="Choice Band",1.5,IF(OR($E590="Mawilite",$E590="Medichamite",$E590="Thick Club"),2,1)))</f>
        <v>98</v>
      </c>
      <c r="AD590" s="84">
        <f>INT(INT((INT((2*VLOOKUP($C590,DexData,7,0)+INT(S590/4)+M590)/2)+5)*X590)*IF($E590="Eviolite",1.5,1))</f>
        <v>91</v>
      </c>
      <c r="AE590" s="84">
        <f>INT(INT((INT((2*VLOOKUP($C590,DexData,9,0)+INT(T590/4)+N590)/2)+5)*Y590)*IF($E590="Choice Specs",1.5,1))</f>
        <v>171</v>
      </c>
      <c r="AF590" s="84">
        <f>INT(INT((INT((2*VLOOKUP($C590,DexData,10,0)+INT(U590/4)+O590)/2)+5)*Z590)*IF(OR($E590="Eviolite",$E590="Assault Vest"),1.5,1))</f>
        <v>91</v>
      </c>
      <c r="AG590" s="84">
        <f>INT(INT((INT((2*VLOOKUP($C590,DexData,11,0)+INT(V590/4)+P590)/2)+5)*AA590)*IF($E590="Choice Scarf",1.5,IF($E590="Iron Ball",0.5,1)))</f>
        <v>160</v>
      </c>
      <c r="AH590" s="84" t="str">
        <f>VLOOKUP(VLOOKUP($C590,DexData,3,0),Aliases!D$2:E$19,2,0)&amp;IFERROR("/"&amp;VLOOKUP(VLOOKUP($C590,DexData,4,0),Aliases!D$2:E$19,2,0),"")</f>
        <v>FIR/FTG</v>
      </c>
      <c r="AI590" s="7">
        <v>3.0</v>
      </c>
      <c r="AJ590" s="7">
        <f>IF(VLOOKUP(B590,'Set Odds'!A$2:AN$1067,40,0),1,IF(VLOOKUP(B590,'Set Odds'!A$2:AO$1067,41,0),2,0))</f>
        <v>1</v>
      </c>
      <c r="AK590" s="7"/>
      <c r="AL590" s="7" t="str">
        <f t="shared" si="1"/>
        <v/>
      </c>
    </row>
    <row r="591" ht="12.75" customHeight="1">
      <c r="A591" s="86">
        <v>590.0</v>
      </c>
      <c r="B591" s="84" t="s">
        <v>4136</v>
      </c>
      <c r="C591" s="7" t="s">
        <v>3619</v>
      </c>
      <c r="D591" s="7" t="s">
        <v>2571</v>
      </c>
      <c r="E591" s="7" t="s">
        <v>3889</v>
      </c>
      <c r="F591" s="84" t="s">
        <v>2869</v>
      </c>
      <c r="G591" s="84" t="s">
        <v>3031</v>
      </c>
      <c r="H591" s="84" t="s">
        <v>2874</v>
      </c>
      <c r="I591" s="84" t="s">
        <v>3454</v>
      </c>
      <c r="J591" s="7" t="s">
        <v>3114</v>
      </c>
      <c r="K591" s="7">
        <v>31.0</v>
      </c>
      <c r="L591" s="7">
        <v>31.0</v>
      </c>
      <c r="M591" s="7">
        <v>31.0</v>
      </c>
      <c r="N591" s="7">
        <v>0.0</v>
      </c>
      <c r="O591" s="7">
        <v>31.0</v>
      </c>
      <c r="P591" s="7">
        <v>31.0</v>
      </c>
      <c r="Q591" s="7">
        <v>252.0</v>
      </c>
      <c r="R591" s="7">
        <v>252.0</v>
      </c>
      <c r="S591" s="7">
        <v>0.0</v>
      </c>
      <c r="T591" s="7">
        <v>0.0</v>
      </c>
      <c r="U591" s="7">
        <v>0.0</v>
      </c>
      <c r="V591" s="7">
        <v>4.0</v>
      </c>
      <c r="W591" s="7">
        <f>VLOOKUP($D591,NatureChart,2,0)</f>
        <v>1.1</v>
      </c>
      <c r="X591" s="7">
        <f>VLOOKUP($D591,NatureChart,3,0)</f>
        <v>1</v>
      </c>
      <c r="Y591" s="7">
        <f>VLOOKUP($D591,NatureChart,4,0)</f>
        <v>0.9</v>
      </c>
      <c r="Z591" s="7">
        <f>VLOOKUP($D591,NatureChart,5,0)</f>
        <v>1</v>
      </c>
      <c r="AA591" s="84">
        <f>VLOOKUP($D591,NatureChart,6,0)</f>
        <v>1</v>
      </c>
      <c r="AB591" s="84">
        <f>IF($C591="Shedinja",1,(INT((2*VLOOKUP($C591,DexData,5,0)+INT(Q591/4)+K591)/2)+60))</f>
        <v>191</v>
      </c>
      <c r="AC591" s="84">
        <f>INT(INT((INT((2*VLOOKUP($C591,DexData,6,0)+INT(R591/4)+L591)/2)+5)*W591)*IF($E591="Choice Band",1.5,IF(OR($E591="Mawilite",$E591="Medichamite",$E591="Thick Club"),2,1)))</f>
        <v>151</v>
      </c>
      <c r="AD591" s="84">
        <f>INT(INT((INT((2*VLOOKUP($C591,DexData,7,0)+INT(S591/4)+M591)/2)+5)*X591)*IF($E591="Eviolite",1.5,1))</f>
        <v>108</v>
      </c>
      <c r="AE591" s="84">
        <f>INT(INT((INT((2*VLOOKUP($C591,DexData,9,0)+INT(T591/4)+N591)/2)+5)*Y591)*IF($E591="Choice Specs",1.5,1))</f>
        <v>104</v>
      </c>
      <c r="AF591" s="84">
        <f>INT(INT((INT((2*VLOOKUP($C591,DexData,10,0)+INT(U591/4)+O591)/2)+5)*Z591)*IF(OR($E591="Eviolite",$E591="Assault Vest"),1.5,1))</f>
        <v>121</v>
      </c>
      <c r="AG591" s="84">
        <f>INT(INT((INT((2*VLOOKUP($C591,DexData,11,0)+INT(V591/4)+P591)/2)+5)*AA591)*IF($E591="Choice Scarf",1.5,IF($E591="Iron Ball",0.5,1)))</f>
        <v>81</v>
      </c>
      <c r="AH591" s="84" t="str">
        <f>VLOOKUP(VLOOKUP($C591,DexData,3,0),Aliases!D$2:E$19,2,0)&amp;IFERROR("/"&amp;VLOOKUP(VLOOKUP($C591,DexData,4,0),Aliases!D$2:E$19,2,0),"")</f>
        <v>WTR/STL</v>
      </c>
      <c r="AI591" s="7">
        <v>3.0</v>
      </c>
      <c r="AJ591" s="7">
        <f>IF(VLOOKUP(B591,'Set Odds'!A$2:AN$1067,40,0),1,IF(VLOOKUP(B591,'Set Odds'!A$2:AO$1067,41,0),2,0))</f>
        <v>1</v>
      </c>
      <c r="AK591" s="7"/>
      <c r="AL591" s="7" t="str">
        <f t="shared" si="1"/>
        <v/>
      </c>
    </row>
    <row r="592" ht="12.75" customHeight="1">
      <c r="A592" s="86">
        <v>591.0</v>
      </c>
      <c r="B592" s="84" t="s">
        <v>4137</v>
      </c>
      <c r="C592" s="7" t="s">
        <v>3621</v>
      </c>
      <c r="D592" s="7" t="s">
        <v>2692</v>
      </c>
      <c r="E592" s="7" t="s">
        <v>3635</v>
      </c>
      <c r="F592" s="84" t="s">
        <v>2514</v>
      </c>
      <c r="G592" s="84" t="s">
        <v>3454</v>
      </c>
      <c r="H592" s="84" t="s">
        <v>2614</v>
      </c>
      <c r="I592" s="84" t="s">
        <v>3578</v>
      </c>
      <c r="J592" s="7" t="s">
        <v>3622</v>
      </c>
      <c r="K592" s="7">
        <v>31.0</v>
      </c>
      <c r="L592" s="7">
        <v>31.0</v>
      </c>
      <c r="M592" s="7">
        <v>31.0</v>
      </c>
      <c r="N592" s="7">
        <v>0.0</v>
      </c>
      <c r="O592" s="7">
        <v>31.0</v>
      </c>
      <c r="P592" s="7">
        <v>31.0</v>
      </c>
      <c r="Q592" s="7">
        <v>4.0</v>
      </c>
      <c r="R592" s="7">
        <v>252.0</v>
      </c>
      <c r="S592" s="7">
        <v>0.0</v>
      </c>
      <c r="T592" s="7">
        <v>0.0</v>
      </c>
      <c r="U592" s="7">
        <v>0.0</v>
      </c>
      <c r="V592" s="7">
        <v>252.0</v>
      </c>
      <c r="W592" s="7">
        <f>VLOOKUP($D592,NatureChart,2,0)</f>
        <v>1</v>
      </c>
      <c r="X592" s="7">
        <f>VLOOKUP($D592,NatureChart,3,0)</f>
        <v>1</v>
      </c>
      <c r="Y592" s="7">
        <f>VLOOKUP($D592,NatureChart,4,0)</f>
        <v>0.9</v>
      </c>
      <c r="Z592" s="7">
        <f>VLOOKUP($D592,NatureChart,5,0)</f>
        <v>1</v>
      </c>
      <c r="AA592" s="84">
        <f>VLOOKUP($D592,NatureChart,6,0)</f>
        <v>1.1</v>
      </c>
      <c r="AB592" s="84">
        <f>IF($C592="Shedinja",1,(INT((2*VLOOKUP($C592,DexData,5,0)+INT(Q592/4)+K592)/2)+60))</f>
        <v>111</v>
      </c>
      <c r="AC592" s="84">
        <f>INT(INT((INT((2*VLOOKUP($C592,DexData,6,0)+INT(R592/4)+L592)/2)+5)*W592)*IF($E592="Choice Band",1.5,IF(OR($E592="Mawilite",$E592="Medichamite",$E592="Thick Club"),2,1)))</f>
        <v>152</v>
      </c>
      <c r="AD592" s="84">
        <f>INT(INT((INT((2*VLOOKUP($C592,DexData,7,0)+INT(S592/4)+M592)/2)+5)*X592)*IF($E592="Eviolite",1.5,1))</f>
        <v>70</v>
      </c>
      <c r="AE592" s="84">
        <f>INT(INT((INT((2*VLOOKUP($C592,DexData,9,0)+INT(T592/4)+N592)/2)+5)*Y592)*IF($E592="Choice Specs",1.5,1))</f>
        <v>49</v>
      </c>
      <c r="AF592" s="84">
        <f>INT(INT((INT((2*VLOOKUP($C592,DexData,10,0)+INT(U592/4)+O592)/2)+5)*Z592)*IF(OR($E592="Eviolite",$E592="Assault Vest"),1.5,1))</f>
        <v>90</v>
      </c>
      <c r="AG592" s="84">
        <f>INT(INT((INT((2*VLOOKUP($C592,DexData,11,0)+INT(V592/4)+P592)/2)+5)*AA592)*IF($E592="Choice Scarf",1.5,IF($E592="Iron Ball",0.5,1)))</f>
        <v>189</v>
      </c>
      <c r="AH592" s="84" t="str">
        <f>VLOOKUP(VLOOKUP($C592,DexData,3,0),Aliases!D$2:E$19,2,0)&amp;IFERROR("/"&amp;VLOOKUP(VLOOKUP($C592,DexData,4,0),Aliases!D$2:E$19,2,0),"")</f>
        <v>GRD</v>
      </c>
      <c r="AI592" s="7">
        <v>3.0</v>
      </c>
      <c r="AJ592" s="7">
        <f>IF(VLOOKUP(B592,'Set Odds'!A$2:AN$1067,40,0),1,IF(VLOOKUP(B592,'Set Odds'!A$2:AO$1067,41,0),2,0))</f>
        <v>1</v>
      </c>
      <c r="AK592" s="7"/>
      <c r="AL592" s="7" t="str">
        <f t="shared" si="1"/>
        <v/>
      </c>
    </row>
    <row r="593" ht="12.75" customHeight="1">
      <c r="A593" s="86">
        <v>592.0</v>
      </c>
      <c r="B593" s="84" t="s">
        <v>4138</v>
      </c>
      <c r="C593" s="7" t="s">
        <v>3624</v>
      </c>
      <c r="D593" s="7" t="s">
        <v>2571</v>
      </c>
      <c r="E593" s="7" t="s">
        <v>3625</v>
      </c>
      <c r="F593" s="84" t="s">
        <v>3135</v>
      </c>
      <c r="G593" s="84" t="s">
        <v>3441</v>
      </c>
      <c r="H593" s="84" t="s">
        <v>3454</v>
      </c>
      <c r="I593" s="84" t="s">
        <v>2727</v>
      </c>
      <c r="J593" s="7" t="s">
        <v>2945</v>
      </c>
      <c r="K593" s="7">
        <v>31.0</v>
      </c>
      <c r="L593" s="7">
        <v>31.0</v>
      </c>
      <c r="M593" s="7">
        <v>31.0</v>
      </c>
      <c r="N593" s="7">
        <v>0.0</v>
      </c>
      <c r="O593" s="7">
        <v>31.0</v>
      </c>
      <c r="P593" s="7">
        <v>31.0</v>
      </c>
      <c r="Q593" s="7">
        <v>252.0</v>
      </c>
      <c r="R593" s="7">
        <v>252.0</v>
      </c>
      <c r="S593" s="7">
        <v>4.0</v>
      </c>
      <c r="T593" s="7">
        <v>0.0</v>
      </c>
      <c r="U593" s="7">
        <v>0.0</v>
      </c>
      <c r="V593" s="7">
        <v>0.0</v>
      </c>
      <c r="W593" s="7">
        <f>VLOOKUP($D593,NatureChart,2,0)</f>
        <v>1.1</v>
      </c>
      <c r="X593" s="7">
        <f>VLOOKUP($D593,NatureChart,3,0)</f>
        <v>1</v>
      </c>
      <c r="Y593" s="7">
        <f>VLOOKUP($D593,NatureChart,4,0)</f>
        <v>0.9</v>
      </c>
      <c r="Z593" s="7">
        <f>VLOOKUP($D593,NatureChart,5,0)</f>
        <v>1</v>
      </c>
      <c r="AA593" s="84">
        <f>VLOOKUP($D593,NatureChart,6,0)</f>
        <v>1</v>
      </c>
      <c r="AB593" s="84">
        <f>IF($C593="Shedinja",1,(INT((2*VLOOKUP($C593,DexData,5,0)+INT(Q593/4)+K593)/2)+60))</f>
        <v>167</v>
      </c>
      <c r="AC593" s="84">
        <f>INT(INT((INT((2*VLOOKUP($C593,DexData,6,0)+INT(R593/4)+L593)/2)+5)*W593)*IF($E593="Choice Band",1.5,IF(OR($E593="Mawilite",$E593="Medichamite",$E593="Thick Club"),2,1)))</f>
        <v>290</v>
      </c>
      <c r="AD593" s="84">
        <f>INT(INT((INT((2*VLOOKUP($C593,DexData,7,0)+INT(S593/4)+M593)/2)+5)*X593)*IF($E593="Eviolite",1.5,1))</f>
        <v>131</v>
      </c>
      <c r="AE593" s="84">
        <f>INT(INT((INT((2*VLOOKUP($C593,DexData,9,0)+INT(T593/4)+N593)/2)+5)*Y593)*IF($E593="Choice Specs",1.5,1))</f>
        <v>49</v>
      </c>
      <c r="AF593" s="84">
        <f>INT(INT((INT((2*VLOOKUP($C593,DexData,10,0)+INT(U593/4)+O593)/2)+5)*Z593)*IF(OR($E593="Eviolite",$E593="Assault Vest"),1.5,1))</f>
        <v>100</v>
      </c>
      <c r="AG593" s="84">
        <f>INT(INT((INT((2*VLOOKUP($C593,DexData,11,0)+INT(V593/4)+P593)/2)+5)*AA593)*IF($E593="Choice Scarf",1.5,IF($E593="Iron Ball",0.5,1)))</f>
        <v>65</v>
      </c>
      <c r="AH593" s="84" t="str">
        <f>VLOOKUP(VLOOKUP($C593,DexData,3,0),Aliases!D$2:E$19,2,0)&amp;IFERROR("/"&amp;VLOOKUP(VLOOKUP($C593,DexData,4,0),Aliases!D$2:E$19,2,0),"")</f>
        <v>GRD</v>
      </c>
      <c r="AI593" s="7">
        <v>3.0</v>
      </c>
      <c r="AJ593" s="7">
        <f>IF(VLOOKUP(B593,'Set Odds'!A$2:AN$1067,40,0),1,IF(VLOOKUP(B593,'Set Odds'!A$2:AO$1067,41,0),2,0))</f>
        <v>1</v>
      </c>
      <c r="AK593" s="7"/>
      <c r="AL593" s="7" t="str">
        <f t="shared" si="1"/>
        <v/>
      </c>
    </row>
    <row r="594" ht="12.75" customHeight="1">
      <c r="A594" s="86">
        <v>593.0</v>
      </c>
      <c r="B594" s="84" t="s">
        <v>4139</v>
      </c>
      <c r="C594" s="7" t="s">
        <v>3628</v>
      </c>
      <c r="D594" s="7" t="s">
        <v>2571</v>
      </c>
      <c r="E594" s="7" t="s">
        <v>2665</v>
      </c>
      <c r="F594" s="84" t="s">
        <v>3629</v>
      </c>
      <c r="G594" s="84" t="s">
        <v>3135</v>
      </c>
      <c r="H594" s="84" t="s">
        <v>3710</v>
      </c>
      <c r="I594" s="84" t="s">
        <v>3390</v>
      </c>
      <c r="J594" s="7" t="s">
        <v>3630</v>
      </c>
      <c r="K594" s="7">
        <v>31.0</v>
      </c>
      <c r="L594" s="7">
        <v>31.0</v>
      </c>
      <c r="M594" s="7">
        <v>31.0</v>
      </c>
      <c r="N594" s="7">
        <v>0.0</v>
      </c>
      <c r="O594" s="7">
        <v>31.0</v>
      </c>
      <c r="P594" s="7">
        <v>31.0</v>
      </c>
      <c r="Q594" s="7">
        <v>4.0</v>
      </c>
      <c r="R594" s="7">
        <v>252.0</v>
      </c>
      <c r="S594" s="7">
        <v>0.0</v>
      </c>
      <c r="T594" s="7">
        <v>0.0</v>
      </c>
      <c r="U594" s="7">
        <v>0.0</v>
      </c>
      <c r="V594" s="7">
        <v>252.0</v>
      </c>
      <c r="W594" s="7">
        <f>VLOOKUP($D594,NatureChart,2,0)</f>
        <v>1.1</v>
      </c>
      <c r="X594" s="7">
        <f>VLOOKUP($D594,NatureChart,3,0)</f>
        <v>1</v>
      </c>
      <c r="Y594" s="7">
        <f>VLOOKUP($D594,NatureChart,4,0)</f>
        <v>0.9</v>
      </c>
      <c r="Z594" s="7">
        <f>VLOOKUP($D594,NatureChart,5,0)</f>
        <v>1</v>
      </c>
      <c r="AA594" s="84">
        <f>VLOOKUP($D594,NatureChart,6,0)</f>
        <v>1</v>
      </c>
      <c r="AB594" s="84">
        <f>IF($C594="Shedinja",1,(INT((2*VLOOKUP($C594,DexData,5,0)+INT(Q594/4)+K594)/2)+60))</f>
        <v>136</v>
      </c>
      <c r="AC594" s="84">
        <f>INT(INT((INT((2*VLOOKUP($C594,DexData,6,0)+INT(R594/4)+L594)/2)+5)*W594)*IF($E594="Choice Band",1.5,IF(OR($E594="Mawilite",$E594="Medichamite",$E594="Thick Club"),2,1)))</f>
        <v>123</v>
      </c>
      <c r="AD594" s="84">
        <f>INT(INT((INT((2*VLOOKUP($C594,DexData,7,0)+INT(S594/4)+M594)/2)+5)*X594)*IF($E594="Eviolite",1.5,1))</f>
        <v>95</v>
      </c>
      <c r="AE594" s="84">
        <f>INT(INT((INT((2*VLOOKUP($C594,DexData,9,0)+INT(T594/4)+N594)/2)+5)*Y594)*IF($E594="Choice Specs",1.5,1))</f>
        <v>58</v>
      </c>
      <c r="AF594" s="84">
        <f>INT(INT((INT((2*VLOOKUP($C594,DexData,10,0)+INT(U594/4)+O594)/2)+5)*Z594)*IF(OR($E594="Eviolite",$E594="Assault Vest"),1.5,1))</f>
        <v>95</v>
      </c>
      <c r="AG594" s="84">
        <f>INT(INT((INT((2*VLOOKUP($C594,DexData,11,0)+INT(V594/4)+P594)/2)+5)*AA594)*IF($E594="Choice Scarf",1.5,IF($E594="Iron Ball",0.5,1)))</f>
        <v>198</v>
      </c>
      <c r="AH594" s="84" t="str">
        <f>VLOOKUP(VLOOKUP($C594,DexData,3,0),Aliases!D$2:E$19,2,0)&amp;IFERROR("/"&amp;VLOOKUP(VLOOKUP($C594,DexData,4,0),Aliases!D$2:E$19,2,0),"")</f>
        <v>FTG/PSY</v>
      </c>
      <c r="AI594" s="7">
        <v>3.0</v>
      </c>
      <c r="AJ594" s="7">
        <f>IF(VLOOKUP(B594,'Set Odds'!A$2:AN$1067,40,0),1,IF(VLOOKUP(B594,'Set Odds'!A$2:AO$1067,41,0),2,0))</f>
        <v>1</v>
      </c>
      <c r="AK594" s="7"/>
      <c r="AL594" s="7" t="str">
        <f t="shared" si="1"/>
        <v/>
      </c>
    </row>
    <row r="595" ht="12.75" customHeight="1">
      <c r="A595" s="86">
        <v>594.0</v>
      </c>
      <c r="B595" s="84" t="s">
        <v>4140</v>
      </c>
      <c r="C595" s="7" t="s">
        <v>3632</v>
      </c>
      <c r="D595" s="7" t="s">
        <v>2656</v>
      </c>
      <c r="E595" s="7" t="s">
        <v>2516</v>
      </c>
      <c r="F595" s="84" t="s">
        <v>3569</v>
      </c>
      <c r="G595" s="84" t="s">
        <v>2880</v>
      </c>
      <c r="H595" s="84" t="s">
        <v>3052</v>
      </c>
      <c r="I595" s="84" t="s">
        <v>3428</v>
      </c>
      <c r="J595" s="7" t="s">
        <v>3059</v>
      </c>
      <c r="K595" s="7">
        <v>31.0</v>
      </c>
      <c r="L595" s="7">
        <v>0.0</v>
      </c>
      <c r="M595" s="7">
        <v>31.0</v>
      </c>
      <c r="N595" s="7">
        <v>31.0</v>
      </c>
      <c r="O595" s="7">
        <v>31.0</v>
      </c>
      <c r="P595" s="7">
        <v>31.0</v>
      </c>
      <c r="Q595" s="7">
        <v>252.0</v>
      </c>
      <c r="R595" s="7">
        <v>0.0</v>
      </c>
      <c r="S595" s="7">
        <v>4.0</v>
      </c>
      <c r="T595" s="7">
        <v>252.0</v>
      </c>
      <c r="U595" s="7">
        <v>0.0</v>
      </c>
      <c r="V595" s="7">
        <v>0.0</v>
      </c>
      <c r="W595" s="7">
        <f>VLOOKUP($D595,NatureChart,2,0)</f>
        <v>0.9</v>
      </c>
      <c r="X595" s="7">
        <f>VLOOKUP($D595,NatureChart,3,0)</f>
        <v>1</v>
      </c>
      <c r="Y595" s="7">
        <f>VLOOKUP($D595,NatureChart,4,0)</f>
        <v>1.1</v>
      </c>
      <c r="Z595" s="7">
        <f>VLOOKUP($D595,NatureChart,5,0)</f>
        <v>1</v>
      </c>
      <c r="AA595" s="84">
        <f>VLOOKUP($D595,NatureChart,6,0)</f>
        <v>1</v>
      </c>
      <c r="AB595" s="84">
        <f>IF($C595="Shedinja",1,(INT((2*VLOOKUP($C595,DexData,5,0)+INT(Q595/4)+K595)/2)+60))</f>
        <v>202</v>
      </c>
      <c r="AC595" s="84">
        <f>INT(INT((INT((2*VLOOKUP($C595,DexData,6,0)+INT(R595/4)+L595)/2)+5)*W595)*IF($E595="Choice Band",1.5,IF(OR($E595="Mawilite",$E595="Medichamite",$E595="Thick Club"),2,1)))</f>
        <v>81</v>
      </c>
      <c r="AD595" s="84">
        <f>INT(INT((INT((2*VLOOKUP($C595,DexData,7,0)+INT(S595/4)+M595)/2)+5)*X595)*IF($E595="Eviolite",1.5,1))</f>
        <v>106</v>
      </c>
      <c r="AE595" s="84">
        <f>INT(INT((INT((2*VLOOKUP($C595,DexData,9,0)+INT(T595/4)+N595)/2)+5)*Y595)*IF($E595="Choice Specs",1.5,1))</f>
        <v>128</v>
      </c>
      <c r="AF595" s="84">
        <f>INT(INT((INT((2*VLOOKUP($C595,DexData,10,0)+INT(U595/4)+O595)/2)+5)*Z595)*IF(OR($E595="Eviolite",$E595="Assault Vest"),1.5,1))</f>
        <v>85</v>
      </c>
      <c r="AG595" s="84">
        <f>INT(INT((INT((2*VLOOKUP($C595,DexData,11,0)+INT(V595/4)+P595)/2)+5)*AA595)*IF($E595="Choice Scarf",1.5,IF($E595="Iron Ball",0.5,1)))</f>
        <v>55</v>
      </c>
      <c r="AH595" s="84" t="str">
        <f>VLOOKUP(VLOOKUP($C595,DexData,3,0),Aliases!D$2:E$19,2,0)&amp;IFERROR("/"&amp;VLOOKUP(VLOOKUP($C595,DexData,4,0),Aliases!D$2:E$19,2,0),"")</f>
        <v>WTR/GRD</v>
      </c>
      <c r="AI595" s="7">
        <v>3.0</v>
      </c>
      <c r="AJ595" s="7">
        <f>IF(VLOOKUP(B595,'Set Odds'!A$2:AN$1067,40,0),1,IF(VLOOKUP(B595,'Set Odds'!A$2:AO$1067,41,0),2,0))</f>
        <v>1</v>
      </c>
      <c r="AK595" s="7"/>
      <c r="AL595" s="7" t="str">
        <f t="shared" si="1"/>
        <v/>
      </c>
    </row>
    <row r="596" ht="12.75" customHeight="1">
      <c r="A596" s="86">
        <v>595.0</v>
      </c>
      <c r="B596" s="84" t="s">
        <v>4141</v>
      </c>
      <c r="C596" s="7" t="s">
        <v>3634</v>
      </c>
      <c r="D596" s="7" t="s">
        <v>2571</v>
      </c>
      <c r="E596" s="7" t="s">
        <v>2516</v>
      </c>
      <c r="F596" s="84" t="s">
        <v>3603</v>
      </c>
      <c r="G596" s="84" t="s">
        <v>3441</v>
      </c>
      <c r="H596" s="84" t="s">
        <v>3015</v>
      </c>
      <c r="I596" s="84" t="s">
        <v>3454</v>
      </c>
      <c r="J596" s="7" t="s">
        <v>2696</v>
      </c>
      <c r="K596" s="7">
        <v>31.0</v>
      </c>
      <c r="L596" s="7">
        <v>31.0</v>
      </c>
      <c r="M596" s="7">
        <v>31.0</v>
      </c>
      <c r="N596" s="7">
        <v>0.0</v>
      </c>
      <c r="O596" s="7">
        <v>31.0</v>
      </c>
      <c r="P596" s="7">
        <v>31.0</v>
      </c>
      <c r="Q596" s="7">
        <v>4.0</v>
      </c>
      <c r="R596" s="7">
        <v>252.0</v>
      </c>
      <c r="S596" s="7">
        <v>0.0</v>
      </c>
      <c r="T596" s="7">
        <v>0.0</v>
      </c>
      <c r="U596" s="7">
        <v>0.0</v>
      </c>
      <c r="V596" s="7">
        <v>252.0</v>
      </c>
      <c r="W596" s="7">
        <f>VLOOKUP($D596,NatureChart,2,0)</f>
        <v>1.1</v>
      </c>
      <c r="X596" s="7">
        <f>VLOOKUP($D596,NatureChart,3,0)</f>
        <v>1</v>
      </c>
      <c r="Y596" s="7">
        <f>VLOOKUP($D596,NatureChart,4,0)</f>
        <v>0.9</v>
      </c>
      <c r="Z596" s="7">
        <f>VLOOKUP($D596,NatureChart,5,0)</f>
        <v>1</v>
      </c>
      <c r="AA596" s="84">
        <f>VLOOKUP($D596,NatureChart,6,0)</f>
        <v>1</v>
      </c>
      <c r="AB596" s="84">
        <f>IF($C596="Shedinja",1,(INT((2*VLOOKUP($C596,DexData,5,0)+INT(Q596/4)+K596)/2)+60))</f>
        <v>166</v>
      </c>
      <c r="AC596" s="84">
        <f>INT(INT((INT((2*VLOOKUP($C596,DexData,6,0)+INT(R596/4)+L596)/2)+5)*W596)*IF($E596="Choice Band",1.5,IF(OR($E596="Mawilite",$E596="Medichamite",$E596="Thick Club"),2,1)))</f>
        <v>189</v>
      </c>
      <c r="AD596" s="84">
        <f>INT(INT((INT((2*VLOOKUP($C596,DexData,7,0)+INT(S596/4)+M596)/2)+5)*X596)*IF($E596="Eviolite",1.5,1))</f>
        <v>95</v>
      </c>
      <c r="AE596" s="84">
        <f>INT(INT((INT((2*VLOOKUP($C596,DexData,9,0)+INT(T596/4)+N596)/2)+5)*Y596)*IF($E596="Choice Specs",1.5,1))</f>
        <v>58</v>
      </c>
      <c r="AF596" s="84">
        <f>INT(INT((INT((2*VLOOKUP($C596,DexData,10,0)+INT(U596/4)+O596)/2)+5)*Z596)*IF(OR($E596="Eviolite",$E596="Assault Vest"),1.5,1))</f>
        <v>80</v>
      </c>
      <c r="AG596" s="84">
        <f>INT(INT((INT((2*VLOOKUP($C596,DexData,11,0)+INT(V596/4)+P596)/2)+5)*AA596)*IF($E596="Choice Scarf",1.5,IF($E596="Iron Ball",0.5,1)))</f>
        <v>97</v>
      </c>
      <c r="AH596" s="84" t="str">
        <f>VLOOKUP(VLOOKUP($C596,DexData,3,0),Aliases!D$2:E$19,2,0)&amp;IFERROR("/"&amp;VLOOKUP(VLOOKUP($C596,DexData,4,0),Aliases!D$2:E$19,2,0),"")</f>
        <v>FAI</v>
      </c>
      <c r="AI596" s="7">
        <v>3.0</v>
      </c>
      <c r="AJ596" s="7">
        <f>IF(VLOOKUP(B596,'Set Odds'!A$2:AN$1067,40,0),1,IF(VLOOKUP(B596,'Set Odds'!A$2:AO$1067,41,0),2,0))</f>
        <v>1</v>
      </c>
      <c r="AK596" s="7"/>
      <c r="AL596" s="7" t="str">
        <f t="shared" si="1"/>
        <v/>
      </c>
    </row>
    <row r="597" ht="12.75" customHeight="1">
      <c r="A597" s="86">
        <v>596.0</v>
      </c>
      <c r="B597" s="84" t="s">
        <v>4142</v>
      </c>
      <c r="C597" s="7" t="s">
        <v>3638</v>
      </c>
      <c r="D597" s="7" t="s">
        <v>2656</v>
      </c>
      <c r="E597" s="7" t="s">
        <v>3715</v>
      </c>
      <c r="F597" s="84" t="s">
        <v>2823</v>
      </c>
      <c r="G597" s="84" t="s">
        <v>2659</v>
      </c>
      <c r="H597" s="84" t="s">
        <v>3590</v>
      </c>
      <c r="I597" s="84" t="s">
        <v>2661</v>
      </c>
      <c r="J597" s="7" t="s">
        <v>3642</v>
      </c>
      <c r="K597" s="7">
        <v>31.0</v>
      </c>
      <c r="L597" s="7">
        <v>0.0</v>
      </c>
      <c r="M597" s="7">
        <v>31.0</v>
      </c>
      <c r="N597" s="7">
        <v>31.0</v>
      </c>
      <c r="O597" s="7">
        <v>31.0</v>
      </c>
      <c r="P597" s="7">
        <v>31.0</v>
      </c>
      <c r="Q597" s="7">
        <v>4.0</v>
      </c>
      <c r="R597" s="7">
        <v>0.0</v>
      </c>
      <c r="S597" s="7">
        <v>0.0</v>
      </c>
      <c r="T597" s="7">
        <v>252.0</v>
      </c>
      <c r="U597" s="7">
        <v>0.0</v>
      </c>
      <c r="V597" s="7">
        <v>252.0</v>
      </c>
      <c r="W597" s="7">
        <f>VLOOKUP($D597,NatureChart,2,0)</f>
        <v>0.9</v>
      </c>
      <c r="X597" s="7">
        <f>VLOOKUP($D597,NatureChart,3,0)</f>
        <v>1</v>
      </c>
      <c r="Y597" s="7">
        <f>VLOOKUP($D597,NatureChart,4,0)</f>
        <v>1.1</v>
      </c>
      <c r="Z597" s="7">
        <f>VLOOKUP($D597,NatureChart,5,0)</f>
        <v>1</v>
      </c>
      <c r="AA597" s="84">
        <f>VLOOKUP($D597,NatureChart,6,0)</f>
        <v>1</v>
      </c>
      <c r="AB597" s="84">
        <f>IF($C597="Shedinja",1,(INT((2*VLOOKUP($C597,DexData,5,0)+INT(Q597/4)+K597)/2)+60))</f>
        <v>141</v>
      </c>
      <c r="AC597" s="84">
        <f>INT(INT((INT((2*VLOOKUP($C597,DexData,6,0)+INT(R597/4)+L597)/2)+5)*W597)*IF($E597="Choice Band",1.5,IF(OR($E597="Mawilite",$E597="Medichamite",$E597="Thick Club"),2,1)))</f>
        <v>49</v>
      </c>
      <c r="AD597" s="84">
        <f>INT(INT((INT((2*VLOOKUP($C597,DexData,7,0)+INT(S597/4)+M597)/2)+5)*X597)*IF($E597="Eviolite",1.5,1))</f>
        <v>55</v>
      </c>
      <c r="AE597" s="84">
        <f>INT(INT((INT((2*VLOOKUP($C597,DexData,9,0)+INT(T597/4)+N597)/2)+5)*Y597)*IF($E597="Choice Specs",1.5,1))</f>
        <v>183</v>
      </c>
      <c r="AF597" s="84">
        <f>INT(INT((INT((2*VLOOKUP($C597,DexData,10,0)+INT(U597/4)+O597)/2)+5)*Z597)*IF(OR($E597="Eviolite",$E597="Assault Vest"),1.5,1))</f>
        <v>115</v>
      </c>
      <c r="AG597" s="84">
        <f>INT(INT((INT((2*VLOOKUP($C597,DexData,11,0)+INT(V597/4)+P597)/2)+5)*AA597)*IF($E597="Choice Scarf",1.5,IF($E597="Iron Ball",0.5,1)))</f>
        <v>147</v>
      </c>
      <c r="AH597" s="84" t="str">
        <f>VLOOKUP(VLOOKUP($C597,DexData,3,0),Aliases!D$2:E$19,2,0)&amp;IFERROR("/"&amp;VLOOKUP(VLOOKUP($C597,DexData,4,0),Aliases!D$2:E$19,2,0),"")</f>
        <v>ICE/PSY</v>
      </c>
      <c r="AI597" s="7">
        <v>3.0</v>
      </c>
      <c r="AJ597" s="7">
        <f>IF(VLOOKUP(B597,'Set Odds'!A$2:AN$1067,40,0),1,IF(VLOOKUP(B597,'Set Odds'!A$2:AO$1067,41,0),2,0))</f>
        <v>1</v>
      </c>
      <c r="AK597" s="7"/>
      <c r="AL597" s="7" t="str">
        <f t="shared" si="1"/>
        <v/>
      </c>
    </row>
    <row r="598" ht="12.75" customHeight="1">
      <c r="A598" s="86">
        <v>597.0</v>
      </c>
      <c r="B598" s="84" t="s">
        <v>4143</v>
      </c>
      <c r="C598" s="7" t="s">
        <v>3644</v>
      </c>
      <c r="D598" s="7" t="s">
        <v>2635</v>
      </c>
      <c r="E598" s="7" t="s">
        <v>3976</v>
      </c>
      <c r="F598" s="84" t="s">
        <v>2659</v>
      </c>
      <c r="G598" s="84" t="s">
        <v>2596</v>
      </c>
      <c r="H598" s="84" t="s">
        <v>2863</v>
      </c>
      <c r="I598" s="84" t="s">
        <v>2763</v>
      </c>
      <c r="J598" s="7" t="s">
        <v>3646</v>
      </c>
      <c r="K598" s="7">
        <v>31.0</v>
      </c>
      <c r="L598" s="7">
        <v>0.0</v>
      </c>
      <c r="M598" s="7">
        <v>31.0</v>
      </c>
      <c r="N598" s="7">
        <v>31.0</v>
      </c>
      <c r="O598" s="7">
        <v>31.0</v>
      </c>
      <c r="P598" s="7">
        <v>31.0</v>
      </c>
      <c r="Q598" s="7">
        <v>252.0</v>
      </c>
      <c r="R598" s="7">
        <v>0.0</v>
      </c>
      <c r="S598" s="7">
        <v>4.0</v>
      </c>
      <c r="T598" s="7">
        <v>252.0</v>
      </c>
      <c r="U598" s="7">
        <v>0.0</v>
      </c>
      <c r="V598" s="7">
        <v>0.0</v>
      </c>
      <c r="W598" s="7">
        <f>VLOOKUP($D598,NatureChart,2,0)</f>
        <v>0.9</v>
      </c>
      <c r="X598" s="7">
        <f>VLOOKUP($D598,NatureChart,3,0)</f>
        <v>1</v>
      </c>
      <c r="Y598" s="7">
        <f>VLOOKUP($D598,NatureChart,4,0)</f>
        <v>1</v>
      </c>
      <c r="Z598" s="7">
        <f>VLOOKUP($D598,NatureChart,5,0)</f>
        <v>1</v>
      </c>
      <c r="AA598" s="84">
        <f>VLOOKUP($D598,NatureChart,6,0)</f>
        <v>1.1</v>
      </c>
      <c r="AB598" s="84">
        <f>IF($C598="Shedinja",1,(INT((2*VLOOKUP($C598,DexData,5,0)+INT(Q598/4)+K598)/2)+60))</f>
        <v>147</v>
      </c>
      <c r="AC598" s="84">
        <f>INT(INT((INT((2*VLOOKUP($C598,DexData,6,0)+INT(R598/4)+L598)/2)+5)*W598)*IF($E598="Choice Band",1.5,IF(OR($E598="Mawilite",$E598="Medichamite",$E598="Thick Club"),2,1)))</f>
        <v>45</v>
      </c>
      <c r="AD598" s="84">
        <f>INT(INT((INT((2*VLOOKUP($C598,DexData,7,0)+INT(S598/4)+M598)/2)+5)*X598)*IF($E598="Eviolite",1.5,1))</f>
        <v>86</v>
      </c>
      <c r="AE598" s="84">
        <f>INT(INT((INT((2*VLOOKUP($C598,DexData,9,0)+INT(T598/4)+N598)/2)+5)*Y598)*IF($E598="Choice Specs",1.5,1))</f>
        <v>152</v>
      </c>
      <c r="AF598" s="84">
        <f>INT(INT((INT((2*VLOOKUP($C598,DexData,10,0)+INT(U598/4)+O598)/2)+5)*Z598)*IF(OR($E598="Eviolite",$E598="Assault Vest"),1.5,1))</f>
        <v>140</v>
      </c>
      <c r="AG598" s="84">
        <f>INT(INT((INT((2*VLOOKUP($C598,DexData,11,0)+INT(V598/4)+P598)/2)+5)*AA598)*IF($E598="Choice Scarf",1.5,IF($E598="Iron Ball",0.5,1)))</f>
        <v>121</v>
      </c>
      <c r="AH598" s="84" t="str">
        <f>VLOOKUP(VLOOKUP($C598,DexData,3,0),Aliases!D$2:E$19,2,0)&amp;IFERROR("/"&amp;VLOOKUP(VLOOKUP($C598,DexData,4,0),Aliases!D$2:E$19,2,0),"")</f>
        <v>PSY/FAI</v>
      </c>
      <c r="AI598" s="7">
        <v>3.0</v>
      </c>
      <c r="AJ598" s="7">
        <f>IF(VLOOKUP(B598,'Set Odds'!A$2:AN$1067,40,0),1,IF(VLOOKUP(B598,'Set Odds'!A$2:AO$1067,41,0),2,0))</f>
        <v>1</v>
      </c>
      <c r="AK598" s="7"/>
      <c r="AL598" s="7" t="str">
        <f t="shared" si="1"/>
        <v/>
      </c>
    </row>
    <row r="599" ht="12.75" customHeight="1">
      <c r="A599" s="86">
        <v>598.0</v>
      </c>
      <c r="B599" s="84" t="s">
        <v>4144</v>
      </c>
      <c r="C599" s="7" t="s">
        <v>3648</v>
      </c>
      <c r="D599" s="7" t="s">
        <v>2656</v>
      </c>
      <c r="E599" s="7" t="s">
        <v>2516</v>
      </c>
      <c r="F599" s="84" t="s">
        <v>3812</v>
      </c>
      <c r="G599" s="84" t="s">
        <v>3762</v>
      </c>
      <c r="H599" s="84" t="s">
        <v>3341</v>
      </c>
      <c r="I599" s="84" t="s">
        <v>2823</v>
      </c>
      <c r="J599" s="7" t="s">
        <v>3000</v>
      </c>
      <c r="K599" s="7">
        <v>31.0</v>
      </c>
      <c r="L599" s="7">
        <v>0.0</v>
      </c>
      <c r="M599" s="7">
        <v>31.0</v>
      </c>
      <c r="N599" s="7">
        <v>31.0</v>
      </c>
      <c r="O599" s="7">
        <v>31.0</v>
      </c>
      <c r="P599" s="7">
        <v>31.0</v>
      </c>
      <c r="Q599" s="7">
        <v>252.0</v>
      </c>
      <c r="R599" s="7">
        <v>0.0</v>
      </c>
      <c r="S599" s="7">
        <v>4.0</v>
      </c>
      <c r="T599" s="7">
        <v>0.0</v>
      </c>
      <c r="U599" s="7">
        <v>0.0</v>
      </c>
      <c r="V599" s="7">
        <v>252.0</v>
      </c>
      <c r="W599" s="7">
        <f>VLOOKUP($D599,NatureChart,2,0)</f>
        <v>0.9</v>
      </c>
      <c r="X599" s="7">
        <f>VLOOKUP($D599,NatureChart,3,0)</f>
        <v>1</v>
      </c>
      <c r="Y599" s="7">
        <f>VLOOKUP($D599,NatureChart,4,0)</f>
        <v>1.1</v>
      </c>
      <c r="Z599" s="7">
        <f>VLOOKUP($D599,NatureChart,5,0)</f>
        <v>1</v>
      </c>
      <c r="AA599" s="84">
        <f>VLOOKUP($D599,NatureChart,6,0)</f>
        <v>1</v>
      </c>
      <c r="AB599" s="84">
        <f>IF($C599="Shedinja",1,(INT((2*VLOOKUP($C599,DexData,5,0)+INT(Q599/4)+K599)/2)+60))</f>
        <v>232</v>
      </c>
      <c r="AC599" s="84">
        <f>INT(INT((INT((2*VLOOKUP($C599,DexData,6,0)+INT(R599/4)+L599)/2)+5)*W599)*IF($E599="Choice Band",1.5,IF(OR($E599="Mawilite",$E599="Medichamite",$E599="Thick Club"),2,1)))</f>
        <v>56</v>
      </c>
      <c r="AD599" s="84">
        <f>INT(INT((INT((2*VLOOKUP($C599,DexData,7,0)+INT(S599/4)+M599)/2)+5)*X599)*IF($E599="Eviolite",1.5,1))</f>
        <v>79</v>
      </c>
      <c r="AE599" s="84">
        <f>INT(INT((INT((2*VLOOKUP($C599,DexData,9,0)+INT(T599/4)+N599)/2)+5)*Y599)*IF($E599="Choice Specs",1.5,1))</f>
        <v>105</v>
      </c>
      <c r="AF599" s="84">
        <f>INT(INT((INT((2*VLOOKUP($C599,DexData,10,0)+INT(U599/4)+O599)/2)+5)*Z599)*IF(OR($E599="Eviolite",$E599="Assault Vest"),1.5,1))</f>
        <v>96</v>
      </c>
      <c r="AG599" s="84">
        <f>INT(INT((INT((2*VLOOKUP($C599,DexData,11,0)+INT(V599/4)+P599)/2)+5)*AA599)*IF($E599="Choice Scarf",1.5,IF($E599="Iron Ball",0.5,1)))</f>
        <v>119</v>
      </c>
      <c r="AH599" s="84" t="str">
        <f>VLOOKUP(VLOOKUP($C599,DexData,3,0),Aliases!D$2:E$19,2,0)&amp;IFERROR("/"&amp;VLOOKUP(VLOOKUP($C599,DexData,4,0),Aliases!D$2:E$19,2,0),"")</f>
        <v>WTR/ELC</v>
      </c>
      <c r="AI599" s="7">
        <v>3.0</v>
      </c>
      <c r="AJ599" s="7">
        <f>IF(VLOOKUP(B599,'Set Odds'!A$2:AN$1067,40,0),1,IF(VLOOKUP(B599,'Set Odds'!A$2:AO$1067,41,0),2,0))</f>
        <v>1</v>
      </c>
      <c r="AK599" s="7"/>
      <c r="AL599" s="7" t="str">
        <f t="shared" si="1"/>
        <v/>
      </c>
    </row>
    <row r="600" ht="12.75" customHeight="1">
      <c r="A600" s="86">
        <v>599.0</v>
      </c>
      <c r="B600" s="84" t="s">
        <v>4145</v>
      </c>
      <c r="C600" s="7" t="s">
        <v>3650</v>
      </c>
      <c r="D600" s="7" t="s">
        <v>2692</v>
      </c>
      <c r="E600" s="7" t="s">
        <v>3651</v>
      </c>
      <c r="F600" s="84" t="s">
        <v>3249</v>
      </c>
      <c r="G600" s="84" t="s">
        <v>3185</v>
      </c>
      <c r="H600" s="84" t="s">
        <v>2878</v>
      </c>
      <c r="I600" s="84" t="s">
        <v>2751</v>
      </c>
      <c r="J600" s="7" t="s">
        <v>3653</v>
      </c>
      <c r="K600" s="7">
        <v>31.0</v>
      </c>
      <c r="L600" s="7">
        <v>31.0</v>
      </c>
      <c r="M600" s="7">
        <v>31.0</v>
      </c>
      <c r="N600" s="7">
        <v>0.0</v>
      </c>
      <c r="O600" s="7">
        <v>31.0</v>
      </c>
      <c r="P600" s="7">
        <v>31.0</v>
      </c>
      <c r="Q600" s="7">
        <v>252.0</v>
      </c>
      <c r="R600" s="7">
        <v>4.0</v>
      </c>
      <c r="S600" s="7">
        <v>0.0</v>
      </c>
      <c r="T600" s="7">
        <v>0.0</v>
      </c>
      <c r="U600" s="7">
        <v>0.0</v>
      </c>
      <c r="V600" s="7">
        <v>252.0</v>
      </c>
      <c r="W600" s="7">
        <f>VLOOKUP($D600,NatureChart,2,0)</f>
        <v>1</v>
      </c>
      <c r="X600" s="7">
        <f>VLOOKUP($D600,NatureChart,3,0)</f>
        <v>1</v>
      </c>
      <c r="Y600" s="7">
        <f>VLOOKUP($D600,NatureChart,4,0)</f>
        <v>0.9</v>
      </c>
      <c r="Z600" s="7">
        <f>VLOOKUP($D600,NatureChart,5,0)</f>
        <v>1</v>
      </c>
      <c r="AA600" s="84">
        <f>VLOOKUP($D600,NatureChart,6,0)</f>
        <v>1.1</v>
      </c>
      <c r="AB600" s="84">
        <f>IF($C600="Shedinja",1,(INT((2*VLOOKUP($C600,DexData,5,0)+INT(Q600/4)+K600)/2)+60))</f>
        <v>167</v>
      </c>
      <c r="AC600" s="84">
        <f>INT(INT((INT((2*VLOOKUP($C600,DexData,6,0)+INT(R600/4)+L600)/2)+5)*W600)*IF($E600="Choice Band",1.5,IF(OR($E600="Mawilite",$E600="Medichamite",$E600="Thick Club"),2,1)))</f>
        <v>151</v>
      </c>
      <c r="AD600" s="84">
        <f>INT(INT((INT((2*VLOOKUP($C600,DexData,7,0)+INT(S600/4)+M600)/2)+5)*X600)*IF($E600="Eviolite",1.5,1))</f>
        <v>100</v>
      </c>
      <c r="AE600" s="84">
        <f>INT(INT((INT((2*VLOOKUP($C600,DexData,9,0)+INT(T600/4)+N600)/2)+5)*Y600)*IF($E600="Choice Specs",1.5,1))</f>
        <v>58</v>
      </c>
      <c r="AF600" s="84">
        <f>INT(INT((INT((2*VLOOKUP($C600,DexData,10,0)+INT(U600/4)+O600)/2)+5)*Z600)*IF(OR($E600="Eviolite",$E600="Assault Vest"),1.5,1))</f>
        <v>80</v>
      </c>
      <c r="AG600" s="84">
        <f>INT(INT((INT((2*VLOOKUP($C600,DexData,11,0)+INT(V600/4)+P600)/2)+5)*AA600)*IF($E600="Choice Scarf",1.5,IF($E600="Iron Ball",0.5,1)))</f>
        <v>134</v>
      </c>
      <c r="AH600" s="84" t="str">
        <f>VLOOKUP(VLOOKUP($C600,DexData,3,0),Aliases!D$2:E$19,2,0)&amp;IFERROR("/"&amp;VLOOKUP(VLOOKUP($C600,DexData,4,0),Aliases!D$2:E$19,2,0),"")</f>
        <v>GRS/FTG</v>
      </c>
      <c r="AI600" s="7">
        <v>3.0</v>
      </c>
      <c r="AJ600" s="7">
        <f>IF(VLOOKUP(B600,'Set Odds'!A$2:AN$1067,40,0),1,IF(VLOOKUP(B600,'Set Odds'!A$2:AO$1067,41,0),2,0))</f>
        <v>1</v>
      </c>
      <c r="AK600" s="7"/>
      <c r="AL600" s="7" t="str">
        <f t="shared" si="1"/>
        <v/>
      </c>
    </row>
    <row r="601" ht="12.75" customHeight="1">
      <c r="A601" s="86">
        <v>600.0</v>
      </c>
      <c r="B601" s="84" t="s">
        <v>4146</v>
      </c>
      <c r="C601" s="7" t="s">
        <v>3655</v>
      </c>
      <c r="D601" s="7" t="s">
        <v>2629</v>
      </c>
      <c r="E601" s="7" t="s">
        <v>2527</v>
      </c>
      <c r="F601" s="84" t="s">
        <v>2798</v>
      </c>
      <c r="G601" s="84" t="s">
        <v>3454</v>
      </c>
      <c r="H601" s="84" t="s">
        <v>2539</v>
      </c>
      <c r="I601" s="84" t="s">
        <v>2751</v>
      </c>
      <c r="J601" s="7" t="s">
        <v>2728</v>
      </c>
      <c r="K601" s="7">
        <v>31.0</v>
      </c>
      <c r="L601" s="7">
        <v>31.0</v>
      </c>
      <c r="M601" s="7">
        <v>31.0</v>
      </c>
      <c r="N601" s="7">
        <v>0.0</v>
      </c>
      <c r="O601" s="7">
        <v>31.0</v>
      </c>
      <c r="P601" s="7">
        <v>0.0</v>
      </c>
      <c r="Q601" s="7">
        <v>252.0</v>
      </c>
      <c r="R601" s="7">
        <v>252.0</v>
      </c>
      <c r="S601" s="7">
        <v>4.0</v>
      </c>
      <c r="T601" s="7">
        <v>0.0</v>
      </c>
      <c r="U601" s="7">
        <v>0.0</v>
      </c>
      <c r="V601" s="7">
        <v>0.0</v>
      </c>
      <c r="W601" s="7">
        <f>VLOOKUP($D601,NatureChart,2,0)</f>
        <v>1.1</v>
      </c>
      <c r="X601" s="7">
        <f>VLOOKUP($D601,NatureChart,3,0)</f>
        <v>1</v>
      </c>
      <c r="Y601" s="7">
        <f>VLOOKUP($D601,NatureChart,4,0)</f>
        <v>1</v>
      </c>
      <c r="Z601" s="7">
        <f>VLOOKUP($D601,NatureChart,5,0)</f>
        <v>1</v>
      </c>
      <c r="AA601" s="84">
        <f>VLOOKUP($D601,NatureChart,6,0)</f>
        <v>0.9</v>
      </c>
      <c r="AB601" s="84">
        <f>IF($C601="Shedinja",1,(INT((2*VLOOKUP($C601,DexData,5,0)+INT(Q601/4)+K601)/2)+60))</f>
        <v>182</v>
      </c>
      <c r="AC601" s="84">
        <f>INT(INT((INT((2*VLOOKUP($C601,DexData,6,0)+INT(R601/4)+L601)/2)+5)*W601)*IF($E601="Choice Band",1.5,IF(OR($E601="Mawilite",$E601="Medichamite",$E601="Thick Club"),2,1)))</f>
        <v>156</v>
      </c>
      <c r="AD601" s="84">
        <f>INT(INT((INT((2*VLOOKUP($C601,DexData,7,0)+INT(S601/4)+M601)/2)+5)*X601)*IF($E601="Eviolite",1.5,1))</f>
        <v>161</v>
      </c>
      <c r="AE601" s="84">
        <f>INT(INT((INT((2*VLOOKUP($C601,DexData,9,0)+INT(T601/4)+N601)/2)+5)*Y601)*IF($E601="Choice Specs",1.5,1))</f>
        <v>65</v>
      </c>
      <c r="AF601" s="84">
        <f>INT(INT((INT((2*VLOOKUP($C601,DexData,10,0)+INT(U601/4)+O601)/2)+5)*Z601)*IF(OR($E601="Eviolite",$E601="Assault Vest"),1.5,1))</f>
        <v>80</v>
      </c>
      <c r="AG601" s="84">
        <f>INT(INT((INT((2*VLOOKUP($C601,DexData,11,0)+INT(V601/4)+P601)/2)+5)*AA601)*IF($E601="Choice Scarf",1.5,IF($E601="Iron Ball",0.5,1)))</f>
        <v>40</v>
      </c>
      <c r="AH601" s="84" t="str">
        <f>VLOOKUP(VLOOKUP($C601,DexData,3,0),Aliases!D$2:E$19,2,0)&amp;IFERROR("/"&amp;VLOOKUP(VLOOKUP($C601,DexData,4,0),Aliases!D$2:E$19,2,0),"")</f>
        <v>BUG/STL</v>
      </c>
      <c r="AI601" s="7">
        <v>3.0</v>
      </c>
      <c r="AJ601" s="7">
        <f>IF(VLOOKUP(B601,'Set Odds'!A$2:AN$1067,40,0),1,IF(VLOOKUP(B601,'Set Odds'!A$2:AO$1067,41,0),2,0))</f>
        <v>1</v>
      </c>
      <c r="AK601" s="7"/>
      <c r="AL601" s="7" t="str">
        <f t="shared" si="1"/>
        <v/>
      </c>
    </row>
    <row r="602" ht="12.75" customHeight="1">
      <c r="A602" s="86">
        <v>601.0</v>
      </c>
      <c r="B602" s="84" t="s">
        <v>4147</v>
      </c>
      <c r="C602" s="7" t="s">
        <v>3657</v>
      </c>
      <c r="D602" s="7" t="s">
        <v>2571</v>
      </c>
      <c r="E602" s="7" t="s">
        <v>3548</v>
      </c>
      <c r="F602" s="84" t="s">
        <v>3538</v>
      </c>
      <c r="G602" s="84" t="s">
        <v>3626</v>
      </c>
      <c r="H602" s="84" t="s">
        <v>3113</v>
      </c>
      <c r="I602" s="84" t="s">
        <v>2625</v>
      </c>
      <c r="J602" s="7" t="s">
        <v>4148</v>
      </c>
      <c r="K602" s="7">
        <v>31.0</v>
      </c>
      <c r="L602" s="7">
        <v>31.0</v>
      </c>
      <c r="M602" s="7">
        <v>31.0</v>
      </c>
      <c r="N602" s="7">
        <v>0.0</v>
      </c>
      <c r="O602" s="7">
        <v>31.0</v>
      </c>
      <c r="P602" s="7">
        <v>31.0</v>
      </c>
      <c r="Q602" s="7">
        <v>4.0</v>
      </c>
      <c r="R602" s="7">
        <v>252.0</v>
      </c>
      <c r="S602" s="7">
        <v>0.0</v>
      </c>
      <c r="T602" s="7">
        <v>0.0</v>
      </c>
      <c r="U602" s="7">
        <v>0.0</v>
      </c>
      <c r="V602" s="7">
        <v>252.0</v>
      </c>
      <c r="W602" s="7">
        <f>VLOOKUP($D602,NatureChart,2,0)</f>
        <v>1.1</v>
      </c>
      <c r="X602" s="7">
        <f>VLOOKUP($D602,NatureChart,3,0)</f>
        <v>1</v>
      </c>
      <c r="Y602" s="7">
        <f>VLOOKUP($D602,NatureChart,4,0)</f>
        <v>0.9</v>
      </c>
      <c r="Z602" s="7">
        <f>VLOOKUP($D602,NatureChart,5,0)</f>
        <v>1</v>
      </c>
      <c r="AA602" s="84">
        <f>VLOOKUP($D602,NatureChart,6,0)</f>
        <v>1</v>
      </c>
      <c r="AB602" s="84">
        <f>IF($C602="Shedinja",1,(INT((2*VLOOKUP($C602,DexData,5,0)+INT(Q602/4)+K602)/2)+60))</f>
        <v>141</v>
      </c>
      <c r="AC602" s="84">
        <f>INT(INT((INT((2*VLOOKUP($C602,DexData,6,0)+INT(R602/4)+L602)/2)+5)*W602)*IF($E602="Choice Band",1.5,IF(OR($E602="Mawilite",$E602="Medichamite",$E602="Thick Club"),2,1)))</f>
        <v>145</v>
      </c>
      <c r="AD602" s="84">
        <f>INT(INT((INT((2*VLOOKUP($C602,DexData,7,0)+INT(S602/4)+M602)/2)+5)*X602)*IF($E602="Eviolite",1.5,1))</f>
        <v>160</v>
      </c>
      <c r="AE602" s="84">
        <f>INT(INT((INT((2*VLOOKUP($C602,DexData,9,0)+INT(T602/4)+N602)/2)+5)*Y602)*IF($E602="Choice Specs",1.5,1))</f>
        <v>40</v>
      </c>
      <c r="AF602" s="84">
        <f>INT(INT((INT((2*VLOOKUP($C602,DexData,10,0)+INT(U602/4)+O602)/2)+5)*Z602)*IF(OR($E602="Eviolite",$E602="Assault Vest"),1.5,1))</f>
        <v>90</v>
      </c>
      <c r="AG602" s="84">
        <f>INT(INT((INT((2*VLOOKUP($C602,DexData,11,0)+INT(V602/4)+P602)/2)+5)*AA602)*IF($E602="Choice Scarf",1.5,IF($E602="Iron Ball",0.5,1)))</f>
        <v>122</v>
      </c>
      <c r="AH602" s="84" t="str">
        <f>VLOOKUP(VLOOKUP($C602,DexData,3,0),Aliases!D$2:E$19,2,0)&amp;IFERROR("/"&amp;VLOOKUP(VLOOKUP($C602,DexData,4,0),Aliases!D$2:E$19,2,0),"")</f>
        <v>STL/FLY</v>
      </c>
      <c r="AI602" s="7">
        <v>3.0</v>
      </c>
      <c r="AJ602" s="7">
        <f>IF(VLOOKUP(B602,'Set Odds'!A$2:AN$1067,40,0),1,IF(VLOOKUP(B602,'Set Odds'!A$2:AO$1067,41,0),2,0))</f>
        <v>1</v>
      </c>
      <c r="AK602" s="7"/>
      <c r="AL602" s="7" t="str">
        <f t="shared" si="1"/>
        <v/>
      </c>
    </row>
    <row r="603" ht="12.75" customHeight="1">
      <c r="A603" s="86">
        <v>602.0</v>
      </c>
      <c r="B603" s="84" t="s">
        <v>4149</v>
      </c>
      <c r="C603" s="7" t="s">
        <v>3659</v>
      </c>
      <c r="D603" s="7" t="s">
        <v>2692</v>
      </c>
      <c r="E603" s="7" t="s">
        <v>2579</v>
      </c>
      <c r="F603" s="84" t="s">
        <v>3578</v>
      </c>
      <c r="G603" s="84" t="s">
        <v>3441</v>
      </c>
      <c r="H603" s="84" t="s">
        <v>3640</v>
      </c>
      <c r="I603" s="84" t="s">
        <v>3852</v>
      </c>
      <c r="J603" s="7" t="s">
        <v>3826</v>
      </c>
      <c r="K603" s="7">
        <v>31.0</v>
      </c>
      <c r="L603" s="7">
        <v>31.0</v>
      </c>
      <c r="M603" s="7">
        <v>31.0</v>
      </c>
      <c r="N603" s="7">
        <v>0.0</v>
      </c>
      <c r="O603" s="7">
        <v>31.0</v>
      </c>
      <c r="P603" s="7">
        <v>31.0</v>
      </c>
      <c r="Q603" s="7">
        <v>4.0</v>
      </c>
      <c r="R603" s="7">
        <v>252.0</v>
      </c>
      <c r="S603" s="7">
        <v>0.0</v>
      </c>
      <c r="T603" s="7">
        <v>0.0</v>
      </c>
      <c r="U603" s="7">
        <v>0.0</v>
      </c>
      <c r="V603" s="7">
        <v>252.0</v>
      </c>
      <c r="W603" s="7">
        <f>VLOOKUP($D603,NatureChart,2,0)</f>
        <v>1</v>
      </c>
      <c r="X603" s="7">
        <f>VLOOKUP($D603,NatureChart,3,0)</f>
        <v>1</v>
      </c>
      <c r="Y603" s="7">
        <f>VLOOKUP($D603,NatureChart,4,0)</f>
        <v>0.9</v>
      </c>
      <c r="Z603" s="7">
        <f>VLOOKUP($D603,NatureChart,5,0)</f>
        <v>1</v>
      </c>
      <c r="AA603" s="84">
        <f>VLOOKUP($D603,NatureChart,6,0)</f>
        <v>1.1</v>
      </c>
      <c r="AB603" s="84">
        <f>IF($C603="Shedinja",1,(INT((2*VLOOKUP($C603,DexData,5,0)+INT(Q603/4)+K603)/2)+60))</f>
        <v>141</v>
      </c>
      <c r="AC603" s="84">
        <f>INT(INT((INT((2*VLOOKUP($C603,DexData,6,0)+INT(R603/4)+L603)/2)+5)*W603)*IF($E603="Choice Band",1.5,IF(OR($E603="Mawilite",$E603="Medichamite",$E603="Thick Club"),2,1)))</f>
        <v>182</v>
      </c>
      <c r="AD603" s="84">
        <f>INT(INT((INT((2*VLOOKUP($C603,DexData,7,0)+INT(S603/4)+M603)/2)+5)*X603)*IF($E603="Eviolite",1.5,1))</f>
        <v>80</v>
      </c>
      <c r="AE603" s="84">
        <f>INT(INT((INT((2*VLOOKUP($C603,DexData,9,0)+INT(T603/4)+N603)/2)+5)*Y603)*IF($E603="Choice Specs",1.5,1))</f>
        <v>72</v>
      </c>
      <c r="AF603" s="84">
        <f>INT(INT((INT((2*VLOOKUP($C603,DexData,10,0)+INT(U603/4)+O603)/2)+5)*Z603)*IF(OR($E603="Eviolite",$E603="Assault Vest"),1.5,1))</f>
        <v>80</v>
      </c>
      <c r="AG603" s="84">
        <f>INT(INT((INT((2*VLOOKUP($C603,DexData,11,0)+INT(V603/4)+P603)/2)+5)*AA603)*IF($E603="Choice Scarf",1.5,IF($E603="Iron Ball",0.5,1)))</f>
        <v>139</v>
      </c>
      <c r="AH603" s="84" t="str">
        <f>VLOOKUP(VLOOKUP($C603,DexData,3,0),Aliases!D$2:E$19,2,0)&amp;IFERROR("/"&amp;VLOOKUP(VLOOKUP($C603,DexData,4,0),Aliases!D$2:E$19,2,0),"")</f>
        <v>DRK</v>
      </c>
      <c r="AI603" s="7">
        <v>3.0</v>
      </c>
      <c r="AJ603" s="7">
        <f>IF(VLOOKUP(B603,'Set Odds'!A$2:AN$1067,40,0),1,IF(VLOOKUP(B603,'Set Odds'!A$2:AO$1067,41,0),2,0))</f>
        <v>1</v>
      </c>
      <c r="AK603" s="7"/>
      <c r="AL603" s="7" t="str">
        <f t="shared" si="1"/>
        <v/>
      </c>
    </row>
    <row r="604" ht="12.75" customHeight="1">
      <c r="A604" s="86">
        <v>603.0</v>
      </c>
      <c r="B604" s="84" t="s">
        <v>4150</v>
      </c>
      <c r="C604" s="7" t="s">
        <v>3661</v>
      </c>
      <c r="D604" s="7" t="s">
        <v>2656</v>
      </c>
      <c r="E604" s="7" t="s">
        <v>4102</v>
      </c>
      <c r="F604" s="84" t="s">
        <v>3341</v>
      </c>
      <c r="G604" s="84" t="s">
        <v>3047</v>
      </c>
      <c r="H604" s="84" t="s">
        <v>2514</v>
      </c>
      <c r="I604" s="84" t="s">
        <v>2952</v>
      </c>
      <c r="J604" s="7" t="s">
        <v>2824</v>
      </c>
      <c r="K604" s="7">
        <v>31.0</v>
      </c>
      <c r="L604" s="7">
        <v>0.0</v>
      </c>
      <c r="M604" s="7">
        <v>31.0</v>
      </c>
      <c r="N604" s="7">
        <v>31.0</v>
      </c>
      <c r="O604" s="7">
        <v>31.0</v>
      </c>
      <c r="P604" s="7">
        <v>31.0</v>
      </c>
      <c r="Q604" s="7">
        <v>252.0</v>
      </c>
      <c r="R604" s="7">
        <v>0.0</v>
      </c>
      <c r="S604" s="7">
        <v>4.0</v>
      </c>
      <c r="T604" s="7">
        <v>252.0</v>
      </c>
      <c r="U604" s="7">
        <v>0.0</v>
      </c>
      <c r="V604" s="7">
        <v>0.0</v>
      </c>
      <c r="W604" s="7">
        <f>VLOOKUP($D604,NatureChart,2,0)</f>
        <v>0.9</v>
      </c>
      <c r="X604" s="7">
        <f>VLOOKUP($D604,NatureChart,3,0)</f>
        <v>1</v>
      </c>
      <c r="Y604" s="7">
        <f>VLOOKUP($D604,NatureChart,4,0)</f>
        <v>1.1</v>
      </c>
      <c r="Z604" s="7">
        <f>VLOOKUP($D604,NatureChart,5,0)</f>
        <v>1</v>
      </c>
      <c r="AA604" s="84">
        <f>VLOOKUP($D604,NatureChart,6,0)</f>
        <v>1</v>
      </c>
      <c r="AB604" s="84">
        <f>IF($C604="Shedinja",1,(INT((2*VLOOKUP($C604,DexData,5,0)+INT(Q604/4)+K604)/2)+60))</f>
        <v>217</v>
      </c>
      <c r="AC604" s="84">
        <f>INT(INT((INT((2*VLOOKUP($C604,DexData,6,0)+INT(R604/4)+L604)/2)+5)*W604)*IF($E604="Choice Band",1.5,IF(OR($E604="Mawilite",$E604="Medichamite",$E604="Thick Club"),2,1)))</f>
        <v>74</v>
      </c>
      <c r="AD604" s="84">
        <f>INT(INT((INT((2*VLOOKUP($C604,DexData,7,0)+INT(S604/4)+M604)/2)+5)*X604)*IF($E604="Eviolite",1.5,1))</f>
        <v>94</v>
      </c>
      <c r="AE604" s="84">
        <f>INT(INT((INT((2*VLOOKUP($C604,DexData,9,0)+INT(T604/4)+N604)/2)+5)*Y604)*IF($E604="Choice Specs",1.5,1))</f>
        <v>140</v>
      </c>
      <c r="AF604" s="84">
        <f>INT(INT((INT((2*VLOOKUP($C604,DexData,10,0)+INT(U604/4)+O604)/2)+5)*Z604)*IF(OR($E604="Eviolite",$E604="Assault Vest"),1.5,1))</f>
        <v>91</v>
      </c>
      <c r="AG604" s="84">
        <f>INT(INT((INT((2*VLOOKUP($C604,DexData,11,0)+INT(V604/4)+P604)/2)+5)*AA604)*IF($E604="Choice Scarf",1.5,IF($E604="Iron Ball",0.5,1)))</f>
        <v>80</v>
      </c>
      <c r="AH604" s="84" t="str">
        <f>VLOOKUP(VLOOKUP($C604,DexData,3,0),Aliases!D$2:E$19,2,0)&amp;IFERROR("/"&amp;VLOOKUP(VLOOKUP($C604,DexData,4,0),Aliases!D$2:E$19,2,0),"")</f>
        <v>WTR/GRD</v>
      </c>
      <c r="AI604" s="7">
        <v>3.0</v>
      </c>
      <c r="AJ604" s="7">
        <f>IF(VLOOKUP(B604,'Set Odds'!A$2:AN$1067,40,0),1,IF(VLOOKUP(B604,'Set Odds'!A$2:AO$1067,41,0),2,0))</f>
        <v>1</v>
      </c>
      <c r="AK604" s="7"/>
      <c r="AL604" s="7" t="str">
        <f t="shared" si="1"/>
        <v/>
      </c>
    </row>
    <row r="605" ht="12.75" customHeight="1">
      <c r="A605" s="86">
        <v>604.0</v>
      </c>
      <c r="B605" s="84" t="s">
        <v>4151</v>
      </c>
      <c r="C605" s="7" t="s">
        <v>3664</v>
      </c>
      <c r="D605" s="7" t="s">
        <v>2692</v>
      </c>
      <c r="E605" s="7" t="s">
        <v>2983</v>
      </c>
      <c r="F605" s="84" t="s">
        <v>2525</v>
      </c>
      <c r="G605" s="84" t="s">
        <v>3945</v>
      </c>
      <c r="H605" s="84" t="s">
        <v>3454</v>
      </c>
      <c r="I605" s="84" t="s">
        <v>2751</v>
      </c>
      <c r="J605" s="7" t="s">
        <v>2968</v>
      </c>
      <c r="K605" s="7">
        <v>31.0</v>
      </c>
      <c r="L605" s="7">
        <v>31.0</v>
      </c>
      <c r="M605" s="7">
        <v>31.0</v>
      </c>
      <c r="N605" s="7">
        <v>0.0</v>
      </c>
      <c r="O605" s="7">
        <v>31.0</v>
      </c>
      <c r="P605" s="7">
        <v>31.0</v>
      </c>
      <c r="Q605" s="7">
        <v>4.0</v>
      </c>
      <c r="R605" s="7">
        <v>252.0</v>
      </c>
      <c r="S605" s="7">
        <v>0.0</v>
      </c>
      <c r="T605" s="7">
        <v>0.0</v>
      </c>
      <c r="U605" s="7">
        <v>0.0</v>
      </c>
      <c r="V605" s="7">
        <v>252.0</v>
      </c>
      <c r="W605" s="7">
        <f>VLOOKUP($D605,NatureChart,2,0)</f>
        <v>1</v>
      </c>
      <c r="X605" s="7">
        <f>VLOOKUP($D605,NatureChart,3,0)</f>
        <v>1</v>
      </c>
      <c r="Y605" s="7">
        <f>VLOOKUP($D605,NatureChart,4,0)</f>
        <v>0.9</v>
      </c>
      <c r="Z605" s="7">
        <f>VLOOKUP($D605,NatureChart,5,0)</f>
        <v>1</v>
      </c>
      <c r="AA605" s="84">
        <f>VLOOKUP($D605,NatureChart,6,0)</f>
        <v>1.1</v>
      </c>
      <c r="AB605" s="84">
        <f>IF($C605="Shedinja",1,(INT((2*VLOOKUP($C605,DexData,5,0)+INT(Q605/4)+K605)/2)+60))</f>
        <v>220</v>
      </c>
      <c r="AC605" s="84">
        <f>INT(INT((INT((2*VLOOKUP($C605,DexData,6,0)+INT(R605/4)+L605)/2)+5)*W605)*IF($E605="Choice Band",1.5,IF(OR($E605="Mawilite",$E605="Medichamite",$E605="Thick Club"),2,1)))</f>
        <v>172</v>
      </c>
      <c r="AD605" s="84">
        <f>INT(INT((INT((2*VLOOKUP($C605,DexData,7,0)+INT(S605/4)+M605)/2)+5)*X605)*IF($E605="Eviolite",1.5,1))</f>
        <v>80</v>
      </c>
      <c r="AE605" s="84">
        <f>INT(INT((INT((2*VLOOKUP($C605,DexData,9,0)+INT(T605/4)+N605)/2)+5)*Y605)*IF($E605="Choice Specs",1.5,1))</f>
        <v>40</v>
      </c>
      <c r="AF605" s="84">
        <f>INT(INT((INT((2*VLOOKUP($C605,DexData,10,0)+INT(U605/4)+O605)/2)+5)*Z605)*IF(OR($E605="Eviolite",$E605="Assault Vest"),1.5,1))</f>
        <v>80</v>
      </c>
      <c r="AG605" s="84">
        <f>INT(INT((INT((2*VLOOKUP($C605,DexData,11,0)+INT(V605/4)+P605)/2)+5)*AA605)*IF($E605="Choice Scarf",1.5,IF($E605="Iron Ball",0.5,1)))</f>
        <v>112</v>
      </c>
      <c r="AH605" s="84" t="str">
        <f>VLOOKUP(VLOOKUP($C605,DexData,3,0),Aliases!D$2:E$19,2,0)&amp;IFERROR("/"&amp;VLOOKUP(VLOOKUP($C605,DexData,4,0),Aliases!D$2:E$19,2,0),"")</f>
        <v>FTG</v>
      </c>
      <c r="AI605" s="7">
        <v>3.0</v>
      </c>
      <c r="AJ605" s="7">
        <f>IF(VLOOKUP(B605,'Set Odds'!A$2:AN$1067,40,0),1,IF(VLOOKUP(B605,'Set Odds'!A$2:AO$1067,41,0),2,0))</f>
        <v>1</v>
      </c>
      <c r="AK605" s="7"/>
      <c r="AL605" s="7" t="str">
        <f t="shared" si="1"/>
        <v/>
      </c>
    </row>
    <row r="606" ht="12.75" customHeight="1">
      <c r="A606" s="86">
        <v>605.0</v>
      </c>
      <c r="B606" s="84" t="s">
        <v>4152</v>
      </c>
      <c r="C606" s="7" t="s">
        <v>3666</v>
      </c>
      <c r="D606" s="7" t="s">
        <v>2656</v>
      </c>
      <c r="E606" s="7" t="s">
        <v>3715</v>
      </c>
      <c r="F606" s="84" t="s">
        <v>3186</v>
      </c>
      <c r="G606" s="84" t="s">
        <v>3052</v>
      </c>
      <c r="H606" s="84" t="s">
        <v>4153</v>
      </c>
      <c r="I606" s="84" t="s">
        <v>3448</v>
      </c>
      <c r="J606" s="7" t="s">
        <v>3499</v>
      </c>
      <c r="K606" s="7">
        <v>31.0</v>
      </c>
      <c r="L606" s="7">
        <v>0.0</v>
      </c>
      <c r="M606" s="7">
        <v>31.0</v>
      </c>
      <c r="N606" s="7">
        <v>31.0</v>
      </c>
      <c r="O606" s="7">
        <v>31.0</v>
      </c>
      <c r="P606" s="7">
        <v>31.0</v>
      </c>
      <c r="Q606" s="7">
        <v>252.0</v>
      </c>
      <c r="R606" s="7">
        <v>0.0</v>
      </c>
      <c r="S606" s="7">
        <v>4.0</v>
      </c>
      <c r="T606" s="7">
        <v>252.0</v>
      </c>
      <c r="U606" s="7">
        <v>0.0</v>
      </c>
      <c r="V606" s="7">
        <v>0.0</v>
      </c>
      <c r="W606" s="7">
        <f>VLOOKUP($D606,NatureChart,2,0)</f>
        <v>0.9</v>
      </c>
      <c r="X606" s="7">
        <f>VLOOKUP($D606,NatureChart,3,0)</f>
        <v>1</v>
      </c>
      <c r="Y606" s="7">
        <f>VLOOKUP($D606,NatureChart,4,0)</f>
        <v>1.1</v>
      </c>
      <c r="Z606" s="7">
        <f>VLOOKUP($D606,NatureChart,5,0)</f>
        <v>1</v>
      </c>
      <c r="AA606" s="84">
        <f>VLOOKUP($D606,NatureChart,6,0)</f>
        <v>1</v>
      </c>
      <c r="AB606" s="84">
        <f>IF($C606="Shedinja",1,(INT((2*VLOOKUP($C606,DexData,5,0)+INT(Q606/4)+K606)/2)+60))</f>
        <v>177</v>
      </c>
      <c r="AC606" s="84">
        <f>INT(INT((INT((2*VLOOKUP($C606,DexData,6,0)+INT(R606/4)+L606)/2)+5)*W606)*IF($E606="Choice Band",1.5,IF(OR($E606="Mawilite",$E606="Medichamite",$E606="Thick Club"),2,1)))</f>
        <v>76</v>
      </c>
      <c r="AD606" s="84">
        <f>INT(INT((INT((2*VLOOKUP($C606,DexData,7,0)+INT(S606/4)+M606)/2)+5)*X606)*IF($E606="Eviolite",1.5,1))</f>
        <v>123</v>
      </c>
      <c r="AE606" s="84">
        <f>INT(INT((INT((2*VLOOKUP($C606,DexData,9,0)+INT(T606/4)+N606)/2)+5)*Y606)*IF($E606="Choice Specs",1.5,1))</f>
        <v>145</v>
      </c>
      <c r="AF606" s="84">
        <f>INT(INT((INT((2*VLOOKUP($C606,DexData,10,0)+INT(U606/4)+O606)/2)+5)*Z606)*IF(OR($E606="Eviolite",$E606="Assault Vest"),1.5,1))</f>
        <v>122</v>
      </c>
      <c r="AG606" s="84">
        <f>INT(INT((INT((2*VLOOKUP($C606,DexData,11,0)+INT(V606/4)+P606)/2)+5)*AA606)*IF($E606="Choice Scarf",1.5,IF($E606="Iron Ball",0.5,1)))</f>
        <v>60</v>
      </c>
      <c r="AH606" s="84" t="str">
        <f>VLOOKUP(VLOOKUP($C606,DexData,3,0),Aliases!D$2:E$19,2,0)&amp;IFERROR("/"&amp;VLOOKUP(VLOOKUP($C606,DexData,4,0),Aliases!D$2:E$19,2,0),"")</f>
        <v>BUG/FLY</v>
      </c>
      <c r="AI606" s="7">
        <v>3.0</v>
      </c>
      <c r="AJ606" s="7">
        <f>IF(VLOOKUP(B606,'Set Odds'!A$2:AN$1067,40,0),1,IF(VLOOKUP(B606,'Set Odds'!A$2:AO$1067,41,0),2,0))</f>
        <v>1</v>
      </c>
      <c r="AK606" s="7"/>
      <c r="AL606" s="7" t="str">
        <f t="shared" si="1"/>
        <v/>
      </c>
    </row>
    <row r="607" ht="12.75" customHeight="1">
      <c r="A607" s="86">
        <v>606.0</v>
      </c>
      <c r="B607" s="84" t="s">
        <v>4154</v>
      </c>
      <c r="C607" s="7" t="s">
        <v>3670</v>
      </c>
      <c r="D607" s="7" t="s">
        <v>2635</v>
      </c>
      <c r="E607" s="7" t="s">
        <v>2515</v>
      </c>
      <c r="F607" s="84" t="s">
        <v>2638</v>
      </c>
      <c r="G607" s="84" t="s">
        <v>3590</v>
      </c>
      <c r="H607" s="84" t="s">
        <v>2631</v>
      </c>
      <c r="I607" s="84" t="s">
        <v>4025</v>
      </c>
      <c r="J607" s="7" t="s">
        <v>2747</v>
      </c>
      <c r="K607" s="7">
        <v>31.0</v>
      </c>
      <c r="L607" s="7">
        <v>0.0</v>
      </c>
      <c r="M607" s="7">
        <v>31.0</v>
      </c>
      <c r="N607" s="7">
        <v>31.0</v>
      </c>
      <c r="O607" s="7">
        <v>31.0</v>
      </c>
      <c r="P607" s="7">
        <v>31.0</v>
      </c>
      <c r="Q607" s="7">
        <v>4.0</v>
      </c>
      <c r="R607" s="7">
        <v>0.0</v>
      </c>
      <c r="S607" s="7">
        <v>0.0</v>
      </c>
      <c r="T607" s="7">
        <v>252.0</v>
      </c>
      <c r="U607" s="7">
        <v>0.0</v>
      </c>
      <c r="V607" s="7">
        <v>252.0</v>
      </c>
      <c r="W607" s="7">
        <f>VLOOKUP($D607,NatureChart,2,0)</f>
        <v>0.9</v>
      </c>
      <c r="X607" s="7">
        <f>VLOOKUP($D607,NatureChart,3,0)</f>
        <v>1</v>
      </c>
      <c r="Y607" s="7">
        <f>VLOOKUP($D607,NatureChart,4,0)</f>
        <v>1</v>
      </c>
      <c r="Z607" s="7">
        <f>VLOOKUP($D607,NatureChart,5,0)</f>
        <v>1</v>
      </c>
      <c r="AA607" s="84">
        <f>VLOOKUP($D607,NatureChart,6,0)</f>
        <v>1.1</v>
      </c>
      <c r="AB607" s="84">
        <f>IF($C607="Shedinja",1,(INT((2*VLOOKUP($C607,DexData,5,0)+INT(Q607/4)+K607)/2)+60))</f>
        <v>136</v>
      </c>
      <c r="AC607" s="84">
        <f>INT(INT((INT((2*VLOOKUP($C607,DexData,6,0)+INT(R607/4)+L607)/2)+5)*W607)*IF($E607="Choice Band",1.5,IF(OR($E607="Mawilite",$E607="Medichamite",$E607="Thick Club"),2,1)))</f>
        <v>85</v>
      </c>
      <c r="AD607" s="84">
        <f>INT(INT((INT((2*VLOOKUP($C607,DexData,7,0)+INT(S607/4)+M607)/2)+5)*X607)*IF($E607="Eviolite",1.5,1))</f>
        <v>75</v>
      </c>
      <c r="AE607" s="84">
        <f>INT(INT((INT((2*VLOOKUP($C607,DexData,9,0)+INT(T607/4)+N607)/2)+5)*Y607)*IF($E607="Choice Specs",1.5,1))</f>
        <v>142</v>
      </c>
      <c r="AF607" s="84">
        <f>INT(INT((INT((2*VLOOKUP($C607,DexData,10,0)+INT(U607/4)+O607)/2)+5)*Z607)*IF(OR($E607="Eviolite",$E607="Assault Vest"),1.5,1))</f>
        <v>100</v>
      </c>
      <c r="AG607" s="84">
        <f>INT(INT((INT((2*VLOOKUP($C607,DexData,11,0)+INT(V607/4)+P607)/2)+5)*AA607)*IF($E607="Choice Scarf",1.5,IF($E607="Iron Ball",0.5,1)))</f>
        <v>178</v>
      </c>
      <c r="AH607" s="84" t="str">
        <f>VLOOKUP(VLOOKUP($C607,DexData,3,0),Aliases!D$2:E$19,2,0)&amp;IFERROR("/"&amp;VLOOKUP(VLOOKUP($C607,DexData,4,0),Aliases!D$2:E$19,2,0),"")</f>
        <v>ELC</v>
      </c>
      <c r="AI607" s="7">
        <v>3.0</v>
      </c>
      <c r="AJ607" s="7">
        <f>IF(VLOOKUP(B607,'Set Odds'!A$2:AN$1067,40,0),1,IF(VLOOKUP(B607,'Set Odds'!A$2:AO$1067,41,0),2,0))</f>
        <v>0</v>
      </c>
      <c r="AK607" s="7"/>
      <c r="AL607" s="7" t="str">
        <f t="shared" si="1"/>
        <v/>
      </c>
    </row>
    <row r="608" ht="12.75" customHeight="1">
      <c r="A608" s="86">
        <v>607.0</v>
      </c>
      <c r="B608" s="84" t="s">
        <v>4155</v>
      </c>
      <c r="C608" s="7" t="s">
        <v>3672</v>
      </c>
      <c r="D608" s="7" t="s">
        <v>3597</v>
      </c>
      <c r="E608" s="7" t="s">
        <v>2685</v>
      </c>
      <c r="F608" s="84" t="s">
        <v>2526</v>
      </c>
      <c r="G608" s="84" t="s">
        <v>2518</v>
      </c>
      <c r="H608" s="84" t="s">
        <v>2841</v>
      </c>
      <c r="I608" s="84" t="s">
        <v>3510</v>
      </c>
      <c r="J608" s="7" t="s">
        <v>2968</v>
      </c>
      <c r="K608" s="7">
        <v>31.0</v>
      </c>
      <c r="L608" s="7">
        <v>31.0</v>
      </c>
      <c r="M608" s="7">
        <v>31.0</v>
      </c>
      <c r="N608" s="7">
        <v>31.0</v>
      </c>
      <c r="O608" s="7">
        <v>31.0</v>
      </c>
      <c r="P608" s="7">
        <v>31.0</v>
      </c>
      <c r="Q608" s="7">
        <v>252.0</v>
      </c>
      <c r="R608" s="7">
        <v>0.0</v>
      </c>
      <c r="S608" s="7">
        <v>4.0</v>
      </c>
      <c r="T608" s="7">
        <v>0.0</v>
      </c>
      <c r="U608" s="7">
        <v>252.0</v>
      </c>
      <c r="V608" s="7">
        <v>0.0</v>
      </c>
      <c r="W608" s="7">
        <f>VLOOKUP($D608,NatureChart,2,0)</f>
        <v>0.9</v>
      </c>
      <c r="X608" s="7">
        <f>VLOOKUP($D608,NatureChart,3,0)</f>
        <v>1</v>
      </c>
      <c r="Y608" s="7">
        <f>VLOOKUP($D608,NatureChart,4,0)</f>
        <v>1</v>
      </c>
      <c r="Z608" s="7">
        <f>VLOOKUP($D608,NatureChart,5,0)</f>
        <v>1.1</v>
      </c>
      <c r="AA608" s="84">
        <f>VLOOKUP($D608,NatureChart,6,0)</f>
        <v>1</v>
      </c>
      <c r="AB608" s="84">
        <f>IF($C608="Shedinja",1,(INT((2*VLOOKUP($C608,DexData,5,0)+INT(Q608/4)+K608)/2)+60))</f>
        <v>197</v>
      </c>
      <c r="AC608" s="84">
        <f>INT(INT((INT((2*VLOOKUP($C608,DexData,6,0)+INT(R608/4)+L608)/2)+5)*W608)*IF($E608="Choice Band",1.5,IF(OR($E608="Mawilite",$E608="Medichamite",$E608="Thick Club"),2,1)))</f>
        <v>81</v>
      </c>
      <c r="AD608" s="84">
        <f>INT(INT((INT((2*VLOOKUP($C608,DexData,7,0)+INT(S608/4)+M608)/2)+5)*X608)*IF($E608="Eviolite",1.5,1))</f>
        <v>101</v>
      </c>
      <c r="AE608" s="84">
        <f>INT(INT((INT((2*VLOOKUP($C608,DexData,9,0)+INT(T608/4)+N608)/2)+5)*Y608)*IF($E608="Choice Specs",1.5,1))</f>
        <v>90</v>
      </c>
      <c r="AF608" s="84">
        <f>INT(INT((INT((2*VLOOKUP($C608,DexData,10,0)+INT(U608/4)+O608)/2)+5)*Z608)*IF(OR($E608="Eviolite",$E608="Assault Vest"),1.5,1))</f>
        <v>161</v>
      </c>
      <c r="AG608" s="84">
        <f>INT(INT((INT((2*VLOOKUP($C608,DexData,11,0)+INT(V608/4)+P608)/2)+5)*AA608)*IF($E608="Choice Scarf",1.5,IF($E608="Iron Ball",0.5,1)))</f>
        <v>90</v>
      </c>
      <c r="AH608" s="84" t="str">
        <f>VLOOKUP(VLOOKUP($C608,DexData,3,0),Aliases!D$2:E$19,2,0)&amp;IFERROR("/"&amp;VLOOKUP(VLOOKUP($C608,DexData,4,0),Aliases!D$2:E$19,2,0),"")</f>
        <v>WTR/ICE</v>
      </c>
      <c r="AI608" s="7">
        <v>3.0</v>
      </c>
      <c r="AJ608" s="7">
        <f>IF(VLOOKUP(B608,'Set Odds'!A$2:AN$1067,40,0),1,IF(VLOOKUP(B608,'Set Odds'!A$2:AO$1067,41,0),2,0))</f>
        <v>1</v>
      </c>
      <c r="AK608" s="7"/>
      <c r="AL608" s="7" t="str">
        <f t="shared" si="1"/>
        <v/>
      </c>
    </row>
    <row r="609" ht="12.75" customHeight="1">
      <c r="A609" s="86">
        <v>608.0</v>
      </c>
      <c r="B609" s="84" t="s">
        <v>4156</v>
      </c>
      <c r="C609" s="7" t="s">
        <v>3674</v>
      </c>
      <c r="D609" s="7" t="s">
        <v>2656</v>
      </c>
      <c r="E609" s="7" t="s">
        <v>4157</v>
      </c>
      <c r="F609" s="84" t="s">
        <v>2987</v>
      </c>
      <c r="G609" s="84" t="s">
        <v>4025</v>
      </c>
      <c r="H609" s="84" t="s">
        <v>2763</v>
      </c>
      <c r="I609" s="84" t="s">
        <v>3994</v>
      </c>
      <c r="J609" s="7" t="s">
        <v>2747</v>
      </c>
      <c r="K609" s="7">
        <v>31.0</v>
      </c>
      <c r="L609" s="7">
        <v>31.0</v>
      </c>
      <c r="M609" s="7">
        <v>31.0</v>
      </c>
      <c r="N609" s="7">
        <v>31.0</v>
      </c>
      <c r="O609" s="7">
        <v>31.0</v>
      </c>
      <c r="P609" s="7">
        <v>31.0</v>
      </c>
      <c r="Q609" s="7">
        <v>4.0</v>
      </c>
      <c r="R609" s="7">
        <v>0.0</v>
      </c>
      <c r="S609" s="7">
        <v>0.0</v>
      </c>
      <c r="T609" s="7">
        <v>252.0</v>
      </c>
      <c r="U609" s="7">
        <v>0.0</v>
      </c>
      <c r="V609" s="7">
        <v>252.0</v>
      </c>
      <c r="W609" s="7">
        <f>VLOOKUP($D609,NatureChart,2,0)</f>
        <v>0.9</v>
      </c>
      <c r="X609" s="7">
        <f>VLOOKUP($D609,NatureChart,3,0)</f>
        <v>1</v>
      </c>
      <c r="Y609" s="7">
        <f>VLOOKUP($D609,NatureChart,4,0)</f>
        <v>1.1</v>
      </c>
      <c r="Z609" s="7">
        <f>VLOOKUP($D609,NatureChart,5,0)</f>
        <v>1</v>
      </c>
      <c r="AA609" s="84">
        <f>VLOOKUP($D609,NatureChart,6,0)</f>
        <v>1</v>
      </c>
      <c r="AB609" s="84">
        <f>IF($C609="Shedinja",1,(INT((2*VLOOKUP($C609,DexData,5,0)+INT(Q609/4)+K609)/2)+60))</f>
        <v>146</v>
      </c>
      <c r="AC609" s="84">
        <f>INT(INT((INT((2*VLOOKUP($C609,DexData,6,0)+INT(R609/4)+L609)/2)+5)*W609)*IF($E609="Choice Band",1.5,IF(OR($E609="Mawilite",$E609="Medichamite",$E609="Thick Club"),2,1)))</f>
        <v>85</v>
      </c>
      <c r="AD609" s="84">
        <f>INT(INT((INT((2*VLOOKUP($C609,DexData,7,0)+INT(S609/4)+M609)/2)+5)*X609)*IF($E609="Eviolite",1.5,1))</f>
        <v>80</v>
      </c>
      <c r="AE609" s="84">
        <f>INT(INT((INT((2*VLOOKUP($C609,DexData,9,0)+INT(T609/4)+N609)/2)+5)*Y609)*IF($E609="Choice Specs",1.5,1))</f>
        <v>172</v>
      </c>
      <c r="AF609" s="84">
        <f>INT(INT((INT((2*VLOOKUP($C609,DexData,10,0)+INT(U609/4)+O609)/2)+5)*Z609)*IF(OR($E609="Eviolite",$E609="Assault Vest"),1.5,1))</f>
        <v>80</v>
      </c>
      <c r="AG609" s="84">
        <f>INT(INT((INT((2*VLOOKUP($C609,DexData,11,0)+INT(V609/4)+P609)/2)+5)*AA609)*IF($E609="Choice Scarf",1.5,IF($E609="Iron Ball",0.5,1)))</f>
        <v>157</v>
      </c>
      <c r="AH609" s="84" t="str">
        <f>VLOOKUP(VLOOKUP($C609,DexData,3,0),Aliases!D$2:E$19,2,0)&amp;IFERROR("/"&amp;VLOOKUP(VLOOKUP($C609,DexData,4,0),Aliases!D$2:E$19,2,0),"")</f>
        <v>ELC</v>
      </c>
      <c r="AI609" s="7">
        <v>3.0</v>
      </c>
      <c r="AJ609" s="7">
        <f>IF(VLOOKUP(B609,'Set Odds'!A$2:AN$1067,40,0),1,IF(VLOOKUP(B609,'Set Odds'!A$2:AO$1067,41,0),2,0))</f>
        <v>1</v>
      </c>
      <c r="AK609" s="7"/>
      <c r="AL609" s="7" t="str">
        <f t="shared" si="1"/>
        <v/>
      </c>
    </row>
    <row r="610" ht="12.75" customHeight="1">
      <c r="A610" s="86">
        <v>609.0</v>
      </c>
      <c r="B610" s="84" t="s">
        <v>4158</v>
      </c>
      <c r="C610" s="7" t="s">
        <v>3676</v>
      </c>
      <c r="D610" s="7" t="s">
        <v>2571</v>
      </c>
      <c r="E610" s="7" t="s">
        <v>2889</v>
      </c>
      <c r="F610" s="84" t="s">
        <v>3538</v>
      </c>
      <c r="G610" s="84" t="s">
        <v>3319</v>
      </c>
      <c r="H610" s="84" t="s">
        <v>3314</v>
      </c>
      <c r="I610" s="84" t="s">
        <v>2872</v>
      </c>
      <c r="J610" s="7" t="s">
        <v>2891</v>
      </c>
      <c r="K610" s="7">
        <v>31.0</v>
      </c>
      <c r="L610" s="7">
        <v>31.0</v>
      </c>
      <c r="M610" s="7">
        <v>31.0</v>
      </c>
      <c r="N610" s="7">
        <v>31.0</v>
      </c>
      <c r="O610" s="7">
        <v>31.0</v>
      </c>
      <c r="P610" s="7">
        <v>31.0</v>
      </c>
      <c r="Q610" s="7">
        <v>4.0</v>
      </c>
      <c r="R610" s="7">
        <v>252.0</v>
      </c>
      <c r="S610" s="7">
        <v>0.0</v>
      </c>
      <c r="T610" s="7">
        <v>0.0</v>
      </c>
      <c r="U610" s="7">
        <v>0.0</v>
      </c>
      <c r="V610" s="7">
        <v>252.0</v>
      </c>
      <c r="W610" s="7">
        <f>VLOOKUP($D610,NatureChart,2,0)</f>
        <v>1.1</v>
      </c>
      <c r="X610" s="7">
        <f>VLOOKUP($D610,NatureChart,3,0)</f>
        <v>1</v>
      </c>
      <c r="Y610" s="7">
        <f>VLOOKUP($D610,NatureChart,4,0)</f>
        <v>0.9</v>
      </c>
      <c r="Z610" s="7">
        <f>VLOOKUP($D610,NatureChart,5,0)</f>
        <v>1</v>
      </c>
      <c r="AA610" s="84">
        <f>VLOOKUP($D610,NatureChart,6,0)</f>
        <v>1</v>
      </c>
      <c r="AB610" s="84">
        <f>IF($C610="Shedinja",1,(INT((2*VLOOKUP($C610,DexData,5,0)+INT(Q610/4)+K610)/2)+60))</f>
        <v>161</v>
      </c>
      <c r="AC610" s="84">
        <f>INT(INT((INT((2*VLOOKUP($C610,DexData,6,0)+INT(R610/4)+L610)/2)+5)*W610)*IF($E610="Choice Band",1.5,IF(OR($E610="Mawilite",$E610="Medichamite",$E610="Thick Club"),2,1)))</f>
        <v>189</v>
      </c>
      <c r="AD610" s="84">
        <f>INT(INT((INT((2*VLOOKUP($C610,DexData,7,0)+INT(S610/4)+M610)/2)+5)*X610)*IF($E610="Eviolite",1.5,1))</f>
        <v>90</v>
      </c>
      <c r="AE610" s="84">
        <f>INT(INT((INT((2*VLOOKUP($C610,DexData,9,0)+INT(T610/4)+N610)/2)+5)*Y610)*IF($E610="Choice Specs",1.5,1))</f>
        <v>63</v>
      </c>
      <c r="AF610" s="84">
        <f>INT(INT((INT((2*VLOOKUP($C610,DexData,10,0)+INT(U610/4)+O610)/2)+5)*Z610)*IF(OR($E610="Eviolite",$E610="Assault Vest"),1.5,1))</f>
        <v>80</v>
      </c>
      <c r="AG610" s="84">
        <f>INT(INT((INT((2*VLOOKUP($C610,DexData,11,0)+INT(V610/4)+P610)/2)+5)*AA610)*IF($E610="Choice Scarf",1.5,IF($E610="Iron Ball",0.5,1)))</f>
        <v>152</v>
      </c>
      <c r="AH610" s="84" t="str">
        <f>VLOOKUP(VLOOKUP($C610,DexData,3,0),Aliases!D$2:E$19,2,0)&amp;IFERROR("/"&amp;VLOOKUP(VLOOKUP($C610,DexData,4,0),Aliases!D$2:E$19,2,0),"")</f>
        <v>NRM/FLY</v>
      </c>
      <c r="AI610" s="7">
        <v>3.0</v>
      </c>
      <c r="AJ610" s="7">
        <f>IF(VLOOKUP(B610,'Set Odds'!A$2:AN$1067,40,0),1,IF(VLOOKUP(B610,'Set Odds'!A$2:AO$1067,41,0),2,0))</f>
        <v>1</v>
      </c>
      <c r="AK610" s="7"/>
      <c r="AL610" s="7" t="str">
        <f t="shared" si="1"/>
        <v/>
      </c>
    </row>
    <row r="611" ht="12.75" customHeight="1">
      <c r="A611" s="86">
        <v>610.0</v>
      </c>
      <c r="B611" s="84" t="s">
        <v>4159</v>
      </c>
      <c r="C611" s="7" t="s">
        <v>3678</v>
      </c>
      <c r="D611" s="7" t="s">
        <v>2862</v>
      </c>
      <c r="E611" s="7" t="s">
        <v>2623</v>
      </c>
      <c r="F611" s="84" t="s">
        <v>2967</v>
      </c>
      <c r="G611" s="84" t="s">
        <v>2832</v>
      </c>
      <c r="H611" s="84" t="s">
        <v>3428</v>
      </c>
      <c r="I611" s="84" t="s">
        <v>2718</v>
      </c>
      <c r="J611" s="7" t="s">
        <v>2988</v>
      </c>
      <c r="K611" s="7">
        <v>31.0</v>
      </c>
      <c r="L611" s="7">
        <v>31.0</v>
      </c>
      <c r="M611" s="7">
        <v>31.0</v>
      </c>
      <c r="N611" s="7">
        <v>31.0</v>
      </c>
      <c r="O611" s="7">
        <v>31.0</v>
      </c>
      <c r="P611" s="7">
        <v>31.0</v>
      </c>
      <c r="Q611" s="7">
        <v>252.0</v>
      </c>
      <c r="R611" s="7">
        <v>0.0</v>
      </c>
      <c r="S611" s="7">
        <v>252.0</v>
      </c>
      <c r="T611" s="7">
        <v>4.0</v>
      </c>
      <c r="U611" s="7">
        <v>0.0</v>
      </c>
      <c r="V611" s="7">
        <v>0.0</v>
      </c>
      <c r="W611" s="7">
        <f>VLOOKUP($D611,NatureChart,2,0)</f>
        <v>0.9</v>
      </c>
      <c r="X611" s="7">
        <f>VLOOKUP($D611,NatureChart,3,0)</f>
        <v>1.1</v>
      </c>
      <c r="Y611" s="7">
        <f>VLOOKUP($D611,NatureChart,4,0)</f>
        <v>1</v>
      </c>
      <c r="Z611" s="7">
        <f>VLOOKUP($D611,NatureChart,5,0)</f>
        <v>1</v>
      </c>
      <c r="AA611" s="84">
        <f>VLOOKUP($D611,NatureChart,6,0)</f>
        <v>1</v>
      </c>
      <c r="AB611" s="84">
        <f>IF($C611="Shedinja",1,(INT((2*VLOOKUP($C611,DexData,5,0)+INT(Q611/4)+K611)/2)+60))</f>
        <v>218</v>
      </c>
      <c r="AC611" s="84">
        <f>INT(INT((INT((2*VLOOKUP($C611,DexData,6,0)+INT(R611/4)+L611)/2)+5)*W611)*IF($E611="Choice Band",1.5,IF(OR($E611="Mawilite",$E611="Medichamite",$E611="Thick Club"),2,1)))</f>
        <v>92</v>
      </c>
      <c r="AD611" s="84">
        <f>INT(INT((INT((2*VLOOKUP($C611,DexData,7,0)+INT(S611/4)+M611)/2)+5)*X611)*IF($E611="Eviolite",1.5,1))</f>
        <v>132</v>
      </c>
      <c r="AE611" s="84">
        <f>INT(INT((INT((2*VLOOKUP($C611,DexData,9,0)+INT(T611/4)+N611)/2)+5)*Y611)*IF($E611="Choice Specs",1.5,1))</f>
        <v>113</v>
      </c>
      <c r="AF611" s="84">
        <f>INT(INT((INT((2*VLOOKUP($C611,DexData,10,0)+INT(U611/4)+O611)/2)+5)*Z611)*IF(OR($E611="Eviolite",$E611="Assault Vest"),1.5,1))</f>
        <v>102</v>
      </c>
      <c r="AG611" s="84">
        <f>INT(INT((INT((2*VLOOKUP($C611,DexData,11,0)+INT(V611/4)+P611)/2)+5)*AA611)*IF($E611="Choice Scarf",1.5,IF($E611="Iron Ball",0.5,1)))</f>
        <v>59</v>
      </c>
      <c r="AH611" s="84" t="str">
        <f>VLOOKUP(VLOOKUP($C611,DexData,3,0),Aliases!D$2:E$19,2,0)&amp;IFERROR("/"&amp;VLOOKUP(VLOOKUP($C611,DexData,4,0),Aliases!D$2:E$19,2,0),"")</f>
        <v>WTR/GRD</v>
      </c>
      <c r="AI611" s="7">
        <v>3.0</v>
      </c>
      <c r="AJ611" s="7">
        <f>IF(VLOOKUP(B611,'Set Odds'!A$2:AN$1067,40,0),1,IF(VLOOKUP(B611,'Set Odds'!A$2:AO$1067,41,0),2,0))</f>
        <v>1</v>
      </c>
      <c r="AK611" s="7"/>
      <c r="AL611" s="7" t="str">
        <f t="shared" si="1"/>
        <v/>
      </c>
    </row>
    <row r="612" ht="12.75" customHeight="1">
      <c r="A612" s="86">
        <v>611.0</v>
      </c>
      <c r="B612" s="84" t="s">
        <v>4160</v>
      </c>
      <c r="C612" s="7" t="s">
        <v>3680</v>
      </c>
      <c r="D612" s="7" t="s">
        <v>2692</v>
      </c>
      <c r="E612" s="7" t="s">
        <v>2618</v>
      </c>
      <c r="F612" s="84" t="s">
        <v>3578</v>
      </c>
      <c r="G612" s="84" t="s">
        <v>2807</v>
      </c>
      <c r="H612" s="84" t="s">
        <v>2539</v>
      </c>
      <c r="I612" s="84" t="s">
        <v>2660</v>
      </c>
      <c r="J612" s="7" t="s">
        <v>2995</v>
      </c>
      <c r="K612" s="7">
        <v>31.0</v>
      </c>
      <c r="L612" s="7">
        <v>31.0</v>
      </c>
      <c r="M612" s="7">
        <v>31.0</v>
      </c>
      <c r="N612" s="7">
        <v>31.0</v>
      </c>
      <c r="O612" s="7">
        <v>31.0</v>
      </c>
      <c r="P612" s="7">
        <v>31.0</v>
      </c>
      <c r="Q612" s="7">
        <v>4.0</v>
      </c>
      <c r="R612" s="7">
        <v>252.0</v>
      </c>
      <c r="S612" s="7">
        <v>0.0</v>
      </c>
      <c r="T612" s="7">
        <v>0.0</v>
      </c>
      <c r="U612" s="7">
        <v>0.0</v>
      </c>
      <c r="V612" s="7">
        <v>252.0</v>
      </c>
      <c r="W612" s="7">
        <f>VLOOKUP($D612,NatureChart,2,0)</f>
        <v>1</v>
      </c>
      <c r="X612" s="7">
        <f>VLOOKUP($D612,NatureChart,3,0)</f>
        <v>1</v>
      </c>
      <c r="Y612" s="7">
        <f>VLOOKUP($D612,NatureChart,4,0)</f>
        <v>0.9</v>
      </c>
      <c r="Z612" s="7">
        <f>VLOOKUP($D612,NatureChart,5,0)</f>
        <v>1</v>
      </c>
      <c r="AA612" s="84">
        <f>VLOOKUP($D612,NatureChart,6,0)</f>
        <v>1.1</v>
      </c>
      <c r="AB612" s="84">
        <f>IF($C612="Shedinja",1,(INT((2*VLOOKUP($C612,DexData,5,0)+INT(Q612/4)+K612)/2)+60))</f>
        <v>179</v>
      </c>
      <c r="AC612" s="84">
        <f>INT(INT((INT((2*VLOOKUP($C612,DexData,6,0)+INT(R612/4)+L612)/2)+5)*W612)*IF($E612="Choice Band",1.5,IF(OR($E612="Mawilite",$E612="Medichamite",$E612="Thick Club"),2,1)))</f>
        <v>145</v>
      </c>
      <c r="AD612" s="84">
        <f>INT(INT((INT((2*VLOOKUP($C612,DexData,7,0)+INT(S612/4)+M612)/2)+5)*X612)*IF($E612="Eviolite",1.5,1))</f>
        <v>87</v>
      </c>
      <c r="AE612" s="84">
        <f>INT(INT((INT((2*VLOOKUP($C612,DexData,9,0)+INT(T612/4)+N612)/2)+5)*Y612)*IF($E612="Choice Specs",1.5,1))</f>
        <v>81</v>
      </c>
      <c r="AF612" s="84">
        <f>INT(INT((INT((2*VLOOKUP($C612,DexData,10,0)+INT(U612/4)+O612)/2)+5)*Z612)*IF(OR($E612="Eviolite",$E612="Assault Vest"),1.5,1))</f>
        <v>81</v>
      </c>
      <c r="AG612" s="84">
        <f>INT(INT((INT((2*VLOOKUP($C612,DexData,11,0)+INT(V612/4)+P612)/2)+5)*AA612)*IF($E612="Choice Scarf",1.5,IF($E612="Iron Ball",0.5,1)))</f>
        <v>149</v>
      </c>
      <c r="AH612" s="84" t="str">
        <f>VLOOKUP(VLOOKUP($C612,DexData,3,0),Aliases!D$2:E$19,2,0)&amp;IFERROR("/"&amp;VLOOKUP(VLOOKUP($C612,DexData,4,0),Aliases!D$2:E$19,2,0),"")</f>
        <v>PSN/DRK</v>
      </c>
      <c r="AI612" s="7">
        <v>3.0</v>
      </c>
      <c r="AJ612" s="7">
        <f>IF(VLOOKUP(B612,'Set Odds'!A$2:AN$1067,40,0),1,IF(VLOOKUP(B612,'Set Odds'!A$2:AO$1067,41,0),2,0))</f>
        <v>1</v>
      </c>
      <c r="AK612" s="7"/>
      <c r="AL612" s="7" t="str">
        <f t="shared" si="1"/>
        <v/>
      </c>
    </row>
    <row r="613" ht="12.75" customHeight="1">
      <c r="A613" s="86">
        <v>612.0</v>
      </c>
      <c r="B613" s="84" t="s">
        <v>4161</v>
      </c>
      <c r="C613" s="7" t="s">
        <v>3682</v>
      </c>
      <c r="D613" s="7" t="s">
        <v>2629</v>
      </c>
      <c r="E613" s="7" t="s">
        <v>2516</v>
      </c>
      <c r="F613" s="84" t="s">
        <v>3692</v>
      </c>
      <c r="G613" s="84" t="s">
        <v>3052</v>
      </c>
      <c r="H613" s="84" t="s">
        <v>3113</v>
      </c>
      <c r="I613" s="84" t="s">
        <v>3118</v>
      </c>
      <c r="J613" s="7" t="s">
        <v>3250</v>
      </c>
      <c r="K613" s="7">
        <v>31.0</v>
      </c>
      <c r="L613" s="7">
        <v>31.0</v>
      </c>
      <c r="M613" s="7">
        <v>31.0</v>
      </c>
      <c r="N613" s="7">
        <v>31.0</v>
      </c>
      <c r="O613" s="7">
        <v>31.0</v>
      </c>
      <c r="P613" s="7">
        <v>31.0</v>
      </c>
      <c r="Q613" s="7">
        <v>252.0</v>
      </c>
      <c r="R613" s="7">
        <v>252.0</v>
      </c>
      <c r="S613" s="7">
        <v>4.0</v>
      </c>
      <c r="T613" s="7">
        <v>0.0</v>
      </c>
      <c r="U613" s="7">
        <v>0.0</v>
      </c>
      <c r="V613" s="7">
        <v>0.0</v>
      </c>
      <c r="W613" s="7">
        <f>VLOOKUP($D613,NatureChart,2,0)</f>
        <v>1.1</v>
      </c>
      <c r="X613" s="7">
        <f>VLOOKUP($D613,NatureChart,3,0)</f>
        <v>1</v>
      </c>
      <c r="Y613" s="7">
        <f>VLOOKUP($D613,NatureChart,4,0)</f>
        <v>1</v>
      </c>
      <c r="Z613" s="7">
        <f>VLOOKUP($D613,NatureChart,5,0)</f>
        <v>1</v>
      </c>
      <c r="AA613" s="84">
        <f>VLOOKUP($D613,NatureChart,6,0)</f>
        <v>0.9</v>
      </c>
      <c r="AB613" s="84">
        <f>IF($C613="Shedinja",1,(INT((2*VLOOKUP($C613,DexData,5,0)+INT(Q613/4)+K613)/2)+60))</f>
        <v>182</v>
      </c>
      <c r="AC613" s="84">
        <f>INT(INT((INT((2*VLOOKUP($C613,DexData,6,0)+INT(R613/4)+L613)/2)+5)*W613)*IF($E613="Choice Band",1.5,IF(OR($E613="Mawilite",$E613="Medichamite",$E613="Thick Club"),2,1)))</f>
        <v>145</v>
      </c>
      <c r="AD613" s="84">
        <f>INT(INT((INT((2*VLOOKUP($C613,DexData,7,0)+INT(S613/4)+M613)/2)+5)*X613)*IF($E613="Eviolite",1.5,1))</f>
        <v>106</v>
      </c>
      <c r="AE613" s="84">
        <f>INT(INT((INT((2*VLOOKUP($C613,DexData,9,0)+INT(T613/4)+N613)/2)+5)*Y613)*IF($E613="Choice Specs",1.5,1))</f>
        <v>130</v>
      </c>
      <c r="AF613" s="84">
        <f>INT(INT((INT((2*VLOOKUP($C613,DexData,10,0)+INT(U613/4)+O613)/2)+5)*Z613)*IF(OR($E613="Eviolite",$E613="Assault Vest"),1.5,1))</f>
        <v>110</v>
      </c>
      <c r="AG613" s="84">
        <f>INT(INT((INT((2*VLOOKUP($C613,DexData,11,0)+INT(V613/4)+P613)/2)+5)*AA613)*IF($E613="Choice Scarf",1.5,IF($E613="Iron Ball",0.5,1)))</f>
        <v>63</v>
      </c>
      <c r="AH613" s="84" t="str">
        <f>VLOOKUP(VLOOKUP($C613,DexData,3,0),Aliases!D$2:E$19,2,0)&amp;IFERROR("/"&amp;VLOOKUP(VLOOKUP($C613,DexData,4,0),Aliases!D$2:E$19,2,0),"")</f>
        <v>GRS/PSN</v>
      </c>
      <c r="AI613" s="7">
        <v>3.0</v>
      </c>
      <c r="AJ613" s="7">
        <f>IF(VLOOKUP(B613,'Set Odds'!A$2:AN$1067,40,0),1,IF(VLOOKUP(B613,'Set Odds'!A$2:AO$1067,41,0),2,0))</f>
        <v>1</v>
      </c>
      <c r="AK613" s="7"/>
      <c r="AL613" s="7" t="str">
        <f t="shared" si="1"/>
        <v/>
      </c>
    </row>
    <row r="614" ht="12.75" customHeight="1">
      <c r="A614" s="86">
        <v>613.0</v>
      </c>
      <c r="B614" s="84" t="s">
        <v>4162</v>
      </c>
      <c r="C614" s="7" t="s">
        <v>3684</v>
      </c>
      <c r="D614" s="7" t="s">
        <v>2635</v>
      </c>
      <c r="E614" s="7" t="s">
        <v>3557</v>
      </c>
      <c r="F614" s="84" t="s">
        <v>3052</v>
      </c>
      <c r="G614" s="84" t="s">
        <v>3730</v>
      </c>
      <c r="H614" s="84" t="s">
        <v>3558</v>
      </c>
      <c r="I614" s="84" t="s">
        <v>2856</v>
      </c>
      <c r="J614" s="7" t="s">
        <v>2701</v>
      </c>
      <c r="K614" s="7">
        <v>31.0</v>
      </c>
      <c r="L614" s="7">
        <v>31.0</v>
      </c>
      <c r="M614" s="7">
        <v>31.0</v>
      </c>
      <c r="N614" s="7">
        <v>31.0</v>
      </c>
      <c r="O614" s="7">
        <v>31.0</v>
      </c>
      <c r="P614" s="7">
        <v>31.0</v>
      </c>
      <c r="Q614" s="7">
        <v>4.0</v>
      </c>
      <c r="R614" s="7">
        <v>0.0</v>
      </c>
      <c r="S614" s="7">
        <v>0.0</v>
      </c>
      <c r="T614" s="7">
        <v>252.0</v>
      </c>
      <c r="U614" s="7">
        <v>0.0</v>
      </c>
      <c r="V614" s="7">
        <v>252.0</v>
      </c>
      <c r="W614" s="7">
        <f>VLOOKUP($D614,NatureChart,2,0)</f>
        <v>0.9</v>
      </c>
      <c r="X614" s="7">
        <f>VLOOKUP($D614,NatureChart,3,0)</f>
        <v>1</v>
      </c>
      <c r="Y614" s="7">
        <f>VLOOKUP($D614,NatureChart,4,0)</f>
        <v>1</v>
      </c>
      <c r="Z614" s="7">
        <f>VLOOKUP($D614,NatureChart,5,0)</f>
        <v>1</v>
      </c>
      <c r="AA614" s="84">
        <f>VLOOKUP($D614,NatureChart,6,0)</f>
        <v>1.1</v>
      </c>
      <c r="AB614" s="84">
        <f>IF($C614="Shedinja",1,(INT((2*VLOOKUP($C614,DexData,5,0)+INT(Q614/4)+K614)/2)+60))</f>
        <v>156</v>
      </c>
      <c r="AC614" s="84">
        <f>INT(INT((INT((2*VLOOKUP($C614,DexData,6,0)+INT(R614/4)+L614)/2)+5)*W614)*IF($E614="Choice Band",1.5,IF(OR($E614="Mawilite",$E614="Medichamite",$E614="Thick Club"),2,1)))</f>
        <v>112</v>
      </c>
      <c r="AD614" s="84">
        <f>INT(INT((INT((2*VLOOKUP($C614,DexData,7,0)+INT(S614/4)+M614)/2)+5)*X614)*IF($E614="Eviolite",1.5,1))</f>
        <v>85</v>
      </c>
      <c r="AE614" s="84">
        <f>INT(INT((INT((2*VLOOKUP($C614,DexData,9,0)+INT(T614/4)+N614)/2)+5)*Y614)*IF($E614="Choice Specs",1.5,1))</f>
        <v>152</v>
      </c>
      <c r="AF614" s="84">
        <f>INT(INT((INT((2*VLOOKUP($C614,DexData,10,0)+INT(U614/4)+O614)/2)+5)*Z614)*IF(OR($E614="Eviolite",$E614="Assault Vest"),1.5,1))</f>
        <v>90</v>
      </c>
      <c r="AG614" s="84">
        <f>INT(INT((INT((2*VLOOKUP($C614,DexData,11,0)+INT(V614/4)+P614)/2)+5)*AA614)*IF($E614="Choice Scarf",1.5,IF($E614="Iron Ball",0.5,1)))</f>
        <v>134</v>
      </c>
      <c r="AH614" s="84" t="str">
        <f>VLOOKUP(VLOOKUP($C614,DexData,3,0),Aliases!D$2:E$19,2,0)&amp;IFERROR("/"&amp;VLOOKUP(VLOOKUP($C614,DexData,4,0),Aliases!D$2:E$19,2,0),"")</f>
        <v>GRS/PSN</v>
      </c>
      <c r="AI614" s="7">
        <v>3.0</v>
      </c>
      <c r="AJ614" s="7">
        <f>IF(VLOOKUP(B614,'Set Odds'!A$2:AN$1067,40,0),1,IF(VLOOKUP(B614,'Set Odds'!A$2:AO$1067,41,0),2,0))</f>
        <v>1</v>
      </c>
      <c r="AK614" s="7"/>
      <c r="AL614" s="7" t="str">
        <f t="shared" si="1"/>
        <v/>
      </c>
    </row>
    <row r="615" ht="12.75" customHeight="1">
      <c r="A615" s="86">
        <v>614.0</v>
      </c>
      <c r="B615" s="84" t="s">
        <v>4163</v>
      </c>
      <c r="C615" s="7" t="s">
        <v>3689</v>
      </c>
      <c r="D615" s="7" t="s">
        <v>2656</v>
      </c>
      <c r="E615" s="7" t="s">
        <v>4164</v>
      </c>
      <c r="F615" s="84" t="s">
        <v>3435</v>
      </c>
      <c r="G615" s="84" t="s">
        <v>3523</v>
      </c>
      <c r="H615" s="84" t="s">
        <v>2601</v>
      </c>
      <c r="I615" s="84" t="s">
        <v>2763</v>
      </c>
      <c r="J615" s="7" t="s">
        <v>2995</v>
      </c>
      <c r="K615" s="7">
        <v>31.0</v>
      </c>
      <c r="L615" s="7">
        <v>31.0</v>
      </c>
      <c r="M615" s="7">
        <v>31.0</v>
      </c>
      <c r="N615" s="7">
        <v>31.0</v>
      </c>
      <c r="O615" s="7">
        <v>31.0</v>
      </c>
      <c r="P615" s="7">
        <v>31.0</v>
      </c>
      <c r="Q615" s="7">
        <v>4.0</v>
      </c>
      <c r="R615" s="7">
        <v>0.0</v>
      </c>
      <c r="S615" s="7">
        <v>0.0</v>
      </c>
      <c r="T615" s="7">
        <v>252.0</v>
      </c>
      <c r="U615" s="7">
        <v>0.0</v>
      </c>
      <c r="V615" s="7">
        <v>252.0</v>
      </c>
      <c r="W615" s="7">
        <f>VLOOKUP($D615,NatureChart,2,0)</f>
        <v>0.9</v>
      </c>
      <c r="X615" s="7">
        <f>VLOOKUP($D615,NatureChart,3,0)</f>
        <v>1</v>
      </c>
      <c r="Y615" s="7">
        <f>VLOOKUP($D615,NatureChart,4,0)</f>
        <v>1.1</v>
      </c>
      <c r="Z615" s="7">
        <f>VLOOKUP($D615,NatureChart,5,0)</f>
        <v>1</v>
      </c>
      <c r="AA615" s="84">
        <f>VLOOKUP($D615,NatureChart,6,0)</f>
        <v>1</v>
      </c>
      <c r="AB615" s="84">
        <f>IF($C615="Shedinja",1,(INT((2*VLOOKUP($C615,DexData,5,0)+INT(Q615/4)+K615)/2)+60))</f>
        <v>136</v>
      </c>
      <c r="AC615" s="84">
        <f>INT(INT((INT((2*VLOOKUP($C615,DexData,6,0)+INT(R615/4)+L615)/2)+5)*W615)*IF($E615="Choice Band",1.5,IF(OR($E615="Mawilite",$E615="Medichamite",$E615="Thick Club"),2,1)))</f>
        <v>63</v>
      </c>
      <c r="AD615" s="84">
        <f>INT(INT((INT((2*VLOOKUP($C615,DexData,7,0)+INT(S615/4)+M615)/2)+5)*X615)*IF($E615="Eviolite",1.5,1))</f>
        <v>90</v>
      </c>
      <c r="AE615" s="84">
        <f>INT(INT((INT((2*VLOOKUP($C615,DexData,9,0)+INT(T615/4)+N615)/2)+5)*Y615)*IF($E615="Choice Specs",1.5,1))</f>
        <v>145</v>
      </c>
      <c r="AF615" s="84">
        <f>INT(INT((INT((2*VLOOKUP($C615,DexData,10,0)+INT(U615/4)+O615)/2)+5)*Z615)*IF(OR($E615="Eviolite",$E615="Assault Vest"),1.5,1))</f>
        <v>100</v>
      </c>
      <c r="AG615" s="84">
        <f>INT(INT((INT((2*VLOOKUP($C615,DexData,11,0)+INT(V615/4)+P615)/2)+5)*AA615)*IF($E615="Choice Scarf",1.5,IF($E615="Iron Ball",0.5,1)))</f>
        <v>202</v>
      </c>
      <c r="AH615" s="84" t="str">
        <f>VLOOKUP(VLOOKUP($C615,DexData,3,0),Aliases!D$2:E$19,2,0)&amp;IFERROR("/"&amp;VLOOKUP(VLOOKUP($C615,DexData,4,0),Aliases!D$2:E$19,2,0),"")</f>
        <v>ELC</v>
      </c>
      <c r="AI615" s="7">
        <v>3.0</v>
      </c>
      <c r="AJ615" s="7">
        <f>IF(VLOOKUP(B615,'Set Odds'!A$2:AN$1067,40,0),1,IF(VLOOKUP(B615,'Set Odds'!A$2:AO$1067,41,0),2,0))</f>
        <v>1</v>
      </c>
      <c r="AK615" s="7"/>
      <c r="AL615" s="7" t="str">
        <f t="shared" si="1"/>
        <v/>
      </c>
    </row>
    <row r="616" ht="12.75" customHeight="1">
      <c r="A616" s="86">
        <v>615.0</v>
      </c>
      <c r="B616" s="84" t="s">
        <v>4165</v>
      </c>
      <c r="C616" s="7" t="s">
        <v>3691</v>
      </c>
      <c r="D616" s="7" t="s">
        <v>2656</v>
      </c>
      <c r="E616" s="7" t="s">
        <v>3726</v>
      </c>
      <c r="F616" s="84" t="s">
        <v>3341</v>
      </c>
      <c r="G616" s="84" t="s">
        <v>2823</v>
      </c>
      <c r="H616" s="84" t="s">
        <v>2631</v>
      </c>
      <c r="I616" s="84" t="s">
        <v>3590</v>
      </c>
      <c r="J616" s="7" t="s">
        <v>3028</v>
      </c>
      <c r="K616" s="7">
        <v>31.0</v>
      </c>
      <c r="L616" s="7">
        <v>31.0</v>
      </c>
      <c r="M616" s="7">
        <v>31.0</v>
      </c>
      <c r="N616" s="7">
        <v>31.0</v>
      </c>
      <c r="O616" s="7">
        <v>31.0</v>
      </c>
      <c r="P616" s="7">
        <v>31.0</v>
      </c>
      <c r="Q616" s="7">
        <v>252.0</v>
      </c>
      <c r="R616" s="7">
        <v>0.0</v>
      </c>
      <c r="S616" s="7">
        <v>0.0</v>
      </c>
      <c r="T616" s="7">
        <v>252.0</v>
      </c>
      <c r="U616" s="7">
        <v>0.0</v>
      </c>
      <c r="V616" s="7">
        <v>4.0</v>
      </c>
      <c r="W616" s="7">
        <f>VLOOKUP($D616,NatureChart,2,0)</f>
        <v>0.9</v>
      </c>
      <c r="X616" s="7">
        <f>VLOOKUP($D616,NatureChart,3,0)</f>
        <v>1</v>
      </c>
      <c r="Y616" s="7">
        <f>VLOOKUP($D616,NatureChart,4,0)</f>
        <v>1.1</v>
      </c>
      <c r="Z616" s="7">
        <f>VLOOKUP($D616,NatureChart,5,0)</f>
        <v>1</v>
      </c>
      <c r="AA616" s="84">
        <f>VLOOKUP($D616,NatureChart,6,0)</f>
        <v>1</v>
      </c>
      <c r="AB616" s="84">
        <f>IF($C616="Shedinja",1,(INT((2*VLOOKUP($C616,DexData,5,0)+INT(Q616/4)+K616)/2)+60))</f>
        <v>187</v>
      </c>
      <c r="AC616" s="84">
        <f>INT(INT((INT((2*VLOOKUP($C616,DexData,6,0)+INT(R616/4)+L616)/2)+5)*W616)*IF($E616="Choice Band",1.5,IF(OR($E616="Mawilite",$E616="Medichamite",$E616="Thick Club"),2,1)))</f>
        <v>81</v>
      </c>
      <c r="AD616" s="84">
        <f>INT(INT((INT((2*VLOOKUP($C616,DexData,7,0)+INT(S616/4)+M616)/2)+5)*X616)*IF($E616="Eviolite",1.5,1))</f>
        <v>90</v>
      </c>
      <c r="AE616" s="84">
        <f>INT(INT((INT((2*VLOOKUP($C616,DexData,9,0)+INT(T616/4)+N616)/2)+5)*Y616)*IF($E616="Choice Specs",1.5,1))</f>
        <v>156</v>
      </c>
      <c r="AF616" s="84">
        <f>INT(INT((INT((2*VLOOKUP($C616,DexData,10,0)+INT(U616/4)+O616)/2)+5)*Z616)*IF(OR($E616="Eviolite",$E616="Assault Vest"),1.5,1))</f>
        <v>120</v>
      </c>
      <c r="AG616" s="84">
        <f>INT(INT((INT((2*VLOOKUP($C616,DexData,11,0)+INT(V616/4)+P616)/2)+5)*AA616)*IF($E616="Choice Scarf",1.5,IF($E616="Iron Ball",0.5,1)))</f>
        <v>91</v>
      </c>
      <c r="AH616" s="84" t="str">
        <f>VLOOKUP(VLOOKUP($C616,DexData,3,0),Aliases!D$2:E$19,2,0)&amp;IFERROR("/"&amp;VLOOKUP(VLOOKUP($C616,DexData,4,0),Aliases!D$2:E$19,2,0),"")</f>
        <v>WTR/GRS</v>
      </c>
      <c r="AI616" s="7">
        <v>3.0</v>
      </c>
      <c r="AJ616" s="7">
        <f>IF(VLOOKUP(B616,'Set Odds'!A$2:AN$1067,40,0),1,IF(VLOOKUP(B616,'Set Odds'!A$2:AO$1067,41,0),2,0))</f>
        <v>1</v>
      </c>
      <c r="AK616" s="7"/>
      <c r="AL616" s="7" t="str">
        <f t="shared" si="1"/>
        <v/>
      </c>
    </row>
    <row r="617" ht="12.75" customHeight="1">
      <c r="A617" s="86">
        <v>616.0</v>
      </c>
      <c r="B617" s="84" t="s">
        <v>4166</v>
      </c>
      <c r="C617" s="7" t="s">
        <v>3694</v>
      </c>
      <c r="D617" s="7" t="s">
        <v>2656</v>
      </c>
      <c r="E617" s="7" t="s">
        <v>2520</v>
      </c>
      <c r="F617" s="84" t="s">
        <v>3730</v>
      </c>
      <c r="G617" s="84" t="s">
        <v>3264</v>
      </c>
      <c r="H617" s="84" t="s">
        <v>3590</v>
      </c>
      <c r="I617" s="84" t="s">
        <v>2638</v>
      </c>
      <c r="J617" s="7" t="s">
        <v>2701</v>
      </c>
      <c r="K617" s="7">
        <v>31.0</v>
      </c>
      <c r="L617" s="7">
        <v>31.0</v>
      </c>
      <c r="M617" s="7">
        <v>31.0</v>
      </c>
      <c r="N617" s="7">
        <v>31.0</v>
      </c>
      <c r="O617" s="7">
        <v>31.0</v>
      </c>
      <c r="P617" s="7">
        <v>31.0</v>
      </c>
      <c r="Q617" s="7">
        <v>4.0</v>
      </c>
      <c r="R617" s="7">
        <v>0.0</v>
      </c>
      <c r="S617" s="7">
        <v>0.0</v>
      </c>
      <c r="T617" s="7">
        <v>252.0</v>
      </c>
      <c r="U617" s="7">
        <v>0.0</v>
      </c>
      <c r="V617" s="7">
        <v>252.0</v>
      </c>
      <c r="W617" s="7">
        <f>VLOOKUP($D617,NatureChart,2,0)</f>
        <v>0.9</v>
      </c>
      <c r="X617" s="7">
        <f>VLOOKUP($D617,NatureChart,3,0)</f>
        <v>1</v>
      </c>
      <c r="Y617" s="7">
        <f>VLOOKUP($D617,NatureChart,4,0)</f>
        <v>1.1</v>
      </c>
      <c r="Z617" s="7">
        <f>VLOOKUP($D617,NatureChart,5,0)</f>
        <v>1</v>
      </c>
      <c r="AA617" s="84">
        <f>VLOOKUP($D617,NatureChart,6,0)</f>
        <v>1</v>
      </c>
      <c r="AB617" s="84">
        <f>IF($C617="Shedinja",1,(INT((2*VLOOKUP($C617,DexData,5,0)+INT(Q617/4)+K617)/2)+60))</f>
        <v>166</v>
      </c>
      <c r="AC617" s="84">
        <f>INT(INT((INT((2*VLOOKUP($C617,DexData,6,0)+INT(R617/4)+L617)/2)+5)*W617)*IF($E617="Choice Band",1.5,IF(OR($E617="Mawilite",$E617="Medichamite",$E617="Thick Club"),2,1)))</f>
        <v>108</v>
      </c>
      <c r="AD617" s="84">
        <f>INT(INT((INT((2*VLOOKUP($C617,DexData,7,0)+INT(S617/4)+M617)/2)+5)*X617)*IF($E617="Eviolite",1.5,1))</f>
        <v>80</v>
      </c>
      <c r="AE617" s="84">
        <f>INT(INT((INT((2*VLOOKUP($C617,DexData,9,0)+INT(T617/4)+N617)/2)+5)*Y617)*IF($E617="Choice Specs",1.5,1))</f>
        <v>156</v>
      </c>
      <c r="AF617" s="84">
        <f>INT(INT((INT((2*VLOOKUP($C617,DexData,10,0)+INT(U617/4)+O617)/2)+5)*Z617)*IF(OR($E617="Eviolite",$E617="Assault Vest"),1.5,1))</f>
        <v>80</v>
      </c>
      <c r="AG617" s="84">
        <f>INT(INT((INT((2*VLOOKUP($C617,DexData,11,0)+INT(V617/4)+P617)/2)+5)*AA617)*IF($E617="Choice Scarf",1.5,IF($E617="Iron Ball",0.5,1)))</f>
        <v>132</v>
      </c>
      <c r="AH617" s="84" t="str">
        <f>VLOOKUP(VLOOKUP($C617,DexData,3,0),Aliases!D$2:E$19,2,0)&amp;IFERROR("/"&amp;VLOOKUP(VLOOKUP($C617,DexData,4,0),Aliases!D$2:E$19,2,0),"")</f>
        <v>GRS/DRK</v>
      </c>
      <c r="AI617" s="7">
        <v>3.0</v>
      </c>
      <c r="AJ617" s="7">
        <f>IF(VLOOKUP(B617,'Set Odds'!A$2:AN$1067,40,0),1,IF(VLOOKUP(B617,'Set Odds'!A$2:AO$1067,41,0),2,0))</f>
        <v>1</v>
      </c>
      <c r="AK617" s="7"/>
      <c r="AL617" s="7" t="str">
        <f t="shared" si="1"/>
        <v/>
      </c>
    </row>
    <row r="618" ht="12.75" customHeight="1">
      <c r="A618" s="86">
        <v>617.0</v>
      </c>
      <c r="B618" s="84" t="s">
        <v>4167</v>
      </c>
      <c r="C618" s="7" t="s">
        <v>3696</v>
      </c>
      <c r="D618" s="7" t="s">
        <v>2723</v>
      </c>
      <c r="E618" s="7" t="s">
        <v>2516</v>
      </c>
      <c r="F618" s="84" t="s">
        <v>3636</v>
      </c>
      <c r="G618" s="84" t="s">
        <v>3454</v>
      </c>
      <c r="H618" s="84" t="s">
        <v>2874</v>
      </c>
      <c r="I618" s="84" t="s">
        <v>3015</v>
      </c>
      <c r="J618" s="7" t="s">
        <v>2931</v>
      </c>
      <c r="K618" s="7">
        <v>31.0</v>
      </c>
      <c r="L618" s="7">
        <v>31.0</v>
      </c>
      <c r="M618" s="7">
        <v>31.0</v>
      </c>
      <c r="N618" s="7">
        <v>31.0</v>
      </c>
      <c r="O618" s="7">
        <v>31.0</v>
      </c>
      <c r="P618" s="7">
        <v>31.0</v>
      </c>
      <c r="Q618" s="7">
        <v>252.0</v>
      </c>
      <c r="R618" s="7">
        <v>4.0</v>
      </c>
      <c r="S618" s="7">
        <v>0.0</v>
      </c>
      <c r="T618" s="7">
        <v>0.0</v>
      </c>
      <c r="U618" s="7">
        <v>252.0</v>
      </c>
      <c r="V618" s="7">
        <v>0.0</v>
      </c>
      <c r="W618" s="7">
        <f>VLOOKUP($D618,NatureChart,2,0)</f>
        <v>1</v>
      </c>
      <c r="X618" s="7">
        <f>VLOOKUP($D618,NatureChart,3,0)</f>
        <v>1</v>
      </c>
      <c r="Y618" s="7">
        <f>VLOOKUP($D618,NatureChart,4,0)</f>
        <v>0.9</v>
      </c>
      <c r="Z618" s="7">
        <f>VLOOKUP($D618,NatureChart,5,0)</f>
        <v>1.1</v>
      </c>
      <c r="AA618" s="84">
        <f>VLOOKUP($D618,NatureChart,6,0)</f>
        <v>1</v>
      </c>
      <c r="AB618" s="84">
        <f>IF($C618="Shedinja",1,(INT((2*VLOOKUP($C618,DexData,5,0)+INT(Q618/4)+K618)/2)+60))</f>
        <v>211</v>
      </c>
      <c r="AC618" s="84">
        <f>INT(INT((INT((2*VLOOKUP($C618,DexData,6,0)+INT(R618/4)+L618)/2)+5)*W618)*IF($E618="Choice Band",1.5,IF(OR($E618="Mawilite",$E618="Medichamite",$E618="Thick Club"),2,1)))</f>
        <v>112</v>
      </c>
      <c r="AD618" s="84">
        <f>INT(INT((INT((2*VLOOKUP($C618,DexData,7,0)+INT(S618/4)+M618)/2)+5)*X618)*IF($E618="Eviolite",1.5,1))</f>
        <v>83</v>
      </c>
      <c r="AE618" s="84">
        <f>INT(INT((INT((2*VLOOKUP($C618,DexData,9,0)+INT(T618/4)+N618)/2)+5)*Y618)*IF($E618="Choice Specs",1.5,1))</f>
        <v>99</v>
      </c>
      <c r="AF618" s="84">
        <f>INT(INT((INT((2*VLOOKUP($C618,DexData,10,0)+INT(U618/4)+O618)/2)+5)*Z618)*IF(OR($E618="Eviolite",$E618="Assault Vest"),1.5,1))</f>
        <v>137</v>
      </c>
      <c r="AG618" s="84">
        <f>INT(INT((INT((2*VLOOKUP($C618,DexData,11,0)+INT(V618/4)+P618)/2)+5)*AA618)*IF($E618="Choice Scarf",1.5,IF($E618="Iron Ball",0.5,1)))</f>
        <v>88</v>
      </c>
      <c r="AH618" s="84" t="str">
        <f>VLOOKUP(VLOOKUP($C618,DexData,3,0),Aliases!D$2:E$19,2,0)&amp;IFERROR("/"&amp;VLOOKUP(VLOOKUP($C618,DexData,4,0),Aliases!D$2:E$19,2,0),"")</f>
        <v>NRM</v>
      </c>
      <c r="AI618" s="7">
        <v>3.0</v>
      </c>
      <c r="AJ618" s="7">
        <f>IF(VLOOKUP(B618,'Set Odds'!A$2:AN$1067,40,0),1,IF(VLOOKUP(B618,'Set Odds'!A$2:AO$1067,41,0),2,0))</f>
        <v>1</v>
      </c>
      <c r="AK618" s="7"/>
      <c r="AL618" s="7" t="str">
        <f t="shared" si="1"/>
        <v/>
      </c>
    </row>
    <row r="619" ht="12.75" customHeight="1">
      <c r="A619" s="86">
        <v>618.0</v>
      </c>
      <c r="B619" s="84" t="s">
        <v>4168</v>
      </c>
      <c r="C619" s="7" t="s">
        <v>3699</v>
      </c>
      <c r="D619" s="7" t="s">
        <v>2656</v>
      </c>
      <c r="E619" s="7" t="s">
        <v>2579</v>
      </c>
      <c r="F619" s="84" t="s">
        <v>2823</v>
      </c>
      <c r="G619" s="84" t="s">
        <v>2661</v>
      </c>
      <c r="H619" s="84" t="s">
        <v>2607</v>
      </c>
      <c r="I619" s="84" t="s">
        <v>3268</v>
      </c>
      <c r="J619" s="7" t="s">
        <v>2786</v>
      </c>
      <c r="K619" s="7">
        <v>31.0</v>
      </c>
      <c r="L619" s="7">
        <v>31.0</v>
      </c>
      <c r="M619" s="7">
        <v>31.0</v>
      </c>
      <c r="N619" s="7">
        <v>31.0</v>
      </c>
      <c r="O619" s="7">
        <v>31.0</v>
      </c>
      <c r="P619" s="7">
        <v>31.0</v>
      </c>
      <c r="Q619" s="7">
        <v>4.0</v>
      </c>
      <c r="R619" s="7">
        <v>0.0</v>
      </c>
      <c r="S619" s="7">
        <v>0.0</v>
      </c>
      <c r="T619" s="7">
        <v>252.0</v>
      </c>
      <c r="U619" s="7">
        <v>0.0</v>
      </c>
      <c r="V619" s="7">
        <v>252.0</v>
      </c>
      <c r="W619" s="7">
        <f>VLOOKUP($D619,NatureChart,2,0)</f>
        <v>0.9</v>
      </c>
      <c r="X619" s="7">
        <f>VLOOKUP($D619,NatureChart,3,0)</f>
        <v>1</v>
      </c>
      <c r="Y619" s="7">
        <f>VLOOKUP($D619,NatureChart,4,0)</f>
        <v>1.1</v>
      </c>
      <c r="Z619" s="7">
        <f>VLOOKUP($D619,NatureChart,5,0)</f>
        <v>1</v>
      </c>
      <c r="AA619" s="84">
        <f>VLOOKUP($D619,NatureChart,6,0)</f>
        <v>1</v>
      </c>
      <c r="AB619" s="84">
        <f>IF($C619="Shedinja",1,(INT((2*VLOOKUP($C619,DexData,5,0)+INT(Q619/4)+K619)/2)+60))</f>
        <v>156</v>
      </c>
      <c r="AC619" s="84">
        <f>INT(INT((INT((2*VLOOKUP($C619,DexData,6,0)+INT(R619/4)+L619)/2)+5)*W619)*IF($E619="Choice Band",1.5,IF(OR($E619="Mawilite",$E619="Medichamite",$E619="Thick Club"),2,1)))</f>
        <v>90</v>
      </c>
      <c r="AD619" s="84">
        <f>INT(INT((INT((2*VLOOKUP($C619,DexData,7,0)+INT(S619/4)+M619)/2)+5)*X619)*IF($E619="Eviolite",1.5,1))</f>
        <v>100</v>
      </c>
      <c r="AE619" s="84">
        <f>INT(INT((INT((2*VLOOKUP($C619,DexData,9,0)+INT(T619/4)+N619)/2)+5)*Y619)*IF($E619="Choice Specs",1.5,1))</f>
        <v>145</v>
      </c>
      <c r="AF619" s="84">
        <f>INT(INT((INT((2*VLOOKUP($C619,DexData,10,0)+INT(U619/4)+O619)/2)+5)*Z619)*IF(OR($E619="Eviolite",$E619="Assault Vest"),1.5,1))</f>
        <v>100</v>
      </c>
      <c r="AG619" s="84">
        <f>INT(INT((INT((2*VLOOKUP($C619,DexData,11,0)+INT(V619/4)+P619)/2)+5)*AA619)*IF($E619="Choice Scarf",1.5,IF($E619="Iron Ball",0.5,1)))</f>
        <v>132</v>
      </c>
      <c r="AH619" s="84" t="str">
        <f>VLOOKUP(VLOOKUP($C619,DexData,3,0),Aliases!D$2:E$19,2,0)&amp;IFERROR("/"&amp;VLOOKUP(VLOOKUP($C619,DexData,4,0),Aliases!D$2:E$19,2,0),"")</f>
        <v>ICE</v>
      </c>
      <c r="AI619" s="7">
        <v>3.0</v>
      </c>
      <c r="AJ619" s="7">
        <f>IF(VLOOKUP(B619,'Set Odds'!A$2:AN$1067,40,0),1,IF(VLOOKUP(B619,'Set Odds'!A$2:AO$1067,41,0),2,0))</f>
        <v>1</v>
      </c>
      <c r="AK619" s="7"/>
      <c r="AL619" s="7" t="str">
        <f t="shared" si="1"/>
        <v/>
      </c>
    </row>
    <row r="620" ht="12.75" customHeight="1">
      <c r="A620" s="86">
        <v>619.0</v>
      </c>
      <c r="B620" s="84" t="s">
        <v>4169</v>
      </c>
      <c r="C620" s="7" t="s">
        <v>3702</v>
      </c>
      <c r="D620" s="7" t="s">
        <v>2723</v>
      </c>
      <c r="E620" s="7" t="s">
        <v>2520</v>
      </c>
      <c r="F620" s="84" t="s">
        <v>3168</v>
      </c>
      <c r="G620" s="84" t="s">
        <v>3419</v>
      </c>
      <c r="H620" s="84" t="s">
        <v>2767</v>
      </c>
      <c r="I620" s="84" t="s">
        <v>3692</v>
      </c>
      <c r="J620" s="7" t="s">
        <v>2853</v>
      </c>
      <c r="K620" s="7">
        <v>31.0</v>
      </c>
      <c r="L620" s="7">
        <v>31.0</v>
      </c>
      <c r="M620" s="7">
        <v>31.0</v>
      </c>
      <c r="N620" s="7">
        <v>31.0</v>
      </c>
      <c r="O620" s="7">
        <v>31.0</v>
      </c>
      <c r="P620" s="7">
        <v>31.0</v>
      </c>
      <c r="Q620" s="7">
        <v>252.0</v>
      </c>
      <c r="R620" s="7">
        <v>0.0</v>
      </c>
      <c r="S620" s="7">
        <v>0.0</v>
      </c>
      <c r="T620" s="7">
        <v>0.0</v>
      </c>
      <c r="U620" s="7">
        <v>252.0</v>
      </c>
      <c r="V620" s="7">
        <v>4.0</v>
      </c>
      <c r="W620" s="7">
        <f>VLOOKUP($D620,NatureChart,2,0)</f>
        <v>1</v>
      </c>
      <c r="X620" s="7">
        <f>VLOOKUP($D620,NatureChart,3,0)</f>
        <v>1</v>
      </c>
      <c r="Y620" s="7">
        <f>VLOOKUP($D620,NatureChart,4,0)</f>
        <v>0.9</v>
      </c>
      <c r="Z620" s="7">
        <f>VLOOKUP($D620,NatureChart,5,0)</f>
        <v>1.1</v>
      </c>
      <c r="AA620" s="84">
        <f>VLOOKUP($D620,NatureChart,6,0)</f>
        <v>1</v>
      </c>
      <c r="AB620" s="84">
        <f>IF($C620="Shedinja",1,(INT((2*VLOOKUP($C620,DexData,5,0)+INT(Q620/4)+K620)/2)+60))</f>
        <v>172</v>
      </c>
      <c r="AC620" s="84">
        <f>INT(INT((INT((2*VLOOKUP($C620,DexData,6,0)+INT(R620/4)+L620)/2)+5)*W620)*IF($E620="Choice Band",1.5,IF(OR($E620="Mawilite",$E620="Medichamite",$E620="Thick Club"),2,1)))</f>
        <v>96</v>
      </c>
      <c r="AD620" s="84">
        <f>INT(INT((INT((2*VLOOKUP($C620,DexData,7,0)+INT(S620/4)+M620)/2)+5)*X620)*IF($E620="Eviolite",1.5,1))</f>
        <v>104</v>
      </c>
      <c r="AE620" s="84">
        <f>INT(INT((INT((2*VLOOKUP($C620,DexData,9,0)+INT(T620/4)+N620)/2)+5)*Y620)*IF($E620="Choice Specs",1.5,1))</f>
        <v>66</v>
      </c>
      <c r="AF620" s="84">
        <f>INT(INT((INT((2*VLOOKUP($C620,DexData,10,0)+INT(U620/4)+O620)/2)+5)*Z620)*IF(OR($E620="Eviolite",$E620="Assault Vest"),1.5,1))</f>
        <v>162</v>
      </c>
      <c r="AG620" s="84">
        <f>INT(INT((INT((2*VLOOKUP($C620,DexData,11,0)+INT(V620/4)+P620)/2)+5)*AA620)*IF($E620="Choice Scarf",1.5,IF($E620="Iron Ball",0.5,1)))</f>
        <v>126</v>
      </c>
      <c r="AH620" s="84" t="str">
        <f>VLOOKUP(VLOOKUP($C620,DexData,3,0),Aliases!D$2:E$19,2,0)&amp;IFERROR("/"&amp;VLOOKUP(VLOOKUP($C620,DexData,4,0),Aliases!D$2:E$19,2,0),"")</f>
        <v>NRM</v>
      </c>
      <c r="AI620" s="7">
        <v>3.0</v>
      </c>
      <c r="AJ620" s="7">
        <f>IF(VLOOKUP(B620,'Set Odds'!A$2:AN$1067,40,0),1,IF(VLOOKUP(B620,'Set Odds'!A$2:AO$1067,41,0),2,0))</f>
        <v>1</v>
      </c>
      <c r="AK620" s="7"/>
      <c r="AL620" s="7" t="str">
        <f t="shared" si="1"/>
        <v/>
      </c>
    </row>
    <row r="621" ht="12.75" customHeight="1">
      <c r="A621" s="86">
        <v>620.0</v>
      </c>
      <c r="B621" s="84" t="s">
        <v>4170</v>
      </c>
      <c r="C621" s="7" t="s">
        <v>3704</v>
      </c>
      <c r="D621" s="7" t="s">
        <v>2635</v>
      </c>
      <c r="E621" s="7" t="s">
        <v>2528</v>
      </c>
      <c r="F621" s="84" t="s">
        <v>2596</v>
      </c>
      <c r="G621" s="84" t="s">
        <v>2823</v>
      </c>
      <c r="H621" s="84" t="s">
        <v>2661</v>
      </c>
      <c r="I621" s="84" t="s">
        <v>2659</v>
      </c>
      <c r="J621" s="7" t="s">
        <v>3496</v>
      </c>
      <c r="K621" s="7">
        <v>31.0</v>
      </c>
      <c r="L621" s="7">
        <v>31.0</v>
      </c>
      <c r="M621" s="7">
        <v>31.0</v>
      </c>
      <c r="N621" s="7">
        <v>31.0</v>
      </c>
      <c r="O621" s="7">
        <v>31.0</v>
      </c>
      <c r="P621" s="7">
        <v>31.0</v>
      </c>
      <c r="Q621" s="7">
        <v>4.0</v>
      </c>
      <c r="R621" s="7">
        <v>0.0</v>
      </c>
      <c r="S621" s="7">
        <v>0.0</v>
      </c>
      <c r="T621" s="7">
        <v>252.0</v>
      </c>
      <c r="U621" s="7">
        <v>0.0</v>
      </c>
      <c r="V621" s="7">
        <v>252.0</v>
      </c>
      <c r="W621" s="7">
        <f>VLOOKUP($D621,NatureChart,2,0)</f>
        <v>0.9</v>
      </c>
      <c r="X621" s="7">
        <f>VLOOKUP($D621,NatureChart,3,0)</f>
        <v>1</v>
      </c>
      <c r="Y621" s="7">
        <f>VLOOKUP($D621,NatureChart,4,0)</f>
        <v>1</v>
      </c>
      <c r="Z621" s="7">
        <f>VLOOKUP($D621,NatureChart,5,0)</f>
        <v>1</v>
      </c>
      <c r="AA621" s="84">
        <f>VLOOKUP($D621,NatureChart,6,0)</f>
        <v>1.1</v>
      </c>
      <c r="AB621" s="84">
        <f>IF($C621="Shedinja",1,(INT((2*VLOOKUP($C621,DexData,5,0)+INT(Q621/4)+K621)/2)+60))</f>
        <v>146</v>
      </c>
      <c r="AC621" s="84">
        <f>INT(INT((INT((2*VLOOKUP($C621,DexData,6,0)+INT(R621/4)+L621)/2)+5)*W621)*IF($E621="Choice Band",1.5,IF(OR($E621="Mawilite",$E621="Medichamite",$E621="Thick Club"),2,1)))</f>
        <v>90</v>
      </c>
      <c r="AD621" s="84">
        <f>INT(INT((INT((2*VLOOKUP($C621,DexData,7,0)+INT(S621/4)+M621)/2)+5)*X621)*IF($E621="Eviolite",1.5,1))</f>
        <v>90</v>
      </c>
      <c r="AE621" s="84">
        <f>INT(INT((INT((2*VLOOKUP($C621,DexData,9,0)+INT(T621/4)+N621)/2)+5)*Y621)*IF($E621="Choice Specs",1.5,1))</f>
        <v>132</v>
      </c>
      <c r="AF621" s="84">
        <f>INT(INT((INT((2*VLOOKUP($C621,DexData,10,0)+INT(U621/4)+O621)/2)+5)*Z621)*IF(OR($E621="Eviolite",$E621="Assault Vest"),1.5,1))</f>
        <v>90</v>
      </c>
      <c r="AG621" s="84">
        <f>INT(INT((INT((2*VLOOKUP($C621,DexData,11,0)+INT(V621/4)+P621)/2)+5)*AA621)*IF($E621="Choice Scarf",1.5,IF($E621="Iron Ball",0.5,1)))</f>
        <v>178</v>
      </c>
      <c r="AH621" s="84" t="str">
        <f>VLOOKUP(VLOOKUP($C621,DexData,3,0),Aliases!D$2:E$19,2,0)&amp;IFERROR("/"&amp;VLOOKUP(VLOOKUP($C621,DexData,4,0),Aliases!D$2:E$19,2,0),"")</f>
        <v>ICE/GHO</v>
      </c>
      <c r="AI621" s="7">
        <v>3.0</v>
      </c>
      <c r="AJ621" s="7">
        <f>IF(VLOOKUP(B621,'Set Odds'!A$2:AN$1067,40,0),1,IF(VLOOKUP(B621,'Set Odds'!A$2:AO$1067,41,0),2,0))</f>
        <v>1</v>
      </c>
      <c r="AK621" s="7"/>
      <c r="AL621" s="7" t="str">
        <f t="shared" si="1"/>
        <v/>
      </c>
    </row>
    <row r="622" ht="12.75" customHeight="1">
      <c r="A622" s="86">
        <v>621.0</v>
      </c>
      <c r="B622" s="84" t="s">
        <v>4171</v>
      </c>
      <c r="C622" s="7" t="s">
        <v>3706</v>
      </c>
      <c r="D622" s="7" t="s">
        <v>2692</v>
      </c>
      <c r="E622" s="7" t="s">
        <v>2889</v>
      </c>
      <c r="F622" s="84" t="s">
        <v>3707</v>
      </c>
      <c r="G622" s="84" t="s">
        <v>2890</v>
      </c>
      <c r="H622" s="84" t="s">
        <v>4172</v>
      </c>
      <c r="I622" s="84" t="s">
        <v>2513</v>
      </c>
      <c r="J622" s="7" t="s">
        <v>3412</v>
      </c>
      <c r="K622" s="7">
        <v>31.0</v>
      </c>
      <c r="L622" s="7">
        <v>31.0</v>
      </c>
      <c r="M622" s="7">
        <v>31.0</v>
      </c>
      <c r="N622" s="7">
        <v>31.0</v>
      </c>
      <c r="O622" s="7">
        <v>31.0</v>
      </c>
      <c r="P622" s="7">
        <v>31.0</v>
      </c>
      <c r="Q622" s="7">
        <v>20.0</v>
      </c>
      <c r="R622" s="7">
        <v>244.0</v>
      </c>
      <c r="S622" s="7">
        <v>84.0</v>
      </c>
      <c r="T622" s="7">
        <v>0.0</v>
      </c>
      <c r="U622" s="7">
        <v>4.0</v>
      </c>
      <c r="V622" s="7">
        <v>156.0</v>
      </c>
      <c r="W622" s="7">
        <f>VLOOKUP($D622,NatureChart,2,0)</f>
        <v>1</v>
      </c>
      <c r="X622" s="7">
        <f>VLOOKUP($D622,NatureChart,3,0)</f>
        <v>1</v>
      </c>
      <c r="Y622" s="7">
        <f>VLOOKUP($D622,NatureChart,4,0)</f>
        <v>0.9</v>
      </c>
      <c r="Z622" s="7">
        <f>VLOOKUP($D622,NatureChart,5,0)</f>
        <v>1</v>
      </c>
      <c r="AA622" s="84">
        <f>VLOOKUP($D622,NatureChart,6,0)</f>
        <v>1.1</v>
      </c>
      <c r="AB622" s="84">
        <f>IF($C622="Shedinja",1,(INT((2*VLOOKUP($C622,DexData,5,0)+INT(Q622/4)+K622)/2)+60))</f>
        <v>153</v>
      </c>
      <c r="AC622" s="84">
        <f>INT(INT((INT((2*VLOOKUP($C622,DexData,6,0)+INT(R622/4)+L622)/2)+5)*W622)*IF($E622="Choice Band",1.5,IF(OR($E622="Mawilite",$E622="Medichamite",$E622="Thick Club"),2,1)))</f>
        <v>151</v>
      </c>
      <c r="AD622" s="84">
        <f>INT(INT((INT((2*VLOOKUP($C622,DexData,7,0)+INT(S622/4)+M622)/2)+5)*X622)*IF($E622="Eviolite",1.5,1))</f>
        <v>97</v>
      </c>
      <c r="AE622" s="84">
        <f>INT(INT((INT((2*VLOOKUP($C622,DexData,9,0)+INT(T622/4)+N622)/2)+5)*Y622)*IF($E622="Choice Specs",1.5,1))</f>
        <v>72</v>
      </c>
      <c r="AF622" s="84">
        <f>INT(INT((INT((2*VLOOKUP($C622,DexData,10,0)+INT(U622/4)+O622)/2)+5)*Z622)*IF(OR($E622="Eviolite",$E622="Assault Vest"),1.5,1))</f>
        <v>87</v>
      </c>
      <c r="AG622" s="84">
        <f>INT(INT((INT((2*VLOOKUP($C622,DexData,11,0)+INT(V622/4)+P622)/2)+5)*AA622)*IF($E622="Choice Scarf",1.5,IF($E622="Iron Ball",0.5,1)))</f>
        <v>170</v>
      </c>
      <c r="AH622" s="84" t="str">
        <f>VLOOKUP(VLOOKUP($C622,DexData,3,0),Aliases!D$2:E$19,2,0)&amp;IFERROR("/"&amp;VLOOKUP(VLOOKUP($C622,DexData,4,0),Aliases!D$2:E$19,2,0),"")</f>
        <v>NRM</v>
      </c>
      <c r="AI622" s="7">
        <v>3.0</v>
      </c>
      <c r="AJ622" s="7">
        <f>IF(VLOOKUP(B622,'Set Odds'!A$2:AN$1067,40,0),1,IF(VLOOKUP(B622,'Set Odds'!A$2:AO$1067,41,0),2,0))</f>
        <v>1</v>
      </c>
      <c r="AK622" s="7"/>
      <c r="AL622" s="7" t="str">
        <f t="shared" si="1"/>
        <v/>
      </c>
    </row>
    <row r="623" ht="12.75" customHeight="1">
      <c r="A623" s="86">
        <v>622.0</v>
      </c>
      <c r="B623" s="84" t="s">
        <v>4173</v>
      </c>
      <c r="C623" s="7" t="s">
        <v>3709</v>
      </c>
      <c r="D623" s="7" t="s">
        <v>2571</v>
      </c>
      <c r="E623" s="7" t="s">
        <v>2516</v>
      </c>
      <c r="F623" s="84" t="s">
        <v>3710</v>
      </c>
      <c r="G623" s="84" t="s">
        <v>2581</v>
      </c>
      <c r="H623" s="84" t="s">
        <v>2534</v>
      </c>
      <c r="I623" s="84" t="s">
        <v>3464</v>
      </c>
      <c r="J623" s="7" t="s">
        <v>2735</v>
      </c>
      <c r="K623" s="7">
        <v>31.0</v>
      </c>
      <c r="L623" s="7">
        <v>31.0</v>
      </c>
      <c r="M623" s="7">
        <v>31.0</v>
      </c>
      <c r="N623" s="7">
        <v>31.0</v>
      </c>
      <c r="O623" s="7">
        <v>31.0</v>
      </c>
      <c r="P623" s="7">
        <v>31.0</v>
      </c>
      <c r="Q623" s="7">
        <v>4.0</v>
      </c>
      <c r="R623" s="7">
        <v>252.0</v>
      </c>
      <c r="S623" s="7">
        <v>0.0</v>
      </c>
      <c r="T623" s="7">
        <v>0.0</v>
      </c>
      <c r="U623" s="7">
        <v>0.0</v>
      </c>
      <c r="V623" s="7">
        <v>252.0</v>
      </c>
      <c r="W623" s="7">
        <f>VLOOKUP($D623,NatureChart,2,0)</f>
        <v>1.1</v>
      </c>
      <c r="X623" s="7">
        <f>VLOOKUP($D623,NatureChart,3,0)</f>
        <v>1</v>
      </c>
      <c r="Y623" s="7">
        <f>VLOOKUP($D623,NatureChart,4,0)</f>
        <v>0.9</v>
      </c>
      <c r="Z623" s="7">
        <f>VLOOKUP($D623,NatureChart,5,0)</f>
        <v>1</v>
      </c>
      <c r="AA623" s="84">
        <f>VLOOKUP($D623,NatureChart,6,0)</f>
        <v>1</v>
      </c>
      <c r="AB623" s="84">
        <f>IF($C623="Shedinja",1,(INT((2*VLOOKUP($C623,DexData,5,0)+INT(Q623/4)+K623)/2)+60))</f>
        <v>161</v>
      </c>
      <c r="AC623" s="84">
        <f>INT(INT((INT((2*VLOOKUP($C623,DexData,6,0)+INT(R623/4)+L623)/2)+5)*W623)*IF($E623="Choice Band",1.5,IF(OR($E623="Mawilite",$E623="Medichamite",$E623="Thick Club"),2,1)))</f>
        <v>137</v>
      </c>
      <c r="AD623" s="84">
        <f>INT(INT((INT((2*VLOOKUP($C623,DexData,7,0)+INT(S623/4)+M623)/2)+5)*X623)*IF($E623="Eviolite",1.5,1))</f>
        <v>90</v>
      </c>
      <c r="AE623" s="84">
        <f>INT(INT((INT((2*VLOOKUP($C623,DexData,9,0)+INT(T623/4)+N623)/2)+5)*Y623)*IF($E623="Choice Specs",1.5,1))</f>
        <v>83</v>
      </c>
      <c r="AF623" s="84">
        <f>INT(INT((INT((2*VLOOKUP($C623,DexData,10,0)+INT(U623/4)+O623)/2)+5)*Z623)*IF(OR($E623="Eviolite",$E623="Assault Vest"),1.5,1))</f>
        <v>135</v>
      </c>
      <c r="AG623" s="84">
        <f>INT(INT((INT((2*VLOOKUP($C623,DexData,11,0)+INT(V623/4)+P623)/2)+5)*AA623)*IF($E623="Choice Scarf",1.5,IF($E623="Iron Ball",0.5,1)))</f>
        <v>119</v>
      </c>
      <c r="AH623" s="84" t="str">
        <f>VLOOKUP(VLOOKUP($C623,DexData,3,0),Aliases!D$2:E$19,2,0)&amp;IFERROR("/"&amp;VLOOKUP(VLOOKUP($C623,DexData,4,0),Aliases!D$2:E$19,2,0),"")</f>
        <v>PSY</v>
      </c>
      <c r="AI623" s="7">
        <v>3.0</v>
      </c>
      <c r="AJ623" s="7">
        <f>IF(VLOOKUP(B623,'Set Odds'!A$2:AN$1067,40,0),1,IF(VLOOKUP(B623,'Set Odds'!A$2:AO$1067,41,0),2,0))</f>
        <v>1</v>
      </c>
      <c r="AK623" s="7"/>
      <c r="AL623" s="7" t="str">
        <f t="shared" si="1"/>
        <v/>
      </c>
    </row>
    <row r="624" ht="12.75" customHeight="1">
      <c r="A624" s="86">
        <v>623.0</v>
      </c>
      <c r="B624" s="84" t="s">
        <v>4174</v>
      </c>
      <c r="C624" s="7" t="s">
        <v>3712</v>
      </c>
      <c r="D624" s="7" t="s">
        <v>2571</v>
      </c>
      <c r="E624" s="7" t="s">
        <v>2724</v>
      </c>
      <c r="F624" s="84" t="s">
        <v>3185</v>
      </c>
      <c r="G624" s="84" t="s">
        <v>3594</v>
      </c>
      <c r="H624" s="84" t="s">
        <v>3454</v>
      </c>
      <c r="I624" s="84" t="s">
        <v>2757</v>
      </c>
      <c r="J624" s="7" t="s">
        <v>2728</v>
      </c>
      <c r="K624" s="7">
        <v>31.0</v>
      </c>
      <c r="L624" s="7">
        <v>31.0</v>
      </c>
      <c r="M624" s="7">
        <v>31.0</v>
      </c>
      <c r="N624" s="7">
        <v>31.0</v>
      </c>
      <c r="O624" s="7">
        <v>31.0</v>
      </c>
      <c r="P624" s="7">
        <v>31.0</v>
      </c>
      <c r="Q624" s="7">
        <v>4.0</v>
      </c>
      <c r="R624" s="7">
        <v>252.0</v>
      </c>
      <c r="S624" s="7">
        <v>0.0</v>
      </c>
      <c r="T624" s="7">
        <v>0.0</v>
      </c>
      <c r="U624" s="7">
        <v>0.0</v>
      </c>
      <c r="V624" s="7">
        <v>252.0</v>
      </c>
      <c r="W624" s="7">
        <f>VLOOKUP($D624,NatureChart,2,0)</f>
        <v>1.1</v>
      </c>
      <c r="X624" s="7">
        <f>VLOOKUP($D624,NatureChart,3,0)</f>
        <v>1</v>
      </c>
      <c r="Y624" s="7">
        <f>VLOOKUP($D624,NatureChart,4,0)</f>
        <v>0.9</v>
      </c>
      <c r="Z624" s="7">
        <f>VLOOKUP($D624,NatureChart,5,0)</f>
        <v>1</v>
      </c>
      <c r="AA624" s="84">
        <f>VLOOKUP($D624,NatureChart,6,0)</f>
        <v>1</v>
      </c>
      <c r="AB624" s="84">
        <f>IF($C624="Shedinja",1,(INT((2*VLOOKUP($C624,DexData,5,0)+INT(Q624/4)+K624)/2)+60))</f>
        <v>156</v>
      </c>
      <c r="AC624" s="84">
        <f>INT(INT((INT((2*VLOOKUP($C624,DexData,6,0)+INT(R624/4)+L624)/2)+5)*W624)*IF($E624="Choice Band",1.5,IF(OR($E624="Mawilite",$E624="Medichamite",$E624="Thick Club"),2,1)))</f>
        <v>189</v>
      </c>
      <c r="AD624" s="84">
        <f>INT(INT((INT((2*VLOOKUP($C624,DexData,7,0)+INT(S624/4)+M624)/2)+5)*X624)*IF($E624="Eviolite",1.5,1))</f>
        <v>150</v>
      </c>
      <c r="AE624" s="84">
        <f>INT(INT((INT((2*VLOOKUP($C624,DexData,9,0)+INT(T624/4)+N624)/2)+5)*Y624)*IF($E624="Choice Specs",1.5,1))</f>
        <v>67</v>
      </c>
      <c r="AF624" s="84">
        <f>INT(INT((INT((2*VLOOKUP($C624,DexData,10,0)+INT(U624/4)+O624)/2)+5)*Z624)*IF(OR($E624="Eviolite",$E624="Assault Vest"),1.5,1))</f>
        <v>85</v>
      </c>
      <c r="AG624" s="84">
        <f>INT(INT((INT((2*VLOOKUP($C624,DexData,11,0)+INT(V624/4)+P624)/2)+5)*AA624)*IF($E624="Choice Scarf",1.5,IF($E624="Iron Ball",0.5,1)))</f>
        <v>97</v>
      </c>
      <c r="AH624" s="84" t="str">
        <f>VLOOKUP(VLOOKUP($C624,DexData,3,0),Aliases!D$2:E$19,2,0)&amp;IFERROR("/"&amp;VLOOKUP(VLOOKUP($C624,DexData,4,0),Aliases!D$2:E$19,2,0),"")</f>
        <v>RCK/GRD</v>
      </c>
      <c r="AI624" s="7">
        <v>3.0</v>
      </c>
      <c r="AJ624" s="7">
        <f>IF(VLOOKUP(B624,'Set Odds'!A$2:AN$1067,40,0),1,IF(VLOOKUP(B624,'Set Odds'!A$2:AO$1067,41,0),2,0))</f>
        <v>1</v>
      </c>
      <c r="AK624" s="7"/>
      <c r="AL624" s="7" t="str">
        <f t="shared" si="1"/>
        <v/>
      </c>
    </row>
    <row r="625" ht="12.75" customHeight="1">
      <c r="A625" s="86">
        <v>624.0</v>
      </c>
      <c r="B625" s="84" t="s">
        <v>4175</v>
      </c>
      <c r="C625" s="7" t="s">
        <v>3714</v>
      </c>
      <c r="D625" s="7" t="s">
        <v>2629</v>
      </c>
      <c r="E625" s="7" t="s">
        <v>2724</v>
      </c>
      <c r="F625" s="84" t="s">
        <v>3454</v>
      </c>
      <c r="G625" s="84" t="s">
        <v>3950</v>
      </c>
      <c r="H625" s="84" t="s">
        <v>2886</v>
      </c>
      <c r="I625" s="84" t="s">
        <v>3441</v>
      </c>
      <c r="J625" s="7" t="s">
        <v>2747</v>
      </c>
      <c r="K625" s="7">
        <v>31.0</v>
      </c>
      <c r="L625" s="7">
        <v>31.0</v>
      </c>
      <c r="M625" s="7">
        <v>31.0</v>
      </c>
      <c r="N625" s="7">
        <v>31.0</v>
      </c>
      <c r="O625" s="7">
        <v>31.0</v>
      </c>
      <c r="P625" s="7">
        <v>31.0</v>
      </c>
      <c r="Q625" s="7">
        <v>252.0</v>
      </c>
      <c r="R625" s="7">
        <v>252.0</v>
      </c>
      <c r="S625" s="7">
        <v>4.0</v>
      </c>
      <c r="T625" s="7">
        <v>0.0</v>
      </c>
      <c r="U625" s="7">
        <v>0.0</v>
      </c>
      <c r="V625" s="7">
        <v>0.0</v>
      </c>
      <c r="W625" s="7">
        <f>VLOOKUP($D625,NatureChart,2,0)</f>
        <v>1.1</v>
      </c>
      <c r="X625" s="7">
        <f>VLOOKUP($D625,NatureChart,3,0)</f>
        <v>1</v>
      </c>
      <c r="Y625" s="7">
        <f>VLOOKUP($D625,NatureChart,4,0)</f>
        <v>1</v>
      </c>
      <c r="Z625" s="7">
        <f>VLOOKUP($D625,NatureChart,5,0)</f>
        <v>1</v>
      </c>
      <c r="AA625" s="84">
        <f>VLOOKUP($D625,NatureChart,6,0)</f>
        <v>0.9</v>
      </c>
      <c r="AB625" s="84">
        <f>IF($C625="Shedinja",1,(INT((2*VLOOKUP($C625,DexData,5,0)+INT(Q625/4)+K625)/2)+60))</f>
        <v>212</v>
      </c>
      <c r="AC625" s="84">
        <f>INT(INT((INT((2*VLOOKUP($C625,DexData,6,0)+INT(R625/4)+L625)/2)+5)*W625)*IF($E625="Choice Band",1.5,IF(OR($E625="Mawilite",$E625="Medichamite",$E625="Thick Club"),2,1)))</f>
        <v>200</v>
      </c>
      <c r="AD625" s="84">
        <f>INT(INT((INT((2*VLOOKUP($C625,DexData,7,0)+INT(S625/4)+M625)/2)+5)*X625)*IF($E625="Eviolite",1.5,1))</f>
        <v>141</v>
      </c>
      <c r="AE625" s="84">
        <f>INT(INT((INT((2*VLOOKUP($C625,DexData,9,0)+INT(T625/4)+N625)/2)+5)*Y625)*IF($E625="Choice Specs",1.5,1))</f>
        <v>65</v>
      </c>
      <c r="AF625" s="84">
        <f>INT(INT((INT((2*VLOOKUP($C625,DexData,10,0)+INT(U625/4)+O625)/2)+5)*Z625)*IF(OR($E625="Eviolite",$E625="Assault Vest"),1.5,1))</f>
        <v>65</v>
      </c>
      <c r="AG625" s="84">
        <f>INT(INT((INT((2*VLOOKUP($C625,DexData,11,0)+INT(V625/4)+P625)/2)+5)*AA625)*IF($E625="Choice Scarf",1.5,IF($E625="Iron Ball",0.5,1)))</f>
        <v>54</v>
      </c>
      <c r="AH625" s="84" t="str">
        <f>VLOOKUP(VLOOKUP($C625,DexData,3,0),Aliases!D$2:E$19,2,0)&amp;IFERROR("/"&amp;VLOOKUP(VLOOKUP($C625,DexData,4,0),Aliases!D$2:E$19,2,0),"")</f>
        <v>RCK/GRD</v>
      </c>
      <c r="AI625" s="7">
        <v>3.0</v>
      </c>
      <c r="AJ625" s="7">
        <f>IF(VLOOKUP(B625,'Set Odds'!A$2:AN$1067,40,0),1,IF(VLOOKUP(B625,'Set Odds'!A$2:AO$1067,41,0),2,0))</f>
        <v>1</v>
      </c>
      <c r="AK625" s="7"/>
      <c r="AL625" s="7" t="str">
        <f t="shared" si="1"/>
        <v/>
      </c>
    </row>
    <row r="626" ht="12.75" customHeight="1">
      <c r="A626" s="86">
        <v>625.0</v>
      </c>
      <c r="B626" s="84" t="s">
        <v>4176</v>
      </c>
      <c r="C626" s="7" t="s">
        <v>3717</v>
      </c>
      <c r="D626" s="7" t="s">
        <v>2656</v>
      </c>
      <c r="E626" s="7" t="s">
        <v>2516</v>
      </c>
      <c r="F626" s="84" t="s">
        <v>3718</v>
      </c>
      <c r="G626" s="84" t="s">
        <v>2659</v>
      </c>
      <c r="H626" s="84" t="s">
        <v>2661</v>
      </c>
      <c r="I626" s="84" t="s">
        <v>2660</v>
      </c>
      <c r="J626" s="7" t="s">
        <v>3404</v>
      </c>
      <c r="K626" s="7">
        <v>31.0</v>
      </c>
      <c r="L626" s="7">
        <v>31.0</v>
      </c>
      <c r="M626" s="7">
        <v>31.0</v>
      </c>
      <c r="N626" s="7">
        <v>31.0</v>
      </c>
      <c r="O626" s="7">
        <v>31.0</v>
      </c>
      <c r="P626" s="7">
        <v>31.0</v>
      </c>
      <c r="Q626" s="7">
        <v>252.0</v>
      </c>
      <c r="R626" s="7">
        <v>0.0</v>
      </c>
      <c r="S626" s="7">
        <v>4.0</v>
      </c>
      <c r="T626" s="7">
        <v>252.0</v>
      </c>
      <c r="U626" s="7">
        <v>0.0</v>
      </c>
      <c r="V626" s="7">
        <v>0.0</v>
      </c>
      <c r="W626" s="7">
        <f>VLOOKUP($D626,NatureChart,2,0)</f>
        <v>0.9</v>
      </c>
      <c r="X626" s="7">
        <f>VLOOKUP($D626,NatureChart,3,0)</f>
        <v>1</v>
      </c>
      <c r="Y626" s="7">
        <f>VLOOKUP($D626,NatureChart,4,0)</f>
        <v>1.1</v>
      </c>
      <c r="Z626" s="7">
        <f>VLOOKUP($D626,NatureChart,5,0)</f>
        <v>1</v>
      </c>
      <c r="AA626" s="84">
        <f>VLOOKUP($D626,NatureChart,6,0)</f>
        <v>1</v>
      </c>
      <c r="AB626" s="84">
        <f>IF($C626="Shedinja",1,(INT((2*VLOOKUP($C626,DexData,5,0)+INT(Q626/4)+K626)/2)+60))</f>
        <v>202</v>
      </c>
      <c r="AC626" s="84">
        <f>INT(INT((INT((2*VLOOKUP($C626,DexData,6,0)+INT(R626/4)+L626)/2)+5)*W626)*IF($E626="Choice Band",1.5,IF(OR($E626="Mawilite",$E626="Medichamite",$E626="Thick Club"),2,1)))</f>
        <v>85</v>
      </c>
      <c r="AD626" s="84">
        <f>INT(INT((INT((2*VLOOKUP($C626,DexData,7,0)+INT(S626/4)+M626)/2)+5)*X626)*IF($E626="Eviolite",1.5,1))</f>
        <v>131</v>
      </c>
      <c r="AE626" s="84">
        <f>INT(INT((INT((2*VLOOKUP($C626,DexData,9,0)+INT(T626/4)+N626)/2)+5)*Y626)*IF($E626="Choice Specs",1.5,1))</f>
        <v>167</v>
      </c>
      <c r="AF626" s="84">
        <f>INT(INT((INT((2*VLOOKUP($C626,DexData,10,0)+INT(U626/4)+O626)/2)+5)*Z626)*IF(OR($E626="Eviolite",$E626="Assault Vest"),1.5,1))</f>
        <v>100</v>
      </c>
      <c r="AG626" s="84">
        <f>INT(INT((INT((2*VLOOKUP($C626,DexData,11,0)+INT(V626/4)+P626)/2)+5)*AA626)*IF($E626="Choice Scarf",1.5,IF($E626="Iron Ball",0.5,1)))</f>
        <v>50</v>
      </c>
      <c r="AH626" s="84" t="str">
        <f>VLOOKUP(VLOOKUP($C626,DexData,3,0),Aliases!D$2:E$19,2,0)&amp;IFERROR("/"&amp;VLOOKUP(VLOOKUP($C626,DexData,4,0),Aliases!D$2:E$19,2,0),"")</f>
        <v>WTR/PSY</v>
      </c>
      <c r="AI626" s="7">
        <v>3.0</v>
      </c>
      <c r="AJ626" s="7">
        <f>IF(VLOOKUP(B626,'Set Odds'!A$2:AN$1067,40,0),1,IF(VLOOKUP(B626,'Set Odds'!A$2:AO$1067,41,0),2,0))</f>
        <v>1</v>
      </c>
      <c r="AK626" s="7"/>
      <c r="AL626" s="7" t="str">
        <f t="shared" si="1"/>
        <v/>
      </c>
    </row>
    <row r="627" ht="12.75" customHeight="1">
      <c r="A627" s="86">
        <v>626.0</v>
      </c>
      <c r="B627" s="84" t="s">
        <v>4177</v>
      </c>
      <c r="C627" s="7" t="s">
        <v>3721</v>
      </c>
      <c r="D627" s="7" t="s">
        <v>2656</v>
      </c>
      <c r="E627" s="7" t="s">
        <v>2516</v>
      </c>
      <c r="F627" s="84" t="s">
        <v>3052</v>
      </c>
      <c r="G627" s="84" t="s">
        <v>3600</v>
      </c>
      <c r="H627" s="84" t="s">
        <v>3264</v>
      </c>
      <c r="I627" s="84" t="s">
        <v>4033</v>
      </c>
      <c r="J627" s="7" t="s">
        <v>2714</v>
      </c>
      <c r="K627" s="7">
        <v>31.0</v>
      </c>
      <c r="L627" s="7">
        <v>31.0</v>
      </c>
      <c r="M627" s="7">
        <v>31.0</v>
      </c>
      <c r="N627" s="7">
        <v>31.0</v>
      </c>
      <c r="O627" s="7">
        <v>31.0</v>
      </c>
      <c r="P627" s="7">
        <v>31.0</v>
      </c>
      <c r="Q627" s="7">
        <v>252.0</v>
      </c>
      <c r="R627" s="7">
        <v>0.0</v>
      </c>
      <c r="S627" s="7">
        <v>4.0</v>
      </c>
      <c r="T627" s="7">
        <v>252.0</v>
      </c>
      <c r="U627" s="7">
        <v>0.0</v>
      </c>
      <c r="V627" s="7">
        <v>0.0</v>
      </c>
      <c r="W627" s="7">
        <f>VLOOKUP($D627,NatureChart,2,0)</f>
        <v>0.9</v>
      </c>
      <c r="X627" s="7">
        <f>VLOOKUP($D627,NatureChart,3,0)</f>
        <v>1</v>
      </c>
      <c r="Y627" s="7">
        <f>VLOOKUP($D627,NatureChart,4,0)</f>
        <v>1.1</v>
      </c>
      <c r="Z627" s="7">
        <f>VLOOKUP($D627,NatureChart,5,0)</f>
        <v>1</v>
      </c>
      <c r="AA627" s="84">
        <f>VLOOKUP($D627,NatureChart,6,0)</f>
        <v>1</v>
      </c>
      <c r="AB627" s="84">
        <f>IF($C627="Shedinja",1,(INT((2*VLOOKUP($C627,DexData,5,0)+INT(Q627/4)+K627)/2)+60))</f>
        <v>172</v>
      </c>
      <c r="AC627" s="84">
        <f>INT(INT((INT((2*VLOOKUP($C627,DexData,6,0)+INT(R627/4)+L627)/2)+5)*W627)*IF($E627="Choice Band",1.5,IF(OR($E627="Mawilite",$E627="Medichamite",$E627="Thick Club"),2,1)))</f>
        <v>99</v>
      </c>
      <c r="AD627" s="84">
        <f>INT(INT((INT((2*VLOOKUP($C627,DexData,7,0)+INT(S627/4)+M627)/2)+5)*X627)*IF($E627="Eviolite",1.5,1))</f>
        <v>141</v>
      </c>
      <c r="AE627" s="84">
        <f>INT(INT((INT((2*VLOOKUP($C627,DexData,9,0)+INT(T627/4)+N627)/2)+5)*Y627)*IF($E627="Choice Specs",1.5,1))</f>
        <v>150</v>
      </c>
      <c r="AF627" s="84">
        <f>INT(INT((INT((2*VLOOKUP($C627,DexData,10,0)+INT(U627/4)+O627)/2)+5)*Z627)*IF(OR($E627="Eviolite",$E627="Assault Vest"),1.5,1))</f>
        <v>90</v>
      </c>
      <c r="AG627" s="84">
        <f>INT(INT((INT((2*VLOOKUP($C627,DexData,11,0)+INT(V627/4)+P627)/2)+5)*AA627)*IF($E627="Choice Scarf",1.5,IF($E627="Iron Ball",0.5,1)))</f>
        <v>80</v>
      </c>
      <c r="AH627" s="84" t="str">
        <f>VLOOKUP(VLOOKUP($C627,DexData,3,0),Aliases!D$2:E$19,2,0)&amp;IFERROR("/"&amp;VLOOKUP(VLOOKUP($C627,DexData,4,0),Aliases!D$2:E$19,2,0),"")</f>
        <v>PSN</v>
      </c>
      <c r="AI627" s="7">
        <v>3.0</v>
      </c>
      <c r="AJ627" s="7">
        <f>IF(VLOOKUP(B627,'Set Odds'!A$2:AN$1067,40,0),1,IF(VLOOKUP(B627,'Set Odds'!A$2:AO$1067,41,0),2,0))</f>
        <v>1</v>
      </c>
      <c r="AK627" s="7"/>
      <c r="AL627" s="7" t="str">
        <f t="shared" si="1"/>
        <v/>
      </c>
    </row>
    <row r="628" ht="12.75" customHeight="1">
      <c r="A628" s="86">
        <v>627.0</v>
      </c>
      <c r="B628" s="84" t="s">
        <v>4178</v>
      </c>
      <c r="C628" s="7" t="s">
        <v>3723</v>
      </c>
      <c r="D628" s="7" t="s">
        <v>2692</v>
      </c>
      <c r="E628" s="7" t="s">
        <v>2983</v>
      </c>
      <c r="F628" s="84" t="s">
        <v>2525</v>
      </c>
      <c r="G628" s="84" t="s">
        <v>3945</v>
      </c>
      <c r="H628" s="84" t="s">
        <v>3015</v>
      </c>
      <c r="I628" s="84" t="s">
        <v>3454</v>
      </c>
      <c r="J628" s="7" t="s">
        <v>3141</v>
      </c>
      <c r="K628" s="7">
        <v>31.0</v>
      </c>
      <c r="L628" s="7">
        <v>31.0</v>
      </c>
      <c r="M628" s="7">
        <v>31.0</v>
      </c>
      <c r="N628" s="7">
        <v>31.0</v>
      </c>
      <c r="O628" s="7">
        <v>31.0</v>
      </c>
      <c r="P628" s="7">
        <v>31.0</v>
      </c>
      <c r="Q628" s="7">
        <v>4.0</v>
      </c>
      <c r="R628" s="7">
        <v>252.0</v>
      </c>
      <c r="S628" s="7">
        <v>0.0</v>
      </c>
      <c r="T628" s="7">
        <v>0.0</v>
      </c>
      <c r="U628" s="7">
        <v>0.0</v>
      </c>
      <c r="V628" s="7">
        <v>252.0</v>
      </c>
      <c r="W628" s="7">
        <f>VLOOKUP($D628,NatureChart,2,0)</f>
        <v>1</v>
      </c>
      <c r="X628" s="7">
        <f>VLOOKUP($D628,NatureChart,3,0)</f>
        <v>1</v>
      </c>
      <c r="Y628" s="7">
        <f>VLOOKUP($D628,NatureChart,4,0)</f>
        <v>0.9</v>
      </c>
      <c r="Z628" s="7">
        <f>VLOOKUP($D628,NatureChart,5,0)</f>
        <v>1</v>
      </c>
      <c r="AA628" s="84">
        <f>VLOOKUP($D628,NatureChart,6,0)</f>
        <v>1.1</v>
      </c>
      <c r="AB628" s="84">
        <f>IF($C628="Shedinja",1,(INT((2*VLOOKUP($C628,DexData,5,0)+INT(Q628/4)+K628)/2)+60))</f>
        <v>181</v>
      </c>
      <c r="AC628" s="84">
        <f>INT(INT((INT((2*VLOOKUP($C628,DexData,6,0)+INT(R628/4)+L628)/2)+5)*W628)*IF($E628="Choice Band",1.5,IF(OR($E628="Mawilite",$E628="Medichamite",$E628="Thick Club"),2,1)))</f>
        <v>147</v>
      </c>
      <c r="AD628" s="84">
        <f>INT(INT((INT((2*VLOOKUP($C628,DexData,7,0)+INT(S628/4)+M628)/2)+5)*X628)*IF($E628="Eviolite",1.5,1))</f>
        <v>100</v>
      </c>
      <c r="AE628" s="84">
        <f>INT(INT((INT((2*VLOOKUP($C628,DexData,9,0)+INT(T628/4)+N628)/2)+5)*Y628)*IF($E628="Choice Specs",1.5,1))</f>
        <v>54</v>
      </c>
      <c r="AF628" s="84">
        <f>INT(INT((INT((2*VLOOKUP($C628,DexData,10,0)+INT(U628/4)+O628)/2)+5)*Z628)*IF(OR($E628="Eviolite",$E628="Assault Vest"),1.5,1))</f>
        <v>100</v>
      </c>
      <c r="AG628" s="84">
        <f>INT(INT((INT((2*VLOOKUP($C628,DexData,11,0)+INT(V628/4)+P628)/2)+5)*AA628)*IF($E628="Choice Scarf",1.5,IF($E628="Iron Ball",0.5,1)))</f>
        <v>156</v>
      </c>
      <c r="AH628" s="84" t="str">
        <f>VLOOKUP(VLOOKUP($C628,DexData,3,0),Aliases!D$2:E$19,2,0)&amp;IFERROR("/"&amp;VLOOKUP(VLOOKUP($C628,DexData,4,0),Aliases!D$2:E$19,2,0),"")</f>
        <v>NRM</v>
      </c>
      <c r="AI628" s="7">
        <v>3.0</v>
      </c>
      <c r="AJ628" s="7">
        <f>IF(VLOOKUP(B628,'Set Odds'!A$2:AN$1067,40,0),1,IF(VLOOKUP(B628,'Set Odds'!A$2:AO$1067,41,0),2,0))</f>
        <v>1</v>
      </c>
      <c r="AK628" s="7"/>
      <c r="AL628" s="7" t="str">
        <f t="shared" si="1"/>
        <v/>
      </c>
    </row>
    <row r="629" ht="12.75" customHeight="1">
      <c r="A629" s="86">
        <v>628.0</v>
      </c>
      <c r="B629" s="84" t="s">
        <v>4179</v>
      </c>
      <c r="C629" s="7" t="s">
        <v>3725</v>
      </c>
      <c r="D629" s="7" t="s">
        <v>2692</v>
      </c>
      <c r="E629" s="7" t="s">
        <v>3003</v>
      </c>
      <c r="F629" s="84" t="s">
        <v>3454</v>
      </c>
      <c r="G629" s="84" t="s">
        <v>3253</v>
      </c>
      <c r="H629" s="84" t="s">
        <v>2746</v>
      </c>
      <c r="I629" s="84" t="s">
        <v>2841</v>
      </c>
      <c r="J629" s="7" t="s">
        <v>2696</v>
      </c>
      <c r="K629" s="7">
        <v>31.0</v>
      </c>
      <c r="L629" s="7">
        <v>31.0</v>
      </c>
      <c r="M629" s="7">
        <v>31.0</v>
      </c>
      <c r="N629" s="7">
        <v>31.0</v>
      </c>
      <c r="O629" s="7">
        <v>31.0</v>
      </c>
      <c r="P629" s="7">
        <v>31.0</v>
      </c>
      <c r="Q629" s="7">
        <v>4.0</v>
      </c>
      <c r="R629" s="7">
        <v>252.0</v>
      </c>
      <c r="S629" s="7">
        <v>0.0</v>
      </c>
      <c r="T629" s="7">
        <v>0.0</v>
      </c>
      <c r="U629" s="7">
        <v>0.0</v>
      </c>
      <c r="V629" s="7">
        <v>252.0</v>
      </c>
      <c r="W629" s="7">
        <f>VLOOKUP($D629,NatureChart,2,0)</f>
        <v>1</v>
      </c>
      <c r="X629" s="7">
        <f>VLOOKUP($D629,NatureChart,3,0)</f>
        <v>1</v>
      </c>
      <c r="Y629" s="7">
        <f>VLOOKUP($D629,NatureChart,4,0)</f>
        <v>0.9</v>
      </c>
      <c r="Z629" s="7">
        <f>VLOOKUP($D629,NatureChart,5,0)</f>
        <v>1</v>
      </c>
      <c r="AA629" s="84">
        <f>VLOOKUP($D629,NatureChart,6,0)</f>
        <v>1.1</v>
      </c>
      <c r="AB629" s="84">
        <f>IF($C629="Shedinja",1,(INT((2*VLOOKUP($C629,DexData,5,0)+INT(Q629/4)+K629)/2)+60))</f>
        <v>151</v>
      </c>
      <c r="AC629" s="84">
        <f>INT(INT((INT((2*VLOOKUP($C629,DexData,6,0)+INT(R629/4)+L629)/2)+5)*W629)*IF($E629="Choice Band",1.5,IF(OR($E629="Mawilite",$E629="Medichamite",$E629="Thick Club"),2,1)))</f>
        <v>152</v>
      </c>
      <c r="AD629" s="84">
        <f>INT(INT((INT((2*VLOOKUP($C629,DexData,7,0)+INT(S629/4)+M629)/2)+5)*X629)*IF($E629="Eviolite",1.5,1))</f>
        <v>115</v>
      </c>
      <c r="AE629" s="84">
        <f>INT(INT((INT((2*VLOOKUP($C629,DexData,9,0)+INT(T629/4)+N629)/2)+5)*Y629)*IF($E629="Choice Specs",1.5,1))</f>
        <v>54</v>
      </c>
      <c r="AF629" s="84">
        <f>INT(INT((INT((2*VLOOKUP($C629,DexData,10,0)+INT(U629/4)+O629)/2)+5)*Z629)*IF(OR($E629="Eviolite",$E629="Assault Vest"),1.5,1))</f>
        <v>90</v>
      </c>
      <c r="AG629" s="84">
        <f>INT(INT((INT((2*VLOOKUP($C629,DexData,11,0)+INT(V629/4)+P629)/2)+5)*AA629)*IF($E629="Choice Scarf",1.5,IF($E629="Iron Ball",0.5,1)))</f>
        <v>178</v>
      </c>
      <c r="AH629" s="84" t="str">
        <f>VLOOKUP(VLOOKUP($C629,DexData,3,0),Aliases!D$2:E$19,2,0)&amp;IFERROR("/"&amp;VLOOKUP(VLOOKUP($C629,DexData,4,0),Aliases!D$2:E$19,2,0),"")</f>
        <v>NRM</v>
      </c>
      <c r="AI629" s="7">
        <v>3.0</v>
      </c>
      <c r="AJ629" s="7">
        <f>IF(VLOOKUP(B629,'Set Odds'!A$2:AN$1067,40,0),1,IF(VLOOKUP(B629,'Set Odds'!A$2:AO$1067,41,0),2,0))</f>
        <v>1</v>
      </c>
      <c r="AK629" s="7"/>
      <c r="AL629" s="7" t="str">
        <f t="shared" si="1"/>
        <v/>
      </c>
    </row>
    <row r="630" ht="12.75" customHeight="1">
      <c r="A630" s="86">
        <v>629.0</v>
      </c>
      <c r="B630" s="84" t="s">
        <v>4180</v>
      </c>
      <c r="C630" s="7" t="s">
        <v>3728</v>
      </c>
      <c r="D630" s="7" t="s">
        <v>2635</v>
      </c>
      <c r="E630" s="7" t="s">
        <v>2636</v>
      </c>
      <c r="F630" s="84" t="s">
        <v>2659</v>
      </c>
      <c r="G630" s="84" t="s">
        <v>2661</v>
      </c>
      <c r="H630" s="84" t="s">
        <v>3762</v>
      </c>
      <c r="I630" s="84" t="s">
        <v>3730</v>
      </c>
      <c r="J630" s="7" t="s">
        <v>2958</v>
      </c>
      <c r="K630" s="7">
        <v>31.0</v>
      </c>
      <c r="L630" s="7">
        <v>31.0</v>
      </c>
      <c r="M630" s="7">
        <v>31.0</v>
      </c>
      <c r="N630" s="7">
        <v>31.0</v>
      </c>
      <c r="O630" s="7">
        <v>31.0</v>
      </c>
      <c r="P630" s="7">
        <v>31.0</v>
      </c>
      <c r="Q630" s="7">
        <v>4.0</v>
      </c>
      <c r="R630" s="7">
        <v>0.0</v>
      </c>
      <c r="S630" s="7">
        <v>0.0</v>
      </c>
      <c r="T630" s="7">
        <v>252.0</v>
      </c>
      <c r="U630" s="7">
        <v>0.0</v>
      </c>
      <c r="V630" s="7">
        <v>252.0</v>
      </c>
      <c r="W630" s="7">
        <f>VLOOKUP($D630,NatureChart,2,0)</f>
        <v>0.9</v>
      </c>
      <c r="X630" s="7">
        <f>VLOOKUP($D630,NatureChart,3,0)</f>
        <v>1</v>
      </c>
      <c r="Y630" s="7">
        <f>VLOOKUP($D630,NatureChart,4,0)</f>
        <v>1</v>
      </c>
      <c r="Z630" s="7">
        <f>VLOOKUP($D630,NatureChart,5,0)</f>
        <v>1</v>
      </c>
      <c r="AA630" s="84">
        <f>VLOOKUP($D630,NatureChart,6,0)</f>
        <v>1.1</v>
      </c>
      <c r="AB630" s="84">
        <f>IF($C630="Shedinja",1,(INT((2*VLOOKUP($C630,DexData,5,0)+INT(Q630/4)+K630)/2)+60))</f>
        <v>131</v>
      </c>
      <c r="AC630" s="84">
        <f>INT(INT((INT((2*VLOOKUP($C630,DexData,6,0)+INT(R630/4)+L630)/2)+5)*W630)*IF($E630="Choice Band",1.5,IF(OR($E630="Mawilite",$E630="Medichamite",$E630="Thick Club"),2,1)))</f>
        <v>63</v>
      </c>
      <c r="AD630" s="84">
        <f>INT(INT((INT((2*VLOOKUP($C630,DexData,7,0)+INT(S630/4)+M630)/2)+5)*X630)*IF($E630="Eviolite",1.5,1))</f>
        <v>65</v>
      </c>
      <c r="AE630" s="84">
        <f>INT(INT((INT((2*VLOOKUP($C630,DexData,9,0)+INT(T630/4)+N630)/2)+5)*Y630)*IF($E630="Choice Specs",1.5,1))</f>
        <v>187</v>
      </c>
      <c r="AF630" s="84">
        <f>INT(INT((INT((2*VLOOKUP($C630,DexData,10,0)+INT(U630/4)+O630)/2)+5)*Z630)*IF(OR($E630="Eviolite",$E630="Assault Vest"),1.5,1))</f>
        <v>115</v>
      </c>
      <c r="AG630" s="84">
        <f>INT(INT((INT((2*VLOOKUP($C630,DexData,11,0)+INT(V630/4)+P630)/2)+5)*AA630)*IF($E630="Choice Scarf",1.5,IF($E630="Iron Ball",0.5,1)))</f>
        <v>189</v>
      </c>
      <c r="AH630" s="84" t="str">
        <f>VLOOKUP(VLOOKUP($C630,DexData,3,0),Aliases!D$2:E$19,2,0)&amp;IFERROR("/"&amp;VLOOKUP(VLOOKUP($C630,DexData,4,0),Aliases!D$2:E$19,2,0),"")</f>
        <v>PSY</v>
      </c>
      <c r="AI630" s="7">
        <v>3.0</v>
      </c>
      <c r="AJ630" s="7">
        <f>IF(VLOOKUP(B630,'Set Odds'!A$2:AN$1067,40,0),1,IF(VLOOKUP(B630,'Set Odds'!A$2:AO$1067,41,0),2,0))</f>
        <v>1</v>
      </c>
      <c r="AK630" s="7"/>
      <c r="AL630" s="7" t="str">
        <f t="shared" si="1"/>
        <v/>
      </c>
    </row>
    <row r="631" ht="12.75" customHeight="1">
      <c r="A631" s="86">
        <v>630.0</v>
      </c>
      <c r="B631" s="84" t="s">
        <v>4181</v>
      </c>
      <c r="C631" s="7" t="s">
        <v>3732</v>
      </c>
      <c r="D631" s="7" t="s">
        <v>2656</v>
      </c>
      <c r="E631" s="7" t="s">
        <v>2524</v>
      </c>
      <c r="F631" s="84" t="s">
        <v>2659</v>
      </c>
      <c r="G631" s="84" t="s">
        <v>2967</v>
      </c>
      <c r="H631" s="84" t="s">
        <v>2638</v>
      </c>
      <c r="I631" s="84" t="s">
        <v>2534</v>
      </c>
      <c r="J631" s="7" t="s">
        <v>3404</v>
      </c>
      <c r="K631" s="7">
        <v>31.0</v>
      </c>
      <c r="L631" s="7">
        <v>31.0</v>
      </c>
      <c r="M631" s="7">
        <v>31.0</v>
      </c>
      <c r="N631" s="7">
        <v>31.0</v>
      </c>
      <c r="O631" s="7">
        <v>31.0</v>
      </c>
      <c r="P631" s="7">
        <v>31.0</v>
      </c>
      <c r="Q631" s="7">
        <v>252.0</v>
      </c>
      <c r="R631" s="7">
        <v>0.0</v>
      </c>
      <c r="S631" s="7">
        <v>4.0</v>
      </c>
      <c r="T631" s="7">
        <v>252.0</v>
      </c>
      <c r="U631" s="7">
        <v>0.0</v>
      </c>
      <c r="V631" s="7">
        <v>0.0</v>
      </c>
      <c r="W631" s="7">
        <f>VLOOKUP($D631,NatureChart,2,0)</f>
        <v>0.9</v>
      </c>
      <c r="X631" s="7">
        <f>VLOOKUP($D631,NatureChart,3,0)</f>
        <v>1</v>
      </c>
      <c r="Y631" s="7">
        <f>VLOOKUP($D631,NatureChart,4,0)</f>
        <v>1.1</v>
      </c>
      <c r="Z631" s="7">
        <f>VLOOKUP($D631,NatureChart,5,0)</f>
        <v>1</v>
      </c>
      <c r="AA631" s="84">
        <f>VLOOKUP($D631,NatureChart,6,0)</f>
        <v>1</v>
      </c>
      <c r="AB631" s="84">
        <f>IF($C631="Shedinja",1,(INT((2*VLOOKUP($C631,DexData,5,0)+INT(Q631/4)+K631)/2)+60))</f>
        <v>202</v>
      </c>
      <c r="AC631" s="84">
        <f>INT(INT((INT((2*VLOOKUP($C631,DexData,6,0)+INT(R631/4)+L631)/2)+5)*W631)*IF($E631="Choice Band",1.5,IF(OR($E631="Mawilite",$E631="Medichamite",$E631="Thick Club"),2,1)))</f>
        <v>85</v>
      </c>
      <c r="AD631" s="84">
        <f>INT(INT((INT((2*VLOOKUP($C631,DexData,7,0)+INT(S631/4)+M631)/2)+5)*X631)*IF($E631="Eviolite",1.5,1))</f>
        <v>101</v>
      </c>
      <c r="AE631" s="84">
        <f>INT(INT((INT((2*VLOOKUP($C631,DexData,9,0)+INT(T631/4)+N631)/2)+5)*Y631)*IF($E631="Choice Specs",1.5,1))</f>
        <v>167</v>
      </c>
      <c r="AF631" s="84">
        <f>INT(INT((INT((2*VLOOKUP($C631,DexData,10,0)+INT(U631/4)+O631)/2)+5)*Z631)*IF(OR($E631="Eviolite",$E631="Assault Vest"),1.5,1))</f>
        <v>130</v>
      </c>
      <c r="AG631" s="84">
        <f>INT(INT((INT((2*VLOOKUP($C631,DexData,11,0)+INT(V631/4)+P631)/2)+5)*AA631)*IF($E631="Choice Scarf",1.5,IF($E631="Iron Ball",0.5,1)))</f>
        <v>50</v>
      </c>
      <c r="AH631" s="84" t="str">
        <f>VLOOKUP(VLOOKUP($C631,DexData,3,0),Aliases!D$2:E$19,2,0)&amp;IFERROR("/"&amp;VLOOKUP(VLOOKUP($C631,DexData,4,0),Aliases!D$2:E$19,2,0),"")</f>
        <v>WTR/PSY</v>
      </c>
      <c r="AI631" s="7">
        <v>3.0</v>
      </c>
      <c r="AJ631" s="7">
        <f>IF(VLOOKUP(B631,'Set Odds'!A$2:AN$1067,40,0),1,IF(VLOOKUP(B631,'Set Odds'!A$2:AO$1067,41,0),2,0))</f>
        <v>1</v>
      </c>
      <c r="AK631" s="7"/>
      <c r="AL631" s="7" t="str">
        <f t="shared" si="1"/>
        <v/>
      </c>
    </row>
    <row r="632" ht="12.75" customHeight="1">
      <c r="A632" s="86">
        <v>631.0</v>
      </c>
      <c r="B632" s="84" t="s">
        <v>4182</v>
      </c>
      <c r="C632" s="7" t="s">
        <v>3735</v>
      </c>
      <c r="D632" s="7" t="s">
        <v>2692</v>
      </c>
      <c r="E632" s="7" t="s">
        <v>2983</v>
      </c>
      <c r="F632" s="84" t="s">
        <v>2525</v>
      </c>
      <c r="G632" s="84" t="s">
        <v>3945</v>
      </c>
      <c r="H632" s="84" t="s">
        <v>3736</v>
      </c>
      <c r="I632" s="84" t="s">
        <v>2625</v>
      </c>
      <c r="J632" s="7" t="s">
        <v>3141</v>
      </c>
      <c r="K632" s="7">
        <v>31.0</v>
      </c>
      <c r="L632" s="7">
        <v>31.0</v>
      </c>
      <c r="M632" s="7">
        <v>31.0</v>
      </c>
      <c r="N632" s="7">
        <v>31.0</v>
      </c>
      <c r="O632" s="7">
        <v>31.0</v>
      </c>
      <c r="P632" s="7">
        <v>31.0</v>
      </c>
      <c r="Q632" s="7">
        <v>4.0</v>
      </c>
      <c r="R632" s="7">
        <v>252.0</v>
      </c>
      <c r="S632" s="7">
        <v>0.0</v>
      </c>
      <c r="T632" s="7">
        <v>0.0</v>
      </c>
      <c r="U632" s="7">
        <v>0.0</v>
      </c>
      <c r="V632" s="7">
        <v>252.0</v>
      </c>
      <c r="W632" s="7">
        <f>VLOOKUP($D632,NatureChart,2,0)</f>
        <v>1</v>
      </c>
      <c r="X632" s="7">
        <f>VLOOKUP($D632,NatureChart,3,0)</f>
        <v>1</v>
      </c>
      <c r="Y632" s="7">
        <f>VLOOKUP($D632,NatureChart,4,0)</f>
        <v>0.9</v>
      </c>
      <c r="Z632" s="7">
        <f>VLOOKUP($D632,NatureChart,5,0)</f>
        <v>1</v>
      </c>
      <c r="AA632" s="84">
        <f>VLOOKUP($D632,NatureChart,6,0)</f>
        <v>1.1</v>
      </c>
      <c r="AB632" s="84">
        <f>IF($C632="Shedinja",1,(INT((2*VLOOKUP($C632,DexData,5,0)+INT(Q632/4)+K632)/2)+60))</f>
        <v>171</v>
      </c>
      <c r="AC632" s="84">
        <f>INT(INT((INT((2*VLOOKUP($C632,DexData,6,0)+INT(R632/4)+L632)/2)+5)*W632)*IF($E632="Choice Band",1.5,IF(OR($E632="Mawilite",$E632="Medichamite",$E632="Thick Club"),2,1)))</f>
        <v>132</v>
      </c>
      <c r="AD632" s="84">
        <f>INT(INT((INT((2*VLOOKUP($C632,DexData,7,0)+INT(S632/4)+M632)/2)+5)*X632)*IF($E632="Eviolite",1.5,1))</f>
        <v>125</v>
      </c>
      <c r="AE632" s="84">
        <f>INT(INT((INT((2*VLOOKUP($C632,DexData,9,0)+INT(T632/4)+N632)/2)+5)*Y632)*IF($E632="Choice Specs",1.5,1))</f>
        <v>54</v>
      </c>
      <c r="AF632" s="84">
        <f>INT(INT((INT((2*VLOOKUP($C632,DexData,10,0)+INT(U632/4)+O632)/2)+5)*Z632)*IF(OR($E632="Eviolite",$E632="Assault Vest"),1.5,1))</f>
        <v>90</v>
      </c>
      <c r="AG632" s="84">
        <f>INT(INT((INT((2*VLOOKUP($C632,DexData,11,0)+INT(V632/4)+P632)/2)+5)*AA632)*IF($E632="Choice Scarf",1.5,IF($E632="Iron Ball",0.5,1)))</f>
        <v>167</v>
      </c>
      <c r="AH632" s="84" t="str">
        <f>VLOOKUP(VLOOKUP($C632,DexData,3,0),Aliases!D$2:E$19,2,0)&amp;IFERROR("/"&amp;VLOOKUP(VLOOKUP($C632,DexData,4,0),Aliases!D$2:E$19,2,0),"")</f>
        <v>NRM</v>
      </c>
      <c r="AI632" s="7">
        <v>3.0</v>
      </c>
      <c r="AJ632" s="7">
        <f>IF(VLOOKUP(B632,'Set Odds'!A$2:AN$1067,40,0),1,IF(VLOOKUP(B632,'Set Odds'!A$2:AO$1067,41,0),2,0))</f>
        <v>1</v>
      </c>
      <c r="AK632" s="7"/>
      <c r="AL632" s="7" t="str">
        <f t="shared" si="1"/>
        <v/>
      </c>
    </row>
    <row r="633" ht="12.75" customHeight="1">
      <c r="A633" s="86">
        <v>632.0</v>
      </c>
      <c r="B633" s="84" t="s">
        <v>4183</v>
      </c>
      <c r="C633" s="7" t="s">
        <v>3738</v>
      </c>
      <c r="D633" s="7" t="s">
        <v>2656</v>
      </c>
      <c r="E633" s="7" t="s">
        <v>4184</v>
      </c>
      <c r="F633" s="84" t="s">
        <v>3448</v>
      </c>
      <c r="G633" s="84" t="s">
        <v>3427</v>
      </c>
      <c r="H633" s="84" t="s">
        <v>3139</v>
      </c>
      <c r="I633" s="84" t="s">
        <v>2801</v>
      </c>
      <c r="J633" s="7" t="s">
        <v>2849</v>
      </c>
      <c r="K633" s="7">
        <v>31.0</v>
      </c>
      <c r="L633" s="7">
        <v>31.0</v>
      </c>
      <c r="M633" s="7">
        <v>31.0</v>
      </c>
      <c r="N633" s="7">
        <v>31.0</v>
      </c>
      <c r="O633" s="7">
        <v>31.0</v>
      </c>
      <c r="P633" s="7">
        <v>31.0</v>
      </c>
      <c r="Q633" s="7">
        <v>252.0</v>
      </c>
      <c r="R633" s="7">
        <v>0.0</v>
      </c>
      <c r="S633" s="7">
        <v>0.0</v>
      </c>
      <c r="T633" s="7">
        <v>252.0</v>
      </c>
      <c r="U633" s="7">
        <v>0.0</v>
      </c>
      <c r="V633" s="7">
        <v>4.0</v>
      </c>
      <c r="W633" s="7">
        <f>VLOOKUP($D633,NatureChart,2,0)</f>
        <v>0.9</v>
      </c>
      <c r="X633" s="7">
        <f>VLOOKUP($D633,NatureChart,3,0)</f>
        <v>1</v>
      </c>
      <c r="Y633" s="7">
        <f>VLOOKUP($D633,NatureChart,4,0)</f>
        <v>1.1</v>
      </c>
      <c r="Z633" s="7">
        <f>VLOOKUP($D633,NatureChart,5,0)</f>
        <v>1</v>
      </c>
      <c r="AA633" s="84">
        <f>VLOOKUP($D633,NatureChart,6,0)</f>
        <v>1</v>
      </c>
      <c r="AB633" s="84">
        <f>IF($C633="Shedinja",1,(INT((2*VLOOKUP($C633,DexData,5,0)+INT(Q633/4)+K633)/2)+60))</f>
        <v>182</v>
      </c>
      <c r="AC633" s="84">
        <f>INT(INT((INT((2*VLOOKUP($C633,DexData,6,0)+INT(R633/4)+L633)/2)+5)*W633)*IF($E633="Choice Band",1.5,IF(OR($E633="Mawilite",$E633="Medichamite",$E633="Thick Club"),2,1)))</f>
        <v>81</v>
      </c>
      <c r="AD633" s="84">
        <f>INT(INT((INT((2*VLOOKUP($C633,DexData,7,0)+INT(S633/4)+M633)/2)+5)*X633)*IF($E633="Eviolite",1.5,1))</f>
        <v>110</v>
      </c>
      <c r="AE633" s="84">
        <f>INT(INT((INT((2*VLOOKUP($C633,DexData,9,0)+INT(T633/4)+N633)/2)+5)*Y633)*IF($E633="Choice Specs",1.5,1))</f>
        <v>134</v>
      </c>
      <c r="AF633" s="84">
        <f>INT(INT((INT((2*VLOOKUP($C633,DexData,10,0)+INT(U633/4)+O633)/2)+5)*Z633)*IF(OR($E633="Eviolite",$E633="Assault Vest"),1.5,1))</f>
        <v>125</v>
      </c>
      <c r="AG633" s="84">
        <f>INT(INT((INT((2*VLOOKUP($C633,DexData,11,0)+INT(V633/4)+P633)/2)+5)*AA633)*IF($E633="Choice Scarf",1.5,IF($E633="Iron Ball",0.5,1)))</f>
        <v>101</v>
      </c>
      <c r="AH633" s="84" t="str">
        <f>VLOOKUP(VLOOKUP($C633,DexData,3,0),Aliases!D$2:E$19,2,0)&amp;IFERROR("/"&amp;VLOOKUP(VLOOKUP($C633,DexData,4,0),Aliases!D$2:E$19,2,0),"")</f>
        <v>DRG/FLY</v>
      </c>
      <c r="AI633" s="7">
        <v>3.0</v>
      </c>
      <c r="AJ633" s="7">
        <f>IF(VLOOKUP(B633,'Set Odds'!A$2:AN$1067,40,0),1,IF(VLOOKUP(B633,'Set Odds'!A$2:AO$1067,41,0),2,0))</f>
        <v>1</v>
      </c>
      <c r="AK633" s="7"/>
      <c r="AL633" s="7" t="str">
        <f t="shared" si="1"/>
        <v/>
      </c>
    </row>
    <row r="634" ht="12.75" customHeight="1">
      <c r="A634" s="86">
        <v>633.0</v>
      </c>
      <c r="B634" s="84" t="s">
        <v>4185</v>
      </c>
      <c r="C634" s="7" t="s">
        <v>3740</v>
      </c>
      <c r="D634" s="7" t="s">
        <v>2571</v>
      </c>
      <c r="E634" s="7" t="s">
        <v>2579</v>
      </c>
      <c r="F634" s="84" t="s">
        <v>2807</v>
      </c>
      <c r="G634" s="84" t="s">
        <v>2671</v>
      </c>
      <c r="H634" s="84" t="s">
        <v>3636</v>
      </c>
      <c r="I634" s="84" t="s">
        <v>3590</v>
      </c>
      <c r="J634" s="7" t="s">
        <v>2808</v>
      </c>
      <c r="K634" s="7">
        <v>31.0</v>
      </c>
      <c r="L634" s="7">
        <v>31.0</v>
      </c>
      <c r="M634" s="7">
        <v>31.0</v>
      </c>
      <c r="N634" s="7">
        <v>31.0</v>
      </c>
      <c r="O634" s="7">
        <v>31.0</v>
      </c>
      <c r="P634" s="7">
        <v>31.0</v>
      </c>
      <c r="Q634" s="7">
        <v>4.0</v>
      </c>
      <c r="R634" s="7">
        <v>252.0</v>
      </c>
      <c r="S634" s="7">
        <v>0.0</v>
      </c>
      <c r="T634" s="7">
        <v>0.0</v>
      </c>
      <c r="U634" s="7">
        <v>0.0</v>
      </c>
      <c r="V634" s="7">
        <v>252.0</v>
      </c>
      <c r="W634" s="7">
        <f>VLOOKUP($D634,NatureChart,2,0)</f>
        <v>1.1</v>
      </c>
      <c r="X634" s="7">
        <f>VLOOKUP($D634,NatureChart,3,0)</f>
        <v>1</v>
      </c>
      <c r="Y634" s="7">
        <f>VLOOKUP($D634,NatureChart,4,0)</f>
        <v>0.9</v>
      </c>
      <c r="Z634" s="7">
        <f>VLOOKUP($D634,NatureChart,5,0)</f>
        <v>1</v>
      </c>
      <c r="AA634" s="84">
        <f>VLOOKUP($D634,NatureChart,6,0)</f>
        <v>1</v>
      </c>
      <c r="AB634" s="84">
        <f>IF($C634="Shedinja",1,(INT((2*VLOOKUP($C634,DexData,5,0)+INT(Q634/4)+K634)/2)+60))</f>
        <v>159</v>
      </c>
      <c r="AC634" s="84">
        <f>INT(INT((INT((2*VLOOKUP($C634,DexData,6,0)+INT(R634/4)+L634)/2)+5)*W634)*IF($E634="Choice Band",1.5,IF(OR($E634="Mawilite",$E634="Medichamite",$E634="Thick Club"),2,1)))</f>
        <v>173</v>
      </c>
      <c r="AD634" s="84">
        <f>INT(INT((INT((2*VLOOKUP($C634,DexData,7,0)+INT(S634/4)+M634)/2)+5)*X634)*IF($E634="Eviolite",1.5,1))</f>
        <v>85</v>
      </c>
      <c r="AE634" s="84">
        <f>INT(INT((INT((2*VLOOKUP($C634,DexData,9,0)+INT(T634/4)+N634)/2)+5)*Y634)*IF($E634="Choice Specs",1.5,1))</f>
        <v>95</v>
      </c>
      <c r="AF634" s="84">
        <f>INT(INT((INT((2*VLOOKUP($C634,DexData,10,0)+INT(U634/4)+O634)/2)+5)*Z634)*IF(OR($E634="Eviolite",$E634="Assault Vest"),1.5,1))</f>
        <v>85</v>
      </c>
      <c r="AG634" s="84">
        <f>INT(INT((INT((2*VLOOKUP($C634,DexData,11,0)+INT(V634/4)+P634)/2)+5)*AA634)*IF($E634="Choice Scarf",1.5,IF($E634="Iron Ball",0.5,1)))</f>
        <v>137</v>
      </c>
      <c r="AH634" s="84" t="str">
        <f>VLOOKUP(VLOOKUP($C634,DexData,3,0),Aliases!D$2:E$19,2,0)&amp;IFERROR("/"&amp;VLOOKUP(VLOOKUP($C634,DexData,4,0),Aliases!D$2:E$19,2,0),"")</f>
        <v>PSN/FTG</v>
      </c>
      <c r="AI634" s="7">
        <v>3.0</v>
      </c>
      <c r="AJ634" s="7">
        <f>IF(VLOOKUP(B634,'Set Odds'!A$2:AN$1067,40,0),1,IF(VLOOKUP(B634,'Set Odds'!A$2:AO$1067,41,0),2,0))</f>
        <v>1</v>
      </c>
      <c r="AK634" s="7"/>
      <c r="AL634" s="7" t="str">
        <f t="shared" si="1"/>
        <v/>
      </c>
    </row>
    <row r="635" ht="12.75" customHeight="1">
      <c r="A635" s="86">
        <v>634.0</v>
      </c>
      <c r="B635" s="84" t="s">
        <v>4186</v>
      </c>
      <c r="C635" s="7" t="s">
        <v>3742</v>
      </c>
      <c r="D635" s="7" t="s">
        <v>2656</v>
      </c>
      <c r="E635" s="7" t="s">
        <v>4102</v>
      </c>
      <c r="F635" s="84" t="s">
        <v>3047</v>
      </c>
      <c r="G635" s="84" t="s">
        <v>2526</v>
      </c>
      <c r="H635" s="84" t="s">
        <v>3590</v>
      </c>
      <c r="I635" s="84" t="s">
        <v>2607</v>
      </c>
      <c r="J635" s="7" t="s">
        <v>3049</v>
      </c>
      <c r="K635" s="7">
        <v>31.0</v>
      </c>
      <c r="L635" s="7">
        <v>31.0</v>
      </c>
      <c r="M635" s="7">
        <v>31.0</v>
      </c>
      <c r="N635" s="7">
        <v>31.0</v>
      </c>
      <c r="O635" s="7">
        <v>31.0</v>
      </c>
      <c r="P635" s="7">
        <v>31.0</v>
      </c>
      <c r="Q635" s="7">
        <v>252.0</v>
      </c>
      <c r="R635" s="7">
        <v>0.0</v>
      </c>
      <c r="S635" s="7">
        <v>0.0</v>
      </c>
      <c r="T635" s="7">
        <v>252.0</v>
      </c>
      <c r="U635" s="7">
        <v>0.0</v>
      </c>
      <c r="V635" s="7">
        <v>4.0</v>
      </c>
      <c r="W635" s="7">
        <f>VLOOKUP($D635,NatureChart,2,0)</f>
        <v>0.9</v>
      </c>
      <c r="X635" s="7">
        <f>VLOOKUP($D635,NatureChart,3,0)</f>
        <v>1</v>
      </c>
      <c r="Y635" s="7">
        <f>VLOOKUP($D635,NatureChart,4,0)</f>
        <v>1.1</v>
      </c>
      <c r="Z635" s="7">
        <f>VLOOKUP($D635,NatureChart,5,0)</f>
        <v>1</v>
      </c>
      <c r="AA635" s="84">
        <f>VLOOKUP($D635,NatureChart,6,0)</f>
        <v>1</v>
      </c>
      <c r="AB635" s="84">
        <f>IF($C635="Shedinja",1,(INT((2*VLOOKUP($C635,DexData,5,0)+INT(Q635/4)+K635)/2)+60))</f>
        <v>197</v>
      </c>
      <c r="AC635" s="84">
        <f>INT(INT((INT((2*VLOOKUP($C635,DexData,6,0)+INT(R635/4)+L635)/2)+5)*W635)*IF($E635="Choice Band",1.5,IF(OR($E635="Mawilite",$E635="Medichamite",$E635="Thick Club"),2,1)))</f>
        <v>100</v>
      </c>
      <c r="AD635" s="84">
        <f>INT(INT((INT((2*VLOOKUP($C635,DexData,7,0)+INT(S635/4)+M635)/2)+5)*X635)*IF($E635="Eviolite",1.5,1))</f>
        <v>95</v>
      </c>
      <c r="AE635" s="84">
        <f>INT(INT((INT((2*VLOOKUP($C635,DexData,9,0)+INT(T635/4)+N635)/2)+5)*Y635)*IF($E635="Choice Specs",1.5,1))</f>
        <v>158</v>
      </c>
      <c r="AF635" s="84">
        <f>INT(INT((INT((2*VLOOKUP($C635,DexData,10,0)+INT(U635/4)+O635)/2)+5)*Z635)*IF(OR($E635="Eviolite",$E635="Assault Vest"),1.5,1))</f>
        <v>105</v>
      </c>
      <c r="AG635" s="84">
        <f>INT(INT((INT((2*VLOOKUP($C635,DexData,11,0)+INT(V635/4)+P635)/2)+5)*AA635)*IF($E635="Choice Scarf",1.5,IF($E635="Iron Ball",0.5,1)))</f>
        <v>81</v>
      </c>
      <c r="AH635" s="84" t="str">
        <f>VLOOKUP(VLOOKUP($C635,DexData,3,0),Aliases!D$2:E$19,2,0)&amp;IFERROR("/"&amp;VLOOKUP(VLOOKUP($C635,DexData,4,0),Aliases!D$2:E$19,2,0),"")</f>
        <v>GRS/ICE</v>
      </c>
      <c r="AI635" s="7">
        <v>3.0</v>
      </c>
      <c r="AJ635" s="7">
        <f>IF(VLOOKUP(B635,'Set Odds'!A$2:AN$1067,40,0),1,IF(VLOOKUP(B635,'Set Odds'!A$2:AO$1067,41,0),2,0))</f>
        <v>1</v>
      </c>
      <c r="AK635" s="7"/>
      <c r="AL635" s="7" t="str">
        <f t="shared" si="1"/>
        <v/>
      </c>
    </row>
    <row r="636" ht="12.75" customHeight="1">
      <c r="A636" s="86">
        <v>635.0</v>
      </c>
      <c r="B636" s="84" t="s">
        <v>4187</v>
      </c>
      <c r="C636" s="7" t="s">
        <v>3744</v>
      </c>
      <c r="D636" s="7" t="s">
        <v>2629</v>
      </c>
      <c r="E636" s="7" t="s">
        <v>2524</v>
      </c>
      <c r="F636" s="84" t="s">
        <v>3441</v>
      </c>
      <c r="G636" s="84" t="s">
        <v>2874</v>
      </c>
      <c r="H636" s="84" t="s">
        <v>2746</v>
      </c>
      <c r="I636" s="84" t="s">
        <v>2614</v>
      </c>
      <c r="J636" s="7" t="s">
        <v>2708</v>
      </c>
      <c r="K636" s="7">
        <v>31.0</v>
      </c>
      <c r="L636" s="7">
        <v>31.0</v>
      </c>
      <c r="M636" s="7">
        <v>31.0</v>
      </c>
      <c r="N636" s="7">
        <v>31.0</v>
      </c>
      <c r="O636" s="7">
        <v>31.0</v>
      </c>
      <c r="P636" s="7">
        <v>31.0</v>
      </c>
      <c r="Q636" s="7">
        <v>252.0</v>
      </c>
      <c r="R636" s="7">
        <v>252.0</v>
      </c>
      <c r="S636" s="7">
        <v>4.0</v>
      </c>
      <c r="T636" s="7">
        <v>0.0</v>
      </c>
      <c r="U636" s="7">
        <v>0.0</v>
      </c>
      <c r="V636" s="7">
        <v>0.0</v>
      </c>
      <c r="W636" s="7">
        <f>VLOOKUP($D636,NatureChart,2,0)</f>
        <v>1.1</v>
      </c>
      <c r="X636" s="7">
        <f>VLOOKUP($D636,NatureChart,3,0)</f>
        <v>1</v>
      </c>
      <c r="Y636" s="7">
        <f>VLOOKUP($D636,NatureChart,4,0)</f>
        <v>1</v>
      </c>
      <c r="Z636" s="7">
        <f>VLOOKUP($D636,NatureChart,5,0)</f>
        <v>1</v>
      </c>
      <c r="AA636" s="84">
        <f>VLOOKUP($D636,NatureChart,6,0)</f>
        <v>0.9</v>
      </c>
      <c r="AB636" s="84">
        <f>IF($C636="Shedinja",1,(INT((2*VLOOKUP($C636,DexData,5,0)+INT(Q636/4)+K636)/2)+60))</f>
        <v>197</v>
      </c>
      <c r="AC636" s="84">
        <f>INT(INT((INT((2*VLOOKUP($C636,DexData,6,0)+INT(R636/4)+L636)/2)+5)*W636)*IF($E636="Choice Band",1.5,IF(OR($E636="Mawilite",$E636="Medichamite",$E636="Thick Club"),2,1)))</f>
        <v>158</v>
      </c>
      <c r="AD636" s="84">
        <f>INT(INT((INT((2*VLOOKUP($C636,DexData,7,0)+INT(S636/4)+M636)/2)+5)*X636)*IF($E636="Eviolite",1.5,1))</f>
        <v>108</v>
      </c>
      <c r="AE636" s="84">
        <f>INT(INT((INT((2*VLOOKUP($C636,DexData,9,0)+INT(T636/4)+N636)/2)+5)*Y636)*IF($E636="Choice Specs",1.5,1))</f>
        <v>95</v>
      </c>
      <c r="AF636" s="84">
        <f>INT(INT((INT((2*VLOOKUP($C636,DexData,10,0)+INT(U636/4)+O636)/2)+5)*Z636)*IF(OR($E636="Eviolite",$E636="Assault Vest"),1.5,1))</f>
        <v>105</v>
      </c>
      <c r="AG636" s="84">
        <f>INT(INT((INT((2*VLOOKUP($C636,DexData,11,0)+INT(V636/4)+P636)/2)+5)*AA636)*IF($E636="Choice Scarf",1.5,IF($E636="Iron Ball",0.5,1)))</f>
        <v>86</v>
      </c>
      <c r="AH636" s="84" t="str">
        <f>VLOOKUP(VLOOKUP($C636,DexData,3,0),Aliases!D$2:E$19,2,0)&amp;IFERROR("/"&amp;VLOOKUP(VLOOKUP($C636,DexData,4,0),Aliases!D$2:E$19,2,0),"")</f>
        <v>PSN/GRD</v>
      </c>
      <c r="AI636" s="7">
        <v>3.0</v>
      </c>
      <c r="AJ636" s="7">
        <f>IF(VLOOKUP(B636,'Set Odds'!A$2:AN$1067,40,0),1,IF(VLOOKUP(B636,'Set Odds'!A$2:AO$1067,41,0),2,0))</f>
        <v>1</v>
      </c>
      <c r="AK636" s="7"/>
      <c r="AL636" s="7" t="str">
        <f t="shared" si="1"/>
        <v/>
      </c>
    </row>
    <row r="637" ht="12.75" customHeight="1">
      <c r="A637" s="86">
        <v>636.0</v>
      </c>
      <c r="B637" s="84" t="s">
        <v>4188</v>
      </c>
      <c r="C637" s="7" t="s">
        <v>3747</v>
      </c>
      <c r="D637" s="7" t="s">
        <v>2656</v>
      </c>
      <c r="E637" s="7" t="s">
        <v>3433</v>
      </c>
      <c r="F637" s="84" t="s">
        <v>2832</v>
      </c>
      <c r="G637" s="84" t="s">
        <v>3052</v>
      </c>
      <c r="H637" s="84" t="s">
        <v>2823</v>
      </c>
      <c r="I637" s="84" t="s">
        <v>2661</v>
      </c>
      <c r="J637" s="7" t="s">
        <v>2708</v>
      </c>
      <c r="K637" s="7">
        <v>31.0</v>
      </c>
      <c r="L637" s="7">
        <v>31.0</v>
      </c>
      <c r="M637" s="7">
        <v>31.0</v>
      </c>
      <c r="N637" s="7">
        <v>31.0</v>
      </c>
      <c r="O637" s="7">
        <v>31.0</v>
      </c>
      <c r="P637" s="7">
        <v>31.0</v>
      </c>
      <c r="Q637" s="7">
        <v>252.0</v>
      </c>
      <c r="R637" s="7">
        <v>0.0</v>
      </c>
      <c r="S637" s="7">
        <v>0.0</v>
      </c>
      <c r="T637" s="7">
        <v>252.0</v>
      </c>
      <c r="U637" s="7">
        <v>0.0</v>
      </c>
      <c r="V637" s="7">
        <v>4.0</v>
      </c>
      <c r="W637" s="7">
        <f>VLOOKUP($D637,NatureChart,2,0)</f>
        <v>0.9</v>
      </c>
      <c r="X637" s="7">
        <f>VLOOKUP($D637,NatureChart,3,0)</f>
        <v>1</v>
      </c>
      <c r="Y637" s="7">
        <f>VLOOKUP($D637,NatureChart,4,0)</f>
        <v>1.1</v>
      </c>
      <c r="Z637" s="7">
        <f>VLOOKUP($D637,NatureChart,5,0)</f>
        <v>1</v>
      </c>
      <c r="AA637" s="84">
        <f>VLOOKUP($D637,NatureChart,6,0)</f>
        <v>1</v>
      </c>
      <c r="AB637" s="84">
        <f>IF($C637="Shedinja",1,(INT((2*VLOOKUP($C637,DexData,5,0)+INT(Q637/4)+K637)/2)+60))</f>
        <v>188</v>
      </c>
      <c r="AC637" s="84">
        <f>INT(INT((INT((2*VLOOKUP($C637,DexData,6,0)+INT(R637/4)+L637)/2)+5)*W637)*IF($E637="Choice Band",1.5,IF(OR($E637="Mawilite",$E637="Medichamite",$E637="Thick Club"),2,1)))</f>
        <v>109</v>
      </c>
      <c r="AD637" s="84">
        <f>INT(INT((INT((2*VLOOKUP($C637,DexData,7,0)+INT(S637/4)+M637)/2)+5)*X637)*IF($E637="Eviolite",1.5,1))</f>
        <v>97</v>
      </c>
      <c r="AE637" s="84">
        <f>INT(INT((INT((2*VLOOKUP($C637,DexData,9,0)+INT(T637/4)+N637)/2)+5)*Y637)*IF($E637="Choice Specs",1.5,1))</f>
        <v>150</v>
      </c>
      <c r="AF637" s="84">
        <f>INT(INT((INT((2*VLOOKUP($C637,DexData,10,0)+INT(U637/4)+O637)/2)+5)*Z637)*IF(OR($E637="Eviolite",$E637="Assault Vest"),1.5,1))</f>
        <v>95</v>
      </c>
      <c r="AG637" s="84">
        <f>INT(INT((INT((2*VLOOKUP($C637,DexData,11,0)+INT(V637/4)+P637)/2)+5)*AA637)*IF($E637="Choice Scarf",1.5,IF($E637="Iron Ball",0.5,1)))</f>
        <v>106</v>
      </c>
      <c r="AH637" s="84" t="str">
        <f>VLOOKUP(VLOOKUP($C637,DexData,3,0),Aliases!D$2:E$19,2,0)&amp;IFERROR("/"&amp;VLOOKUP(VLOOKUP($C637,DexData,4,0),Aliases!D$2:E$19,2,0),"")</f>
        <v>PSN/GRD</v>
      </c>
      <c r="AI637" s="7">
        <v>3.0</v>
      </c>
      <c r="AJ637" s="7">
        <f>IF(VLOOKUP(B637,'Set Odds'!A$2:AN$1067,40,0),1,IF(VLOOKUP(B637,'Set Odds'!A$2:AO$1067,41,0),2,0))</f>
        <v>1</v>
      </c>
      <c r="AK637" s="7"/>
      <c r="AL637" s="7" t="str">
        <f t="shared" si="1"/>
        <v/>
      </c>
    </row>
    <row r="638" ht="12.75" customHeight="1">
      <c r="A638" s="86">
        <v>637.0</v>
      </c>
      <c r="B638" s="84" t="s">
        <v>4189</v>
      </c>
      <c r="C638" s="7" t="s">
        <v>3749</v>
      </c>
      <c r="D638" s="7" t="s">
        <v>2811</v>
      </c>
      <c r="E638" s="7" t="s">
        <v>2636</v>
      </c>
      <c r="F638" s="84" t="s">
        <v>3168</v>
      </c>
      <c r="G638" s="84" t="s">
        <v>3730</v>
      </c>
      <c r="H638" s="84" t="s">
        <v>3441</v>
      </c>
      <c r="I638" s="84" t="s">
        <v>3123</v>
      </c>
      <c r="J638" s="7" t="s">
        <v>2988</v>
      </c>
      <c r="K638" s="7">
        <v>31.0</v>
      </c>
      <c r="L638" s="7">
        <v>31.0</v>
      </c>
      <c r="M638" s="7">
        <v>31.0</v>
      </c>
      <c r="N638" s="7">
        <v>31.0</v>
      </c>
      <c r="O638" s="7">
        <v>31.0</v>
      </c>
      <c r="P638" s="7">
        <v>31.0</v>
      </c>
      <c r="Q638" s="7">
        <v>252.0</v>
      </c>
      <c r="R638" s="7">
        <v>0.0</v>
      </c>
      <c r="S638" s="7">
        <v>252.0</v>
      </c>
      <c r="T638" s="7">
        <v>0.0</v>
      </c>
      <c r="U638" s="7">
        <v>4.0</v>
      </c>
      <c r="V638" s="7">
        <v>0.0</v>
      </c>
      <c r="W638" s="7">
        <f>VLOOKUP($D638,NatureChart,2,0)</f>
        <v>1</v>
      </c>
      <c r="X638" s="7">
        <f>VLOOKUP($D638,NatureChart,3,0)</f>
        <v>1.1</v>
      </c>
      <c r="Y638" s="7">
        <f>VLOOKUP($D638,NatureChart,4,0)</f>
        <v>1</v>
      </c>
      <c r="Z638" s="7">
        <f>VLOOKUP($D638,NatureChart,5,0)</f>
        <v>1</v>
      </c>
      <c r="AA638" s="84">
        <f>VLOOKUP($D638,NatureChart,6,0)</f>
        <v>0.9</v>
      </c>
      <c r="AB638" s="84">
        <f>IF($C638="Shedinja",1,(INT((2*VLOOKUP($C638,DexData,5,0)+INT(Q638/4)+K638)/2)+60))</f>
        <v>193</v>
      </c>
      <c r="AC638" s="84">
        <f>INT(INT((INT((2*VLOOKUP($C638,DexData,6,0)+INT(R638/4)+L638)/2)+5)*W638)*IF($E638="Choice Band",1.5,IF(OR($E638="Mawilite",$E638="Medichamite",$E638="Thick Club"),2,1)))</f>
        <v>101</v>
      </c>
      <c r="AD638" s="84">
        <f>INT(INT((INT((2*VLOOKUP($C638,DexData,7,0)+INT(S638/4)+M638)/2)+5)*X638)*IF($E638="Eviolite",1.5,1))</f>
        <v>163</v>
      </c>
      <c r="AE638" s="84">
        <f>INT(INT((INT((2*VLOOKUP($C638,DexData,9,0)+INT(T638/4)+N638)/2)+5)*Y638)*IF($E638="Choice Specs",1.5,1))</f>
        <v>101</v>
      </c>
      <c r="AF638" s="84">
        <f>INT(INT((INT((2*VLOOKUP($C638,DexData,10,0)+INT(U638/4)+O638)/2)+5)*Z638)*IF(OR($E638="Eviolite",$E638="Assault Vest"),1.5,1))</f>
        <v>128</v>
      </c>
      <c r="AG638" s="84">
        <f>INT(INT((INT((2*VLOOKUP($C638,DexData,11,0)+INT(V638/4)+P638)/2)+5)*AA638)*IF($E638="Choice Scarf",1.5,IF($E638="Iron Ball",0.5,1)))</f>
        <v>56</v>
      </c>
      <c r="AH638" s="84" t="str">
        <f>VLOOKUP(VLOOKUP($C638,DexData,3,0),Aliases!D$2:E$19,2,0)&amp;IFERROR("/"&amp;VLOOKUP(VLOOKUP($C638,DexData,4,0),Aliases!D$2:E$19,2,0),"")</f>
        <v>RCK/GRS</v>
      </c>
      <c r="AI638" s="7">
        <v>3.0</v>
      </c>
      <c r="AJ638" s="7">
        <f>IF(VLOOKUP(B638,'Set Odds'!A$2:AN$1067,40,0),1,IF(VLOOKUP(B638,'Set Odds'!A$2:AO$1067,41,0),2,0))</f>
        <v>1</v>
      </c>
      <c r="AK638" s="7"/>
      <c r="AL638" s="7" t="str">
        <f t="shared" si="1"/>
        <v/>
      </c>
    </row>
    <row r="639" ht="12.75" customHeight="1">
      <c r="A639" s="86">
        <v>638.0</v>
      </c>
      <c r="B639" s="84" t="s">
        <v>4190</v>
      </c>
      <c r="C639" s="7" t="s">
        <v>3751</v>
      </c>
      <c r="D639" s="7" t="s">
        <v>2629</v>
      </c>
      <c r="E639" s="7" t="s">
        <v>2520</v>
      </c>
      <c r="F639" s="84" t="s">
        <v>2752</v>
      </c>
      <c r="G639" s="84" t="s">
        <v>2581</v>
      </c>
      <c r="H639" s="84" t="s">
        <v>2614</v>
      </c>
      <c r="I639" s="84" t="s">
        <v>3636</v>
      </c>
      <c r="J639" s="7" t="s">
        <v>2945</v>
      </c>
      <c r="K639" s="7">
        <v>31.0</v>
      </c>
      <c r="L639" s="7">
        <v>31.0</v>
      </c>
      <c r="M639" s="7">
        <v>31.0</v>
      </c>
      <c r="N639" s="7">
        <v>31.0</v>
      </c>
      <c r="O639" s="7">
        <v>31.0</v>
      </c>
      <c r="P639" s="7">
        <v>31.0</v>
      </c>
      <c r="Q639" s="7">
        <v>252.0</v>
      </c>
      <c r="R639" s="7">
        <v>252.0</v>
      </c>
      <c r="S639" s="7">
        <v>4.0</v>
      </c>
      <c r="T639" s="7">
        <v>0.0</v>
      </c>
      <c r="U639" s="7">
        <v>0.0</v>
      </c>
      <c r="V639" s="7">
        <v>0.0</v>
      </c>
      <c r="W639" s="7">
        <f>VLOOKUP($D639,NatureChart,2,0)</f>
        <v>1.1</v>
      </c>
      <c r="X639" s="7">
        <f>VLOOKUP($D639,NatureChart,3,0)</f>
        <v>1</v>
      </c>
      <c r="Y639" s="7">
        <f>VLOOKUP($D639,NatureChart,4,0)</f>
        <v>1</v>
      </c>
      <c r="Z639" s="7">
        <f>VLOOKUP($D639,NatureChart,5,0)</f>
        <v>1</v>
      </c>
      <c r="AA639" s="84">
        <f>VLOOKUP($D639,NatureChart,6,0)</f>
        <v>0.9</v>
      </c>
      <c r="AB639" s="84">
        <f>IF($C639="Shedinja",1,(INT((2*VLOOKUP($C639,DexData,5,0)+INT(Q639/4)+K639)/2)+60))</f>
        <v>182</v>
      </c>
      <c r="AC639" s="84">
        <f>INT(INT((INT((2*VLOOKUP($C639,DexData,6,0)+INT(R639/4)+L639)/2)+5)*W639)*IF($E639="Choice Band",1.5,IF(OR($E639="Mawilite",$E639="Medichamite",$E639="Thick Club"),2,1)))</f>
        <v>194</v>
      </c>
      <c r="AD639" s="84">
        <f>INT(INT((INT((2*VLOOKUP($C639,DexData,7,0)+INT(S639/4)+M639)/2)+5)*X639)*IF($E639="Eviolite",1.5,1))</f>
        <v>121</v>
      </c>
      <c r="AE639" s="84">
        <f>INT(INT((INT((2*VLOOKUP($C639,DexData,9,0)+INT(T639/4)+N639)/2)+5)*Y639)*IF($E639="Choice Specs",1.5,1))</f>
        <v>90</v>
      </c>
      <c r="AF639" s="84">
        <f>INT(INT((INT((2*VLOOKUP($C639,DexData,10,0)+INT(U639/4)+O639)/2)+5)*Z639)*IF(OR($E639="Eviolite",$E639="Assault Vest"),1.5,1))</f>
        <v>100</v>
      </c>
      <c r="AG639" s="84">
        <f>INT(INT((INT((2*VLOOKUP($C639,DexData,11,0)+INT(V639/4)+P639)/2)+5)*AA639)*IF($E639="Choice Scarf",1.5,IF($E639="Iron Ball",0.5,1)))</f>
        <v>58</v>
      </c>
      <c r="AH639" s="84" t="str">
        <f>VLOOKUP(VLOOKUP($C639,DexData,3,0),Aliases!D$2:E$19,2,0)&amp;IFERROR("/"&amp;VLOOKUP(VLOOKUP($C639,DexData,4,0),Aliases!D$2:E$19,2,0),"")</f>
        <v>RCK/BUG</v>
      </c>
      <c r="AI639" s="7">
        <v>3.0</v>
      </c>
      <c r="AJ639" s="7">
        <f>IF(VLOOKUP(B639,'Set Odds'!A$2:AN$1067,40,0),1,IF(VLOOKUP(B639,'Set Odds'!A$2:AO$1067,41,0),2,0))</f>
        <v>1</v>
      </c>
      <c r="AK639" s="7"/>
      <c r="AL639" s="7" t="str">
        <f t="shared" si="1"/>
        <v/>
      </c>
    </row>
    <row r="640" ht="12.75" customHeight="1">
      <c r="A640" s="86">
        <v>639.0</v>
      </c>
      <c r="B640" s="84" t="s">
        <v>4191</v>
      </c>
      <c r="C640" s="7" t="s">
        <v>3753</v>
      </c>
      <c r="D640" s="7" t="s">
        <v>2571</v>
      </c>
      <c r="E640" s="7" t="s">
        <v>2889</v>
      </c>
      <c r="F640" s="84" t="s">
        <v>3626</v>
      </c>
      <c r="G640" s="84" t="s">
        <v>2746</v>
      </c>
      <c r="H640" s="84" t="s">
        <v>3754</v>
      </c>
      <c r="I640" s="84" t="s">
        <v>3441</v>
      </c>
      <c r="J640" s="7" t="s">
        <v>2728</v>
      </c>
      <c r="K640" s="7">
        <v>31.0</v>
      </c>
      <c r="L640" s="7">
        <v>31.0</v>
      </c>
      <c r="M640" s="7">
        <v>31.0</v>
      </c>
      <c r="N640" s="7">
        <v>31.0</v>
      </c>
      <c r="O640" s="7">
        <v>31.0</v>
      </c>
      <c r="P640" s="7">
        <v>31.0</v>
      </c>
      <c r="Q640" s="7">
        <v>4.0</v>
      </c>
      <c r="R640" s="7">
        <v>252.0</v>
      </c>
      <c r="S640" s="7">
        <v>0.0</v>
      </c>
      <c r="T640" s="7">
        <v>0.0</v>
      </c>
      <c r="U640" s="7">
        <v>0.0</v>
      </c>
      <c r="V640" s="7">
        <v>252.0</v>
      </c>
      <c r="W640" s="7">
        <f>VLOOKUP($D640,NatureChart,2,0)</f>
        <v>1.1</v>
      </c>
      <c r="X640" s="7">
        <f>VLOOKUP($D640,NatureChart,3,0)</f>
        <v>1</v>
      </c>
      <c r="Y640" s="7">
        <f>VLOOKUP($D640,NatureChart,4,0)</f>
        <v>0.9</v>
      </c>
      <c r="Z640" s="7">
        <f>VLOOKUP($D640,NatureChart,5,0)</f>
        <v>1</v>
      </c>
      <c r="AA640" s="84">
        <f>VLOOKUP($D640,NatureChart,6,0)</f>
        <v>1</v>
      </c>
      <c r="AB640" s="84">
        <f>IF($C640="Shedinja",1,(INT((2*VLOOKUP($C640,DexData,5,0)+INT(Q640/4)+K640)/2)+60))</f>
        <v>136</v>
      </c>
      <c r="AC640" s="84">
        <f>INT(INT((INT((2*VLOOKUP($C640,DexData,6,0)+INT(R640/4)+L640)/2)+5)*W640)*IF($E640="Choice Band",1.5,IF(OR($E640="Mawilite",$E640="Medichamite",$E640="Thick Club"),2,1)))</f>
        <v>114</v>
      </c>
      <c r="AD640" s="84">
        <f>INT(INT((INT((2*VLOOKUP($C640,DexData,7,0)+INT(S640/4)+M640)/2)+5)*X640)*IF($E640="Eviolite",1.5,1))</f>
        <v>188</v>
      </c>
      <c r="AE640" s="84">
        <f>INT(INT((INT((2*VLOOKUP($C640,DexData,9,0)+INT(T640/4)+N640)/2)+5)*Y640)*IF($E640="Choice Specs",1.5,1))</f>
        <v>60</v>
      </c>
      <c r="AF640" s="84">
        <f>INT(INT((INT((2*VLOOKUP($C640,DexData,10,0)+INT(U640/4)+O640)/2)+5)*Z640)*IF(OR($E640="Eviolite",$E640="Assault Vest"),1.5,1))</f>
        <v>158</v>
      </c>
      <c r="AG640" s="84">
        <f>INT(INT((INT((2*VLOOKUP($C640,DexData,11,0)+INT(V640/4)+P640)/2)+5)*AA640)*IF($E640="Choice Scarf",1.5,IF($E640="Iron Ball",0.5,1)))</f>
        <v>82</v>
      </c>
      <c r="AH640" s="84" t="str">
        <f>VLOOKUP(VLOOKUP($C640,DexData,3,0),Aliases!D$2:E$19,2,0)&amp;IFERROR("/"&amp;VLOOKUP(VLOOKUP($C640,DexData,4,0),Aliases!D$2:E$19,2,0),"")</f>
        <v>RCK/STL</v>
      </c>
      <c r="AI640" s="7">
        <v>3.0</v>
      </c>
      <c r="AJ640" s="7">
        <f>IF(VLOOKUP(B640,'Set Odds'!A$2:AN$1067,40,0),1,IF(VLOOKUP(B640,'Set Odds'!A$2:AO$1067,41,0),2,0))</f>
        <v>1</v>
      </c>
      <c r="AK640" s="7"/>
      <c r="AL640" s="7" t="str">
        <f t="shared" si="1"/>
        <v/>
      </c>
    </row>
    <row r="641" ht="12.75" customHeight="1">
      <c r="A641" s="86">
        <v>640.0</v>
      </c>
      <c r="B641" s="84" t="s">
        <v>4192</v>
      </c>
      <c r="C641" s="7" t="s">
        <v>3756</v>
      </c>
      <c r="D641" s="7" t="s">
        <v>2692</v>
      </c>
      <c r="E641" s="7" t="s">
        <v>2524</v>
      </c>
      <c r="F641" s="84" t="s">
        <v>2869</v>
      </c>
      <c r="G641" s="84" t="s">
        <v>3603</v>
      </c>
      <c r="H641" s="84" t="s">
        <v>3015</v>
      </c>
      <c r="I641" s="84" t="s">
        <v>2987</v>
      </c>
      <c r="J641" s="7" t="s">
        <v>3028</v>
      </c>
      <c r="K641" s="7">
        <v>31.0</v>
      </c>
      <c r="L641" s="7">
        <v>31.0</v>
      </c>
      <c r="M641" s="7">
        <v>31.0</v>
      </c>
      <c r="N641" s="7">
        <v>31.0</v>
      </c>
      <c r="O641" s="7">
        <v>31.0</v>
      </c>
      <c r="P641" s="7">
        <v>31.0</v>
      </c>
      <c r="Q641" s="7">
        <v>4.0</v>
      </c>
      <c r="R641" s="7">
        <v>252.0</v>
      </c>
      <c r="S641" s="7">
        <v>0.0</v>
      </c>
      <c r="T641" s="7">
        <v>0.0</v>
      </c>
      <c r="U641" s="7">
        <v>0.0</v>
      </c>
      <c r="V641" s="7">
        <v>252.0</v>
      </c>
      <c r="W641" s="7">
        <f>VLOOKUP($D641,NatureChart,2,0)</f>
        <v>1</v>
      </c>
      <c r="X641" s="7">
        <f>VLOOKUP($D641,NatureChart,3,0)</f>
        <v>1</v>
      </c>
      <c r="Y641" s="7">
        <f>VLOOKUP($D641,NatureChart,4,0)</f>
        <v>0.9</v>
      </c>
      <c r="Z641" s="7">
        <f>VLOOKUP($D641,NatureChart,5,0)</f>
        <v>1</v>
      </c>
      <c r="AA641" s="84">
        <f>VLOOKUP($D641,NatureChart,6,0)</f>
        <v>1.1</v>
      </c>
      <c r="AB641" s="84">
        <f>IF($C641="Shedinja",1,(INT((2*VLOOKUP($C641,DexData,5,0)+INT(Q641/4)+K641)/2)+60))</f>
        <v>161</v>
      </c>
      <c r="AC641" s="84">
        <f>INT(INT((INT((2*VLOOKUP($C641,DexData,6,0)+INT(R641/4)+L641)/2)+5)*W641)*IF($E641="Choice Band",1.5,IF(OR($E641="Mawilite",$E641="Medichamite",$E641="Thick Club"),2,1)))</f>
        <v>157</v>
      </c>
      <c r="AD641" s="84">
        <f>INT(INT((INT((2*VLOOKUP($C641,DexData,7,0)+INT(S641/4)+M641)/2)+5)*X641)*IF($E641="Eviolite",1.5,1))</f>
        <v>75</v>
      </c>
      <c r="AE641" s="84">
        <f>INT(INT((INT((2*VLOOKUP($C641,DexData,9,0)+INT(T641/4)+N641)/2)+5)*Y641)*IF($E641="Choice Specs",1.5,1))</f>
        <v>94</v>
      </c>
      <c r="AF641" s="84">
        <f>INT(INT((INT((2*VLOOKUP($C641,DexData,10,0)+INT(U641/4)+O641)/2)+5)*Z641)*IF(OR($E641="Eviolite",$E641="Assault Vest"),1.5,1))</f>
        <v>70</v>
      </c>
      <c r="AG641" s="84">
        <f>INT(INT((INT((2*VLOOKUP($C641,DexData,11,0)+INT(V641/4)+P641)/2)+5)*AA641)*IF($E641="Choice Scarf",1.5,IF($E641="Iron Ball",0.5,1)))</f>
        <v>183</v>
      </c>
      <c r="AH641" s="84" t="str">
        <f>VLOOKUP(VLOOKUP($C641,DexData,3,0),Aliases!D$2:E$19,2,0)&amp;IFERROR("/"&amp;VLOOKUP(VLOOKUP($C641,DexData,4,0),Aliases!D$2:E$19,2,0),"")</f>
        <v>WTR</v>
      </c>
      <c r="AI641" s="7">
        <v>3.0</v>
      </c>
      <c r="AJ641" s="7">
        <f>IF(VLOOKUP(B641,'Set Odds'!A$2:AN$1067,40,0),1,IF(VLOOKUP(B641,'Set Odds'!A$2:AO$1067,41,0),2,0))</f>
        <v>1</v>
      </c>
      <c r="AK641" s="7"/>
      <c r="AL641" s="7" t="str">
        <f t="shared" si="1"/>
        <v/>
      </c>
    </row>
    <row r="642" ht="12.75" customHeight="1">
      <c r="A642" s="86">
        <v>641.0</v>
      </c>
      <c r="B642" s="84" t="s">
        <v>4193</v>
      </c>
      <c r="C642" s="7" t="s">
        <v>3758</v>
      </c>
      <c r="D642" s="7" t="s">
        <v>2811</v>
      </c>
      <c r="E642" s="7" t="s">
        <v>2738</v>
      </c>
      <c r="F642" s="84" t="s">
        <v>2661</v>
      </c>
      <c r="G642" s="84" t="s">
        <v>3057</v>
      </c>
      <c r="H642" s="84" t="s">
        <v>3730</v>
      </c>
      <c r="I642" s="84" t="s">
        <v>2659</v>
      </c>
      <c r="J642" s="7" t="s">
        <v>2714</v>
      </c>
      <c r="K642" s="7">
        <v>31.0</v>
      </c>
      <c r="L642" s="7">
        <v>31.0</v>
      </c>
      <c r="M642" s="7">
        <v>31.0</v>
      </c>
      <c r="N642" s="7">
        <v>31.0</v>
      </c>
      <c r="O642" s="7">
        <v>31.0</v>
      </c>
      <c r="P642" s="7">
        <v>31.0</v>
      </c>
      <c r="Q642" s="7">
        <v>252.0</v>
      </c>
      <c r="R642" s="7">
        <v>0.0</v>
      </c>
      <c r="S642" s="7">
        <v>252.0</v>
      </c>
      <c r="T642" s="7">
        <v>4.0</v>
      </c>
      <c r="U642" s="7">
        <v>0.0</v>
      </c>
      <c r="V642" s="7">
        <v>0.0</v>
      </c>
      <c r="W642" s="7">
        <f>VLOOKUP($D642,NatureChart,2,0)</f>
        <v>1</v>
      </c>
      <c r="X642" s="7">
        <f>VLOOKUP($D642,NatureChart,3,0)</f>
        <v>1.1</v>
      </c>
      <c r="Y642" s="7">
        <f>VLOOKUP($D642,NatureChart,4,0)</f>
        <v>1</v>
      </c>
      <c r="Z642" s="7">
        <f>VLOOKUP($D642,NatureChart,5,0)</f>
        <v>1</v>
      </c>
      <c r="AA642" s="84">
        <f>VLOOKUP($D642,NatureChart,6,0)</f>
        <v>0.9</v>
      </c>
      <c r="AB642" s="84">
        <f>IF($C642="Shedinja",1,(INT((2*VLOOKUP($C642,DexData,5,0)+INT(Q642/4)+K642)/2)+60))</f>
        <v>167</v>
      </c>
      <c r="AC642" s="84">
        <f>INT(INT((INT((2*VLOOKUP($C642,DexData,6,0)+INT(R642/4)+L642)/2)+5)*W642)*IF($E642="Choice Band",1.5,IF(OR($E642="Mawilite",$E642="Medichamite",$E642="Thick Club"),2,1)))</f>
        <v>80</v>
      </c>
      <c r="AD642" s="84">
        <f>INT(INT((INT((2*VLOOKUP($C642,DexData,7,0)+INT(S642/4)+M642)/2)+5)*X642)*IF($E642="Eviolite",1.5,1))</f>
        <v>123</v>
      </c>
      <c r="AE642" s="84">
        <f>INT(INT((INT((2*VLOOKUP($C642,DexData,9,0)+INT(T642/4)+N642)/2)+5)*Y642)*IF($E642="Choice Specs",1.5,1))</f>
        <v>126</v>
      </c>
      <c r="AF642" s="84">
        <f>INT(INT((INT((2*VLOOKUP($C642,DexData,10,0)+INT(U642/4)+O642)/2)+5)*Z642)*IF(OR($E642="Eviolite",$E642="Assault Vest"),1.5,1))</f>
        <v>125</v>
      </c>
      <c r="AG642" s="84">
        <f>INT(INT((INT((2*VLOOKUP($C642,DexData,11,0)+INT(V642/4)+P642)/2)+5)*AA642)*IF($E642="Choice Scarf",1.5,IF($E642="Iron Ball",0.5,1)))</f>
        <v>112</v>
      </c>
      <c r="AH642" s="84" t="str">
        <f>VLOOKUP(VLOOKUP($C642,DexData,3,0),Aliases!D$2:E$19,2,0)&amp;IFERROR("/"&amp;VLOOKUP(VLOOKUP($C642,DexData,4,0),Aliases!D$2:E$19,2,0),"")</f>
        <v>GHO</v>
      </c>
      <c r="AI642" s="7">
        <v>3.0</v>
      </c>
      <c r="AJ642" s="7">
        <f>IF(VLOOKUP(B642,'Set Odds'!A$2:AN$1067,40,0),1,IF(VLOOKUP(B642,'Set Odds'!A$2:AO$1067,41,0),2,0))</f>
        <v>1</v>
      </c>
      <c r="AK642" s="7"/>
      <c r="AL642" s="7" t="str">
        <f t="shared" si="1"/>
        <v/>
      </c>
    </row>
    <row r="643" ht="12.75" customHeight="1">
      <c r="A643" s="86">
        <v>642.0</v>
      </c>
      <c r="B643" s="84" t="s">
        <v>4194</v>
      </c>
      <c r="C643" s="7" t="s">
        <v>3761</v>
      </c>
      <c r="D643" s="7" t="s">
        <v>2656</v>
      </c>
      <c r="E643" s="7" t="s">
        <v>3715</v>
      </c>
      <c r="F643" s="84" t="s">
        <v>2797</v>
      </c>
      <c r="G643" s="84" t="s">
        <v>2847</v>
      </c>
      <c r="H643" s="84" t="s">
        <v>3762</v>
      </c>
      <c r="I643" s="84" t="s">
        <v>2661</v>
      </c>
      <c r="J643" s="7" t="s">
        <v>2995</v>
      </c>
      <c r="K643" s="7">
        <v>31.0</v>
      </c>
      <c r="L643" s="7">
        <v>31.0</v>
      </c>
      <c r="M643" s="7">
        <v>31.0</v>
      </c>
      <c r="N643" s="7">
        <v>31.0</v>
      </c>
      <c r="O643" s="7">
        <v>31.0</v>
      </c>
      <c r="P643" s="7">
        <v>31.0</v>
      </c>
      <c r="Q643" s="7">
        <v>252.0</v>
      </c>
      <c r="R643" s="7">
        <v>0.0</v>
      </c>
      <c r="S643" s="7">
        <v>0.0</v>
      </c>
      <c r="T643" s="7">
        <v>252.0</v>
      </c>
      <c r="U643" s="7">
        <v>0.0</v>
      </c>
      <c r="V643" s="7">
        <v>4.0</v>
      </c>
      <c r="W643" s="7">
        <f>VLOOKUP($D643,NatureChart,2,0)</f>
        <v>0.9</v>
      </c>
      <c r="X643" s="7">
        <f>VLOOKUP($D643,NatureChart,3,0)</f>
        <v>1</v>
      </c>
      <c r="Y643" s="7">
        <f>VLOOKUP($D643,NatureChart,4,0)</f>
        <v>1.1</v>
      </c>
      <c r="Z643" s="7">
        <f>VLOOKUP($D643,NatureChart,5,0)</f>
        <v>1</v>
      </c>
      <c r="AA643" s="84">
        <f>VLOOKUP($D643,NatureChart,6,0)</f>
        <v>1</v>
      </c>
      <c r="AB643" s="84">
        <f>IF($C643="Shedinja",1,(INT((2*VLOOKUP($C643,DexData,5,0)+INT(Q643/4)+K643)/2)+60))</f>
        <v>257</v>
      </c>
      <c r="AC643" s="84">
        <f>INT(INT((INT((2*VLOOKUP($C643,DexData,6,0)+INT(R643/4)+L643)/2)+5)*W643)*IF($E643="Choice Band",1.5,IF(OR($E643="Mawilite",$E643="Medichamite",$E643="Thick Club"),2,1)))</f>
        <v>90</v>
      </c>
      <c r="AD643" s="84">
        <f>INT(INT((INT((2*VLOOKUP($C643,DexData,7,0)+INT(S643/4)+M643)/2)+5)*X643)*IF($E643="Eviolite",1.5,1))</f>
        <v>64</v>
      </c>
      <c r="AE643" s="84">
        <f>INT(INT((INT((2*VLOOKUP($C643,DexData,9,0)+INT(T643/4)+N643)/2)+5)*Y643)*IF($E643="Choice Specs",1.5,1))</f>
        <v>156</v>
      </c>
      <c r="AF643" s="84">
        <f>INT(INT((INT((2*VLOOKUP($C643,DexData,10,0)+INT(U643/4)+O643)/2)+5)*Z643)*IF(OR($E643="Eviolite",$E643="Assault Vest"),1.5,1))</f>
        <v>74</v>
      </c>
      <c r="AG643" s="84">
        <f>INT(INT((INT((2*VLOOKUP($C643,DexData,11,0)+INT(V643/4)+P643)/2)+5)*AA643)*IF($E643="Choice Scarf",1.5,IF($E643="Iron Ball",0.5,1)))</f>
        <v>101</v>
      </c>
      <c r="AH643" s="84" t="str">
        <f>VLOOKUP(VLOOKUP($C643,DexData,3,0),Aliases!D$2:E$19,2,0)&amp;IFERROR("/"&amp;VLOOKUP(VLOOKUP($C643,DexData,4,0),Aliases!D$2:E$19,2,0),"")</f>
        <v>GHO/FLY</v>
      </c>
      <c r="AI643" s="7">
        <v>3.0</v>
      </c>
      <c r="AJ643" s="7">
        <f>IF(VLOOKUP(B643,'Set Odds'!A$2:AN$1067,40,0),1,IF(VLOOKUP(B643,'Set Odds'!A$2:AO$1067,41,0),2,0))</f>
        <v>1</v>
      </c>
      <c r="AK643" s="7"/>
      <c r="AL643" s="7" t="str">
        <f t="shared" si="1"/>
        <v/>
      </c>
    </row>
    <row r="644" ht="12.75" customHeight="1">
      <c r="A644" s="86">
        <v>643.0</v>
      </c>
      <c r="B644" s="84" t="s">
        <v>4195</v>
      </c>
      <c r="C644" s="7" t="s">
        <v>3765</v>
      </c>
      <c r="D644" s="7" t="s">
        <v>2571</v>
      </c>
      <c r="E644" s="7" t="s">
        <v>2889</v>
      </c>
      <c r="F644" s="84" t="s">
        <v>2534</v>
      </c>
      <c r="G644" s="84" t="s">
        <v>3464</v>
      </c>
      <c r="H644" s="84" t="s">
        <v>2869</v>
      </c>
      <c r="I644" s="84" t="s">
        <v>3478</v>
      </c>
      <c r="J644" s="7" t="s">
        <v>2849</v>
      </c>
      <c r="K644" s="7">
        <v>31.0</v>
      </c>
      <c r="L644" s="7">
        <v>31.0</v>
      </c>
      <c r="M644" s="7">
        <v>31.0</v>
      </c>
      <c r="N644" s="7">
        <v>31.0</v>
      </c>
      <c r="O644" s="7">
        <v>31.0</v>
      </c>
      <c r="P644" s="7">
        <v>31.0</v>
      </c>
      <c r="Q644" s="7">
        <v>4.0</v>
      </c>
      <c r="R644" s="7">
        <v>252.0</v>
      </c>
      <c r="S644" s="7">
        <v>0.0</v>
      </c>
      <c r="T644" s="7">
        <v>0.0</v>
      </c>
      <c r="U644" s="7">
        <v>0.0</v>
      </c>
      <c r="V644" s="7">
        <v>252.0</v>
      </c>
      <c r="W644" s="7">
        <f>VLOOKUP($D644,NatureChart,2,0)</f>
        <v>1.1</v>
      </c>
      <c r="X644" s="7">
        <f>VLOOKUP($D644,NatureChart,3,0)</f>
        <v>1</v>
      </c>
      <c r="Y644" s="7">
        <f>VLOOKUP($D644,NatureChart,4,0)</f>
        <v>0.9</v>
      </c>
      <c r="Z644" s="7">
        <f>VLOOKUP($D644,NatureChart,5,0)</f>
        <v>1</v>
      </c>
      <c r="AA644" s="84">
        <f>VLOOKUP($D644,NatureChart,6,0)</f>
        <v>1</v>
      </c>
      <c r="AB644" s="84">
        <f>IF($C644="Shedinja",1,(INT((2*VLOOKUP($C644,DexData,5,0)+INT(Q644/4)+K644)/2)+60))</f>
        <v>156</v>
      </c>
      <c r="AC644" s="84">
        <f>INT(INT((INT((2*VLOOKUP($C644,DexData,6,0)+INT(R644/4)+L644)/2)+5)*W644)*IF($E644="Choice Band",1.5,IF(OR($E644="Mawilite",$E644="Medichamite",$E644="Thick Club"),2,1)))</f>
        <v>147</v>
      </c>
      <c r="AD644" s="84">
        <f>INT(INT((INT((2*VLOOKUP($C644,DexData,7,0)+INT(S644/4)+M644)/2)+5)*X644)*IF($E644="Eviolite",1.5,1))</f>
        <v>98</v>
      </c>
      <c r="AE644" s="84">
        <f>INT(INT((INT((2*VLOOKUP($C644,DexData,9,0)+INT(T644/4)+N644)/2)+5)*Y644)*IF($E644="Choice Specs",1.5,1))</f>
        <v>103</v>
      </c>
      <c r="AF644" s="84">
        <f>INT(INT((INT((2*VLOOKUP($C644,DexData,10,0)+INT(U644/4)+O644)/2)+5)*Z644)*IF(OR($E644="Eviolite",$E644="Assault Vest"),1.5,1))</f>
        <v>100</v>
      </c>
      <c r="AG644" s="84">
        <f>INT(INT((INT((2*VLOOKUP($C644,DexData,11,0)+INT(V644/4)+P644)/2)+5)*AA644)*IF($E644="Choice Scarf",1.5,IF($E644="Iron Ball",0.5,1)))</f>
        <v>137</v>
      </c>
      <c r="AH644" s="84" t="str">
        <f>VLOOKUP(VLOOKUP($C644,DexData,3,0),Aliases!D$2:E$19,2,0)&amp;IFERROR("/"&amp;VLOOKUP(VLOOKUP($C644,DexData,4,0),Aliases!D$2:E$19,2,0),"")</f>
        <v>WTR</v>
      </c>
      <c r="AI644" s="7">
        <v>3.0</v>
      </c>
      <c r="AJ644" s="7">
        <f>IF(VLOOKUP(B644,'Set Odds'!A$2:AN$1067,40,0),1,IF(VLOOKUP(B644,'Set Odds'!A$2:AO$1067,41,0),2,0))</f>
        <v>1</v>
      </c>
      <c r="AK644" s="7"/>
      <c r="AL644" s="7" t="str">
        <f t="shared" si="1"/>
        <v/>
      </c>
    </row>
    <row r="645" ht="12.75" customHeight="1">
      <c r="A645" s="86">
        <v>644.0</v>
      </c>
      <c r="B645" s="84" t="s">
        <v>4196</v>
      </c>
      <c r="C645" s="7" t="s">
        <v>3767</v>
      </c>
      <c r="D645" s="7" t="s">
        <v>2692</v>
      </c>
      <c r="E645" s="7" t="s">
        <v>2519</v>
      </c>
      <c r="F645" s="84" t="s">
        <v>3594</v>
      </c>
      <c r="G645" s="84" t="s">
        <v>2758</v>
      </c>
      <c r="H645" s="84" t="s">
        <v>3636</v>
      </c>
      <c r="I645" s="84" t="s">
        <v>3454</v>
      </c>
      <c r="J645" s="7" t="s">
        <v>3059</v>
      </c>
      <c r="K645" s="7">
        <v>31.0</v>
      </c>
      <c r="L645" s="7">
        <v>31.0</v>
      </c>
      <c r="M645" s="7">
        <v>31.0</v>
      </c>
      <c r="N645" s="7">
        <v>31.0</v>
      </c>
      <c r="O645" s="7">
        <v>31.0</v>
      </c>
      <c r="P645" s="7">
        <v>31.0</v>
      </c>
      <c r="Q645" s="7">
        <v>4.0</v>
      </c>
      <c r="R645" s="7">
        <v>252.0</v>
      </c>
      <c r="S645" s="7">
        <v>0.0</v>
      </c>
      <c r="T645" s="7">
        <v>0.0</v>
      </c>
      <c r="U645" s="7">
        <v>0.0</v>
      </c>
      <c r="V645" s="7">
        <v>252.0</v>
      </c>
      <c r="W645" s="7">
        <f>VLOOKUP($D645,NatureChart,2,0)</f>
        <v>1</v>
      </c>
      <c r="X645" s="7">
        <f>VLOOKUP($D645,NatureChart,3,0)</f>
        <v>1</v>
      </c>
      <c r="Y645" s="7">
        <f>VLOOKUP($D645,NatureChart,4,0)</f>
        <v>0.9</v>
      </c>
      <c r="Z645" s="7">
        <f>VLOOKUP($D645,NatureChart,5,0)</f>
        <v>1</v>
      </c>
      <c r="AA645" s="84">
        <f>VLOOKUP($D645,NatureChart,6,0)</f>
        <v>1.1</v>
      </c>
      <c r="AB645" s="84">
        <f>IF($C645="Shedinja",1,(INT((2*VLOOKUP($C645,DexData,5,0)+INT(Q645/4)+K645)/2)+60))</f>
        <v>166</v>
      </c>
      <c r="AC645" s="84">
        <f>INT(INT((INT((2*VLOOKUP($C645,DexData,6,0)+INT(R645/4)+L645)/2)+5)*W645)*IF($E645="Choice Band",1.5,IF(OR($E645="Mawilite",$E645="Medichamite",$E645="Thick Club"),2,1)))</f>
        <v>147</v>
      </c>
      <c r="AD645" s="84">
        <f>INT(INT((INT((2*VLOOKUP($C645,DexData,7,0)+INT(S645/4)+M645)/2)+5)*X645)*IF($E645="Eviolite",1.5,1))</f>
        <v>115</v>
      </c>
      <c r="AE645" s="84">
        <f>INT(INT((INT((2*VLOOKUP($C645,DexData,9,0)+INT(T645/4)+N645)/2)+5)*Y645)*IF($E645="Choice Specs",1.5,1))</f>
        <v>81</v>
      </c>
      <c r="AF645" s="84">
        <f>INT(INT((INT((2*VLOOKUP($C645,DexData,10,0)+INT(U645/4)+O645)/2)+5)*Z645)*IF(OR($E645="Eviolite",$E645="Assault Vest"),1.5,1))</f>
        <v>110</v>
      </c>
      <c r="AG645" s="84">
        <f>INT(INT((INT((2*VLOOKUP($C645,DexData,11,0)+INT(V645/4)+P645)/2)+5)*AA645)*IF($E645="Choice Scarf",1.5,IF($E645="Iron Ball",0.5,1)))</f>
        <v>134</v>
      </c>
      <c r="AH645" s="84" t="str">
        <f>VLOOKUP(VLOOKUP($C645,DexData,3,0),Aliases!D$2:E$19,2,0)&amp;IFERROR("/"&amp;VLOOKUP(VLOOKUP($C645,DexData,4,0),Aliases!D$2:E$19,2,0),"")</f>
        <v>WTR/FTG</v>
      </c>
      <c r="AI645" s="7">
        <v>3.0</v>
      </c>
      <c r="AJ645" s="7">
        <f>IF(VLOOKUP(B645,'Set Odds'!A$2:AN$1067,40,0),1,IF(VLOOKUP(B645,'Set Odds'!A$2:AO$1067,41,0),2,0))</f>
        <v>1</v>
      </c>
      <c r="AK645" s="7"/>
      <c r="AL645" s="7" t="str">
        <f t="shared" si="1"/>
        <v/>
      </c>
    </row>
    <row r="646" ht="12.75" customHeight="1">
      <c r="A646" s="86">
        <v>645.0</v>
      </c>
      <c r="B646" s="84" t="s">
        <v>4197</v>
      </c>
      <c r="C646" s="7" t="s">
        <v>3770</v>
      </c>
      <c r="D646" s="7" t="s">
        <v>2571</v>
      </c>
      <c r="E646" s="7" t="s">
        <v>2520</v>
      </c>
      <c r="F646" s="84" t="s">
        <v>3608</v>
      </c>
      <c r="G646" s="84" t="s">
        <v>3787</v>
      </c>
      <c r="H646" s="84" t="s">
        <v>2518</v>
      </c>
      <c r="I646" s="84" t="s">
        <v>2807</v>
      </c>
      <c r="J646" s="7" t="s">
        <v>3016</v>
      </c>
      <c r="K646" s="7">
        <v>31.0</v>
      </c>
      <c r="L646" s="7">
        <v>31.0</v>
      </c>
      <c r="M646" s="7">
        <v>31.0</v>
      </c>
      <c r="N646" s="7">
        <v>31.0</v>
      </c>
      <c r="O646" s="7">
        <v>31.0</v>
      </c>
      <c r="P646" s="7">
        <v>31.0</v>
      </c>
      <c r="Q646" s="7">
        <v>4.0</v>
      </c>
      <c r="R646" s="7">
        <v>252.0</v>
      </c>
      <c r="S646" s="7">
        <v>0.0</v>
      </c>
      <c r="T646" s="7">
        <v>0.0</v>
      </c>
      <c r="U646" s="7">
        <v>0.0</v>
      </c>
      <c r="V646" s="7">
        <v>252.0</v>
      </c>
      <c r="W646" s="7">
        <f>VLOOKUP($D646,NatureChart,2,0)</f>
        <v>1.1</v>
      </c>
      <c r="X646" s="7">
        <f>VLOOKUP($D646,NatureChart,3,0)</f>
        <v>1</v>
      </c>
      <c r="Y646" s="7">
        <f>VLOOKUP($D646,NatureChart,4,0)</f>
        <v>0.9</v>
      </c>
      <c r="Z646" s="7">
        <f>VLOOKUP($D646,NatureChart,5,0)</f>
        <v>1</v>
      </c>
      <c r="AA646" s="84">
        <f>VLOOKUP($D646,NatureChart,6,0)</f>
        <v>1</v>
      </c>
      <c r="AB646" s="84">
        <f>IF($C646="Shedinja",1,(INT((2*VLOOKUP($C646,DexData,5,0)+INT(Q646/4)+K646)/2)+60))</f>
        <v>141</v>
      </c>
      <c r="AC646" s="84">
        <f>INT(INT((INT((2*VLOOKUP($C646,DexData,6,0)+INT(R646/4)+L646)/2)+5)*W646)*IF($E646="Choice Band",1.5,IF(OR($E646="Mawilite",$E646="Medichamite",$E646="Thick Club"),2,1)))</f>
        <v>167</v>
      </c>
      <c r="AD646" s="84">
        <f>INT(INT((INT((2*VLOOKUP($C646,DexData,7,0)+INT(S646/4)+M646)/2)+5)*X646)*IF($E646="Eviolite",1.5,1))</f>
        <v>90</v>
      </c>
      <c r="AE646" s="84">
        <f>INT(INT((INT((2*VLOOKUP($C646,DexData,9,0)+INT(T646/4)+N646)/2)+5)*Y646)*IF($E646="Choice Specs",1.5,1))</f>
        <v>90</v>
      </c>
      <c r="AF646" s="84">
        <f>INT(INT((INT((2*VLOOKUP($C646,DexData,10,0)+INT(U646/4)+O646)/2)+5)*Z646)*IF(OR($E646="Eviolite",$E646="Assault Vest"),1.5,1))</f>
        <v>100</v>
      </c>
      <c r="AG646" s="84">
        <f>INT(INT((INT((2*VLOOKUP($C646,DexData,11,0)+INT(V646/4)+P646)/2)+5)*AA646)*IF($E646="Choice Scarf",1.5,IF($E646="Iron Ball",0.5,1)))</f>
        <v>157</v>
      </c>
      <c r="AH646" s="84" t="str">
        <f>VLOOKUP(VLOOKUP($C646,DexData,3,0),Aliases!D$2:E$19,2,0)&amp;IFERROR("/"&amp;VLOOKUP(VLOOKUP($C646,DexData,4,0),Aliases!D$2:E$19,2,0),"")</f>
        <v>FIR</v>
      </c>
      <c r="AI646" s="7">
        <v>3.0</v>
      </c>
      <c r="AJ646" s="7">
        <f>IF(VLOOKUP(B646,'Set Odds'!A$2:AN$1067,40,0),1,IF(VLOOKUP(B646,'Set Odds'!A$2:AO$1067,41,0),2,0))</f>
        <v>1</v>
      </c>
      <c r="AK646" s="7"/>
      <c r="AL646" s="7" t="str">
        <f t="shared" si="1"/>
        <v/>
      </c>
    </row>
    <row r="647" ht="12.75" customHeight="1">
      <c r="A647" s="86">
        <v>646.0</v>
      </c>
      <c r="B647" s="84" t="s">
        <v>4198</v>
      </c>
      <c r="C647" s="7" t="s">
        <v>3772</v>
      </c>
      <c r="D647" s="7" t="s">
        <v>2571</v>
      </c>
      <c r="E647" s="7" t="s">
        <v>2516</v>
      </c>
      <c r="F647" s="84" t="s">
        <v>4038</v>
      </c>
      <c r="G647" s="84" t="s">
        <v>3777</v>
      </c>
      <c r="H647" s="84" t="s">
        <v>2539</v>
      </c>
      <c r="I647" s="84" t="s">
        <v>3256</v>
      </c>
      <c r="J647" s="7" t="s">
        <v>2808</v>
      </c>
      <c r="K647" s="7">
        <v>31.0</v>
      </c>
      <c r="L647" s="7">
        <v>31.0</v>
      </c>
      <c r="M647" s="7">
        <v>31.0</v>
      </c>
      <c r="N647" s="7">
        <v>31.0</v>
      </c>
      <c r="O647" s="7">
        <v>31.0</v>
      </c>
      <c r="P647" s="7">
        <v>31.0</v>
      </c>
      <c r="Q647" s="7">
        <v>252.0</v>
      </c>
      <c r="R647" s="7">
        <v>252.0</v>
      </c>
      <c r="S647" s="7">
        <v>0.0</v>
      </c>
      <c r="T647" s="7">
        <v>0.0</v>
      </c>
      <c r="U647" s="7">
        <v>0.0</v>
      </c>
      <c r="V647" s="7">
        <v>4.0</v>
      </c>
      <c r="W647" s="7">
        <f>VLOOKUP($D647,NatureChart,2,0)</f>
        <v>1.1</v>
      </c>
      <c r="X647" s="7">
        <f>VLOOKUP($D647,NatureChart,3,0)</f>
        <v>1</v>
      </c>
      <c r="Y647" s="7">
        <f>VLOOKUP($D647,NatureChart,4,0)</f>
        <v>0.9</v>
      </c>
      <c r="Z647" s="7">
        <f>VLOOKUP($D647,NatureChart,5,0)</f>
        <v>1</v>
      </c>
      <c r="AA647" s="84">
        <f>VLOOKUP($D647,NatureChart,6,0)</f>
        <v>1</v>
      </c>
      <c r="AB647" s="84">
        <f>IF($C647="Shedinja",1,(INT((2*VLOOKUP($C647,DexData,5,0)+INT(Q647/4)+K647)/2)+60))</f>
        <v>212</v>
      </c>
      <c r="AC647" s="84">
        <f>INT(INT((INT((2*VLOOKUP($C647,DexData,6,0)+INT(R647/4)+L647)/2)+5)*W647)*IF($E647="Choice Band",1.5,IF(OR($E647="Mawilite",$E647="Medichamite",$E647="Thick Club"),2,1)))</f>
        <v>172</v>
      </c>
      <c r="AD647" s="84">
        <f>INT(INT((INT((2*VLOOKUP($C647,DexData,7,0)+INT(S647/4)+M647)/2)+5)*X647)*IF($E647="Eviolite",1.5,1))</f>
        <v>95</v>
      </c>
      <c r="AE647" s="84">
        <f>INT(INT((INT((2*VLOOKUP($C647,DexData,9,0)+INT(T647/4)+N647)/2)+5)*Y647)*IF($E647="Choice Specs",1.5,1))</f>
        <v>76</v>
      </c>
      <c r="AF647" s="84">
        <f>INT(INT((INT((2*VLOOKUP($C647,DexData,10,0)+INT(U647/4)+O647)/2)+5)*Z647)*IF(OR($E647="Eviolite",$E647="Assault Vest"),1.5,1))</f>
        <v>120</v>
      </c>
      <c r="AG647" s="84">
        <f>INT(INT((INT((2*VLOOKUP($C647,DexData,11,0)+INT(V647/4)+P647)/2)+5)*AA647)*IF($E647="Choice Scarf",1.5,IF($E647="Iron Ball",0.5,1)))</f>
        <v>71</v>
      </c>
      <c r="AH647" s="84" t="str">
        <f>VLOOKUP(VLOOKUP($C647,DexData,3,0),Aliases!D$2:E$19,2,0)&amp;IFERROR("/"&amp;VLOOKUP(VLOOKUP($C647,DexData,4,0),Aliases!D$2:E$19,2,0),"")</f>
        <v>PSN</v>
      </c>
      <c r="AI647" s="7">
        <v>3.0</v>
      </c>
      <c r="AJ647" s="7">
        <f>IF(VLOOKUP(B647,'Set Odds'!A$2:AN$1067,40,0),1,IF(VLOOKUP(B647,'Set Odds'!A$2:AO$1067,41,0),2,0))</f>
        <v>1</v>
      </c>
      <c r="AK647" s="7"/>
      <c r="AL647" s="7" t="str">
        <f t="shared" si="1"/>
        <v/>
      </c>
    </row>
    <row r="648" ht="12.75" customHeight="1">
      <c r="A648" s="86">
        <v>647.0</v>
      </c>
      <c r="B648" s="84" t="s">
        <v>4199</v>
      </c>
      <c r="C648" s="7" t="s">
        <v>3774</v>
      </c>
      <c r="D648" s="7" t="s">
        <v>2635</v>
      </c>
      <c r="E648" s="7" t="s">
        <v>2524</v>
      </c>
      <c r="F648" s="84" t="s">
        <v>2797</v>
      </c>
      <c r="G648" s="84" t="s">
        <v>2847</v>
      </c>
      <c r="H648" s="84" t="s">
        <v>2661</v>
      </c>
      <c r="I648" s="84" t="s">
        <v>3590</v>
      </c>
      <c r="J648" s="7" t="s">
        <v>3496</v>
      </c>
      <c r="K648" s="7">
        <v>31.0</v>
      </c>
      <c r="L648" s="7">
        <v>31.0</v>
      </c>
      <c r="M648" s="7">
        <v>31.0</v>
      </c>
      <c r="N648" s="7">
        <v>31.0</v>
      </c>
      <c r="O648" s="7">
        <v>31.0</v>
      </c>
      <c r="P648" s="7">
        <v>31.0</v>
      </c>
      <c r="Q648" s="7">
        <v>4.0</v>
      </c>
      <c r="R648" s="7">
        <v>0.0</v>
      </c>
      <c r="S648" s="7">
        <v>0.0</v>
      </c>
      <c r="T648" s="7">
        <v>252.0</v>
      </c>
      <c r="U648" s="7">
        <v>0.0</v>
      </c>
      <c r="V648" s="7">
        <v>252.0</v>
      </c>
      <c r="W648" s="7">
        <f>VLOOKUP($D648,NatureChart,2,0)</f>
        <v>0.9</v>
      </c>
      <c r="X648" s="7">
        <f>VLOOKUP($D648,NatureChart,3,0)</f>
        <v>1</v>
      </c>
      <c r="Y648" s="7">
        <f>VLOOKUP($D648,NatureChart,4,0)</f>
        <v>1</v>
      </c>
      <c r="Z648" s="7">
        <f>VLOOKUP($D648,NatureChart,5,0)</f>
        <v>1</v>
      </c>
      <c r="AA648" s="84">
        <f>VLOOKUP($D648,NatureChart,6,0)</f>
        <v>1.1</v>
      </c>
      <c r="AB648" s="84">
        <f>IF($C648="Shedinja",1,(INT((2*VLOOKUP($C648,DexData,5,0)+INT(Q648/4)+K648)/2)+60))</f>
        <v>136</v>
      </c>
      <c r="AC648" s="84">
        <f>INT(INT((INT((2*VLOOKUP($C648,DexData,6,0)+INT(R648/4)+L648)/2)+5)*W648)*IF($E648="Choice Band",1.5,IF(OR($E648="Mawilite",$E648="Medichamite",$E648="Thick Club"),2,1)))</f>
        <v>76</v>
      </c>
      <c r="AD648" s="84">
        <f>INT(INT((INT((2*VLOOKUP($C648,DexData,7,0)+INT(S648/4)+M648)/2)+5)*X648)*IF($E648="Eviolite",1.5,1))</f>
        <v>80</v>
      </c>
      <c r="AE648" s="84">
        <f>INT(INT((INT((2*VLOOKUP($C648,DexData,9,0)+INT(T648/4)+N648)/2)+5)*Y648)*IF($E648="Choice Specs",1.5,1))</f>
        <v>182</v>
      </c>
      <c r="AF648" s="84">
        <f>INT(INT((INT((2*VLOOKUP($C648,DexData,10,0)+INT(U648/4)+O648)/2)+5)*Z648)*IF(OR($E648="Eviolite",$E648="Assault Vest"),1.5,1))</f>
        <v>95</v>
      </c>
      <c r="AG648" s="84">
        <f>INT(INT((INT((2*VLOOKUP($C648,DexData,11,0)+INT(V648/4)+P648)/2)+5)*AA648)*IF($E648="Choice Scarf",1.5,IF($E648="Iron Ball",0.5,1)))</f>
        <v>178</v>
      </c>
      <c r="AH648" s="84" t="str">
        <f>VLOOKUP(VLOOKUP($C648,DexData,3,0),Aliases!D$2:E$19,2,0)&amp;IFERROR("/"&amp;VLOOKUP(VLOOKUP($C648,DexData,4,0),Aliases!D$2:E$19,2,0),"")</f>
        <v>GHO/PSN</v>
      </c>
      <c r="AI648" s="7">
        <v>3.0</v>
      </c>
      <c r="AJ648" s="7">
        <f>IF(VLOOKUP(B648,'Set Odds'!A$2:AN$1067,40,0),1,IF(VLOOKUP(B648,'Set Odds'!A$2:AO$1067,41,0),2,0))</f>
        <v>1</v>
      </c>
      <c r="AK648" s="7"/>
      <c r="AL648" s="7" t="str">
        <f t="shared" si="1"/>
        <v/>
      </c>
    </row>
    <row r="649" ht="12.75" customHeight="1">
      <c r="A649" s="86">
        <v>648.0</v>
      </c>
      <c r="B649" s="84" t="s">
        <v>4200</v>
      </c>
      <c r="C649" s="7" t="s">
        <v>3776</v>
      </c>
      <c r="D649" s="7" t="s">
        <v>2862</v>
      </c>
      <c r="E649" s="7" t="s">
        <v>3003</v>
      </c>
      <c r="F649" s="84" t="s">
        <v>2763</v>
      </c>
      <c r="G649" s="84" t="s">
        <v>3762</v>
      </c>
      <c r="H649" s="84" t="s">
        <v>3427</v>
      </c>
      <c r="I649" s="84" t="s">
        <v>2841</v>
      </c>
      <c r="J649" s="7" t="s">
        <v>3136</v>
      </c>
      <c r="K649" s="7">
        <v>31.0</v>
      </c>
      <c r="L649" s="7">
        <v>31.0</v>
      </c>
      <c r="M649" s="7">
        <v>31.0</v>
      </c>
      <c r="N649" s="7">
        <v>31.0</v>
      </c>
      <c r="O649" s="7">
        <v>31.0</v>
      </c>
      <c r="P649" s="7">
        <v>31.0</v>
      </c>
      <c r="Q649" s="7">
        <v>252.0</v>
      </c>
      <c r="R649" s="7">
        <v>0.0</v>
      </c>
      <c r="S649" s="7">
        <v>252.0</v>
      </c>
      <c r="T649" s="7">
        <v>0.0</v>
      </c>
      <c r="U649" s="7">
        <v>4.0</v>
      </c>
      <c r="V649" s="7">
        <v>0.0</v>
      </c>
      <c r="W649" s="7">
        <f>VLOOKUP($D649,NatureChart,2,0)</f>
        <v>0.9</v>
      </c>
      <c r="X649" s="7">
        <f>VLOOKUP($D649,NatureChart,3,0)</f>
        <v>1.1</v>
      </c>
      <c r="Y649" s="7">
        <f>VLOOKUP($D649,NatureChart,4,0)</f>
        <v>1</v>
      </c>
      <c r="Z649" s="7">
        <f>VLOOKUP($D649,NatureChart,5,0)</f>
        <v>1</v>
      </c>
      <c r="AA649" s="84">
        <f>VLOOKUP($D649,NatureChart,6,0)</f>
        <v>1</v>
      </c>
      <c r="AB649" s="84">
        <f>IF($C649="Shedinja",1,(INT((2*VLOOKUP($C649,DexData,5,0)+INT(Q649/4)+K649)/2)+60))</f>
        <v>197</v>
      </c>
      <c r="AC649" s="84">
        <f>INT(INT((INT((2*VLOOKUP($C649,DexData,6,0)+INT(R649/4)+L649)/2)+5)*W649)*IF($E649="Choice Band",1.5,IF(OR($E649="Mawilite",$E649="Medichamite",$E649="Thick Club"),2,1)))</f>
        <v>85</v>
      </c>
      <c r="AD649" s="84">
        <f>INT(INT((INT((2*VLOOKUP($C649,DexData,7,0)+INT(S649/4)+M649)/2)+5)*X649)*IF($E649="Eviolite",1.5,1))</f>
        <v>150</v>
      </c>
      <c r="AE649" s="84">
        <f>INT(INT((INT((2*VLOOKUP($C649,DexData,9,0)+INT(T649/4)+N649)/2)+5)*Y649)*IF($E649="Choice Specs",1.5,1))</f>
        <v>135</v>
      </c>
      <c r="AF649" s="84">
        <f>INT(INT((INT((2*VLOOKUP($C649,DexData,10,0)+INT(U649/4)+O649)/2)+5)*Z649)*IF(OR($E649="Eviolite",$E649="Assault Vest"),1.5,1))</f>
        <v>111</v>
      </c>
      <c r="AG649" s="84">
        <f>INT(INT((INT((2*VLOOKUP($C649,DexData,11,0)+INT(V649/4)+P649)/2)+5)*AA649)*IF($E649="Choice Scarf",1.5,IF($E649="Iron Ball",0.5,1)))</f>
        <v>75</v>
      </c>
      <c r="AH649" s="84" t="str">
        <f>VLOOKUP(VLOOKUP($C649,DexData,3,0),Aliases!D$2:E$19,2,0)&amp;IFERROR("/"&amp;VLOOKUP(VLOOKUP($C649,DexData,4,0),Aliases!D$2:E$19,2,0),"")</f>
        <v>ELC</v>
      </c>
      <c r="AI649" s="7">
        <v>3.0</v>
      </c>
      <c r="AJ649" s="7">
        <f>IF(VLOOKUP(B649,'Set Odds'!A$2:AN$1067,40,0),1,IF(VLOOKUP(B649,'Set Odds'!A$2:AO$1067,41,0),2,0))</f>
        <v>1</v>
      </c>
      <c r="AK649" s="7"/>
      <c r="AL649" s="7" t="str">
        <f t="shared" si="1"/>
        <v/>
      </c>
    </row>
    <row r="650" ht="12.75" customHeight="1">
      <c r="A650" s="86">
        <v>649.0</v>
      </c>
      <c r="B650" s="84" t="s">
        <v>4201</v>
      </c>
      <c r="C650" s="7" t="s">
        <v>3779</v>
      </c>
      <c r="D650" s="7" t="s">
        <v>2723</v>
      </c>
      <c r="E650" s="7" t="s">
        <v>2983</v>
      </c>
      <c r="F650" s="84" t="s">
        <v>3844</v>
      </c>
      <c r="G650" s="84" t="s">
        <v>2869</v>
      </c>
      <c r="H650" s="84" t="s">
        <v>3454</v>
      </c>
      <c r="I650" s="84" t="s">
        <v>2841</v>
      </c>
      <c r="J650" s="7" t="s">
        <v>3399</v>
      </c>
      <c r="K650" s="7">
        <v>31.0</v>
      </c>
      <c r="L650" s="7">
        <v>31.0</v>
      </c>
      <c r="M650" s="7">
        <v>31.0</v>
      </c>
      <c r="N650" s="7">
        <v>31.0</v>
      </c>
      <c r="O650" s="7">
        <v>31.0</v>
      </c>
      <c r="P650" s="7">
        <v>31.0</v>
      </c>
      <c r="Q650" s="7">
        <v>252.0</v>
      </c>
      <c r="R650" s="7">
        <v>0.0</v>
      </c>
      <c r="S650" s="7">
        <v>0.0</v>
      </c>
      <c r="T650" s="7">
        <v>0.0</v>
      </c>
      <c r="U650" s="7">
        <v>252.0</v>
      </c>
      <c r="V650" s="7">
        <v>4.0</v>
      </c>
      <c r="W650" s="7">
        <f>VLOOKUP($D650,NatureChart,2,0)</f>
        <v>1</v>
      </c>
      <c r="X650" s="7">
        <f>VLOOKUP($D650,NatureChart,3,0)</f>
        <v>1</v>
      </c>
      <c r="Y650" s="7">
        <f>VLOOKUP($D650,NatureChart,4,0)</f>
        <v>0.9</v>
      </c>
      <c r="Z650" s="7">
        <f>VLOOKUP($D650,NatureChart,5,0)</f>
        <v>1.1</v>
      </c>
      <c r="AA650" s="84">
        <f>VLOOKUP($D650,NatureChart,6,0)</f>
        <v>1</v>
      </c>
      <c r="AB650" s="84">
        <f>IF($C650="Shedinja",1,(INT((2*VLOOKUP($C650,DexData,5,0)+INT(Q650/4)+K650)/2)+60))</f>
        <v>197</v>
      </c>
      <c r="AC650" s="84">
        <f>INT(INT((INT((2*VLOOKUP($C650,DexData,6,0)+INT(R650/4)+L650)/2)+5)*W650)*IF($E650="Choice Band",1.5,IF(OR($E650="Mawilite",$E650="Medichamite",$E650="Thick Club"),2,1)))</f>
        <v>95</v>
      </c>
      <c r="AD650" s="84">
        <f>INT(INT((INT((2*VLOOKUP($C650,DexData,7,0)+INT(S650/4)+M650)/2)+5)*X650)*IF($E650="Eviolite",1.5,1))</f>
        <v>95</v>
      </c>
      <c r="AE650" s="84">
        <f>INT(INT((INT((2*VLOOKUP($C650,DexData,9,0)+INT(T650/4)+N650)/2)+5)*Y650)*IF($E650="Choice Specs",1.5,1))</f>
        <v>99</v>
      </c>
      <c r="AF650" s="84">
        <f>INT(INT((INT((2*VLOOKUP($C650,DexData,10,0)+INT(U650/4)+O650)/2)+5)*Z650)*IF(OR($E650="Eviolite",$E650="Assault Vest"),1.5,1))</f>
        <v>167</v>
      </c>
      <c r="AG650" s="84">
        <f>INT(INT((INT((2*VLOOKUP($C650,DexData,11,0)+INT(V650/4)+P650)/2)+5)*AA650)*IF($E650="Choice Scarf",1.5,IF($E650="Iron Ball",0.5,1)))</f>
        <v>91</v>
      </c>
      <c r="AH650" s="84" t="str">
        <f>VLOOKUP(VLOOKUP($C650,DexData,3,0),Aliases!D$2:E$19,2,0)&amp;IFERROR("/"&amp;VLOOKUP(VLOOKUP($C650,DexData,4,0),Aliases!D$2:E$19,2,0),"")</f>
        <v>WTR</v>
      </c>
      <c r="AI650" s="7">
        <v>3.0</v>
      </c>
      <c r="AJ650" s="7">
        <f>IF(VLOOKUP(B650,'Set Odds'!A$2:AN$1067,40,0),1,IF(VLOOKUP(B650,'Set Odds'!A$2:AO$1067,41,0),2,0))</f>
        <v>1</v>
      </c>
      <c r="AK650" s="7"/>
      <c r="AL650" s="7" t="str">
        <f t="shared" si="1"/>
        <v/>
      </c>
    </row>
    <row r="651" ht="12.75" customHeight="1">
      <c r="A651" s="86">
        <v>650.0</v>
      </c>
      <c r="B651" s="84" t="s">
        <v>4202</v>
      </c>
      <c r="C651" s="7" t="s">
        <v>3781</v>
      </c>
      <c r="D651" s="7" t="s">
        <v>2571</v>
      </c>
      <c r="E651" s="7" t="s">
        <v>2983</v>
      </c>
      <c r="F651" s="84" t="s">
        <v>2525</v>
      </c>
      <c r="G651" s="84" t="s">
        <v>2977</v>
      </c>
      <c r="H651" s="84" t="s">
        <v>2671</v>
      </c>
      <c r="I651" s="84" t="s">
        <v>3535</v>
      </c>
      <c r="J651" s="7" t="s">
        <v>2978</v>
      </c>
      <c r="K651" s="7">
        <v>31.0</v>
      </c>
      <c r="L651" s="7">
        <v>31.0</v>
      </c>
      <c r="M651" s="7">
        <v>31.0</v>
      </c>
      <c r="N651" s="7">
        <v>31.0</v>
      </c>
      <c r="O651" s="7">
        <v>31.0</v>
      </c>
      <c r="P651" s="7">
        <v>31.0</v>
      </c>
      <c r="Q651" s="7">
        <v>4.0</v>
      </c>
      <c r="R651" s="7">
        <v>252.0</v>
      </c>
      <c r="S651" s="7">
        <v>0.0</v>
      </c>
      <c r="T651" s="7">
        <v>0.0</v>
      </c>
      <c r="U651" s="7">
        <v>0.0</v>
      </c>
      <c r="V651" s="7">
        <v>252.0</v>
      </c>
      <c r="W651" s="7">
        <f>VLOOKUP($D651,NatureChart,2,0)</f>
        <v>1.1</v>
      </c>
      <c r="X651" s="7">
        <f>VLOOKUP($D651,NatureChart,3,0)</f>
        <v>1</v>
      </c>
      <c r="Y651" s="7">
        <f>VLOOKUP($D651,NatureChart,4,0)</f>
        <v>0.9</v>
      </c>
      <c r="Z651" s="7">
        <f>VLOOKUP($D651,NatureChart,5,0)</f>
        <v>1</v>
      </c>
      <c r="AA651" s="84">
        <f>VLOOKUP($D651,NatureChart,6,0)</f>
        <v>1</v>
      </c>
      <c r="AB651" s="84">
        <f>IF($C651="Shedinja",1,(INT((2*VLOOKUP($C651,DexData,5,0)+INT(Q651/4)+K651)/2)+60))</f>
        <v>141</v>
      </c>
      <c r="AC651" s="84">
        <f>INT(INT((INT((2*VLOOKUP($C651,DexData,6,0)+INT(R651/4)+L651)/2)+5)*W651)*IF($E651="Choice Band",1.5,IF(OR($E651="Mawilite",$E651="Medichamite",$E651="Thick Club"),2,1)))</f>
        <v>194</v>
      </c>
      <c r="AD651" s="84">
        <f>INT(INT((INT((2*VLOOKUP($C651,DexData,7,0)+INT(S651/4)+M651)/2)+5)*X651)*IF($E651="Eviolite",1.5,1))</f>
        <v>120</v>
      </c>
      <c r="AE651" s="84">
        <f>INT(INT((INT((2*VLOOKUP($C651,DexData,9,0)+INT(T651/4)+N651)/2)+5)*Y651)*IF($E651="Choice Specs",1.5,1))</f>
        <v>67</v>
      </c>
      <c r="AF651" s="84">
        <f>INT(INT((INT((2*VLOOKUP($C651,DexData,10,0)+INT(U651/4)+O651)/2)+5)*Z651)*IF(OR($E651="Eviolite",$E651="Assault Vest"),1.5,1))</f>
        <v>90</v>
      </c>
      <c r="AG651" s="84">
        <f>INT(INT((INT((2*VLOOKUP($C651,DexData,11,0)+INT(V651/4)+P651)/2)+5)*AA651)*IF($E651="Choice Scarf",1.5,IF($E651="Iron Ball",0.5,1)))</f>
        <v>137</v>
      </c>
      <c r="AH651" s="84" t="str">
        <f>VLOOKUP(VLOOKUP($C651,DexData,3,0),Aliases!D$2:E$19,2,0)&amp;IFERROR("/"&amp;VLOOKUP(VLOOKUP($C651,DexData,4,0),Aliases!D$2:E$19,2,0),"")</f>
        <v>BUG</v>
      </c>
      <c r="AI651" s="7">
        <v>3.0</v>
      </c>
      <c r="AJ651" s="7">
        <f>IF(VLOOKUP(B651,'Set Odds'!A$2:AN$1067,40,0),1,IF(VLOOKUP(B651,'Set Odds'!A$2:AO$1067,41,0),2,0))</f>
        <v>1</v>
      </c>
      <c r="AK651" s="7"/>
      <c r="AL651" s="7" t="str">
        <f t="shared" si="1"/>
        <v/>
      </c>
    </row>
    <row r="652" ht="12.75" customHeight="1">
      <c r="A652" s="86">
        <v>651.0</v>
      </c>
      <c r="B652" s="84" t="s">
        <v>4203</v>
      </c>
      <c r="C652" s="7" t="s">
        <v>3783</v>
      </c>
      <c r="D652" s="7" t="s">
        <v>2571</v>
      </c>
      <c r="E652" s="7" t="s">
        <v>2630</v>
      </c>
      <c r="F652" s="84" t="s">
        <v>2671</v>
      </c>
      <c r="G652" s="84" t="s">
        <v>3626</v>
      </c>
      <c r="H652" s="84" t="s">
        <v>2614</v>
      </c>
      <c r="I652" s="84" t="s">
        <v>3578</v>
      </c>
      <c r="J652" s="7" t="s">
        <v>3181</v>
      </c>
      <c r="K652" s="7">
        <v>31.0</v>
      </c>
      <c r="L652" s="7">
        <v>31.0</v>
      </c>
      <c r="M652" s="7">
        <v>31.0</v>
      </c>
      <c r="N652" s="7">
        <v>31.0</v>
      </c>
      <c r="O652" s="7">
        <v>31.0</v>
      </c>
      <c r="P652" s="7">
        <v>31.0</v>
      </c>
      <c r="Q652" s="7">
        <v>236.0</v>
      </c>
      <c r="R652" s="7">
        <v>252.0</v>
      </c>
      <c r="S652" s="7">
        <v>20.0</v>
      </c>
      <c r="T652" s="7">
        <v>0.0</v>
      </c>
      <c r="U652" s="7">
        <v>0.0</v>
      </c>
      <c r="V652" s="7">
        <v>0.0</v>
      </c>
      <c r="W652" s="7">
        <f>VLOOKUP($D652,NatureChart,2,0)</f>
        <v>1.1</v>
      </c>
      <c r="X652" s="7">
        <f>VLOOKUP($D652,NatureChart,3,0)</f>
        <v>1</v>
      </c>
      <c r="Y652" s="7">
        <f>VLOOKUP($D652,NatureChart,4,0)</f>
        <v>0.9</v>
      </c>
      <c r="Z652" s="7">
        <f>VLOOKUP($D652,NatureChart,5,0)</f>
        <v>1</v>
      </c>
      <c r="AA652" s="84">
        <f>VLOOKUP($D652,NatureChart,6,0)</f>
        <v>1</v>
      </c>
      <c r="AB652" s="84">
        <f>IF($C652="Shedinja",1,(INT((2*VLOOKUP($C652,DexData,5,0)+INT(Q652/4)+K652)/2)+60))</f>
        <v>175</v>
      </c>
      <c r="AC652" s="84">
        <f>INT(INT((INT((2*VLOOKUP($C652,DexData,6,0)+INT(R652/4)+L652)/2)+5)*W652)*IF($E652="Choice Band",1.5,IF(OR($E652="Mawilite",$E652="Medichamite",$E652="Thick Club"),2,1)))</f>
        <v>200</v>
      </c>
      <c r="AD652" s="84">
        <f>INT(INT((INT((2*VLOOKUP($C652,DexData,7,0)+INT(S652/4)+M652)/2)+5)*X652)*IF($E652="Eviolite",1.5,1))</f>
        <v>123</v>
      </c>
      <c r="AE652" s="84">
        <f>INT(INT((INT((2*VLOOKUP($C652,DexData,9,0)+INT(T652/4)+N652)/2)+5)*Y652)*IF($E652="Choice Specs",1.5,1))</f>
        <v>67</v>
      </c>
      <c r="AF652" s="84">
        <f>INT(INT((INT((2*VLOOKUP($C652,DexData,10,0)+INT(U652/4)+O652)/2)+5)*Z652)*IF(OR($E652="Eviolite",$E652="Assault Vest"),1.5,1))</f>
        <v>100</v>
      </c>
      <c r="AG652" s="84">
        <f>INT(INT((INT((2*VLOOKUP($C652,DexData,11,0)+INT(V652/4)+P652)/2)+5)*AA652)*IF($E652="Choice Scarf",1.5,IF($E652="Iron Ball",0.5,1)))</f>
        <v>85</v>
      </c>
      <c r="AH652" s="84" t="str">
        <f>VLOOKUP(VLOOKUP($C652,DexData,3,0),Aliases!D$2:E$19,2,0)&amp;IFERROR("/"&amp;VLOOKUP(VLOOKUP($C652,DexData,4,0),Aliases!D$2:E$19,2,0),"")</f>
        <v>BUG/STL</v>
      </c>
      <c r="AI652" s="7">
        <v>3.0</v>
      </c>
      <c r="AJ652" s="7">
        <f>IF(VLOOKUP(B652,'Set Odds'!A$2:AN$1067,40,0),1,IF(VLOOKUP(B652,'Set Odds'!A$2:AO$1067,41,0),2,0))</f>
        <v>1</v>
      </c>
      <c r="AK652" s="7"/>
      <c r="AL652" s="7" t="str">
        <f t="shared" si="1"/>
        <v/>
      </c>
    </row>
    <row r="653" ht="12.75" customHeight="1">
      <c r="A653" s="86">
        <v>652.0</v>
      </c>
      <c r="B653" s="84" t="s">
        <v>4204</v>
      </c>
      <c r="C653" s="7" t="s">
        <v>3786</v>
      </c>
      <c r="D653" s="7" t="s">
        <v>2571</v>
      </c>
      <c r="E653" s="7" t="s">
        <v>3311</v>
      </c>
      <c r="F653" s="84" t="s">
        <v>3787</v>
      </c>
      <c r="G653" s="84" t="s">
        <v>3441</v>
      </c>
      <c r="H653" s="84" t="s">
        <v>3253</v>
      </c>
      <c r="I653" s="84" t="s">
        <v>2886</v>
      </c>
      <c r="J653" s="7" t="s">
        <v>3788</v>
      </c>
      <c r="K653" s="7">
        <v>31.0</v>
      </c>
      <c r="L653" s="7">
        <v>31.0</v>
      </c>
      <c r="M653" s="7">
        <v>31.0</v>
      </c>
      <c r="N653" s="7">
        <v>31.0</v>
      </c>
      <c r="O653" s="7">
        <v>31.0</v>
      </c>
      <c r="P653" s="7">
        <v>31.0</v>
      </c>
      <c r="Q653" s="7">
        <v>4.0</v>
      </c>
      <c r="R653" s="7">
        <v>252.0</v>
      </c>
      <c r="S653" s="7">
        <v>0.0</v>
      </c>
      <c r="T653" s="7">
        <v>0.0</v>
      </c>
      <c r="U653" s="7">
        <v>0.0</v>
      </c>
      <c r="V653" s="7">
        <v>252.0</v>
      </c>
      <c r="W653" s="7">
        <f>VLOOKUP($D653,NatureChart,2,0)</f>
        <v>1.1</v>
      </c>
      <c r="X653" s="7">
        <f>VLOOKUP($D653,NatureChart,3,0)</f>
        <v>1</v>
      </c>
      <c r="Y653" s="7">
        <f>VLOOKUP($D653,NatureChart,4,0)</f>
        <v>0.9</v>
      </c>
      <c r="Z653" s="7">
        <f>VLOOKUP($D653,NatureChart,5,0)</f>
        <v>1</v>
      </c>
      <c r="AA653" s="84">
        <f>VLOOKUP($D653,NatureChart,6,0)</f>
        <v>1</v>
      </c>
      <c r="AB653" s="84">
        <f>IF($C653="Shedinja",1,(INT((2*VLOOKUP($C653,DexData,5,0)+INT(Q653/4)+K653)/2)+60))</f>
        <v>156</v>
      </c>
      <c r="AC653" s="84">
        <f>INT(INT((INT((2*VLOOKUP($C653,DexData,6,0)+INT(R653/4)+L653)/2)+5)*W653)*IF($E653="Choice Band",1.5,IF(OR($E653="Mawilite",$E653="Medichamite",$E653="Thick Club"),2,1)))</f>
        <v>194</v>
      </c>
      <c r="AD653" s="84">
        <f>INT(INT((INT((2*VLOOKUP($C653,DexData,7,0)+INT(S653/4)+M653)/2)+5)*X653)*IF($E653="Eviolite",1.5,1))</f>
        <v>95</v>
      </c>
      <c r="AE653" s="84">
        <f>INT(INT((INT((2*VLOOKUP($C653,DexData,9,0)+INT(T653/4)+N653)/2)+5)*Y653)*IF($E653="Choice Specs",1.5,1))</f>
        <v>54</v>
      </c>
      <c r="AF653" s="84">
        <f>INT(INT((INT((2*VLOOKUP($C653,DexData,10,0)+INT(U653/4)+O653)/2)+5)*Z653)*IF(OR($E653="Eviolite",$E653="Assault Vest"),1.5,1))</f>
        <v>115</v>
      </c>
      <c r="AG653" s="84">
        <f>INT(INT((INT((2*VLOOKUP($C653,DexData,11,0)+INT(V653/4)+P653)/2)+5)*AA653)*IF($E653="Choice Scarf",1.5,IF($E653="Iron Ball",0.5,1)))</f>
        <v>137</v>
      </c>
      <c r="AH653" s="84" t="str">
        <f>VLOOKUP(VLOOKUP($C653,DexData,3,0),Aliases!D$2:E$19,2,0)&amp;IFERROR("/"&amp;VLOOKUP(VLOOKUP($C653,DexData,4,0),Aliases!D$2:E$19,2,0),"")</f>
        <v>BUG/FTG</v>
      </c>
      <c r="AI653" s="7">
        <v>3.0</v>
      </c>
      <c r="AJ653" s="7">
        <f>IF(VLOOKUP(B653,'Set Odds'!A$2:AN$1067,40,0),1,IF(VLOOKUP(B653,'Set Odds'!A$2:AO$1067,41,0),2,0))</f>
        <v>1</v>
      </c>
      <c r="AK653" s="7"/>
      <c r="AL653" s="7" t="str">
        <f t="shared" si="1"/>
        <v/>
      </c>
    </row>
    <row r="654" ht="12.75" customHeight="1">
      <c r="A654" s="86">
        <v>653.0</v>
      </c>
      <c r="B654" s="84" t="s">
        <v>4205</v>
      </c>
      <c r="C654" s="7" t="s">
        <v>3790</v>
      </c>
      <c r="D654" s="7" t="s">
        <v>2692</v>
      </c>
      <c r="E654" s="7" t="s">
        <v>3395</v>
      </c>
      <c r="F654" s="84" t="s">
        <v>3253</v>
      </c>
      <c r="G654" s="84" t="s">
        <v>2517</v>
      </c>
      <c r="H654" s="84" t="s">
        <v>3454</v>
      </c>
      <c r="I654" s="84" t="s">
        <v>3015</v>
      </c>
      <c r="J654" s="7" t="s">
        <v>2777</v>
      </c>
      <c r="K654" s="7">
        <v>31.0</v>
      </c>
      <c r="L654" s="7">
        <v>31.0</v>
      </c>
      <c r="M654" s="7">
        <v>31.0</v>
      </c>
      <c r="N654" s="7">
        <v>31.0</v>
      </c>
      <c r="O654" s="7">
        <v>31.0</v>
      </c>
      <c r="P654" s="7">
        <v>31.0</v>
      </c>
      <c r="Q654" s="7">
        <v>4.0</v>
      </c>
      <c r="R654" s="7">
        <v>252.0</v>
      </c>
      <c r="S654" s="7">
        <v>0.0</v>
      </c>
      <c r="T654" s="7">
        <v>0.0</v>
      </c>
      <c r="U654" s="7">
        <v>0.0</v>
      </c>
      <c r="V654" s="7">
        <v>252.0</v>
      </c>
      <c r="W654" s="7">
        <f>VLOOKUP($D654,NatureChart,2,0)</f>
        <v>1</v>
      </c>
      <c r="X654" s="7">
        <f>VLOOKUP($D654,NatureChart,3,0)</f>
        <v>1</v>
      </c>
      <c r="Y654" s="7">
        <f>VLOOKUP($D654,NatureChart,4,0)</f>
        <v>0.9</v>
      </c>
      <c r="Z654" s="7">
        <f>VLOOKUP($D654,NatureChart,5,0)</f>
        <v>1</v>
      </c>
      <c r="AA654" s="84">
        <f>VLOOKUP($D654,NatureChart,6,0)</f>
        <v>1.1</v>
      </c>
      <c r="AB654" s="84">
        <f>IF($C654="Shedinja",1,(INT((2*VLOOKUP($C654,DexData,5,0)+INT(Q654/4)+K654)/2)+60))</f>
        <v>166</v>
      </c>
      <c r="AC654" s="84">
        <f>INT(INT((INT((2*VLOOKUP($C654,DexData,6,0)+INT(R654/4)+L654)/2)+5)*W654)*IF($E654="Choice Band",1.5,IF(OR($E654="Mawilite",$E654="Medichamite",$E654="Thick Club"),2,1)))</f>
        <v>182</v>
      </c>
      <c r="AD654" s="84">
        <f>INT(INT((INT((2*VLOOKUP($C654,DexData,7,0)+INT(S654/4)+M654)/2)+5)*X654)*IF($E654="Eviolite",1.5,1))</f>
        <v>95</v>
      </c>
      <c r="AE654" s="84">
        <f>INT(INT((INT((2*VLOOKUP($C654,DexData,9,0)+INT(T654/4)+N654)/2)+5)*Y654)*IF($E654="Choice Specs",1.5,1))</f>
        <v>85</v>
      </c>
      <c r="AF654" s="84">
        <f>INT(INT((INT((2*VLOOKUP($C654,DexData,10,0)+INT(U654/4)+O654)/2)+5)*Z654)*IF(OR($E654="Eviolite",$E654="Assault Vest"),1.5,1))</f>
        <v>95</v>
      </c>
      <c r="AG654" s="84">
        <f>INT(INT((INT((2*VLOOKUP($C654,DexData,11,0)+INT(V654/4)+P654)/2)+5)*AA654)*IF($E654="Choice Scarf",1.5,IF($E654="Iron Ball",0.5,1)))</f>
        <v>117</v>
      </c>
      <c r="AH654" s="84" t="str">
        <f>VLOOKUP(VLOOKUP($C654,DexData,3,0),Aliases!D$2:E$19,2,0)&amp;IFERROR("/"&amp;VLOOKUP(VLOOKUP($C654,DexData,4,0),Aliases!D$2:E$19,2,0),"")</f>
        <v>NRM</v>
      </c>
      <c r="AI654" s="7">
        <v>3.0</v>
      </c>
      <c r="AJ654" s="7">
        <f>IF(VLOOKUP(B654,'Set Odds'!A$2:AN$1067,40,0),1,IF(VLOOKUP(B654,'Set Odds'!A$2:AO$1067,41,0),2,0))</f>
        <v>1</v>
      </c>
      <c r="AK654" s="7"/>
      <c r="AL654" s="7" t="str">
        <f t="shared" si="1"/>
        <v/>
      </c>
    </row>
    <row r="655" ht="12.75" customHeight="1">
      <c r="A655" s="86">
        <v>654.0</v>
      </c>
      <c r="B655" s="84" t="s">
        <v>4206</v>
      </c>
      <c r="C655" s="7" t="s">
        <v>3792</v>
      </c>
      <c r="D655" s="7" t="s">
        <v>2635</v>
      </c>
      <c r="E655" s="7" t="s">
        <v>3096</v>
      </c>
      <c r="F655" s="84" t="s">
        <v>2700</v>
      </c>
      <c r="G655" s="84" t="s">
        <v>3617</v>
      </c>
      <c r="H655" s="84" t="s">
        <v>3558</v>
      </c>
      <c r="I655" s="84" t="s">
        <v>3264</v>
      </c>
      <c r="J655" s="7" t="s">
        <v>3016</v>
      </c>
      <c r="K655" s="7">
        <v>31.0</v>
      </c>
      <c r="L655" s="7">
        <v>31.0</v>
      </c>
      <c r="M655" s="7">
        <v>31.0</v>
      </c>
      <c r="N655" s="7">
        <v>31.0</v>
      </c>
      <c r="O655" s="7">
        <v>31.0</v>
      </c>
      <c r="P655" s="7">
        <v>31.0</v>
      </c>
      <c r="Q655" s="7">
        <v>4.0</v>
      </c>
      <c r="R655" s="7">
        <v>0.0</v>
      </c>
      <c r="S655" s="7">
        <v>0.0</v>
      </c>
      <c r="T655" s="7">
        <v>252.0</v>
      </c>
      <c r="U655" s="7">
        <v>0.0</v>
      </c>
      <c r="V655" s="7">
        <v>252.0</v>
      </c>
      <c r="W655" s="7">
        <f>VLOOKUP($D655,NatureChart,2,0)</f>
        <v>0.9</v>
      </c>
      <c r="X655" s="7">
        <f>VLOOKUP($D655,NatureChart,3,0)</f>
        <v>1</v>
      </c>
      <c r="Y655" s="7">
        <f>VLOOKUP($D655,NatureChart,4,0)</f>
        <v>1</v>
      </c>
      <c r="Z655" s="7">
        <f>VLOOKUP($D655,NatureChart,5,0)</f>
        <v>1</v>
      </c>
      <c r="AA655" s="84">
        <f>VLOOKUP($D655,NatureChart,6,0)</f>
        <v>1.1</v>
      </c>
      <c r="AB655" s="84">
        <f>IF($C655="Shedinja",1,(INT((2*VLOOKUP($C655,DexData,5,0)+INT(Q655/4)+K655)/2)+60))</f>
        <v>151</v>
      </c>
      <c r="AC655" s="84">
        <f>INT(INT((INT((2*VLOOKUP($C655,DexData,6,0)+INT(R655/4)+L655)/2)+5)*W655)*IF($E655="Choice Band",1.5,IF(OR($E655="Mawilite",$E655="Medichamite",$E655="Thick Club"),2,1)))</f>
        <v>99</v>
      </c>
      <c r="AD655" s="84">
        <f>INT(INT((INT((2*VLOOKUP($C655,DexData,7,0)+INT(S655/4)+M655)/2)+5)*X655)*IF($E655="Eviolite",1.5,1))</f>
        <v>70</v>
      </c>
      <c r="AE655" s="84">
        <f>INT(INT((INT((2*VLOOKUP($C655,DexData,9,0)+INT(T655/4)+N655)/2)+5)*Y655)*IF($E655="Choice Specs",1.5,1))</f>
        <v>162</v>
      </c>
      <c r="AF655" s="84">
        <f>INT(INT((INT((2*VLOOKUP($C655,DexData,10,0)+INT(U655/4)+O655)/2)+5)*Z655)*IF(OR($E655="Eviolite",$E655="Assault Vest"),1.5,1))</f>
        <v>100</v>
      </c>
      <c r="AG655" s="84">
        <f>INT(INT((INT((2*VLOOKUP($C655,DexData,11,0)+INT(V655/4)+P655)/2)+5)*AA655)*IF($E655="Choice Scarf",1.5,IF($E655="Iron Ball",0.5,1)))</f>
        <v>161</v>
      </c>
      <c r="AH655" s="84" t="str">
        <f>VLOOKUP(VLOOKUP($C655,DexData,3,0),Aliases!D$2:E$19,2,0)&amp;IFERROR("/"&amp;VLOOKUP(VLOOKUP($C655,DexData,4,0),Aliases!D$2:E$19,2,0),"")</f>
        <v>DRK/FIR</v>
      </c>
      <c r="AI655" s="7">
        <v>3.0</v>
      </c>
      <c r="AJ655" s="7">
        <f>IF(VLOOKUP(B655,'Set Odds'!A$2:AN$1067,40,0),1,IF(VLOOKUP(B655,'Set Odds'!A$2:AO$1067,41,0),2,0))</f>
        <v>1</v>
      </c>
      <c r="AK655" s="7"/>
      <c r="AL655" s="7" t="str">
        <f t="shared" si="1"/>
        <v/>
      </c>
    </row>
    <row r="656" ht="12.75" customHeight="1">
      <c r="A656" s="86">
        <v>655.0</v>
      </c>
      <c r="B656" s="84" t="s">
        <v>4207</v>
      </c>
      <c r="C656" s="7" t="s">
        <v>3795</v>
      </c>
      <c r="D656" s="7" t="s">
        <v>2571</v>
      </c>
      <c r="E656" s="7" t="s">
        <v>2524</v>
      </c>
      <c r="F656" s="84" t="s">
        <v>3454</v>
      </c>
      <c r="G656" s="84" t="s">
        <v>3441</v>
      </c>
      <c r="H656" s="84" t="s">
        <v>3793</v>
      </c>
      <c r="I656" s="84" t="s">
        <v>3048</v>
      </c>
      <c r="J656" s="7" t="s">
        <v>2728</v>
      </c>
      <c r="K656" s="7">
        <v>31.0</v>
      </c>
      <c r="L656" s="7">
        <v>31.0</v>
      </c>
      <c r="M656" s="7">
        <v>31.0</v>
      </c>
      <c r="N656" s="7">
        <v>31.0</v>
      </c>
      <c r="O656" s="7">
        <v>31.0</v>
      </c>
      <c r="P656" s="7">
        <v>31.0</v>
      </c>
      <c r="Q656" s="7">
        <v>4.0</v>
      </c>
      <c r="R656" s="7">
        <v>252.0</v>
      </c>
      <c r="S656" s="7">
        <v>0.0</v>
      </c>
      <c r="T656" s="7">
        <v>0.0</v>
      </c>
      <c r="U656" s="7">
        <v>0.0</v>
      </c>
      <c r="V656" s="7">
        <v>252.0</v>
      </c>
      <c r="W656" s="7">
        <f>VLOOKUP($D656,NatureChart,2,0)</f>
        <v>1.1</v>
      </c>
      <c r="X656" s="7">
        <f>VLOOKUP($D656,NatureChart,3,0)</f>
        <v>1</v>
      </c>
      <c r="Y656" s="7">
        <f>VLOOKUP($D656,NatureChart,4,0)</f>
        <v>0.9</v>
      </c>
      <c r="Z656" s="7">
        <f>VLOOKUP($D656,NatureChart,5,0)</f>
        <v>1</v>
      </c>
      <c r="AA656" s="84">
        <f>VLOOKUP($D656,NatureChart,6,0)</f>
        <v>1</v>
      </c>
      <c r="AB656" s="84">
        <f>IF($C656="Shedinja",1,(INT((2*VLOOKUP($C656,DexData,5,0)+INT(Q656/4)+K656)/2)+60))</f>
        <v>166</v>
      </c>
      <c r="AC656" s="84">
        <f>INT(INT((INT((2*VLOOKUP($C656,DexData,6,0)+INT(R656/4)+L656)/2)+5)*W656)*IF($E656="Choice Band",1.5,IF(OR($E656="Mawilite",$E656="Medichamite",$E656="Thick Club"),2,1)))</f>
        <v>189</v>
      </c>
      <c r="AD656" s="84">
        <f>INT(INT((INT((2*VLOOKUP($C656,DexData,7,0)+INT(S656/4)+M656)/2)+5)*X656)*IF($E656="Eviolite",1.5,1))</f>
        <v>140</v>
      </c>
      <c r="AE656" s="84">
        <f>INT(INT((INT((2*VLOOKUP($C656,DexData,9,0)+INT(T656/4)+N656)/2)+5)*Y656)*IF($E656="Choice Specs",1.5,1))</f>
        <v>72</v>
      </c>
      <c r="AF656" s="84">
        <f>INT(INT((INT((2*VLOOKUP($C656,DexData,10,0)+INT(U656/4)+O656)/2)+5)*Z656)*IF(OR($E656="Eviolite",$E656="Assault Vest"),1.5,1))</f>
        <v>80</v>
      </c>
      <c r="AG656" s="84">
        <f>INT(INT((INT((2*VLOOKUP($C656,DexData,11,0)+INT(V656/4)+P656)/2)+5)*AA656)*IF($E656="Choice Scarf",1.5,IF($E656="Iron Ball",0.5,1)))</f>
        <v>102</v>
      </c>
      <c r="AH656" s="84" t="str">
        <f>VLOOKUP(VLOOKUP($C656,DexData,3,0),Aliases!D$2:E$19,2,0)&amp;IFERROR("/"&amp;VLOOKUP(VLOOKUP($C656,DexData,4,0),Aliases!D$2:E$19,2,0),"")</f>
        <v>GRD</v>
      </c>
      <c r="AI656" s="7">
        <v>3.0</v>
      </c>
      <c r="AJ656" s="7">
        <f>IF(VLOOKUP(B656,'Set Odds'!A$2:AN$1067,40,0),1,IF(VLOOKUP(B656,'Set Odds'!A$2:AO$1067,41,0),2,0))</f>
        <v>1</v>
      </c>
      <c r="AK656" s="7"/>
      <c r="AL656" s="7" t="str">
        <f t="shared" si="1"/>
        <v/>
      </c>
    </row>
    <row r="657" ht="12.75" customHeight="1">
      <c r="A657" s="86">
        <v>656.0</v>
      </c>
      <c r="B657" s="84" t="s">
        <v>4208</v>
      </c>
      <c r="C657" s="7" t="s">
        <v>3797</v>
      </c>
      <c r="D657" s="7" t="s">
        <v>2571</v>
      </c>
      <c r="E657" s="7" t="s">
        <v>2685</v>
      </c>
      <c r="F657" s="84" t="s">
        <v>2632</v>
      </c>
      <c r="G657" s="84" t="s">
        <v>3454</v>
      </c>
      <c r="H657" s="84" t="s">
        <v>2869</v>
      </c>
      <c r="I657" s="84" t="s">
        <v>2532</v>
      </c>
      <c r="J657" s="7" t="s">
        <v>3499</v>
      </c>
      <c r="K657" s="7">
        <v>31.0</v>
      </c>
      <c r="L657" s="7">
        <v>31.0</v>
      </c>
      <c r="M657" s="7">
        <v>31.0</v>
      </c>
      <c r="N657" s="7">
        <v>31.0</v>
      </c>
      <c r="O657" s="7">
        <v>31.0</v>
      </c>
      <c r="P657" s="7">
        <v>31.0</v>
      </c>
      <c r="Q657" s="7">
        <v>252.0</v>
      </c>
      <c r="R657" s="7">
        <v>252.0</v>
      </c>
      <c r="S657" s="7">
        <v>4.0</v>
      </c>
      <c r="T657" s="7">
        <v>0.0</v>
      </c>
      <c r="U657" s="7">
        <v>0.0</v>
      </c>
      <c r="V657" s="7">
        <v>0.0</v>
      </c>
      <c r="W657" s="7">
        <f>VLOOKUP($D657,NatureChart,2,0)</f>
        <v>1.1</v>
      </c>
      <c r="X657" s="7">
        <f>VLOOKUP($D657,NatureChart,3,0)</f>
        <v>1</v>
      </c>
      <c r="Y657" s="7">
        <f>VLOOKUP($D657,NatureChart,4,0)</f>
        <v>0.9</v>
      </c>
      <c r="Z657" s="7">
        <f>VLOOKUP($D657,NatureChart,5,0)</f>
        <v>1</v>
      </c>
      <c r="AA657" s="84">
        <f>VLOOKUP($D657,NatureChart,6,0)</f>
        <v>1</v>
      </c>
      <c r="AB657" s="84">
        <f>IF($C657="Shedinja",1,(INT((2*VLOOKUP($C657,DexData,5,0)+INT(Q657/4)+K657)/2)+60))</f>
        <v>277</v>
      </c>
      <c r="AC657" s="84">
        <f>INT(INT((INT((2*VLOOKUP($C657,DexData,6,0)+INT(R657/4)+L657)/2)+5)*W657)*IF($E657="Choice Band",1.5,IF(OR($E657="Mawilite",$E657="Medichamite",$E657="Thick Club"),2,1)))</f>
        <v>156</v>
      </c>
      <c r="AD657" s="84">
        <f>INT(INT((INT((2*VLOOKUP($C657,DexData,7,0)+INT(S657/4)+M657)/2)+5)*X657)*IF($E657="Eviolite",1.5,1))</f>
        <v>66</v>
      </c>
      <c r="AE657" s="84">
        <f>INT(INT((INT((2*VLOOKUP($C657,DexData,9,0)+INT(T657/4)+N657)/2)+5)*Y657)*IF($E657="Choice Specs",1.5,1))</f>
        <v>99</v>
      </c>
      <c r="AF657" s="84">
        <f>INT(INT((INT((2*VLOOKUP($C657,DexData,10,0)+INT(U657/4)+O657)/2)+5)*Z657)*IF(OR($E657="Eviolite",$E657="Assault Vest"),1.5,1))</f>
        <v>65</v>
      </c>
      <c r="AG657" s="84">
        <f>INT(INT((INT((2*VLOOKUP($C657,DexData,11,0)+INT(V657/4)+P657)/2)+5)*AA657)*IF($E657="Choice Scarf",1.5,IF($E657="Iron Ball",0.5,1)))</f>
        <v>80</v>
      </c>
      <c r="AH657" s="84" t="str">
        <f>VLOOKUP(VLOOKUP($C657,DexData,3,0),Aliases!D$2:E$19,2,0)&amp;IFERROR("/"&amp;VLOOKUP(VLOOKUP($C657,DexData,4,0),Aliases!D$2:E$19,2,0),"")</f>
        <v>WTR</v>
      </c>
      <c r="AI657" s="7">
        <v>3.0</v>
      </c>
      <c r="AJ657" s="7">
        <f>IF(VLOOKUP(B657,'Set Odds'!A$2:AN$1067,40,0),1,IF(VLOOKUP(B657,'Set Odds'!A$2:AO$1067,41,0),2,0))</f>
        <v>1</v>
      </c>
      <c r="AK657" s="7"/>
      <c r="AL657" s="7" t="str">
        <f t="shared" si="1"/>
        <v/>
      </c>
    </row>
    <row r="658" ht="12.75" customHeight="1">
      <c r="A658" s="86">
        <v>657.0</v>
      </c>
      <c r="B658" s="84" t="s">
        <v>4209</v>
      </c>
      <c r="C658" s="7" t="s">
        <v>4210</v>
      </c>
      <c r="D658" s="7" t="s">
        <v>3597</v>
      </c>
      <c r="E658" s="7" t="s">
        <v>3046</v>
      </c>
      <c r="F658" s="84" t="s">
        <v>2534</v>
      </c>
      <c r="G658" s="84" t="s">
        <v>3010</v>
      </c>
      <c r="H658" s="84" t="s">
        <v>3448</v>
      </c>
      <c r="I658" s="84" t="s">
        <v>3047</v>
      </c>
      <c r="J658" s="7" t="s">
        <v>3894</v>
      </c>
      <c r="K658" s="7">
        <v>31.0</v>
      </c>
      <c r="L658" s="7">
        <v>31.0</v>
      </c>
      <c r="M658" s="7">
        <v>31.0</v>
      </c>
      <c r="N658" s="7">
        <v>31.0</v>
      </c>
      <c r="O658" s="7">
        <v>31.0</v>
      </c>
      <c r="P658" s="7">
        <v>31.0</v>
      </c>
      <c r="Q658" s="7">
        <v>252.0</v>
      </c>
      <c r="R658" s="7">
        <v>0.0</v>
      </c>
      <c r="S658" s="7">
        <v>0.0</v>
      </c>
      <c r="T658" s="7">
        <v>0.0</v>
      </c>
      <c r="U658" s="7">
        <v>252.0</v>
      </c>
      <c r="V658" s="7">
        <v>4.0</v>
      </c>
      <c r="W658" s="7">
        <f>VLOOKUP($D658,NatureChart,2,0)</f>
        <v>0.9</v>
      </c>
      <c r="X658" s="7">
        <f>VLOOKUP($D658,NatureChart,3,0)</f>
        <v>1</v>
      </c>
      <c r="Y658" s="7">
        <f>VLOOKUP($D658,NatureChart,4,0)</f>
        <v>1</v>
      </c>
      <c r="Z658" s="7">
        <f>VLOOKUP($D658,NatureChart,5,0)</f>
        <v>1.1</v>
      </c>
      <c r="AA658" s="84">
        <f>VLOOKUP($D658,NatureChart,6,0)</f>
        <v>1</v>
      </c>
      <c r="AB658" s="84">
        <f>IF($C658="Shedinja",1,(INT((2*VLOOKUP($C658,DexData,5,0)+INT(Q658/4)+K658)/2)+60))</f>
        <v>197</v>
      </c>
      <c r="AC658" s="84">
        <f>INT(INT((INT((2*VLOOKUP($C658,DexData,6,0)+INT(R658/4)+L658)/2)+5)*W658)*IF($E658="Choice Band",1.5,IF(OR($E658="Mawilite",$E658="Medichamite",$E658="Thick Club"),2,1)))</f>
        <v>94</v>
      </c>
      <c r="AD658" s="84">
        <f>INT(INT((INT((2*VLOOKUP($C658,DexData,7,0)+INT(S658/4)+M658)/2)+5)*X658)*IF($E658="Eviolite",1.5,1))</f>
        <v>120</v>
      </c>
      <c r="AE658" s="84">
        <f>INT(INT((INT((2*VLOOKUP($C658,DexData,9,0)+INT(T658/4)+N658)/2)+5)*Y658)*IF($E658="Choice Specs",1.5,1))</f>
        <v>115</v>
      </c>
      <c r="AF658" s="84">
        <f>INT(INT((INT((2*VLOOKUP($C658,DexData,10,0)+INT(U658/4)+O658)/2)+5)*Z658)*IF(OR($E658="Eviolite",$E658="Assault Vest"),1.5,1))</f>
        <v>194</v>
      </c>
      <c r="AG658" s="84">
        <f>INT(INT((INT((2*VLOOKUP($C658,DexData,11,0)+INT(V658/4)+P658)/2)+5)*AA658)*IF($E658="Choice Scarf",1.5,IF($E658="Iron Ball",0.5,1)))</f>
        <v>106</v>
      </c>
      <c r="AH658" s="84" t="str">
        <f>VLOOKUP(VLOOKUP($C658,DexData,3,0),Aliases!D$2:E$19,2,0)&amp;IFERROR("/"&amp;VLOOKUP(VLOOKUP($C658,DexData,4,0),Aliases!D$2:E$19,2,0),"")</f>
        <v>ICE/FLY</v>
      </c>
      <c r="AI658" s="7">
        <v>3.0</v>
      </c>
      <c r="AJ658" s="7">
        <f>IF(VLOOKUP(B658,'Set Odds'!A$2:AN$1067,40,0),1,IF(VLOOKUP(B658,'Set Odds'!A$2:AO$1067,41,0),2,0))</f>
        <v>1</v>
      </c>
      <c r="AK658" s="7"/>
      <c r="AL658" s="7" t="str">
        <f t="shared" si="1"/>
        <v/>
      </c>
    </row>
    <row r="659" ht="12.75" customHeight="1">
      <c r="A659" s="86">
        <v>658.0</v>
      </c>
      <c r="B659" s="84" t="s">
        <v>4211</v>
      </c>
      <c r="C659" s="7" t="s">
        <v>4212</v>
      </c>
      <c r="D659" s="7" t="s">
        <v>2635</v>
      </c>
      <c r="E659" s="7" t="s">
        <v>2524</v>
      </c>
      <c r="F659" s="84" t="s">
        <v>2532</v>
      </c>
      <c r="G659" s="84" t="s">
        <v>3448</v>
      </c>
      <c r="H659" s="84" t="s">
        <v>3278</v>
      </c>
      <c r="I659" s="84" t="s">
        <v>4213</v>
      </c>
      <c r="J659" s="7" t="s">
        <v>3499</v>
      </c>
      <c r="K659" s="7">
        <v>31.0</v>
      </c>
      <c r="L659" s="7">
        <v>31.0</v>
      </c>
      <c r="M659" s="7">
        <v>31.0</v>
      </c>
      <c r="N659" s="7">
        <v>31.0</v>
      </c>
      <c r="O659" s="7">
        <v>31.0</v>
      </c>
      <c r="P659" s="7">
        <v>31.0</v>
      </c>
      <c r="Q659" s="7">
        <v>252.0</v>
      </c>
      <c r="R659" s="7">
        <v>0.0</v>
      </c>
      <c r="S659" s="7">
        <v>4.0</v>
      </c>
      <c r="T659" s="7">
        <v>0.0</v>
      </c>
      <c r="U659" s="7">
        <v>0.0</v>
      </c>
      <c r="V659" s="7">
        <v>252.0</v>
      </c>
      <c r="W659" s="7">
        <f>VLOOKUP($D659,NatureChart,2,0)</f>
        <v>0.9</v>
      </c>
      <c r="X659" s="7">
        <f>VLOOKUP($D659,NatureChart,3,0)</f>
        <v>1</v>
      </c>
      <c r="Y659" s="7">
        <f>VLOOKUP($D659,NatureChart,4,0)</f>
        <v>1</v>
      </c>
      <c r="Z659" s="7">
        <f>VLOOKUP($D659,NatureChart,5,0)</f>
        <v>1</v>
      </c>
      <c r="AA659" s="84">
        <f>VLOOKUP($D659,NatureChart,6,0)</f>
        <v>1.1</v>
      </c>
      <c r="AB659" s="84">
        <f>IF($C659="Shedinja",1,(INT((2*VLOOKUP($C659,DexData,5,0)+INT(Q659/4)+K659)/2)+60))</f>
        <v>197</v>
      </c>
      <c r="AC659" s="84">
        <f>INT(INT((INT((2*VLOOKUP($C659,DexData,6,0)+INT(R659/4)+L659)/2)+5)*W659)*IF($E659="Choice Band",1.5,IF(OR($E659="Mawilite",$E659="Medichamite",$E659="Thick Club"),2,1)))</f>
        <v>99</v>
      </c>
      <c r="AD659" s="84">
        <f>INT(INT((INT((2*VLOOKUP($C659,DexData,7,0)+INT(S659/4)+M659)/2)+5)*X659)*IF($E659="Eviolite",1.5,1))</f>
        <v>106</v>
      </c>
      <c r="AE659" s="84">
        <f>INT(INT((INT((2*VLOOKUP($C659,DexData,9,0)+INT(T659/4)+N659)/2)+5)*Y659)*IF($E659="Choice Specs",1.5,1))</f>
        <v>145</v>
      </c>
      <c r="AF659" s="84">
        <f>INT(INT((INT((2*VLOOKUP($C659,DexData,10,0)+INT(U659/4)+O659)/2)+5)*Z659)*IF(OR($E659="Eviolite",$E659="Assault Vest"),1.5,1))</f>
        <v>110</v>
      </c>
      <c r="AG659" s="84">
        <f>INT(INT((INT((2*VLOOKUP($C659,DexData,11,0)+INT(V659/4)+P659)/2)+5)*AA659)*IF($E659="Choice Scarf",1.5,IF($E659="Iron Ball",0.5,1)))</f>
        <v>167</v>
      </c>
      <c r="AH659" s="84" t="str">
        <f>VLOOKUP(VLOOKUP($C659,DexData,3,0),Aliases!D$2:E$19,2,0)&amp;IFERROR("/"&amp;VLOOKUP(VLOOKUP($C659,DexData,4,0),Aliases!D$2:E$19,2,0),"")</f>
        <v>ELC/FLY</v>
      </c>
      <c r="AI659" s="7">
        <v>3.0</v>
      </c>
      <c r="AJ659" s="7">
        <f>IF(VLOOKUP(B659,'Set Odds'!A$2:AN$1067,40,0),1,IF(VLOOKUP(B659,'Set Odds'!A$2:AO$1067,41,0),2,0))</f>
        <v>1</v>
      </c>
      <c r="AK659" s="7"/>
      <c r="AL659" s="7" t="str">
        <f t="shared" si="1"/>
        <v/>
      </c>
    </row>
    <row r="660" ht="12.75" customHeight="1">
      <c r="A660" s="86">
        <v>659.0</v>
      </c>
      <c r="B660" s="84" t="s">
        <v>4214</v>
      </c>
      <c r="C660" s="7" t="s">
        <v>4215</v>
      </c>
      <c r="D660" s="7" t="s">
        <v>2635</v>
      </c>
      <c r="E660" s="7" t="s">
        <v>3614</v>
      </c>
      <c r="F660" s="84" t="s">
        <v>2700</v>
      </c>
      <c r="G660" s="84" t="s">
        <v>2660</v>
      </c>
      <c r="H660" s="84" t="s">
        <v>3558</v>
      </c>
      <c r="I660" s="84" t="s">
        <v>2525</v>
      </c>
      <c r="J660" s="7" t="s">
        <v>3162</v>
      </c>
      <c r="K660" s="7">
        <v>31.0</v>
      </c>
      <c r="L660" s="7">
        <v>31.0</v>
      </c>
      <c r="M660" s="7">
        <v>31.0</v>
      </c>
      <c r="N660" s="7">
        <v>31.0</v>
      </c>
      <c r="O660" s="7">
        <v>31.0</v>
      </c>
      <c r="P660" s="7">
        <v>31.0</v>
      </c>
      <c r="Q660" s="7">
        <v>4.0</v>
      </c>
      <c r="R660" s="7">
        <v>0.0</v>
      </c>
      <c r="S660" s="7">
        <v>0.0</v>
      </c>
      <c r="T660" s="7">
        <v>252.0</v>
      </c>
      <c r="U660" s="7">
        <v>0.0</v>
      </c>
      <c r="V660" s="7">
        <v>252.0</v>
      </c>
      <c r="W660" s="7">
        <f>VLOOKUP($D660,NatureChart,2,0)</f>
        <v>0.9</v>
      </c>
      <c r="X660" s="7">
        <f>VLOOKUP($D660,NatureChart,3,0)</f>
        <v>1</v>
      </c>
      <c r="Y660" s="7">
        <f>VLOOKUP($D660,NatureChart,4,0)</f>
        <v>1</v>
      </c>
      <c r="Z660" s="7">
        <f>VLOOKUP($D660,NatureChart,5,0)</f>
        <v>1</v>
      </c>
      <c r="AA660" s="84">
        <f>VLOOKUP($D660,NatureChart,6,0)</f>
        <v>1.1</v>
      </c>
      <c r="AB660" s="84">
        <f>IF($C660="Shedinja",1,(INT((2*VLOOKUP($C660,DexData,5,0)+INT(Q660/4)+K660)/2)+60))</f>
        <v>166</v>
      </c>
      <c r="AC660" s="84">
        <f>INT(INT((INT((2*VLOOKUP($C660,DexData,6,0)+INT(R660/4)+L660)/2)+5)*W660)*IF($E660="Choice Band",1.5,IF(OR($E660="Mawilite",$E660="Medichamite",$E660="Thick Club"),2,1)))</f>
        <v>108</v>
      </c>
      <c r="AD660" s="84">
        <f>INT(INT((INT((2*VLOOKUP($C660,DexData,7,0)+INT(S660/4)+M660)/2)+5)*X660)*IF($E660="Eviolite",1.5,1))</f>
        <v>110</v>
      </c>
      <c r="AE660" s="84">
        <f>INT(INT((INT((2*VLOOKUP($C660,DexData,9,0)+INT(T660/4)+N660)/2)+5)*Y660)*IF($E660="Choice Specs",1.5,1))</f>
        <v>177</v>
      </c>
      <c r="AF660" s="84">
        <f>INT(INT((INT((2*VLOOKUP($C660,DexData,10,0)+INT(U660/4)+O660)/2)+5)*Z660)*IF(OR($E660="Eviolite",$E660="Assault Vest"),1.5,1))</f>
        <v>105</v>
      </c>
      <c r="AG660" s="84">
        <f>INT(INT((INT((2*VLOOKUP($C660,DexData,11,0)+INT(V660/4)+P660)/2)+5)*AA660)*IF($E660="Choice Scarf",1.5,IF($E660="Iron Ball",0.5,1)))</f>
        <v>156</v>
      </c>
      <c r="AH660" s="84" t="str">
        <f>VLOOKUP(VLOOKUP($C660,DexData,3,0),Aliases!D$2:E$19,2,0)&amp;IFERROR("/"&amp;VLOOKUP(VLOOKUP($C660,DexData,4,0),Aliases!D$2:E$19,2,0),"")</f>
        <v>FIR/FLY</v>
      </c>
      <c r="AI660" s="7">
        <v>3.0</v>
      </c>
      <c r="AJ660" s="7">
        <f>IF(VLOOKUP(B660,'Set Odds'!A$2:AN$1067,40,0),1,IF(VLOOKUP(B660,'Set Odds'!A$2:AO$1067,41,0),2,0))</f>
        <v>1</v>
      </c>
      <c r="AK660" s="7"/>
      <c r="AL660" s="7" t="str">
        <f t="shared" si="1"/>
        <v/>
      </c>
    </row>
    <row r="661" ht="12.75" customHeight="1">
      <c r="A661" s="86">
        <v>660.0</v>
      </c>
      <c r="B661" s="84" t="s">
        <v>4216</v>
      </c>
      <c r="C661" s="7" t="s">
        <v>4217</v>
      </c>
      <c r="D661" s="7" t="s">
        <v>2635</v>
      </c>
      <c r="E661" s="7" t="s">
        <v>3148</v>
      </c>
      <c r="F661" s="84" t="s">
        <v>2987</v>
      </c>
      <c r="G661" s="84" t="s">
        <v>4025</v>
      </c>
      <c r="H661" s="84" t="s">
        <v>3718</v>
      </c>
      <c r="I661" s="84" t="s">
        <v>2746</v>
      </c>
      <c r="J661" s="7" t="s">
        <v>3499</v>
      </c>
      <c r="K661" s="7">
        <v>31.0</v>
      </c>
      <c r="L661" s="7">
        <v>31.0</v>
      </c>
      <c r="M661" s="7">
        <v>31.0</v>
      </c>
      <c r="N661" s="7">
        <v>31.0</v>
      </c>
      <c r="O661" s="7">
        <v>31.0</v>
      </c>
      <c r="P661" s="7">
        <v>31.0</v>
      </c>
      <c r="Q661" s="7">
        <v>252.0</v>
      </c>
      <c r="R661" s="7">
        <v>0.0</v>
      </c>
      <c r="S661" s="7">
        <v>0.0</v>
      </c>
      <c r="T661" s="7">
        <v>4.0</v>
      </c>
      <c r="U661" s="7">
        <v>0.0</v>
      </c>
      <c r="V661" s="7">
        <v>252.0</v>
      </c>
      <c r="W661" s="7">
        <f>VLOOKUP($D661,NatureChart,2,0)</f>
        <v>0.9</v>
      </c>
      <c r="X661" s="7">
        <f>VLOOKUP($D661,NatureChart,3,0)</f>
        <v>1</v>
      </c>
      <c r="Y661" s="7">
        <f>VLOOKUP($D661,NatureChart,4,0)</f>
        <v>1</v>
      </c>
      <c r="Z661" s="7">
        <f>VLOOKUP($D661,NatureChart,5,0)</f>
        <v>1</v>
      </c>
      <c r="AA661" s="84">
        <f>VLOOKUP($D661,NatureChart,6,0)</f>
        <v>1.1</v>
      </c>
      <c r="AB661" s="84">
        <f>IF($C661="Shedinja",1,(INT((2*VLOOKUP($C661,DexData,5,0)+INT(Q661/4)+K661)/2)+60))</f>
        <v>197</v>
      </c>
      <c r="AC661" s="84">
        <f>INT(INT((INT((2*VLOOKUP($C661,DexData,6,0)+INT(R661/4)+L661)/2)+5)*W661)*IF($E661="Choice Band",1.5,IF(OR($E661="Mawilite",$E661="Medichamite",$E661="Thick Club"),2,1)))</f>
        <v>94</v>
      </c>
      <c r="AD661" s="84">
        <f>INT(INT((INT((2*VLOOKUP($C661,DexData,7,0)+INT(S661/4)+M661)/2)+5)*X661)*IF($E661="Eviolite",1.5,1))</f>
        <v>95</v>
      </c>
      <c r="AE661" s="84">
        <f>INT(INT((INT((2*VLOOKUP($C661,DexData,9,0)+INT(T661/4)+N661)/2)+5)*Y661)*IF($E661="Choice Specs",1.5,1))</f>
        <v>136</v>
      </c>
      <c r="AF661" s="84">
        <f>INT(INT((INT((2*VLOOKUP($C661,DexData,10,0)+INT(U661/4)+O661)/2)+5)*Z661)*IF(OR($E661="Eviolite",$E661="Assault Vest"),1.5,1))</f>
        <v>120</v>
      </c>
      <c r="AG661" s="84">
        <f>INT(INT((INT((2*VLOOKUP($C661,DexData,11,0)+INT(V661/4)+P661)/2)+5)*AA661)*IF($E661="Choice Scarf",1.5,IF($E661="Iron Ball",0.5,1)))</f>
        <v>183</v>
      </c>
      <c r="AH661" s="84" t="str">
        <f>VLOOKUP(VLOOKUP($C661,DexData,3,0),Aliases!D$2:E$19,2,0)&amp;IFERROR("/"&amp;VLOOKUP(VLOOKUP($C661,DexData,4,0),Aliases!D$2:E$19,2,0),"")</f>
        <v>ELC</v>
      </c>
      <c r="AI661" s="7">
        <v>3.0</v>
      </c>
      <c r="AJ661" s="7">
        <f>IF(VLOOKUP(B661,'Set Odds'!A$2:AN$1067,40,0),1,IF(VLOOKUP(B661,'Set Odds'!A$2:AO$1067,41,0),2,0))</f>
        <v>1</v>
      </c>
      <c r="AK661" s="7"/>
      <c r="AL661" s="7" t="str">
        <f t="shared" si="1"/>
        <v/>
      </c>
    </row>
    <row r="662" ht="12.75" customHeight="1">
      <c r="A662" s="86">
        <v>661.0</v>
      </c>
      <c r="B662" s="84" t="s">
        <v>4218</v>
      </c>
      <c r="C662" s="7" t="s">
        <v>4219</v>
      </c>
      <c r="D662" s="7" t="s">
        <v>2862</v>
      </c>
      <c r="E662" s="7" t="s">
        <v>3715</v>
      </c>
      <c r="F662" s="84" t="s">
        <v>2866</v>
      </c>
      <c r="G662" s="84" t="s">
        <v>4220</v>
      </c>
      <c r="H662" s="84" t="s">
        <v>3718</v>
      </c>
      <c r="I662" s="84" t="s">
        <v>2712</v>
      </c>
      <c r="J662" s="7" t="s">
        <v>3233</v>
      </c>
      <c r="K662" s="7">
        <v>31.0</v>
      </c>
      <c r="L662" s="7">
        <v>31.0</v>
      </c>
      <c r="M662" s="7">
        <v>31.0</v>
      </c>
      <c r="N662" s="7">
        <v>31.0</v>
      </c>
      <c r="O662" s="7">
        <v>31.0</v>
      </c>
      <c r="P662" s="7">
        <v>31.0</v>
      </c>
      <c r="Q662" s="7">
        <v>252.0</v>
      </c>
      <c r="R662" s="7">
        <v>0.0</v>
      </c>
      <c r="S662" s="7">
        <v>252.0</v>
      </c>
      <c r="T662" s="7">
        <v>0.0</v>
      </c>
      <c r="U662" s="7">
        <v>0.0</v>
      </c>
      <c r="V662" s="7">
        <v>4.0</v>
      </c>
      <c r="W662" s="7">
        <f>VLOOKUP($D662,NatureChart,2,0)</f>
        <v>0.9</v>
      </c>
      <c r="X662" s="7">
        <f>VLOOKUP($D662,NatureChart,3,0)</f>
        <v>1.1</v>
      </c>
      <c r="Y662" s="7">
        <f>VLOOKUP($D662,NatureChart,4,0)</f>
        <v>1</v>
      </c>
      <c r="Z662" s="7">
        <f>VLOOKUP($D662,NatureChart,5,0)</f>
        <v>1</v>
      </c>
      <c r="AA662" s="84">
        <f>VLOOKUP($D662,NatureChart,6,0)</f>
        <v>1</v>
      </c>
      <c r="AB662" s="84">
        <f>IF($C662="Shedinja",1,(INT((2*VLOOKUP($C662,DexData,5,0)+INT(Q662/4)+K662)/2)+60))</f>
        <v>222</v>
      </c>
      <c r="AC662" s="84">
        <f>INT(INT((INT((2*VLOOKUP($C662,DexData,6,0)+INT(R662/4)+L662)/2)+5)*W662)*IF($E662="Choice Band",1.5,IF(OR($E662="Mawilite",$E662="Medichamite",$E662="Thick Club"),2,1)))</f>
        <v>121</v>
      </c>
      <c r="AD662" s="84">
        <f>INT(INT((INT((2*VLOOKUP($C662,DexData,7,0)+INT(S662/4)+M662)/2)+5)*X662)*IF($E662="Eviolite",1.5,1))</f>
        <v>150</v>
      </c>
      <c r="AE662" s="84">
        <f>INT(INT((INT((2*VLOOKUP($C662,DexData,9,0)+INT(T662/4)+N662)/2)+5)*Y662)*IF($E662="Choice Specs",1.5,1))</f>
        <v>110</v>
      </c>
      <c r="AF662" s="84">
        <f>INT(INT((INT((2*VLOOKUP($C662,DexData,10,0)+INT(U662/4)+O662)/2)+5)*Z662)*IF(OR($E662="Eviolite",$E662="Assault Vest"),1.5,1))</f>
        <v>95</v>
      </c>
      <c r="AG662" s="84">
        <f>INT(INT((INT((2*VLOOKUP($C662,DexData,11,0)+INT(V662/4)+P662)/2)+5)*AA662)*IF($E662="Choice Scarf",1.5,IF($E662="Iron Ball",0.5,1)))</f>
        <v>121</v>
      </c>
      <c r="AH662" s="84" t="str">
        <f>VLOOKUP(VLOOKUP($C662,DexData,3,0),Aliases!D$2:E$19,2,0)&amp;IFERROR("/"&amp;VLOOKUP(VLOOKUP($C662,DexData,4,0),Aliases!D$2:E$19,2,0),"")</f>
        <v>FIR</v>
      </c>
      <c r="AI662" s="7">
        <v>3.0</v>
      </c>
      <c r="AJ662" s="7">
        <f>IF(VLOOKUP(B662,'Set Odds'!A$2:AN$1067,40,0),1,IF(VLOOKUP(B662,'Set Odds'!A$2:AO$1067,41,0),2,0))</f>
        <v>1</v>
      </c>
      <c r="AK662" s="7"/>
      <c r="AL662" s="7" t="str">
        <f t="shared" si="1"/>
        <v/>
      </c>
    </row>
    <row r="663" ht="12.75" customHeight="1">
      <c r="A663" s="86">
        <v>662.0</v>
      </c>
      <c r="B663" s="84" t="s">
        <v>4221</v>
      </c>
      <c r="C663" s="7" t="s">
        <v>4222</v>
      </c>
      <c r="D663" s="7" t="s">
        <v>2656</v>
      </c>
      <c r="E663" s="7" t="s">
        <v>3046</v>
      </c>
      <c r="F663" s="84" t="s">
        <v>3010</v>
      </c>
      <c r="G663" s="84" t="s">
        <v>2880</v>
      </c>
      <c r="H663" s="84" t="s">
        <v>2823</v>
      </c>
      <c r="I663" s="84" t="s">
        <v>3047</v>
      </c>
      <c r="J663" s="7" t="s">
        <v>3499</v>
      </c>
      <c r="K663" s="7">
        <v>31.0</v>
      </c>
      <c r="L663" s="7">
        <v>31.0</v>
      </c>
      <c r="M663" s="7">
        <v>31.0</v>
      </c>
      <c r="N663" s="7">
        <v>31.0</v>
      </c>
      <c r="O663" s="7">
        <v>31.0</v>
      </c>
      <c r="P663" s="7">
        <v>31.0</v>
      </c>
      <c r="Q663" s="7">
        <v>252.0</v>
      </c>
      <c r="R663" s="7">
        <v>0.0</v>
      </c>
      <c r="S663" s="7">
        <v>252.0</v>
      </c>
      <c r="T663" s="7">
        <v>4.0</v>
      </c>
      <c r="U663" s="7">
        <v>0.0</v>
      </c>
      <c r="V663" s="7">
        <v>0.0</v>
      </c>
      <c r="W663" s="7">
        <f>VLOOKUP($D663,NatureChart,2,0)</f>
        <v>0.9</v>
      </c>
      <c r="X663" s="7">
        <f>VLOOKUP($D663,NatureChart,3,0)</f>
        <v>1</v>
      </c>
      <c r="Y663" s="7">
        <f>VLOOKUP($D663,NatureChart,4,0)</f>
        <v>1.1</v>
      </c>
      <c r="Z663" s="7">
        <f>VLOOKUP($D663,NatureChart,5,0)</f>
        <v>1</v>
      </c>
      <c r="AA663" s="84">
        <f>VLOOKUP($D663,NatureChart,6,0)</f>
        <v>1</v>
      </c>
      <c r="AB663" s="84">
        <f>IF($C663="Shedinja",1,(INT((2*VLOOKUP($C663,DexData,5,0)+INT(Q663/4)+K663)/2)+60))</f>
        <v>207</v>
      </c>
      <c r="AC663" s="84">
        <f>INT(INT((INT((2*VLOOKUP($C663,DexData,6,0)+INT(R663/4)+L663)/2)+5)*W663)*IF($E663="Choice Band",1.5,IF(OR($E663="Mawilite",$E663="Medichamite",$E663="Thick Club"),2,1)))</f>
        <v>85</v>
      </c>
      <c r="AD663" s="84">
        <f>INT(INT((INT((2*VLOOKUP($C663,DexData,7,0)+INT(S663/4)+M663)/2)+5)*X663)*IF($E663="Eviolite",1.5,1))</f>
        <v>167</v>
      </c>
      <c r="AE663" s="84">
        <f>INT(INT((INT((2*VLOOKUP($C663,DexData,9,0)+INT(T663/4)+N663)/2)+5)*Y663)*IF($E663="Choice Specs",1.5,1))</f>
        <v>122</v>
      </c>
      <c r="AF663" s="84">
        <f>INT(INT((INT((2*VLOOKUP($C663,DexData,10,0)+INT(U663/4)+O663)/2)+5)*Z663)*IF(OR($E663="Eviolite",$E663="Assault Vest"),1.5,1))</f>
        <v>135</v>
      </c>
      <c r="AG663" s="84">
        <f>INT(INT((INT((2*VLOOKUP($C663,DexData,11,0)+INT(V663/4)+P663)/2)+5)*AA663)*IF($E663="Choice Scarf",1.5,IF($E663="Iron Ball",0.5,1)))</f>
        <v>105</v>
      </c>
      <c r="AH663" s="84" t="str">
        <f>VLOOKUP(VLOOKUP($C663,DexData,3,0),Aliases!D$2:E$19,2,0)&amp;IFERROR("/"&amp;VLOOKUP(VLOOKUP($C663,DexData,4,0),Aliases!D$2:E$19,2,0),"")</f>
        <v>WTR</v>
      </c>
      <c r="AI663" s="7">
        <v>3.0</v>
      </c>
      <c r="AJ663" s="7">
        <f>IF(VLOOKUP(B663,'Set Odds'!A$2:AN$1067,40,0),1,IF(VLOOKUP(B663,'Set Odds'!A$2:AO$1067,41,0),2,0))</f>
        <v>1</v>
      </c>
      <c r="AK663" s="7"/>
      <c r="AL663" s="7" t="str">
        <f t="shared" si="1"/>
        <v/>
      </c>
    </row>
    <row r="664" ht="12.75" customHeight="1">
      <c r="A664" s="86">
        <v>663.0</v>
      </c>
      <c r="B664" s="84" t="s">
        <v>4223</v>
      </c>
      <c r="C664" s="7" t="s">
        <v>4224</v>
      </c>
      <c r="D664" s="7" t="s">
        <v>2571</v>
      </c>
      <c r="E664" s="7" t="s">
        <v>2724</v>
      </c>
      <c r="F664" s="84" t="s">
        <v>3535</v>
      </c>
      <c r="G664" s="84" t="s">
        <v>3441</v>
      </c>
      <c r="H664" s="84" t="s">
        <v>2751</v>
      </c>
      <c r="I664" s="84" t="s">
        <v>2758</v>
      </c>
      <c r="J664" s="7" t="s">
        <v>2728</v>
      </c>
      <c r="K664" s="7">
        <v>31.0</v>
      </c>
      <c r="L664" s="7">
        <v>31.0</v>
      </c>
      <c r="M664" s="7">
        <v>31.0</v>
      </c>
      <c r="N664" s="7">
        <v>31.0</v>
      </c>
      <c r="O664" s="7">
        <v>31.0</v>
      </c>
      <c r="P664" s="7">
        <v>31.0</v>
      </c>
      <c r="Q664" s="7">
        <v>4.0</v>
      </c>
      <c r="R664" s="7">
        <v>252.0</v>
      </c>
      <c r="S664" s="7">
        <v>0.0</v>
      </c>
      <c r="T664" s="7">
        <v>0.0</v>
      </c>
      <c r="U664" s="7">
        <v>0.0</v>
      </c>
      <c r="V664" s="7">
        <v>252.0</v>
      </c>
      <c r="W664" s="7">
        <f>VLOOKUP($D664,NatureChart,2,0)</f>
        <v>1.1</v>
      </c>
      <c r="X664" s="7">
        <f>VLOOKUP($D664,NatureChart,3,0)</f>
        <v>1</v>
      </c>
      <c r="Y664" s="7">
        <f>VLOOKUP($D664,NatureChart,4,0)</f>
        <v>0.9</v>
      </c>
      <c r="Z664" s="7">
        <f>VLOOKUP($D664,NatureChart,5,0)</f>
        <v>1</v>
      </c>
      <c r="AA664" s="84">
        <f>VLOOKUP($D664,NatureChart,6,0)</f>
        <v>1</v>
      </c>
      <c r="AB664" s="84">
        <f>IF($C664="Shedinja",1,(INT((2*VLOOKUP($C664,DexData,5,0)+INT(Q664/4)+K664)/2)+60))</f>
        <v>156</v>
      </c>
      <c r="AC664" s="84">
        <f>INT(INT((INT((2*VLOOKUP($C664,DexData,6,0)+INT(R664/4)+L664)/2)+5)*W664)*IF($E664="Choice Band",1.5,IF(OR($E664="Mawilite",$E664="Medichamite",$E664="Thick Club"),2,1)))</f>
        <v>167</v>
      </c>
      <c r="AD664" s="84">
        <f>INT(INT((INT((2*VLOOKUP($C664,DexData,7,0)+INT(S664/4)+M664)/2)+5)*X664)*IF($E664="Eviolite",1.5,1))</f>
        <v>220</v>
      </c>
      <c r="AE664" s="84">
        <f>INT(INT((INT((2*VLOOKUP($C664,DexData,9,0)+INT(T664/4)+N664)/2)+5)*Y664)*IF($E664="Choice Specs",1.5,1))</f>
        <v>63</v>
      </c>
      <c r="AF664" s="84">
        <f>INT(INT((INT((2*VLOOKUP($C664,DexData,10,0)+INT(U664/4)+O664)/2)+5)*Z664)*IF(OR($E664="Eviolite",$E664="Assault Vest"),1.5,1))</f>
        <v>120</v>
      </c>
      <c r="AG664" s="84">
        <f>INT(INT((INT((2*VLOOKUP($C664,DexData,11,0)+INT(V664/4)+P664)/2)+5)*AA664)*IF($E664="Choice Scarf",1.5,IF($E664="Iron Ball",0.5,1)))</f>
        <v>102</v>
      </c>
      <c r="AH664" s="84" t="str">
        <f>VLOOKUP(VLOOKUP($C664,DexData,3,0),Aliases!D$2:E$19,2,0)&amp;IFERROR("/"&amp;VLOOKUP(VLOOKUP($C664,DexData,4,0),Aliases!D$2:E$19,2,0),"")</f>
        <v>RCK</v>
      </c>
      <c r="AI664" s="7">
        <v>3.0</v>
      </c>
      <c r="AJ664" s="7">
        <f>IF(VLOOKUP(B664,'Set Odds'!A$2:AN$1067,40,0),1,IF(VLOOKUP(B664,'Set Odds'!A$2:AO$1067,41,0),2,0))</f>
        <v>1</v>
      </c>
      <c r="AK664" s="7"/>
      <c r="AL664" s="7" t="str">
        <f t="shared" si="1"/>
        <v/>
      </c>
    </row>
    <row r="665" ht="12.75" customHeight="1">
      <c r="A665" s="86">
        <v>664.0</v>
      </c>
      <c r="B665" s="84" t="s">
        <v>4225</v>
      </c>
      <c r="C665" s="7" t="s">
        <v>4226</v>
      </c>
      <c r="D665" s="7" t="s">
        <v>2656</v>
      </c>
      <c r="E665" s="7" t="s">
        <v>2828</v>
      </c>
      <c r="F665" s="84" t="s">
        <v>2823</v>
      </c>
      <c r="G665" s="84" t="s">
        <v>3435</v>
      </c>
      <c r="H665" s="84" t="s">
        <v>3994</v>
      </c>
      <c r="I665" s="84" t="s">
        <v>3524</v>
      </c>
      <c r="J665" s="7" t="s">
        <v>3370</v>
      </c>
      <c r="K665" s="7">
        <v>31.0</v>
      </c>
      <c r="L665" s="7">
        <v>31.0</v>
      </c>
      <c r="M665" s="7">
        <v>31.0</v>
      </c>
      <c r="N665" s="7">
        <v>31.0</v>
      </c>
      <c r="O665" s="7">
        <v>31.0</v>
      </c>
      <c r="P665" s="7">
        <v>31.0</v>
      </c>
      <c r="Q665" s="7">
        <v>252.0</v>
      </c>
      <c r="R665" s="7">
        <v>0.0</v>
      </c>
      <c r="S665" s="7">
        <v>0.0</v>
      </c>
      <c r="T665" s="7">
        <v>252.0</v>
      </c>
      <c r="U665" s="7">
        <v>4.0</v>
      </c>
      <c r="V665" s="7">
        <v>0.0</v>
      </c>
      <c r="W665" s="7">
        <f>VLOOKUP($D665,NatureChart,2,0)</f>
        <v>0.9</v>
      </c>
      <c r="X665" s="7">
        <f>VLOOKUP($D665,NatureChart,3,0)</f>
        <v>1</v>
      </c>
      <c r="Y665" s="7">
        <f>VLOOKUP($D665,NatureChart,4,0)</f>
        <v>1.1</v>
      </c>
      <c r="Z665" s="7">
        <f>VLOOKUP($D665,NatureChart,5,0)</f>
        <v>1</v>
      </c>
      <c r="AA665" s="84">
        <f>VLOOKUP($D665,NatureChart,6,0)</f>
        <v>1</v>
      </c>
      <c r="AB665" s="84">
        <f>IF($C665="Shedinja",1,(INT((2*VLOOKUP($C665,DexData,5,0)+INT(Q665/4)+K665)/2)+60))</f>
        <v>187</v>
      </c>
      <c r="AC665" s="84">
        <f>INT(INT((INT((2*VLOOKUP($C665,DexData,6,0)+INT(R665/4)+L665)/2)+5)*W665)*IF($E665="Choice Band",1.5,IF(OR($E665="Mawilite",$E665="Medichamite",$E665="Thick Club"),2,1)))</f>
        <v>63</v>
      </c>
      <c r="AD665" s="84">
        <f>INT(INT((INT((2*VLOOKUP($C665,DexData,7,0)+INT(S665/4)+M665)/2)+5)*X665)*IF($E665="Eviolite",1.5,1))</f>
        <v>120</v>
      </c>
      <c r="AE665" s="84">
        <f>INT(INT((INT((2*VLOOKUP($C665,DexData,9,0)+INT(T665/4)+N665)/2)+5)*Y665)*IF($E665="Choice Specs",1.5,1))</f>
        <v>167</v>
      </c>
      <c r="AF665" s="84">
        <f>INT(INT((INT((2*VLOOKUP($C665,DexData,10,0)+INT(U665/4)+O665)/2)+5)*Z665)*IF(OR($E665="Eviolite",$E665="Assault Vest"),1.5,1))</f>
        <v>221</v>
      </c>
      <c r="AG665" s="84">
        <f>INT(INT((INT((2*VLOOKUP($C665,DexData,11,0)+INT(V665/4)+P665)/2)+5)*AA665)*IF($E665="Choice Scarf",1.5,IF($E665="Iron Ball",0.5,1)))</f>
        <v>70</v>
      </c>
      <c r="AH665" s="84" t="str">
        <f>VLOOKUP(VLOOKUP($C665,DexData,3,0),Aliases!D$2:E$19,2,0)&amp;IFERROR("/"&amp;VLOOKUP(VLOOKUP($C665,DexData,4,0),Aliases!D$2:E$19,2,0),"")</f>
        <v>ICE</v>
      </c>
      <c r="AI665" s="7">
        <v>3.0</v>
      </c>
      <c r="AJ665" s="7">
        <f>IF(VLOOKUP(B665,'Set Odds'!A$2:AN$1067,40,0),1,IF(VLOOKUP(B665,'Set Odds'!A$2:AO$1067,41,0),2,0))</f>
        <v>1</v>
      </c>
      <c r="AK665" s="7"/>
      <c r="AL665" s="7" t="str">
        <f t="shared" si="1"/>
        <v/>
      </c>
    </row>
    <row r="666" ht="12.75" customHeight="1">
      <c r="A666" s="86">
        <v>665.0</v>
      </c>
      <c r="B666" s="84" t="s">
        <v>4227</v>
      </c>
      <c r="C666" s="7" t="s">
        <v>4228</v>
      </c>
      <c r="D666" s="7" t="s">
        <v>2811</v>
      </c>
      <c r="E666" s="7" t="s">
        <v>3003</v>
      </c>
      <c r="F666" s="84" t="s">
        <v>2632</v>
      </c>
      <c r="G666" s="84" t="s">
        <v>2841</v>
      </c>
      <c r="H666" s="84" t="s">
        <v>3524</v>
      </c>
      <c r="I666" s="84" t="s">
        <v>2887</v>
      </c>
      <c r="J666" s="7" t="s">
        <v>3370</v>
      </c>
      <c r="K666" s="7">
        <v>31.0</v>
      </c>
      <c r="L666" s="7">
        <v>31.0</v>
      </c>
      <c r="M666" s="7">
        <v>31.0</v>
      </c>
      <c r="N666" s="7">
        <v>31.0</v>
      </c>
      <c r="O666" s="7">
        <v>31.0</v>
      </c>
      <c r="P666" s="7">
        <v>31.0</v>
      </c>
      <c r="Q666" s="7">
        <v>252.0</v>
      </c>
      <c r="R666" s="7">
        <v>0.0</v>
      </c>
      <c r="S666" s="7">
        <v>4.0</v>
      </c>
      <c r="T666" s="7">
        <v>252.0</v>
      </c>
      <c r="U666" s="7">
        <v>0.0</v>
      </c>
      <c r="V666" s="7">
        <v>0.0</v>
      </c>
      <c r="W666" s="7">
        <f>VLOOKUP($D666,NatureChart,2,0)</f>
        <v>1</v>
      </c>
      <c r="X666" s="7">
        <f>VLOOKUP($D666,NatureChart,3,0)</f>
        <v>1.1</v>
      </c>
      <c r="Y666" s="7">
        <f>VLOOKUP($D666,NatureChart,4,0)</f>
        <v>1</v>
      </c>
      <c r="Z666" s="7">
        <f>VLOOKUP($D666,NatureChart,5,0)</f>
        <v>1</v>
      </c>
      <c r="AA666" s="84">
        <f>VLOOKUP($D666,NatureChart,6,0)</f>
        <v>0.9</v>
      </c>
      <c r="AB666" s="84">
        <f>IF($C666="Shedinja",1,(INT((2*VLOOKUP($C666,DexData,5,0)+INT(Q666/4)+K666)/2)+60))</f>
        <v>187</v>
      </c>
      <c r="AC666" s="84">
        <f>INT(INT((INT((2*VLOOKUP($C666,DexData,6,0)+INT(R666/4)+L666)/2)+5)*W666)*IF($E666="Choice Band",1.5,IF(OR($E666="Mawilite",$E666="Medichamite",$E666="Thick Club"),2,1)))</f>
        <v>95</v>
      </c>
      <c r="AD666" s="84">
        <f>INT(INT((INT((2*VLOOKUP($C666,DexData,7,0)+INT(S666/4)+M666)/2)+5)*X666)*IF($E666="Eviolite",1.5,1))</f>
        <v>188</v>
      </c>
      <c r="AE666" s="84">
        <f>INT(INT((INT((2*VLOOKUP($C666,DexData,9,0)+INT(T666/4)+N666)/2)+5)*Y666)*IF($E666="Choice Specs",1.5,1))</f>
        <v>127</v>
      </c>
      <c r="AF666" s="84">
        <f>INT(INT((INT((2*VLOOKUP($C666,DexData,10,0)+INT(U666/4)+O666)/2)+5)*Z666)*IF(OR($E666="Eviolite",$E666="Assault Vest"),1.5,1))</f>
        <v>170</v>
      </c>
      <c r="AG666" s="84">
        <f>INT(INT((INT((2*VLOOKUP($C666,DexData,11,0)+INT(V666/4)+P666)/2)+5)*AA666)*IF($E666="Choice Scarf",1.5,IF($E666="Iron Ball",0.5,1)))</f>
        <v>63</v>
      </c>
      <c r="AH666" s="84" t="str">
        <f>VLOOKUP(VLOOKUP($C666,DexData,3,0),Aliases!D$2:E$19,2,0)&amp;IFERROR("/"&amp;VLOOKUP(VLOOKUP($C666,DexData,4,0),Aliases!D$2:E$19,2,0),"")</f>
        <v>STL</v>
      </c>
      <c r="AI666" s="7">
        <v>3.0</v>
      </c>
      <c r="AJ666" s="7">
        <f>IF(VLOOKUP(B666,'Set Odds'!A$2:AN$1067,40,0),1,IF(VLOOKUP(B666,'Set Odds'!A$2:AO$1067,41,0),2,0))</f>
        <v>1</v>
      </c>
      <c r="AK666" s="7"/>
      <c r="AL666" s="7" t="str">
        <f t="shared" si="1"/>
        <v/>
      </c>
    </row>
    <row r="667" ht="12.75" customHeight="1">
      <c r="A667" s="86">
        <v>666.0</v>
      </c>
      <c r="B667" s="84" t="s">
        <v>4229</v>
      </c>
      <c r="C667" s="7" t="s">
        <v>4230</v>
      </c>
      <c r="D667" s="7" t="s">
        <v>2635</v>
      </c>
      <c r="E667" s="7" t="s">
        <v>3759</v>
      </c>
      <c r="F667" s="84" t="s">
        <v>2659</v>
      </c>
      <c r="G667" s="84" t="s">
        <v>3730</v>
      </c>
      <c r="H667" s="84" t="s">
        <v>2631</v>
      </c>
      <c r="I667" s="84" t="s">
        <v>3428</v>
      </c>
      <c r="J667" s="7" t="s">
        <v>2714</v>
      </c>
      <c r="K667" s="7">
        <v>31.0</v>
      </c>
      <c r="L667" s="7">
        <v>31.0</v>
      </c>
      <c r="M667" s="7">
        <v>31.0</v>
      </c>
      <c r="N667" s="7">
        <v>31.0</v>
      </c>
      <c r="O667" s="7">
        <v>31.0</v>
      </c>
      <c r="P667" s="7">
        <v>31.0</v>
      </c>
      <c r="Q667" s="7">
        <v>4.0</v>
      </c>
      <c r="R667" s="7">
        <v>0.0</v>
      </c>
      <c r="S667" s="7">
        <v>0.0</v>
      </c>
      <c r="T667" s="7">
        <v>252.0</v>
      </c>
      <c r="U667" s="7">
        <v>0.0</v>
      </c>
      <c r="V667" s="7">
        <v>252.0</v>
      </c>
      <c r="W667" s="7">
        <f>VLOOKUP($D667,NatureChart,2,0)</f>
        <v>0.9</v>
      </c>
      <c r="X667" s="7">
        <f>VLOOKUP($D667,NatureChart,3,0)</f>
        <v>1</v>
      </c>
      <c r="Y667" s="7">
        <f>VLOOKUP($D667,NatureChart,4,0)</f>
        <v>1</v>
      </c>
      <c r="Z667" s="7">
        <f>VLOOKUP($D667,NatureChart,5,0)</f>
        <v>1</v>
      </c>
      <c r="AA667" s="84">
        <f>VLOOKUP($D667,NatureChart,6,0)</f>
        <v>1.1</v>
      </c>
      <c r="AB667" s="84">
        <f>IF($C667="Shedinja",1,(INT((2*VLOOKUP($C667,DexData,5,0)+INT(Q667/4)+K667)/2)+60))</f>
        <v>156</v>
      </c>
      <c r="AC667" s="84">
        <f>INT(INT((INT((2*VLOOKUP($C667,DexData,6,0)+INT(R667/4)+L667)/2)+5)*W667)*IF($E667="Choice Band",1.5,IF(OR($E667="Mawilite",$E667="Medichamite",$E667="Thick Club"),2,1)))</f>
        <v>90</v>
      </c>
      <c r="AD667" s="84">
        <f>INT(INT((INT((2*VLOOKUP($C667,DexData,7,0)+INT(S667/4)+M667)/2)+5)*X667)*IF($E667="Eviolite",1.5,1))</f>
        <v>110</v>
      </c>
      <c r="AE667" s="84">
        <f>INT(INT((INT((2*VLOOKUP($C667,DexData,9,0)+INT(T667/4)+N667)/2)+5)*Y667)*IF($E667="Choice Specs",1.5,1))</f>
        <v>162</v>
      </c>
      <c r="AF667" s="84">
        <f>INT(INT((INT((2*VLOOKUP($C667,DexData,10,0)+INT(U667/4)+O667)/2)+5)*Z667)*IF(OR($E667="Eviolite",$E667="Assault Vest"),1.5,1))</f>
        <v>150</v>
      </c>
      <c r="AG667" s="84">
        <f>INT(INT((INT((2*VLOOKUP($C667,DexData,11,0)+INT(V667/4)+P667)/2)+5)*AA667)*IF($E667="Choice Scarf",1.5,IF($E667="Iron Ball",0.5,1)))</f>
        <v>178</v>
      </c>
      <c r="AH667" s="84" t="str">
        <f>VLOOKUP(VLOOKUP($C667,DexData,3,0),Aliases!D$2:E$19,2,0)&amp;IFERROR("/"&amp;VLOOKUP(VLOOKUP($C667,DexData,4,0),Aliases!D$2:E$19,2,0),"")</f>
        <v>DRG/PSY</v>
      </c>
      <c r="AI667" s="7">
        <v>3.0</v>
      </c>
      <c r="AJ667" s="7">
        <f>IF(VLOOKUP(B667,'Set Odds'!A$2:AN$1067,40,0),1,IF(VLOOKUP(B667,'Set Odds'!A$2:AO$1067,41,0),2,0))</f>
        <v>1</v>
      </c>
      <c r="AK667" s="7"/>
      <c r="AL667" s="7" t="str">
        <f t="shared" si="1"/>
        <v/>
      </c>
    </row>
    <row r="668" ht="12.75" customHeight="1">
      <c r="A668" s="86">
        <v>667.0</v>
      </c>
      <c r="B668" s="84" t="s">
        <v>4231</v>
      </c>
      <c r="C668" s="7" t="s">
        <v>4232</v>
      </c>
      <c r="D668" s="7" t="s">
        <v>2571</v>
      </c>
      <c r="E668" s="7" t="s">
        <v>3726</v>
      </c>
      <c r="F668" s="84" t="s">
        <v>2764</v>
      </c>
      <c r="G668" s="84" t="s">
        <v>3428</v>
      </c>
      <c r="H668" s="84" t="s">
        <v>2801</v>
      </c>
      <c r="I668" s="84" t="s">
        <v>2886</v>
      </c>
      <c r="J668" s="7" t="s">
        <v>2714</v>
      </c>
      <c r="K668" s="7">
        <v>31.0</v>
      </c>
      <c r="L668" s="7">
        <v>31.0</v>
      </c>
      <c r="M668" s="7">
        <v>31.0</v>
      </c>
      <c r="N668" s="7">
        <v>31.0</v>
      </c>
      <c r="O668" s="7">
        <v>31.0</v>
      </c>
      <c r="P668" s="7">
        <v>31.0</v>
      </c>
      <c r="Q668" s="7">
        <v>4.0</v>
      </c>
      <c r="R668" s="7">
        <v>252.0</v>
      </c>
      <c r="S668" s="7">
        <v>0.0</v>
      </c>
      <c r="T668" s="7">
        <v>0.0</v>
      </c>
      <c r="U668" s="7">
        <v>0.0</v>
      </c>
      <c r="V668" s="7">
        <v>252.0</v>
      </c>
      <c r="W668" s="7">
        <f>VLOOKUP($D668,NatureChart,2,0)</f>
        <v>1.1</v>
      </c>
      <c r="X668" s="7">
        <f>VLOOKUP($D668,NatureChart,3,0)</f>
        <v>1</v>
      </c>
      <c r="Y668" s="7">
        <f>VLOOKUP($D668,NatureChart,4,0)</f>
        <v>0.9</v>
      </c>
      <c r="Z668" s="7">
        <f>VLOOKUP($D668,NatureChart,5,0)</f>
        <v>1</v>
      </c>
      <c r="AA668" s="84">
        <f>VLOOKUP($D668,NatureChart,6,0)</f>
        <v>1</v>
      </c>
      <c r="AB668" s="84">
        <f>IF($C668="Shedinja",1,(INT((2*VLOOKUP($C668,DexData,5,0)+INT(Q668/4)+K668)/2)+60))</f>
        <v>156</v>
      </c>
      <c r="AC668" s="84">
        <f>INT(INT((INT((2*VLOOKUP($C668,DexData,6,0)+INT(R668/4)+L668)/2)+5)*W668)*IF($E668="Choice Band",1.5,IF(OR($E668="Mawilite",$E668="Medichamite",$E668="Thick Club"),2,1)))</f>
        <v>156</v>
      </c>
      <c r="AD668" s="84">
        <f>INT(INT((INT((2*VLOOKUP($C668,DexData,7,0)+INT(S668/4)+M668)/2)+5)*X668)*IF($E668="Eviolite",1.5,1))</f>
        <v>100</v>
      </c>
      <c r="AE668" s="84">
        <f>INT(INT((INT((2*VLOOKUP($C668,DexData,9,0)+INT(T668/4)+N668)/2)+5)*Y668)*IF($E668="Choice Specs",1.5,1))</f>
        <v>135</v>
      </c>
      <c r="AF668" s="84">
        <f>INT(INT((INT((2*VLOOKUP($C668,DexData,10,0)+INT(U668/4)+O668)/2)+5)*Z668)*IF(OR($E668="Eviolite",$E668="Assault Vest"),1.5,1))</f>
        <v>130</v>
      </c>
      <c r="AG668" s="84">
        <f>INT(INT((INT((2*VLOOKUP($C668,DexData,11,0)+INT(V668/4)+P668)/2)+5)*AA668)*IF($E668="Choice Scarf",1.5,IF($E668="Iron Ball",0.5,1)))</f>
        <v>162</v>
      </c>
      <c r="AH668" s="84" t="str">
        <f>VLOOKUP(VLOOKUP($C668,DexData,3,0),Aliases!D$2:E$19,2,0)&amp;IFERROR("/"&amp;VLOOKUP(VLOOKUP($C668,DexData,4,0),Aliases!D$2:E$19,2,0),"")</f>
        <v>DRG/PSY</v>
      </c>
      <c r="AI668" s="7">
        <v>3.0</v>
      </c>
      <c r="AJ668" s="7">
        <f>IF(VLOOKUP(B668,'Set Odds'!A$2:AN$1067,40,0),1,IF(VLOOKUP(B668,'Set Odds'!A$2:AO$1067,41,0),2,0))</f>
        <v>1</v>
      </c>
      <c r="AK668" s="7"/>
      <c r="AL668" s="7" t="str">
        <f t="shared" si="1"/>
        <v/>
      </c>
    </row>
    <row r="669" ht="12.75" customHeight="1">
      <c r="A669" s="86">
        <v>668.0</v>
      </c>
      <c r="B669" s="84" t="s">
        <v>4233</v>
      </c>
      <c r="C669" s="7" t="s">
        <v>3958</v>
      </c>
      <c r="D669" s="7" t="s">
        <v>2635</v>
      </c>
      <c r="E669" s="7" t="s">
        <v>2515</v>
      </c>
      <c r="F669" s="84" t="s">
        <v>3959</v>
      </c>
      <c r="G669" s="84" t="s">
        <v>3524</v>
      </c>
      <c r="H669" s="84" t="s">
        <v>2832</v>
      </c>
      <c r="I669" s="84" t="s">
        <v>3427</v>
      </c>
      <c r="J669" s="7" t="s">
        <v>3016</v>
      </c>
      <c r="K669" s="7">
        <v>31.0</v>
      </c>
      <c r="L669" s="7">
        <v>31.0</v>
      </c>
      <c r="M669" s="7">
        <v>31.0</v>
      </c>
      <c r="N669" s="7">
        <v>31.0</v>
      </c>
      <c r="O669" s="7">
        <v>31.0</v>
      </c>
      <c r="P669" s="7">
        <v>31.0</v>
      </c>
      <c r="Q669" s="7">
        <v>4.0</v>
      </c>
      <c r="R669" s="7">
        <v>252.0</v>
      </c>
      <c r="S669" s="7">
        <v>0.0</v>
      </c>
      <c r="T669" s="7">
        <v>0.0</v>
      </c>
      <c r="U669" s="7">
        <v>0.0</v>
      </c>
      <c r="V669" s="7">
        <v>252.0</v>
      </c>
      <c r="W669" s="7">
        <f>VLOOKUP($D669,NatureChart,2,0)</f>
        <v>0.9</v>
      </c>
      <c r="X669" s="7">
        <f>VLOOKUP($D669,NatureChart,3,0)</f>
        <v>1</v>
      </c>
      <c r="Y669" s="7">
        <f>VLOOKUP($D669,NatureChart,4,0)</f>
        <v>1</v>
      </c>
      <c r="Z669" s="7">
        <f>VLOOKUP($D669,NatureChart,5,0)</f>
        <v>1</v>
      </c>
      <c r="AA669" s="84">
        <f>VLOOKUP($D669,NatureChart,6,0)</f>
        <v>1.1</v>
      </c>
      <c r="AB669" s="84">
        <f>IF($C669="Shedinja",1,(INT((2*VLOOKUP($C669,DexData,5,0)+INT(Q669/4)+K669)/2)+60))</f>
        <v>167</v>
      </c>
      <c r="AC669" s="84">
        <f>INT(INT((INT((2*VLOOKUP($C669,DexData,6,0)+INT(R669/4)+L669)/2)+5)*W669)*IF($E669="Choice Band",1.5,IF(OR($E669="Mawilite",$E669="Medichamite",$E669="Thick Club"),2,1)))</f>
        <v>127</v>
      </c>
      <c r="AD669" s="84">
        <f>INT(INT((INT((2*VLOOKUP($C669,DexData,7,0)+INT(S669/4)+M669)/2)+5)*X669)*IF($E669="Eviolite",1.5,1))</f>
        <v>126</v>
      </c>
      <c r="AE669" s="84">
        <f>INT(INT((INT((2*VLOOKUP($C669,DexData,9,0)+INT(T669/4)+N669)/2)+5)*Y669)*IF($E669="Choice Specs",1.5,1))</f>
        <v>150</v>
      </c>
      <c r="AF669" s="84">
        <f>INT(INT((INT((2*VLOOKUP($C669,DexData,10,0)+INT(U669/4)+O669)/2)+5)*Z669)*IF(OR($E669="Eviolite",$E669="Assault Vest"),1.5,1))</f>
        <v>126</v>
      </c>
      <c r="AG669" s="84">
        <f>INT(INT((INT((2*VLOOKUP($C669,DexData,11,0)+INT(V669/4)+P669)/2)+5)*AA669)*IF($E669="Choice Scarf",1.5,IF($E669="Iron Ball",0.5,1)))</f>
        <v>141</v>
      </c>
      <c r="AH669" s="84" t="str">
        <f>VLOOKUP(VLOOKUP($C669,DexData,3,0),Aliases!D$2:E$19,2,0)&amp;IFERROR("/"&amp;VLOOKUP(VLOOKUP($C669,DexData,4,0),Aliases!D$2:E$19,2,0),"")</f>
        <v>FIR/STL</v>
      </c>
      <c r="AI669" s="7">
        <v>3.0</v>
      </c>
      <c r="AJ669" s="7">
        <f>IF(VLOOKUP(B669,'Set Odds'!A$2:AN$1067,40,0),1,IF(VLOOKUP(B669,'Set Odds'!A$2:AO$1067,41,0),2,0))</f>
        <v>1</v>
      </c>
      <c r="AK669" s="7"/>
      <c r="AL669" s="7">
        <f t="shared" si="1"/>
        <v>1</v>
      </c>
    </row>
    <row r="670" ht="12.75" customHeight="1">
      <c r="A670" s="86">
        <v>669.0</v>
      </c>
      <c r="B670" s="84" t="s">
        <v>4234</v>
      </c>
      <c r="C670" s="7" t="s">
        <v>3962</v>
      </c>
      <c r="D670" s="7" t="s">
        <v>2862</v>
      </c>
      <c r="E670" s="7" t="s">
        <v>2520</v>
      </c>
      <c r="F670" s="84" t="s">
        <v>4235</v>
      </c>
      <c r="G670" s="84" t="s">
        <v>3268</v>
      </c>
      <c r="H670" s="84" t="s">
        <v>2952</v>
      </c>
      <c r="I670" s="84" t="s">
        <v>2659</v>
      </c>
      <c r="J670" s="7" t="s">
        <v>2714</v>
      </c>
      <c r="K670" s="7">
        <v>31.0</v>
      </c>
      <c r="L670" s="7">
        <v>31.0</v>
      </c>
      <c r="M670" s="7">
        <v>31.0</v>
      </c>
      <c r="N670" s="7">
        <v>31.0</v>
      </c>
      <c r="O670" s="7">
        <v>31.0</v>
      </c>
      <c r="P670" s="7">
        <v>31.0</v>
      </c>
      <c r="Q670" s="7">
        <v>252.0</v>
      </c>
      <c r="R670" s="7">
        <v>0.0</v>
      </c>
      <c r="S670" s="7">
        <v>252.0</v>
      </c>
      <c r="T670" s="7">
        <v>0.0</v>
      </c>
      <c r="U670" s="7">
        <v>4.0</v>
      </c>
      <c r="V670" s="7">
        <v>0.0</v>
      </c>
      <c r="W670" s="7">
        <f>VLOOKUP($D670,NatureChart,2,0)</f>
        <v>0.9</v>
      </c>
      <c r="X670" s="7">
        <f>VLOOKUP($D670,NatureChart,3,0)</f>
        <v>1.1</v>
      </c>
      <c r="Y670" s="7">
        <f>VLOOKUP($D670,NatureChart,4,0)</f>
        <v>1</v>
      </c>
      <c r="Z670" s="7">
        <f>VLOOKUP($D670,NatureChart,5,0)</f>
        <v>1</v>
      </c>
      <c r="AA670" s="84">
        <f>VLOOKUP($D670,NatureChart,6,0)</f>
        <v>1</v>
      </c>
      <c r="AB670" s="84">
        <f>IF($C670="Shedinja",1,(INT((2*VLOOKUP($C670,DexData,5,0)+INT(Q670/4)+K670)/2)+60))</f>
        <v>227</v>
      </c>
      <c r="AC670" s="84">
        <f>INT(INT((INT((2*VLOOKUP($C670,DexData,6,0)+INT(R670/4)+L670)/2)+5)*W670)*IF($E670="Choice Band",1.5,IF(OR($E670="Mawilite",$E670="Medichamite",$E670="Thick Club"),2,1)))</f>
        <v>81</v>
      </c>
      <c r="AD670" s="84">
        <f>INT(INT((INT((2*VLOOKUP($C670,DexData,7,0)+INT(S670/4)+M670)/2)+5)*X670)*IF($E670="Eviolite",1.5,1))</f>
        <v>189</v>
      </c>
      <c r="AE670" s="84">
        <f>INT(INT((INT((2*VLOOKUP($C670,DexData,9,0)+INT(T670/4)+N670)/2)+5)*Y670)*IF($E670="Choice Specs",1.5,1))</f>
        <v>95</v>
      </c>
      <c r="AF670" s="84">
        <f>INT(INT((INT((2*VLOOKUP($C670,DexData,10,0)+INT(U670/4)+O670)/2)+5)*Z670)*IF(OR($E670="Eviolite",$E670="Assault Vest"),1.5,1))</f>
        <v>151</v>
      </c>
      <c r="AG670" s="84">
        <f>INT(INT((INT((2*VLOOKUP($C670,DexData,11,0)+INT(V670/4)+P670)/2)+5)*AA670)*IF($E670="Choice Scarf",1.5,IF($E670="Iron Ball",0.5,1)))</f>
        <v>105</v>
      </c>
      <c r="AH670" s="84" t="str">
        <f>VLOOKUP(VLOOKUP($C670,DexData,3,0),Aliases!D$2:E$19,2,0)&amp;IFERROR("/"&amp;VLOOKUP(VLOOKUP($C670,DexData,4,0),Aliases!D$2:E$19,2,0),"")</f>
        <v>PSY</v>
      </c>
      <c r="AI670" s="7">
        <v>3.0</v>
      </c>
      <c r="AJ670" s="7">
        <f>IF(VLOOKUP(B670,'Set Odds'!A$2:AN$1067,40,0),1,IF(VLOOKUP(B670,'Set Odds'!A$2:AO$1067,41,0),2,0))</f>
        <v>1</v>
      </c>
      <c r="AK670" s="7"/>
      <c r="AL670" s="7" t="str">
        <f t="shared" si="1"/>
        <v/>
      </c>
    </row>
    <row r="671" ht="12.75" customHeight="1">
      <c r="A671" s="86">
        <v>670.0</v>
      </c>
      <c r="B671" s="84" t="s">
        <v>4236</v>
      </c>
      <c r="C671" s="7" t="s">
        <v>3966</v>
      </c>
      <c r="D671" s="7" t="s">
        <v>2723</v>
      </c>
      <c r="E671" s="7" t="s">
        <v>2685</v>
      </c>
      <c r="F671" s="84" t="s">
        <v>3185</v>
      </c>
      <c r="G671" s="84" t="s">
        <v>2532</v>
      </c>
      <c r="H671" s="84" t="s">
        <v>2763</v>
      </c>
      <c r="I671" s="84" t="s">
        <v>3390</v>
      </c>
      <c r="J671" s="7" t="s">
        <v>3968</v>
      </c>
      <c r="K671" s="7">
        <v>31.0</v>
      </c>
      <c r="L671" s="7">
        <v>31.0</v>
      </c>
      <c r="M671" s="7">
        <v>31.0</v>
      </c>
      <c r="N671" s="7">
        <v>31.0</v>
      </c>
      <c r="O671" s="7">
        <v>31.0</v>
      </c>
      <c r="P671" s="7">
        <v>31.0</v>
      </c>
      <c r="Q671" s="7">
        <v>252.0</v>
      </c>
      <c r="R671" s="7">
        <v>0.0</v>
      </c>
      <c r="S671" s="7">
        <v>4.0</v>
      </c>
      <c r="T671" s="7">
        <v>0.0</v>
      </c>
      <c r="U671" s="7">
        <v>252.0</v>
      </c>
      <c r="V671" s="7">
        <v>0.0</v>
      </c>
      <c r="W671" s="7">
        <f>VLOOKUP($D671,NatureChart,2,0)</f>
        <v>1</v>
      </c>
      <c r="X671" s="7">
        <f>VLOOKUP($D671,NatureChart,3,0)</f>
        <v>1</v>
      </c>
      <c r="Y671" s="7">
        <f>VLOOKUP($D671,NatureChart,4,0)</f>
        <v>0.9</v>
      </c>
      <c r="Z671" s="7">
        <f>VLOOKUP($D671,NatureChart,5,0)</f>
        <v>1.1</v>
      </c>
      <c r="AA671" s="84">
        <f>VLOOKUP($D671,NatureChart,6,0)</f>
        <v>1</v>
      </c>
      <c r="AB671" s="84">
        <f>IF($C671="Shedinja",1,(INT((2*VLOOKUP($C671,DexData,5,0)+INT(Q671/4)+K671)/2)+60))</f>
        <v>217</v>
      </c>
      <c r="AC671" s="84">
        <f>INT(INT((INT((2*VLOOKUP($C671,DexData,6,0)+INT(R671/4)+L671)/2)+5)*W671)*IF($E671="Choice Band",1.5,IF(OR($E671="Mawilite",$E671="Medichamite",$E671="Thick Club"),2,1)))</f>
        <v>180</v>
      </c>
      <c r="AD671" s="84">
        <f>INT(INT((INT((2*VLOOKUP($C671,DexData,7,0)+INT(S671/4)+M671)/2)+5)*X671)*IF($E671="Eviolite",1.5,1))</f>
        <v>131</v>
      </c>
      <c r="AE671" s="84">
        <f>INT(INT((INT((2*VLOOKUP($C671,DexData,9,0)+INT(T671/4)+N671)/2)+5)*Y671)*IF($E671="Choice Specs",1.5,1))</f>
        <v>90</v>
      </c>
      <c r="AF671" s="84">
        <f>INT(INT((INT((2*VLOOKUP($C671,DexData,10,0)+INT(U671/4)+O671)/2)+5)*Z671)*IF(OR($E671="Eviolite",$E671="Assault Vest"),1.5,1))</f>
        <v>178</v>
      </c>
      <c r="AG671" s="84">
        <f>INT(INT((INT((2*VLOOKUP($C671,DexData,11,0)+INT(V671/4)+P671)/2)+5)*AA671)*IF($E671="Choice Scarf",1.5,IF($E671="Iron Ball",0.5,1)))</f>
        <v>120</v>
      </c>
      <c r="AH671" s="84" t="str">
        <f>VLOOKUP(VLOOKUP($C671,DexData,3,0),Aliases!D$2:E$19,2,0)&amp;IFERROR("/"&amp;VLOOKUP(VLOOKUP($C671,DexData,4,0),Aliases!D$2:E$19,2,0),"")</f>
        <v>NRM</v>
      </c>
      <c r="AI671" s="7">
        <v>3.0</v>
      </c>
      <c r="AJ671" s="7">
        <f>IF(VLOOKUP(B671,'Set Odds'!A$2:AN$1067,40,0),1,IF(VLOOKUP(B671,'Set Odds'!A$2:AO$1067,41,0),2,0))</f>
        <v>1</v>
      </c>
      <c r="AK671" s="7"/>
      <c r="AL671" s="7" t="str">
        <f t="shared" si="1"/>
        <v/>
      </c>
    </row>
    <row r="672" ht="12.75" customHeight="1">
      <c r="A672" s="86">
        <v>671.0</v>
      </c>
      <c r="B672" s="84" t="s">
        <v>4237</v>
      </c>
      <c r="C672" s="7" t="s">
        <v>4210</v>
      </c>
      <c r="D672" s="7" t="s">
        <v>2656</v>
      </c>
      <c r="E672" s="7" t="s">
        <v>3003</v>
      </c>
      <c r="F672" s="84" t="s">
        <v>2948</v>
      </c>
      <c r="G672" s="84" t="s">
        <v>2823</v>
      </c>
      <c r="H672" s="84" t="s">
        <v>2607</v>
      </c>
      <c r="I672" s="84" t="s">
        <v>2841</v>
      </c>
      <c r="J672" s="7" t="s">
        <v>3499</v>
      </c>
      <c r="K672" s="7">
        <v>31.0</v>
      </c>
      <c r="L672" s="7">
        <v>31.0</v>
      </c>
      <c r="M672" s="7">
        <v>31.0</v>
      </c>
      <c r="N672" s="7">
        <v>31.0</v>
      </c>
      <c r="O672" s="7">
        <v>31.0</v>
      </c>
      <c r="P672" s="7">
        <v>31.0</v>
      </c>
      <c r="Q672" s="7">
        <v>252.0</v>
      </c>
      <c r="R672" s="7">
        <v>0.0</v>
      </c>
      <c r="S672" s="7">
        <v>0.0</v>
      </c>
      <c r="T672" s="7">
        <v>252.0</v>
      </c>
      <c r="U672" s="7">
        <v>0.0</v>
      </c>
      <c r="V672" s="7">
        <v>4.0</v>
      </c>
      <c r="W672" s="7">
        <f>VLOOKUP($D672,NatureChart,2,0)</f>
        <v>0.9</v>
      </c>
      <c r="X672" s="7">
        <f>VLOOKUP($D672,NatureChart,3,0)</f>
        <v>1</v>
      </c>
      <c r="Y672" s="7">
        <f>VLOOKUP($D672,NatureChart,4,0)</f>
        <v>1.1</v>
      </c>
      <c r="Z672" s="7">
        <f>VLOOKUP($D672,NatureChart,5,0)</f>
        <v>1</v>
      </c>
      <c r="AA672" s="84">
        <f>VLOOKUP($D672,NatureChart,6,0)</f>
        <v>1</v>
      </c>
      <c r="AB672" s="84">
        <f>IF($C672="Shedinja",1,(INT((2*VLOOKUP($C672,DexData,5,0)+INT(Q672/4)+K672)/2)+60))</f>
        <v>197</v>
      </c>
      <c r="AC672" s="84">
        <f>INT(INT((INT((2*VLOOKUP($C672,DexData,6,0)+INT(R672/4)+L672)/2)+5)*W672)*IF($E672="Choice Band",1.5,IF(OR($E672="Mawilite",$E672="Medichamite",$E672="Thick Club"),2,1)))</f>
        <v>94</v>
      </c>
      <c r="AD672" s="84">
        <f>INT(INT((INT((2*VLOOKUP($C672,DexData,7,0)+INT(S672/4)+M672)/2)+5)*X672)*IF($E672="Eviolite",1.5,1))</f>
        <v>120</v>
      </c>
      <c r="AE672" s="84">
        <f>INT(INT((INT((2*VLOOKUP($C672,DexData,9,0)+INT(T672/4)+N672)/2)+5)*Y672)*IF($E672="Choice Specs",1.5,1))</f>
        <v>161</v>
      </c>
      <c r="AF672" s="84">
        <f>INT(INT((INT((2*VLOOKUP($C672,DexData,10,0)+INT(U672/4)+O672)/2)+5)*Z672)*IF(OR($E672="Eviolite",$E672="Assault Vest"),1.5,1))</f>
        <v>145</v>
      </c>
      <c r="AG672" s="84">
        <f>INT(INT((INT((2*VLOOKUP($C672,DexData,11,0)+INT(V672/4)+P672)/2)+5)*AA672)*IF($E672="Choice Scarf",1.5,IF($E672="Iron Ball",0.5,1)))</f>
        <v>106</v>
      </c>
      <c r="AH672" s="84" t="str">
        <f>VLOOKUP(VLOOKUP($C672,DexData,3,0),Aliases!D$2:E$19,2,0)&amp;IFERROR("/"&amp;VLOOKUP(VLOOKUP($C672,DexData,4,0),Aliases!D$2:E$19,2,0),"")</f>
        <v>ICE/FLY</v>
      </c>
      <c r="AI672" s="7">
        <v>3.0</v>
      </c>
      <c r="AJ672" s="7">
        <f>IF(VLOOKUP(B672,'Set Odds'!A$2:AN$1067,40,0),1,IF(VLOOKUP(B672,'Set Odds'!A$2:AO$1067,41,0),2,0))</f>
        <v>1</v>
      </c>
      <c r="AK672" s="7"/>
      <c r="AL672" s="7" t="str">
        <f t="shared" si="1"/>
        <v/>
      </c>
    </row>
    <row r="673" ht="12.75" customHeight="1">
      <c r="A673" s="86">
        <v>672.0</v>
      </c>
      <c r="B673" s="84" t="s">
        <v>4238</v>
      </c>
      <c r="C673" s="7" t="s">
        <v>4212</v>
      </c>
      <c r="D673" s="7" t="s">
        <v>2599</v>
      </c>
      <c r="E673" s="7" t="s">
        <v>2520</v>
      </c>
      <c r="F673" s="84" t="s">
        <v>3448</v>
      </c>
      <c r="G673" s="84" t="s">
        <v>2781</v>
      </c>
      <c r="H673" s="84" t="s">
        <v>3447</v>
      </c>
      <c r="I673" s="84" t="s">
        <v>3278</v>
      </c>
      <c r="J673" s="7" t="s">
        <v>3499</v>
      </c>
      <c r="K673" s="7">
        <v>31.0</v>
      </c>
      <c r="L673" s="7">
        <v>31.0</v>
      </c>
      <c r="M673" s="7">
        <v>31.0</v>
      </c>
      <c r="N673" s="7">
        <v>31.0</v>
      </c>
      <c r="O673" s="7">
        <v>31.0</v>
      </c>
      <c r="P673" s="7">
        <v>31.0</v>
      </c>
      <c r="Q673" s="7">
        <v>252.0</v>
      </c>
      <c r="R673" s="7">
        <v>0.0</v>
      </c>
      <c r="S673" s="7">
        <v>0.0</v>
      </c>
      <c r="T673" s="7">
        <v>4.0</v>
      </c>
      <c r="U673" s="7">
        <v>0.0</v>
      </c>
      <c r="V673" s="7">
        <v>252.0</v>
      </c>
      <c r="W673" s="7">
        <f>VLOOKUP($D673,NatureChart,2,0)</f>
        <v>1</v>
      </c>
      <c r="X673" s="7">
        <f>VLOOKUP($D673,NatureChart,3,0)</f>
        <v>1</v>
      </c>
      <c r="Y673" s="7">
        <f>VLOOKUP($D673,NatureChart,4,0)</f>
        <v>1</v>
      </c>
      <c r="Z673" s="7">
        <f>VLOOKUP($D673,NatureChart,5,0)</f>
        <v>1</v>
      </c>
      <c r="AA673" s="84">
        <f>VLOOKUP($D673,NatureChart,6,0)</f>
        <v>1</v>
      </c>
      <c r="AB673" s="84">
        <f>IF($C673="Shedinja",1,(INT((2*VLOOKUP($C673,DexData,5,0)+INT(Q673/4)+K673)/2)+60))</f>
        <v>197</v>
      </c>
      <c r="AC673" s="84">
        <f>INT(INT((INT((2*VLOOKUP($C673,DexData,6,0)+INT(R673/4)+L673)/2)+5)*W673)*IF($E673="Choice Band",1.5,IF(OR($E673="Mawilite",$E673="Medichamite",$E673="Thick Club"),2,1)))</f>
        <v>110</v>
      </c>
      <c r="AD673" s="84">
        <f>INT(INT((INT((2*VLOOKUP($C673,DexData,7,0)+INT(S673/4)+M673)/2)+5)*X673)*IF($E673="Eviolite",1.5,1))</f>
        <v>105</v>
      </c>
      <c r="AE673" s="84">
        <f>INT(INT((INT((2*VLOOKUP($C673,DexData,9,0)+INT(T673/4)+N673)/2)+5)*Y673)*IF($E673="Choice Specs",1.5,1))</f>
        <v>146</v>
      </c>
      <c r="AF673" s="84">
        <f>INT(INT((INT((2*VLOOKUP($C673,DexData,10,0)+INT(U673/4)+O673)/2)+5)*Z673)*IF(OR($E673="Eviolite",$E673="Assault Vest"),1.5,1))</f>
        <v>110</v>
      </c>
      <c r="AG673" s="84">
        <f>INT(INT((INT((2*VLOOKUP($C673,DexData,11,0)+INT(V673/4)+P673)/2)+5)*AA673)*IF($E673="Choice Scarf",1.5,IF($E673="Iron Ball",0.5,1)))</f>
        <v>152</v>
      </c>
      <c r="AH673" s="84" t="str">
        <f>VLOOKUP(VLOOKUP($C673,DexData,3,0),Aliases!D$2:E$19,2,0)&amp;IFERROR("/"&amp;VLOOKUP(VLOOKUP($C673,DexData,4,0),Aliases!D$2:E$19,2,0),"")</f>
        <v>ELC/FLY</v>
      </c>
      <c r="AI673" s="7">
        <v>3.0</v>
      </c>
      <c r="AJ673" s="7">
        <f>IF(VLOOKUP(B673,'Set Odds'!A$2:AN$1067,40,0),1,IF(VLOOKUP(B673,'Set Odds'!A$2:AO$1067,41,0),2,0))</f>
        <v>1</v>
      </c>
      <c r="AK673" s="7"/>
      <c r="AL673" s="7" t="str">
        <f t="shared" si="1"/>
        <v/>
      </c>
    </row>
    <row r="674" ht="12.75" customHeight="1">
      <c r="A674" s="86">
        <v>673.0</v>
      </c>
      <c r="B674" s="84" t="s">
        <v>4239</v>
      </c>
      <c r="C674" s="7" t="s">
        <v>4215</v>
      </c>
      <c r="D674" s="7" t="s">
        <v>2635</v>
      </c>
      <c r="E674" s="7" t="s">
        <v>2519</v>
      </c>
      <c r="F674" s="84" t="s">
        <v>3091</v>
      </c>
      <c r="G674" s="84" t="s">
        <v>2948</v>
      </c>
      <c r="H674" s="84" t="s">
        <v>4213</v>
      </c>
      <c r="I674" s="84" t="s">
        <v>2732</v>
      </c>
      <c r="J674" s="7" t="s">
        <v>3162</v>
      </c>
      <c r="K674" s="7">
        <v>31.0</v>
      </c>
      <c r="L674" s="7">
        <v>31.0</v>
      </c>
      <c r="M674" s="7">
        <v>31.0</v>
      </c>
      <c r="N674" s="7">
        <v>31.0</v>
      </c>
      <c r="O674" s="7">
        <v>31.0</v>
      </c>
      <c r="P674" s="7">
        <v>31.0</v>
      </c>
      <c r="Q674" s="7">
        <v>4.0</v>
      </c>
      <c r="R674" s="7">
        <v>0.0</v>
      </c>
      <c r="S674" s="7">
        <v>0.0</v>
      </c>
      <c r="T674" s="7">
        <v>252.0</v>
      </c>
      <c r="U674" s="7">
        <v>0.0</v>
      </c>
      <c r="V674" s="7">
        <v>252.0</v>
      </c>
      <c r="W674" s="7">
        <f>VLOOKUP($D674,NatureChart,2,0)</f>
        <v>0.9</v>
      </c>
      <c r="X674" s="7">
        <f>VLOOKUP($D674,NatureChart,3,0)</f>
        <v>1</v>
      </c>
      <c r="Y674" s="7">
        <f>VLOOKUP($D674,NatureChart,4,0)</f>
        <v>1</v>
      </c>
      <c r="Z674" s="7">
        <f>VLOOKUP($D674,NatureChart,5,0)</f>
        <v>1</v>
      </c>
      <c r="AA674" s="84">
        <f>VLOOKUP($D674,NatureChart,6,0)</f>
        <v>1.1</v>
      </c>
      <c r="AB674" s="84">
        <f>IF($C674="Shedinja",1,(INT((2*VLOOKUP($C674,DexData,5,0)+INT(Q674/4)+K674)/2)+60))</f>
        <v>166</v>
      </c>
      <c r="AC674" s="84">
        <f>INT(INT((INT((2*VLOOKUP($C674,DexData,6,0)+INT(R674/4)+L674)/2)+5)*W674)*IF($E674="Choice Band",1.5,IF(OR($E674="Mawilite",$E674="Medichamite",$E674="Thick Club"),2,1)))</f>
        <v>108</v>
      </c>
      <c r="AD674" s="84">
        <f>INT(INT((INT((2*VLOOKUP($C674,DexData,7,0)+INT(S674/4)+M674)/2)+5)*X674)*IF($E674="Eviolite",1.5,1))</f>
        <v>110</v>
      </c>
      <c r="AE674" s="84">
        <f>INT(INT((INT((2*VLOOKUP($C674,DexData,9,0)+INT(T674/4)+N674)/2)+5)*Y674)*IF($E674="Choice Specs",1.5,1))</f>
        <v>177</v>
      </c>
      <c r="AF674" s="84">
        <f>INT(INT((INT((2*VLOOKUP($C674,DexData,10,0)+INT(U674/4)+O674)/2)+5)*Z674)*IF(OR($E674="Eviolite",$E674="Assault Vest"),1.5,1))</f>
        <v>105</v>
      </c>
      <c r="AG674" s="84">
        <f>INT(INT((INT((2*VLOOKUP($C674,DexData,11,0)+INT(V674/4)+P674)/2)+5)*AA674)*IF($E674="Choice Scarf",1.5,IF($E674="Iron Ball",0.5,1)))</f>
        <v>156</v>
      </c>
      <c r="AH674" s="84" t="str">
        <f>VLOOKUP(VLOOKUP($C674,DexData,3,0),Aliases!D$2:E$19,2,0)&amp;IFERROR("/"&amp;VLOOKUP(VLOOKUP($C674,DexData,4,0),Aliases!D$2:E$19,2,0),"")</f>
        <v>FIR/FLY</v>
      </c>
      <c r="AI674" s="7">
        <v>3.0</v>
      </c>
      <c r="AJ674" s="7">
        <f>IF(VLOOKUP(B674,'Set Odds'!A$2:AN$1067,40,0),1,IF(VLOOKUP(B674,'Set Odds'!A$2:AO$1067,41,0),2,0))</f>
        <v>1</v>
      </c>
      <c r="AK674" s="7"/>
      <c r="AL674" s="7" t="str">
        <f t="shared" si="1"/>
        <v/>
      </c>
    </row>
    <row r="675" ht="12.75" customHeight="1">
      <c r="A675" s="86">
        <v>674.0</v>
      </c>
      <c r="B675" s="84" t="s">
        <v>4240</v>
      </c>
      <c r="C675" s="7" t="s">
        <v>4217</v>
      </c>
      <c r="D675" s="7" t="s">
        <v>2635</v>
      </c>
      <c r="E675" s="7" t="s">
        <v>2528</v>
      </c>
      <c r="F675" s="84" t="s">
        <v>2880</v>
      </c>
      <c r="G675" s="84" t="s">
        <v>3718</v>
      </c>
      <c r="H675" s="84" t="s">
        <v>2841</v>
      </c>
      <c r="I675" s="84" t="s">
        <v>2532</v>
      </c>
      <c r="J675" s="7" t="s">
        <v>3499</v>
      </c>
      <c r="K675" s="7">
        <v>31.0</v>
      </c>
      <c r="L675" s="7">
        <v>31.0</v>
      </c>
      <c r="M675" s="7">
        <v>31.0</v>
      </c>
      <c r="N675" s="7">
        <v>31.0</v>
      </c>
      <c r="O675" s="7">
        <v>31.0</v>
      </c>
      <c r="P675" s="7">
        <v>31.0</v>
      </c>
      <c r="Q675" s="7">
        <v>252.0</v>
      </c>
      <c r="R675" s="7">
        <v>0.0</v>
      </c>
      <c r="S675" s="7">
        <v>4.0</v>
      </c>
      <c r="T675" s="7">
        <v>0.0</v>
      </c>
      <c r="U675" s="7">
        <v>0.0</v>
      </c>
      <c r="V675" s="7">
        <v>252.0</v>
      </c>
      <c r="W675" s="7">
        <f>VLOOKUP($D675,NatureChart,2,0)</f>
        <v>0.9</v>
      </c>
      <c r="X675" s="7">
        <f>VLOOKUP($D675,NatureChart,3,0)</f>
        <v>1</v>
      </c>
      <c r="Y675" s="7">
        <f>VLOOKUP($D675,NatureChart,4,0)</f>
        <v>1</v>
      </c>
      <c r="Z675" s="7">
        <f>VLOOKUP($D675,NatureChart,5,0)</f>
        <v>1</v>
      </c>
      <c r="AA675" s="84">
        <f>VLOOKUP($D675,NatureChart,6,0)</f>
        <v>1.1</v>
      </c>
      <c r="AB675" s="84">
        <f>IF($C675="Shedinja",1,(INT((2*VLOOKUP($C675,DexData,5,0)+INT(Q675/4)+K675)/2)+60))</f>
        <v>197</v>
      </c>
      <c r="AC675" s="84">
        <f>INT(INT((INT((2*VLOOKUP($C675,DexData,6,0)+INT(R675/4)+L675)/2)+5)*W675)*IF($E675="Choice Band",1.5,IF(OR($E675="Mawilite",$E675="Medichamite",$E675="Thick Club"),2,1)))</f>
        <v>94</v>
      </c>
      <c r="AD675" s="84">
        <f>INT(INT((INT((2*VLOOKUP($C675,DexData,7,0)+INT(S675/4)+M675)/2)+5)*X675)*IF($E675="Eviolite",1.5,1))</f>
        <v>96</v>
      </c>
      <c r="AE675" s="84">
        <f>INT(INT((INT((2*VLOOKUP($C675,DexData,9,0)+INT(T675/4)+N675)/2)+5)*Y675)*IF($E675="Choice Specs",1.5,1))</f>
        <v>135</v>
      </c>
      <c r="AF675" s="84">
        <f>INT(INT((INT((2*VLOOKUP($C675,DexData,10,0)+INT(U675/4)+O675)/2)+5)*Z675)*IF(OR($E675="Eviolite",$E675="Assault Vest"),1.5,1))</f>
        <v>120</v>
      </c>
      <c r="AG675" s="84">
        <f>INT(INT((INT((2*VLOOKUP($C675,DexData,11,0)+INT(V675/4)+P675)/2)+5)*AA675)*IF($E675="Choice Scarf",1.5,IF($E675="Iron Ball",0.5,1)))</f>
        <v>183</v>
      </c>
      <c r="AH675" s="84" t="str">
        <f>VLOOKUP(VLOOKUP($C675,DexData,3,0),Aliases!D$2:E$19,2,0)&amp;IFERROR("/"&amp;VLOOKUP(VLOOKUP($C675,DexData,4,0),Aliases!D$2:E$19,2,0),"")</f>
        <v>ELC</v>
      </c>
      <c r="AI675" s="7">
        <v>3.0</v>
      </c>
      <c r="AJ675" s="7">
        <f>IF(VLOOKUP(B675,'Set Odds'!A$2:AN$1067,40,0),1,IF(VLOOKUP(B675,'Set Odds'!A$2:AO$1067,41,0),2,0))</f>
        <v>1</v>
      </c>
      <c r="AK675" s="7"/>
      <c r="AL675" s="7" t="str">
        <f t="shared" si="1"/>
        <v/>
      </c>
    </row>
    <row r="676" ht="12.75" customHeight="1">
      <c r="A676" s="86">
        <v>675.0</v>
      </c>
      <c r="B676" s="84" t="s">
        <v>4241</v>
      </c>
      <c r="C676" s="7" t="s">
        <v>4219</v>
      </c>
      <c r="D676" s="7" t="s">
        <v>2656</v>
      </c>
      <c r="E676" s="7" t="s">
        <v>3614</v>
      </c>
      <c r="F676" s="84" t="s">
        <v>2700</v>
      </c>
      <c r="G676" s="84" t="s">
        <v>2660</v>
      </c>
      <c r="H676" s="84" t="s">
        <v>3558</v>
      </c>
      <c r="I676" s="84" t="s">
        <v>2712</v>
      </c>
      <c r="J676" s="7" t="s">
        <v>3233</v>
      </c>
      <c r="K676" s="7">
        <v>31.0</v>
      </c>
      <c r="L676" s="7">
        <v>31.0</v>
      </c>
      <c r="M676" s="7">
        <v>31.0</v>
      </c>
      <c r="N676" s="7">
        <v>31.0</v>
      </c>
      <c r="O676" s="7">
        <v>31.0</v>
      </c>
      <c r="P676" s="7">
        <v>31.0</v>
      </c>
      <c r="Q676" s="7">
        <v>252.0</v>
      </c>
      <c r="R676" s="7">
        <v>0.0</v>
      </c>
      <c r="S676" s="7">
        <v>0.0</v>
      </c>
      <c r="T676" s="7">
        <v>252.0</v>
      </c>
      <c r="U676" s="7">
        <v>0.0</v>
      </c>
      <c r="V676" s="7">
        <v>4.0</v>
      </c>
      <c r="W676" s="7">
        <f>VLOOKUP($D676,NatureChart,2,0)</f>
        <v>0.9</v>
      </c>
      <c r="X676" s="7">
        <f>VLOOKUP($D676,NatureChart,3,0)</f>
        <v>1</v>
      </c>
      <c r="Y676" s="7">
        <f>VLOOKUP($D676,NatureChart,4,0)</f>
        <v>1.1</v>
      </c>
      <c r="Z676" s="7">
        <f>VLOOKUP($D676,NatureChart,5,0)</f>
        <v>1</v>
      </c>
      <c r="AA676" s="84">
        <f>VLOOKUP($D676,NatureChart,6,0)</f>
        <v>1</v>
      </c>
      <c r="AB676" s="84">
        <f>IF($C676="Shedinja",1,(INT((2*VLOOKUP($C676,DexData,5,0)+INT(Q676/4)+K676)/2)+60))</f>
        <v>222</v>
      </c>
      <c r="AC676" s="84">
        <f>INT(INT((INT((2*VLOOKUP($C676,DexData,6,0)+INT(R676/4)+L676)/2)+5)*W676)*IF($E676="Choice Band",1.5,IF(OR($E676="Mawilite",$E676="Medichamite",$E676="Thick Club"),2,1)))</f>
        <v>121</v>
      </c>
      <c r="AD676" s="84">
        <f>INT(INT((INT((2*VLOOKUP($C676,DexData,7,0)+INT(S676/4)+M676)/2)+5)*X676)*IF($E676="Eviolite",1.5,1))</f>
        <v>105</v>
      </c>
      <c r="AE676" s="84">
        <f>INT(INT((INT((2*VLOOKUP($C676,DexData,9,0)+INT(T676/4)+N676)/2)+5)*Y676)*IF($E676="Choice Specs",1.5,1))</f>
        <v>156</v>
      </c>
      <c r="AF676" s="84">
        <f>INT(INT((INT((2*VLOOKUP($C676,DexData,10,0)+INT(U676/4)+O676)/2)+5)*Z676)*IF(OR($E676="Eviolite",$E676="Assault Vest"),1.5,1))</f>
        <v>95</v>
      </c>
      <c r="AG676" s="84">
        <f>INT(INT((INT((2*VLOOKUP($C676,DexData,11,0)+INT(V676/4)+P676)/2)+5)*AA676)*IF($E676="Choice Scarf",1.5,IF($E676="Iron Ball",0.5,1)))</f>
        <v>121</v>
      </c>
      <c r="AH676" s="84" t="str">
        <f>VLOOKUP(VLOOKUP($C676,DexData,3,0),Aliases!D$2:E$19,2,0)&amp;IFERROR("/"&amp;VLOOKUP(VLOOKUP($C676,DexData,4,0),Aliases!D$2:E$19,2,0),"")</f>
        <v>FIR</v>
      </c>
      <c r="AI676" s="7">
        <v>3.0</v>
      </c>
      <c r="AJ676" s="7">
        <f>IF(VLOOKUP(B676,'Set Odds'!A$2:AN$1067,40,0),1,IF(VLOOKUP(B676,'Set Odds'!A$2:AO$1067,41,0),2,0))</f>
        <v>1</v>
      </c>
      <c r="AK676" s="7"/>
      <c r="AL676" s="7" t="str">
        <f t="shared" si="1"/>
        <v/>
      </c>
    </row>
    <row r="677" ht="12.75" customHeight="1">
      <c r="A677" s="86">
        <v>676.0</v>
      </c>
      <c r="B677" s="84" t="s">
        <v>4242</v>
      </c>
      <c r="C677" s="7" t="s">
        <v>4222</v>
      </c>
      <c r="D677" s="7" t="s">
        <v>2862</v>
      </c>
      <c r="E677" s="7" t="s">
        <v>2642</v>
      </c>
      <c r="F677" s="84" t="s">
        <v>2841</v>
      </c>
      <c r="G677" s="84" t="s">
        <v>2785</v>
      </c>
      <c r="H677" s="84" t="s">
        <v>3718</v>
      </c>
      <c r="I677" s="84" t="s">
        <v>2880</v>
      </c>
      <c r="J677" s="7" t="s">
        <v>3499</v>
      </c>
      <c r="K677" s="7">
        <v>31.0</v>
      </c>
      <c r="L677" s="7">
        <v>31.0</v>
      </c>
      <c r="M677" s="7">
        <v>31.0</v>
      </c>
      <c r="N677" s="7">
        <v>31.0</v>
      </c>
      <c r="O677" s="7">
        <v>31.0</v>
      </c>
      <c r="P677" s="7">
        <v>31.0</v>
      </c>
      <c r="Q677" s="7">
        <v>252.0</v>
      </c>
      <c r="R677" s="7">
        <v>0.0</v>
      </c>
      <c r="S677" s="7">
        <v>252.0</v>
      </c>
      <c r="T677" s="7">
        <v>0.0</v>
      </c>
      <c r="U677" s="7">
        <v>0.0</v>
      </c>
      <c r="V677" s="7">
        <v>0.0</v>
      </c>
      <c r="W677" s="7">
        <f>VLOOKUP($D677,NatureChart,2,0)</f>
        <v>0.9</v>
      </c>
      <c r="X677" s="7">
        <f>VLOOKUP($D677,NatureChart,3,0)</f>
        <v>1.1</v>
      </c>
      <c r="Y677" s="7">
        <f>VLOOKUP($D677,NatureChart,4,0)</f>
        <v>1</v>
      </c>
      <c r="Z677" s="7">
        <f>VLOOKUP($D677,NatureChart,5,0)</f>
        <v>1</v>
      </c>
      <c r="AA677" s="84">
        <f>VLOOKUP($D677,NatureChart,6,0)</f>
        <v>1</v>
      </c>
      <c r="AB677" s="84">
        <f>IF($C677="Shedinja",1,(INT((2*VLOOKUP($C677,DexData,5,0)+INT(Q677/4)+K677)/2)+60))</f>
        <v>207</v>
      </c>
      <c r="AC677" s="84">
        <f>INT(INT((INT((2*VLOOKUP($C677,DexData,6,0)+INT(R677/4)+L677)/2)+5)*W677)*IF($E677="Choice Band",1.5,IF(OR($E677="Mawilite",$E677="Medichamite",$E677="Thick Club"),2,1)))</f>
        <v>85</v>
      </c>
      <c r="AD677" s="84">
        <f>INT(INT((INT((2*VLOOKUP($C677,DexData,7,0)+INT(S677/4)+M677)/2)+5)*X677)*IF($E677="Eviolite",1.5,1))</f>
        <v>183</v>
      </c>
      <c r="AE677" s="84">
        <f>INT(INT((INT((2*VLOOKUP($C677,DexData,9,0)+INT(T677/4)+N677)/2)+5)*Y677)*IF($E677="Choice Specs",1.5,1))</f>
        <v>110</v>
      </c>
      <c r="AF677" s="84">
        <f>INT(INT((INT((2*VLOOKUP($C677,DexData,10,0)+INT(U677/4)+O677)/2)+5)*Z677)*IF(OR($E677="Eviolite",$E677="Assault Vest"),1.5,1))</f>
        <v>135</v>
      </c>
      <c r="AG677" s="84">
        <f>INT(INT((INT((2*VLOOKUP($C677,DexData,11,0)+INT(V677/4)+P677)/2)+5)*AA677)*IF($E677="Choice Scarf",1.5,IF($E677="Iron Ball",0.5,1)))</f>
        <v>105</v>
      </c>
      <c r="AH677" s="84" t="str">
        <f>VLOOKUP(VLOOKUP($C677,DexData,3,0),Aliases!D$2:E$19,2,0)&amp;IFERROR("/"&amp;VLOOKUP(VLOOKUP($C677,DexData,4,0),Aliases!D$2:E$19,2,0),"")</f>
        <v>WTR</v>
      </c>
      <c r="AI677" s="7">
        <v>3.0</v>
      </c>
      <c r="AJ677" s="7">
        <f>IF(VLOOKUP(B677,'Set Odds'!A$2:AN$1067,40,0),1,IF(VLOOKUP(B677,'Set Odds'!A$2:AO$1067,41,0),2,0))</f>
        <v>1</v>
      </c>
      <c r="AK677" s="7"/>
      <c r="AL677" s="7" t="str">
        <f t="shared" si="1"/>
        <v/>
      </c>
    </row>
    <row r="678" ht="12.75" customHeight="1">
      <c r="A678" s="86">
        <v>677.0</v>
      </c>
      <c r="B678" s="84" t="s">
        <v>4243</v>
      </c>
      <c r="C678" s="7" t="s">
        <v>4224</v>
      </c>
      <c r="D678" s="7" t="s">
        <v>2723</v>
      </c>
      <c r="E678" s="7" t="s">
        <v>2685</v>
      </c>
      <c r="F678" s="84" t="s">
        <v>3441</v>
      </c>
      <c r="G678" s="84" t="s">
        <v>3454</v>
      </c>
      <c r="H678" s="84" t="s">
        <v>2581</v>
      </c>
      <c r="I678" s="84" t="s">
        <v>2752</v>
      </c>
      <c r="J678" s="7" t="s">
        <v>3370</v>
      </c>
      <c r="K678" s="7">
        <v>31.0</v>
      </c>
      <c r="L678" s="7">
        <v>31.0</v>
      </c>
      <c r="M678" s="7">
        <v>31.0</v>
      </c>
      <c r="N678" s="7">
        <v>31.0</v>
      </c>
      <c r="O678" s="7">
        <v>31.0</v>
      </c>
      <c r="P678" s="7">
        <v>31.0</v>
      </c>
      <c r="Q678" s="7">
        <v>252.0</v>
      </c>
      <c r="R678" s="7">
        <v>4.0</v>
      </c>
      <c r="S678" s="7">
        <v>0.0</v>
      </c>
      <c r="T678" s="7">
        <v>0.0</v>
      </c>
      <c r="U678" s="7">
        <v>252.0</v>
      </c>
      <c r="V678" s="7">
        <v>0.0</v>
      </c>
      <c r="W678" s="7">
        <f>VLOOKUP($D678,NatureChart,2,0)</f>
        <v>1</v>
      </c>
      <c r="X678" s="7">
        <f>VLOOKUP($D678,NatureChart,3,0)</f>
        <v>1</v>
      </c>
      <c r="Y678" s="7">
        <f>VLOOKUP($D678,NatureChart,4,0)</f>
        <v>0.9</v>
      </c>
      <c r="Z678" s="7">
        <f>VLOOKUP($D678,NatureChart,5,0)</f>
        <v>1.1</v>
      </c>
      <c r="AA678" s="84">
        <f>VLOOKUP($D678,NatureChart,6,0)</f>
        <v>1</v>
      </c>
      <c r="AB678" s="84">
        <f>IF($C678="Shedinja",1,(INT((2*VLOOKUP($C678,DexData,5,0)+INT(Q678/4)+K678)/2)+60))</f>
        <v>187</v>
      </c>
      <c r="AC678" s="84">
        <f>INT(INT((INT((2*VLOOKUP($C678,DexData,6,0)+INT(R678/4)+L678)/2)+5)*W678)*IF($E678="Choice Band",1.5,IF(OR($E678="Mawilite",$E678="Medichamite",$E678="Thick Club"),2,1)))</f>
        <v>121</v>
      </c>
      <c r="AD678" s="84">
        <f>INT(INT((INT((2*VLOOKUP($C678,DexData,7,0)+INT(S678/4)+M678)/2)+5)*X678)*IF($E678="Eviolite",1.5,1))</f>
        <v>220</v>
      </c>
      <c r="AE678" s="84">
        <f>INT(INT((INT((2*VLOOKUP($C678,DexData,9,0)+INT(T678/4)+N678)/2)+5)*Y678)*IF($E678="Choice Specs",1.5,1))</f>
        <v>63</v>
      </c>
      <c r="AF678" s="84">
        <f>INT(INT((INT((2*VLOOKUP($C678,DexData,10,0)+INT(U678/4)+O678)/2)+5)*Z678)*IF(OR($E678="Eviolite",$E678="Assault Vest"),1.5,1))</f>
        <v>167</v>
      </c>
      <c r="AG678" s="84">
        <f>INT(INT((INT((2*VLOOKUP($C678,DexData,11,0)+INT(V678/4)+P678)/2)+5)*AA678)*IF($E678="Choice Scarf",1.5,IF($E678="Iron Ball",0.5,1)))</f>
        <v>70</v>
      </c>
      <c r="AH678" s="84" t="str">
        <f>VLOOKUP(VLOOKUP($C678,DexData,3,0),Aliases!D$2:E$19,2,0)&amp;IFERROR("/"&amp;VLOOKUP(VLOOKUP($C678,DexData,4,0),Aliases!D$2:E$19,2,0),"")</f>
        <v>RCK</v>
      </c>
      <c r="AI678" s="7">
        <v>3.0</v>
      </c>
      <c r="AJ678" s="7">
        <f>IF(VLOOKUP(B678,'Set Odds'!A$2:AN$1067,40,0),1,IF(VLOOKUP(B678,'Set Odds'!A$2:AO$1067,41,0),2,0))</f>
        <v>1</v>
      </c>
      <c r="AK678" s="7"/>
      <c r="AL678" s="7" t="str">
        <f t="shared" si="1"/>
        <v/>
      </c>
    </row>
    <row r="679" ht="12.75" customHeight="1">
      <c r="A679" s="86">
        <v>678.0</v>
      </c>
      <c r="B679" s="84" t="s">
        <v>4244</v>
      </c>
      <c r="C679" s="7" t="s">
        <v>4226</v>
      </c>
      <c r="D679" s="7" t="s">
        <v>3344</v>
      </c>
      <c r="E679" s="7" t="s">
        <v>3886</v>
      </c>
      <c r="F679" s="84" t="s">
        <v>3590</v>
      </c>
      <c r="G679" s="84" t="s">
        <v>3047</v>
      </c>
      <c r="H679" s="84" t="s">
        <v>3636</v>
      </c>
      <c r="I679" s="84" t="s">
        <v>3800</v>
      </c>
      <c r="J679" s="7" t="s">
        <v>3370</v>
      </c>
      <c r="K679" s="7">
        <v>31.0</v>
      </c>
      <c r="L679" s="7">
        <v>31.0</v>
      </c>
      <c r="M679" s="7">
        <v>31.0</v>
      </c>
      <c r="N679" s="7">
        <v>31.0</v>
      </c>
      <c r="O679" s="7">
        <v>31.0</v>
      </c>
      <c r="P679" s="7">
        <v>31.0</v>
      </c>
      <c r="Q679" s="7">
        <v>252.0</v>
      </c>
      <c r="R679" s="7">
        <v>4.0</v>
      </c>
      <c r="S679" s="7">
        <v>0.0</v>
      </c>
      <c r="T679" s="7">
        <v>252.0</v>
      </c>
      <c r="U679" s="7">
        <v>0.0</v>
      </c>
      <c r="V679" s="7">
        <v>0.0</v>
      </c>
      <c r="W679" s="7">
        <f>VLOOKUP($D679,NatureChart,2,0)</f>
        <v>1</v>
      </c>
      <c r="X679" s="7">
        <f>VLOOKUP($D679,NatureChart,3,0)</f>
        <v>1</v>
      </c>
      <c r="Y679" s="7">
        <f>VLOOKUP($D679,NatureChart,4,0)</f>
        <v>1</v>
      </c>
      <c r="Z679" s="7">
        <f>VLOOKUP($D679,NatureChart,5,0)</f>
        <v>1</v>
      </c>
      <c r="AA679" s="84">
        <f>VLOOKUP($D679,NatureChart,6,0)</f>
        <v>1</v>
      </c>
      <c r="AB679" s="84">
        <f>IF($C679="Shedinja",1,(INT((2*VLOOKUP($C679,DexData,5,0)+INT(Q679/4)+K679)/2)+60))</f>
        <v>187</v>
      </c>
      <c r="AC679" s="84">
        <f>INT(INT((INT((2*VLOOKUP($C679,DexData,6,0)+INT(R679/4)+L679)/2)+5)*W679)*IF($E679="Choice Band",1.5,IF(OR($E679="Mawilite",$E679="Medichamite",$E679="Thick Club"),2,1)))</f>
        <v>71</v>
      </c>
      <c r="AD679" s="84">
        <f>INT(INT((INT((2*VLOOKUP($C679,DexData,7,0)+INT(S679/4)+M679)/2)+5)*X679)*IF($E679="Eviolite",1.5,1))</f>
        <v>120</v>
      </c>
      <c r="AE679" s="84">
        <f>INT(INT((INT((2*VLOOKUP($C679,DexData,9,0)+INT(T679/4)+N679)/2)+5)*Y679)*IF($E679="Choice Specs",1.5,1))</f>
        <v>152</v>
      </c>
      <c r="AF679" s="84">
        <f>INT(INT((INT((2*VLOOKUP($C679,DexData,10,0)+INT(U679/4)+O679)/2)+5)*Z679)*IF(OR($E679="Eviolite",$E679="Assault Vest"),1.5,1))</f>
        <v>220</v>
      </c>
      <c r="AG679" s="84">
        <f>INT(INT((INT((2*VLOOKUP($C679,DexData,11,0)+INT(V679/4)+P679)/2)+5)*AA679)*IF($E679="Choice Scarf",1.5,IF($E679="Iron Ball",0.5,1)))</f>
        <v>70</v>
      </c>
      <c r="AH679" s="84" t="str">
        <f>VLOOKUP(VLOOKUP($C679,DexData,3,0),Aliases!D$2:E$19,2,0)&amp;IFERROR("/"&amp;VLOOKUP(VLOOKUP($C679,DexData,4,0),Aliases!D$2:E$19,2,0),"")</f>
        <v>ICE</v>
      </c>
      <c r="AI679" s="7">
        <v>3.0</v>
      </c>
      <c r="AJ679" s="7">
        <f>IF(VLOOKUP(B679,'Set Odds'!A$2:AN$1067,40,0),1,IF(VLOOKUP(B679,'Set Odds'!A$2:AO$1067,41,0),2,0))</f>
        <v>1</v>
      </c>
      <c r="AK679" s="7"/>
      <c r="AL679" s="7" t="str">
        <f t="shared" si="1"/>
        <v/>
      </c>
    </row>
    <row r="680" ht="12.75" customHeight="1">
      <c r="A680" s="86">
        <v>679.0</v>
      </c>
      <c r="B680" s="84" t="s">
        <v>4245</v>
      </c>
      <c r="C680" s="7" t="s">
        <v>4228</v>
      </c>
      <c r="D680" s="7" t="s">
        <v>2571</v>
      </c>
      <c r="E680" s="7" t="s">
        <v>2630</v>
      </c>
      <c r="F680" s="84" t="s">
        <v>3087</v>
      </c>
      <c r="G680" s="84" t="s">
        <v>2841</v>
      </c>
      <c r="H680" s="84" t="s">
        <v>3185</v>
      </c>
      <c r="I680" s="84" t="s">
        <v>3454</v>
      </c>
      <c r="J680" s="7" t="s">
        <v>3370</v>
      </c>
      <c r="K680" s="7">
        <v>31.0</v>
      </c>
      <c r="L680" s="7">
        <v>31.0</v>
      </c>
      <c r="M680" s="7">
        <v>31.0</v>
      </c>
      <c r="N680" s="7">
        <v>31.0</v>
      </c>
      <c r="O680" s="7">
        <v>31.0</v>
      </c>
      <c r="P680" s="7">
        <v>31.0</v>
      </c>
      <c r="Q680" s="7">
        <v>252.0</v>
      </c>
      <c r="R680" s="7">
        <v>0.0</v>
      </c>
      <c r="S680" s="7">
        <v>252.0</v>
      </c>
      <c r="T680" s="7">
        <v>0.0</v>
      </c>
      <c r="U680" s="7">
        <v>4.0</v>
      </c>
      <c r="V680" s="7">
        <v>0.0</v>
      </c>
      <c r="W680" s="7">
        <f>VLOOKUP($D680,NatureChart,2,0)</f>
        <v>1.1</v>
      </c>
      <c r="X680" s="7">
        <f>VLOOKUP($D680,NatureChart,3,0)</f>
        <v>1</v>
      </c>
      <c r="Y680" s="7">
        <f>VLOOKUP($D680,NatureChart,4,0)</f>
        <v>0.9</v>
      </c>
      <c r="Z680" s="7">
        <f>VLOOKUP($D680,NatureChart,5,0)</f>
        <v>1</v>
      </c>
      <c r="AA680" s="84">
        <f>VLOOKUP($D680,NatureChart,6,0)</f>
        <v>1</v>
      </c>
      <c r="AB680" s="84">
        <f>IF($C680="Shedinja",1,(INT((2*VLOOKUP($C680,DexData,5,0)+INT(Q680/4)+K680)/2)+60))</f>
        <v>187</v>
      </c>
      <c r="AC680" s="84">
        <f>INT(INT((INT((2*VLOOKUP($C680,DexData,6,0)+INT(R680/4)+L680)/2)+5)*W680)*IF($E680="Choice Band",1.5,IF(OR($E680="Mawilite",$E680="Medichamite",$E680="Thick Club"),2,1)))</f>
        <v>104</v>
      </c>
      <c r="AD680" s="84">
        <f>INT(INT((INT((2*VLOOKUP($C680,DexData,7,0)+INT(S680/4)+M680)/2)+5)*X680)*IF($E680="Eviolite",1.5,1))</f>
        <v>202</v>
      </c>
      <c r="AE680" s="84">
        <f>INT(INT((INT((2*VLOOKUP($C680,DexData,9,0)+INT(T680/4)+N680)/2)+5)*Y680)*IF($E680="Choice Specs",1.5,1))</f>
        <v>85</v>
      </c>
      <c r="AF680" s="84">
        <f>INT(INT((INT((2*VLOOKUP($C680,DexData,10,0)+INT(U680/4)+O680)/2)+5)*Z680)*IF(OR($E680="Eviolite",$E680="Assault Vest"),1.5,1))</f>
        <v>171</v>
      </c>
      <c r="AG680" s="84">
        <f>INT(INT((INT((2*VLOOKUP($C680,DexData,11,0)+INT(V680/4)+P680)/2)+5)*AA680)*IF($E680="Choice Scarf",1.5,IF($E680="Iron Ball",0.5,1)))</f>
        <v>70</v>
      </c>
      <c r="AH680" s="84" t="str">
        <f>VLOOKUP(VLOOKUP($C680,DexData,3,0),Aliases!D$2:E$19,2,0)&amp;IFERROR("/"&amp;VLOOKUP(VLOOKUP($C680,DexData,4,0),Aliases!D$2:E$19,2,0),"")</f>
        <v>STL</v>
      </c>
      <c r="AI680" s="7">
        <v>3.0</v>
      </c>
      <c r="AJ680" s="7">
        <f>IF(VLOOKUP(B680,'Set Odds'!A$2:AN$1067,40,0),1,IF(VLOOKUP(B680,'Set Odds'!A$2:AO$1067,41,0),2,0))</f>
        <v>1</v>
      </c>
      <c r="AK680" s="7"/>
      <c r="AL680" s="7" t="str">
        <f t="shared" si="1"/>
        <v/>
      </c>
    </row>
    <row r="681" ht="12.75" customHeight="1">
      <c r="A681" s="86">
        <v>680.0</v>
      </c>
      <c r="B681" s="84" t="s">
        <v>4246</v>
      </c>
      <c r="C681" s="7" t="s">
        <v>4230</v>
      </c>
      <c r="D681" s="7" t="s">
        <v>2656</v>
      </c>
      <c r="E681" s="7" t="s">
        <v>3726</v>
      </c>
      <c r="F681" s="84" t="s">
        <v>3718</v>
      </c>
      <c r="G681" s="84" t="s">
        <v>3427</v>
      </c>
      <c r="H681" s="84" t="s">
        <v>2659</v>
      </c>
      <c r="I681" s="84" t="s">
        <v>3448</v>
      </c>
      <c r="J681" s="7" t="s">
        <v>2714</v>
      </c>
      <c r="K681" s="7">
        <v>31.0</v>
      </c>
      <c r="L681" s="7">
        <v>31.0</v>
      </c>
      <c r="M681" s="7">
        <v>31.0</v>
      </c>
      <c r="N681" s="7">
        <v>31.0</v>
      </c>
      <c r="O681" s="7">
        <v>31.0</v>
      </c>
      <c r="P681" s="7">
        <v>31.0</v>
      </c>
      <c r="Q681" s="7">
        <v>252.0</v>
      </c>
      <c r="R681" s="7">
        <v>0.0</v>
      </c>
      <c r="S681" s="7">
        <v>0.0</v>
      </c>
      <c r="T681" s="7">
        <v>252.0</v>
      </c>
      <c r="U681" s="7">
        <v>0.0</v>
      </c>
      <c r="V681" s="7">
        <v>4.0</v>
      </c>
      <c r="W681" s="7">
        <f>VLOOKUP($D681,NatureChart,2,0)</f>
        <v>0.9</v>
      </c>
      <c r="X681" s="7">
        <f>VLOOKUP($D681,NatureChart,3,0)</f>
        <v>1</v>
      </c>
      <c r="Y681" s="7">
        <f>VLOOKUP($D681,NatureChart,4,0)</f>
        <v>1.1</v>
      </c>
      <c r="Z681" s="7">
        <f>VLOOKUP($D681,NatureChart,5,0)</f>
        <v>1</v>
      </c>
      <c r="AA681" s="84">
        <f>VLOOKUP($D681,NatureChart,6,0)</f>
        <v>1</v>
      </c>
      <c r="AB681" s="84">
        <f>IF($C681="Shedinja",1,(INT((2*VLOOKUP($C681,DexData,5,0)+INT(Q681/4)+K681)/2)+60))</f>
        <v>187</v>
      </c>
      <c r="AC681" s="84">
        <f>INT(INT((INT((2*VLOOKUP($C681,DexData,6,0)+INT(R681/4)+L681)/2)+5)*W681)*IF($E681="Choice Band",1.5,IF(OR($E681="Mawilite",$E681="Medichamite",$E681="Thick Club"),2,1)))</f>
        <v>90</v>
      </c>
      <c r="AD681" s="84">
        <f>INT(INT((INT((2*VLOOKUP($C681,DexData,7,0)+INT(S681/4)+M681)/2)+5)*X681)*IF($E681="Eviolite",1.5,1))</f>
        <v>110</v>
      </c>
      <c r="AE681" s="84">
        <f>INT(INT((INT((2*VLOOKUP($C681,DexData,9,0)+INT(T681/4)+N681)/2)+5)*Y681)*IF($E681="Choice Specs",1.5,1))</f>
        <v>178</v>
      </c>
      <c r="AF681" s="84">
        <f>INT(INT((INT((2*VLOOKUP($C681,DexData,10,0)+INT(U681/4)+O681)/2)+5)*Z681)*IF(OR($E681="Eviolite",$E681="Assault Vest"),1.5,1))</f>
        <v>150</v>
      </c>
      <c r="AG681" s="84">
        <f>INT(INT((INT((2*VLOOKUP($C681,DexData,11,0)+INT(V681/4)+P681)/2)+5)*AA681)*IF($E681="Choice Scarf",1.5,IF($E681="Iron Ball",0.5,1)))</f>
        <v>131</v>
      </c>
      <c r="AH681" s="84" t="str">
        <f>VLOOKUP(VLOOKUP($C681,DexData,3,0),Aliases!D$2:E$19,2,0)&amp;IFERROR("/"&amp;VLOOKUP(VLOOKUP($C681,DexData,4,0),Aliases!D$2:E$19,2,0),"")</f>
        <v>DRG/PSY</v>
      </c>
      <c r="AI681" s="7">
        <v>3.0</v>
      </c>
      <c r="AJ681" s="7">
        <f>IF(VLOOKUP(B681,'Set Odds'!A$2:AN$1067,40,0),1,IF(VLOOKUP(B681,'Set Odds'!A$2:AO$1067,41,0),2,0))</f>
        <v>1</v>
      </c>
      <c r="AK681" s="7"/>
      <c r="AL681" s="7" t="str">
        <f t="shared" si="1"/>
        <v/>
      </c>
    </row>
    <row r="682" ht="12.75" customHeight="1">
      <c r="A682" s="86">
        <v>681.0</v>
      </c>
      <c r="B682" s="84" t="s">
        <v>4247</v>
      </c>
      <c r="C682" s="7" t="s">
        <v>4232</v>
      </c>
      <c r="D682" s="7" t="s">
        <v>2635</v>
      </c>
      <c r="E682" s="7" t="s">
        <v>3433</v>
      </c>
      <c r="F682" s="84" t="s">
        <v>2659</v>
      </c>
      <c r="G682" s="84" t="s">
        <v>3427</v>
      </c>
      <c r="H682" s="84" t="s">
        <v>2823</v>
      </c>
      <c r="I682" s="84" t="s">
        <v>2661</v>
      </c>
      <c r="J682" s="7" t="s">
        <v>2714</v>
      </c>
      <c r="K682" s="7">
        <v>31.0</v>
      </c>
      <c r="L682" s="7">
        <v>31.0</v>
      </c>
      <c r="M682" s="7">
        <v>31.0</v>
      </c>
      <c r="N682" s="7">
        <v>31.0</v>
      </c>
      <c r="O682" s="7">
        <v>31.0</v>
      </c>
      <c r="P682" s="7">
        <v>31.0</v>
      </c>
      <c r="Q682" s="7">
        <v>4.0</v>
      </c>
      <c r="R682" s="7">
        <v>0.0</v>
      </c>
      <c r="S682" s="7">
        <v>0.0</v>
      </c>
      <c r="T682" s="7">
        <v>252.0</v>
      </c>
      <c r="U682" s="7">
        <v>0.0</v>
      </c>
      <c r="V682" s="7">
        <v>252.0</v>
      </c>
      <c r="W682" s="7">
        <f>VLOOKUP($D682,NatureChart,2,0)</f>
        <v>0.9</v>
      </c>
      <c r="X682" s="7">
        <f>VLOOKUP($D682,NatureChart,3,0)</f>
        <v>1</v>
      </c>
      <c r="Y682" s="7">
        <f>VLOOKUP($D682,NatureChart,4,0)</f>
        <v>1</v>
      </c>
      <c r="Z682" s="7">
        <f>VLOOKUP($D682,NatureChart,5,0)</f>
        <v>1</v>
      </c>
      <c r="AA682" s="84">
        <f>VLOOKUP($D682,NatureChart,6,0)</f>
        <v>1.1</v>
      </c>
      <c r="AB682" s="84">
        <f>IF($C682="Shedinja",1,(INT((2*VLOOKUP($C682,DexData,5,0)+INT(Q682/4)+K682)/2)+60))</f>
        <v>156</v>
      </c>
      <c r="AC682" s="84">
        <f>INT(INT((INT((2*VLOOKUP($C682,DexData,6,0)+INT(R682/4)+L682)/2)+5)*W682)*IF($E682="Choice Band",1.5,IF(OR($E682="Mawilite",$E682="Medichamite",$E682="Thick Club"),2,1)))</f>
        <v>99</v>
      </c>
      <c r="AD682" s="84">
        <f>INT(INT((INT((2*VLOOKUP($C682,DexData,7,0)+INT(S682/4)+M682)/2)+5)*X682)*IF($E682="Eviolite",1.5,1))</f>
        <v>100</v>
      </c>
      <c r="AE682" s="84">
        <f>INT(INT((INT((2*VLOOKUP($C682,DexData,9,0)+INT(T682/4)+N682)/2)+5)*Y682)*IF($E682="Choice Specs",1.5,1))</f>
        <v>182</v>
      </c>
      <c r="AF682" s="84">
        <f>INT(INT((INT((2*VLOOKUP($C682,DexData,10,0)+INT(U682/4)+O682)/2)+5)*Z682)*IF(OR($E682="Eviolite",$E682="Assault Vest"),1.5,1))</f>
        <v>130</v>
      </c>
      <c r="AG682" s="84">
        <f>INT(INT((INT((2*VLOOKUP($C682,DexData,11,0)+INT(V682/4)+P682)/2)+5)*AA682)*IF($E682="Choice Scarf",1.5,IF($E682="Iron Ball",0.5,1)))</f>
        <v>178</v>
      </c>
      <c r="AH682" s="84" t="str">
        <f>VLOOKUP(VLOOKUP($C682,DexData,3,0),Aliases!D$2:E$19,2,0)&amp;IFERROR("/"&amp;VLOOKUP(VLOOKUP($C682,DexData,4,0),Aliases!D$2:E$19,2,0),"")</f>
        <v>DRG/PSY</v>
      </c>
      <c r="AI682" s="7">
        <v>3.0</v>
      </c>
      <c r="AJ682" s="7">
        <f>IF(VLOOKUP(B682,'Set Odds'!A$2:AN$1067,40,0),1,IF(VLOOKUP(B682,'Set Odds'!A$2:AO$1067,41,0),2,0))</f>
        <v>1</v>
      </c>
      <c r="AK682" s="7"/>
      <c r="AL682" s="7" t="str">
        <f t="shared" si="1"/>
        <v/>
      </c>
    </row>
    <row r="683" ht="12.75" customHeight="1">
      <c r="A683" s="86">
        <v>682.0</v>
      </c>
      <c r="B683" s="84" t="s">
        <v>4248</v>
      </c>
      <c r="C683" s="7" t="s">
        <v>3958</v>
      </c>
      <c r="D683" s="7" t="s">
        <v>2656</v>
      </c>
      <c r="E683" s="7" t="s">
        <v>2618</v>
      </c>
      <c r="F683" s="84" t="s">
        <v>2660</v>
      </c>
      <c r="G683" s="84" t="s">
        <v>2832</v>
      </c>
      <c r="H683" s="84" t="s">
        <v>3427</v>
      </c>
      <c r="I683" s="84" t="s">
        <v>2781</v>
      </c>
      <c r="J683" s="7" t="s">
        <v>3016</v>
      </c>
      <c r="K683" s="7">
        <v>31.0</v>
      </c>
      <c r="L683" s="7">
        <v>31.0</v>
      </c>
      <c r="M683" s="7">
        <v>31.0</v>
      </c>
      <c r="N683" s="7">
        <v>31.0</v>
      </c>
      <c r="O683" s="7">
        <v>31.0</v>
      </c>
      <c r="P683" s="7">
        <v>31.0</v>
      </c>
      <c r="Q683" s="7">
        <v>4.0</v>
      </c>
      <c r="R683" s="7">
        <v>0.0</v>
      </c>
      <c r="S683" s="7">
        <v>0.0</v>
      </c>
      <c r="T683" s="7">
        <v>252.0</v>
      </c>
      <c r="U683" s="7">
        <v>0.0</v>
      </c>
      <c r="V683" s="7">
        <v>252.0</v>
      </c>
      <c r="W683" s="7">
        <f>VLOOKUP($D683,NatureChart,2,0)</f>
        <v>0.9</v>
      </c>
      <c r="X683" s="7">
        <f>VLOOKUP($D683,NatureChart,3,0)</f>
        <v>1</v>
      </c>
      <c r="Y683" s="7">
        <f>VLOOKUP($D683,NatureChart,4,0)</f>
        <v>1.1</v>
      </c>
      <c r="Z683" s="7">
        <f>VLOOKUP($D683,NatureChart,5,0)</f>
        <v>1</v>
      </c>
      <c r="AA683" s="84">
        <f>VLOOKUP($D683,NatureChart,6,0)</f>
        <v>1</v>
      </c>
      <c r="AB683" s="84">
        <f>IF($C683="Shedinja",1,(INT((2*VLOOKUP($C683,DexData,5,0)+INT(Q683/4)+K683)/2)+60))</f>
        <v>167</v>
      </c>
      <c r="AC683" s="84">
        <f>INT(INT((INT((2*VLOOKUP($C683,DexData,6,0)+INT(R683/4)+L683)/2)+5)*W683)*IF($E683="Choice Band",1.5,IF(OR($E683="Mawilite",$E683="Medichamite",$E683="Thick Club"),2,1)))</f>
        <v>99</v>
      </c>
      <c r="AD683" s="84">
        <f>INT(INT((INT((2*VLOOKUP($C683,DexData,7,0)+INT(S683/4)+M683)/2)+5)*X683)*IF($E683="Eviolite",1.5,1))</f>
        <v>126</v>
      </c>
      <c r="AE683" s="84">
        <f>INT(INT((INT((2*VLOOKUP($C683,DexData,9,0)+INT(T683/4)+N683)/2)+5)*Y683)*IF($E683="Choice Specs",1.5,1))</f>
        <v>200</v>
      </c>
      <c r="AF683" s="84">
        <f>INT(INT((INT((2*VLOOKUP($C683,DexData,10,0)+INT(U683/4)+O683)/2)+5)*Z683)*IF(OR($E683="Eviolite",$E683="Assault Vest"),1.5,1))</f>
        <v>126</v>
      </c>
      <c r="AG683" s="84">
        <f>INT(INT((INT((2*VLOOKUP($C683,DexData,11,0)+INT(V683/4)+P683)/2)+5)*AA683)*IF($E683="Choice Scarf",1.5,IF($E683="Iron Ball",0.5,1)))</f>
        <v>129</v>
      </c>
      <c r="AH683" s="84" t="str">
        <f>VLOOKUP(VLOOKUP($C683,DexData,3,0),Aliases!D$2:E$19,2,0)&amp;IFERROR("/"&amp;VLOOKUP(VLOOKUP($C683,DexData,4,0),Aliases!D$2:E$19,2,0),"")</f>
        <v>FIR/STL</v>
      </c>
      <c r="AI683" s="7">
        <v>3.0</v>
      </c>
      <c r="AJ683" s="7">
        <f>IF(VLOOKUP(B683,'Set Odds'!A$2:AN$1067,40,0),1,IF(VLOOKUP(B683,'Set Odds'!A$2:AO$1067,41,0),2,0))</f>
        <v>1</v>
      </c>
      <c r="AK683" s="7"/>
      <c r="AL683" s="7">
        <f t="shared" si="1"/>
        <v>1</v>
      </c>
    </row>
    <row r="684" ht="12.75" customHeight="1">
      <c r="A684" s="86">
        <v>683.0</v>
      </c>
      <c r="B684" s="84" t="s">
        <v>4249</v>
      </c>
      <c r="C684" s="7" t="s">
        <v>3962</v>
      </c>
      <c r="D684" s="7" t="s">
        <v>2862</v>
      </c>
      <c r="E684" s="7" t="s">
        <v>3726</v>
      </c>
      <c r="F684" s="84" t="s">
        <v>2532</v>
      </c>
      <c r="G684" s="84" t="s">
        <v>2938</v>
      </c>
      <c r="H684" s="84" t="s">
        <v>3718</v>
      </c>
      <c r="I684" s="84" t="s">
        <v>2823</v>
      </c>
      <c r="J684" s="7" t="s">
        <v>2714</v>
      </c>
      <c r="K684" s="7">
        <v>31.0</v>
      </c>
      <c r="L684" s="7">
        <v>31.0</v>
      </c>
      <c r="M684" s="7">
        <v>31.0</v>
      </c>
      <c r="N684" s="7">
        <v>31.0</v>
      </c>
      <c r="O684" s="7">
        <v>31.0</v>
      </c>
      <c r="P684" s="7">
        <v>31.0</v>
      </c>
      <c r="Q684" s="7">
        <v>252.0</v>
      </c>
      <c r="R684" s="7">
        <v>0.0</v>
      </c>
      <c r="S684" s="7">
        <v>252.0</v>
      </c>
      <c r="T684" s="7">
        <v>0.0</v>
      </c>
      <c r="U684" s="7">
        <v>4.0</v>
      </c>
      <c r="V684" s="7">
        <v>0.0</v>
      </c>
      <c r="W684" s="7">
        <f>VLOOKUP($D684,NatureChart,2,0)</f>
        <v>0.9</v>
      </c>
      <c r="X684" s="7">
        <f>VLOOKUP($D684,NatureChart,3,0)</f>
        <v>1.1</v>
      </c>
      <c r="Y684" s="7">
        <f>VLOOKUP($D684,NatureChart,4,0)</f>
        <v>1</v>
      </c>
      <c r="Z684" s="7">
        <f>VLOOKUP($D684,NatureChart,5,0)</f>
        <v>1</v>
      </c>
      <c r="AA684" s="84">
        <f>VLOOKUP($D684,NatureChart,6,0)</f>
        <v>1</v>
      </c>
      <c r="AB684" s="84">
        <f>IF($C684="Shedinja",1,(INT((2*VLOOKUP($C684,DexData,5,0)+INT(Q684/4)+K684)/2)+60))</f>
        <v>227</v>
      </c>
      <c r="AC684" s="84">
        <f>INT(INT((INT((2*VLOOKUP($C684,DexData,6,0)+INT(R684/4)+L684)/2)+5)*W684)*IF($E684="Choice Band",1.5,IF(OR($E684="Mawilite",$E684="Medichamite",$E684="Thick Club"),2,1)))</f>
        <v>81</v>
      </c>
      <c r="AD684" s="84">
        <f>INT(INT((INT((2*VLOOKUP($C684,DexData,7,0)+INT(S684/4)+M684)/2)+5)*X684)*IF($E684="Eviolite",1.5,1))</f>
        <v>189</v>
      </c>
      <c r="AE684" s="84">
        <f>INT(INT((INT((2*VLOOKUP($C684,DexData,9,0)+INT(T684/4)+N684)/2)+5)*Y684)*IF($E684="Choice Specs",1.5,1))</f>
        <v>95</v>
      </c>
      <c r="AF684" s="84">
        <f>INT(INT((INT((2*VLOOKUP($C684,DexData,10,0)+INT(U684/4)+O684)/2)+5)*Z684)*IF(OR($E684="Eviolite",$E684="Assault Vest"),1.5,1))</f>
        <v>151</v>
      </c>
      <c r="AG684" s="84">
        <f>INT(INT((INT((2*VLOOKUP($C684,DexData,11,0)+INT(V684/4)+P684)/2)+5)*AA684)*IF($E684="Choice Scarf",1.5,IF($E684="Iron Ball",0.5,1)))</f>
        <v>105</v>
      </c>
      <c r="AH684" s="84" t="str">
        <f>VLOOKUP(VLOOKUP($C684,DexData,3,0),Aliases!D$2:E$19,2,0)&amp;IFERROR("/"&amp;VLOOKUP(VLOOKUP($C684,DexData,4,0),Aliases!D$2:E$19,2,0),"")</f>
        <v>PSY</v>
      </c>
      <c r="AI684" s="7">
        <v>3.0</v>
      </c>
      <c r="AJ684" s="7">
        <f>IF(VLOOKUP(B684,'Set Odds'!A$2:AN$1067,40,0),1,IF(VLOOKUP(B684,'Set Odds'!A$2:AO$1067,41,0),2,0))</f>
        <v>1</v>
      </c>
      <c r="AK684" s="7"/>
      <c r="AL684" s="7" t="str">
        <f t="shared" si="1"/>
        <v/>
      </c>
    </row>
    <row r="685" ht="12.75" customHeight="1">
      <c r="A685" s="86">
        <v>684.0</v>
      </c>
      <c r="B685" s="84" t="s">
        <v>4250</v>
      </c>
      <c r="C685" s="7" t="s">
        <v>3966</v>
      </c>
      <c r="D685" s="7" t="s">
        <v>2692</v>
      </c>
      <c r="E685" s="7" t="s">
        <v>2524</v>
      </c>
      <c r="F685" s="84" t="s">
        <v>2534</v>
      </c>
      <c r="G685" s="84" t="s">
        <v>3464</v>
      </c>
      <c r="H685" s="84" t="s">
        <v>3967</v>
      </c>
      <c r="I685" s="84" t="s">
        <v>2614</v>
      </c>
      <c r="J685" s="7" t="s">
        <v>3968</v>
      </c>
      <c r="K685" s="7">
        <v>31.0</v>
      </c>
      <c r="L685" s="7">
        <v>31.0</v>
      </c>
      <c r="M685" s="7">
        <v>31.0</v>
      </c>
      <c r="N685" s="7">
        <v>31.0</v>
      </c>
      <c r="O685" s="7">
        <v>31.0</v>
      </c>
      <c r="P685" s="7">
        <v>31.0</v>
      </c>
      <c r="Q685" s="7">
        <v>252.0</v>
      </c>
      <c r="R685" s="7">
        <v>4.0</v>
      </c>
      <c r="S685" s="7">
        <v>0.0</v>
      </c>
      <c r="T685" s="7">
        <v>0.0</v>
      </c>
      <c r="U685" s="7">
        <v>0.0</v>
      </c>
      <c r="V685" s="7">
        <v>252.0</v>
      </c>
      <c r="W685" s="7">
        <f>VLOOKUP($D685,NatureChart,2,0)</f>
        <v>1</v>
      </c>
      <c r="X685" s="7">
        <f>VLOOKUP($D685,NatureChart,3,0)</f>
        <v>1</v>
      </c>
      <c r="Y685" s="7">
        <f>VLOOKUP($D685,NatureChart,4,0)</f>
        <v>0.9</v>
      </c>
      <c r="Z685" s="7">
        <f>VLOOKUP($D685,NatureChart,5,0)</f>
        <v>1</v>
      </c>
      <c r="AA685" s="84">
        <f>VLOOKUP($D685,NatureChart,6,0)</f>
        <v>1.1</v>
      </c>
      <c r="AB685" s="84">
        <f>IF($C685="Shedinja",1,(INT((2*VLOOKUP($C685,DexData,5,0)+INT(Q685/4)+K685)/2)+60))</f>
        <v>217</v>
      </c>
      <c r="AC685" s="84">
        <f>INT(INT((INT((2*VLOOKUP($C685,DexData,6,0)+INT(R685/4)+L685)/2)+5)*W685)*IF($E685="Choice Band",1.5,IF(OR($E685="Mawilite",$E685="Medichamite",$E685="Thick Club"),2,1)))</f>
        <v>181</v>
      </c>
      <c r="AD685" s="84">
        <f>INT(INT((INT((2*VLOOKUP($C685,DexData,7,0)+INT(S685/4)+M685)/2)+5)*X685)*IF($E685="Eviolite",1.5,1))</f>
        <v>130</v>
      </c>
      <c r="AE685" s="84">
        <f>INT(INT((INT((2*VLOOKUP($C685,DexData,9,0)+INT(T685/4)+N685)/2)+5)*Y685)*IF($E685="Choice Specs",1.5,1))</f>
        <v>90</v>
      </c>
      <c r="AF685" s="84">
        <f>INT(INT((INT((2*VLOOKUP($C685,DexData,10,0)+INT(U685/4)+O685)/2)+5)*Z685)*IF(OR($E685="Eviolite",$E685="Assault Vest"),1.5,1))</f>
        <v>130</v>
      </c>
      <c r="AG685" s="84">
        <f>INT(INT((INT((2*VLOOKUP($C685,DexData,11,0)+INT(V685/4)+P685)/2)+5)*AA685)*IF($E685="Choice Scarf",1.5,IF($E685="Iron Ball",0.5,1)))</f>
        <v>167</v>
      </c>
      <c r="AH685" s="84" t="str">
        <f>VLOOKUP(VLOOKUP($C685,DexData,3,0),Aliases!D$2:E$19,2,0)&amp;IFERROR("/"&amp;VLOOKUP(VLOOKUP($C685,DexData,4,0),Aliases!D$2:E$19,2,0),"")</f>
        <v>NRM</v>
      </c>
      <c r="AI685" s="7">
        <v>3.0</v>
      </c>
      <c r="AJ685" s="7">
        <f>IF(VLOOKUP(B685,'Set Odds'!A$2:AN$1067,40,0),1,IF(VLOOKUP(B685,'Set Odds'!A$2:AO$1067,41,0),2,0))</f>
        <v>1</v>
      </c>
      <c r="AK685" s="7"/>
      <c r="AL685" s="7" t="str">
        <f t="shared" si="1"/>
        <v/>
      </c>
    </row>
    <row r="686" ht="12.75" customHeight="1">
      <c r="A686" s="86">
        <v>685.0</v>
      </c>
      <c r="B686" s="84" t="s">
        <v>4251</v>
      </c>
      <c r="C686" s="7" t="s">
        <v>4210</v>
      </c>
      <c r="D686" s="7" t="s">
        <v>2635</v>
      </c>
      <c r="E686" s="7" t="s">
        <v>2524</v>
      </c>
      <c r="F686" s="84" t="s">
        <v>3448</v>
      </c>
      <c r="G686" s="84" t="s">
        <v>2823</v>
      </c>
      <c r="H686" s="84" t="s">
        <v>2526</v>
      </c>
      <c r="I686" s="84" t="s">
        <v>2532</v>
      </c>
      <c r="J686" s="7" t="s">
        <v>3499</v>
      </c>
      <c r="K686" s="7">
        <v>31.0</v>
      </c>
      <c r="L686" s="7">
        <v>31.0</v>
      </c>
      <c r="M686" s="7">
        <v>31.0</v>
      </c>
      <c r="N686" s="7">
        <v>31.0</v>
      </c>
      <c r="O686" s="7">
        <v>31.0</v>
      </c>
      <c r="P686" s="7">
        <v>31.0</v>
      </c>
      <c r="Q686" s="7">
        <v>252.0</v>
      </c>
      <c r="R686" s="7">
        <v>0.0</v>
      </c>
      <c r="S686" s="7">
        <v>0.0</v>
      </c>
      <c r="T686" s="7">
        <v>4.0</v>
      </c>
      <c r="U686" s="7">
        <v>0.0</v>
      </c>
      <c r="V686" s="7">
        <v>252.0</v>
      </c>
      <c r="W686" s="7">
        <f>VLOOKUP($D686,NatureChart,2,0)</f>
        <v>0.9</v>
      </c>
      <c r="X686" s="7">
        <f>VLOOKUP($D686,NatureChart,3,0)</f>
        <v>1</v>
      </c>
      <c r="Y686" s="7">
        <f>VLOOKUP($D686,NatureChart,4,0)</f>
        <v>1</v>
      </c>
      <c r="Z686" s="7">
        <f>VLOOKUP($D686,NatureChart,5,0)</f>
        <v>1</v>
      </c>
      <c r="AA686" s="84">
        <f>VLOOKUP($D686,NatureChart,6,0)</f>
        <v>1.1</v>
      </c>
      <c r="AB686" s="84">
        <f>IF($C686="Shedinja",1,(INT((2*VLOOKUP($C686,DexData,5,0)+INT(Q686/4)+K686)/2)+60))</f>
        <v>197</v>
      </c>
      <c r="AC686" s="84">
        <f>INT(INT((INT((2*VLOOKUP($C686,DexData,6,0)+INT(R686/4)+L686)/2)+5)*W686)*IF($E686="Choice Band",1.5,IF(OR($E686="Mawilite",$E686="Medichamite",$E686="Thick Club"),2,1)))</f>
        <v>94</v>
      </c>
      <c r="AD686" s="84">
        <f>INT(INT((INT((2*VLOOKUP($C686,DexData,7,0)+INT(S686/4)+M686)/2)+5)*X686)*IF($E686="Eviolite",1.5,1))</f>
        <v>120</v>
      </c>
      <c r="AE686" s="84">
        <f>INT(INT((INT((2*VLOOKUP($C686,DexData,9,0)+INT(T686/4)+N686)/2)+5)*Y686)*IF($E686="Choice Specs",1.5,1))</f>
        <v>116</v>
      </c>
      <c r="AF686" s="84">
        <f>INT(INT((INT((2*VLOOKUP($C686,DexData,10,0)+INT(U686/4)+O686)/2)+5)*Z686)*IF(OR($E686="Eviolite",$E686="Assault Vest"),1.5,1))</f>
        <v>145</v>
      </c>
      <c r="AG686" s="84">
        <f>INT(INT((INT((2*VLOOKUP($C686,DexData,11,0)+INT(V686/4)+P686)/2)+5)*AA686)*IF($E686="Choice Scarf",1.5,IF($E686="Iron Ball",0.5,1)))</f>
        <v>150</v>
      </c>
      <c r="AH686" s="84" t="str">
        <f>VLOOKUP(VLOOKUP($C686,DexData,3,0),Aliases!D$2:E$19,2,0)&amp;IFERROR("/"&amp;VLOOKUP(VLOOKUP($C686,DexData,4,0),Aliases!D$2:E$19,2,0),"")</f>
        <v>ICE/FLY</v>
      </c>
      <c r="AI686" s="7">
        <v>3.0</v>
      </c>
      <c r="AJ686" s="7">
        <f>IF(VLOOKUP(B686,'Set Odds'!A$2:AN$1067,40,0),1,IF(VLOOKUP(B686,'Set Odds'!A$2:AO$1067,41,0),2,0))</f>
        <v>1</v>
      </c>
      <c r="AK686" s="7"/>
      <c r="AL686" s="7" t="str">
        <f t="shared" si="1"/>
        <v/>
      </c>
    </row>
    <row r="687" ht="12.75" customHeight="1">
      <c r="A687" s="86">
        <v>686.0</v>
      </c>
      <c r="B687" s="84" t="s">
        <v>4252</v>
      </c>
      <c r="C687" s="7" t="s">
        <v>4212</v>
      </c>
      <c r="D687" s="7" t="s">
        <v>2692</v>
      </c>
      <c r="E687" s="7" t="s">
        <v>2519</v>
      </c>
      <c r="F687" s="84" t="s">
        <v>3447</v>
      </c>
      <c r="G687" s="84" t="s">
        <v>3314</v>
      </c>
      <c r="H687" s="84" t="s">
        <v>3475</v>
      </c>
      <c r="I687" s="84" t="s">
        <v>2781</v>
      </c>
      <c r="J687" s="7" t="s">
        <v>3499</v>
      </c>
      <c r="K687" s="7">
        <v>31.0</v>
      </c>
      <c r="L687" s="7">
        <v>31.0</v>
      </c>
      <c r="M687" s="7">
        <v>31.0</v>
      </c>
      <c r="N687" s="7">
        <v>31.0</v>
      </c>
      <c r="O687" s="7">
        <v>31.0</v>
      </c>
      <c r="P687" s="7">
        <v>31.0</v>
      </c>
      <c r="Q687" s="7">
        <v>4.0</v>
      </c>
      <c r="R687" s="7">
        <v>252.0</v>
      </c>
      <c r="S687" s="7">
        <v>0.0</v>
      </c>
      <c r="T687" s="7">
        <v>0.0</v>
      </c>
      <c r="U687" s="7">
        <v>0.0</v>
      </c>
      <c r="V687" s="7">
        <v>252.0</v>
      </c>
      <c r="W687" s="7">
        <f>VLOOKUP($D687,NatureChart,2,0)</f>
        <v>1</v>
      </c>
      <c r="X687" s="7">
        <f>VLOOKUP($D687,NatureChart,3,0)</f>
        <v>1</v>
      </c>
      <c r="Y687" s="7">
        <f>VLOOKUP($D687,NatureChart,4,0)</f>
        <v>0.9</v>
      </c>
      <c r="Z687" s="7">
        <f>VLOOKUP($D687,NatureChart,5,0)</f>
        <v>1</v>
      </c>
      <c r="AA687" s="84">
        <f>VLOOKUP($D687,NatureChart,6,0)</f>
        <v>1.1</v>
      </c>
      <c r="AB687" s="84">
        <f>IF($C687="Shedinja",1,(INT((2*VLOOKUP($C687,DexData,5,0)+INT(Q687/4)+K687)/2)+60))</f>
        <v>166</v>
      </c>
      <c r="AC687" s="84">
        <f>INT(INT((INT((2*VLOOKUP($C687,DexData,6,0)+INT(R687/4)+L687)/2)+5)*W687)*IF($E687="Choice Band",1.5,IF(OR($E687="Mawilite",$E687="Medichamite",$E687="Thick Club"),2,1)))</f>
        <v>142</v>
      </c>
      <c r="AD687" s="84">
        <f>INT(INT((INT((2*VLOOKUP($C687,DexData,7,0)+INT(S687/4)+M687)/2)+5)*X687)*IF($E687="Eviolite",1.5,1))</f>
        <v>105</v>
      </c>
      <c r="AE687" s="84">
        <f>INT(INT((INT((2*VLOOKUP($C687,DexData,9,0)+INT(T687/4)+N687)/2)+5)*Y687)*IF($E687="Choice Specs",1.5,1))</f>
        <v>130</v>
      </c>
      <c r="AF687" s="84">
        <f>INT(INT((INT((2*VLOOKUP($C687,DexData,10,0)+INT(U687/4)+O687)/2)+5)*Z687)*IF(OR($E687="Eviolite",$E687="Assault Vest"),1.5,1))</f>
        <v>110</v>
      </c>
      <c r="AG687" s="84">
        <f>INT(INT((INT((2*VLOOKUP($C687,DexData,11,0)+INT(V687/4)+P687)/2)+5)*AA687)*IF($E687="Choice Scarf",1.5,IF($E687="Iron Ball",0.5,1)))</f>
        <v>167</v>
      </c>
      <c r="AH687" s="84" t="str">
        <f>VLOOKUP(VLOOKUP($C687,DexData,3,0),Aliases!D$2:E$19,2,0)&amp;IFERROR("/"&amp;VLOOKUP(VLOOKUP($C687,DexData,4,0),Aliases!D$2:E$19,2,0),"")</f>
        <v>ELC/FLY</v>
      </c>
      <c r="AI687" s="7">
        <v>3.0</v>
      </c>
      <c r="AJ687" s="7">
        <f>IF(VLOOKUP(B687,'Set Odds'!A$2:AN$1067,40,0),1,IF(VLOOKUP(B687,'Set Odds'!A$2:AO$1067,41,0),2,0))</f>
        <v>1</v>
      </c>
      <c r="AK687" s="7"/>
      <c r="AL687" s="7" t="str">
        <f t="shared" si="1"/>
        <v/>
      </c>
    </row>
    <row r="688" ht="12.75" customHeight="1">
      <c r="A688" s="86">
        <v>687.0</v>
      </c>
      <c r="B688" s="84" t="s">
        <v>4253</v>
      </c>
      <c r="C688" s="7" t="s">
        <v>4215</v>
      </c>
      <c r="D688" s="7" t="s">
        <v>2656</v>
      </c>
      <c r="E688" s="7" t="s">
        <v>2524</v>
      </c>
      <c r="F688" s="84" t="s">
        <v>3617</v>
      </c>
      <c r="G688" s="84" t="s">
        <v>3825</v>
      </c>
      <c r="H688" s="84" t="s">
        <v>3600</v>
      </c>
      <c r="I688" s="84" t="s">
        <v>3314</v>
      </c>
      <c r="J688" s="7" t="s">
        <v>3162</v>
      </c>
      <c r="K688" s="7">
        <v>31.0</v>
      </c>
      <c r="L688" s="7">
        <v>31.0</v>
      </c>
      <c r="M688" s="7">
        <v>31.0</v>
      </c>
      <c r="N688" s="7">
        <v>31.0</v>
      </c>
      <c r="O688" s="7">
        <v>31.0</v>
      </c>
      <c r="P688" s="7">
        <v>31.0</v>
      </c>
      <c r="Q688" s="7">
        <v>4.0</v>
      </c>
      <c r="R688" s="7">
        <v>0.0</v>
      </c>
      <c r="S688" s="7">
        <v>0.0</v>
      </c>
      <c r="T688" s="7">
        <v>252.0</v>
      </c>
      <c r="U688" s="7">
        <v>0.0</v>
      </c>
      <c r="V688" s="7">
        <v>252.0</v>
      </c>
      <c r="W688" s="7">
        <f>VLOOKUP($D688,NatureChart,2,0)</f>
        <v>0.9</v>
      </c>
      <c r="X688" s="7">
        <f>VLOOKUP($D688,NatureChart,3,0)</f>
        <v>1</v>
      </c>
      <c r="Y688" s="7">
        <f>VLOOKUP($D688,NatureChart,4,0)</f>
        <v>1.1</v>
      </c>
      <c r="Z688" s="7">
        <f>VLOOKUP($D688,NatureChart,5,0)</f>
        <v>1</v>
      </c>
      <c r="AA688" s="84">
        <f>VLOOKUP($D688,NatureChart,6,0)</f>
        <v>1</v>
      </c>
      <c r="AB688" s="84">
        <f>IF($C688="Shedinja",1,(INT((2*VLOOKUP($C688,DexData,5,0)+INT(Q688/4)+K688)/2)+60))</f>
        <v>166</v>
      </c>
      <c r="AC688" s="84">
        <f>INT(INT((INT((2*VLOOKUP($C688,DexData,6,0)+INT(R688/4)+L688)/2)+5)*W688)*IF($E688="Choice Band",1.5,IF(OR($E688="Mawilite",$E688="Medichamite",$E688="Thick Club"),2,1)))</f>
        <v>108</v>
      </c>
      <c r="AD688" s="84">
        <f>INT(INT((INT((2*VLOOKUP($C688,DexData,7,0)+INT(S688/4)+M688)/2)+5)*X688)*IF($E688="Eviolite",1.5,1))</f>
        <v>110</v>
      </c>
      <c r="AE688" s="84">
        <f>INT(INT((INT((2*VLOOKUP($C688,DexData,9,0)+INT(T688/4)+N688)/2)+5)*Y688)*IF($E688="Choice Specs",1.5,1))</f>
        <v>194</v>
      </c>
      <c r="AF688" s="84">
        <f>INT(INT((INT((2*VLOOKUP($C688,DexData,10,0)+INT(U688/4)+O688)/2)+5)*Z688)*IF(OR($E688="Eviolite",$E688="Assault Vest"),1.5,1))</f>
        <v>105</v>
      </c>
      <c r="AG688" s="84">
        <f>INT(INT((INT((2*VLOOKUP($C688,DexData,11,0)+INT(V688/4)+P688)/2)+5)*AA688)*IF($E688="Choice Scarf",1.5,IF($E688="Iron Ball",0.5,1)))</f>
        <v>142</v>
      </c>
      <c r="AH688" s="84" t="str">
        <f>VLOOKUP(VLOOKUP($C688,DexData,3,0),Aliases!D$2:E$19,2,0)&amp;IFERROR("/"&amp;VLOOKUP(VLOOKUP($C688,DexData,4,0),Aliases!D$2:E$19,2,0),"")</f>
        <v>FIR/FLY</v>
      </c>
      <c r="AI688" s="7">
        <v>3.0</v>
      </c>
      <c r="AJ688" s="7">
        <f>IF(VLOOKUP(B688,'Set Odds'!A$2:AN$1067,40,0),1,IF(VLOOKUP(B688,'Set Odds'!A$2:AO$1067,41,0),2,0))</f>
        <v>1</v>
      </c>
      <c r="AK688" s="7"/>
      <c r="AL688" s="7" t="str">
        <f t="shared" si="1"/>
        <v/>
      </c>
    </row>
    <row r="689" ht="12.75" customHeight="1">
      <c r="A689" s="86">
        <v>688.0</v>
      </c>
      <c r="B689" s="84" t="s">
        <v>4254</v>
      </c>
      <c r="C689" s="7" t="s">
        <v>4217</v>
      </c>
      <c r="D689" s="7" t="s">
        <v>2635</v>
      </c>
      <c r="E689" s="7" t="s">
        <v>3715</v>
      </c>
      <c r="F689" s="84" t="s">
        <v>2661</v>
      </c>
      <c r="G689" s="84" t="s">
        <v>2880</v>
      </c>
      <c r="H689" s="84" t="s">
        <v>3435</v>
      </c>
      <c r="I689" s="84" t="s">
        <v>3523</v>
      </c>
      <c r="J689" s="7" t="s">
        <v>3499</v>
      </c>
      <c r="K689" s="7">
        <v>31.0</v>
      </c>
      <c r="L689" s="7">
        <v>31.0</v>
      </c>
      <c r="M689" s="7">
        <v>31.0</v>
      </c>
      <c r="N689" s="7">
        <v>31.0</v>
      </c>
      <c r="O689" s="7">
        <v>31.0</v>
      </c>
      <c r="P689" s="7">
        <v>31.0</v>
      </c>
      <c r="Q689" s="7">
        <v>4.0</v>
      </c>
      <c r="R689" s="7">
        <v>0.0</v>
      </c>
      <c r="S689" s="7">
        <v>0.0</v>
      </c>
      <c r="T689" s="7">
        <v>252.0</v>
      </c>
      <c r="U689" s="7">
        <v>0.0</v>
      </c>
      <c r="V689" s="7">
        <v>252.0</v>
      </c>
      <c r="W689" s="7">
        <f>VLOOKUP($D689,NatureChart,2,0)</f>
        <v>0.9</v>
      </c>
      <c r="X689" s="7">
        <f>VLOOKUP($D689,NatureChart,3,0)</f>
        <v>1</v>
      </c>
      <c r="Y689" s="7">
        <f>VLOOKUP($D689,NatureChart,4,0)</f>
        <v>1</v>
      </c>
      <c r="Z689" s="7">
        <f>VLOOKUP($D689,NatureChart,5,0)</f>
        <v>1</v>
      </c>
      <c r="AA689" s="84">
        <f>VLOOKUP($D689,NatureChart,6,0)</f>
        <v>1.1</v>
      </c>
      <c r="AB689" s="84">
        <f>IF($C689="Shedinja",1,(INT((2*VLOOKUP($C689,DexData,5,0)+INT(Q689/4)+K689)/2)+60))</f>
        <v>166</v>
      </c>
      <c r="AC689" s="84">
        <f>INT(INT((INT((2*VLOOKUP($C689,DexData,6,0)+INT(R689/4)+L689)/2)+5)*W689)*IF($E689="Choice Band",1.5,IF(OR($E689="Mawilite",$E689="Medichamite",$E689="Thick Club"),2,1)))</f>
        <v>94</v>
      </c>
      <c r="AD689" s="84">
        <f>INT(INT((INT((2*VLOOKUP($C689,DexData,7,0)+INT(S689/4)+M689)/2)+5)*X689)*IF($E689="Eviolite",1.5,1))</f>
        <v>95</v>
      </c>
      <c r="AE689" s="84">
        <f>INT(INT((INT((2*VLOOKUP($C689,DexData,9,0)+INT(T689/4)+N689)/2)+5)*Y689)*IF($E689="Choice Specs",1.5,1))</f>
        <v>167</v>
      </c>
      <c r="AF689" s="84">
        <f>INT(INT((INT((2*VLOOKUP($C689,DexData,10,0)+INT(U689/4)+O689)/2)+5)*Z689)*IF(OR($E689="Eviolite",$E689="Assault Vest"),1.5,1))</f>
        <v>120</v>
      </c>
      <c r="AG689" s="84">
        <f>INT(INT((INT((2*VLOOKUP($C689,DexData,11,0)+INT(V689/4)+P689)/2)+5)*AA689)*IF($E689="Choice Scarf",1.5,IF($E689="Iron Ball",0.5,1)))</f>
        <v>183</v>
      </c>
      <c r="AH689" s="84" t="str">
        <f>VLOOKUP(VLOOKUP($C689,DexData,3,0),Aliases!D$2:E$19,2,0)&amp;IFERROR("/"&amp;VLOOKUP(VLOOKUP($C689,DexData,4,0),Aliases!D$2:E$19,2,0),"")</f>
        <v>ELC</v>
      </c>
      <c r="AI689" s="7">
        <v>3.0</v>
      </c>
      <c r="AJ689" s="7">
        <f>IF(VLOOKUP(B689,'Set Odds'!A$2:AN$1067,40,0),1,IF(VLOOKUP(B689,'Set Odds'!A$2:AO$1067,41,0),2,0))</f>
        <v>1</v>
      </c>
      <c r="AK689" s="7"/>
      <c r="AL689" s="7" t="str">
        <f t="shared" si="1"/>
        <v/>
      </c>
    </row>
    <row r="690" ht="12.75" customHeight="1">
      <c r="A690" s="86">
        <v>689.0</v>
      </c>
      <c r="B690" s="84" t="s">
        <v>4255</v>
      </c>
      <c r="C690" s="7" t="s">
        <v>4219</v>
      </c>
      <c r="D690" s="7" t="s">
        <v>2635</v>
      </c>
      <c r="E690" s="7" t="s">
        <v>2685</v>
      </c>
      <c r="F690" s="84" t="s">
        <v>3600</v>
      </c>
      <c r="G690" s="84" t="s">
        <v>2712</v>
      </c>
      <c r="H690" s="84" t="s">
        <v>2661</v>
      </c>
      <c r="I690" s="84" t="s">
        <v>3718</v>
      </c>
      <c r="J690" s="7" t="s">
        <v>3499</v>
      </c>
      <c r="K690" s="7">
        <v>31.0</v>
      </c>
      <c r="L690" s="7">
        <v>31.0</v>
      </c>
      <c r="M690" s="7">
        <v>31.0</v>
      </c>
      <c r="N690" s="7">
        <v>31.0</v>
      </c>
      <c r="O690" s="7">
        <v>31.0</v>
      </c>
      <c r="P690" s="7">
        <v>31.0</v>
      </c>
      <c r="Q690" s="7">
        <v>252.0</v>
      </c>
      <c r="R690" s="7">
        <v>0.0</v>
      </c>
      <c r="S690" s="7">
        <v>0.0</v>
      </c>
      <c r="T690" s="7">
        <v>4.0</v>
      </c>
      <c r="U690" s="7">
        <v>0.0</v>
      </c>
      <c r="V690" s="7">
        <v>252.0</v>
      </c>
      <c r="W690" s="7">
        <f>VLOOKUP($D690,NatureChart,2,0)</f>
        <v>0.9</v>
      </c>
      <c r="X690" s="7">
        <f>VLOOKUP($D690,NatureChart,3,0)</f>
        <v>1</v>
      </c>
      <c r="Y690" s="7">
        <f>VLOOKUP($D690,NatureChart,4,0)</f>
        <v>1</v>
      </c>
      <c r="Z690" s="7">
        <f>VLOOKUP($D690,NatureChart,5,0)</f>
        <v>1</v>
      </c>
      <c r="AA690" s="84">
        <f>VLOOKUP($D690,NatureChart,6,0)</f>
        <v>1.1</v>
      </c>
      <c r="AB690" s="84">
        <f>IF($C690="Shedinja",1,(INT((2*VLOOKUP($C690,DexData,5,0)+INT(Q690/4)+K690)/2)+60))</f>
        <v>222</v>
      </c>
      <c r="AC690" s="84">
        <f>INT(INT((INT((2*VLOOKUP($C690,DexData,6,0)+INT(R690/4)+L690)/2)+5)*W690)*IF($E690="Choice Band",1.5,IF(OR($E690="Mawilite",$E690="Medichamite",$E690="Thick Club"),2,1)))</f>
        <v>121</v>
      </c>
      <c r="AD690" s="84">
        <f>INT(INT((INT((2*VLOOKUP($C690,DexData,7,0)+INT(S690/4)+M690)/2)+5)*X690)*IF($E690="Eviolite",1.5,1))</f>
        <v>105</v>
      </c>
      <c r="AE690" s="84">
        <f>INT(INT((INT((2*VLOOKUP($C690,DexData,9,0)+INT(T690/4)+N690)/2)+5)*Y690)*IF($E690="Choice Specs",1.5,1))</f>
        <v>111</v>
      </c>
      <c r="AF690" s="84">
        <f>INT(INT((INT((2*VLOOKUP($C690,DexData,10,0)+INT(U690/4)+O690)/2)+5)*Z690)*IF(OR($E690="Eviolite",$E690="Assault Vest"),1.5,1))</f>
        <v>95</v>
      </c>
      <c r="AG690" s="84">
        <f>INT(INT((INT((2*VLOOKUP($C690,DexData,11,0)+INT(V690/4)+P690)/2)+5)*AA690)*IF($E690="Choice Scarf",1.5,IF($E690="Iron Ball",0.5,1)))</f>
        <v>167</v>
      </c>
      <c r="AH690" s="84" t="str">
        <f>VLOOKUP(VLOOKUP($C690,DexData,3,0),Aliases!D$2:E$19,2,0)&amp;IFERROR("/"&amp;VLOOKUP(VLOOKUP($C690,DexData,4,0),Aliases!D$2:E$19,2,0),"")</f>
        <v>FIR</v>
      </c>
      <c r="AI690" s="7">
        <v>3.0</v>
      </c>
      <c r="AJ690" s="7">
        <f>IF(VLOOKUP(B690,'Set Odds'!A$2:AN$1067,40,0),1,IF(VLOOKUP(B690,'Set Odds'!A$2:AO$1067,41,0),2,0))</f>
        <v>1</v>
      </c>
      <c r="AK690" s="7"/>
      <c r="AL690" s="7" t="str">
        <f t="shared" si="1"/>
        <v/>
      </c>
    </row>
    <row r="691" ht="12.75" customHeight="1">
      <c r="A691" s="86">
        <v>690.0</v>
      </c>
      <c r="B691" s="84" t="s">
        <v>4256</v>
      </c>
      <c r="C691" s="7" t="s">
        <v>4222</v>
      </c>
      <c r="D691" s="7" t="s">
        <v>3597</v>
      </c>
      <c r="E691" s="7" t="s">
        <v>3003</v>
      </c>
      <c r="F691" s="84" t="s">
        <v>3718</v>
      </c>
      <c r="G691" s="84" t="s">
        <v>2841</v>
      </c>
      <c r="H691" s="84" t="s">
        <v>2880</v>
      </c>
      <c r="I691" s="84" t="s">
        <v>2823</v>
      </c>
      <c r="J691" s="7" t="s">
        <v>3499</v>
      </c>
      <c r="K691" s="7">
        <v>31.0</v>
      </c>
      <c r="L691" s="7">
        <v>31.0</v>
      </c>
      <c r="M691" s="7">
        <v>31.0</v>
      </c>
      <c r="N691" s="7">
        <v>31.0</v>
      </c>
      <c r="O691" s="7">
        <v>31.0</v>
      </c>
      <c r="P691" s="7">
        <v>31.0</v>
      </c>
      <c r="Q691" s="7">
        <v>252.0</v>
      </c>
      <c r="R691" s="7">
        <v>0.0</v>
      </c>
      <c r="S691" s="7">
        <v>0.0</v>
      </c>
      <c r="T691" s="7">
        <v>0.0</v>
      </c>
      <c r="U691" s="7">
        <v>252.0</v>
      </c>
      <c r="V691" s="7">
        <v>4.0</v>
      </c>
      <c r="W691" s="7">
        <f>VLOOKUP($D691,NatureChart,2,0)</f>
        <v>0.9</v>
      </c>
      <c r="X691" s="7">
        <f>VLOOKUP($D691,NatureChart,3,0)</f>
        <v>1</v>
      </c>
      <c r="Y691" s="7">
        <f>VLOOKUP($D691,NatureChart,4,0)</f>
        <v>1</v>
      </c>
      <c r="Z691" s="7">
        <f>VLOOKUP($D691,NatureChart,5,0)</f>
        <v>1.1</v>
      </c>
      <c r="AA691" s="84">
        <f>VLOOKUP($D691,NatureChart,6,0)</f>
        <v>1</v>
      </c>
      <c r="AB691" s="84">
        <f>IF($C691="Shedinja",1,(INT((2*VLOOKUP($C691,DexData,5,0)+INT(Q691/4)+K691)/2)+60))</f>
        <v>207</v>
      </c>
      <c r="AC691" s="84">
        <f>INT(INT((INT((2*VLOOKUP($C691,DexData,6,0)+INT(R691/4)+L691)/2)+5)*W691)*IF($E691="Choice Band",1.5,IF(OR($E691="Mawilite",$E691="Medichamite",$E691="Thick Club"),2,1)))</f>
        <v>85</v>
      </c>
      <c r="AD691" s="84">
        <f>INT(INT((INT((2*VLOOKUP($C691,DexData,7,0)+INT(S691/4)+M691)/2)+5)*X691)*IF($E691="Eviolite",1.5,1))</f>
        <v>135</v>
      </c>
      <c r="AE691" s="84">
        <f>INT(INT((INT((2*VLOOKUP($C691,DexData,9,0)+INT(T691/4)+N691)/2)+5)*Y691)*IF($E691="Choice Specs",1.5,1))</f>
        <v>110</v>
      </c>
      <c r="AF691" s="84">
        <f>INT(INT((INT((2*VLOOKUP($C691,DexData,10,0)+INT(U691/4)+O691)/2)+5)*Z691)*IF(OR($E691="Eviolite",$E691="Assault Vest"),1.5,1))</f>
        <v>183</v>
      </c>
      <c r="AG691" s="84">
        <f>INT(INT((INT((2*VLOOKUP($C691,DexData,11,0)+INT(V691/4)+P691)/2)+5)*AA691)*IF($E691="Choice Scarf",1.5,IF($E691="Iron Ball",0.5,1)))</f>
        <v>106</v>
      </c>
      <c r="AH691" s="84" t="str">
        <f>VLOOKUP(VLOOKUP($C691,DexData,3,0),Aliases!D$2:E$19,2,0)&amp;IFERROR("/"&amp;VLOOKUP(VLOOKUP($C691,DexData,4,0),Aliases!D$2:E$19,2,0),"")</f>
        <v>WTR</v>
      </c>
      <c r="AI691" s="7">
        <v>3.0</v>
      </c>
      <c r="AJ691" s="7">
        <f>IF(VLOOKUP(B691,'Set Odds'!A$2:AN$1067,40,0),1,IF(VLOOKUP(B691,'Set Odds'!A$2:AO$1067,41,0),2,0))</f>
        <v>1</v>
      </c>
      <c r="AK691" s="7"/>
      <c r="AL691" s="7" t="str">
        <f t="shared" si="1"/>
        <v/>
      </c>
    </row>
    <row r="692" ht="12.75" customHeight="1">
      <c r="A692" s="86">
        <v>691.0</v>
      </c>
      <c r="B692" s="84" t="s">
        <v>4257</v>
      </c>
      <c r="C692" s="7" t="s">
        <v>4224</v>
      </c>
      <c r="D692" s="7" t="s">
        <v>2571</v>
      </c>
      <c r="E692" s="7" t="s">
        <v>4007</v>
      </c>
      <c r="F692" s="84" t="s">
        <v>2752</v>
      </c>
      <c r="G692" s="84" t="s">
        <v>3441</v>
      </c>
      <c r="H692" s="84" t="s">
        <v>3454</v>
      </c>
      <c r="I692" s="84" t="s">
        <v>3087</v>
      </c>
      <c r="J692" s="7" t="s">
        <v>2728</v>
      </c>
      <c r="K692" s="7">
        <v>31.0</v>
      </c>
      <c r="L692" s="7">
        <v>31.0</v>
      </c>
      <c r="M692" s="7">
        <v>31.0</v>
      </c>
      <c r="N692" s="7">
        <v>31.0</v>
      </c>
      <c r="O692" s="7">
        <v>31.0</v>
      </c>
      <c r="P692" s="7">
        <v>31.0</v>
      </c>
      <c r="Q692" s="7">
        <v>252.0</v>
      </c>
      <c r="R692" s="7">
        <v>252.0</v>
      </c>
      <c r="S692" s="7">
        <v>0.0</v>
      </c>
      <c r="T692" s="7">
        <v>0.0</v>
      </c>
      <c r="U692" s="7">
        <v>0.0</v>
      </c>
      <c r="V692" s="7">
        <v>4.0</v>
      </c>
      <c r="W692" s="7">
        <f>VLOOKUP($D692,NatureChart,2,0)</f>
        <v>1.1</v>
      </c>
      <c r="X692" s="7">
        <f>VLOOKUP($D692,NatureChart,3,0)</f>
        <v>1</v>
      </c>
      <c r="Y692" s="7">
        <f>VLOOKUP($D692,NatureChart,4,0)</f>
        <v>0.9</v>
      </c>
      <c r="Z692" s="7">
        <f>VLOOKUP($D692,NatureChart,5,0)</f>
        <v>1</v>
      </c>
      <c r="AA692" s="84">
        <f>VLOOKUP($D692,NatureChart,6,0)</f>
        <v>1</v>
      </c>
      <c r="AB692" s="84">
        <f>IF($C692="Shedinja",1,(INT((2*VLOOKUP($C692,DexData,5,0)+INT(Q692/4)+K692)/2)+60))</f>
        <v>187</v>
      </c>
      <c r="AC692" s="84">
        <f>INT(INT((INT((2*VLOOKUP($C692,DexData,6,0)+INT(R692/4)+L692)/2)+5)*W692)*IF($E692="Choice Band",1.5,IF(OR($E692="Mawilite",$E692="Medichamite",$E692="Thick Club"),2,1)))</f>
        <v>167</v>
      </c>
      <c r="AD692" s="84">
        <f>INT(INT((INT((2*VLOOKUP($C692,DexData,7,0)+INT(S692/4)+M692)/2)+5)*X692)*IF($E692="Eviolite",1.5,1))</f>
        <v>220</v>
      </c>
      <c r="AE692" s="84">
        <f>INT(INT((INT((2*VLOOKUP($C692,DexData,9,0)+INT(T692/4)+N692)/2)+5)*Y692)*IF($E692="Choice Specs",1.5,1))</f>
        <v>63</v>
      </c>
      <c r="AF692" s="84">
        <f>INT(INT((INT((2*VLOOKUP($C692,DexData,10,0)+INT(U692/4)+O692)/2)+5)*Z692)*IF(OR($E692="Eviolite",$E692="Assault Vest"),1.5,1))</f>
        <v>120</v>
      </c>
      <c r="AG692" s="84">
        <f>INT(INT((INT((2*VLOOKUP($C692,DexData,11,0)+INT(V692/4)+P692)/2)+5)*AA692)*IF($E692="Choice Scarf",1.5,IF($E692="Iron Ball",0.5,1)))</f>
        <v>71</v>
      </c>
      <c r="AH692" s="84" t="str">
        <f>VLOOKUP(VLOOKUP($C692,DexData,3,0),Aliases!D$2:E$19,2,0)&amp;IFERROR("/"&amp;VLOOKUP(VLOOKUP($C692,DexData,4,0),Aliases!D$2:E$19,2,0),"")</f>
        <v>RCK</v>
      </c>
      <c r="AI692" s="7">
        <v>3.0</v>
      </c>
      <c r="AJ692" s="7">
        <f>IF(VLOOKUP(B692,'Set Odds'!A$2:AN$1067,40,0),1,IF(VLOOKUP(B692,'Set Odds'!A$2:AO$1067,41,0),2,0))</f>
        <v>1</v>
      </c>
      <c r="AK692" s="7"/>
      <c r="AL692" s="7" t="str">
        <f t="shared" si="1"/>
        <v/>
      </c>
    </row>
    <row r="693" ht="12.75" customHeight="1">
      <c r="A693" s="86">
        <v>692.0</v>
      </c>
      <c r="B693" s="84" t="s">
        <v>4258</v>
      </c>
      <c r="C693" s="7" t="s">
        <v>4226</v>
      </c>
      <c r="D693" s="7" t="s">
        <v>2862</v>
      </c>
      <c r="E693" s="7" t="s">
        <v>3003</v>
      </c>
      <c r="F693" s="84" t="s">
        <v>2823</v>
      </c>
      <c r="G693" s="84" t="s">
        <v>2781</v>
      </c>
      <c r="H693" s="84" t="s">
        <v>3762</v>
      </c>
      <c r="I693" s="84" t="s">
        <v>2841</v>
      </c>
      <c r="J693" s="7" t="s">
        <v>3370</v>
      </c>
      <c r="K693" s="7">
        <v>31.0</v>
      </c>
      <c r="L693" s="7">
        <v>31.0</v>
      </c>
      <c r="M693" s="7">
        <v>31.0</v>
      </c>
      <c r="N693" s="7">
        <v>31.0</v>
      </c>
      <c r="O693" s="7">
        <v>31.0</v>
      </c>
      <c r="P693" s="7">
        <v>31.0</v>
      </c>
      <c r="Q693" s="7">
        <v>252.0</v>
      </c>
      <c r="R693" s="7">
        <v>0.0</v>
      </c>
      <c r="S693" s="7">
        <v>252.0</v>
      </c>
      <c r="T693" s="7">
        <v>4.0</v>
      </c>
      <c r="U693" s="7">
        <v>0.0</v>
      </c>
      <c r="V693" s="7">
        <v>0.0</v>
      </c>
      <c r="W693" s="7">
        <f>VLOOKUP($D693,NatureChart,2,0)</f>
        <v>0.9</v>
      </c>
      <c r="X693" s="7">
        <f>VLOOKUP($D693,NatureChart,3,0)</f>
        <v>1.1</v>
      </c>
      <c r="Y693" s="7">
        <f>VLOOKUP($D693,NatureChart,4,0)</f>
        <v>1</v>
      </c>
      <c r="Z693" s="7">
        <f>VLOOKUP($D693,NatureChart,5,0)</f>
        <v>1</v>
      </c>
      <c r="AA693" s="84">
        <f>VLOOKUP($D693,NatureChart,6,0)</f>
        <v>1</v>
      </c>
      <c r="AB693" s="84">
        <f>IF($C693="Shedinja",1,(INT((2*VLOOKUP($C693,DexData,5,0)+INT(Q693/4)+K693)/2)+60))</f>
        <v>187</v>
      </c>
      <c r="AC693" s="84">
        <f>INT(INT((INT((2*VLOOKUP($C693,DexData,6,0)+INT(R693/4)+L693)/2)+5)*W693)*IF($E693="Choice Band",1.5,IF(OR($E693="Mawilite",$E693="Medichamite",$E693="Thick Club"),2,1)))</f>
        <v>63</v>
      </c>
      <c r="AD693" s="84">
        <f>INT(INT((INT((2*VLOOKUP($C693,DexData,7,0)+INT(S693/4)+M693)/2)+5)*X693)*IF($E693="Eviolite",1.5,1))</f>
        <v>167</v>
      </c>
      <c r="AE693" s="84">
        <f>INT(INT((INT((2*VLOOKUP($C693,DexData,9,0)+INT(T693/4)+N693)/2)+5)*Y693)*IF($E693="Choice Specs",1.5,1))</f>
        <v>121</v>
      </c>
      <c r="AF693" s="84">
        <f>INT(INT((INT((2*VLOOKUP($C693,DexData,10,0)+INT(U693/4)+O693)/2)+5)*Z693)*IF(OR($E693="Eviolite",$E693="Assault Vest"),1.5,1))</f>
        <v>220</v>
      </c>
      <c r="AG693" s="84">
        <f>INT(INT((INT((2*VLOOKUP($C693,DexData,11,0)+INT(V693/4)+P693)/2)+5)*AA693)*IF($E693="Choice Scarf",1.5,IF($E693="Iron Ball",0.5,1)))</f>
        <v>70</v>
      </c>
      <c r="AH693" s="84" t="str">
        <f>VLOOKUP(VLOOKUP($C693,DexData,3,0),Aliases!D$2:E$19,2,0)&amp;IFERROR("/"&amp;VLOOKUP(VLOOKUP($C693,DexData,4,0),Aliases!D$2:E$19,2,0),"")</f>
        <v>ICE</v>
      </c>
      <c r="AI693" s="7">
        <v>3.0</v>
      </c>
      <c r="AJ693" s="7">
        <f>IF(VLOOKUP(B693,'Set Odds'!A$2:AN$1067,40,0),1,IF(VLOOKUP(B693,'Set Odds'!A$2:AO$1067,41,0),2,0))</f>
        <v>1</v>
      </c>
      <c r="AK693" s="7"/>
      <c r="AL693" s="7" t="str">
        <f t="shared" si="1"/>
        <v/>
      </c>
    </row>
    <row r="694" ht="12.75" customHeight="1">
      <c r="A694" s="86">
        <v>693.0</v>
      </c>
      <c r="B694" s="84" t="s">
        <v>4259</v>
      </c>
      <c r="C694" s="7" t="s">
        <v>4228</v>
      </c>
      <c r="D694" s="7" t="s">
        <v>2635</v>
      </c>
      <c r="E694" s="7" t="s">
        <v>4157</v>
      </c>
      <c r="F694" s="84" t="s">
        <v>2987</v>
      </c>
      <c r="G694" s="84" t="s">
        <v>4025</v>
      </c>
      <c r="H694" s="84" t="s">
        <v>3543</v>
      </c>
      <c r="I694" s="84" t="s">
        <v>2517</v>
      </c>
      <c r="J694" s="7" t="s">
        <v>3370</v>
      </c>
      <c r="K694" s="7">
        <v>31.0</v>
      </c>
      <c r="L694" s="7">
        <v>31.0</v>
      </c>
      <c r="M694" s="7">
        <v>31.0</v>
      </c>
      <c r="N694" s="7">
        <v>31.0</v>
      </c>
      <c r="O694" s="7">
        <v>31.0</v>
      </c>
      <c r="P694" s="7">
        <v>31.0</v>
      </c>
      <c r="Q694" s="7">
        <v>4.0</v>
      </c>
      <c r="R694" s="7">
        <v>0.0</v>
      </c>
      <c r="S694" s="7">
        <v>0.0</v>
      </c>
      <c r="T694" s="7">
        <v>252.0</v>
      </c>
      <c r="U694" s="7">
        <v>0.0</v>
      </c>
      <c r="V694" s="7">
        <v>252.0</v>
      </c>
      <c r="W694" s="7">
        <f>VLOOKUP($D694,NatureChart,2,0)</f>
        <v>0.9</v>
      </c>
      <c r="X694" s="7">
        <f>VLOOKUP($D694,NatureChart,3,0)</f>
        <v>1</v>
      </c>
      <c r="Y694" s="7">
        <f>VLOOKUP($D694,NatureChart,4,0)</f>
        <v>1</v>
      </c>
      <c r="Z694" s="7">
        <f>VLOOKUP($D694,NatureChart,5,0)</f>
        <v>1</v>
      </c>
      <c r="AA694" s="84">
        <f>VLOOKUP($D694,NatureChart,6,0)</f>
        <v>1.1</v>
      </c>
      <c r="AB694" s="84">
        <f>IF($C694="Shedinja",1,(INT((2*VLOOKUP($C694,DexData,5,0)+INT(Q694/4)+K694)/2)+60))</f>
        <v>156</v>
      </c>
      <c r="AC694" s="84">
        <f>INT(INT((INT((2*VLOOKUP($C694,DexData,6,0)+INT(R694/4)+L694)/2)+5)*W694)*IF($E694="Choice Band",1.5,IF(OR($E694="Mawilite",$E694="Medichamite",$E694="Thick Club"),2,1)))</f>
        <v>85</v>
      </c>
      <c r="AD694" s="84">
        <f>INT(INT((INT((2*VLOOKUP($C694,DexData,7,0)+INT(S694/4)+M694)/2)+5)*X694)*IF($E694="Eviolite",1.5,1))</f>
        <v>170</v>
      </c>
      <c r="AE694" s="84">
        <f>INT(INT((INT((2*VLOOKUP($C694,DexData,9,0)+INT(T694/4)+N694)/2)+5)*Y694)*IF($E694="Choice Specs",1.5,1))</f>
        <v>127</v>
      </c>
      <c r="AF694" s="84">
        <f>INT(INT((INT((2*VLOOKUP($C694,DexData,10,0)+INT(U694/4)+O694)/2)+5)*Z694)*IF(OR($E694="Eviolite",$E694="Assault Vest"),1.5,1))</f>
        <v>170</v>
      </c>
      <c r="AG694" s="84">
        <f>INT(INT((INT((2*VLOOKUP($C694,DexData,11,0)+INT(V694/4)+P694)/2)+5)*AA694)*IF($E694="Choice Scarf",1.5,IF($E694="Iron Ball",0.5,1)))</f>
        <v>112</v>
      </c>
      <c r="AH694" s="84" t="str">
        <f>VLOOKUP(VLOOKUP($C694,DexData,3,0),Aliases!D$2:E$19,2,0)&amp;IFERROR("/"&amp;VLOOKUP(VLOOKUP($C694,DexData,4,0),Aliases!D$2:E$19,2,0),"")</f>
        <v>STL</v>
      </c>
      <c r="AI694" s="7">
        <v>3.0</v>
      </c>
      <c r="AJ694" s="7">
        <f>IF(VLOOKUP(B694,'Set Odds'!A$2:AN$1067,40,0),1,IF(VLOOKUP(B694,'Set Odds'!A$2:AO$1067,41,0),2,0))</f>
        <v>1</v>
      </c>
      <c r="AK694" s="7"/>
      <c r="AL694" s="7" t="str">
        <f t="shared" si="1"/>
        <v/>
      </c>
    </row>
    <row r="695" ht="12.75" customHeight="1">
      <c r="A695" s="86">
        <v>694.0</v>
      </c>
      <c r="B695" s="84" t="s">
        <v>4260</v>
      </c>
      <c r="C695" s="7" t="s">
        <v>4230</v>
      </c>
      <c r="D695" s="7" t="s">
        <v>2635</v>
      </c>
      <c r="E695" s="7" t="s">
        <v>2524</v>
      </c>
      <c r="F695" s="84" t="s">
        <v>2659</v>
      </c>
      <c r="G695" s="84" t="s">
        <v>3427</v>
      </c>
      <c r="H695" s="84" t="s">
        <v>3435</v>
      </c>
      <c r="I695" s="84" t="s">
        <v>2967</v>
      </c>
      <c r="J695" s="7" t="s">
        <v>2714</v>
      </c>
      <c r="K695" s="7">
        <v>31.0</v>
      </c>
      <c r="L695" s="7">
        <v>31.0</v>
      </c>
      <c r="M695" s="7">
        <v>31.0</v>
      </c>
      <c r="N695" s="7">
        <v>31.0</v>
      </c>
      <c r="O695" s="7">
        <v>31.0</v>
      </c>
      <c r="P695" s="7">
        <v>31.0</v>
      </c>
      <c r="Q695" s="7">
        <v>4.0</v>
      </c>
      <c r="R695" s="7">
        <v>0.0</v>
      </c>
      <c r="S695" s="7">
        <v>0.0</v>
      </c>
      <c r="T695" s="7">
        <v>252.0</v>
      </c>
      <c r="U695" s="7">
        <v>0.0</v>
      </c>
      <c r="V695" s="7">
        <v>252.0</v>
      </c>
      <c r="W695" s="7">
        <f>VLOOKUP($D695,NatureChart,2,0)</f>
        <v>0.9</v>
      </c>
      <c r="X695" s="7">
        <f>VLOOKUP($D695,NatureChart,3,0)</f>
        <v>1</v>
      </c>
      <c r="Y695" s="7">
        <f>VLOOKUP($D695,NatureChart,4,0)</f>
        <v>1</v>
      </c>
      <c r="Z695" s="7">
        <f>VLOOKUP($D695,NatureChart,5,0)</f>
        <v>1</v>
      </c>
      <c r="AA695" s="84">
        <f>VLOOKUP($D695,NatureChart,6,0)</f>
        <v>1.1</v>
      </c>
      <c r="AB695" s="84">
        <f>IF($C695="Shedinja",1,(INT((2*VLOOKUP($C695,DexData,5,0)+INT(Q695/4)+K695)/2)+60))</f>
        <v>156</v>
      </c>
      <c r="AC695" s="84">
        <f>INT(INT((INT((2*VLOOKUP($C695,DexData,6,0)+INT(R695/4)+L695)/2)+5)*W695)*IF($E695="Choice Band",1.5,IF(OR($E695="Mawilite",$E695="Medichamite",$E695="Thick Club"),2,1)))</f>
        <v>90</v>
      </c>
      <c r="AD695" s="84">
        <f>INT(INT((INT((2*VLOOKUP($C695,DexData,7,0)+INT(S695/4)+M695)/2)+5)*X695)*IF($E695="Eviolite",1.5,1))</f>
        <v>110</v>
      </c>
      <c r="AE695" s="84">
        <f>INT(INT((INT((2*VLOOKUP($C695,DexData,9,0)+INT(T695/4)+N695)/2)+5)*Y695)*IF($E695="Choice Specs",1.5,1))</f>
        <v>162</v>
      </c>
      <c r="AF695" s="84">
        <f>INT(INT((INT((2*VLOOKUP($C695,DexData,10,0)+INT(U695/4)+O695)/2)+5)*Z695)*IF(OR($E695="Eviolite",$E695="Assault Vest"),1.5,1))</f>
        <v>150</v>
      </c>
      <c r="AG695" s="84">
        <f>INT(INT((INT((2*VLOOKUP($C695,DexData,11,0)+INT(V695/4)+P695)/2)+5)*AA695)*IF($E695="Choice Scarf",1.5,IF($E695="Iron Ball",0.5,1)))</f>
        <v>178</v>
      </c>
      <c r="AH695" s="84" t="str">
        <f>VLOOKUP(VLOOKUP($C695,DexData,3,0),Aliases!D$2:E$19,2,0)&amp;IFERROR("/"&amp;VLOOKUP(VLOOKUP($C695,DexData,4,0),Aliases!D$2:E$19,2,0),"")</f>
        <v>DRG/PSY</v>
      </c>
      <c r="AI695" s="7">
        <v>3.0</v>
      </c>
      <c r="AJ695" s="7">
        <f>IF(VLOOKUP(B695,'Set Odds'!A$2:AN$1067,40,0),1,IF(VLOOKUP(B695,'Set Odds'!A$2:AO$1067,41,0),2,0))</f>
        <v>1</v>
      </c>
      <c r="AK695" s="7"/>
      <c r="AL695" s="7" t="str">
        <f t="shared" si="1"/>
        <v/>
      </c>
    </row>
    <row r="696" ht="12.75" customHeight="1">
      <c r="A696" s="86">
        <v>695.0</v>
      </c>
      <c r="B696" s="84" t="s">
        <v>4261</v>
      </c>
      <c r="C696" s="7" t="s">
        <v>4232</v>
      </c>
      <c r="D696" s="7" t="s">
        <v>2656</v>
      </c>
      <c r="E696" s="7" t="s">
        <v>4262</v>
      </c>
      <c r="F696" s="84" t="s">
        <v>4263</v>
      </c>
      <c r="G696" s="84" t="s">
        <v>2607</v>
      </c>
      <c r="H696" s="84" t="s">
        <v>2791</v>
      </c>
      <c r="I696" s="84" t="s">
        <v>3428</v>
      </c>
      <c r="J696" s="7" t="s">
        <v>2714</v>
      </c>
      <c r="K696" s="7">
        <v>31.0</v>
      </c>
      <c r="L696" s="7">
        <v>31.0</v>
      </c>
      <c r="M696" s="7">
        <v>31.0</v>
      </c>
      <c r="N696" s="7">
        <v>31.0</v>
      </c>
      <c r="O696" s="7">
        <v>31.0</v>
      </c>
      <c r="P696" s="7">
        <v>31.0</v>
      </c>
      <c r="Q696" s="7">
        <v>4.0</v>
      </c>
      <c r="R696" s="7">
        <v>0.0</v>
      </c>
      <c r="S696" s="7">
        <v>0.0</v>
      </c>
      <c r="T696" s="7">
        <v>252.0</v>
      </c>
      <c r="U696" s="7">
        <v>0.0</v>
      </c>
      <c r="V696" s="7">
        <v>252.0</v>
      </c>
      <c r="W696" s="7">
        <f>VLOOKUP($D696,NatureChart,2,0)</f>
        <v>0.9</v>
      </c>
      <c r="X696" s="7">
        <f>VLOOKUP($D696,NatureChart,3,0)</f>
        <v>1</v>
      </c>
      <c r="Y696" s="7">
        <f>VLOOKUP($D696,NatureChart,4,0)</f>
        <v>1.1</v>
      </c>
      <c r="Z696" s="7">
        <f>VLOOKUP($D696,NatureChart,5,0)</f>
        <v>1</v>
      </c>
      <c r="AA696" s="84">
        <f>VLOOKUP($D696,NatureChart,6,0)</f>
        <v>1</v>
      </c>
      <c r="AB696" s="84">
        <f>IF($C696="Shedinja",1,(INT((2*VLOOKUP($C696,DexData,5,0)+INT(Q696/4)+K696)/2)+60))</f>
        <v>156</v>
      </c>
      <c r="AC696" s="84">
        <f>INT(INT((INT((2*VLOOKUP($C696,DexData,6,0)+INT(R696/4)+L696)/2)+5)*W696)*IF($E696="Choice Band",1.5,IF(OR($E696="Mawilite",$E696="Medichamite",$E696="Thick Club"),2,1)))</f>
        <v>99</v>
      </c>
      <c r="AD696" s="84">
        <f>INT(INT((INT((2*VLOOKUP($C696,DexData,7,0)+INT(S696/4)+M696)/2)+5)*X696)*IF($E696="Eviolite",1.5,1))</f>
        <v>100</v>
      </c>
      <c r="AE696" s="84">
        <f>INT(INT((INT((2*VLOOKUP($C696,DexData,9,0)+INT(T696/4)+N696)/2)+5)*Y696)*IF($E696="Choice Specs",1.5,1))</f>
        <v>200</v>
      </c>
      <c r="AF696" s="84">
        <f>INT(INT((INT((2*VLOOKUP($C696,DexData,10,0)+INT(U696/4)+O696)/2)+5)*Z696)*IF(OR($E696="Eviolite",$E696="Assault Vest"),1.5,1))</f>
        <v>130</v>
      </c>
      <c r="AG696" s="84">
        <f>INT(INT((INT((2*VLOOKUP($C696,DexData,11,0)+INT(V696/4)+P696)/2)+5)*AA696)*IF($E696="Choice Scarf",1.5,IF($E696="Iron Ball",0.5,1)))</f>
        <v>162</v>
      </c>
      <c r="AH696" s="84" t="str">
        <f>VLOOKUP(VLOOKUP($C696,DexData,3,0),Aliases!D$2:E$19,2,0)&amp;IFERROR("/"&amp;VLOOKUP(VLOOKUP($C696,DexData,4,0),Aliases!D$2:E$19,2,0),"")</f>
        <v>DRG/PSY</v>
      </c>
      <c r="AI696" s="7">
        <v>3.0</v>
      </c>
      <c r="AJ696" s="7">
        <f>IF(VLOOKUP(B696,'Set Odds'!A$2:AN$1067,40,0),1,IF(VLOOKUP(B696,'Set Odds'!A$2:AO$1067,41,0),2,0))</f>
        <v>1</v>
      </c>
      <c r="AK696" s="7"/>
      <c r="AL696" s="7" t="str">
        <f t="shared" si="1"/>
        <v/>
      </c>
    </row>
    <row r="697" ht="12.75" customHeight="1">
      <c r="A697" s="86">
        <v>696.0</v>
      </c>
      <c r="B697" s="84" t="s">
        <v>4264</v>
      </c>
      <c r="C697" s="7" t="s">
        <v>3958</v>
      </c>
      <c r="D697" s="7" t="s">
        <v>2571</v>
      </c>
      <c r="E697" s="7" t="s">
        <v>2516</v>
      </c>
      <c r="F697" s="84" t="s">
        <v>2539</v>
      </c>
      <c r="G697" s="84" t="s">
        <v>2580</v>
      </c>
      <c r="H697" s="84" t="s">
        <v>3015</v>
      </c>
      <c r="I697" s="84" t="s">
        <v>3626</v>
      </c>
      <c r="J697" s="7" t="s">
        <v>3016</v>
      </c>
      <c r="K697" s="7">
        <v>31.0</v>
      </c>
      <c r="L697" s="7">
        <v>31.0</v>
      </c>
      <c r="M697" s="7">
        <v>31.0</v>
      </c>
      <c r="N697" s="7">
        <v>31.0</v>
      </c>
      <c r="O697" s="7">
        <v>31.0</v>
      </c>
      <c r="P697" s="7">
        <v>31.0</v>
      </c>
      <c r="Q697" s="7">
        <v>4.0</v>
      </c>
      <c r="R697" s="7">
        <v>252.0</v>
      </c>
      <c r="S697" s="7">
        <v>0.0</v>
      </c>
      <c r="T697" s="7">
        <v>0.0</v>
      </c>
      <c r="U697" s="7">
        <v>0.0</v>
      </c>
      <c r="V697" s="7">
        <v>252.0</v>
      </c>
      <c r="W697" s="7">
        <f>VLOOKUP($D697,NatureChart,2,0)</f>
        <v>1.1</v>
      </c>
      <c r="X697" s="7">
        <f>VLOOKUP($D697,NatureChart,3,0)</f>
        <v>1</v>
      </c>
      <c r="Y697" s="7">
        <f>VLOOKUP($D697,NatureChart,4,0)</f>
        <v>0.9</v>
      </c>
      <c r="Z697" s="7">
        <f>VLOOKUP($D697,NatureChart,5,0)</f>
        <v>1</v>
      </c>
      <c r="AA697" s="84">
        <f>VLOOKUP($D697,NatureChart,6,0)</f>
        <v>1</v>
      </c>
      <c r="AB697" s="84">
        <f>IF($C697="Shedinja",1,(INT((2*VLOOKUP($C697,DexData,5,0)+INT(Q697/4)+K697)/2)+60))</f>
        <v>167</v>
      </c>
      <c r="AC697" s="84">
        <f>INT(INT((INT((2*VLOOKUP($C697,DexData,6,0)+INT(R697/4)+L697)/2)+5)*W697)*IF($E697="Choice Band",1.5,IF(OR($E697="Mawilite",$E697="Medichamite",$E697="Thick Club"),2,1)))</f>
        <v>156</v>
      </c>
      <c r="AD697" s="84">
        <f>INT(INT((INT((2*VLOOKUP($C697,DexData,7,0)+INT(S697/4)+M697)/2)+5)*X697)*IF($E697="Eviolite",1.5,1))</f>
        <v>126</v>
      </c>
      <c r="AE697" s="84">
        <f>INT(INT((INT((2*VLOOKUP($C697,DexData,9,0)+INT(T697/4)+N697)/2)+5)*Y697)*IF($E697="Choice Specs",1.5,1))</f>
        <v>135</v>
      </c>
      <c r="AF697" s="84">
        <f>INT(INT((INT((2*VLOOKUP($C697,DexData,10,0)+INT(U697/4)+O697)/2)+5)*Z697)*IF(OR($E697="Eviolite",$E697="Assault Vest"),1.5,1))</f>
        <v>126</v>
      </c>
      <c r="AG697" s="84">
        <f>INT(INT((INT((2*VLOOKUP($C697,DexData,11,0)+INT(V697/4)+P697)/2)+5)*AA697)*IF($E697="Choice Scarf",1.5,IF($E697="Iron Ball",0.5,1)))</f>
        <v>129</v>
      </c>
      <c r="AH697" s="84" t="str">
        <f>VLOOKUP(VLOOKUP($C697,DexData,3,0),Aliases!D$2:E$19,2,0)&amp;IFERROR("/"&amp;VLOOKUP(VLOOKUP($C697,DexData,4,0),Aliases!D$2:E$19,2,0),"")</f>
        <v>FIR/STL</v>
      </c>
      <c r="AI697" s="7">
        <v>3.0</v>
      </c>
      <c r="AJ697" s="7">
        <f>IF(VLOOKUP(B697,'Set Odds'!A$2:AN$1067,40,0),1,IF(VLOOKUP(B697,'Set Odds'!A$2:AO$1067,41,0),2,0))</f>
        <v>1</v>
      </c>
      <c r="AK697" s="7"/>
      <c r="AL697" s="7">
        <f t="shared" si="1"/>
        <v>1</v>
      </c>
    </row>
    <row r="698" ht="12.75" customHeight="1">
      <c r="A698" s="86">
        <v>697.0</v>
      </c>
      <c r="B698" s="84" t="s">
        <v>4265</v>
      </c>
      <c r="C698" s="7" t="s">
        <v>3962</v>
      </c>
      <c r="D698" s="7" t="s">
        <v>2656</v>
      </c>
      <c r="E698" s="7" t="s">
        <v>3715</v>
      </c>
      <c r="F698" s="84" t="s">
        <v>2659</v>
      </c>
      <c r="G698" s="84" t="s">
        <v>2823</v>
      </c>
      <c r="H698" s="84" t="s">
        <v>2661</v>
      </c>
      <c r="I698" s="84" t="s">
        <v>3730</v>
      </c>
      <c r="J698" s="7" t="s">
        <v>2714</v>
      </c>
      <c r="K698" s="7">
        <v>31.0</v>
      </c>
      <c r="L698" s="7">
        <v>31.0</v>
      </c>
      <c r="M698" s="7">
        <v>31.0</v>
      </c>
      <c r="N698" s="7">
        <v>31.0</v>
      </c>
      <c r="O698" s="7">
        <v>31.0</v>
      </c>
      <c r="P698" s="7">
        <v>31.0</v>
      </c>
      <c r="Q698" s="7">
        <v>252.0</v>
      </c>
      <c r="R698" s="7">
        <v>0.0</v>
      </c>
      <c r="S698" s="7">
        <v>0.0</v>
      </c>
      <c r="T698" s="7">
        <v>252.0</v>
      </c>
      <c r="U698" s="7">
        <v>0.0</v>
      </c>
      <c r="V698" s="7">
        <v>4.0</v>
      </c>
      <c r="W698" s="7">
        <f>VLOOKUP($D698,NatureChart,2,0)</f>
        <v>0.9</v>
      </c>
      <c r="X698" s="7">
        <f>VLOOKUP($D698,NatureChart,3,0)</f>
        <v>1</v>
      </c>
      <c r="Y698" s="7">
        <f>VLOOKUP($D698,NatureChart,4,0)</f>
        <v>1.1</v>
      </c>
      <c r="Z698" s="7">
        <f>VLOOKUP($D698,NatureChart,5,0)</f>
        <v>1</v>
      </c>
      <c r="AA698" s="84">
        <f>VLOOKUP($D698,NatureChart,6,0)</f>
        <v>1</v>
      </c>
      <c r="AB698" s="84">
        <f>IF($C698="Shedinja",1,(INT((2*VLOOKUP($C698,DexData,5,0)+INT(Q698/4)+K698)/2)+60))</f>
        <v>227</v>
      </c>
      <c r="AC698" s="84">
        <f>INT(INT((INT((2*VLOOKUP($C698,DexData,6,0)+INT(R698/4)+L698)/2)+5)*W698)*IF($E698="Choice Band",1.5,IF(OR($E698="Mawilite",$E698="Medichamite",$E698="Thick Club"),2,1)))</f>
        <v>81</v>
      </c>
      <c r="AD698" s="84">
        <f>INT(INT((INT((2*VLOOKUP($C698,DexData,7,0)+INT(S698/4)+M698)/2)+5)*X698)*IF($E698="Eviolite",1.5,1))</f>
        <v>140</v>
      </c>
      <c r="AE698" s="84">
        <f>INT(INT((INT((2*VLOOKUP($C698,DexData,9,0)+INT(T698/4)+N698)/2)+5)*Y698)*IF($E698="Choice Specs",1.5,1))</f>
        <v>139</v>
      </c>
      <c r="AF698" s="84">
        <f>INT(INT((INT((2*VLOOKUP($C698,DexData,10,0)+INT(U698/4)+O698)/2)+5)*Z698)*IF(OR($E698="Eviolite",$E698="Assault Vest"),1.5,1))</f>
        <v>150</v>
      </c>
      <c r="AG698" s="84">
        <f>INT(INT((INT((2*VLOOKUP($C698,DexData,11,0)+INT(V698/4)+P698)/2)+5)*AA698)*IF($E698="Choice Scarf",1.5,IF($E698="Iron Ball",0.5,1)))</f>
        <v>106</v>
      </c>
      <c r="AH698" s="84" t="str">
        <f>VLOOKUP(VLOOKUP($C698,DexData,3,0),Aliases!D$2:E$19,2,0)&amp;IFERROR("/"&amp;VLOOKUP(VLOOKUP($C698,DexData,4,0),Aliases!D$2:E$19,2,0),"")</f>
        <v>PSY</v>
      </c>
      <c r="AI698" s="7">
        <v>3.0</v>
      </c>
      <c r="AJ698" s="7">
        <f>IF(VLOOKUP(B698,'Set Odds'!A$2:AN$1067,40,0),1,IF(VLOOKUP(B698,'Set Odds'!A$2:AO$1067,41,0),2,0))</f>
        <v>1</v>
      </c>
      <c r="AK698" s="7"/>
      <c r="AL698" s="7" t="str">
        <f t="shared" si="1"/>
        <v/>
      </c>
    </row>
    <row r="699" ht="12.75" customHeight="1">
      <c r="A699" s="86">
        <v>698.0</v>
      </c>
      <c r="B699" s="84" t="s">
        <v>4266</v>
      </c>
      <c r="C699" s="7" t="s">
        <v>3966</v>
      </c>
      <c r="D699" s="7" t="s">
        <v>2827</v>
      </c>
      <c r="E699" s="7" t="s">
        <v>2828</v>
      </c>
      <c r="F699" s="84" t="s">
        <v>3435</v>
      </c>
      <c r="G699" s="84" t="s">
        <v>3590</v>
      </c>
      <c r="H699" s="84" t="s">
        <v>3454</v>
      </c>
      <c r="I699" s="84" t="s">
        <v>3692</v>
      </c>
      <c r="J699" s="7" t="s">
        <v>3968</v>
      </c>
      <c r="K699" s="7">
        <v>31.0</v>
      </c>
      <c r="L699" s="7">
        <v>31.0</v>
      </c>
      <c r="M699" s="7">
        <v>31.0</v>
      </c>
      <c r="N699" s="7">
        <v>31.0</v>
      </c>
      <c r="O699" s="7">
        <v>31.0</v>
      </c>
      <c r="P699" s="7">
        <v>31.0</v>
      </c>
      <c r="Q699" s="7">
        <v>252.0</v>
      </c>
      <c r="R699" s="7">
        <v>124.0</v>
      </c>
      <c r="S699" s="7">
        <v>0.0</v>
      </c>
      <c r="T699" s="7">
        <v>124.0</v>
      </c>
      <c r="U699" s="7">
        <v>4.0</v>
      </c>
      <c r="V699" s="7">
        <v>4.0</v>
      </c>
      <c r="W699" s="7">
        <f>VLOOKUP($D699,NatureChart,2,0)</f>
        <v>1</v>
      </c>
      <c r="X699" s="7">
        <f>VLOOKUP($D699,NatureChart,3,0)</f>
        <v>1</v>
      </c>
      <c r="Y699" s="7">
        <f>VLOOKUP($D699,NatureChart,4,0)</f>
        <v>1.1</v>
      </c>
      <c r="Z699" s="7">
        <f>VLOOKUP($D699,NatureChart,5,0)</f>
        <v>1</v>
      </c>
      <c r="AA699" s="84">
        <f>VLOOKUP($D699,NatureChart,6,0)</f>
        <v>0.9</v>
      </c>
      <c r="AB699" s="84">
        <f>IF($C699="Shedinja",1,(INT((2*VLOOKUP($C699,DexData,5,0)+INT(Q699/4)+K699)/2)+60))</f>
        <v>217</v>
      </c>
      <c r="AC699" s="84">
        <f>INT(INT((INT((2*VLOOKUP($C699,DexData,6,0)+INT(R699/4)+L699)/2)+5)*W699)*IF($E699="Choice Band",1.5,IF(OR($E699="Mawilite",$E699="Medichamite",$E699="Thick Club"),2,1)))</f>
        <v>196</v>
      </c>
      <c r="AD699" s="84">
        <f>INT(INT((INT((2*VLOOKUP($C699,DexData,7,0)+INT(S699/4)+M699)/2)+5)*X699)*IF($E699="Eviolite",1.5,1))</f>
        <v>130</v>
      </c>
      <c r="AE699" s="84">
        <f>INT(INT((INT((2*VLOOKUP($C699,DexData,9,0)+INT(T699/4)+N699)/2)+5)*Y699)*IF($E699="Choice Specs",1.5,1))</f>
        <v>127</v>
      </c>
      <c r="AF699" s="84">
        <f>INT(INT((INT((2*VLOOKUP($C699,DexData,10,0)+INT(U699/4)+O699)/2)+5)*Z699)*IF(OR($E699="Eviolite",$E699="Assault Vest"),1.5,1))</f>
        <v>131</v>
      </c>
      <c r="AG699" s="84">
        <f>INT(INT((INT((2*VLOOKUP($C699,DexData,11,0)+INT(V699/4)+P699)/2)+5)*AA699)*IF($E699="Choice Scarf",1.5,IF($E699="Iron Ball",0.5,1)))</f>
        <v>108</v>
      </c>
      <c r="AH699" s="84" t="str">
        <f>VLOOKUP(VLOOKUP($C699,DexData,3,0),Aliases!D$2:E$19,2,0)&amp;IFERROR("/"&amp;VLOOKUP(VLOOKUP($C699,DexData,4,0),Aliases!D$2:E$19,2,0),"")</f>
        <v>NRM</v>
      </c>
      <c r="AI699" s="7">
        <v>3.0</v>
      </c>
      <c r="AJ699" s="7">
        <f>IF(VLOOKUP(B699,'Set Odds'!A$2:AN$1067,40,0),1,IF(VLOOKUP(B699,'Set Odds'!A$2:AO$1067,41,0),2,0))</f>
        <v>1</v>
      </c>
      <c r="AK699" s="7"/>
      <c r="AL699" s="7" t="str">
        <f t="shared" si="1"/>
        <v/>
      </c>
    </row>
    <row r="700" ht="12.75" customHeight="1">
      <c r="A700" s="86">
        <v>699.0</v>
      </c>
      <c r="B700" s="84" t="s">
        <v>4267</v>
      </c>
      <c r="C700" s="7" t="s">
        <v>4210</v>
      </c>
      <c r="D700" s="7" t="s">
        <v>3597</v>
      </c>
      <c r="E700" s="7" t="s">
        <v>2642</v>
      </c>
      <c r="F700" s="84" t="s">
        <v>2526</v>
      </c>
      <c r="G700" s="84" t="s">
        <v>2823</v>
      </c>
      <c r="H700" s="84" t="s">
        <v>2614</v>
      </c>
      <c r="I700" s="84" t="s">
        <v>2694</v>
      </c>
      <c r="J700" s="7" t="s">
        <v>3499</v>
      </c>
      <c r="K700" s="7">
        <v>31.0</v>
      </c>
      <c r="L700" s="7">
        <v>31.0</v>
      </c>
      <c r="M700" s="7">
        <v>31.0</v>
      </c>
      <c r="N700" s="7">
        <v>31.0</v>
      </c>
      <c r="O700" s="7">
        <v>31.0</v>
      </c>
      <c r="P700" s="7">
        <v>31.0</v>
      </c>
      <c r="Q700" s="7">
        <v>252.0</v>
      </c>
      <c r="R700" s="7">
        <v>0.0</v>
      </c>
      <c r="S700" s="7">
        <v>0.0</v>
      </c>
      <c r="T700" s="7">
        <v>4.0</v>
      </c>
      <c r="U700" s="7">
        <v>252.0</v>
      </c>
      <c r="V700" s="7">
        <v>0.0</v>
      </c>
      <c r="W700" s="7">
        <f>VLOOKUP($D700,NatureChart,2,0)</f>
        <v>0.9</v>
      </c>
      <c r="X700" s="7">
        <f>VLOOKUP($D700,NatureChart,3,0)</f>
        <v>1</v>
      </c>
      <c r="Y700" s="7">
        <f>VLOOKUP($D700,NatureChart,4,0)</f>
        <v>1</v>
      </c>
      <c r="Z700" s="7">
        <f>VLOOKUP($D700,NatureChart,5,0)</f>
        <v>1.1</v>
      </c>
      <c r="AA700" s="84">
        <f>VLOOKUP($D700,NatureChart,6,0)</f>
        <v>1</v>
      </c>
      <c r="AB700" s="84">
        <f>IF($C700="Shedinja",1,(INT((2*VLOOKUP($C700,DexData,5,0)+INT(Q700/4)+K700)/2)+60))</f>
        <v>197</v>
      </c>
      <c r="AC700" s="84">
        <f>INT(INT((INT((2*VLOOKUP($C700,DexData,6,0)+INT(R700/4)+L700)/2)+5)*W700)*IF($E700="Choice Band",1.5,IF(OR($E700="Mawilite",$E700="Medichamite",$E700="Thick Club"),2,1)))</f>
        <v>94</v>
      </c>
      <c r="AD700" s="84">
        <f>INT(INT((INT((2*VLOOKUP($C700,DexData,7,0)+INT(S700/4)+M700)/2)+5)*X700)*IF($E700="Eviolite",1.5,1))</f>
        <v>120</v>
      </c>
      <c r="AE700" s="84">
        <f>INT(INT((INT((2*VLOOKUP($C700,DexData,9,0)+INT(T700/4)+N700)/2)+5)*Y700)*IF($E700="Choice Specs",1.5,1))</f>
        <v>116</v>
      </c>
      <c r="AF700" s="84">
        <f>INT(INT((INT((2*VLOOKUP($C700,DexData,10,0)+INT(U700/4)+O700)/2)+5)*Z700)*IF(OR($E700="Eviolite",$E700="Assault Vest"),1.5,1))</f>
        <v>194</v>
      </c>
      <c r="AG700" s="84">
        <f>INT(INT((INT((2*VLOOKUP($C700,DexData,11,0)+INT(V700/4)+P700)/2)+5)*AA700)*IF($E700="Choice Scarf",1.5,IF($E700="Iron Ball",0.5,1)))</f>
        <v>105</v>
      </c>
      <c r="AH700" s="84" t="str">
        <f>VLOOKUP(VLOOKUP($C700,DexData,3,0),Aliases!D$2:E$19,2,0)&amp;IFERROR("/"&amp;VLOOKUP(VLOOKUP($C700,DexData,4,0),Aliases!D$2:E$19,2,0),"")</f>
        <v>ICE/FLY</v>
      </c>
      <c r="AI700" s="7">
        <v>3.0</v>
      </c>
      <c r="AJ700" s="7">
        <f>IF(VLOOKUP(B700,'Set Odds'!A$2:AN$1067,40,0),1,IF(VLOOKUP(B700,'Set Odds'!A$2:AO$1067,41,0),2,0))</f>
        <v>1</v>
      </c>
      <c r="AK700" s="7"/>
      <c r="AL700" s="7" t="str">
        <f t="shared" si="1"/>
        <v/>
      </c>
    </row>
    <row r="701" ht="12.75" customHeight="1">
      <c r="A701" s="86">
        <v>700.0</v>
      </c>
      <c r="B701" s="84" t="s">
        <v>4268</v>
      </c>
      <c r="C701" s="7" t="s">
        <v>4212</v>
      </c>
      <c r="D701" s="7" t="s">
        <v>2635</v>
      </c>
      <c r="E701" s="7" t="s">
        <v>2675</v>
      </c>
      <c r="F701" s="84" t="s">
        <v>2987</v>
      </c>
      <c r="G701" s="84" t="s">
        <v>4025</v>
      </c>
      <c r="H701" s="84" t="s">
        <v>3762</v>
      </c>
      <c r="I701" s="84" t="s">
        <v>3447</v>
      </c>
      <c r="J701" s="7" t="s">
        <v>3136</v>
      </c>
      <c r="K701" s="7">
        <v>31.0</v>
      </c>
      <c r="L701" s="7">
        <v>31.0</v>
      </c>
      <c r="M701" s="7">
        <v>31.0</v>
      </c>
      <c r="N701" s="7">
        <v>31.0</v>
      </c>
      <c r="O701" s="7">
        <v>31.0</v>
      </c>
      <c r="P701" s="7">
        <v>31.0</v>
      </c>
      <c r="Q701" s="7">
        <v>4.0</v>
      </c>
      <c r="R701" s="7">
        <v>0.0</v>
      </c>
      <c r="S701" s="7">
        <v>0.0</v>
      </c>
      <c r="T701" s="7">
        <v>252.0</v>
      </c>
      <c r="U701" s="7">
        <v>0.0</v>
      </c>
      <c r="V701" s="7">
        <v>252.0</v>
      </c>
      <c r="W701" s="7">
        <f>VLOOKUP($D701,NatureChart,2,0)</f>
        <v>0.9</v>
      </c>
      <c r="X701" s="7">
        <f>VLOOKUP($D701,NatureChart,3,0)</f>
        <v>1</v>
      </c>
      <c r="Y701" s="7">
        <f>VLOOKUP($D701,NatureChart,4,0)</f>
        <v>1</v>
      </c>
      <c r="Z701" s="7">
        <f>VLOOKUP($D701,NatureChart,5,0)</f>
        <v>1</v>
      </c>
      <c r="AA701" s="84">
        <f>VLOOKUP($D701,NatureChart,6,0)</f>
        <v>1.1</v>
      </c>
      <c r="AB701" s="84">
        <f>IF($C701="Shedinja",1,(INT((2*VLOOKUP($C701,DexData,5,0)+INT(Q701/4)+K701)/2)+60))</f>
        <v>166</v>
      </c>
      <c r="AC701" s="84">
        <f>INT(INT((INT((2*VLOOKUP($C701,DexData,6,0)+INT(R701/4)+L701)/2)+5)*W701)*IF($E701="Choice Band",1.5,IF(OR($E701="Mawilite",$E701="Medichamite",$E701="Thick Club"),2,1)))</f>
        <v>99</v>
      </c>
      <c r="AD701" s="84">
        <f>INT(INT((INT((2*VLOOKUP($C701,DexData,7,0)+INT(S701/4)+M701)/2)+5)*X701)*IF($E701="Eviolite",1.5,1))</f>
        <v>105</v>
      </c>
      <c r="AE701" s="84">
        <f>INT(INT((INT((2*VLOOKUP($C701,DexData,9,0)+INT(T701/4)+N701)/2)+5)*Y701)*IF($E701="Choice Specs",1.5,1))</f>
        <v>177</v>
      </c>
      <c r="AF701" s="84">
        <f>INT(INT((INT((2*VLOOKUP($C701,DexData,10,0)+INT(U701/4)+O701)/2)+5)*Z701)*IF(OR($E701="Eviolite",$E701="Assault Vest"),1.5,1))</f>
        <v>110</v>
      </c>
      <c r="AG701" s="84">
        <f>INT(INT((INT((2*VLOOKUP($C701,DexData,11,0)+INT(V701/4)+P701)/2)+5)*AA701)*IF($E701="Choice Scarf",1.5,IF($E701="Iron Ball",0.5,1)))</f>
        <v>167</v>
      </c>
      <c r="AH701" s="84" t="str">
        <f>VLOOKUP(VLOOKUP($C701,DexData,3,0),Aliases!D$2:E$19,2,0)&amp;IFERROR("/"&amp;VLOOKUP(VLOOKUP($C701,DexData,4,0),Aliases!D$2:E$19,2,0),"")</f>
        <v>ELC/FLY</v>
      </c>
      <c r="AI701" s="7">
        <v>3.0</v>
      </c>
      <c r="AJ701" s="7">
        <f>IF(VLOOKUP(B701,'Set Odds'!A$2:AN$1067,40,0),1,IF(VLOOKUP(B701,'Set Odds'!A$2:AO$1067,41,0),2,0))</f>
        <v>1</v>
      </c>
      <c r="AK701" s="7"/>
      <c r="AL701" s="7" t="str">
        <f t="shared" si="1"/>
        <v/>
      </c>
    </row>
    <row r="702" ht="12.75" customHeight="1">
      <c r="A702" s="86">
        <v>701.0</v>
      </c>
      <c r="B702" s="84" t="s">
        <v>4269</v>
      </c>
      <c r="C702" s="7" t="s">
        <v>4215</v>
      </c>
      <c r="D702" s="7" t="s">
        <v>2635</v>
      </c>
      <c r="E702" s="7" t="s">
        <v>2524</v>
      </c>
      <c r="F702" s="84" t="s">
        <v>3448</v>
      </c>
      <c r="G702" s="84" t="s">
        <v>3091</v>
      </c>
      <c r="H702" s="84" t="s">
        <v>2732</v>
      </c>
      <c r="I702" s="84" t="s">
        <v>2532</v>
      </c>
      <c r="J702" s="7" t="s">
        <v>3499</v>
      </c>
      <c r="K702" s="7">
        <v>31.0</v>
      </c>
      <c r="L702" s="7">
        <v>31.0</v>
      </c>
      <c r="M702" s="7">
        <v>31.0</v>
      </c>
      <c r="N702" s="7">
        <v>31.0</v>
      </c>
      <c r="O702" s="7">
        <v>31.0</v>
      </c>
      <c r="P702" s="7">
        <v>31.0</v>
      </c>
      <c r="Q702" s="7">
        <v>4.0</v>
      </c>
      <c r="R702" s="7">
        <v>0.0</v>
      </c>
      <c r="S702" s="7">
        <v>0.0</v>
      </c>
      <c r="T702" s="7">
        <v>252.0</v>
      </c>
      <c r="U702" s="7">
        <v>0.0</v>
      </c>
      <c r="V702" s="7">
        <v>252.0</v>
      </c>
      <c r="W702" s="7">
        <f>VLOOKUP($D702,NatureChart,2,0)</f>
        <v>0.9</v>
      </c>
      <c r="X702" s="7">
        <f>VLOOKUP($D702,NatureChart,3,0)</f>
        <v>1</v>
      </c>
      <c r="Y702" s="7">
        <f>VLOOKUP($D702,NatureChart,4,0)</f>
        <v>1</v>
      </c>
      <c r="Z702" s="7">
        <f>VLOOKUP($D702,NatureChart,5,0)</f>
        <v>1</v>
      </c>
      <c r="AA702" s="84">
        <f>VLOOKUP($D702,NatureChart,6,0)</f>
        <v>1.1</v>
      </c>
      <c r="AB702" s="84">
        <f>IF($C702="Shedinja",1,(INT((2*VLOOKUP($C702,DexData,5,0)+INT(Q702/4)+K702)/2)+60))</f>
        <v>166</v>
      </c>
      <c r="AC702" s="84">
        <f>INT(INT((INT((2*VLOOKUP($C702,DexData,6,0)+INT(R702/4)+L702)/2)+5)*W702)*IF($E702="Choice Band",1.5,IF(OR($E702="Mawilite",$E702="Medichamite",$E702="Thick Club"),2,1)))</f>
        <v>108</v>
      </c>
      <c r="AD702" s="84">
        <f>INT(INT((INT((2*VLOOKUP($C702,DexData,7,0)+INT(S702/4)+M702)/2)+5)*X702)*IF($E702="Eviolite",1.5,1))</f>
        <v>110</v>
      </c>
      <c r="AE702" s="84">
        <f>INT(INT((INT((2*VLOOKUP($C702,DexData,9,0)+INT(T702/4)+N702)/2)+5)*Y702)*IF($E702="Choice Specs",1.5,1))</f>
        <v>177</v>
      </c>
      <c r="AF702" s="84">
        <f>INT(INT((INT((2*VLOOKUP($C702,DexData,10,0)+INT(U702/4)+O702)/2)+5)*Z702)*IF(OR($E702="Eviolite",$E702="Assault Vest"),1.5,1))</f>
        <v>105</v>
      </c>
      <c r="AG702" s="84">
        <f>INT(INT((INT((2*VLOOKUP($C702,DexData,11,0)+INT(V702/4)+P702)/2)+5)*AA702)*IF($E702="Choice Scarf",1.5,IF($E702="Iron Ball",0.5,1)))</f>
        <v>156</v>
      </c>
      <c r="AH702" s="84" t="str">
        <f>VLOOKUP(VLOOKUP($C702,DexData,3,0),Aliases!D$2:E$19,2,0)&amp;IFERROR("/"&amp;VLOOKUP(VLOOKUP($C702,DexData,4,0),Aliases!D$2:E$19,2,0),"")</f>
        <v>FIR/FLY</v>
      </c>
      <c r="AI702" s="7">
        <v>3.0</v>
      </c>
      <c r="AJ702" s="7">
        <f>IF(VLOOKUP(B702,'Set Odds'!A$2:AN$1067,40,0),1,IF(VLOOKUP(B702,'Set Odds'!A$2:AO$1067,41,0),2,0))</f>
        <v>1</v>
      </c>
      <c r="AK702" s="7"/>
      <c r="AL702" s="7" t="str">
        <f t="shared" si="1"/>
        <v/>
      </c>
    </row>
    <row r="703" ht="12.75" customHeight="1">
      <c r="A703" s="86">
        <v>702.0</v>
      </c>
      <c r="B703" s="84" t="s">
        <v>4270</v>
      </c>
      <c r="C703" s="7" t="s">
        <v>4217</v>
      </c>
      <c r="D703" s="7" t="s">
        <v>2635</v>
      </c>
      <c r="E703" s="7" t="s">
        <v>2618</v>
      </c>
      <c r="F703" s="84" t="s">
        <v>3435</v>
      </c>
      <c r="G703" s="84" t="s">
        <v>2880</v>
      </c>
      <c r="H703" s="84" t="s">
        <v>2661</v>
      </c>
      <c r="I703" s="84" t="s">
        <v>3718</v>
      </c>
      <c r="J703" s="7" t="s">
        <v>3499</v>
      </c>
      <c r="K703" s="7">
        <v>31.0</v>
      </c>
      <c r="L703" s="7">
        <v>0.0</v>
      </c>
      <c r="M703" s="7">
        <v>31.0</v>
      </c>
      <c r="N703" s="7">
        <v>31.0</v>
      </c>
      <c r="O703" s="7">
        <v>31.0</v>
      </c>
      <c r="P703" s="7">
        <v>31.0</v>
      </c>
      <c r="Q703" s="7">
        <v>4.0</v>
      </c>
      <c r="R703" s="7">
        <v>0.0</v>
      </c>
      <c r="S703" s="7">
        <v>0.0</v>
      </c>
      <c r="T703" s="7">
        <v>252.0</v>
      </c>
      <c r="U703" s="7">
        <v>0.0</v>
      </c>
      <c r="V703" s="7">
        <v>252.0</v>
      </c>
      <c r="W703" s="7">
        <f>VLOOKUP($D703,NatureChart,2,0)</f>
        <v>0.9</v>
      </c>
      <c r="X703" s="7">
        <f>VLOOKUP($D703,NatureChart,3,0)</f>
        <v>1</v>
      </c>
      <c r="Y703" s="7">
        <f>VLOOKUP($D703,NatureChart,4,0)</f>
        <v>1</v>
      </c>
      <c r="Z703" s="7">
        <f>VLOOKUP($D703,NatureChart,5,0)</f>
        <v>1</v>
      </c>
      <c r="AA703" s="84">
        <f>VLOOKUP($D703,NatureChart,6,0)</f>
        <v>1.1</v>
      </c>
      <c r="AB703" s="84">
        <f>IF($C703="Shedinja",1,(INT((2*VLOOKUP($C703,DexData,5,0)+INT(Q703/4)+K703)/2)+60))</f>
        <v>166</v>
      </c>
      <c r="AC703" s="84">
        <f>INT(INT((INT((2*VLOOKUP($C703,DexData,6,0)+INT(R703/4)+L703)/2)+5)*W703)*IF($E703="Choice Band",1.5,IF(OR($E703="Mawilite",$E703="Medichamite",$E703="Thick Club"),2,1)))</f>
        <v>81</v>
      </c>
      <c r="AD703" s="84">
        <f>INT(INT((INT((2*VLOOKUP($C703,DexData,7,0)+INT(S703/4)+M703)/2)+5)*X703)*IF($E703="Eviolite",1.5,1))</f>
        <v>95</v>
      </c>
      <c r="AE703" s="84">
        <f>INT(INT((INT((2*VLOOKUP($C703,DexData,9,0)+INT(T703/4)+N703)/2)+5)*Y703)*IF($E703="Choice Specs",1.5,1))</f>
        <v>167</v>
      </c>
      <c r="AF703" s="84">
        <f>INT(INT((INT((2*VLOOKUP($C703,DexData,10,0)+INT(U703/4)+O703)/2)+5)*Z703)*IF(OR($E703="Eviolite",$E703="Assault Vest"),1.5,1))</f>
        <v>120</v>
      </c>
      <c r="AG703" s="84">
        <f>INT(INT((INT((2*VLOOKUP($C703,DexData,11,0)+INT(V703/4)+P703)/2)+5)*AA703)*IF($E703="Choice Scarf",1.5,IF($E703="Iron Ball",0.5,1)))</f>
        <v>183</v>
      </c>
      <c r="AH703" s="84" t="str">
        <f>VLOOKUP(VLOOKUP($C703,DexData,3,0),Aliases!D$2:E$19,2,0)&amp;IFERROR("/"&amp;VLOOKUP(VLOOKUP($C703,DexData,4,0),Aliases!D$2:E$19,2,0),"")</f>
        <v>ELC</v>
      </c>
      <c r="AI703" s="7">
        <v>3.0</v>
      </c>
      <c r="AJ703" s="7">
        <f>IF(VLOOKUP(B703,'Set Odds'!A$2:AN$1067,40,0),1,IF(VLOOKUP(B703,'Set Odds'!A$2:AO$1067,41,0),2,0))</f>
        <v>1</v>
      </c>
      <c r="AK703" s="7"/>
      <c r="AL703" s="7" t="str">
        <f t="shared" si="1"/>
        <v/>
      </c>
    </row>
    <row r="704" ht="12.75" customHeight="1">
      <c r="A704" s="86">
        <v>703.0</v>
      </c>
      <c r="B704" s="84" t="s">
        <v>4271</v>
      </c>
      <c r="C704" s="7" t="s">
        <v>4219</v>
      </c>
      <c r="D704" s="7" t="s">
        <v>2692</v>
      </c>
      <c r="E704" s="7" t="s">
        <v>2724</v>
      </c>
      <c r="F704" s="84" t="s">
        <v>2580</v>
      </c>
      <c r="G704" s="84" t="s">
        <v>2746</v>
      </c>
      <c r="H704" s="84" t="s">
        <v>2588</v>
      </c>
      <c r="I704" s="84" t="s">
        <v>2532</v>
      </c>
      <c r="J704" s="7" t="s">
        <v>3233</v>
      </c>
      <c r="K704" s="7">
        <v>31.0</v>
      </c>
      <c r="L704" s="7">
        <v>31.0</v>
      </c>
      <c r="M704" s="7">
        <v>31.0</v>
      </c>
      <c r="N704" s="7">
        <v>31.0</v>
      </c>
      <c r="O704" s="7">
        <v>31.0</v>
      </c>
      <c r="P704" s="7">
        <v>31.0</v>
      </c>
      <c r="Q704" s="7">
        <v>4.0</v>
      </c>
      <c r="R704" s="7">
        <v>252.0</v>
      </c>
      <c r="S704" s="7">
        <v>0.0</v>
      </c>
      <c r="T704" s="7">
        <v>0.0</v>
      </c>
      <c r="U704" s="7">
        <v>0.0</v>
      </c>
      <c r="V704" s="7">
        <v>252.0</v>
      </c>
      <c r="W704" s="7">
        <f>VLOOKUP($D704,NatureChart,2,0)</f>
        <v>1</v>
      </c>
      <c r="X704" s="7">
        <f>VLOOKUP($D704,NatureChart,3,0)</f>
        <v>1</v>
      </c>
      <c r="Y704" s="7">
        <f>VLOOKUP($D704,NatureChart,4,0)</f>
        <v>0.9</v>
      </c>
      <c r="Z704" s="7">
        <f>VLOOKUP($D704,NatureChart,5,0)</f>
        <v>1</v>
      </c>
      <c r="AA704" s="84">
        <f>VLOOKUP($D704,NatureChart,6,0)</f>
        <v>1.1</v>
      </c>
      <c r="AB704" s="84">
        <f>IF($C704="Shedinja",1,(INT((2*VLOOKUP($C704,DexData,5,0)+INT(Q704/4)+K704)/2)+60))</f>
        <v>191</v>
      </c>
      <c r="AC704" s="84">
        <f>INT(INT((INT((2*VLOOKUP($C704,DexData,6,0)+INT(R704/4)+L704)/2)+5)*W704)*IF($E704="Choice Band",1.5,IF(OR($E704="Mawilite",$E704="Medichamite",$E704="Thick Club"),2,1)))</f>
        <v>167</v>
      </c>
      <c r="AD704" s="84">
        <f>INT(INT((INT((2*VLOOKUP($C704,DexData,7,0)+INT(S704/4)+M704)/2)+5)*X704)*IF($E704="Eviolite",1.5,1))</f>
        <v>105</v>
      </c>
      <c r="AE704" s="84">
        <f>INT(INT((INT((2*VLOOKUP($C704,DexData,9,0)+INT(T704/4)+N704)/2)+5)*Y704)*IF($E704="Choice Specs",1.5,1))</f>
        <v>99</v>
      </c>
      <c r="AF704" s="84">
        <f>INT(INT((INT((2*VLOOKUP($C704,DexData,10,0)+INT(U704/4)+O704)/2)+5)*Z704)*IF(OR($E704="Eviolite",$E704="Assault Vest"),1.5,1))</f>
        <v>95</v>
      </c>
      <c r="AG704" s="84">
        <f>INT(INT((INT((2*VLOOKUP($C704,DexData,11,0)+INT(V704/4)+P704)/2)+5)*AA704)*IF($E704="Choice Scarf",1.5,IF($E704="Iron Ball",0.5,1)))</f>
        <v>167</v>
      </c>
      <c r="AH704" s="84" t="str">
        <f>VLOOKUP(VLOOKUP($C704,DexData,3,0),Aliases!D$2:E$19,2,0)&amp;IFERROR("/"&amp;VLOOKUP(VLOOKUP($C704,DexData,4,0),Aliases!D$2:E$19,2,0),"")</f>
        <v>FIR</v>
      </c>
      <c r="AI704" s="7">
        <v>3.0</v>
      </c>
      <c r="AJ704" s="7">
        <f>IF(VLOOKUP(B704,'Set Odds'!A$2:AN$1067,40,0),1,IF(VLOOKUP(B704,'Set Odds'!A$2:AO$1067,41,0),2,0))</f>
        <v>1</v>
      </c>
      <c r="AK704" s="7"/>
      <c r="AL704" s="7" t="str">
        <f t="shared" si="1"/>
        <v/>
      </c>
    </row>
    <row r="705" ht="12.75" customHeight="1">
      <c r="A705" s="86">
        <v>704.0</v>
      </c>
      <c r="B705" s="84" t="s">
        <v>4272</v>
      </c>
      <c r="C705" s="7" t="s">
        <v>4222</v>
      </c>
      <c r="D705" s="7" t="s">
        <v>2862</v>
      </c>
      <c r="E705" s="7" t="s">
        <v>3003</v>
      </c>
      <c r="F705" s="84" t="s">
        <v>3718</v>
      </c>
      <c r="G705" s="84" t="s">
        <v>2841</v>
      </c>
      <c r="H705" s="84" t="s">
        <v>2880</v>
      </c>
      <c r="I705" s="84" t="s">
        <v>2823</v>
      </c>
      <c r="J705" s="7" t="s">
        <v>3499</v>
      </c>
      <c r="K705" s="7">
        <v>31.0</v>
      </c>
      <c r="L705" s="7">
        <v>31.0</v>
      </c>
      <c r="M705" s="7">
        <v>31.0</v>
      </c>
      <c r="N705" s="7">
        <v>31.0</v>
      </c>
      <c r="O705" s="7">
        <v>31.0</v>
      </c>
      <c r="P705" s="7">
        <v>31.0</v>
      </c>
      <c r="Q705" s="7">
        <v>252.0</v>
      </c>
      <c r="R705" s="7">
        <v>0.0</v>
      </c>
      <c r="S705" s="7">
        <v>252.0</v>
      </c>
      <c r="T705" s="7">
        <v>0.0</v>
      </c>
      <c r="U705" s="7">
        <v>0.0</v>
      </c>
      <c r="V705" s="7">
        <v>4.0</v>
      </c>
      <c r="W705" s="7">
        <f>VLOOKUP($D705,NatureChart,2,0)</f>
        <v>0.9</v>
      </c>
      <c r="X705" s="7">
        <f>VLOOKUP($D705,NatureChart,3,0)</f>
        <v>1.1</v>
      </c>
      <c r="Y705" s="7">
        <f>VLOOKUP($D705,NatureChart,4,0)</f>
        <v>1</v>
      </c>
      <c r="Z705" s="7">
        <f>VLOOKUP($D705,NatureChart,5,0)</f>
        <v>1</v>
      </c>
      <c r="AA705" s="84">
        <f>VLOOKUP($D705,NatureChart,6,0)</f>
        <v>1</v>
      </c>
      <c r="AB705" s="84">
        <f>IF($C705="Shedinja",1,(INT((2*VLOOKUP($C705,DexData,5,0)+INT(Q705/4)+K705)/2)+60))</f>
        <v>207</v>
      </c>
      <c r="AC705" s="84">
        <f>INT(INT((INT((2*VLOOKUP($C705,DexData,6,0)+INT(R705/4)+L705)/2)+5)*W705)*IF($E705="Choice Band",1.5,IF(OR($E705="Mawilite",$E705="Medichamite",$E705="Thick Club"),2,1)))</f>
        <v>85</v>
      </c>
      <c r="AD705" s="84">
        <f>INT(INT((INT((2*VLOOKUP($C705,DexData,7,0)+INT(S705/4)+M705)/2)+5)*X705)*IF($E705="Eviolite",1.5,1))</f>
        <v>183</v>
      </c>
      <c r="AE705" s="84">
        <f>INT(INT((INT((2*VLOOKUP($C705,DexData,9,0)+INT(T705/4)+N705)/2)+5)*Y705)*IF($E705="Choice Specs",1.5,1))</f>
        <v>110</v>
      </c>
      <c r="AF705" s="84">
        <f>INT(INT((INT((2*VLOOKUP($C705,DexData,10,0)+INT(U705/4)+O705)/2)+5)*Z705)*IF(OR($E705="Eviolite",$E705="Assault Vest"),1.5,1))</f>
        <v>135</v>
      </c>
      <c r="AG705" s="84">
        <f>INT(INT((INT((2*VLOOKUP($C705,DexData,11,0)+INT(V705/4)+P705)/2)+5)*AA705)*IF($E705="Choice Scarf",1.5,IF($E705="Iron Ball",0.5,1)))</f>
        <v>106</v>
      </c>
      <c r="AH705" s="84" t="str">
        <f>VLOOKUP(VLOOKUP($C705,DexData,3,0),Aliases!D$2:E$19,2,0)&amp;IFERROR("/"&amp;VLOOKUP(VLOOKUP($C705,DexData,4,0),Aliases!D$2:E$19,2,0),"")</f>
        <v>WTR</v>
      </c>
      <c r="AI705" s="7">
        <v>3.0</v>
      </c>
      <c r="AJ705" s="7">
        <f>IF(VLOOKUP(B705,'Set Odds'!A$2:AN$1067,40,0),1,IF(VLOOKUP(B705,'Set Odds'!A$2:AO$1067,41,0),2,0))</f>
        <v>1</v>
      </c>
      <c r="AK705" s="7"/>
      <c r="AL705" s="7" t="str">
        <f t="shared" si="1"/>
        <v/>
      </c>
    </row>
    <row r="706" ht="12.75" customHeight="1">
      <c r="A706" s="86">
        <v>705.0</v>
      </c>
      <c r="B706" s="84" t="s">
        <v>4273</v>
      </c>
      <c r="C706" s="7" t="s">
        <v>4224</v>
      </c>
      <c r="D706" s="7" t="s">
        <v>2723</v>
      </c>
      <c r="E706" s="7" t="s">
        <v>2516</v>
      </c>
      <c r="F706" s="84" t="s">
        <v>2539</v>
      </c>
      <c r="G706" s="84" t="s">
        <v>3441</v>
      </c>
      <c r="H706" s="84" t="s">
        <v>3454</v>
      </c>
      <c r="I706" s="84" t="s">
        <v>2581</v>
      </c>
      <c r="J706" s="7" t="s">
        <v>3370</v>
      </c>
      <c r="K706" s="7">
        <v>31.0</v>
      </c>
      <c r="L706" s="7">
        <v>31.0</v>
      </c>
      <c r="M706" s="7">
        <v>31.0</v>
      </c>
      <c r="N706" s="7">
        <v>31.0</v>
      </c>
      <c r="O706" s="7">
        <v>31.0</v>
      </c>
      <c r="P706" s="7">
        <v>31.0</v>
      </c>
      <c r="Q706" s="7">
        <v>252.0</v>
      </c>
      <c r="R706" s="7">
        <v>4.0</v>
      </c>
      <c r="S706" s="7">
        <v>0.0</v>
      </c>
      <c r="T706" s="7">
        <v>0.0</v>
      </c>
      <c r="U706" s="7">
        <v>252.0</v>
      </c>
      <c r="V706" s="7">
        <v>0.0</v>
      </c>
      <c r="W706" s="7">
        <f>VLOOKUP($D706,NatureChart,2,0)</f>
        <v>1</v>
      </c>
      <c r="X706" s="7">
        <f>VLOOKUP($D706,NatureChart,3,0)</f>
        <v>1</v>
      </c>
      <c r="Y706" s="7">
        <f>VLOOKUP($D706,NatureChart,4,0)</f>
        <v>0.9</v>
      </c>
      <c r="Z706" s="7">
        <f>VLOOKUP($D706,NatureChart,5,0)</f>
        <v>1.1</v>
      </c>
      <c r="AA706" s="84">
        <f>VLOOKUP($D706,NatureChart,6,0)</f>
        <v>1</v>
      </c>
      <c r="AB706" s="84">
        <f>IF($C706="Shedinja",1,(INT((2*VLOOKUP($C706,DexData,5,0)+INT(Q706/4)+K706)/2)+60))</f>
        <v>187</v>
      </c>
      <c r="AC706" s="84">
        <f>INT(INT((INT((2*VLOOKUP($C706,DexData,6,0)+INT(R706/4)+L706)/2)+5)*W706)*IF($E706="Choice Band",1.5,IF(OR($E706="Mawilite",$E706="Medichamite",$E706="Thick Club"),2,1)))</f>
        <v>121</v>
      </c>
      <c r="AD706" s="84">
        <f>INT(INT((INT((2*VLOOKUP($C706,DexData,7,0)+INT(S706/4)+M706)/2)+5)*X706)*IF($E706="Eviolite",1.5,1))</f>
        <v>220</v>
      </c>
      <c r="AE706" s="84">
        <f>INT(INT((INT((2*VLOOKUP($C706,DexData,9,0)+INT(T706/4)+N706)/2)+5)*Y706)*IF($E706="Choice Specs",1.5,1))</f>
        <v>63</v>
      </c>
      <c r="AF706" s="84">
        <f>INT(INT((INT((2*VLOOKUP($C706,DexData,10,0)+INT(U706/4)+O706)/2)+5)*Z706)*IF(OR($E706="Eviolite",$E706="Assault Vest"),1.5,1))</f>
        <v>167</v>
      </c>
      <c r="AG706" s="84">
        <f>INT(INT((INT((2*VLOOKUP($C706,DexData,11,0)+INT(V706/4)+P706)/2)+5)*AA706)*IF($E706="Choice Scarf",1.5,IF($E706="Iron Ball",0.5,1)))</f>
        <v>70</v>
      </c>
      <c r="AH706" s="84" t="str">
        <f>VLOOKUP(VLOOKUP($C706,DexData,3,0),Aliases!D$2:E$19,2,0)&amp;IFERROR("/"&amp;VLOOKUP(VLOOKUP($C706,DexData,4,0),Aliases!D$2:E$19,2,0),"")</f>
        <v>RCK</v>
      </c>
      <c r="AI706" s="7">
        <v>3.0</v>
      </c>
      <c r="AJ706" s="7">
        <f>IF(VLOOKUP(B706,'Set Odds'!A$2:AN$1067,40,0),1,IF(VLOOKUP(B706,'Set Odds'!A$2:AO$1067,41,0),2,0))</f>
        <v>1</v>
      </c>
      <c r="AK706" s="7"/>
      <c r="AL706" s="7" t="str">
        <f t="shared" si="1"/>
        <v/>
      </c>
    </row>
    <row r="707" ht="12.75" customHeight="1">
      <c r="A707" s="86">
        <v>706.0</v>
      </c>
      <c r="B707" s="84" t="s">
        <v>4274</v>
      </c>
      <c r="C707" s="7" t="s">
        <v>4226</v>
      </c>
      <c r="D707" s="7" t="s">
        <v>2862</v>
      </c>
      <c r="E707" s="7" t="s">
        <v>2685</v>
      </c>
      <c r="F707" s="84" t="s">
        <v>2823</v>
      </c>
      <c r="G707" s="84" t="s">
        <v>3435</v>
      </c>
      <c r="H707" s="84" t="s">
        <v>2517</v>
      </c>
      <c r="I707" s="84" t="s">
        <v>3590</v>
      </c>
      <c r="J707" s="7" t="s">
        <v>3370</v>
      </c>
      <c r="K707" s="7">
        <v>31.0</v>
      </c>
      <c r="L707" s="7">
        <v>31.0</v>
      </c>
      <c r="M707" s="7">
        <v>31.0</v>
      </c>
      <c r="N707" s="7">
        <v>31.0</v>
      </c>
      <c r="O707" s="7">
        <v>31.0</v>
      </c>
      <c r="P707" s="7">
        <v>31.0</v>
      </c>
      <c r="Q707" s="7">
        <v>252.0</v>
      </c>
      <c r="R707" s="7">
        <v>0.0</v>
      </c>
      <c r="S707" s="7">
        <v>252.0</v>
      </c>
      <c r="T707" s="7">
        <v>4.0</v>
      </c>
      <c r="U707" s="7">
        <v>0.0</v>
      </c>
      <c r="V707" s="7">
        <v>0.0</v>
      </c>
      <c r="W707" s="7">
        <f>VLOOKUP($D707,NatureChart,2,0)</f>
        <v>0.9</v>
      </c>
      <c r="X707" s="7">
        <f>VLOOKUP($D707,NatureChart,3,0)</f>
        <v>1.1</v>
      </c>
      <c r="Y707" s="7">
        <f>VLOOKUP($D707,NatureChart,4,0)</f>
        <v>1</v>
      </c>
      <c r="Z707" s="7">
        <f>VLOOKUP($D707,NatureChart,5,0)</f>
        <v>1</v>
      </c>
      <c r="AA707" s="84">
        <f>VLOOKUP($D707,NatureChart,6,0)</f>
        <v>1</v>
      </c>
      <c r="AB707" s="84">
        <f>IF($C707="Shedinja",1,(INT((2*VLOOKUP($C707,DexData,5,0)+INT(Q707/4)+K707)/2)+60))</f>
        <v>187</v>
      </c>
      <c r="AC707" s="84">
        <f>INT(INT((INT((2*VLOOKUP($C707,DexData,6,0)+INT(R707/4)+L707)/2)+5)*W707)*IF($E707="Choice Band",1.5,IF(OR($E707="Mawilite",$E707="Medichamite",$E707="Thick Club"),2,1)))</f>
        <v>63</v>
      </c>
      <c r="AD707" s="84">
        <f>INT(INT((INT((2*VLOOKUP($C707,DexData,7,0)+INT(S707/4)+M707)/2)+5)*X707)*IF($E707="Eviolite",1.5,1))</f>
        <v>167</v>
      </c>
      <c r="AE707" s="84">
        <f>INT(INT((INT((2*VLOOKUP($C707,DexData,9,0)+INT(T707/4)+N707)/2)+5)*Y707)*IF($E707="Choice Specs",1.5,1))</f>
        <v>121</v>
      </c>
      <c r="AF707" s="84">
        <f>INT(INT((INT((2*VLOOKUP($C707,DexData,10,0)+INT(U707/4)+O707)/2)+5)*Z707)*IF(OR($E707="Eviolite",$E707="Assault Vest"),1.5,1))</f>
        <v>220</v>
      </c>
      <c r="AG707" s="84">
        <f>INT(INT((INT((2*VLOOKUP($C707,DexData,11,0)+INT(V707/4)+P707)/2)+5)*AA707)*IF($E707="Choice Scarf",1.5,IF($E707="Iron Ball",0.5,1)))</f>
        <v>70</v>
      </c>
      <c r="AH707" s="84" t="str">
        <f>VLOOKUP(VLOOKUP($C707,DexData,3,0),Aliases!D$2:E$19,2,0)&amp;IFERROR("/"&amp;VLOOKUP(VLOOKUP($C707,DexData,4,0),Aliases!D$2:E$19,2,0),"")</f>
        <v>ICE</v>
      </c>
      <c r="AI707" s="7">
        <v>3.0</v>
      </c>
      <c r="AJ707" s="7">
        <f>IF(VLOOKUP(B707,'Set Odds'!A$2:AN$1067,40,0),1,IF(VLOOKUP(B707,'Set Odds'!A$2:AO$1067,41,0),2,0))</f>
        <v>1</v>
      </c>
      <c r="AK707" s="7"/>
      <c r="AL707" s="7" t="str">
        <f t="shared" si="1"/>
        <v/>
      </c>
    </row>
    <row r="708" ht="12.75" customHeight="1">
      <c r="A708" s="86">
        <v>707.0</v>
      </c>
      <c r="B708" s="84" t="s">
        <v>4275</v>
      </c>
      <c r="C708" s="7" t="s">
        <v>4228</v>
      </c>
      <c r="D708" s="7" t="s">
        <v>2571</v>
      </c>
      <c r="E708" s="7" t="s">
        <v>2516</v>
      </c>
      <c r="F708" s="84" t="s">
        <v>2539</v>
      </c>
      <c r="G708" s="84" t="s">
        <v>2532</v>
      </c>
      <c r="H708" s="84" t="s">
        <v>2534</v>
      </c>
      <c r="I708" s="84" t="s">
        <v>3185</v>
      </c>
      <c r="J708" s="7" t="s">
        <v>3370</v>
      </c>
      <c r="K708" s="7">
        <v>31.0</v>
      </c>
      <c r="L708" s="7">
        <v>31.0</v>
      </c>
      <c r="M708" s="7">
        <v>31.0</v>
      </c>
      <c r="N708" s="7">
        <v>31.0</v>
      </c>
      <c r="O708" s="7">
        <v>31.0</v>
      </c>
      <c r="P708" s="7">
        <v>31.0</v>
      </c>
      <c r="Q708" s="7">
        <v>252.0</v>
      </c>
      <c r="R708" s="7">
        <v>252.0</v>
      </c>
      <c r="S708" s="7">
        <v>4.0</v>
      </c>
      <c r="T708" s="7">
        <v>0.0</v>
      </c>
      <c r="U708" s="7">
        <v>0.0</v>
      </c>
      <c r="V708" s="7">
        <v>0.0</v>
      </c>
      <c r="W708" s="7">
        <f>VLOOKUP($D708,NatureChart,2,0)</f>
        <v>1.1</v>
      </c>
      <c r="X708" s="7">
        <f>VLOOKUP($D708,NatureChart,3,0)</f>
        <v>1</v>
      </c>
      <c r="Y708" s="7">
        <f>VLOOKUP($D708,NatureChart,4,0)</f>
        <v>0.9</v>
      </c>
      <c r="Z708" s="7">
        <f>VLOOKUP($D708,NatureChart,5,0)</f>
        <v>1</v>
      </c>
      <c r="AA708" s="84">
        <f>VLOOKUP($D708,NatureChart,6,0)</f>
        <v>1</v>
      </c>
      <c r="AB708" s="84">
        <f>IF($C708="Shedinja",1,(INT((2*VLOOKUP($C708,DexData,5,0)+INT(Q708/4)+K708)/2)+60))</f>
        <v>187</v>
      </c>
      <c r="AC708" s="84">
        <f>INT(INT((INT((2*VLOOKUP($C708,DexData,6,0)+INT(R708/4)+L708)/2)+5)*W708)*IF($E708="Choice Band",1.5,IF(OR($E708="Mawilite",$E708="Medichamite",$E708="Thick Club"),2,1)))</f>
        <v>139</v>
      </c>
      <c r="AD708" s="84">
        <f>INT(INT((INT((2*VLOOKUP($C708,DexData,7,0)+INT(S708/4)+M708)/2)+5)*X708)*IF($E708="Eviolite",1.5,1))</f>
        <v>171</v>
      </c>
      <c r="AE708" s="84">
        <f>INT(INT((INT((2*VLOOKUP($C708,DexData,9,0)+INT(T708/4)+N708)/2)+5)*Y708)*IF($E708="Choice Specs",1.5,1))</f>
        <v>85</v>
      </c>
      <c r="AF708" s="84">
        <f>INT(INT((INT((2*VLOOKUP($C708,DexData,10,0)+INT(U708/4)+O708)/2)+5)*Z708)*IF(OR($E708="Eviolite",$E708="Assault Vest"),1.5,1))</f>
        <v>170</v>
      </c>
      <c r="AG708" s="84">
        <f>INT(INT((INT((2*VLOOKUP($C708,DexData,11,0)+INT(V708/4)+P708)/2)+5)*AA708)*IF($E708="Choice Scarf",1.5,IF($E708="Iron Ball",0.5,1)))</f>
        <v>70</v>
      </c>
      <c r="AH708" s="84" t="str">
        <f>VLOOKUP(VLOOKUP($C708,DexData,3,0),Aliases!D$2:E$19,2,0)&amp;IFERROR("/"&amp;VLOOKUP(VLOOKUP($C708,DexData,4,0),Aliases!D$2:E$19,2,0),"")</f>
        <v>STL</v>
      </c>
      <c r="AI708" s="7">
        <v>3.0</v>
      </c>
      <c r="AJ708" s="7">
        <f>IF(VLOOKUP(B708,'Set Odds'!A$2:AN$1067,40,0),1,IF(VLOOKUP(B708,'Set Odds'!A$2:AO$1067,41,0),2,0))</f>
        <v>1</v>
      </c>
      <c r="AK708" s="7"/>
      <c r="AL708" s="7" t="str">
        <f t="shared" si="1"/>
        <v/>
      </c>
    </row>
    <row r="709" ht="12.75" customHeight="1">
      <c r="A709" s="86">
        <v>708.0</v>
      </c>
      <c r="B709" s="84" t="s">
        <v>4276</v>
      </c>
      <c r="C709" s="7" t="s">
        <v>4230</v>
      </c>
      <c r="D709" s="7" t="s">
        <v>2862</v>
      </c>
      <c r="E709" s="7" t="s">
        <v>2685</v>
      </c>
      <c r="F709" s="84" t="s">
        <v>4277</v>
      </c>
      <c r="G709" s="84" t="s">
        <v>3427</v>
      </c>
      <c r="H709" s="84" t="s">
        <v>3718</v>
      </c>
      <c r="I709" s="84" t="s">
        <v>3268</v>
      </c>
      <c r="J709" s="7" t="s">
        <v>2714</v>
      </c>
      <c r="K709" s="7">
        <v>31.0</v>
      </c>
      <c r="L709" s="7">
        <v>31.0</v>
      </c>
      <c r="M709" s="7">
        <v>31.0</v>
      </c>
      <c r="N709" s="7">
        <v>31.0</v>
      </c>
      <c r="O709" s="7">
        <v>31.0</v>
      </c>
      <c r="P709" s="7">
        <v>31.0</v>
      </c>
      <c r="Q709" s="7">
        <v>252.0</v>
      </c>
      <c r="R709" s="7">
        <v>0.0</v>
      </c>
      <c r="S709" s="7">
        <v>252.0</v>
      </c>
      <c r="T709" s="7">
        <v>4.0</v>
      </c>
      <c r="U709" s="7">
        <v>0.0</v>
      </c>
      <c r="V709" s="7">
        <v>0.0</v>
      </c>
      <c r="W709" s="7">
        <f>VLOOKUP($D709,NatureChart,2,0)</f>
        <v>0.9</v>
      </c>
      <c r="X709" s="7">
        <f>VLOOKUP($D709,NatureChart,3,0)</f>
        <v>1.1</v>
      </c>
      <c r="Y709" s="7">
        <f>VLOOKUP($D709,NatureChart,4,0)</f>
        <v>1</v>
      </c>
      <c r="Z709" s="7">
        <f>VLOOKUP($D709,NatureChart,5,0)</f>
        <v>1</v>
      </c>
      <c r="AA709" s="84">
        <f>VLOOKUP($D709,NatureChart,6,0)</f>
        <v>1</v>
      </c>
      <c r="AB709" s="84">
        <f>IF($C709="Shedinja",1,(INT((2*VLOOKUP($C709,DexData,5,0)+INT(Q709/4)+K709)/2)+60))</f>
        <v>187</v>
      </c>
      <c r="AC709" s="84">
        <f>INT(INT((INT((2*VLOOKUP($C709,DexData,6,0)+INT(R709/4)+L709)/2)+5)*W709)*IF($E709="Choice Band",1.5,IF(OR($E709="Mawilite",$E709="Medichamite",$E709="Thick Club"),2,1)))</f>
        <v>90</v>
      </c>
      <c r="AD709" s="84">
        <f>INT(INT((INT((2*VLOOKUP($C709,DexData,7,0)+INT(S709/4)+M709)/2)+5)*X709)*IF($E709="Eviolite",1.5,1))</f>
        <v>156</v>
      </c>
      <c r="AE709" s="84">
        <f>INT(INT((INT((2*VLOOKUP($C709,DexData,9,0)+INT(T709/4)+N709)/2)+5)*Y709)*IF($E709="Choice Specs",1.5,1))</f>
        <v>131</v>
      </c>
      <c r="AF709" s="84">
        <f>INT(INT((INT((2*VLOOKUP($C709,DexData,10,0)+INT(U709/4)+O709)/2)+5)*Z709)*IF(OR($E709="Eviolite",$E709="Assault Vest"),1.5,1))</f>
        <v>150</v>
      </c>
      <c r="AG709" s="84">
        <f>INT(INT((INT((2*VLOOKUP($C709,DexData,11,0)+INT(V709/4)+P709)/2)+5)*AA709)*IF($E709="Choice Scarf",1.5,IF($E709="Iron Ball",0.5,1)))</f>
        <v>130</v>
      </c>
      <c r="AH709" s="84" t="str">
        <f>VLOOKUP(VLOOKUP($C709,DexData,3,0),Aliases!D$2:E$19,2,0)&amp;IFERROR("/"&amp;VLOOKUP(VLOOKUP($C709,DexData,4,0),Aliases!D$2:E$19,2,0),"")</f>
        <v>DRG/PSY</v>
      </c>
      <c r="AI709" s="7">
        <v>3.0</v>
      </c>
      <c r="AJ709" s="7">
        <f>IF(VLOOKUP(B709,'Set Odds'!A$2:AN$1067,40,0),1,IF(VLOOKUP(B709,'Set Odds'!A$2:AO$1067,41,0),2,0))</f>
        <v>1</v>
      </c>
      <c r="AK709" s="7"/>
      <c r="AL709" s="7" t="str">
        <f t="shared" si="1"/>
        <v/>
      </c>
    </row>
    <row r="710" ht="12.75" customHeight="1">
      <c r="A710" s="86">
        <v>709.0</v>
      </c>
      <c r="B710" s="84" t="s">
        <v>4278</v>
      </c>
      <c r="C710" s="7" t="s">
        <v>4232</v>
      </c>
      <c r="D710" s="7" t="s">
        <v>2656</v>
      </c>
      <c r="E710" s="7" t="s">
        <v>3096</v>
      </c>
      <c r="F710" s="84" t="s">
        <v>4016</v>
      </c>
      <c r="G710" s="84" t="s">
        <v>2659</v>
      </c>
      <c r="H710" s="84" t="s">
        <v>4025</v>
      </c>
      <c r="I710" s="84" t="s">
        <v>3994</v>
      </c>
      <c r="J710" s="7" t="s">
        <v>2714</v>
      </c>
      <c r="K710" s="7">
        <v>31.0</v>
      </c>
      <c r="L710" s="7">
        <v>31.0</v>
      </c>
      <c r="M710" s="7">
        <v>31.0</v>
      </c>
      <c r="N710" s="7">
        <v>31.0</v>
      </c>
      <c r="O710" s="7">
        <v>31.0</v>
      </c>
      <c r="P710" s="7">
        <v>31.0</v>
      </c>
      <c r="Q710" s="7">
        <v>4.0</v>
      </c>
      <c r="R710" s="7">
        <v>0.0</v>
      </c>
      <c r="S710" s="7">
        <v>0.0</v>
      </c>
      <c r="T710" s="7">
        <v>252.0</v>
      </c>
      <c r="U710" s="7">
        <v>0.0</v>
      </c>
      <c r="V710" s="7">
        <v>252.0</v>
      </c>
      <c r="W710" s="7">
        <f>VLOOKUP($D710,NatureChart,2,0)</f>
        <v>0.9</v>
      </c>
      <c r="X710" s="7">
        <f>VLOOKUP($D710,NatureChart,3,0)</f>
        <v>1</v>
      </c>
      <c r="Y710" s="7">
        <f>VLOOKUP($D710,NatureChart,4,0)</f>
        <v>1.1</v>
      </c>
      <c r="Z710" s="7">
        <f>VLOOKUP($D710,NatureChart,5,0)</f>
        <v>1</v>
      </c>
      <c r="AA710" s="84">
        <f>VLOOKUP($D710,NatureChart,6,0)</f>
        <v>1</v>
      </c>
      <c r="AB710" s="84">
        <f>IF($C710="Shedinja",1,(INT((2*VLOOKUP($C710,DexData,5,0)+INT(Q710/4)+K710)/2)+60))</f>
        <v>156</v>
      </c>
      <c r="AC710" s="84">
        <f>INT(INT((INT((2*VLOOKUP($C710,DexData,6,0)+INT(R710/4)+L710)/2)+5)*W710)*IF($E710="Choice Band",1.5,IF(OR($E710="Mawilite",$E710="Medichamite",$E710="Thick Club"),2,1)))</f>
        <v>99</v>
      </c>
      <c r="AD710" s="84">
        <f>INT(INT((INT((2*VLOOKUP($C710,DexData,7,0)+INT(S710/4)+M710)/2)+5)*X710)*IF($E710="Eviolite",1.5,1))</f>
        <v>100</v>
      </c>
      <c r="AE710" s="84">
        <f>INT(INT((INT((2*VLOOKUP($C710,DexData,9,0)+INT(T710/4)+N710)/2)+5)*Y710)*IF($E710="Choice Specs",1.5,1))</f>
        <v>200</v>
      </c>
      <c r="AF710" s="84">
        <f>INT(INT((INT((2*VLOOKUP($C710,DexData,10,0)+INT(U710/4)+O710)/2)+5)*Z710)*IF(OR($E710="Eviolite",$E710="Assault Vest"),1.5,1))</f>
        <v>130</v>
      </c>
      <c r="AG710" s="84">
        <f>INT(INT((INT((2*VLOOKUP($C710,DexData,11,0)+INT(V710/4)+P710)/2)+5)*AA710)*IF($E710="Choice Scarf",1.5,IF($E710="Iron Ball",0.5,1)))</f>
        <v>162</v>
      </c>
      <c r="AH710" s="84" t="str">
        <f>VLOOKUP(VLOOKUP($C710,DexData,3,0),Aliases!D$2:E$19,2,0)&amp;IFERROR("/"&amp;VLOOKUP(VLOOKUP($C710,DexData,4,0),Aliases!D$2:E$19,2,0),"")</f>
        <v>DRG/PSY</v>
      </c>
      <c r="AI710" s="7">
        <v>3.0</v>
      </c>
      <c r="AJ710" s="7">
        <f>IF(VLOOKUP(B710,'Set Odds'!A$2:AN$1067,40,0),1,IF(VLOOKUP(B710,'Set Odds'!A$2:AO$1067,41,0),2,0))</f>
        <v>1</v>
      </c>
      <c r="AK710" s="7"/>
      <c r="AL710" s="7" t="str">
        <f t="shared" si="1"/>
        <v/>
      </c>
    </row>
    <row r="711" ht="12.75" customHeight="1">
      <c r="A711" s="86">
        <v>710.0</v>
      </c>
      <c r="B711" s="84" t="s">
        <v>4279</v>
      </c>
      <c r="C711" s="7" t="s">
        <v>3958</v>
      </c>
      <c r="D711" s="7" t="s">
        <v>2635</v>
      </c>
      <c r="E711" s="7" t="s">
        <v>2524</v>
      </c>
      <c r="F711" s="84" t="s">
        <v>2832</v>
      </c>
      <c r="G711" s="84" t="s">
        <v>3959</v>
      </c>
      <c r="H711" s="84" t="s">
        <v>3264</v>
      </c>
      <c r="I711" s="84" t="s">
        <v>3524</v>
      </c>
      <c r="J711" s="7" t="s">
        <v>3016</v>
      </c>
      <c r="K711" s="7">
        <v>31.0</v>
      </c>
      <c r="L711" s="7">
        <v>31.0</v>
      </c>
      <c r="M711" s="7">
        <v>31.0</v>
      </c>
      <c r="N711" s="7">
        <v>31.0</v>
      </c>
      <c r="O711" s="7">
        <v>31.0</v>
      </c>
      <c r="P711" s="7">
        <v>31.0</v>
      </c>
      <c r="Q711" s="7">
        <v>252.0</v>
      </c>
      <c r="R711" s="7">
        <v>4.0</v>
      </c>
      <c r="S711" s="7">
        <v>0.0</v>
      </c>
      <c r="T711" s="7">
        <v>252.0</v>
      </c>
      <c r="U711" s="7">
        <v>0.0</v>
      </c>
      <c r="V711" s="7">
        <v>0.0</v>
      </c>
      <c r="W711" s="7">
        <f>VLOOKUP($D711,NatureChart,2,0)</f>
        <v>0.9</v>
      </c>
      <c r="X711" s="7">
        <f>VLOOKUP($D711,NatureChart,3,0)</f>
        <v>1</v>
      </c>
      <c r="Y711" s="7">
        <f>VLOOKUP($D711,NatureChart,4,0)</f>
        <v>1</v>
      </c>
      <c r="Z711" s="7">
        <f>VLOOKUP($D711,NatureChart,5,0)</f>
        <v>1</v>
      </c>
      <c r="AA711" s="84">
        <f>VLOOKUP($D711,NatureChart,6,0)</f>
        <v>1.1</v>
      </c>
      <c r="AB711" s="84">
        <f>IF($C711="Shedinja",1,(INT((2*VLOOKUP($C711,DexData,5,0)+INT(Q711/4)+K711)/2)+60))</f>
        <v>198</v>
      </c>
      <c r="AC711" s="84">
        <f>INT(INT((INT((2*VLOOKUP($C711,DexData,6,0)+INT(R711/4)+L711)/2)+5)*W711)*IF($E711="Choice Band",1.5,IF(OR($E711="Mawilite",$E711="Medichamite",$E711="Thick Club"),2,1)))</f>
        <v>99</v>
      </c>
      <c r="AD711" s="84">
        <f>INT(INT((INT((2*VLOOKUP($C711,DexData,7,0)+INT(S711/4)+M711)/2)+5)*X711)*IF($E711="Eviolite",1.5,1))</f>
        <v>126</v>
      </c>
      <c r="AE711" s="84">
        <f>INT(INT((INT((2*VLOOKUP($C711,DexData,9,0)+INT(T711/4)+N711)/2)+5)*Y711)*IF($E711="Choice Specs",1.5,1))</f>
        <v>182</v>
      </c>
      <c r="AF711" s="84">
        <f>INT(INT((INT((2*VLOOKUP($C711,DexData,10,0)+INT(U711/4)+O711)/2)+5)*Z711)*IF(OR($E711="Eviolite",$E711="Assault Vest"),1.5,1))</f>
        <v>126</v>
      </c>
      <c r="AG711" s="84">
        <f>INT(INT((INT((2*VLOOKUP($C711,DexData,11,0)+INT(V711/4)+P711)/2)+5)*AA711)*IF($E711="Choice Scarf",1.5,IF($E711="Iron Ball",0.5,1)))</f>
        <v>106</v>
      </c>
      <c r="AH711" s="84" t="str">
        <f>VLOOKUP(VLOOKUP($C711,DexData,3,0),Aliases!D$2:E$19,2,0)&amp;IFERROR("/"&amp;VLOOKUP(VLOOKUP($C711,DexData,4,0),Aliases!D$2:E$19,2,0),"")</f>
        <v>FIR/STL</v>
      </c>
      <c r="AI711" s="7">
        <v>3.0</v>
      </c>
      <c r="AJ711" s="7">
        <f>IF(VLOOKUP(B711,'Set Odds'!A$2:AN$1067,40,0),1,IF(VLOOKUP(B711,'Set Odds'!A$2:AO$1067,41,0),2,0))</f>
        <v>1</v>
      </c>
      <c r="AK711" s="7"/>
      <c r="AL711" s="7">
        <f t="shared" si="1"/>
        <v>1</v>
      </c>
    </row>
    <row r="712" ht="12.75" customHeight="1">
      <c r="A712" s="86">
        <v>711.0</v>
      </c>
      <c r="B712" s="84" t="s">
        <v>4280</v>
      </c>
      <c r="C712" s="7" t="s">
        <v>3962</v>
      </c>
      <c r="D712" s="7" t="s">
        <v>2862</v>
      </c>
      <c r="E712" s="7" t="s">
        <v>2685</v>
      </c>
      <c r="F712" s="84" t="s">
        <v>3718</v>
      </c>
      <c r="G712" s="84" t="s">
        <v>2938</v>
      </c>
      <c r="H712" s="84" t="s">
        <v>2659</v>
      </c>
      <c r="I712" s="84" t="s">
        <v>2661</v>
      </c>
      <c r="J712" s="7" t="s">
        <v>2714</v>
      </c>
      <c r="K712" s="7">
        <v>31.0</v>
      </c>
      <c r="L712" s="7">
        <v>31.0</v>
      </c>
      <c r="M712" s="7">
        <v>31.0</v>
      </c>
      <c r="N712" s="7">
        <v>31.0</v>
      </c>
      <c r="O712" s="7">
        <v>31.0</v>
      </c>
      <c r="P712" s="7">
        <v>31.0</v>
      </c>
      <c r="Q712" s="7">
        <v>252.0</v>
      </c>
      <c r="R712" s="7">
        <v>0.0</v>
      </c>
      <c r="S712" s="7">
        <v>252.0</v>
      </c>
      <c r="T712" s="7">
        <v>0.0</v>
      </c>
      <c r="U712" s="7">
        <v>4.0</v>
      </c>
      <c r="V712" s="7">
        <v>0.0</v>
      </c>
      <c r="W712" s="7">
        <f>VLOOKUP($D712,NatureChart,2,0)</f>
        <v>0.9</v>
      </c>
      <c r="X712" s="7">
        <f>VLOOKUP($D712,NatureChart,3,0)</f>
        <v>1.1</v>
      </c>
      <c r="Y712" s="7">
        <f>VLOOKUP($D712,NatureChart,4,0)</f>
        <v>1</v>
      </c>
      <c r="Z712" s="7">
        <f>VLOOKUP($D712,NatureChart,5,0)</f>
        <v>1</v>
      </c>
      <c r="AA712" s="84">
        <f>VLOOKUP($D712,NatureChart,6,0)</f>
        <v>1</v>
      </c>
      <c r="AB712" s="84">
        <f>IF($C712="Shedinja",1,(INT((2*VLOOKUP($C712,DexData,5,0)+INT(Q712/4)+K712)/2)+60))</f>
        <v>227</v>
      </c>
      <c r="AC712" s="84">
        <f>INT(INT((INT((2*VLOOKUP($C712,DexData,6,0)+INT(R712/4)+L712)/2)+5)*W712)*IF($E712="Choice Band",1.5,IF(OR($E712="Mawilite",$E712="Medichamite",$E712="Thick Club"),2,1)))</f>
        <v>81</v>
      </c>
      <c r="AD712" s="84">
        <f>INT(INT((INT((2*VLOOKUP($C712,DexData,7,0)+INT(S712/4)+M712)/2)+5)*X712)*IF($E712="Eviolite",1.5,1))</f>
        <v>189</v>
      </c>
      <c r="AE712" s="84">
        <f>INT(INT((INT((2*VLOOKUP($C712,DexData,9,0)+INT(T712/4)+N712)/2)+5)*Y712)*IF($E712="Choice Specs",1.5,1))</f>
        <v>95</v>
      </c>
      <c r="AF712" s="84">
        <f>INT(INT((INT((2*VLOOKUP($C712,DexData,10,0)+INT(U712/4)+O712)/2)+5)*Z712)*IF(OR($E712="Eviolite",$E712="Assault Vest"),1.5,1))</f>
        <v>151</v>
      </c>
      <c r="AG712" s="84">
        <f>INT(INT((INT((2*VLOOKUP($C712,DexData,11,0)+INT(V712/4)+P712)/2)+5)*AA712)*IF($E712="Choice Scarf",1.5,IF($E712="Iron Ball",0.5,1)))</f>
        <v>105</v>
      </c>
      <c r="AH712" s="84" t="str">
        <f>VLOOKUP(VLOOKUP($C712,DexData,3,0),Aliases!D$2:E$19,2,0)&amp;IFERROR("/"&amp;VLOOKUP(VLOOKUP($C712,DexData,4,0),Aliases!D$2:E$19,2,0),"")</f>
        <v>PSY</v>
      </c>
      <c r="AI712" s="7">
        <v>3.0</v>
      </c>
      <c r="AJ712" s="7">
        <f>IF(VLOOKUP(B712,'Set Odds'!A$2:AN$1067,40,0),1,IF(VLOOKUP(B712,'Set Odds'!A$2:AO$1067,41,0),2,0))</f>
        <v>1</v>
      </c>
      <c r="AK712" s="7"/>
      <c r="AL712" s="7" t="str">
        <f t="shared" si="1"/>
        <v/>
      </c>
    </row>
    <row r="713" ht="12.75" customHeight="1">
      <c r="A713" s="86">
        <v>712.0</v>
      </c>
      <c r="B713" s="84" t="s">
        <v>4281</v>
      </c>
      <c r="C713" s="7" t="s">
        <v>3966</v>
      </c>
      <c r="D713" s="7" t="s">
        <v>2571</v>
      </c>
      <c r="E713" s="7" t="s">
        <v>3889</v>
      </c>
      <c r="F713" s="84" t="s">
        <v>3967</v>
      </c>
      <c r="G713" s="84" t="s">
        <v>2517</v>
      </c>
      <c r="H713" s="84" t="s">
        <v>3441</v>
      </c>
      <c r="I713" s="84" t="s">
        <v>2581</v>
      </c>
      <c r="J713" s="7" t="s">
        <v>3968</v>
      </c>
      <c r="K713" s="7">
        <v>31.0</v>
      </c>
      <c r="L713" s="7">
        <v>31.0</v>
      </c>
      <c r="M713" s="7">
        <v>31.0</v>
      </c>
      <c r="N713" s="7">
        <v>31.0</v>
      </c>
      <c r="O713" s="7">
        <v>31.0</v>
      </c>
      <c r="P713" s="7">
        <v>31.0</v>
      </c>
      <c r="Q713" s="7">
        <v>252.0</v>
      </c>
      <c r="R713" s="7">
        <v>252.0</v>
      </c>
      <c r="S713" s="7">
        <v>0.0</v>
      </c>
      <c r="T713" s="7">
        <v>0.0</v>
      </c>
      <c r="U713" s="7">
        <v>0.0</v>
      </c>
      <c r="V713" s="7">
        <v>4.0</v>
      </c>
      <c r="W713" s="7">
        <f>VLOOKUP($D713,NatureChart,2,0)</f>
        <v>1.1</v>
      </c>
      <c r="X713" s="7">
        <f>VLOOKUP($D713,NatureChart,3,0)</f>
        <v>1</v>
      </c>
      <c r="Y713" s="7">
        <f>VLOOKUP($D713,NatureChart,4,0)</f>
        <v>0.9</v>
      </c>
      <c r="Z713" s="7">
        <f>VLOOKUP($D713,NatureChart,5,0)</f>
        <v>1</v>
      </c>
      <c r="AA713" s="84">
        <f>VLOOKUP($D713,NatureChart,6,0)</f>
        <v>1</v>
      </c>
      <c r="AB713" s="84">
        <f>IF($C713="Shedinja",1,(INT((2*VLOOKUP($C713,DexData,5,0)+INT(Q713/4)+K713)/2)+60))</f>
        <v>217</v>
      </c>
      <c r="AC713" s="84">
        <f>INT(INT((INT((2*VLOOKUP($C713,DexData,6,0)+INT(R713/4)+L713)/2)+5)*W713)*IF($E713="Choice Band",1.5,IF(OR($E713="Mawilite",$E713="Medichamite",$E713="Thick Club"),2,1)))</f>
        <v>233</v>
      </c>
      <c r="AD713" s="84">
        <f>INT(INT((INT((2*VLOOKUP($C713,DexData,7,0)+INT(S713/4)+M713)/2)+5)*X713)*IF($E713="Eviolite",1.5,1))</f>
        <v>130</v>
      </c>
      <c r="AE713" s="84">
        <f>INT(INT((INT((2*VLOOKUP($C713,DexData,9,0)+INT(T713/4)+N713)/2)+5)*Y713)*IF($E713="Choice Specs",1.5,1))</f>
        <v>90</v>
      </c>
      <c r="AF713" s="84">
        <f>INT(INT((INT((2*VLOOKUP($C713,DexData,10,0)+INT(U713/4)+O713)/2)+5)*Z713)*IF(OR($E713="Eviolite",$E713="Assault Vest"),1.5,1))</f>
        <v>130</v>
      </c>
      <c r="AG713" s="84">
        <f>INT(INT((INT((2*VLOOKUP($C713,DexData,11,0)+INT(V713/4)+P713)/2)+5)*AA713)*IF($E713="Choice Scarf",1.5,IF($E713="Iron Ball",0.5,1)))</f>
        <v>121</v>
      </c>
      <c r="AH713" s="84" t="str">
        <f>VLOOKUP(VLOOKUP($C713,DexData,3,0),Aliases!D$2:E$19,2,0)&amp;IFERROR("/"&amp;VLOOKUP(VLOOKUP($C713,DexData,4,0),Aliases!D$2:E$19,2,0),"")</f>
        <v>NRM</v>
      </c>
      <c r="AI713" s="7">
        <v>3.0</v>
      </c>
      <c r="AJ713" s="7">
        <f>IF(VLOOKUP(B713,'Set Odds'!A$2:AN$1067,40,0),1,IF(VLOOKUP(B713,'Set Odds'!A$2:AO$1067,41,0),2,0))</f>
        <v>1</v>
      </c>
      <c r="AK713" s="7"/>
      <c r="AL713" s="7" t="str">
        <f t="shared" si="1"/>
        <v/>
      </c>
    </row>
    <row r="714" ht="12.75" customHeight="1">
      <c r="A714" s="86">
        <v>713.0</v>
      </c>
      <c r="B714" s="84" t="s">
        <v>4282</v>
      </c>
      <c r="C714" s="7" t="s">
        <v>3893</v>
      </c>
      <c r="D714" s="7" t="s">
        <v>2692</v>
      </c>
      <c r="E714" s="7" t="s">
        <v>2515</v>
      </c>
      <c r="F714" s="84" t="s">
        <v>3454</v>
      </c>
      <c r="G714" s="84" t="s">
        <v>3583</v>
      </c>
      <c r="H714" s="84" t="s">
        <v>3048</v>
      </c>
      <c r="I714" s="84" t="s">
        <v>2751</v>
      </c>
      <c r="J714" s="7" t="s">
        <v>2968</v>
      </c>
      <c r="K714" s="7">
        <v>31.0</v>
      </c>
      <c r="L714" s="7">
        <v>31.0</v>
      </c>
      <c r="M714" s="7">
        <v>31.0</v>
      </c>
      <c r="N714" s="7">
        <v>31.0</v>
      </c>
      <c r="O714" s="7">
        <v>31.0</v>
      </c>
      <c r="P714" s="7">
        <v>31.0</v>
      </c>
      <c r="Q714" s="7">
        <v>0.0</v>
      </c>
      <c r="R714" s="7">
        <v>252.0</v>
      </c>
      <c r="S714" s="7">
        <v>4.0</v>
      </c>
      <c r="T714" s="7">
        <v>0.0</v>
      </c>
      <c r="U714" s="7">
        <v>0.0</v>
      </c>
      <c r="V714" s="7">
        <v>252.0</v>
      </c>
      <c r="W714" s="7">
        <f>VLOOKUP($D714,NatureChart,2,0)</f>
        <v>1</v>
      </c>
      <c r="X714" s="7">
        <f>VLOOKUP($D714,NatureChart,3,0)</f>
        <v>1</v>
      </c>
      <c r="Y714" s="7">
        <f>VLOOKUP($D714,NatureChart,4,0)</f>
        <v>0.9</v>
      </c>
      <c r="Z714" s="7">
        <f>VLOOKUP($D714,NatureChart,5,0)</f>
        <v>1</v>
      </c>
      <c r="AA714" s="84">
        <f>VLOOKUP($D714,NatureChart,6,0)</f>
        <v>1.1</v>
      </c>
      <c r="AB714" s="84">
        <f>IF($C714="Shedinja",1,(INT((2*VLOOKUP($C714,DexData,5,0)+INT(Q714/4)+K714)/2)+60))</f>
        <v>185</v>
      </c>
      <c r="AC714" s="84">
        <f>INT(INT((INT((2*VLOOKUP($C714,DexData,6,0)+INT(R714/4)+L714)/2)+5)*W714)*IF($E714="Choice Band",1.5,IF(OR($E714="Mawilite",$E714="Medichamite",$E714="Thick Club"),2,1)))</f>
        <v>182</v>
      </c>
      <c r="AD714" s="84">
        <f>INT(INT((INT((2*VLOOKUP($C714,DexData,7,0)+INT(S714/4)+M714)/2)+5)*X714)*IF($E714="Eviolite",1.5,1))</f>
        <v>101</v>
      </c>
      <c r="AE714" s="84">
        <f>INT(INT((INT((2*VLOOKUP($C714,DexData,9,0)+INT(T714/4)+N714)/2)+5)*Y714)*IF($E714="Choice Specs",1.5,1))</f>
        <v>81</v>
      </c>
      <c r="AF714" s="84">
        <f>INT(INT((INT((2*VLOOKUP($C714,DexData,10,0)+INT(U714/4)+O714)/2)+5)*Z714)*IF(OR($E714="Eviolite",$E714="Assault Vest"),1.5,1))</f>
        <v>80</v>
      </c>
      <c r="AG714" s="84">
        <f>INT(INT((INT((2*VLOOKUP($C714,DexData,11,0)+INT(V714/4)+P714)/2)+5)*AA714)*IF($E714="Choice Scarf",1.5,IF($E714="Iron Ball",0.5,1)))</f>
        <v>145</v>
      </c>
      <c r="AH714" s="84" t="str">
        <f>VLOOKUP(VLOOKUP($C714,DexData,3,0),Aliases!D$2:E$19,2,0)&amp;IFERROR("/"&amp;VLOOKUP(VLOOKUP($C714,DexData,4,0),Aliases!D$2:E$19,2,0),"")</f>
        <v>ICE/GRD</v>
      </c>
      <c r="AI714" s="7">
        <v>3.0</v>
      </c>
      <c r="AJ714" s="7">
        <f>IF(VLOOKUP(B714,'Set Odds'!A$2:AN$1067,40,0),1,IF(VLOOKUP(B714,'Set Odds'!A$2:AO$1067,41,0),2,0))</f>
        <v>1</v>
      </c>
      <c r="AK714" s="7"/>
      <c r="AL714" s="7" t="str">
        <f t="shared" si="1"/>
        <v/>
      </c>
    </row>
    <row r="715" ht="12.75" customHeight="1">
      <c r="A715" s="86">
        <v>714.0</v>
      </c>
      <c r="B715" s="84" t="s">
        <v>4283</v>
      </c>
      <c r="C715" s="7" t="s">
        <v>3438</v>
      </c>
      <c r="D715" s="7" t="s">
        <v>2692</v>
      </c>
      <c r="E715" s="7" t="s">
        <v>3726</v>
      </c>
      <c r="F715" s="84" t="s">
        <v>2762</v>
      </c>
      <c r="G715" s="84" t="s">
        <v>3454</v>
      </c>
      <c r="H715" s="84" t="s">
        <v>3160</v>
      </c>
      <c r="I715" s="84" t="s">
        <v>2764</v>
      </c>
      <c r="J715" s="7" t="s">
        <v>3442</v>
      </c>
      <c r="K715" s="7">
        <v>31.0</v>
      </c>
      <c r="L715" s="7">
        <v>31.0</v>
      </c>
      <c r="M715" s="7">
        <v>31.0</v>
      </c>
      <c r="N715" s="7">
        <v>0.0</v>
      </c>
      <c r="O715" s="7">
        <v>31.0</v>
      </c>
      <c r="P715" s="7">
        <v>31.0</v>
      </c>
      <c r="Q715" s="7">
        <v>4.0</v>
      </c>
      <c r="R715" s="7">
        <v>252.0</v>
      </c>
      <c r="S715" s="7">
        <v>0.0</v>
      </c>
      <c r="T715" s="7">
        <v>0.0</v>
      </c>
      <c r="U715" s="7">
        <v>0.0</v>
      </c>
      <c r="V715" s="7">
        <v>252.0</v>
      </c>
      <c r="W715" s="7">
        <f>VLOOKUP($D715,NatureChart,2,0)</f>
        <v>1</v>
      </c>
      <c r="X715" s="7">
        <f>VLOOKUP($D715,NatureChart,3,0)</f>
        <v>1</v>
      </c>
      <c r="Y715" s="7">
        <f>VLOOKUP($D715,NatureChart,4,0)</f>
        <v>0.9</v>
      </c>
      <c r="Z715" s="7">
        <f>VLOOKUP($D715,NatureChart,5,0)</f>
        <v>1</v>
      </c>
      <c r="AA715" s="84">
        <f>VLOOKUP($D715,NatureChart,6,0)</f>
        <v>1.1</v>
      </c>
      <c r="AB715" s="84">
        <f>IF($C715="Shedinja",1,(INT((2*VLOOKUP($C715,DexData,5,0)+INT(Q715/4)+K715)/2)+60))</f>
        <v>167</v>
      </c>
      <c r="AC715" s="84">
        <f>INT(INT((INT((2*VLOOKUP($C715,DexData,6,0)+INT(R715/4)+L715)/2)+5)*W715)*IF($E715="Choice Band",1.5,IF(OR($E715="Mawilite",$E715="Medichamite",$E715="Thick Club"),2,1)))</f>
        <v>186</v>
      </c>
      <c r="AD715" s="84">
        <f>INT(INT((INT((2*VLOOKUP($C715,DexData,7,0)+INT(S715/4)+M715)/2)+5)*X715)*IF($E715="Eviolite",1.5,1))</f>
        <v>115</v>
      </c>
      <c r="AE715" s="84">
        <f>INT(INT((INT((2*VLOOKUP($C715,DexData,9,0)+INT(T715/4)+N715)/2)+5)*Y715)*IF($E715="Choice Specs",1.5,1))</f>
        <v>94</v>
      </c>
      <c r="AF715" s="84">
        <f>INT(INT((INT((2*VLOOKUP($C715,DexData,10,0)+INT(U715/4)+O715)/2)+5)*Z715)*IF(OR($E715="Eviolite",$E715="Assault Vest"),1.5,1))</f>
        <v>120</v>
      </c>
      <c r="AG715" s="84">
        <f>INT(INT((INT((2*VLOOKUP($C715,DexData,11,0)+INT(V715/4)+P715)/2)+5)*AA715)*IF($E715="Choice Scarf",1.5,IF($E715="Iron Ball",0.5,1)))</f>
        <v>145</v>
      </c>
      <c r="AH715" s="84" t="str">
        <f>VLOOKUP(VLOOKUP($C715,DexData,3,0),Aliases!D$2:E$19,2,0)&amp;IFERROR("/"&amp;VLOOKUP(VLOOKUP($C715,DexData,4,0),Aliases!D$2:E$19,2,0),"")</f>
        <v>DRG/FLY</v>
      </c>
      <c r="AI715" s="7">
        <v>3.0</v>
      </c>
      <c r="AJ715" s="7">
        <f>IF(VLOOKUP(B715,'Set Odds'!A$2:AN$1067,40,0),1,IF(VLOOKUP(B715,'Set Odds'!A$2:AO$1067,41,0),2,0))</f>
        <v>1</v>
      </c>
      <c r="AK715" s="7"/>
      <c r="AL715" s="7" t="str">
        <f t="shared" si="1"/>
        <v/>
      </c>
    </row>
    <row r="716" ht="12.75" customHeight="1">
      <c r="A716" s="86">
        <v>715.0</v>
      </c>
      <c r="B716" s="84" t="s">
        <v>4284</v>
      </c>
      <c r="C716" s="7" t="s">
        <v>3923</v>
      </c>
      <c r="D716" s="7" t="s">
        <v>2656</v>
      </c>
      <c r="E716" s="7" t="s">
        <v>2665</v>
      </c>
      <c r="F716" s="84" t="s">
        <v>3091</v>
      </c>
      <c r="G716" s="84" t="s">
        <v>3260</v>
      </c>
      <c r="H716" s="84" t="s">
        <v>2631</v>
      </c>
      <c r="I716" s="84" t="s">
        <v>3600</v>
      </c>
      <c r="J716" s="7" t="s">
        <v>2662</v>
      </c>
      <c r="K716" s="7">
        <v>31.0</v>
      </c>
      <c r="L716" s="7">
        <v>0.0</v>
      </c>
      <c r="M716" s="7">
        <v>31.0</v>
      </c>
      <c r="N716" s="7">
        <v>31.0</v>
      </c>
      <c r="O716" s="7">
        <v>31.0</v>
      </c>
      <c r="P716" s="7">
        <v>31.0</v>
      </c>
      <c r="Q716" s="7">
        <v>4.0</v>
      </c>
      <c r="R716" s="7">
        <v>0.0</v>
      </c>
      <c r="S716" s="7">
        <v>0.0</v>
      </c>
      <c r="T716" s="7">
        <v>252.0</v>
      </c>
      <c r="U716" s="7">
        <v>0.0</v>
      </c>
      <c r="V716" s="7">
        <v>252.0</v>
      </c>
      <c r="W716" s="7">
        <f>VLOOKUP($D716,NatureChart,2,0)</f>
        <v>0.9</v>
      </c>
      <c r="X716" s="7">
        <f>VLOOKUP($D716,NatureChart,3,0)</f>
        <v>1</v>
      </c>
      <c r="Y716" s="7">
        <f>VLOOKUP($D716,NatureChart,4,0)</f>
        <v>1.1</v>
      </c>
      <c r="Z716" s="7">
        <f>VLOOKUP($D716,NatureChart,5,0)</f>
        <v>1</v>
      </c>
      <c r="AA716" s="84">
        <f>VLOOKUP($D716,NatureChart,6,0)</f>
        <v>1</v>
      </c>
      <c r="AB716" s="84">
        <f>IF($C716="Shedinja",1,(INT((2*VLOOKUP($C716,DexData,5,0)+INT(Q716/4)+K716)/2)+60))</f>
        <v>161</v>
      </c>
      <c r="AC716" s="84">
        <f>INT(INT((INT((2*VLOOKUP($C716,DexData,6,0)+INT(R716/4)+L716)/2)+5)*W716)*IF($E716="Choice Band",1.5,IF(OR($E716="Mawilite",$E716="Medichamite",$E716="Thick Club"),2,1)))</f>
        <v>49</v>
      </c>
      <c r="AD716" s="84">
        <f>INT(INT((INT((2*VLOOKUP($C716,DexData,7,0)+INT(S716/4)+M716)/2)+5)*X716)*IF($E716="Eviolite",1.5,1))</f>
        <v>115</v>
      </c>
      <c r="AE716" s="84">
        <f>INT(INT((INT((2*VLOOKUP($C716,DexData,9,0)+INT(T716/4)+N716)/2)+5)*Y716)*IF($E716="Choice Specs",1.5,1))</f>
        <v>189</v>
      </c>
      <c r="AF716" s="84">
        <f>INT(INT((INT((2*VLOOKUP($C716,DexData,10,0)+INT(U716/4)+O716)/2)+5)*Z716)*IF(OR($E716="Eviolite",$E716="Assault Vest"),1.5,1))</f>
        <v>135</v>
      </c>
      <c r="AG716" s="84">
        <f>INT(INT((INT((2*VLOOKUP($C716,DexData,11,0)+INT(V716/4)+P716)/2)+5)*AA716)*IF($E716="Choice Scarf",1.5,IF($E716="Iron Ball",0.5,1)))</f>
        <v>198</v>
      </c>
      <c r="AH716" s="84" t="str">
        <f>VLOOKUP(VLOOKUP($C716,DexData,3,0),Aliases!D$2:E$19,2,0)&amp;IFERROR("/"&amp;VLOOKUP(VLOOKUP($C716,DexData,4,0),Aliases!D$2:E$19,2,0),"")</f>
        <v>FAI/FLY</v>
      </c>
      <c r="AI716" s="7">
        <v>3.0</v>
      </c>
      <c r="AJ716" s="7">
        <f>IF(VLOOKUP(B716,'Set Odds'!A$2:AN$1067,40,0),1,IF(VLOOKUP(B716,'Set Odds'!A$2:AO$1067,41,0),2,0))</f>
        <v>1</v>
      </c>
      <c r="AK716" s="7"/>
      <c r="AL716" s="7" t="str">
        <f t="shared" si="1"/>
        <v/>
      </c>
    </row>
    <row r="717" ht="12.75" customHeight="1">
      <c r="A717" s="86">
        <v>716.0</v>
      </c>
      <c r="B717" s="84" t="s">
        <v>4285</v>
      </c>
      <c r="C717" s="7" t="s">
        <v>3936</v>
      </c>
      <c r="D717" s="7" t="s">
        <v>2692</v>
      </c>
      <c r="E717" s="7" t="s">
        <v>2515</v>
      </c>
      <c r="F717" s="84" t="s">
        <v>3454</v>
      </c>
      <c r="G717" s="84" t="s">
        <v>2762</v>
      </c>
      <c r="H717" s="84" t="s">
        <v>2751</v>
      </c>
      <c r="I717" s="84" t="s">
        <v>3113</v>
      </c>
      <c r="J717" s="7" t="s">
        <v>2803</v>
      </c>
      <c r="K717" s="7">
        <v>31.0</v>
      </c>
      <c r="L717" s="7">
        <v>31.0</v>
      </c>
      <c r="M717" s="7">
        <v>31.0</v>
      </c>
      <c r="N717" s="7">
        <v>0.0</v>
      </c>
      <c r="O717" s="7">
        <v>31.0</v>
      </c>
      <c r="P717" s="7">
        <v>31.0</v>
      </c>
      <c r="Q717" s="7">
        <v>4.0</v>
      </c>
      <c r="R717" s="7">
        <v>252.0</v>
      </c>
      <c r="S717" s="7">
        <v>0.0</v>
      </c>
      <c r="T717" s="7">
        <v>0.0</v>
      </c>
      <c r="U717" s="7">
        <v>0.0</v>
      </c>
      <c r="V717" s="7">
        <v>252.0</v>
      </c>
      <c r="W717" s="7">
        <f>VLOOKUP($D717,NatureChart,2,0)</f>
        <v>1</v>
      </c>
      <c r="X717" s="7">
        <f>VLOOKUP($D717,NatureChart,3,0)</f>
        <v>1</v>
      </c>
      <c r="Y717" s="7">
        <f>VLOOKUP($D717,NatureChart,4,0)</f>
        <v>0.9</v>
      </c>
      <c r="Z717" s="7">
        <f>VLOOKUP($D717,NatureChart,5,0)</f>
        <v>1</v>
      </c>
      <c r="AA717" s="84">
        <f>VLOOKUP($D717,NatureChart,6,0)</f>
        <v>1.1</v>
      </c>
      <c r="AB717" s="84">
        <f>IF($C717="Shedinja",1,(INT((2*VLOOKUP($C717,DexData,5,0)+INT(Q717/4)+K717)/2)+60))</f>
        <v>184</v>
      </c>
      <c r="AC717" s="84">
        <f>INT(INT((INT((2*VLOOKUP($C717,DexData,6,0)+INT(R717/4)+L717)/2)+5)*W717)*IF($E717="Choice Band",1.5,IF(OR($E717="Mawilite",$E717="Medichamite",$E717="Thick Club"),2,1)))</f>
        <v>182</v>
      </c>
      <c r="AD717" s="84">
        <f>INT(INT((INT((2*VLOOKUP($C717,DexData,7,0)+INT(S717/4)+M717)/2)+5)*X717)*IF($E717="Eviolite",1.5,1))</f>
        <v>115</v>
      </c>
      <c r="AE717" s="84">
        <f>INT(INT((INT((2*VLOOKUP($C717,DexData,9,0)+INT(T717/4)+N717)/2)+5)*Y717)*IF($E717="Choice Specs",1.5,1))</f>
        <v>76</v>
      </c>
      <c r="AF717" s="84">
        <f>INT(INT((INT((2*VLOOKUP($C717,DexData,10,0)+INT(U717/4)+O717)/2)+5)*Z717)*IF(OR($E717="Eviolite",$E717="Assault Vest"),1.5,1))</f>
        <v>105</v>
      </c>
      <c r="AG717" s="84">
        <f>INT(INT((INT((2*VLOOKUP($C717,DexData,11,0)+INT(V717/4)+P717)/2)+5)*AA717)*IF($E717="Choice Scarf",1.5,IF($E717="Iron Ball",0.5,1)))</f>
        <v>169</v>
      </c>
      <c r="AH717" s="84" t="str">
        <f>VLOOKUP(VLOOKUP($C717,DexData,3,0),Aliases!D$2:E$19,2,0)&amp;IFERROR("/"&amp;VLOOKUP(VLOOKUP($C717,DexData,4,0),Aliases!D$2:E$19,2,0),"")</f>
        <v>DRG/GRD</v>
      </c>
      <c r="AI717" s="7">
        <v>3.0</v>
      </c>
      <c r="AJ717" s="7">
        <f>IF(VLOOKUP(B717,'Set Odds'!A$2:AN$1067,40,0),1,IF(VLOOKUP(B717,'Set Odds'!A$2:AO$1067,41,0),2,0))</f>
        <v>1</v>
      </c>
      <c r="AK717" s="7"/>
      <c r="AL717" s="7" t="str">
        <f t="shared" si="1"/>
        <v/>
      </c>
    </row>
    <row r="718" ht="12.75" customHeight="1">
      <c r="A718" s="86">
        <v>717.0</v>
      </c>
      <c r="B718" s="84" t="s">
        <v>4286</v>
      </c>
      <c r="C718" s="7" t="s">
        <v>3907</v>
      </c>
      <c r="D718" s="7" t="s">
        <v>2571</v>
      </c>
      <c r="E718" s="7" t="s">
        <v>2636</v>
      </c>
      <c r="F718" s="84" t="s">
        <v>2869</v>
      </c>
      <c r="G718" s="84" t="s">
        <v>3454</v>
      </c>
      <c r="H718" s="84" t="s">
        <v>3603</v>
      </c>
      <c r="I718" s="84" t="s">
        <v>2764</v>
      </c>
      <c r="J718" s="7" t="s">
        <v>2696</v>
      </c>
      <c r="K718" s="7">
        <v>31.0</v>
      </c>
      <c r="L718" s="7">
        <v>31.0</v>
      </c>
      <c r="M718" s="7">
        <v>31.0</v>
      </c>
      <c r="N718" s="7">
        <v>0.0</v>
      </c>
      <c r="O718" s="7">
        <v>31.0</v>
      </c>
      <c r="P718" s="7">
        <v>31.0</v>
      </c>
      <c r="Q718" s="7">
        <v>84.0</v>
      </c>
      <c r="R718" s="7">
        <v>252.0</v>
      </c>
      <c r="S718" s="7">
        <v>0.0</v>
      </c>
      <c r="T718" s="7">
        <v>0.0</v>
      </c>
      <c r="U718" s="7">
        <v>0.0</v>
      </c>
      <c r="V718" s="7">
        <v>172.0</v>
      </c>
      <c r="W718" s="7">
        <f>VLOOKUP($D718,NatureChart,2,0)</f>
        <v>1.1</v>
      </c>
      <c r="X718" s="7">
        <f>VLOOKUP($D718,NatureChart,3,0)</f>
        <v>1</v>
      </c>
      <c r="Y718" s="7">
        <f>VLOOKUP($D718,NatureChart,4,0)</f>
        <v>0.9</v>
      </c>
      <c r="Z718" s="7">
        <f>VLOOKUP($D718,NatureChart,5,0)</f>
        <v>1</v>
      </c>
      <c r="AA718" s="84">
        <f>VLOOKUP($D718,NatureChart,6,0)</f>
        <v>1</v>
      </c>
      <c r="AB718" s="84">
        <f>IF($C718="Shedinja",1,(INT((2*VLOOKUP($C718,DexData,5,0)+INT(Q718/4)+K718)/2)+60))</f>
        <v>181</v>
      </c>
      <c r="AC718" s="84">
        <f>INT(INT((INT((2*VLOOKUP($C718,DexData,6,0)+INT(R718/4)+L718)/2)+5)*W718)*IF($E718="Choice Band",1.5,IF(OR($E718="Mawilite",$E718="Medichamite",$E718="Thick Club"),2,1)))</f>
        <v>194</v>
      </c>
      <c r="AD718" s="84">
        <f>INT(INT((INT((2*VLOOKUP($C718,DexData,7,0)+INT(S718/4)+M718)/2)+5)*X718)*IF($E718="Eviolite",1.5,1))</f>
        <v>99</v>
      </c>
      <c r="AE718" s="84">
        <f>INT(INT((INT((2*VLOOKUP($C718,DexData,9,0)+INT(T718/4)+N718)/2)+5)*Y718)*IF($E718="Choice Specs",1.5,1))</f>
        <v>58</v>
      </c>
      <c r="AF718" s="84">
        <f>INT(INT((INT((2*VLOOKUP($C718,DexData,10,0)+INT(U718/4)+O718)/2)+5)*Z718)*IF(OR($E718="Eviolite",$E718="Assault Vest"),1.5,1))</f>
        <v>120</v>
      </c>
      <c r="AG718" s="84">
        <f>INT(INT((INT((2*VLOOKUP($C718,DexData,11,0)+INT(V718/4)+P718)/2)+5)*AA718)*IF($E718="Choice Scarf",1.5,IF($E718="Iron Ball",0.5,1)))</f>
        <v>123</v>
      </c>
      <c r="AH718" s="84" t="str">
        <f>VLOOKUP(VLOOKUP($C718,DexData,3,0),Aliases!D$2:E$19,2,0)&amp;IFERROR("/"&amp;VLOOKUP(VLOOKUP($C718,DexData,4,0),Aliases!D$2:E$19,2,0),"")</f>
        <v>WTR/FLY</v>
      </c>
      <c r="AI718" s="7">
        <v>3.0</v>
      </c>
      <c r="AJ718" s="7">
        <f>IF(VLOOKUP(B718,'Set Odds'!A$2:AN$1067,40,0),1,IF(VLOOKUP(B718,'Set Odds'!A$2:AO$1067,41,0),2,0))</f>
        <v>0</v>
      </c>
      <c r="AK718" s="7"/>
      <c r="AL718" s="7" t="str">
        <f t="shared" si="1"/>
        <v/>
      </c>
    </row>
    <row r="719" ht="12.75" customHeight="1">
      <c r="A719" s="86">
        <v>718.0</v>
      </c>
      <c r="B719" s="84" t="s">
        <v>4287</v>
      </c>
      <c r="C719" s="7" t="s">
        <v>3926</v>
      </c>
      <c r="D719" s="7" t="s">
        <v>2862</v>
      </c>
      <c r="E719" s="7" t="s">
        <v>2685</v>
      </c>
      <c r="F719" s="84" t="s">
        <v>2660</v>
      </c>
      <c r="G719" s="84" t="s">
        <v>3427</v>
      </c>
      <c r="H719" s="84" t="s">
        <v>2732</v>
      </c>
      <c r="I719" s="84" t="s">
        <v>4083</v>
      </c>
      <c r="J719" s="7" t="s">
        <v>2696</v>
      </c>
      <c r="K719" s="7">
        <v>31.0</v>
      </c>
      <c r="L719" s="7">
        <v>0.0</v>
      </c>
      <c r="M719" s="7">
        <v>31.0</v>
      </c>
      <c r="N719" s="7">
        <v>31.0</v>
      </c>
      <c r="O719" s="7">
        <v>31.0</v>
      </c>
      <c r="P719" s="7">
        <v>31.0</v>
      </c>
      <c r="Q719" s="7">
        <v>252.0</v>
      </c>
      <c r="R719" s="7">
        <v>0.0</v>
      </c>
      <c r="S719" s="7">
        <v>116.0</v>
      </c>
      <c r="T719" s="7">
        <v>0.0</v>
      </c>
      <c r="U719" s="7">
        <v>0.0</v>
      </c>
      <c r="V719" s="7">
        <v>140.0</v>
      </c>
      <c r="W719" s="7">
        <f>VLOOKUP($D719,NatureChart,2,0)</f>
        <v>0.9</v>
      </c>
      <c r="X719" s="7">
        <f>VLOOKUP($D719,NatureChart,3,0)</f>
        <v>1.1</v>
      </c>
      <c r="Y719" s="7">
        <f>VLOOKUP($D719,NatureChart,4,0)</f>
        <v>1</v>
      </c>
      <c r="Z719" s="7">
        <f>VLOOKUP($D719,NatureChart,5,0)</f>
        <v>1</v>
      </c>
      <c r="AA719" s="84">
        <f>VLOOKUP($D719,NatureChart,6,0)</f>
        <v>1</v>
      </c>
      <c r="AB719" s="84">
        <f>IF($C719="Shedinja",1,(INT((2*VLOOKUP($C719,DexData,5,0)+INT(Q719/4)+K719)/2)+60))</f>
        <v>197</v>
      </c>
      <c r="AC719" s="84">
        <f>INT(INT((INT((2*VLOOKUP($C719,DexData,6,0)+INT(R719/4)+L719)/2)+5)*W719)*IF($E719="Choice Band",1.5,IF(OR($E719="Mawilite",$E719="Medichamite",$E719="Thick Club"),2,1)))</f>
        <v>103</v>
      </c>
      <c r="AD719" s="84">
        <f>INT(INT((INT((2*VLOOKUP($C719,DexData,7,0)+INT(S719/4)+M719)/2)+5)*X719)*IF($E719="Eviolite",1.5,1))</f>
        <v>126</v>
      </c>
      <c r="AE719" s="84">
        <f>INT(INT((INT((2*VLOOKUP($C719,DexData,9,0)+INT(T719/4)+N719)/2)+5)*Y719)*IF($E719="Choice Specs",1.5,1))</f>
        <v>120</v>
      </c>
      <c r="AF719" s="84">
        <f>INT(INT((INT((2*VLOOKUP($C719,DexData,10,0)+INT(U719/4)+O719)/2)+5)*Z719)*IF(OR($E719="Eviolite",$E719="Assault Vest"),1.5,1))</f>
        <v>100</v>
      </c>
      <c r="AG719" s="84">
        <f>INT(INT((INT((2*VLOOKUP($C719,DexData,11,0)+INT(V719/4)+P719)/2)+5)*AA719)*IF($E719="Choice Scarf",1.5,IF($E719="Iron Ball",0.5,1)))</f>
        <v>133</v>
      </c>
      <c r="AH719" s="84" t="str">
        <f>VLOOKUP(VLOOKUP($C719,DexData,3,0),Aliases!D$2:E$19,2,0)&amp;IFERROR("/"&amp;VLOOKUP(VLOOKUP($C719,DexData,4,0),Aliases!D$2:E$19,2,0),"")</f>
        <v>FIR</v>
      </c>
      <c r="AI719" s="7">
        <v>3.0</v>
      </c>
      <c r="AJ719" s="7">
        <f>IF(VLOOKUP(B719,'Set Odds'!A$2:AN$1067,40,0),1,IF(VLOOKUP(B719,'Set Odds'!A$2:AO$1067,41,0),2,0))</f>
        <v>1</v>
      </c>
      <c r="AK719" s="7"/>
      <c r="AL719" s="7" t="str">
        <f t="shared" si="1"/>
        <v/>
      </c>
    </row>
    <row r="720" ht="12.75" customHeight="1">
      <c r="A720" s="86">
        <v>719.0</v>
      </c>
      <c r="B720" s="84" t="s">
        <v>4288</v>
      </c>
      <c r="C720" s="7" t="s">
        <v>3783</v>
      </c>
      <c r="D720" s="7" t="s">
        <v>2571</v>
      </c>
      <c r="E720" s="7" t="s">
        <v>2636</v>
      </c>
      <c r="F720" s="84" t="s">
        <v>3784</v>
      </c>
      <c r="G720" s="84" t="s">
        <v>2890</v>
      </c>
      <c r="H720" s="84" t="s">
        <v>3448</v>
      </c>
      <c r="I720" s="84" t="s">
        <v>3113</v>
      </c>
      <c r="J720" s="7" t="s">
        <v>3412</v>
      </c>
      <c r="K720" s="7">
        <v>31.0</v>
      </c>
      <c r="L720" s="7">
        <v>31.0</v>
      </c>
      <c r="M720" s="7">
        <v>31.0</v>
      </c>
      <c r="N720" s="7">
        <v>0.0</v>
      </c>
      <c r="O720" s="7">
        <v>31.0</v>
      </c>
      <c r="P720" s="7">
        <v>31.0</v>
      </c>
      <c r="Q720" s="7">
        <v>236.0</v>
      </c>
      <c r="R720" s="7">
        <v>124.0</v>
      </c>
      <c r="S720" s="7">
        <v>148.0</v>
      </c>
      <c r="T720" s="7">
        <v>0.0</v>
      </c>
      <c r="U720" s="7">
        <v>0.0</v>
      </c>
      <c r="V720" s="7">
        <v>0.0</v>
      </c>
      <c r="W720" s="7">
        <f>VLOOKUP($D720,NatureChart,2,0)</f>
        <v>1.1</v>
      </c>
      <c r="X720" s="7">
        <f>VLOOKUP($D720,NatureChart,3,0)</f>
        <v>1</v>
      </c>
      <c r="Y720" s="7">
        <f>VLOOKUP($D720,NatureChart,4,0)</f>
        <v>0.9</v>
      </c>
      <c r="Z720" s="7">
        <f>VLOOKUP($D720,NatureChart,5,0)</f>
        <v>1</v>
      </c>
      <c r="AA720" s="84">
        <f>VLOOKUP($D720,NatureChart,6,0)</f>
        <v>1</v>
      </c>
      <c r="AB720" s="84">
        <f>IF($C720="Shedinja",1,(INT((2*VLOOKUP($C720,DexData,5,0)+INT(Q720/4)+K720)/2)+60))</f>
        <v>175</v>
      </c>
      <c r="AC720" s="84">
        <f>INT(INT((INT((2*VLOOKUP($C720,DexData,6,0)+INT(R720/4)+L720)/2)+5)*W720)*IF($E720="Choice Band",1.5,IF(OR($E720="Mawilite",$E720="Medichamite",$E720="Thick Club"),2,1)))</f>
        <v>182</v>
      </c>
      <c r="AD720" s="84">
        <f>INT(INT((INT((2*VLOOKUP($C720,DexData,7,0)+INT(S720/4)+M720)/2)+5)*X720)*IF($E720="Eviolite",1.5,1))</f>
        <v>139</v>
      </c>
      <c r="AE720" s="84">
        <f>INT(INT((INT((2*VLOOKUP($C720,DexData,9,0)+INT(T720/4)+N720)/2)+5)*Y720)*IF($E720="Choice Specs",1.5,1))</f>
        <v>54</v>
      </c>
      <c r="AF720" s="84">
        <f>INT(INT((INT((2*VLOOKUP($C720,DexData,10,0)+INT(U720/4)+O720)/2)+5)*Z720)*IF(OR($E720="Eviolite",$E720="Assault Vest"),1.5,1))</f>
        <v>100</v>
      </c>
      <c r="AG720" s="84">
        <f>INT(INT((INT((2*VLOOKUP($C720,DexData,11,0)+INT(V720/4)+P720)/2)+5)*AA720)*IF($E720="Choice Scarf",1.5,IF($E720="Iron Ball",0.5,1)))</f>
        <v>85</v>
      </c>
      <c r="AH720" s="84" t="str">
        <f>VLOOKUP(VLOOKUP($C720,DexData,3,0),Aliases!D$2:E$19,2,0)&amp;IFERROR("/"&amp;VLOOKUP(VLOOKUP($C720,DexData,4,0),Aliases!D$2:E$19,2,0),"")</f>
        <v>BUG/STL</v>
      </c>
      <c r="AI720" s="7">
        <v>3.0</v>
      </c>
      <c r="AJ720" s="7">
        <f>IF(VLOOKUP(B720,'Set Odds'!A$2:AN$1067,40,0),1,IF(VLOOKUP(B720,'Set Odds'!A$2:AO$1067,41,0),2,0))</f>
        <v>1</v>
      </c>
      <c r="AK720" s="7"/>
      <c r="AL720" s="7" t="str">
        <f t="shared" si="1"/>
        <v/>
      </c>
    </row>
    <row r="721" ht="12.75" customHeight="1">
      <c r="A721" s="86">
        <v>720.0</v>
      </c>
      <c r="B721" s="84" t="s">
        <v>4289</v>
      </c>
      <c r="C721" s="7" t="s">
        <v>3931</v>
      </c>
      <c r="D721" s="7" t="s">
        <v>2571</v>
      </c>
      <c r="E721" s="7" t="s">
        <v>3071</v>
      </c>
      <c r="F721" s="84" t="s">
        <v>2764</v>
      </c>
      <c r="G721" s="84" t="s">
        <v>3454</v>
      </c>
      <c r="H721" s="84" t="s">
        <v>2762</v>
      </c>
      <c r="I721" s="84" t="s">
        <v>3015</v>
      </c>
      <c r="J721" s="7" t="s">
        <v>2696</v>
      </c>
      <c r="K721" s="7">
        <v>31.0</v>
      </c>
      <c r="L721" s="7">
        <v>31.0</v>
      </c>
      <c r="M721" s="7">
        <v>31.0</v>
      </c>
      <c r="N721" s="7">
        <v>0.0</v>
      </c>
      <c r="O721" s="7">
        <v>31.0</v>
      </c>
      <c r="P721" s="7">
        <v>31.0</v>
      </c>
      <c r="Q721" s="7">
        <v>4.0</v>
      </c>
      <c r="R721" s="7">
        <v>252.0</v>
      </c>
      <c r="S721" s="7">
        <v>0.0</v>
      </c>
      <c r="T721" s="7">
        <v>0.0</v>
      </c>
      <c r="U721" s="7">
        <v>0.0</v>
      </c>
      <c r="V721" s="7">
        <v>252.0</v>
      </c>
      <c r="W721" s="7">
        <f>VLOOKUP($D721,NatureChart,2,0)</f>
        <v>1.1</v>
      </c>
      <c r="X721" s="7">
        <f>VLOOKUP($D721,NatureChart,3,0)</f>
        <v>1</v>
      </c>
      <c r="Y721" s="7">
        <f>VLOOKUP($D721,NatureChart,4,0)</f>
        <v>0.9</v>
      </c>
      <c r="Z721" s="7">
        <f>VLOOKUP($D721,NatureChart,5,0)</f>
        <v>1</v>
      </c>
      <c r="AA721" s="84">
        <f>VLOOKUP($D721,NatureChart,6,0)</f>
        <v>1</v>
      </c>
      <c r="AB721" s="84">
        <f>IF($C721="Shedinja",1,(INT((2*VLOOKUP($C721,DexData,5,0)+INT(Q721/4)+K721)/2)+60))</f>
        <v>171</v>
      </c>
      <c r="AC721" s="84">
        <f>INT(INT((INT((2*VLOOKUP($C721,DexData,6,0)+INT(R721/4)+L721)/2)+5)*W721)*IF($E721="Choice Band",1.5,IF(OR($E721="Mawilite",$E721="Medichamite",$E721="Thick Club"),2,1)))</f>
        <v>205</v>
      </c>
      <c r="AD721" s="84">
        <f>INT(INT((INT((2*VLOOKUP($C721,DexData,7,0)+INT(S721/4)+M721)/2)+5)*X721)*IF($E721="Eviolite",1.5,1))</f>
        <v>100</v>
      </c>
      <c r="AE721" s="84">
        <f>INT(INT((INT((2*VLOOKUP($C721,DexData,9,0)+INT(T721/4)+N721)/2)+5)*Y721)*IF($E721="Choice Specs",1.5,1))</f>
        <v>103</v>
      </c>
      <c r="AF721" s="84">
        <f>INT(INT((INT((2*VLOOKUP($C721,DexData,10,0)+INT(U721/4)+O721)/2)+5)*Z721)*IF(OR($E721="Eviolite",$E721="Assault Vest"),1.5,1))</f>
        <v>100</v>
      </c>
      <c r="AG721" s="84">
        <f>INT(INT((INT((2*VLOOKUP($C721,DexData,11,0)+INT(V721/4)+P721)/2)+5)*AA721)*IF($E721="Choice Scarf",1.5,IF($E721="Iron Ball",0.5,1)))</f>
        <v>152</v>
      </c>
      <c r="AH721" s="84" t="str">
        <f>VLOOKUP(VLOOKUP($C721,DexData,3,0),Aliases!D$2:E$19,2,0)&amp;IFERROR("/"&amp;VLOOKUP(VLOOKUP($C721,DexData,4,0),Aliases!D$2:E$19,2,0),"")</f>
        <v>DRG/FLY</v>
      </c>
      <c r="AI721" s="7">
        <v>3.0</v>
      </c>
      <c r="AJ721" s="7">
        <f>IF(VLOOKUP(B721,'Set Odds'!A$2:AN$1067,40,0),1,IF(VLOOKUP(B721,'Set Odds'!A$2:AO$1067,41,0),2,0))</f>
        <v>1</v>
      </c>
      <c r="AK721" s="7"/>
      <c r="AL721" s="7" t="str">
        <f t="shared" si="1"/>
        <v/>
      </c>
    </row>
    <row r="722" ht="12.75" customHeight="1">
      <c r="A722" s="86">
        <v>721.0</v>
      </c>
      <c r="B722" s="84" t="s">
        <v>4290</v>
      </c>
      <c r="C722" s="7" t="s">
        <v>3933</v>
      </c>
      <c r="D722" s="7" t="s">
        <v>2571</v>
      </c>
      <c r="E722" s="7" t="s">
        <v>3220</v>
      </c>
      <c r="F722" s="84" t="s">
        <v>3390</v>
      </c>
      <c r="G722" s="84" t="s">
        <v>3784</v>
      </c>
      <c r="H722" s="84" t="s">
        <v>3710</v>
      </c>
      <c r="I722" s="84" t="s">
        <v>3934</v>
      </c>
      <c r="J722" s="7" t="s">
        <v>3370</v>
      </c>
      <c r="K722" s="7">
        <v>31.0</v>
      </c>
      <c r="L722" s="7">
        <v>31.0</v>
      </c>
      <c r="M722" s="7">
        <v>31.0</v>
      </c>
      <c r="N722" s="7">
        <v>0.0</v>
      </c>
      <c r="O722" s="7">
        <v>31.0</v>
      </c>
      <c r="P722" s="7">
        <v>31.0</v>
      </c>
      <c r="Q722" s="7">
        <v>4.0</v>
      </c>
      <c r="R722" s="7">
        <v>252.0</v>
      </c>
      <c r="S722" s="7">
        <v>68.0</v>
      </c>
      <c r="T722" s="7">
        <v>0.0</v>
      </c>
      <c r="U722" s="7">
        <v>4.0</v>
      </c>
      <c r="V722" s="7">
        <v>180.0</v>
      </c>
      <c r="W722" s="7">
        <f>VLOOKUP($D722,NatureChart,2,0)</f>
        <v>1.1</v>
      </c>
      <c r="X722" s="7">
        <f>VLOOKUP($D722,NatureChart,3,0)</f>
        <v>1</v>
      </c>
      <c r="Y722" s="7">
        <f>VLOOKUP($D722,NatureChart,4,0)</f>
        <v>0.9</v>
      </c>
      <c r="Z722" s="7">
        <f>VLOOKUP($D722,NatureChart,5,0)</f>
        <v>1</v>
      </c>
      <c r="AA722" s="84">
        <f>VLOOKUP($D722,NatureChart,6,0)</f>
        <v>1</v>
      </c>
      <c r="AB722" s="84">
        <f>IF($C722="Shedinja",1,(INT((2*VLOOKUP($C722,DexData,5,0)+INT(Q722/4)+K722)/2)+60))</f>
        <v>156</v>
      </c>
      <c r="AC722" s="84">
        <f>INT(INT((INT((2*VLOOKUP($C722,DexData,6,0)+INT(R722/4)+L722)/2)+5)*W722)*IF($E722="Choice Band",1.5,IF(OR($E722="Mawilite",$E722="Medichamite",$E722="Thick Club"),2,1)))</f>
        <v>205</v>
      </c>
      <c r="AD722" s="84">
        <f>INT(INT((INT((2*VLOOKUP($C722,DexData,7,0)+INT(S722/4)+M722)/2)+5)*X722)*IF($E722="Eviolite",1.5,1))</f>
        <v>159</v>
      </c>
      <c r="AE722" s="84">
        <f>INT(INT((INT((2*VLOOKUP($C722,DexData,9,0)+INT(T722/4)+N722)/2)+5)*Y722)*IF($E722="Choice Specs",1.5,1))</f>
        <v>90</v>
      </c>
      <c r="AF722" s="84">
        <f>INT(INT((INT((2*VLOOKUP($C722,DexData,10,0)+INT(U722/4)+O722)/2)+5)*Z722)*IF(OR($E722="Eviolite",$E722="Assault Vest"),1.5,1))</f>
        <v>111</v>
      </c>
      <c r="AG722" s="84">
        <f>INT(INT((INT((2*VLOOKUP($C722,DexData,11,0)+INT(V722/4)+P722)/2)+5)*AA722)*IF($E722="Choice Scarf",1.5,IF($E722="Iron Ball",0.5,1)))</f>
        <v>113</v>
      </c>
      <c r="AH722" s="84" t="str">
        <f>VLOOKUP(VLOOKUP($C722,DexData,3,0),Aliases!D$2:E$19,2,0)&amp;IFERROR("/"&amp;VLOOKUP(VLOOKUP($C722,DexData,4,0),Aliases!D$2:E$19,2,0),"")</f>
        <v>STL/PSY</v>
      </c>
      <c r="AI722" s="7">
        <v>3.0</v>
      </c>
      <c r="AJ722" s="7">
        <f>IF(VLOOKUP(B722,'Set Odds'!A$2:AN$1067,40,0),1,IF(VLOOKUP(B722,'Set Odds'!A$2:AO$1067,41,0),2,0))</f>
        <v>1</v>
      </c>
      <c r="AK722" s="7"/>
      <c r="AL722" s="7" t="str">
        <f t="shared" si="1"/>
        <v/>
      </c>
    </row>
    <row r="723" ht="12.75" customHeight="1">
      <c r="A723" s="86">
        <v>722.0</v>
      </c>
      <c r="B723" s="84" t="s">
        <v>4291</v>
      </c>
      <c r="C723" s="7" t="s">
        <v>4292</v>
      </c>
      <c r="D723" s="7" t="s">
        <v>2862</v>
      </c>
      <c r="E723" s="7" t="s">
        <v>4114</v>
      </c>
      <c r="F723" s="84" t="s">
        <v>3341</v>
      </c>
      <c r="G723" s="84" t="s">
        <v>3435</v>
      </c>
      <c r="H723" s="84" t="s">
        <v>3523</v>
      </c>
      <c r="I723" s="84" t="s">
        <v>2732</v>
      </c>
      <c r="J723" s="7" t="s">
        <v>2714</v>
      </c>
      <c r="K723" s="7">
        <v>31.0</v>
      </c>
      <c r="L723" s="7">
        <v>0.0</v>
      </c>
      <c r="M723" s="7">
        <v>31.0</v>
      </c>
      <c r="N723" s="7">
        <v>31.0</v>
      </c>
      <c r="O723" s="7">
        <v>31.0</v>
      </c>
      <c r="P723" s="7">
        <v>31.0</v>
      </c>
      <c r="Q723" s="7">
        <v>252.0</v>
      </c>
      <c r="R723" s="7">
        <v>0.0</v>
      </c>
      <c r="S723" s="7">
        <v>252.0</v>
      </c>
      <c r="T723" s="7">
        <v>4.0</v>
      </c>
      <c r="U723" s="7">
        <v>0.0</v>
      </c>
      <c r="V723" s="7">
        <v>0.0</v>
      </c>
      <c r="W723" s="7">
        <f>VLOOKUP($D723,NatureChart,2,0)</f>
        <v>0.9</v>
      </c>
      <c r="X723" s="7">
        <f>VLOOKUP($D723,NatureChart,3,0)</f>
        <v>1.1</v>
      </c>
      <c r="Y723" s="7">
        <f>VLOOKUP($D723,NatureChart,4,0)</f>
        <v>1</v>
      </c>
      <c r="Z723" s="7">
        <f>VLOOKUP($D723,NatureChart,5,0)</f>
        <v>1</v>
      </c>
      <c r="AA723" s="84">
        <f>VLOOKUP($D723,NatureChart,6,0)</f>
        <v>1</v>
      </c>
      <c r="AB723" s="84">
        <f>IF($C723="Shedinja",1,(INT((2*VLOOKUP($C723,DexData,5,0)+INT(Q723/4)+K723)/2)+60))</f>
        <v>157</v>
      </c>
      <c r="AC723" s="84">
        <f>INT(INT((INT((2*VLOOKUP($C723,DexData,6,0)+INT(R723/4)+L723)/2)+5)*W723)*IF($E723="Choice Band",1.5,IF(OR($E723="Mawilite",$E723="Medichamite",$E723="Thick Club"),2,1)))</f>
        <v>63</v>
      </c>
      <c r="AD723" s="84">
        <f>INT(INT((INT((2*VLOOKUP($C723,DexData,7,0)+INT(S723/4)+M723)/2)+5)*X723)*IF($E723="Eviolite",1.5,1))</f>
        <v>174</v>
      </c>
      <c r="AE723" s="84">
        <f>INT(INT((INT((2*VLOOKUP($C723,DexData,9,0)+INT(T723/4)+N723)/2)+5)*Y723)*IF($E723="Choice Specs",1.5,1))</f>
        <v>126</v>
      </c>
      <c r="AF723" s="84">
        <f>INT(INT((INT((2*VLOOKUP($C723,DexData,10,0)+INT(U723/4)+O723)/2)+5)*Z723)*IF(OR($E723="Eviolite",$E723="Assault Vest"),1.5,1))</f>
        <v>127</v>
      </c>
      <c r="AG723" s="84">
        <f>INT(INT((INT((2*VLOOKUP($C723,DexData,11,0)+INT(V723/4)+P723)/2)+5)*AA723)*IF($E723="Choice Scarf",1.5,IF($E723="Iron Ball",0.5,1)))</f>
        <v>106</v>
      </c>
      <c r="AH723" s="84" t="str">
        <f>VLOOKUP(VLOOKUP($C723,DexData,3,0),Aliases!D$2:E$19,2,0)&amp;IFERROR("/"&amp;VLOOKUP(VLOOKUP($C723,DexData,4,0),Aliases!D$2:E$19,2,0),"")</f>
        <v>ELC/WTR</v>
      </c>
      <c r="AI723" s="7">
        <v>3.0</v>
      </c>
      <c r="AJ723" s="7">
        <f>IF(VLOOKUP(B723,'Set Odds'!A$2:AN$1067,40,0),1,IF(VLOOKUP(B723,'Set Odds'!A$2:AO$1067,41,0),2,0))</f>
        <v>1</v>
      </c>
      <c r="AK723" s="7"/>
      <c r="AL723" s="7" t="str">
        <f t="shared" si="1"/>
        <v/>
      </c>
    </row>
    <row r="724" ht="12.75" customHeight="1">
      <c r="A724" s="86">
        <v>723.0</v>
      </c>
      <c r="B724" s="84" t="s">
        <v>4293</v>
      </c>
      <c r="C724" s="7" t="s">
        <v>3650</v>
      </c>
      <c r="D724" s="7" t="s">
        <v>2692</v>
      </c>
      <c r="E724" s="7" t="s">
        <v>2515</v>
      </c>
      <c r="F724" s="84" t="s">
        <v>3249</v>
      </c>
      <c r="G724" s="84" t="s">
        <v>3312</v>
      </c>
      <c r="H724" s="84" t="s">
        <v>2751</v>
      </c>
      <c r="I724" s="84" t="s">
        <v>2594</v>
      </c>
      <c r="J724" s="7" t="s">
        <v>3412</v>
      </c>
      <c r="K724" s="7">
        <v>31.0</v>
      </c>
      <c r="L724" s="7">
        <v>31.0</v>
      </c>
      <c r="M724" s="7">
        <v>31.0</v>
      </c>
      <c r="N724" s="7">
        <v>0.0</v>
      </c>
      <c r="O724" s="7">
        <v>31.0</v>
      </c>
      <c r="P724" s="7">
        <v>31.0</v>
      </c>
      <c r="Q724" s="7">
        <v>4.0</v>
      </c>
      <c r="R724" s="7">
        <v>252.0</v>
      </c>
      <c r="S724" s="7">
        <v>0.0</v>
      </c>
      <c r="T724" s="7">
        <v>0.0</v>
      </c>
      <c r="U724" s="7">
        <v>0.0</v>
      </c>
      <c r="V724" s="7">
        <v>252.0</v>
      </c>
      <c r="W724" s="7">
        <f>VLOOKUP($D724,NatureChart,2,0)</f>
        <v>1</v>
      </c>
      <c r="X724" s="7">
        <f>VLOOKUP($D724,NatureChart,3,0)</f>
        <v>1</v>
      </c>
      <c r="Y724" s="7">
        <f>VLOOKUP($D724,NatureChart,4,0)</f>
        <v>0.9</v>
      </c>
      <c r="Z724" s="7">
        <f>VLOOKUP($D724,NatureChart,5,0)</f>
        <v>1</v>
      </c>
      <c r="AA724" s="84">
        <f>VLOOKUP($D724,NatureChart,6,0)</f>
        <v>1.1</v>
      </c>
      <c r="AB724" s="84">
        <f>IF($C724="Shedinja",1,(INT((2*VLOOKUP($C724,DexData,5,0)+INT(Q724/4)+K724)/2)+60))</f>
        <v>136</v>
      </c>
      <c r="AC724" s="84">
        <f>INT(INT((INT((2*VLOOKUP($C724,DexData,6,0)+INT(R724/4)+L724)/2)+5)*W724)*IF($E724="Choice Band",1.5,IF(OR($E724="Mawilite",$E724="Medichamite",$E724="Thick Club"),2,1)))</f>
        <v>182</v>
      </c>
      <c r="AD724" s="84">
        <f>INT(INT((INT((2*VLOOKUP($C724,DexData,7,0)+INT(S724/4)+M724)/2)+5)*X724)*IF($E724="Eviolite",1.5,1))</f>
        <v>100</v>
      </c>
      <c r="AE724" s="84">
        <f>INT(INT((INT((2*VLOOKUP($C724,DexData,9,0)+INT(T724/4)+N724)/2)+5)*Y724)*IF($E724="Choice Specs",1.5,1))</f>
        <v>58</v>
      </c>
      <c r="AF724" s="84">
        <f>INT(INT((INT((2*VLOOKUP($C724,DexData,10,0)+INT(U724/4)+O724)/2)+5)*Z724)*IF(OR($E724="Eviolite",$E724="Assault Vest"),1.5,1))</f>
        <v>80</v>
      </c>
      <c r="AG724" s="84">
        <f>INT(INT((INT((2*VLOOKUP($C724,DexData,11,0)+INT(V724/4)+P724)/2)+5)*AA724)*IF($E724="Choice Scarf",1.5,IF($E724="Iron Ball",0.5,1)))</f>
        <v>134</v>
      </c>
      <c r="AH724" s="84" t="str">
        <f>VLOOKUP(VLOOKUP($C724,DexData,3,0),Aliases!D$2:E$19,2,0)&amp;IFERROR("/"&amp;VLOOKUP(VLOOKUP($C724,DexData,4,0),Aliases!D$2:E$19,2,0),"")</f>
        <v>GRS/FTG</v>
      </c>
      <c r="AI724" s="7">
        <v>3.0</v>
      </c>
      <c r="AJ724" s="7">
        <f>IF(VLOOKUP(B724,'Set Odds'!A$2:AN$1067,40,0),1,IF(VLOOKUP(B724,'Set Odds'!A$2:AO$1067,41,0),2,0))</f>
        <v>0</v>
      </c>
      <c r="AK724" s="7"/>
      <c r="AL724" s="7" t="str">
        <f t="shared" si="1"/>
        <v/>
      </c>
    </row>
    <row r="725" ht="12.75" customHeight="1">
      <c r="A725" s="86">
        <v>724.0</v>
      </c>
      <c r="B725" s="84" t="s">
        <v>4294</v>
      </c>
      <c r="C725" s="7" t="s">
        <v>4212</v>
      </c>
      <c r="D725" s="7" t="s">
        <v>2862</v>
      </c>
      <c r="E725" s="7" t="s">
        <v>2685</v>
      </c>
      <c r="F725" s="84" t="s">
        <v>3278</v>
      </c>
      <c r="G725" s="84" t="s">
        <v>4213</v>
      </c>
      <c r="H725" s="84" t="s">
        <v>3448</v>
      </c>
      <c r="I725" s="84" t="s">
        <v>4109</v>
      </c>
      <c r="J725" s="7" t="s">
        <v>3136</v>
      </c>
      <c r="K725" s="7">
        <v>31.0</v>
      </c>
      <c r="L725" s="7">
        <v>0.0</v>
      </c>
      <c r="M725" s="7">
        <v>31.0</v>
      </c>
      <c r="N725" s="7">
        <v>31.0</v>
      </c>
      <c r="O725" s="7">
        <v>31.0</v>
      </c>
      <c r="P725" s="7">
        <v>31.0</v>
      </c>
      <c r="Q725" s="7">
        <v>252.0</v>
      </c>
      <c r="R725" s="7">
        <v>0.0</v>
      </c>
      <c r="S725" s="7">
        <v>252.0</v>
      </c>
      <c r="T725" s="7">
        <v>4.0</v>
      </c>
      <c r="U725" s="7">
        <v>0.0</v>
      </c>
      <c r="V725" s="7">
        <v>0.0</v>
      </c>
      <c r="W725" s="7">
        <f>VLOOKUP($D725,NatureChart,2,0)</f>
        <v>0.9</v>
      </c>
      <c r="X725" s="7">
        <f>VLOOKUP($D725,NatureChart,3,0)</f>
        <v>1.1</v>
      </c>
      <c r="Y725" s="7">
        <f>VLOOKUP($D725,NatureChart,4,0)</f>
        <v>1</v>
      </c>
      <c r="Z725" s="7">
        <f>VLOOKUP($D725,NatureChart,5,0)</f>
        <v>1</v>
      </c>
      <c r="AA725" s="84">
        <f>VLOOKUP($D725,NatureChart,6,0)</f>
        <v>1</v>
      </c>
      <c r="AB725" s="84">
        <f>IF($C725="Shedinja",1,(INT((2*VLOOKUP($C725,DexData,5,0)+INT(Q725/4)+K725)/2)+60))</f>
        <v>197</v>
      </c>
      <c r="AC725" s="84">
        <f>INT(INT((INT((2*VLOOKUP($C725,DexData,6,0)+INT(R725/4)+L725)/2)+5)*W725)*IF($E725="Choice Band",1.5,IF(OR($E725="Mawilite",$E725="Medichamite",$E725="Thick Club"),2,1)))</f>
        <v>85</v>
      </c>
      <c r="AD725" s="84">
        <f>INT(INT((INT((2*VLOOKUP($C725,DexData,7,0)+INT(S725/4)+M725)/2)+5)*X725)*IF($E725="Eviolite",1.5,1))</f>
        <v>150</v>
      </c>
      <c r="AE725" s="84">
        <f>INT(INT((INT((2*VLOOKUP($C725,DexData,9,0)+INT(T725/4)+N725)/2)+5)*Y725)*IF($E725="Choice Specs",1.5,1))</f>
        <v>146</v>
      </c>
      <c r="AF725" s="84">
        <f>INT(INT((INT((2*VLOOKUP($C725,DexData,10,0)+INT(U725/4)+O725)/2)+5)*Z725)*IF(OR($E725="Eviolite",$E725="Assault Vest"),1.5,1))</f>
        <v>110</v>
      </c>
      <c r="AG725" s="84">
        <f>INT(INT((INT((2*VLOOKUP($C725,DexData,11,0)+INT(V725/4)+P725)/2)+5)*AA725)*IF($E725="Choice Scarf",1.5,IF($E725="Iron Ball",0.5,1)))</f>
        <v>120</v>
      </c>
      <c r="AH725" s="84" t="str">
        <f>VLOOKUP(VLOOKUP($C725,DexData,3,0),Aliases!D$2:E$19,2,0)&amp;IFERROR("/"&amp;VLOOKUP(VLOOKUP($C725,DexData,4,0),Aliases!D$2:E$19,2,0),"")</f>
        <v>ELC/FLY</v>
      </c>
      <c r="AI725" s="7">
        <v>3.0</v>
      </c>
      <c r="AJ725" s="7">
        <f>IF(VLOOKUP(B725,'Set Odds'!A$2:AN$1067,40,0),1,IF(VLOOKUP(B725,'Set Odds'!A$2:AO$1067,41,0),2,0))</f>
        <v>1</v>
      </c>
      <c r="AK725" s="7"/>
      <c r="AL725" s="7" t="str">
        <f t="shared" si="1"/>
        <v/>
      </c>
    </row>
    <row r="726" ht="12.75" customHeight="1">
      <c r="A726" s="86">
        <v>725.0</v>
      </c>
      <c r="B726" s="84" t="s">
        <v>4295</v>
      </c>
      <c r="C726" s="7" t="s">
        <v>3774</v>
      </c>
      <c r="D726" s="7" t="s">
        <v>2635</v>
      </c>
      <c r="E726" s="7" t="s">
        <v>3548</v>
      </c>
      <c r="F726" s="84" t="s">
        <v>2785</v>
      </c>
      <c r="G726" s="84" t="s">
        <v>2661</v>
      </c>
      <c r="H726" s="84" t="s">
        <v>4296</v>
      </c>
      <c r="I726" s="84" t="s">
        <v>3435</v>
      </c>
      <c r="J726" s="7" t="s">
        <v>3496</v>
      </c>
      <c r="K726" s="7">
        <v>31.0</v>
      </c>
      <c r="L726" s="7">
        <v>0.0</v>
      </c>
      <c r="M726" s="7">
        <v>31.0</v>
      </c>
      <c r="N726" s="7">
        <v>31.0</v>
      </c>
      <c r="O726" s="7">
        <v>31.0</v>
      </c>
      <c r="P726" s="7">
        <v>31.0</v>
      </c>
      <c r="Q726" s="7">
        <v>4.0</v>
      </c>
      <c r="R726" s="7">
        <v>0.0</v>
      </c>
      <c r="S726" s="7">
        <v>0.0</v>
      </c>
      <c r="T726" s="7">
        <v>252.0</v>
      </c>
      <c r="U726" s="7">
        <v>0.0</v>
      </c>
      <c r="V726" s="7">
        <v>252.0</v>
      </c>
      <c r="W726" s="7">
        <f>VLOOKUP($D726,NatureChart,2,0)</f>
        <v>0.9</v>
      </c>
      <c r="X726" s="7">
        <f>VLOOKUP($D726,NatureChart,3,0)</f>
        <v>1</v>
      </c>
      <c r="Y726" s="7">
        <f>VLOOKUP($D726,NatureChart,4,0)</f>
        <v>1</v>
      </c>
      <c r="Z726" s="7">
        <f>VLOOKUP($D726,NatureChart,5,0)</f>
        <v>1</v>
      </c>
      <c r="AA726" s="84">
        <f>VLOOKUP($D726,NatureChart,6,0)</f>
        <v>1.1</v>
      </c>
      <c r="AB726" s="84">
        <f>IF($C726="Shedinja",1,(INT((2*VLOOKUP($C726,DexData,5,0)+INT(Q726/4)+K726)/2)+60))</f>
        <v>136</v>
      </c>
      <c r="AC726" s="84">
        <f>INT(INT((INT((2*VLOOKUP($C726,DexData,6,0)+INT(R726/4)+L726)/2)+5)*W726)*IF($E726="Choice Band",1.5,IF(OR($E726="Mawilite",$E726="Medichamite",$E726="Thick Club"),2,1)))</f>
        <v>63</v>
      </c>
      <c r="AD726" s="84">
        <f>INT(INT((INT((2*VLOOKUP($C726,DexData,7,0)+INT(S726/4)+M726)/2)+5)*X726)*IF($E726="Eviolite",1.5,1))</f>
        <v>80</v>
      </c>
      <c r="AE726" s="84">
        <f>INT(INT((INT((2*VLOOKUP($C726,DexData,9,0)+INT(T726/4)+N726)/2)+5)*Y726)*IF($E726="Choice Specs",1.5,1))</f>
        <v>182</v>
      </c>
      <c r="AF726" s="84">
        <f>INT(INT((INT((2*VLOOKUP($C726,DexData,10,0)+INT(U726/4)+O726)/2)+5)*Z726)*IF(OR($E726="Eviolite",$E726="Assault Vest"),1.5,1))</f>
        <v>95</v>
      </c>
      <c r="AG726" s="84">
        <f>INT(INT((INT((2*VLOOKUP($C726,DexData,11,0)+INT(V726/4)+P726)/2)+5)*AA726)*IF($E726="Choice Scarf",1.5,IF($E726="Iron Ball",0.5,1)))</f>
        <v>178</v>
      </c>
      <c r="AH726" s="84" t="str">
        <f>VLOOKUP(VLOOKUP($C726,DexData,3,0),Aliases!D$2:E$19,2,0)&amp;IFERROR("/"&amp;VLOOKUP(VLOOKUP($C726,DexData,4,0),Aliases!D$2:E$19,2,0),"")</f>
        <v>GHO/PSN</v>
      </c>
      <c r="AI726" s="7">
        <v>3.0</v>
      </c>
      <c r="AJ726" s="7">
        <f>IF(VLOOKUP(B726,'Set Odds'!A$2:AN$1067,40,0),1,IF(VLOOKUP(B726,'Set Odds'!A$2:AO$1067,41,0),2,0))</f>
        <v>1</v>
      </c>
      <c r="AK726" s="7"/>
      <c r="AL726" s="7" t="str">
        <f t="shared" si="1"/>
        <v/>
      </c>
    </row>
    <row r="727" ht="12.75" customHeight="1">
      <c r="A727" s="86">
        <v>726.0</v>
      </c>
      <c r="B727" s="84" t="s">
        <v>4297</v>
      </c>
      <c r="C727" s="7" t="s">
        <v>3900</v>
      </c>
      <c r="D727" s="7" t="s">
        <v>2656</v>
      </c>
      <c r="E727" s="7" t="s">
        <v>2527</v>
      </c>
      <c r="F727" s="84" t="s">
        <v>3435</v>
      </c>
      <c r="G727" s="84" t="s">
        <v>3524</v>
      </c>
      <c r="H727" s="84" t="s">
        <v>4053</v>
      </c>
      <c r="I727" s="84" t="s">
        <v>3228</v>
      </c>
      <c r="J727" s="7" t="s">
        <v>2728</v>
      </c>
      <c r="K727" s="7">
        <v>31.0</v>
      </c>
      <c r="L727" s="7">
        <v>0.0</v>
      </c>
      <c r="M727" s="7">
        <v>31.0</v>
      </c>
      <c r="N727" s="7">
        <v>31.0</v>
      </c>
      <c r="O727" s="7">
        <v>31.0</v>
      </c>
      <c r="P727" s="7">
        <v>31.0</v>
      </c>
      <c r="Q727" s="7">
        <v>0.0</v>
      </c>
      <c r="R727" s="7">
        <v>0.0</v>
      </c>
      <c r="S727" s="7">
        <v>4.0</v>
      </c>
      <c r="T727" s="7">
        <v>252.0</v>
      </c>
      <c r="U727" s="7">
        <v>0.0</v>
      </c>
      <c r="V727" s="7">
        <v>252.0</v>
      </c>
      <c r="W727" s="7">
        <f>VLOOKUP($D727,NatureChart,2,0)</f>
        <v>0.9</v>
      </c>
      <c r="X727" s="7">
        <f>VLOOKUP($D727,NatureChart,3,0)</f>
        <v>1</v>
      </c>
      <c r="Y727" s="7">
        <f>VLOOKUP($D727,NatureChart,4,0)</f>
        <v>1.1</v>
      </c>
      <c r="Z727" s="7">
        <f>VLOOKUP($D727,NatureChart,5,0)</f>
        <v>1</v>
      </c>
      <c r="AA727" s="84">
        <f>VLOOKUP($D727,NatureChart,6,0)</f>
        <v>1</v>
      </c>
      <c r="AB727" s="84">
        <f>IF($C727="Shedinja",1,(INT((2*VLOOKUP($C727,DexData,5,0)+INT(Q727/4)+K727)/2)+60))</f>
        <v>145</v>
      </c>
      <c r="AC727" s="84">
        <f>INT(INT((INT((2*VLOOKUP($C727,DexData,6,0)+INT(R727/4)+L727)/2)+5)*W727)*IF($E727="Choice Band",1.5,IF(OR($E727="Mawilite",$E727="Medichamite",$E727="Thick Club"),2,1)))</f>
        <v>67</v>
      </c>
      <c r="AD727" s="84">
        <f>INT(INT((INT((2*VLOOKUP($C727,DexData,7,0)+INT(S727/4)+M727)/2)+5)*X727)*IF($E727="Eviolite",1.5,1))</f>
        <v>136</v>
      </c>
      <c r="AE727" s="84">
        <f>INT(INT((INT((2*VLOOKUP($C727,DexData,9,0)+INT(T727/4)+N727)/2)+5)*Y727)*IF($E727="Choice Specs",1.5,1))</f>
        <v>200</v>
      </c>
      <c r="AF727" s="84">
        <f>INT(INT((INT((2*VLOOKUP($C727,DexData,10,0)+INT(U727/4)+O727)/2)+5)*Z727)*IF(OR($E727="Eviolite",$E727="Assault Vest"),1.5,1))</f>
        <v>110</v>
      </c>
      <c r="AG727" s="84">
        <f>INT(INT((INT((2*VLOOKUP($C727,DexData,11,0)+INT(V727/4)+P727)/2)+5)*AA727)*IF($E727="Choice Scarf",1.5,IF($E727="Iron Ball",0.5,1)))</f>
        <v>112</v>
      </c>
      <c r="AH727" s="84" t="str">
        <f>VLOOKUP(VLOOKUP($C727,DexData,3,0),Aliases!D$2:E$19,2,0)&amp;IFERROR("/"&amp;VLOOKUP(VLOOKUP($C727,DexData,4,0),Aliases!D$2:E$19,2,0),"")</f>
        <v>ELC/STL</v>
      </c>
      <c r="AI727" s="7">
        <v>3.0</v>
      </c>
      <c r="AJ727" s="7">
        <f>IF(VLOOKUP(B727,'Set Odds'!A$2:AN$1067,40,0),1,IF(VLOOKUP(B727,'Set Odds'!A$2:AO$1067,41,0),2,0))</f>
        <v>1</v>
      </c>
      <c r="AK727" s="7"/>
      <c r="AL727" s="7" t="str">
        <f t="shared" si="1"/>
        <v/>
      </c>
    </row>
    <row r="728" ht="12.75" customHeight="1">
      <c r="A728" s="86">
        <v>727.0</v>
      </c>
      <c r="B728" s="84" t="s">
        <v>4298</v>
      </c>
      <c r="C728" s="7" t="s">
        <v>3929</v>
      </c>
      <c r="D728" s="7" t="s">
        <v>2692</v>
      </c>
      <c r="E728" s="7" t="s">
        <v>3433</v>
      </c>
      <c r="F728" s="84" t="s">
        <v>2764</v>
      </c>
      <c r="G728" s="84" t="s">
        <v>3441</v>
      </c>
      <c r="H728" s="84" t="s">
        <v>3390</v>
      </c>
      <c r="I728" s="84" t="s">
        <v>3135</v>
      </c>
      <c r="J728" s="7" t="s">
        <v>3034</v>
      </c>
      <c r="K728" s="7">
        <v>31.0</v>
      </c>
      <c r="L728" s="7">
        <v>31.0</v>
      </c>
      <c r="M728" s="7">
        <v>31.0</v>
      </c>
      <c r="N728" s="7">
        <v>0.0</v>
      </c>
      <c r="O728" s="7">
        <v>31.0</v>
      </c>
      <c r="P728" s="7">
        <v>31.0</v>
      </c>
      <c r="Q728" s="7">
        <v>4.0</v>
      </c>
      <c r="R728" s="7">
        <v>252.0</v>
      </c>
      <c r="S728" s="7">
        <v>0.0</v>
      </c>
      <c r="T728" s="7">
        <v>0.0</v>
      </c>
      <c r="U728" s="7">
        <v>0.0</v>
      </c>
      <c r="V728" s="7">
        <v>252.0</v>
      </c>
      <c r="W728" s="7">
        <f>VLOOKUP($D728,NatureChart,2,0)</f>
        <v>1</v>
      </c>
      <c r="X728" s="7">
        <f>VLOOKUP($D728,NatureChart,3,0)</f>
        <v>1</v>
      </c>
      <c r="Y728" s="7">
        <f>VLOOKUP($D728,NatureChart,4,0)</f>
        <v>0.9</v>
      </c>
      <c r="Z728" s="7">
        <f>VLOOKUP($D728,NatureChart,5,0)</f>
        <v>1</v>
      </c>
      <c r="AA728" s="84">
        <f>VLOOKUP($D728,NatureChart,6,0)</f>
        <v>1.1</v>
      </c>
      <c r="AB728" s="84">
        <f>IF($C728="Shedinja",1,(INT((2*VLOOKUP($C728,DexData,5,0)+INT(Q728/4)+K728)/2)+60))</f>
        <v>176</v>
      </c>
      <c r="AC728" s="84">
        <f>INT(INT((INT((2*VLOOKUP($C728,DexData,6,0)+INT(R728/4)+L728)/2)+5)*W728)*IF($E728="Choice Band",1.5,IF(OR($E728="Mawilite",$E728="Medichamite",$E728="Thick Club"),2,1)))</f>
        <v>186</v>
      </c>
      <c r="AD728" s="84">
        <f>INT(INT((INT((2*VLOOKUP($C728,DexData,7,0)+INT(S728/4)+M728)/2)+5)*X728)*IF($E728="Eviolite",1.5,1))</f>
        <v>130</v>
      </c>
      <c r="AE728" s="84">
        <f>INT(INT((INT((2*VLOOKUP($C728,DexData,9,0)+INT(T728/4)+N728)/2)+5)*Y728)*IF($E728="Choice Specs",1.5,1))</f>
        <v>90</v>
      </c>
      <c r="AF728" s="84">
        <f>INT(INT((INT((2*VLOOKUP($C728,DexData,10,0)+INT(U728/4)+O728)/2)+5)*Z728)*IF(OR($E728="Eviolite",$E728="Assault Vest"),1.5,1))</f>
        <v>120</v>
      </c>
      <c r="AG728" s="84">
        <f>INT(INT((INT((2*VLOOKUP($C728,DexData,11,0)+INT(V728/4)+P728)/2)+5)*AA728)*IF($E728="Choice Scarf",1.5,IF($E728="Iron Ball",0.5,1)))</f>
        <v>124</v>
      </c>
      <c r="AH728" s="84" t="str">
        <f>VLOOKUP(VLOOKUP($C728,DexData,3,0),Aliases!D$2:E$19,2,0)&amp;IFERROR("/"&amp;VLOOKUP(VLOOKUP($C728,DexData,4,0),Aliases!D$2:E$19,2,0),"")</f>
        <v>RCK/DRK</v>
      </c>
      <c r="AI728" s="7">
        <v>3.0</v>
      </c>
      <c r="AJ728" s="7">
        <f>IF(VLOOKUP(B728,'Set Odds'!A$2:AN$1067,40,0),1,IF(VLOOKUP(B728,'Set Odds'!A$2:AO$1067,41,0),2,0))</f>
        <v>0</v>
      </c>
      <c r="AK728" s="7"/>
      <c r="AL728" s="7" t="str">
        <f t="shared" si="1"/>
        <v/>
      </c>
    </row>
    <row r="729" ht="12.75" customHeight="1">
      <c r="A729" s="86">
        <v>728.0</v>
      </c>
      <c r="B729" s="84" t="s">
        <v>4299</v>
      </c>
      <c r="C729" s="7" t="s">
        <v>4232</v>
      </c>
      <c r="D729" s="7" t="s">
        <v>2635</v>
      </c>
      <c r="E729" s="7" t="s">
        <v>3522</v>
      </c>
      <c r="F729" s="84" t="s">
        <v>4016</v>
      </c>
      <c r="G729" s="84" t="s">
        <v>2967</v>
      </c>
      <c r="H729" s="84" t="s">
        <v>2659</v>
      </c>
      <c r="I729" s="84" t="s">
        <v>3435</v>
      </c>
      <c r="J729" s="7" t="s">
        <v>2714</v>
      </c>
      <c r="K729" s="7">
        <v>31.0</v>
      </c>
      <c r="L729" s="7">
        <v>0.0</v>
      </c>
      <c r="M729" s="7">
        <v>31.0</v>
      </c>
      <c r="N729" s="7">
        <v>31.0</v>
      </c>
      <c r="O729" s="7">
        <v>31.0</v>
      </c>
      <c r="P729" s="7">
        <v>31.0</v>
      </c>
      <c r="Q729" s="7">
        <v>4.0</v>
      </c>
      <c r="R729" s="7">
        <v>0.0</v>
      </c>
      <c r="S729" s="7">
        <v>0.0</v>
      </c>
      <c r="T729" s="7">
        <v>252.0</v>
      </c>
      <c r="U729" s="7">
        <v>0.0</v>
      </c>
      <c r="V729" s="7">
        <v>252.0</v>
      </c>
      <c r="W729" s="7">
        <f>VLOOKUP($D729,NatureChart,2,0)</f>
        <v>0.9</v>
      </c>
      <c r="X729" s="7">
        <f>VLOOKUP($D729,NatureChart,3,0)</f>
        <v>1</v>
      </c>
      <c r="Y729" s="7">
        <f>VLOOKUP($D729,NatureChart,4,0)</f>
        <v>1</v>
      </c>
      <c r="Z729" s="7">
        <f>VLOOKUP($D729,NatureChart,5,0)</f>
        <v>1</v>
      </c>
      <c r="AA729" s="84">
        <f>VLOOKUP($D729,NatureChart,6,0)</f>
        <v>1.1</v>
      </c>
      <c r="AB729" s="84">
        <f>IF($C729="Shedinja",1,(INT((2*VLOOKUP($C729,DexData,5,0)+INT(Q729/4)+K729)/2)+60))</f>
        <v>156</v>
      </c>
      <c r="AC729" s="84">
        <f>INT(INT((INT((2*VLOOKUP($C729,DexData,6,0)+INT(R729/4)+L729)/2)+5)*W729)*IF($E729="Choice Band",1.5,IF(OR($E729="Mawilite",$E729="Medichamite",$E729="Thick Club"),2,1)))</f>
        <v>85</v>
      </c>
      <c r="AD729" s="84">
        <f>INT(INT((INT((2*VLOOKUP($C729,DexData,7,0)+INT(S729/4)+M729)/2)+5)*X729)*IF($E729="Eviolite",1.5,1))</f>
        <v>100</v>
      </c>
      <c r="AE729" s="84">
        <f>INT(INT((INT((2*VLOOKUP($C729,DexData,9,0)+INT(T729/4)+N729)/2)+5)*Y729)*IF($E729="Choice Specs",1.5,1))</f>
        <v>273</v>
      </c>
      <c r="AF729" s="84">
        <f>INT(INT((INT((2*VLOOKUP($C729,DexData,10,0)+INT(U729/4)+O729)/2)+5)*Z729)*IF(OR($E729="Eviolite",$E729="Assault Vest"),1.5,1))</f>
        <v>130</v>
      </c>
      <c r="AG729" s="84">
        <f>INT(INT((INT((2*VLOOKUP($C729,DexData,11,0)+INT(V729/4)+P729)/2)+5)*AA729)*IF($E729="Choice Scarf",1.5,IF($E729="Iron Ball",0.5,1)))</f>
        <v>178</v>
      </c>
      <c r="AH729" s="84" t="str">
        <f>VLOOKUP(VLOOKUP($C729,DexData,3,0),Aliases!D$2:E$19,2,0)&amp;IFERROR("/"&amp;VLOOKUP(VLOOKUP($C729,DexData,4,0),Aliases!D$2:E$19,2,0),"")</f>
        <v>DRG/PSY</v>
      </c>
      <c r="AI729" s="7">
        <v>3.0</v>
      </c>
      <c r="AJ729" s="7">
        <f>IF(VLOOKUP(B729,'Set Odds'!A$2:AN$1067,40,0),1,IF(VLOOKUP(B729,'Set Odds'!A$2:AO$1067,41,0),2,0))</f>
        <v>1</v>
      </c>
      <c r="AK729" s="7"/>
      <c r="AL729" s="7" t="str">
        <f t="shared" si="1"/>
        <v/>
      </c>
    </row>
    <row r="730" ht="12.75" customHeight="1">
      <c r="A730" s="86">
        <v>729.0</v>
      </c>
      <c r="B730" s="84" t="s">
        <v>4300</v>
      </c>
      <c r="C730" s="7" t="s">
        <v>3814</v>
      </c>
      <c r="D730" s="7" t="s">
        <v>2635</v>
      </c>
      <c r="E730" s="7" t="s">
        <v>2515</v>
      </c>
      <c r="F730" s="84" t="s">
        <v>3558</v>
      </c>
      <c r="G730" s="84" t="s">
        <v>3600</v>
      </c>
      <c r="H730" s="84" t="s">
        <v>4301</v>
      </c>
      <c r="I730" s="84" t="s">
        <v>2732</v>
      </c>
      <c r="J730" s="7" t="s">
        <v>2742</v>
      </c>
      <c r="K730" s="7">
        <v>31.0</v>
      </c>
      <c r="L730" s="7">
        <v>0.0</v>
      </c>
      <c r="M730" s="7">
        <v>31.0</v>
      </c>
      <c r="N730" s="7">
        <v>31.0</v>
      </c>
      <c r="O730" s="7">
        <v>31.0</v>
      </c>
      <c r="P730" s="7">
        <v>31.0</v>
      </c>
      <c r="Q730" s="7">
        <v>4.0</v>
      </c>
      <c r="R730" s="7">
        <v>0.0</v>
      </c>
      <c r="S730" s="7">
        <v>0.0</v>
      </c>
      <c r="T730" s="7">
        <v>252.0</v>
      </c>
      <c r="U730" s="7">
        <v>0.0</v>
      </c>
      <c r="V730" s="7">
        <v>252.0</v>
      </c>
      <c r="W730" s="7">
        <f>VLOOKUP($D730,NatureChart,2,0)</f>
        <v>0.9</v>
      </c>
      <c r="X730" s="7">
        <f>VLOOKUP($D730,NatureChart,3,0)</f>
        <v>1</v>
      </c>
      <c r="Y730" s="7">
        <f>VLOOKUP($D730,NatureChart,4,0)</f>
        <v>1</v>
      </c>
      <c r="Z730" s="7">
        <f>VLOOKUP($D730,NatureChart,5,0)</f>
        <v>1</v>
      </c>
      <c r="AA730" s="84">
        <f>VLOOKUP($D730,NatureChart,6,0)</f>
        <v>1.1</v>
      </c>
      <c r="AB730" s="84">
        <f>IF($C730="Shedinja",1,(INT((2*VLOOKUP($C730,DexData,5,0)+INT(Q730/4)+K730)/2)+60))</f>
        <v>149</v>
      </c>
      <c r="AC730" s="84">
        <f>INT(INT((INT((2*VLOOKUP($C730,DexData,6,0)+INT(R730/4)+L730)/2)+5)*W730)*IF($E730="Choice Band",1.5,IF(OR($E730="Mawilite",$E730="Medichamite",$E730="Thick Club"),2,1)))</f>
        <v>72</v>
      </c>
      <c r="AD730" s="84">
        <f>INT(INT((INT((2*VLOOKUP($C730,DexData,7,0)+INT(S730/4)+M730)/2)+5)*X730)*IF($E730="Eviolite",1.5,1))</f>
        <v>95</v>
      </c>
      <c r="AE730" s="84">
        <f>INT(INT((INT((2*VLOOKUP($C730,DexData,9,0)+INT(T730/4)+N730)/2)+5)*Y730)*IF($E730="Choice Specs",1.5,1))</f>
        <v>133</v>
      </c>
      <c r="AF730" s="84">
        <f>INT(INT((INT((2*VLOOKUP($C730,DexData,10,0)+INT(U730/4)+O730)/2)+5)*Z730)*IF(OR($E730="Eviolite",$E730="Assault Vest"),1.5,1))</f>
        <v>120</v>
      </c>
      <c r="AG730" s="84">
        <f>INT(INT((INT((2*VLOOKUP($C730,DexData,11,0)+INT(V730/4)+P730)/2)+5)*AA730)*IF($E730="Choice Scarf",1.5,IF($E730="Iron Ball",0.5,1)))</f>
        <v>167</v>
      </c>
      <c r="AH730" s="84" t="str">
        <f>VLOOKUP(VLOOKUP($C730,DexData,3,0),Aliases!D$2:E$19,2,0)&amp;IFERROR("/"&amp;VLOOKUP(VLOOKUP($C730,DexData,4,0),Aliases!D$2:E$19,2,0),"")</f>
        <v>FIR</v>
      </c>
      <c r="AI730" s="7">
        <v>3.0</v>
      </c>
      <c r="AJ730" s="7">
        <f>IF(VLOOKUP(B730,'Set Odds'!A$2:AN$1067,40,0),1,IF(VLOOKUP(B730,'Set Odds'!A$2:AO$1067,41,0),2,0))</f>
        <v>1</v>
      </c>
      <c r="AK730" s="7"/>
      <c r="AL730" s="7" t="str">
        <f t="shared" si="1"/>
        <v/>
      </c>
    </row>
    <row r="731" ht="12.75" customHeight="1">
      <c r="A731" s="86">
        <v>730.0</v>
      </c>
      <c r="B731" s="84" t="s">
        <v>4302</v>
      </c>
      <c r="C731" s="7" t="s">
        <v>3814</v>
      </c>
      <c r="D731" s="7" t="s">
        <v>2635</v>
      </c>
      <c r="E731" s="7" t="s">
        <v>3614</v>
      </c>
      <c r="F731" s="84" t="s">
        <v>3558</v>
      </c>
      <c r="G731" s="84" t="s">
        <v>3600</v>
      </c>
      <c r="H731" s="84" t="s">
        <v>4301</v>
      </c>
      <c r="I731" s="84" t="s">
        <v>2732</v>
      </c>
      <c r="J731" s="7" t="s">
        <v>2742</v>
      </c>
      <c r="K731" s="7">
        <v>31.0</v>
      </c>
      <c r="L731" s="7">
        <v>0.0</v>
      </c>
      <c r="M731" s="7">
        <v>31.0</v>
      </c>
      <c r="N731" s="7">
        <v>31.0</v>
      </c>
      <c r="O731" s="7">
        <v>31.0</v>
      </c>
      <c r="P731" s="7">
        <v>31.0</v>
      </c>
      <c r="Q731" s="7">
        <v>4.0</v>
      </c>
      <c r="R731" s="7">
        <v>0.0</v>
      </c>
      <c r="S731" s="7">
        <v>0.0</v>
      </c>
      <c r="T731" s="7">
        <v>252.0</v>
      </c>
      <c r="U731" s="7">
        <v>0.0</v>
      </c>
      <c r="V731" s="7">
        <v>252.0</v>
      </c>
      <c r="W731" s="7">
        <f>VLOOKUP($D731,NatureChart,2,0)</f>
        <v>0.9</v>
      </c>
      <c r="X731" s="7">
        <f>VLOOKUP($D731,NatureChart,3,0)</f>
        <v>1</v>
      </c>
      <c r="Y731" s="7">
        <f>VLOOKUP($D731,NatureChart,4,0)</f>
        <v>1</v>
      </c>
      <c r="Z731" s="7">
        <f>VLOOKUP($D731,NatureChart,5,0)</f>
        <v>1</v>
      </c>
      <c r="AA731" s="84">
        <f>VLOOKUP($D731,NatureChart,6,0)</f>
        <v>1.1</v>
      </c>
      <c r="AB731" s="84">
        <f>IF($C731="Shedinja",1,(INT((2*VLOOKUP($C731,DexData,5,0)+INT(Q731/4)+K731)/2)+60))</f>
        <v>149</v>
      </c>
      <c r="AC731" s="84">
        <f>INT(INT((INT((2*VLOOKUP($C731,DexData,6,0)+INT(R731/4)+L731)/2)+5)*W731)*IF($E731="Choice Band",1.5,IF(OR($E731="Mawilite",$E731="Medichamite",$E731="Thick Club"),2,1)))</f>
        <v>72</v>
      </c>
      <c r="AD731" s="84">
        <f>INT(INT((INT((2*VLOOKUP($C731,DexData,7,0)+INT(S731/4)+M731)/2)+5)*X731)*IF($E731="Eviolite",1.5,1))</f>
        <v>95</v>
      </c>
      <c r="AE731" s="84">
        <f>INT(INT((INT((2*VLOOKUP($C731,DexData,9,0)+INT(T731/4)+N731)/2)+5)*Y731)*IF($E731="Choice Specs",1.5,1))</f>
        <v>133</v>
      </c>
      <c r="AF731" s="84">
        <f>INT(INT((INT((2*VLOOKUP($C731,DexData,10,0)+INT(U731/4)+O731)/2)+5)*Z731)*IF(OR($E731="Eviolite",$E731="Assault Vest"),1.5,1))</f>
        <v>120</v>
      </c>
      <c r="AG731" s="84">
        <f>INT(INT((INT((2*VLOOKUP($C731,DexData,11,0)+INT(V731/4)+P731)/2)+5)*AA731)*IF($E731="Choice Scarf",1.5,IF($E731="Iron Ball",0.5,1)))</f>
        <v>167</v>
      </c>
      <c r="AH731" s="84" t="str">
        <f>VLOOKUP(VLOOKUP($C731,DexData,3,0),Aliases!D$2:E$19,2,0)&amp;IFERROR("/"&amp;VLOOKUP(VLOOKUP($C731,DexData,4,0),Aliases!D$2:E$19,2,0),"")</f>
        <v>FIR</v>
      </c>
      <c r="AI731" s="7">
        <v>3.0</v>
      </c>
      <c r="AJ731" s="7">
        <f>IF(VLOOKUP(B731,'Set Odds'!A$2:AN$1067,40,0),1,IF(VLOOKUP(B731,'Set Odds'!A$2:AO$1067,41,0),2,0))</f>
        <v>1</v>
      </c>
      <c r="AK731" s="7"/>
      <c r="AL731" s="7" t="str">
        <f t="shared" si="1"/>
        <v/>
      </c>
    </row>
    <row r="732" ht="12.75" customHeight="1">
      <c r="A732" s="86">
        <v>731.0</v>
      </c>
      <c r="B732" s="84" t="s">
        <v>4303</v>
      </c>
      <c r="C732" s="7" t="s">
        <v>3586</v>
      </c>
      <c r="D732" s="7" t="s">
        <v>2656</v>
      </c>
      <c r="E732" s="7" t="s">
        <v>3548</v>
      </c>
      <c r="F732" s="84" t="s">
        <v>3558</v>
      </c>
      <c r="G732" s="84" t="s">
        <v>3052</v>
      </c>
      <c r="H732" s="84" t="s">
        <v>3351</v>
      </c>
      <c r="I732" s="84" t="s">
        <v>2832</v>
      </c>
      <c r="J732" s="7" t="s">
        <v>2701</v>
      </c>
      <c r="K732" s="7">
        <v>31.0</v>
      </c>
      <c r="L732" s="7">
        <v>0.0</v>
      </c>
      <c r="M732" s="7">
        <v>31.0</v>
      </c>
      <c r="N732" s="7">
        <v>31.0</v>
      </c>
      <c r="O732" s="7">
        <v>31.0</v>
      </c>
      <c r="P732" s="7">
        <v>31.0</v>
      </c>
      <c r="Q732" s="7">
        <v>4.0</v>
      </c>
      <c r="R732" s="7">
        <v>0.0</v>
      </c>
      <c r="S732" s="7">
        <v>0.0</v>
      </c>
      <c r="T732" s="7">
        <v>252.0</v>
      </c>
      <c r="U732" s="7">
        <v>0.0</v>
      </c>
      <c r="V732" s="7">
        <v>252.0</v>
      </c>
      <c r="W732" s="7">
        <f>VLOOKUP($D732,NatureChart,2,0)</f>
        <v>0.9</v>
      </c>
      <c r="X732" s="7">
        <f>VLOOKUP($D732,NatureChart,3,0)</f>
        <v>1</v>
      </c>
      <c r="Y732" s="7">
        <f>VLOOKUP($D732,NatureChart,4,0)</f>
        <v>1.1</v>
      </c>
      <c r="Z732" s="7">
        <f>VLOOKUP($D732,NatureChart,5,0)</f>
        <v>1</v>
      </c>
      <c r="AA732" s="84">
        <f>VLOOKUP($D732,NatureChart,6,0)</f>
        <v>1</v>
      </c>
      <c r="AB732" s="84">
        <f>IF($C732="Shedinja",1,(INT((2*VLOOKUP($C732,DexData,5,0)+INT(Q732/4)+K732)/2)+60))</f>
        <v>156</v>
      </c>
      <c r="AC732" s="84">
        <f>INT(INT((INT((2*VLOOKUP($C732,DexData,6,0)+INT(R732/4)+L732)/2)+5)*W732)*IF($E732="Choice Band",1.5,IF(OR($E732="Mawilite",$E732="Medichamite",$E732="Thick Club"),2,1)))</f>
        <v>78</v>
      </c>
      <c r="AD732" s="84">
        <f>INT(INT((INT((2*VLOOKUP($C732,DexData,7,0)+INT(S732/4)+M732)/2)+5)*X732)*IF($E732="Eviolite",1.5,1))</f>
        <v>103</v>
      </c>
      <c r="AE732" s="84">
        <f>INT(INT((INT((2*VLOOKUP($C732,DexData,9,0)+INT(T732/4)+N732)/2)+5)*Y732)*IF($E732="Choice Specs",1.5,1))</f>
        <v>167</v>
      </c>
      <c r="AF732" s="84">
        <f>INT(INT((INT((2*VLOOKUP($C732,DexData,10,0)+INT(U732/4)+O732)/2)+5)*Z732)*IF(OR($E732="Eviolite",$E732="Assault Vest"),1.5,1))</f>
        <v>120</v>
      </c>
      <c r="AG732" s="84">
        <f>INT(INT((INT((2*VLOOKUP($C732,DexData,11,0)+INT(V732/4)+P732)/2)+5)*AA732)*IF($E732="Choice Scarf",1.5,IF($E732="Iron Ball",0.5,1)))</f>
        <v>132</v>
      </c>
      <c r="AH732" s="84" t="str">
        <f>VLOOKUP(VLOOKUP($C732,DexData,3,0),Aliases!D$2:E$19,2,0)&amp;IFERROR("/"&amp;VLOOKUP(VLOOKUP($C732,DexData,4,0),Aliases!D$2:E$19,2,0),"")</f>
        <v>GRS/PSN</v>
      </c>
      <c r="AI732" s="7">
        <v>3.0</v>
      </c>
      <c r="AJ732" s="7">
        <f>IF(VLOOKUP(B732,'Set Odds'!A$2:AN$1067,40,0),1,IF(VLOOKUP(B732,'Set Odds'!A$2:AO$1067,41,0),2,0))</f>
        <v>1</v>
      </c>
      <c r="AK732" s="7"/>
      <c r="AL732" s="7" t="str">
        <f t="shared" si="1"/>
        <v/>
      </c>
    </row>
    <row r="733" ht="12.75" customHeight="1">
      <c r="A733" s="86">
        <v>732.0</v>
      </c>
      <c r="B733" s="84" t="s">
        <v>4304</v>
      </c>
      <c r="C733" s="7" t="s">
        <v>3694</v>
      </c>
      <c r="D733" s="7" t="s">
        <v>2635</v>
      </c>
      <c r="E733" s="7" t="s">
        <v>2515</v>
      </c>
      <c r="F733" s="84" t="s">
        <v>3558</v>
      </c>
      <c r="G733" s="84" t="s">
        <v>3264</v>
      </c>
      <c r="H733" s="84" t="s">
        <v>2785</v>
      </c>
      <c r="I733" s="84" t="s">
        <v>2638</v>
      </c>
      <c r="J733" s="7" t="s">
        <v>2701</v>
      </c>
      <c r="K733" s="7">
        <v>31.0</v>
      </c>
      <c r="L733" s="7">
        <v>0.0</v>
      </c>
      <c r="M733" s="7">
        <v>31.0</v>
      </c>
      <c r="N733" s="7">
        <v>31.0</v>
      </c>
      <c r="O733" s="7">
        <v>31.0</v>
      </c>
      <c r="P733" s="7">
        <v>31.0</v>
      </c>
      <c r="Q733" s="7">
        <v>4.0</v>
      </c>
      <c r="R733" s="7">
        <v>0.0</v>
      </c>
      <c r="S733" s="7">
        <v>0.0</v>
      </c>
      <c r="T733" s="7">
        <v>252.0</v>
      </c>
      <c r="U733" s="7">
        <v>0.0</v>
      </c>
      <c r="V733" s="7">
        <v>252.0</v>
      </c>
      <c r="W733" s="7">
        <f>VLOOKUP($D733,NatureChart,2,0)</f>
        <v>0.9</v>
      </c>
      <c r="X733" s="7">
        <f>VLOOKUP($D733,NatureChart,3,0)</f>
        <v>1</v>
      </c>
      <c r="Y733" s="7">
        <f>VLOOKUP($D733,NatureChart,4,0)</f>
        <v>1</v>
      </c>
      <c r="Z733" s="7">
        <f>VLOOKUP($D733,NatureChart,5,0)</f>
        <v>1</v>
      </c>
      <c r="AA733" s="84">
        <f>VLOOKUP($D733,NatureChart,6,0)</f>
        <v>1.1</v>
      </c>
      <c r="AB733" s="84">
        <f>IF($C733="Shedinja",1,(INT((2*VLOOKUP($C733,DexData,5,0)+INT(Q733/4)+K733)/2)+60))</f>
        <v>166</v>
      </c>
      <c r="AC733" s="84">
        <f>INT(INT((INT((2*VLOOKUP($C733,DexData,6,0)+INT(R733/4)+L733)/2)+5)*W733)*IF($E733="Choice Band",1.5,IF(OR($E733="Mawilite",$E733="Medichamite",$E733="Thick Club"),2,1)))</f>
        <v>94</v>
      </c>
      <c r="AD733" s="84">
        <f>INT(INT((INT((2*VLOOKUP($C733,DexData,7,0)+INT(S733/4)+M733)/2)+5)*X733)*IF($E733="Eviolite",1.5,1))</f>
        <v>80</v>
      </c>
      <c r="AE733" s="84">
        <f>INT(INT((INT((2*VLOOKUP($C733,DexData,9,0)+INT(T733/4)+N733)/2)+5)*Y733)*IF($E733="Choice Specs",1.5,1))</f>
        <v>142</v>
      </c>
      <c r="AF733" s="84">
        <f>INT(INT((INT((2*VLOOKUP($C733,DexData,10,0)+INT(U733/4)+O733)/2)+5)*Z733)*IF(OR($E733="Eviolite",$E733="Assault Vest"),1.5,1))</f>
        <v>80</v>
      </c>
      <c r="AG733" s="84">
        <f>INT(INT((INT((2*VLOOKUP($C733,DexData,11,0)+INT(V733/4)+P733)/2)+5)*AA733)*IF($E733="Choice Scarf",1.5,IF($E733="Iron Ball",0.5,1)))</f>
        <v>145</v>
      </c>
      <c r="AH733" s="84" t="str">
        <f>VLOOKUP(VLOOKUP($C733,DexData,3,0),Aliases!D$2:E$19,2,0)&amp;IFERROR("/"&amp;VLOOKUP(VLOOKUP($C733,DexData,4,0),Aliases!D$2:E$19,2,0),"")</f>
        <v>GRS/DRK</v>
      </c>
      <c r="AI733" s="7">
        <v>3.0</v>
      </c>
      <c r="AJ733" s="7">
        <f>IF(VLOOKUP(B733,'Set Odds'!A$2:AN$1067,40,0),1,IF(VLOOKUP(B733,'Set Odds'!A$2:AO$1067,41,0),2,0))</f>
        <v>1</v>
      </c>
      <c r="AK733" s="7"/>
      <c r="AL733" s="7" t="str">
        <f t="shared" si="1"/>
        <v/>
      </c>
    </row>
    <row r="734" ht="12.75" customHeight="1">
      <c r="A734" s="86">
        <v>733.0</v>
      </c>
      <c r="B734" s="84" t="s">
        <v>4305</v>
      </c>
      <c r="C734" s="7" t="s">
        <v>3397</v>
      </c>
      <c r="D734" s="7" t="s">
        <v>2635</v>
      </c>
      <c r="E734" s="7" t="s">
        <v>2665</v>
      </c>
      <c r="F734" s="84" t="s">
        <v>3341</v>
      </c>
      <c r="G734" s="84" t="s">
        <v>2823</v>
      </c>
      <c r="H734" s="84" t="s">
        <v>4109</v>
      </c>
      <c r="I734" s="84" t="s">
        <v>3314</v>
      </c>
      <c r="J734" s="7" t="s">
        <v>3399</v>
      </c>
      <c r="K734" s="7">
        <v>31.0</v>
      </c>
      <c r="L734" s="7">
        <v>0.0</v>
      </c>
      <c r="M734" s="7">
        <v>31.0</v>
      </c>
      <c r="N734" s="7">
        <v>31.0</v>
      </c>
      <c r="O734" s="7">
        <v>31.0</v>
      </c>
      <c r="P734" s="7">
        <v>31.0</v>
      </c>
      <c r="Q734" s="7">
        <v>4.0</v>
      </c>
      <c r="R734" s="7">
        <v>0.0</v>
      </c>
      <c r="S734" s="7">
        <v>0.0</v>
      </c>
      <c r="T734" s="7">
        <v>252.0</v>
      </c>
      <c r="U734" s="7">
        <v>0.0</v>
      </c>
      <c r="V734" s="7">
        <v>252.0</v>
      </c>
      <c r="W734" s="7">
        <f>VLOOKUP($D734,NatureChart,2,0)</f>
        <v>0.9</v>
      </c>
      <c r="X734" s="7">
        <f>VLOOKUP($D734,NatureChart,3,0)</f>
        <v>1</v>
      </c>
      <c r="Y734" s="7">
        <f>VLOOKUP($D734,NatureChart,4,0)</f>
        <v>1</v>
      </c>
      <c r="Z734" s="7">
        <f>VLOOKUP($D734,NatureChart,5,0)</f>
        <v>1</v>
      </c>
      <c r="AA734" s="84">
        <f>VLOOKUP($D734,NatureChart,6,0)</f>
        <v>1.1</v>
      </c>
      <c r="AB734" s="84">
        <f>IF($C734="Shedinja",1,(INT((2*VLOOKUP($C734,DexData,5,0)+INT(Q734/4)+K734)/2)+60))</f>
        <v>136</v>
      </c>
      <c r="AC734" s="84">
        <f>INT(INT((INT((2*VLOOKUP($C734,DexData,6,0)+INT(R734/4)+L734)/2)+5)*W734)*IF($E734="Choice Band",1.5,IF(OR($E734="Mawilite",$E734="Medichamite",$E734="Thick Club"),2,1)))</f>
        <v>49</v>
      </c>
      <c r="AD734" s="84">
        <f>INT(INT((INT((2*VLOOKUP($C734,DexData,7,0)+INT(S734/4)+M734)/2)+5)*X734)*IF($E734="Eviolite",1.5,1))</f>
        <v>120</v>
      </c>
      <c r="AE734" s="84">
        <f>INT(INT((INT((2*VLOOKUP($C734,DexData,9,0)+INT(T734/4)+N734)/2)+5)*Y734)*IF($E734="Choice Specs",1.5,1))</f>
        <v>147</v>
      </c>
      <c r="AF734" s="84">
        <f>INT(INT((INT((2*VLOOKUP($C734,DexData,10,0)+INT(U734/4)+O734)/2)+5)*Z734)*IF(OR($E734="Eviolite",$E734="Assault Vest"),1.5,1))</f>
        <v>90</v>
      </c>
      <c r="AG734" s="84">
        <f>INT(INT((INT((2*VLOOKUP($C734,DexData,11,0)+INT(V734/4)+P734)/2)+5)*AA734)*IF($E734="Choice Scarf",1.5,IF($E734="Iron Ball",0.5,1)))</f>
        <v>192</v>
      </c>
      <c r="AH734" s="84" t="str">
        <f>VLOOKUP(VLOOKUP($C734,DexData,3,0),Aliases!D$2:E$19,2,0)&amp;IFERROR("/"&amp;VLOOKUP(VLOOKUP($C734,DexData,4,0),Aliases!D$2:E$19,2,0),"")</f>
        <v>WTR/FLY</v>
      </c>
      <c r="AI734" s="7">
        <v>3.0</v>
      </c>
      <c r="AJ734" s="7">
        <f>IF(VLOOKUP(B734,'Set Odds'!A$2:AN$1067,40,0),1,IF(VLOOKUP(B734,'Set Odds'!A$2:AO$1067,41,0),2,0))</f>
        <v>1</v>
      </c>
      <c r="AK734" s="7"/>
      <c r="AL734" s="7" t="str">
        <f t="shared" si="1"/>
        <v/>
      </c>
    </row>
    <row r="735" ht="12.75" customHeight="1">
      <c r="A735" s="86">
        <v>734.0</v>
      </c>
      <c r="B735" s="84" t="s">
        <v>4306</v>
      </c>
      <c r="C735" s="7" t="s">
        <v>3397</v>
      </c>
      <c r="D735" s="7" t="s">
        <v>2862</v>
      </c>
      <c r="E735" s="7" t="s">
        <v>4157</v>
      </c>
      <c r="F735" s="84" t="s">
        <v>3341</v>
      </c>
      <c r="G735" s="84" t="s">
        <v>2823</v>
      </c>
      <c r="H735" s="84" t="s">
        <v>4109</v>
      </c>
      <c r="I735" s="84" t="s">
        <v>3314</v>
      </c>
      <c r="J735" s="7" t="s">
        <v>3399</v>
      </c>
      <c r="K735" s="7">
        <v>31.0</v>
      </c>
      <c r="L735" s="7">
        <v>0.0</v>
      </c>
      <c r="M735" s="7">
        <v>31.0</v>
      </c>
      <c r="N735" s="7">
        <v>31.0</v>
      </c>
      <c r="O735" s="7">
        <v>31.0</v>
      </c>
      <c r="P735" s="7">
        <v>31.0</v>
      </c>
      <c r="Q735" s="7">
        <v>252.0</v>
      </c>
      <c r="R735" s="7">
        <v>0.0</v>
      </c>
      <c r="S735" s="7">
        <v>252.0</v>
      </c>
      <c r="T735" s="7">
        <v>4.0</v>
      </c>
      <c r="U735" s="7">
        <v>0.0</v>
      </c>
      <c r="V735" s="7">
        <v>0.0</v>
      </c>
      <c r="W735" s="7">
        <f>VLOOKUP($D735,NatureChart,2,0)</f>
        <v>0.9</v>
      </c>
      <c r="X735" s="7">
        <f>VLOOKUP($D735,NatureChart,3,0)</f>
        <v>1.1</v>
      </c>
      <c r="Y735" s="7">
        <f>VLOOKUP($D735,NatureChart,4,0)</f>
        <v>1</v>
      </c>
      <c r="Z735" s="7">
        <f>VLOOKUP($D735,NatureChart,5,0)</f>
        <v>1</v>
      </c>
      <c r="AA735" s="84">
        <f>VLOOKUP($D735,NatureChart,6,0)</f>
        <v>1</v>
      </c>
      <c r="AB735" s="84">
        <f>IF($C735="Shedinja",1,(INT((2*VLOOKUP($C735,DexData,5,0)+INT(Q735/4)+K735)/2)+60))</f>
        <v>167</v>
      </c>
      <c r="AC735" s="84">
        <f>INT(INT((INT((2*VLOOKUP($C735,DexData,6,0)+INT(R735/4)+L735)/2)+5)*W735)*IF($E735="Choice Band",1.5,IF(OR($E735="Mawilite",$E735="Medichamite",$E735="Thick Club"),2,1)))</f>
        <v>49</v>
      </c>
      <c r="AD735" s="84">
        <f>INT(INT((INT((2*VLOOKUP($C735,DexData,7,0)+INT(S735/4)+M735)/2)+5)*X735)*IF($E735="Eviolite",1.5,1))</f>
        <v>167</v>
      </c>
      <c r="AE735" s="84">
        <f>INT(INT((INT((2*VLOOKUP($C735,DexData,9,0)+INT(T735/4)+N735)/2)+5)*Y735)*IF($E735="Choice Specs",1.5,1))</f>
        <v>116</v>
      </c>
      <c r="AF735" s="84">
        <f>INT(INT((INT((2*VLOOKUP($C735,DexData,10,0)+INT(U735/4)+O735)/2)+5)*Z735)*IF(OR($E735="Eviolite",$E735="Assault Vest"),1.5,1))</f>
        <v>90</v>
      </c>
      <c r="AG735" s="84">
        <f>INT(INT((INT((2*VLOOKUP($C735,DexData,11,0)+INT(V735/4)+P735)/2)+5)*AA735)*IF($E735="Choice Scarf",1.5,IF($E735="Iron Ball",0.5,1)))</f>
        <v>85</v>
      </c>
      <c r="AH735" s="84" t="str">
        <f>VLOOKUP(VLOOKUP($C735,DexData,3,0),Aliases!D$2:E$19,2,0)&amp;IFERROR("/"&amp;VLOOKUP(VLOOKUP($C735,DexData,4,0),Aliases!D$2:E$19,2,0),"")</f>
        <v>WTR/FLY</v>
      </c>
      <c r="AI735" s="7">
        <v>3.0</v>
      </c>
      <c r="AJ735" s="7">
        <f>IF(VLOOKUP(B735,'Set Odds'!A$2:AN$1067,40,0),1,IF(VLOOKUP(B735,'Set Odds'!A$2:AO$1067,41,0),2,0))</f>
        <v>1</v>
      </c>
      <c r="AK735" s="7"/>
      <c r="AL735" s="7" t="str">
        <f t="shared" si="1"/>
        <v/>
      </c>
    </row>
    <row r="736" ht="12.75" customHeight="1">
      <c r="A736" s="86">
        <v>735.0</v>
      </c>
      <c r="B736" s="84" t="s">
        <v>4307</v>
      </c>
      <c r="C736" s="7" t="s">
        <v>3912</v>
      </c>
      <c r="D736" s="7" t="s">
        <v>2656</v>
      </c>
      <c r="E736" s="7" t="s">
        <v>3548</v>
      </c>
      <c r="F736" s="84" t="s">
        <v>3341</v>
      </c>
      <c r="G736" s="84" t="s">
        <v>3427</v>
      </c>
      <c r="H736" s="84" t="s">
        <v>4109</v>
      </c>
      <c r="I736" s="84" t="s">
        <v>2823</v>
      </c>
      <c r="J736" s="7" t="s">
        <v>3028</v>
      </c>
      <c r="K736" s="7">
        <v>31.0</v>
      </c>
      <c r="L736" s="7">
        <v>0.0</v>
      </c>
      <c r="M736" s="7">
        <v>31.0</v>
      </c>
      <c r="N736" s="7">
        <v>31.0</v>
      </c>
      <c r="O736" s="7">
        <v>31.0</v>
      </c>
      <c r="P736" s="7">
        <v>31.0</v>
      </c>
      <c r="Q736" s="7">
        <v>4.0</v>
      </c>
      <c r="R736" s="7">
        <v>0.0</v>
      </c>
      <c r="S736" s="7">
        <v>0.0</v>
      </c>
      <c r="T736" s="7">
        <v>252.0</v>
      </c>
      <c r="U736" s="7">
        <v>0.0</v>
      </c>
      <c r="V736" s="7">
        <v>252.0</v>
      </c>
      <c r="W736" s="7">
        <f>VLOOKUP($D736,NatureChart,2,0)</f>
        <v>0.9</v>
      </c>
      <c r="X736" s="7">
        <f>VLOOKUP($D736,NatureChart,3,0)</f>
        <v>1</v>
      </c>
      <c r="Y736" s="7">
        <f>VLOOKUP($D736,NatureChart,4,0)</f>
        <v>1.1</v>
      </c>
      <c r="Z736" s="7">
        <f>VLOOKUP($D736,NatureChart,5,0)</f>
        <v>1</v>
      </c>
      <c r="AA736" s="84">
        <f>VLOOKUP($D736,NatureChart,6,0)</f>
        <v>1</v>
      </c>
      <c r="AB736" s="84">
        <f>IF($C736="Shedinja",1,(INT((2*VLOOKUP($C736,DexData,5,0)+INT(Q736/4)+K736)/2)+60))</f>
        <v>151</v>
      </c>
      <c r="AC736" s="84">
        <f>INT(INT((INT((2*VLOOKUP($C736,DexData,6,0)+INT(R736/4)+L736)/2)+5)*W736)*IF($E736="Choice Band",1.5,IF(OR($E736="Mawilite",$E736="Medichamite",$E736="Thick Club"),2,1)))</f>
        <v>90</v>
      </c>
      <c r="AD736" s="84">
        <f>INT(INT((INT((2*VLOOKUP($C736,DexData,7,0)+INT(S736/4)+M736)/2)+5)*X736)*IF($E736="Eviolite",1.5,1))</f>
        <v>115</v>
      </c>
      <c r="AE736" s="84">
        <f>INT(INT((INT((2*VLOOKUP($C736,DexData,9,0)+INT(T736/4)+N736)/2)+5)*Y736)*IF($E736="Choice Specs",1.5,1))</f>
        <v>161</v>
      </c>
      <c r="AF736" s="84">
        <f>INT(INT((INT((2*VLOOKUP($C736,DexData,10,0)+INT(U736/4)+O736)/2)+5)*Z736)*IF(OR($E736="Eviolite",$E736="Assault Vest"),1.5,1))</f>
        <v>115</v>
      </c>
      <c r="AG736" s="84">
        <f>INT(INT((INT((2*VLOOKUP($C736,DexData,11,0)+INT(V736/4)+P736)/2)+5)*AA736)*IF($E736="Choice Scarf",1.5,IF($E736="Iron Ball",0.5,1)))</f>
        <v>137</v>
      </c>
      <c r="AH736" s="84" t="str">
        <f>VLOOKUP(VLOOKUP($C736,DexData,3,0),Aliases!D$2:E$19,2,0)&amp;IFERROR("/"&amp;VLOOKUP(VLOOKUP($C736,DexData,4,0),Aliases!D$2:E$19,2,0),"")</f>
        <v>WTR/DRG</v>
      </c>
      <c r="AI736" s="7">
        <v>3.0</v>
      </c>
      <c r="AJ736" s="7">
        <f>IF(VLOOKUP(B736,'Set Odds'!A$2:AN$1067,40,0),1,IF(VLOOKUP(B736,'Set Odds'!A$2:AO$1067,41,0),2,0))</f>
        <v>1</v>
      </c>
      <c r="AK736" s="7"/>
      <c r="AL736" s="7" t="str">
        <f t="shared" si="1"/>
        <v/>
      </c>
    </row>
    <row r="737" ht="12.75" customHeight="1">
      <c r="A737" s="86">
        <v>736.0</v>
      </c>
      <c r="B737" s="84" t="s">
        <v>4308</v>
      </c>
      <c r="C737" s="7" t="s">
        <v>3568</v>
      </c>
      <c r="D737" s="7" t="s">
        <v>2571</v>
      </c>
      <c r="E737" s="7" t="s">
        <v>3220</v>
      </c>
      <c r="F737" s="84" t="s">
        <v>2869</v>
      </c>
      <c r="G737" s="84" t="s">
        <v>3803</v>
      </c>
      <c r="H737" s="84" t="s">
        <v>3454</v>
      </c>
      <c r="I737" s="84" t="s">
        <v>4053</v>
      </c>
      <c r="J737" s="7" t="s">
        <v>3028</v>
      </c>
      <c r="K737" s="7">
        <v>31.0</v>
      </c>
      <c r="L737" s="7">
        <v>31.0</v>
      </c>
      <c r="M737" s="7">
        <v>31.0</v>
      </c>
      <c r="N737" s="7">
        <v>0.0</v>
      </c>
      <c r="O737" s="7">
        <v>31.0</v>
      </c>
      <c r="P737" s="7">
        <v>31.0</v>
      </c>
      <c r="Q737" s="7">
        <v>4.0</v>
      </c>
      <c r="R737" s="7">
        <v>252.0</v>
      </c>
      <c r="S737" s="7">
        <v>0.0</v>
      </c>
      <c r="T737" s="7">
        <v>0.0</v>
      </c>
      <c r="U737" s="7">
        <v>0.0</v>
      </c>
      <c r="V737" s="7">
        <v>252.0</v>
      </c>
      <c r="W737" s="7">
        <f>VLOOKUP($D737,NatureChart,2,0)</f>
        <v>1.1</v>
      </c>
      <c r="X737" s="7">
        <f>VLOOKUP($D737,NatureChart,3,0)</f>
        <v>1</v>
      </c>
      <c r="Y737" s="7">
        <f>VLOOKUP($D737,NatureChart,4,0)</f>
        <v>0.9</v>
      </c>
      <c r="Z737" s="7">
        <f>VLOOKUP($D737,NatureChart,5,0)</f>
        <v>1</v>
      </c>
      <c r="AA737" s="84">
        <f>VLOOKUP($D737,NatureChart,6,0)</f>
        <v>1</v>
      </c>
      <c r="AB737" s="84">
        <f>IF($C737="Shedinja",1,(INT((2*VLOOKUP($C737,DexData,5,0)+INT(Q737/4)+K737)/2)+60))</f>
        <v>176</v>
      </c>
      <c r="AC737" s="84">
        <f>INT(INT((INT((2*VLOOKUP($C737,DexData,6,0)+INT(R737/4)+L737)/2)+5)*W737)*IF($E737="Choice Band",1.5,IF(OR($E737="Mawilite",$E737="Medichamite",$E737="Thick Club"),2,1)))</f>
        <v>156</v>
      </c>
      <c r="AD737" s="84">
        <f>INT(INT((INT((2*VLOOKUP($C737,DexData,7,0)+INT(S737/4)+M737)/2)+5)*X737)*IF($E737="Eviolite",1.5,1))</f>
        <v>150</v>
      </c>
      <c r="AE737" s="84">
        <f>INT(INT((INT((2*VLOOKUP($C737,DexData,9,0)+INT(T737/4)+N737)/2)+5)*Y737)*IF($E737="Choice Specs",1.5,1))</f>
        <v>45</v>
      </c>
      <c r="AF737" s="84">
        <f>INT(INT((INT((2*VLOOKUP($C737,DexData,10,0)+INT(U737/4)+O737)/2)+5)*Z737)*IF(OR($E737="Eviolite",$E737="Assault Vest"),1.5,1))</f>
        <v>85</v>
      </c>
      <c r="AG737" s="84">
        <f>INT(INT((INT((2*VLOOKUP($C737,DexData,11,0)+INT(V737/4)+P737)/2)+5)*AA737)*IF($E737="Choice Scarf",1.5,IF($E737="Iron Ball",0.5,1)))</f>
        <v>107</v>
      </c>
      <c r="AH737" s="84" t="str">
        <f>VLOOKUP(VLOOKUP($C737,DexData,3,0),Aliases!D$2:E$19,2,0)&amp;IFERROR("/"&amp;VLOOKUP(VLOOKUP($C737,DexData,4,0),Aliases!D$2:E$19,2,0),"")</f>
        <v>WTR/RCK</v>
      </c>
      <c r="AI737" s="7">
        <v>3.0</v>
      </c>
      <c r="AJ737" s="7">
        <f>IF(VLOOKUP(B737,'Set Odds'!A$2:AN$1067,40,0),1,IF(VLOOKUP(B737,'Set Odds'!A$2:AO$1067,41,0),2,0))</f>
        <v>1</v>
      </c>
      <c r="AK737" s="7"/>
      <c r="AL737" s="7" t="str">
        <f t="shared" si="1"/>
        <v/>
      </c>
    </row>
    <row r="738" ht="12.75" customHeight="1">
      <c r="A738" s="86">
        <v>737.0</v>
      </c>
      <c r="B738" s="84" t="s">
        <v>4309</v>
      </c>
      <c r="C738" s="7" t="s">
        <v>4212</v>
      </c>
      <c r="D738" s="7" t="s">
        <v>2656</v>
      </c>
      <c r="E738" s="7" t="s">
        <v>3548</v>
      </c>
      <c r="F738" s="84" t="s">
        <v>4025</v>
      </c>
      <c r="G738" s="84" t="s">
        <v>4109</v>
      </c>
      <c r="H738" s="84" t="s">
        <v>4213</v>
      </c>
      <c r="I738" s="84" t="s">
        <v>3523</v>
      </c>
      <c r="J738" s="7" t="s">
        <v>3136</v>
      </c>
      <c r="K738" s="7">
        <v>31.0</v>
      </c>
      <c r="L738" s="7">
        <v>0.0</v>
      </c>
      <c r="M738" s="7">
        <v>31.0</v>
      </c>
      <c r="N738" s="7">
        <v>31.0</v>
      </c>
      <c r="O738" s="7">
        <v>31.0</v>
      </c>
      <c r="P738" s="7">
        <v>31.0</v>
      </c>
      <c r="Q738" s="7">
        <v>4.0</v>
      </c>
      <c r="R738" s="7">
        <v>0.0</v>
      </c>
      <c r="S738" s="7">
        <v>0.0</v>
      </c>
      <c r="T738" s="7">
        <v>252.0</v>
      </c>
      <c r="U738" s="7">
        <v>0.0</v>
      </c>
      <c r="V738" s="7">
        <v>252.0</v>
      </c>
      <c r="W738" s="7">
        <f>VLOOKUP($D738,NatureChart,2,0)</f>
        <v>0.9</v>
      </c>
      <c r="X738" s="7">
        <f>VLOOKUP($D738,NatureChart,3,0)</f>
        <v>1</v>
      </c>
      <c r="Y738" s="7">
        <f>VLOOKUP($D738,NatureChart,4,0)</f>
        <v>1.1</v>
      </c>
      <c r="Z738" s="7">
        <f>VLOOKUP($D738,NatureChart,5,0)</f>
        <v>1</v>
      </c>
      <c r="AA738" s="84">
        <f>VLOOKUP($D738,NatureChart,6,0)</f>
        <v>1</v>
      </c>
      <c r="AB738" s="84">
        <f>IF($C738="Shedinja",1,(INT((2*VLOOKUP($C738,DexData,5,0)+INT(Q738/4)+K738)/2)+60))</f>
        <v>166</v>
      </c>
      <c r="AC738" s="84">
        <f>INT(INT((INT((2*VLOOKUP($C738,DexData,6,0)+INT(R738/4)+L738)/2)+5)*W738)*IF($E738="Choice Band",1.5,IF(OR($E738="Mawilite",$E738="Medichamite",$E738="Thick Club"),2,1)))</f>
        <v>85</v>
      </c>
      <c r="AD738" s="84">
        <f>INT(INT((INT((2*VLOOKUP($C738,DexData,7,0)+INT(S738/4)+M738)/2)+5)*X738)*IF($E738="Eviolite",1.5,1))</f>
        <v>105</v>
      </c>
      <c r="AE738" s="84">
        <f>INT(INT((INT((2*VLOOKUP($C738,DexData,9,0)+INT(T738/4)+N738)/2)+5)*Y738)*IF($E738="Choice Specs",1.5,1))</f>
        <v>194</v>
      </c>
      <c r="AF738" s="84">
        <f>INT(INT((INT((2*VLOOKUP($C738,DexData,10,0)+INT(U738/4)+O738)/2)+5)*Z738)*IF(OR($E738="Eviolite",$E738="Assault Vest"),1.5,1))</f>
        <v>110</v>
      </c>
      <c r="AG738" s="84">
        <f>INT(INT((INT((2*VLOOKUP($C738,DexData,11,0)+INT(V738/4)+P738)/2)+5)*AA738)*IF($E738="Choice Scarf",1.5,IF($E738="Iron Ball",0.5,1)))</f>
        <v>152</v>
      </c>
      <c r="AH738" s="84" t="str">
        <f>VLOOKUP(VLOOKUP($C738,DexData,3,0),Aliases!D$2:E$19,2,0)&amp;IFERROR("/"&amp;VLOOKUP(VLOOKUP($C738,DexData,4,0),Aliases!D$2:E$19,2,0),"")</f>
        <v>ELC/FLY</v>
      </c>
      <c r="AI738" s="7">
        <v>3.0</v>
      </c>
      <c r="AJ738" s="7">
        <f>IF(VLOOKUP(B738,'Set Odds'!A$2:AN$1067,40,0),1,IF(VLOOKUP(B738,'Set Odds'!A$2:AO$1067,41,0),2,0))</f>
        <v>1</v>
      </c>
      <c r="AK738" s="7"/>
      <c r="AL738" s="7" t="str">
        <f t="shared" si="1"/>
        <v/>
      </c>
    </row>
    <row r="739" ht="12.75" customHeight="1">
      <c r="A739" s="86">
        <v>738.0</v>
      </c>
      <c r="B739" s="84" t="s">
        <v>4310</v>
      </c>
      <c r="C739" s="7" t="s">
        <v>3848</v>
      </c>
      <c r="D739" s="7" t="s">
        <v>2656</v>
      </c>
      <c r="E739" s="7" t="s">
        <v>2665</v>
      </c>
      <c r="F739" s="84" t="s">
        <v>3260</v>
      </c>
      <c r="G739" s="84" t="s">
        <v>2659</v>
      </c>
      <c r="H739" s="84" t="s">
        <v>3435</v>
      </c>
      <c r="I739" s="84" t="s">
        <v>4072</v>
      </c>
      <c r="J739" s="7" t="s">
        <v>1477</v>
      </c>
      <c r="K739" s="7">
        <v>31.0</v>
      </c>
      <c r="L739" s="7">
        <v>0.0</v>
      </c>
      <c r="M739" s="7">
        <v>31.0</v>
      </c>
      <c r="N739" s="7">
        <v>31.0</v>
      </c>
      <c r="O739" s="7">
        <v>31.0</v>
      </c>
      <c r="P739" s="7">
        <v>31.0</v>
      </c>
      <c r="Q739" s="7">
        <v>4.0</v>
      </c>
      <c r="R739" s="7">
        <v>0.0</v>
      </c>
      <c r="S739" s="7">
        <v>0.0</v>
      </c>
      <c r="T739" s="7">
        <v>252.0</v>
      </c>
      <c r="U739" s="7">
        <v>0.0</v>
      </c>
      <c r="V739" s="7">
        <v>252.0</v>
      </c>
      <c r="W739" s="7">
        <f>VLOOKUP($D739,NatureChart,2,0)</f>
        <v>0.9</v>
      </c>
      <c r="X739" s="7">
        <f>VLOOKUP($D739,NatureChart,3,0)</f>
        <v>1</v>
      </c>
      <c r="Y739" s="7">
        <f>VLOOKUP($D739,NatureChart,4,0)</f>
        <v>1.1</v>
      </c>
      <c r="Z739" s="7">
        <f>VLOOKUP($D739,NatureChart,5,0)</f>
        <v>1</v>
      </c>
      <c r="AA739" s="84">
        <f>VLOOKUP($D739,NatureChart,6,0)</f>
        <v>1</v>
      </c>
      <c r="AB739" s="84">
        <f>IF($C739="Shedinja",1,(INT((2*VLOOKUP($C739,DexData,5,0)+INT(Q739/4)+K739)/2)+60))</f>
        <v>144</v>
      </c>
      <c r="AC739" s="84">
        <f>INT(INT((INT((2*VLOOKUP($C739,DexData,6,0)+INT(R739/4)+L739)/2)+5)*W739)*IF($E739="Choice Band",1.5,IF(OR($E739="Mawilite",$E739="Medichamite",$E739="Thick Club"),2,1)))</f>
        <v>63</v>
      </c>
      <c r="AD739" s="84">
        <f>INT(INT((INT((2*VLOOKUP($C739,DexData,7,0)+INT(S739/4)+M739)/2)+5)*X739)*IF($E739="Eviolite",1.5,1))</f>
        <v>85</v>
      </c>
      <c r="AE739" s="84">
        <f>INT(INT((INT((2*VLOOKUP($C739,DexData,9,0)+INT(T739/4)+N739)/2)+5)*Y739)*IF($E739="Choice Specs",1.5,1))</f>
        <v>194</v>
      </c>
      <c r="AF739" s="84">
        <f>INT(INT((INT((2*VLOOKUP($C739,DexData,10,0)+INT(U739/4)+O739)/2)+5)*Z739)*IF(OR($E739="Eviolite",$E739="Assault Vest"),1.5,1))</f>
        <v>135</v>
      </c>
      <c r="AG739" s="84">
        <f>INT(INT((INT((2*VLOOKUP($C739,DexData,11,0)+INT(V739/4)+P739)/2)+5)*AA739)*IF($E739="Choice Scarf",1.5,IF($E739="Iron Ball",0.5,1)))</f>
        <v>198</v>
      </c>
      <c r="AH739" s="84" t="str">
        <f>VLOOKUP(VLOOKUP($C739,DexData,3,0),Aliases!D$2:E$19,2,0)&amp;IFERROR("/"&amp;VLOOKUP(VLOOKUP($C739,DexData,4,0),Aliases!D$2:E$19,2,0),"")</f>
        <v>PSY/FAI</v>
      </c>
      <c r="AI739" s="7">
        <v>3.0</v>
      </c>
      <c r="AJ739" s="7">
        <f>IF(VLOOKUP(B739,'Set Odds'!A$2:AN$1067,40,0),1,IF(VLOOKUP(B739,'Set Odds'!A$2:AO$1067,41,0),2,0))</f>
        <v>1</v>
      </c>
      <c r="AK739" s="7"/>
      <c r="AL739" s="7" t="str">
        <f t="shared" si="1"/>
        <v/>
      </c>
    </row>
    <row r="740" ht="12.75" customHeight="1">
      <c r="A740" s="86">
        <v>739.0</v>
      </c>
      <c r="B740" s="84" t="s">
        <v>4311</v>
      </c>
      <c r="C740" s="7" t="s">
        <v>3657</v>
      </c>
      <c r="D740" s="7" t="s">
        <v>2648</v>
      </c>
      <c r="E740" s="7" t="s">
        <v>2685</v>
      </c>
      <c r="F740" s="84" t="s">
        <v>3448</v>
      </c>
      <c r="G740" s="84" t="s">
        <v>3543</v>
      </c>
      <c r="H740" s="84" t="s">
        <v>3081</v>
      </c>
      <c r="I740" s="84" t="s">
        <v>2751</v>
      </c>
      <c r="J740" s="7" t="s">
        <v>2728</v>
      </c>
      <c r="K740" s="7">
        <v>31.0</v>
      </c>
      <c r="L740" s="7">
        <v>31.0</v>
      </c>
      <c r="M740" s="7">
        <v>31.0</v>
      </c>
      <c r="N740" s="7">
        <v>0.0</v>
      </c>
      <c r="O740" s="7">
        <v>31.0</v>
      </c>
      <c r="P740" s="7">
        <v>31.0</v>
      </c>
      <c r="Q740" s="7">
        <v>252.0</v>
      </c>
      <c r="R740" s="7">
        <v>0.0</v>
      </c>
      <c r="S740" s="7">
        <v>252.0</v>
      </c>
      <c r="T740" s="7">
        <v>0.0</v>
      </c>
      <c r="U740" s="7">
        <v>0.0</v>
      </c>
      <c r="V740" s="7">
        <v>4.0</v>
      </c>
      <c r="W740" s="7">
        <f>VLOOKUP($D740,NatureChart,2,0)</f>
        <v>1</v>
      </c>
      <c r="X740" s="7">
        <f>VLOOKUP($D740,NatureChart,3,0)</f>
        <v>1.1</v>
      </c>
      <c r="Y740" s="7">
        <f>VLOOKUP($D740,NatureChart,4,0)</f>
        <v>0.9</v>
      </c>
      <c r="Z740" s="7">
        <f>VLOOKUP($D740,NatureChart,5,0)</f>
        <v>1</v>
      </c>
      <c r="AA740" s="84">
        <f>VLOOKUP($D740,NatureChart,6,0)</f>
        <v>1</v>
      </c>
      <c r="AB740" s="84">
        <f>IF($C740="Shedinja",1,(INT((2*VLOOKUP($C740,DexData,5,0)+INT(Q740/4)+K740)/2)+60))</f>
        <v>172</v>
      </c>
      <c r="AC740" s="84">
        <f>INT(INT((INT((2*VLOOKUP($C740,DexData,6,0)+INT(R740/4)+L740)/2)+5)*W740)*IF($E740="Choice Band",1.5,IF(OR($E740="Mawilite",$E740="Medichamite",$E740="Thick Club"),2,1)))</f>
        <v>100</v>
      </c>
      <c r="AD740" s="84">
        <f>INT(INT((INT((2*VLOOKUP($C740,DexData,7,0)+INT(S740/4)+M740)/2)+5)*X740)*IF($E740="Eviolite",1.5,1))</f>
        <v>211</v>
      </c>
      <c r="AE740" s="84">
        <f>INT(INT((INT((2*VLOOKUP($C740,DexData,9,0)+INT(T740/4)+N740)/2)+5)*Y740)*IF($E740="Choice Specs",1.5,1))</f>
        <v>40</v>
      </c>
      <c r="AF740" s="84">
        <f>INT(INT((INT((2*VLOOKUP($C740,DexData,10,0)+INT(U740/4)+O740)/2)+5)*Z740)*IF(OR($E740="Eviolite",$E740="Assault Vest"),1.5,1))</f>
        <v>90</v>
      </c>
      <c r="AG740" s="84">
        <f>INT(INT((INT((2*VLOOKUP($C740,DexData,11,0)+INT(V740/4)+P740)/2)+5)*AA740)*IF($E740="Choice Scarf",1.5,IF($E740="Iron Ball",0.5,1)))</f>
        <v>91</v>
      </c>
      <c r="AH740" s="84" t="str">
        <f>VLOOKUP(VLOOKUP($C740,DexData,3,0),Aliases!D$2:E$19,2,0)&amp;IFERROR("/"&amp;VLOOKUP(VLOOKUP($C740,DexData,4,0),Aliases!D$2:E$19,2,0),"")</f>
        <v>STL/FLY</v>
      </c>
      <c r="AI740" s="7">
        <v>3.0</v>
      </c>
      <c r="AJ740" s="7">
        <f>IF(VLOOKUP(B740,'Set Odds'!A$2:AN$1067,40,0),1,IF(VLOOKUP(B740,'Set Odds'!A$2:AO$1067,41,0),2,0))</f>
        <v>1</v>
      </c>
      <c r="AK740" s="7"/>
      <c r="AL740" s="7" t="str">
        <f t="shared" si="1"/>
        <v/>
      </c>
    </row>
    <row r="741" ht="12.75" customHeight="1">
      <c r="A741" s="86">
        <v>740.0</v>
      </c>
      <c r="B741" s="84" t="s">
        <v>4312</v>
      </c>
      <c r="C741" s="7" t="s">
        <v>3582</v>
      </c>
      <c r="D741" s="7" t="s">
        <v>2571</v>
      </c>
      <c r="E741" s="7" t="s">
        <v>2515</v>
      </c>
      <c r="F741" s="84" t="s">
        <v>3566</v>
      </c>
      <c r="G741" s="84" t="s">
        <v>3583</v>
      </c>
      <c r="H741" s="84" t="s">
        <v>2757</v>
      </c>
      <c r="I741" s="84" t="s">
        <v>3584</v>
      </c>
      <c r="J741" s="7" t="s">
        <v>3131</v>
      </c>
      <c r="K741" s="7">
        <v>31.0</v>
      </c>
      <c r="L741" s="7">
        <v>31.0</v>
      </c>
      <c r="M741" s="7">
        <v>31.0</v>
      </c>
      <c r="N741" s="7">
        <v>0.0</v>
      </c>
      <c r="O741" s="7">
        <v>31.0</v>
      </c>
      <c r="P741" s="7">
        <v>31.0</v>
      </c>
      <c r="Q741" s="7">
        <v>4.0</v>
      </c>
      <c r="R741" s="7">
        <v>252.0</v>
      </c>
      <c r="S741" s="7">
        <v>0.0</v>
      </c>
      <c r="T741" s="7">
        <v>0.0</v>
      </c>
      <c r="U741" s="7">
        <v>0.0</v>
      </c>
      <c r="V741" s="7">
        <v>252.0</v>
      </c>
      <c r="W741" s="7">
        <f>VLOOKUP($D741,NatureChart,2,0)</f>
        <v>1.1</v>
      </c>
      <c r="X741" s="7">
        <f>VLOOKUP($D741,NatureChart,3,0)</f>
        <v>1</v>
      </c>
      <c r="Y741" s="7">
        <f>VLOOKUP($D741,NatureChart,4,0)</f>
        <v>0.9</v>
      </c>
      <c r="Z741" s="7">
        <f>VLOOKUP($D741,NatureChart,5,0)</f>
        <v>1</v>
      </c>
      <c r="AA741" s="84">
        <f>VLOOKUP($D741,NatureChart,6,0)</f>
        <v>1</v>
      </c>
      <c r="AB741" s="84">
        <f>IF($C741="Shedinja",1,(INT((2*VLOOKUP($C741,DexData,5,0)+INT(Q741/4)+K741)/2)+60))</f>
        <v>126</v>
      </c>
      <c r="AC741" s="84">
        <f>INT(INT((INT((2*VLOOKUP($C741,DexData,6,0)+INT(R741/4)+L741)/2)+5)*W741)*IF($E741="Choice Band",1.5,IF(OR($E741="Mawilite",$E741="Medichamite",$E741="Thick Club"),2,1)))</f>
        <v>161</v>
      </c>
      <c r="AD741" s="84">
        <f>INT(INT((INT((2*VLOOKUP($C741,DexData,7,0)+INT(S741/4)+M741)/2)+5)*X741)*IF($E741="Eviolite",1.5,1))</f>
        <v>200</v>
      </c>
      <c r="AE741" s="84">
        <f>INT(INT((INT((2*VLOOKUP($C741,DexData,9,0)+INT(T741/4)+N741)/2)+5)*Y741)*IF($E741="Choice Specs",1.5,1))</f>
        <v>81</v>
      </c>
      <c r="AF741" s="84">
        <f>INT(INT((INT((2*VLOOKUP($C741,DexData,10,0)+INT(U741/4)+O741)/2)+5)*Z741)*IF(OR($E741="Eviolite",$E741="Assault Vest"),1.5,1))</f>
        <v>65</v>
      </c>
      <c r="AG741" s="84">
        <f>INT(INT((INT((2*VLOOKUP($C741,DexData,11,0)+INT(V741/4)+P741)/2)+5)*AA741)*IF($E741="Choice Scarf",1.5,IF($E741="Iron Ball",0.5,1)))</f>
        <v>122</v>
      </c>
      <c r="AH741" s="84" t="str">
        <f>VLOOKUP(VLOOKUP($C741,DexData,3,0),Aliases!D$2:E$19,2,0)&amp;IFERROR("/"&amp;VLOOKUP(VLOOKUP($C741,DexData,4,0),Aliases!D$2:E$19,2,0),"")</f>
        <v>WTR/ICE</v>
      </c>
      <c r="AI741" s="7">
        <v>3.0</v>
      </c>
      <c r="AJ741" s="7">
        <f>IF(VLOOKUP(B741,'Set Odds'!A$2:AN$1067,40,0),1,IF(VLOOKUP(B741,'Set Odds'!A$2:AO$1067,41,0),2,0))</f>
        <v>1</v>
      </c>
      <c r="AK741" s="7"/>
      <c r="AL741" s="7" t="str">
        <f t="shared" si="1"/>
        <v/>
      </c>
    </row>
    <row r="742" ht="12.75" customHeight="1">
      <c r="A742" s="86">
        <v>741.0</v>
      </c>
      <c r="B742" s="84" t="s">
        <v>4313</v>
      </c>
      <c r="C742" s="7" t="s">
        <v>3867</v>
      </c>
      <c r="D742" s="7" t="s">
        <v>2635</v>
      </c>
      <c r="E742" s="7" t="s">
        <v>3976</v>
      </c>
      <c r="F742" s="84" t="s">
        <v>2863</v>
      </c>
      <c r="G742" s="84" t="s">
        <v>3260</v>
      </c>
      <c r="H742" s="84" t="s">
        <v>3130</v>
      </c>
      <c r="I742" s="84" t="s">
        <v>2596</v>
      </c>
      <c r="J742" s="7" t="s">
        <v>2953</v>
      </c>
      <c r="K742" s="7">
        <v>31.0</v>
      </c>
      <c r="L742" s="7">
        <v>0.0</v>
      </c>
      <c r="M742" s="7">
        <v>31.0</v>
      </c>
      <c r="N742" s="7">
        <v>31.0</v>
      </c>
      <c r="O742" s="7">
        <v>31.0</v>
      </c>
      <c r="P742" s="7">
        <v>31.0</v>
      </c>
      <c r="Q742" s="7">
        <v>252.0</v>
      </c>
      <c r="R742" s="7">
        <v>0.0</v>
      </c>
      <c r="S742" s="7">
        <v>0.0</v>
      </c>
      <c r="T742" s="7">
        <v>4.0</v>
      </c>
      <c r="U742" s="7">
        <v>0.0</v>
      </c>
      <c r="V742" s="7">
        <v>252.0</v>
      </c>
      <c r="W742" s="7">
        <f>VLOOKUP($D742,NatureChart,2,0)</f>
        <v>0.9</v>
      </c>
      <c r="X742" s="7">
        <f>VLOOKUP($D742,NatureChart,3,0)</f>
        <v>1</v>
      </c>
      <c r="Y742" s="7">
        <f>VLOOKUP($D742,NatureChart,4,0)</f>
        <v>1</v>
      </c>
      <c r="Z742" s="7">
        <f>VLOOKUP($D742,NatureChart,5,0)</f>
        <v>1</v>
      </c>
      <c r="AA742" s="84">
        <f>VLOOKUP($D742,NatureChart,6,0)</f>
        <v>1.1</v>
      </c>
      <c r="AB742" s="84">
        <f>IF($C742="Shedinja",1,(INT((2*VLOOKUP($C742,DexData,5,0)+INT(Q742/4)+K742)/2)+60))</f>
        <v>172</v>
      </c>
      <c r="AC742" s="84">
        <f>INT(INT((INT((2*VLOOKUP($C742,DexData,6,0)+INT(R742/4)+L742)/2)+5)*W742)*IF($E742="Choice Band",1.5,IF(OR($E742="Mawilite",$E742="Medichamite",$E742="Thick Club"),2,1)))</f>
        <v>63</v>
      </c>
      <c r="AD742" s="84">
        <f>INT(INT((INT((2*VLOOKUP($C742,DexData,7,0)+INT(S742/4)+M742)/2)+5)*X742)*IF($E742="Eviolite",1.5,1))</f>
        <v>80</v>
      </c>
      <c r="AE742" s="84">
        <f>INT(INT((INT((2*VLOOKUP($C742,DexData,9,0)+INT(T742/4)+N742)/2)+5)*Y742)*IF($E742="Choice Specs",1.5,1))</f>
        <v>151</v>
      </c>
      <c r="AF742" s="84">
        <f>INT(INT((INT((2*VLOOKUP($C742,DexData,10,0)+INT(U742/4)+O742)/2)+5)*Z742)*IF(OR($E742="Eviolite",$E742="Assault Vest"),1.5,1))</f>
        <v>115</v>
      </c>
      <c r="AG742" s="84">
        <f>INT(INT((INT((2*VLOOKUP($C742,DexData,11,0)+INT(V742/4)+P742)/2)+5)*AA742)*IF($E742="Choice Scarf",1.5,IF($E742="Iron Ball",0.5,1)))</f>
        <v>178</v>
      </c>
      <c r="AH742" s="84" t="str">
        <f>VLOOKUP(VLOOKUP($C742,DexData,3,0),Aliases!D$2:E$19,2,0)&amp;IFERROR("/"&amp;VLOOKUP(VLOOKUP($C742,DexData,4,0),Aliases!D$2:E$19,2,0),"")</f>
        <v>PSY</v>
      </c>
      <c r="AI742" s="7">
        <v>3.0</v>
      </c>
      <c r="AJ742" s="7">
        <f>IF(VLOOKUP(B742,'Set Odds'!A$2:AN$1067,40,0),1,IF(VLOOKUP(B742,'Set Odds'!A$2:AO$1067,41,0),2,0))</f>
        <v>1</v>
      </c>
      <c r="AK742" s="7"/>
      <c r="AL742" s="7" t="str">
        <f t="shared" si="1"/>
        <v/>
      </c>
    </row>
    <row r="743" ht="12.75" customHeight="1">
      <c r="A743" s="86">
        <v>742.0</v>
      </c>
      <c r="B743" s="84" t="s">
        <v>4314</v>
      </c>
      <c r="C743" s="7" t="s">
        <v>3582</v>
      </c>
      <c r="D743" s="7" t="s">
        <v>2571</v>
      </c>
      <c r="E743" s="7" t="s">
        <v>2519</v>
      </c>
      <c r="F743" s="84" t="s">
        <v>3566</v>
      </c>
      <c r="G743" s="84" t="s">
        <v>3583</v>
      </c>
      <c r="H743" s="84" t="s">
        <v>2757</v>
      </c>
      <c r="I743" s="84" t="s">
        <v>3584</v>
      </c>
      <c r="J743" s="7" t="s">
        <v>3131</v>
      </c>
      <c r="K743" s="7">
        <v>31.0</v>
      </c>
      <c r="L743" s="7">
        <v>31.0</v>
      </c>
      <c r="M743" s="7">
        <v>31.0</v>
      </c>
      <c r="N743" s="7">
        <v>0.0</v>
      </c>
      <c r="O743" s="7">
        <v>31.0</v>
      </c>
      <c r="P743" s="7">
        <v>31.0</v>
      </c>
      <c r="Q743" s="7">
        <v>4.0</v>
      </c>
      <c r="R743" s="7">
        <v>252.0</v>
      </c>
      <c r="S743" s="7">
        <v>0.0</v>
      </c>
      <c r="T743" s="7">
        <v>0.0</v>
      </c>
      <c r="U743" s="7">
        <v>0.0</v>
      </c>
      <c r="V743" s="7">
        <v>252.0</v>
      </c>
      <c r="W743" s="7">
        <f>VLOOKUP($D743,NatureChart,2,0)</f>
        <v>1.1</v>
      </c>
      <c r="X743" s="7">
        <f>VLOOKUP($D743,NatureChart,3,0)</f>
        <v>1</v>
      </c>
      <c r="Y743" s="7">
        <f>VLOOKUP($D743,NatureChart,4,0)</f>
        <v>0.9</v>
      </c>
      <c r="Z743" s="7">
        <f>VLOOKUP($D743,NatureChart,5,0)</f>
        <v>1</v>
      </c>
      <c r="AA743" s="84">
        <f>VLOOKUP($D743,NatureChart,6,0)</f>
        <v>1</v>
      </c>
      <c r="AB743" s="84">
        <f>IF($C743="Shedinja",1,(INT((2*VLOOKUP($C743,DexData,5,0)+INT(Q743/4)+K743)/2)+60))</f>
        <v>126</v>
      </c>
      <c r="AC743" s="84">
        <f>INT(INT((INT((2*VLOOKUP($C743,DexData,6,0)+INT(R743/4)+L743)/2)+5)*W743)*IF($E743="Choice Band",1.5,IF(OR($E743="Mawilite",$E743="Medichamite",$E743="Thick Club"),2,1)))</f>
        <v>161</v>
      </c>
      <c r="AD743" s="84">
        <f>INT(INT((INT((2*VLOOKUP($C743,DexData,7,0)+INT(S743/4)+M743)/2)+5)*X743)*IF($E743="Eviolite",1.5,1))</f>
        <v>200</v>
      </c>
      <c r="AE743" s="84">
        <f>INT(INT((INT((2*VLOOKUP($C743,DexData,9,0)+INT(T743/4)+N743)/2)+5)*Y743)*IF($E743="Choice Specs",1.5,1))</f>
        <v>81</v>
      </c>
      <c r="AF743" s="84">
        <f>INT(INT((INT((2*VLOOKUP($C743,DexData,10,0)+INT(U743/4)+O743)/2)+5)*Z743)*IF(OR($E743="Eviolite",$E743="Assault Vest"),1.5,1))</f>
        <v>65</v>
      </c>
      <c r="AG743" s="84">
        <f>INT(INT((INT((2*VLOOKUP($C743,DexData,11,0)+INT(V743/4)+P743)/2)+5)*AA743)*IF($E743="Choice Scarf",1.5,IF($E743="Iron Ball",0.5,1)))</f>
        <v>122</v>
      </c>
      <c r="AH743" s="84" t="str">
        <f>VLOOKUP(VLOOKUP($C743,DexData,3,0),Aliases!D$2:E$19,2,0)&amp;IFERROR("/"&amp;VLOOKUP(VLOOKUP($C743,DexData,4,0),Aliases!D$2:E$19,2,0),"")</f>
        <v>WTR/ICE</v>
      </c>
      <c r="AI743" s="7">
        <v>3.0</v>
      </c>
      <c r="AJ743" s="7">
        <f>IF(VLOOKUP(B743,'Set Odds'!A$2:AN$1067,40,0),1,IF(VLOOKUP(B743,'Set Odds'!A$2:AO$1067,41,0),2,0))</f>
        <v>1</v>
      </c>
      <c r="AK743" s="7"/>
      <c r="AL743" s="7" t="str">
        <f t="shared" si="1"/>
        <v/>
      </c>
    </row>
    <row r="744" ht="12.75" customHeight="1">
      <c r="A744" s="86">
        <v>743.0</v>
      </c>
      <c r="B744" s="84" t="s">
        <v>4315</v>
      </c>
      <c r="C744" s="7" t="s">
        <v>3607</v>
      </c>
      <c r="D744" s="7" t="s">
        <v>2571</v>
      </c>
      <c r="E744" s="7" t="s">
        <v>3433</v>
      </c>
      <c r="F744" s="84" t="s">
        <v>3608</v>
      </c>
      <c r="G744" s="84" t="s">
        <v>3483</v>
      </c>
      <c r="H744" s="84" t="s">
        <v>3135</v>
      </c>
      <c r="I744" s="84" t="s">
        <v>3113</v>
      </c>
      <c r="J744" s="7" t="s">
        <v>3217</v>
      </c>
      <c r="K744" s="7">
        <v>31.0</v>
      </c>
      <c r="L744" s="7">
        <v>31.0</v>
      </c>
      <c r="M744" s="7">
        <v>31.0</v>
      </c>
      <c r="N744" s="7">
        <v>0.0</v>
      </c>
      <c r="O744" s="7">
        <v>31.0</v>
      </c>
      <c r="P744" s="7">
        <v>31.0</v>
      </c>
      <c r="Q744" s="7">
        <v>4.0</v>
      </c>
      <c r="R744" s="7">
        <v>252.0</v>
      </c>
      <c r="S744" s="7">
        <v>0.0</v>
      </c>
      <c r="T744" s="7">
        <v>0.0</v>
      </c>
      <c r="U744" s="7">
        <v>0.0</v>
      </c>
      <c r="V744" s="7">
        <v>252.0</v>
      </c>
      <c r="W744" s="7">
        <f>VLOOKUP($D744,NatureChart,2,0)</f>
        <v>1.1</v>
      </c>
      <c r="X744" s="7">
        <f>VLOOKUP($D744,NatureChart,3,0)</f>
        <v>1</v>
      </c>
      <c r="Y744" s="7">
        <f>VLOOKUP($D744,NatureChart,4,0)</f>
        <v>0.9</v>
      </c>
      <c r="Z744" s="7">
        <f>VLOOKUP($D744,NatureChart,5,0)</f>
        <v>1</v>
      </c>
      <c r="AA744" s="84">
        <f>VLOOKUP($D744,NatureChart,6,0)</f>
        <v>1</v>
      </c>
      <c r="AB744" s="84">
        <f>IF($C744="Shedinja",1,(INT((2*VLOOKUP($C744,DexData,5,0)+INT(Q744/4)+K744)/2)+60))</f>
        <v>156</v>
      </c>
      <c r="AC744" s="84">
        <f>INT(INT((INT((2*VLOOKUP($C744,DexData,6,0)+INT(R744/4)+L744)/2)+5)*W744)*IF($E744="Choice Band",1.5,IF(OR($E744="Mawilite",$E744="Medichamite",$E744="Thick Club"),2,1)))</f>
        <v>189</v>
      </c>
      <c r="AD744" s="84">
        <f>INT(INT((INT((2*VLOOKUP($C744,DexData,7,0)+INT(S744/4)+M744)/2)+5)*X744)*IF($E744="Eviolite",1.5,1))</f>
        <v>90</v>
      </c>
      <c r="AE744" s="84">
        <f>INT(INT((INT((2*VLOOKUP($C744,DexData,9,0)+INT(T744/4)+N744)/2)+5)*Y744)*IF($E744="Choice Specs",1.5,1))</f>
        <v>103</v>
      </c>
      <c r="AF744" s="84">
        <f>INT(INT((INT((2*VLOOKUP($C744,DexData,10,0)+INT(U744/4)+O744)/2)+5)*Z744)*IF(OR($E744="Eviolite",$E744="Assault Vest"),1.5,1))</f>
        <v>90</v>
      </c>
      <c r="AG744" s="84">
        <f>INT(INT((INT((2*VLOOKUP($C744,DexData,11,0)+INT(V744/4)+P744)/2)+5)*AA744)*IF($E744="Choice Scarf",1.5,IF($E744="Iron Ball",0.5,1)))</f>
        <v>132</v>
      </c>
      <c r="AH744" s="84" t="str">
        <f>VLOOKUP(VLOOKUP($C744,DexData,3,0),Aliases!D$2:E$19,2,0)&amp;IFERROR("/"&amp;VLOOKUP(VLOOKUP($C744,DexData,4,0),Aliases!D$2:E$19,2,0),"")</f>
        <v>FIR/FTG</v>
      </c>
      <c r="AI744" s="7">
        <v>3.0</v>
      </c>
      <c r="AJ744" s="7">
        <f>IF(VLOOKUP(B744,'Set Odds'!A$2:AN$1067,40,0),1,IF(VLOOKUP(B744,'Set Odds'!A$2:AO$1067,41,0),2,0))</f>
        <v>1</v>
      </c>
      <c r="AK744" s="7"/>
      <c r="AL744" s="7" t="str">
        <f t="shared" si="1"/>
        <v/>
      </c>
    </row>
    <row r="745" ht="12.75" customHeight="1">
      <c r="A745" s="86">
        <v>744.0</v>
      </c>
      <c r="B745" s="84" t="s">
        <v>4316</v>
      </c>
      <c r="C745" s="7" t="s">
        <v>3547</v>
      </c>
      <c r="D745" s="7" t="s">
        <v>2862</v>
      </c>
      <c r="E745" s="7" t="s">
        <v>2636</v>
      </c>
      <c r="F745" s="84" t="s">
        <v>2956</v>
      </c>
      <c r="G745" s="84" t="s">
        <v>3718</v>
      </c>
      <c r="H745" s="84" t="s">
        <v>2530</v>
      </c>
      <c r="I745" s="84" t="s">
        <v>2938</v>
      </c>
      <c r="J745" s="7" t="s">
        <v>3971</v>
      </c>
      <c r="K745" s="7">
        <v>31.0</v>
      </c>
      <c r="L745" s="7">
        <v>0.0</v>
      </c>
      <c r="M745" s="7">
        <v>31.0</v>
      </c>
      <c r="N745" s="7">
        <v>31.0</v>
      </c>
      <c r="O745" s="7">
        <v>31.0</v>
      </c>
      <c r="P745" s="7">
        <v>31.0</v>
      </c>
      <c r="Q745" s="7">
        <v>252.0</v>
      </c>
      <c r="R745" s="7">
        <v>0.0</v>
      </c>
      <c r="S745" s="7">
        <v>252.0</v>
      </c>
      <c r="T745" s="7">
        <v>4.0</v>
      </c>
      <c r="U745" s="7">
        <v>0.0</v>
      </c>
      <c r="V745" s="7">
        <v>0.0</v>
      </c>
      <c r="W745" s="7">
        <f>VLOOKUP($D745,NatureChart,2,0)</f>
        <v>0.9</v>
      </c>
      <c r="X745" s="7">
        <f>VLOOKUP($D745,NatureChart,3,0)</f>
        <v>1.1</v>
      </c>
      <c r="Y745" s="7">
        <f>VLOOKUP($D745,NatureChart,4,0)</f>
        <v>1</v>
      </c>
      <c r="Z745" s="7">
        <f>VLOOKUP($D745,NatureChart,5,0)</f>
        <v>1</v>
      </c>
      <c r="AA745" s="84">
        <f>VLOOKUP($D745,NatureChart,6,0)</f>
        <v>1</v>
      </c>
      <c r="AB745" s="84">
        <f>IF($C745="Shedinja",1,(INT((2*VLOOKUP($C745,DexData,5,0)+INT(Q745/4)+K745)/2)+60))</f>
        <v>202</v>
      </c>
      <c r="AC745" s="84">
        <f>INT(INT((INT((2*VLOOKUP($C745,DexData,6,0)+INT(R745/4)+L745)/2)+5)*W745)*IF($E745="Choice Band",1.5,IF(OR($E745="Mawilite",$E745="Medichamite",$E745="Thick Club"),2,1)))</f>
        <v>67</v>
      </c>
      <c r="AD745" s="84">
        <f>INT(INT((INT((2*VLOOKUP($C745,DexData,7,0)+INT(S745/4)+M745)/2)+5)*X745)*IF($E745="Eviolite",1.5,1))</f>
        <v>137</v>
      </c>
      <c r="AE745" s="84">
        <f>INT(INT((INT((2*VLOOKUP($C745,DexData,9,0)+INT(T745/4)+N745)/2)+5)*Y745)*IF($E745="Choice Specs",1.5,1))</f>
        <v>116</v>
      </c>
      <c r="AF745" s="84">
        <f>INT(INT((INT((2*VLOOKUP($C745,DexData,10,0)+INT(U745/4)+O745)/2)+5)*Z745)*IF(OR($E745="Eviolite",$E745="Assault Vest"),1.5,1))</f>
        <v>110</v>
      </c>
      <c r="AG745" s="84">
        <f>INT(INT((INT((2*VLOOKUP($C745,DexData,11,0)+INT(V745/4)+P745)/2)+5)*AA745)*IF($E745="Choice Scarf",1.5,IF($E745="Iron Ball",0.5,1)))</f>
        <v>80</v>
      </c>
      <c r="AH745" s="84" t="str">
        <f>VLOOKUP(VLOOKUP($C745,DexData,3,0),Aliases!D$2:E$19,2,0)&amp;IFERROR("/"&amp;VLOOKUP(VLOOKUP($C745,DexData,4,0),Aliases!D$2:E$19,2,0),"")</f>
        <v>FAI</v>
      </c>
      <c r="AI745" s="7">
        <v>3.0</v>
      </c>
      <c r="AJ745" s="7">
        <f>IF(VLOOKUP(B745,'Set Odds'!A$2:AN$1067,40,0),1,IF(VLOOKUP(B745,'Set Odds'!A$2:AO$1067,41,0),2,0))</f>
        <v>1</v>
      </c>
      <c r="AK745" s="7"/>
      <c r="AL745" s="7" t="str">
        <f t="shared" si="1"/>
        <v/>
      </c>
    </row>
    <row r="746" ht="12.75" customHeight="1">
      <c r="A746" s="86">
        <v>745.0</v>
      </c>
      <c r="B746" s="84" t="s">
        <v>4317</v>
      </c>
      <c r="C746" s="7" t="s">
        <v>3936</v>
      </c>
      <c r="D746" s="7" t="s">
        <v>2692</v>
      </c>
      <c r="E746" s="7" t="s">
        <v>2524</v>
      </c>
      <c r="F746" s="84" t="s">
        <v>3454</v>
      </c>
      <c r="G746" s="84" t="s">
        <v>2762</v>
      </c>
      <c r="H746" s="84" t="s">
        <v>2614</v>
      </c>
      <c r="I746" s="84" t="s">
        <v>3113</v>
      </c>
      <c r="J746" s="7" t="s">
        <v>4005</v>
      </c>
      <c r="K746" s="7">
        <v>31.0</v>
      </c>
      <c r="L746" s="7">
        <v>31.0</v>
      </c>
      <c r="M746" s="7">
        <v>31.0</v>
      </c>
      <c r="N746" s="7">
        <v>0.0</v>
      </c>
      <c r="O746" s="7">
        <v>31.0</v>
      </c>
      <c r="P746" s="7">
        <v>31.0</v>
      </c>
      <c r="Q746" s="7">
        <v>4.0</v>
      </c>
      <c r="R746" s="7">
        <v>252.0</v>
      </c>
      <c r="S746" s="7">
        <v>0.0</v>
      </c>
      <c r="T746" s="7">
        <v>0.0</v>
      </c>
      <c r="U746" s="7">
        <v>0.0</v>
      </c>
      <c r="V746" s="7">
        <v>252.0</v>
      </c>
      <c r="W746" s="7">
        <f>VLOOKUP($D746,NatureChart,2,0)</f>
        <v>1</v>
      </c>
      <c r="X746" s="7">
        <f>VLOOKUP($D746,NatureChart,3,0)</f>
        <v>1</v>
      </c>
      <c r="Y746" s="7">
        <f>VLOOKUP($D746,NatureChart,4,0)</f>
        <v>0.9</v>
      </c>
      <c r="Z746" s="7">
        <f>VLOOKUP($D746,NatureChart,5,0)</f>
        <v>1</v>
      </c>
      <c r="AA746" s="84">
        <f>VLOOKUP($D746,NatureChart,6,0)</f>
        <v>1.1</v>
      </c>
      <c r="AB746" s="84">
        <f>IF($C746="Shedinja",1,(INT((2*VLOOKUP($C746,DexData,5,0)+INT(Q746/4)+K746)/2)+60))</f>
        <v>184</v>
      </c>
      <c r="AC746" s="84">
        <f>INT(INT((INT((2*VLOOKUP($C746,DexData,6,0)+INT(R746/4)+L746)/2)+5)*W746)*IF($E746="Choice Band",1.5,IF(OR($E746="Mawilite",$E746="Medichamite",$E746="Thick Club"),2,1)))</f>
        <v>182</v>
      </c>
      <c r="AD746" s="84">
        <f>INT(INT((INT((2*VLOOKUP($C746,DexData,7,0)+INT(S746/4)+M746)/2)+5)*X746)*IF($E746="Eviolite",1.5,1))</f>
        <v>115</v>
      </c>
      <c r="AE746" s="84">
        <f>INT(INT((INT((2*VLOOKUP($C746,DexData,9,0)+INT(T746/4)+N746)/2)+5)*Y746)*IF($E746="Choice Specs",1.5,1))</f>
        <v>76</v>
      </c>
      <c r="AF746" s="84">
        <f>INT(INT((INT((2*VLOOKUP($C746,DexData,10,0)+INT(U746/4)+O746)/2)+5)*Z746)*IF(OR($E746="Eviolite",$E746="Assault Vest"),1.5,1))</f>
        <v>105</v>
      </c>
      <c r="AG746" s="84">
        <f>INT(INT((INT((2*VLOOKUP($C746,DexData,11,0)+INT(V746/4)+P746)/2)+5)*AA746)*IF($E746="Choice Scarf",1.5,IF($E746="Iron Ball",0.5,1)))</f>
        <v>169</v>
      </c>
      <c r="AH746" s="84" t="str">
        <f>VLOOKUP(VLOOKUP($C746,DexData,3,0),Aliases!D$2:E$19,2,0)&amp;IFERROR("/"&amp;VLOOKUP(VLOOKUP($C746,DexData,4,0),Aliases!D$2:E$19,2,0),"")</f>
        <v>DRG/GRD</v>
      </c>
      <c r="AI746" s="7">
        <v>3.0</v>
      </c>
      <c r="AJ746" s="7">
        <f>IF(VLOOKUP(B746,'Set Odds'!A$2:AN$1067,40,0),1,IF(VLOOKUP(B746,'Set Odds'!A$2:AO$1067,41,0),2,0))</f>
        <v>1</v>
      </c>
      <c r="AK746" s="7"/>
      <c r="AL746" s="7" t="str">
        <f t="shared" si="1"/>
        <v/>
      </c>
    </row>
    <row r="747" ht="12.75" customHeight="1">
      <c r="A747" s="86">
        <v>746.0</v>
      </c>
      <c r="B747" s="84" t="s">
        <v>4318</v>
      </c>
      <c r="C747" s="7" t="s">
        <v>3678</v>
      </c>
      <c r="D747" s="7" t="s">
        <v>2827</v>
      </c>
      <c r="E747" s="7" t="s">
        <v>2685</v>
      </c>
      <c r="F747" s="84" t="s">
        <v>3441</v>
      </c>
      <c r="G747" s="84" t="s">
        <v>2967</v>
      </c>
      <c r="H747" s="84" t="s">
        <v>2823</v>
      </c>
      <c r="I747" s="84" t="s">
        <v>2832</v>
      </c>
      <c r="J747" s="7" t="s">
        <v>4319</v>
      </c>
      <c r="K747" s="7">
        <v>31.0</v>
      </c>
      <c r="L747" s="7">
        <v>31.0</v>
      </c>
      <c r="M747" s="7">
        <v>31.0</v>
      </c>
      <c r="N747" s="7">
        <v>31.0</v>
      </c>
      <c r="O747" s="7">
        <v>31.0</v>
      </c>
      <c r="P747" s="7">
        <v>0.0</v>
      </c>
      <c r="Q747" s="7">
        <v>252.0</v>
      </c>
      <c r="R747" s="7">
        <v>4.0</v>
      </c>
      <c r="S747" s="7">
        <v>0.0</v>
      </c>
      <c r="T747" s="7">
        <v>252.0</v>
      </c>
      <c r="U747" s="7">
        <v>0.0</v>
      </c>
      <c r="V747" s="7">
        <v>0.0</v>
      </c>
      <c r="W747" s="7">
        <f>VLOOKUP($D747,NatureChart,2,0)</f>
        <v>1</v>
      </c>
      <c r="X747" s="7">
        <f>VLOOKUP($D747,NatureChart,3,0)</f>
        <v>1</v>
      </c>
      <c r="Y747" s="7">
        <f>VLOOKUP($D747,NatureChart,4,0)</f>
        <v>1.1</v>
      </c>
      <c r="Z747" s="7">
        <f>VLOOKUP($D747,NatureChart,5,0)</f>
        <v>1</v>
      </c>
      <c r="AA747" s="84">
        <f>VLOOKUP($D747,NatureChart,6,0)</f>
        <v>0.9</v>
      </c>
      <c r="AB747" s="84">
        <f>IF($C747="Shedinja",1,(INT((2*VLOOKUP($C747,DexData,5,0)+INT(Q747/4)+K747)/2)+60))</f>
        <v>218</v>
      </c>
      <c r="AC747" s="84">
        <f>INT(INT((INT((2*VLOOKUP($C747,DexData,6,0)+INT(R747/4)+L747)/2)+5)*W747)*IF($E747="Choice Band",1.5,IF(OR($E747="Mawilite",$E747="Medichamite",$E747="Thick Club"),2,1)))</f>
        <v>104</v>
      </c>
      <c r="AD747" s="84">
        <f>INT(INT((INT((2*VLOOKUP($C747,DexData,7,0)+INT(S747/4)+M747)/2)+5)*X747)*IF($E747="Eviolite",1.5,1))</f>
        <v>88</v>
      </c>
      <c r="AE747" s="84">
        <f>INT(INT((INT((2*VLOOKUP($C747,DexData,9,0)+INT(T747/4)+N747)/2)+5)*Y747)*IF($E747="Choice Specs",1.5,1))</f>
        <v>158</v>
      </c>
      <c r="AF747" s="84">
        <f>INT(INT((INT((2*VLOOKUP($C747,DexData,10,0)+INT(U747/4)+O747)/2)+5)*Z747)*IF(OR($E747="Eviolite",$E747="Assault Vest"),1.5,1))</f>
        <v>102</v>
      </c>
      <c r="AG747" s="84">
        <f>INT(INT((INT((2*VLOOKUP($C747,DexData,11,0)+INT(V747/4)+P747)/2)+5)*AA747)*IF($E747="Choice Scarf",1.5,IF($E747="Iron Ball",0.5,1)))</f>
        <v>39</v>
      </c>
      <c r="AH747" s="84" t="str">
        <f>VLOOKUP(VLOOKUP($C747,DexData,3,0),Aliases!D$2:E$19,2,0)&amp;IFERROR("/"&amp;VLOOKUP(VLOOKUP($C747,DexData,4,0),Aliases!D$2:E$19,2,0),"")</f>
        <v>WTR/GRD</v>
      </c>
      <c r="AI747" s="7">
        <v>3.0</v>
      </c>
      <c r="AJ747" s="7">
        <f>IF(VLOOKUP(B747,'Set Odds'!A$2:AN$1067,40,0),1,IF(VLOOKUP(B747,'Set Odds'!A$2:AO$1067,41,0),2,0))</f>
        <v>1</v>
      </c>
      <c r="AK747" s="7"/>
      <c r="AL747" s="7" t="str">
        <f t="shared" si="1"/>
        <v/>
      </c>
    </row>
    <row r="748" ht="12.75" customHeight="1">
      <c r="A748" s="86">
        <v>747.0</v>
      </c>
      <c r="B748" s="84" t="s">
        <v>4320</v>
      </c>
      <c r="C748" s="7" t="s">
        <v>3621</v>
      </c>
      <c r="D748" s="7" t="s">
        <v>2571</v>
      </c>
      <c r="E748" s="7" t="s">
        <v>2524</v>
      </c>
      <c r="F748" s="84" t="s">
        <v>3454</v>
      </c>
      <c r="G748" s="84" t="s">
        <v>2514</v>
      </c>
      <c r="H748" s="84" t="s">
        <v>3945</v>
      </c>
      <c r="I748" s="84" t="s">
        <v>3554</v>
      </c>
      <c r="J748" s="7" t="s">
        <v>4005</v>
      </c>
      <c r="K748" s="7">
        <v>31.0</v>
      </c>
      <c r="L748" s="7">
        <v>31.0</v>
      </c>
      <c r="M748" s="7">
        <v>31.0</v>
      </c>
      <c r="N748" s="7">
        <v>0.0</v>
      </c>
      <c r="O748" s="7">
        <v>31.0</v>
      </c>
      <c r="P748" s="7">
        <v>31.0</v>
      </c>
      <c r="Q748" s="7">
        <v>4.0</v>
      </c>
      <c r="R748" s="7">
        <v>252.0</v>
      </c>
      <c r="S748" s="7">
        <v>0.0</v>
      </c>
      <c r="T748" s="7">
        <v>0.0</v>
      </c>
      <c r="U748" s="7">
        <v>0.0</v>
      </c>
      <c r="V748" s="7">
        <v>252.0</v>
      </c>
      <c r="W748" s="7">
        <f>VLOOKUP($D748,NatureChart,2,0)</f>
        <v>1.1</v>
      </c>
      <c r="X748" s="7">
        <f>VLOOKUP($D748,NatureChart,3,0)</f>
        <v>1</v>
      </c>
      <c r="Y748" s="7">
        <f>VLOOKUP($D748,NatureChart,4,0)</f>
        <v>0.9</v>
      </c>
      <c r="Z748" s="7">
        <f>VLOOKUP($D748,NatureChart,5,0)</f>
        <v>1</v>
      </c>
      <c r="AA748" s="84">
        <f>VLOOKUP($D748,NatureChart,6,0)</f>
        <v>1</v>
      </c>
      <c r="AB748" s="84">
        <f>IF($C748="Shedinja",1,(INT((2*VLOOKUP($C748,DexData,5,0)+INT(Q748/4)+K748)/2)+60))</f>
        <v>111</v>
      </c>
      <c r="AC748" s="84">
        <f>INT(INT((INT((2*VLOOKUP($C748,DexData,6,0)+INT(R748/4)+L748)/2)+5)*W748)*IF($E748="Choice Band",1.5,IF(OR($E748="Mawilite",$E748="Medichamite",$E748="Thick Club"),2,1)))</f>
        <v>167</v>
      </c>
      <c r="AD748" s="84">
        <f>INT(INT((INT((2*VLOOKUP($C748,DexData,7,0)+INT(S748/4)+M748)/2)+5)*X748)*IF($E748="Eviolite",1.5,1))</f>
        <v>70</v>
      </c>
      <c r="AE748" s="84">
        <f>INT(INT((INT((2*VLOOKUP($C748,DexData,9,0)+INT(T748/4)+N748)/2)+5)*Y748)*IF($E748="Choice Specs",1.5,1))</f>
        <v>49</v>
      </c>
      <c r="AF748" s="84">
        <f>INT(INT((INT((2*VLOOKUP($C748,DexData,10,0)+INT(U748/4)+O748)/2)+5)*Z748)*IF(OR($E748="Eviolite",$E748="Assault Vest"),1.5,1))</f>
        <v>90</v>
      </c>
      <c r="AG748" s="84">
        <f>INT(INT((INT((2*VLOOKUP($C748,DexData,11,0)+INT(V748/4)+P748)/2)+5)*AA748)*IF($E748="Choice Scarf",1.5,IF($E748="Iron Ball",0.5,1)))</f>
        <v>172</v>
      </c>
      <c r="AH748" s="84" t="str">
        <f>VLOOKUP(VLOOKUP($C748,DexData,3,0),Aliases!D$2:E$19,2,0)&amp;IFERROR("/"&amp;VLOOKUP(VLOOKUP($C748,DexData,4,0),Aliases!D$2:E$19,2,0),"")</f>
        <v>GRD</v>
      </c>
      <c r="AI748" s="7">
        <v>3.0</v>
      </c>
      <c r="AJ748" s="7">
        <f>IF(VLOOKUP(B748,'Set Odds'!A$2:AN$1067,40,0),1,IF(VLOOKUP(B748,'Set Odds'!A$2:AO$1067,41,0),2,0))</f>
        <v>1</v>
      </c>
      <c r="AK748" s="7"/>
      <c r="AL748" s="7" t="str">
        <f t="shared" si="1"/>
        <v/>
      </c>
    </row>
    <row r="749" ht="12.75" customHeight="1">
      <c r="A749" s="86">
        <v>748.0</v>
      </c>
      <c r="B749" s="84" t="s">
        <v>4321</v>
      </c>
      <c r="C749" s="7" t="s">
        <v>3891</v>
      </c>
      <c r="D749" s="7" t="s">
        <v>2862</v>
      </c>
      <c r="E749" s="7" t="s">
        <v>2524</v>
      </c>
      <c r="F749" s="84" t="s">
        <v>2526</v>
      </c>
      <c r="G749" s="84" t="s">
        <v>2514</v>
      </c>
      <c r="H749" s="84" t="s">
        <v>3510</v>
      </c>
      <c r="I749" s="84" t="s">
        <v>2841</v>
      </c>
      <c r="J749" s="7" t="s">
        <v>3328</v>
      </c>
      <c r="K749" s="7">
        <v>31.0</v>
      </c>
      <c r="L749" s="7">
        <v>0.0</v>
      </c>
      <c r="M749" s="7">
        <v>31.0</v>
      </c>
      <c r="N749" s="7">
        <v>31.0</v>
      </c>
      <c r="O749" s="7">
        <v>31.0</v>
      </c>
      <c r="P749" s="7">
        <v>31.0</v>
      </c>
      <c r="Q749" s="7">
        <v>252.0</v>
      </c>
      <c r="R749" s="7">
        <v>0.0</v>
      </c>
      <c r="S749" s="7">
        <v>252.0</v>
      </c>
      <c r="T749" s="7">
        <v>0.0</v>
      </c>
      <c r="U749" s="7">
        <v>4.0</v>
      </c>
      <c r="V749" s="7">
        <v>0.0</v>
      </c>
      <c r="W749" s="7">
        <f>VLOOKUP($D749,NatureChart,2,0)</f>
        <v>0.9</v>
      </c>
      <c r="X749" s="7">
        <f>VLOOKUP($D749,NatureChart,3,0)</f>
        <v>1.1</v>
      </c>
      <c r="Y749" s="7">
        <f>VLOOKUP($D749,NatureChart,4,0)</f>
        <v>1</v>
      </c>
      <c r="Z749" s="7">
        <f>VLOOKUP($D749,NatureChart,5,0)</f>
        <v>1</v>
      </c>
      <c r="AA749" s="84">
        <f>VLOOKUP($D749,NatureChart,6,0)</f>
        <v>1</v>
      </c>
      <c r="AB749" s="84">
        <f>IF($C749="Shedinja",1,(INT((2*VLOOKUP($C749,DexData,5,0)+INT(Q749/4)+K749)/2)+60))</f>
        <v>217</v>
      </c>
      <c r="AC749" s="84">
        <f>INT(INT((INT((2*VLOOKUP($C749,DexData,6,0)+INT(R749/4)+L749)/2)+5)*W749)*IF($E749="Choice Band",1.5,IF(OR($E749="Mawilite",$E749="Medichamite",$E749="Thick Club"),2,1)))</f>
        <v>76</v>
      </c>
      <c r="AD749" s="84">
        <f>INT(INT((INT((2*VLOOKUP($C749,DexData,7,0)+INT(S749/4)+M749)/2)+5)*X749)*IF($E749="Eviolite",1.5,1))</f>
        <v>156</v>
      </c>
      <c r="AE749" s="84">
        <f>INT(INT((INT((2*VLOOKUP($C749,DexData,9,0)+INT(T749/4)+N749)/2)+5)*Y749)*IF($E749="Choice Specs",1.5,1))</f>
        <v>115</v>
      </c>
      <c r="AF749" s="84">
        <f>INT(INT((INT((2*VLOOKUP($C749,DexData,10,0)+INT(U749/4)+O749)/2)+5)*Z749)*IF(OR($E749="Eviolite",$E749="Assault Vest"),1.5,1))</f>
        <v>111</v>
      </c>
      <c r="AG749" s="84">
        <f>INT(INT((INT((2*VLOOKUP($C749,DexData,11,0)+INT(V749/4)+P749)/2)+5)*AA749)*IF($E749="Choice Scarf",1.5,IF($E749="Iron Ball",0.5,1)))</f>
        <v>85</v>
      </c>
      <c r="AH749" s="84" t="str">
        <f>VLOOKUP(VLOOKUP($C749,DexData,3,0),Aliases!D$2:E$19,2,0)&amp;IFERROR("/"&amp;VLOOKUP(VLOOKUP($C749,DexData,4,0),Aliases!D$2:E$19,2,0),"")</f>
        <v>ICE/WTR</v>
      </c>
      <c r="AI749" s="7">
        <v>3.0</v>
      </c>
      <c r="AJ749" s="7">
        <f>IF(VLOOKUP(B749,'Set Odds'!A$2:AN$1067,40,0),1,IF(VLOOKUP(B749,'Set Odds'!A$2:AO$1067,41,0),2,0))</f>
        <v>1</v>
      </c>
      <c r="AK749" s="7"/>
      <c r="AL749" s="7" t="str">
        <f t="shared" si="1"/>
        <v/>
      </c>
    </row>
    <row r="750" ht="12.75" customHeight="1">
      <c r="A750" s="86">
        <v>749.0</v>
      </c>
      <c r="B750" s="84" t="s">
        <v>4322</v>
      </c>
      <c r="C750" s="7" t="s">
        <v>3893</v>
      </c>
      <c r="D750" s="7" t="s">
        <v>2692</v>
      </c>
      <c r="E750" s="7" t="s">
        <v>2528</v>
      </c>
      <c r="F750" s="84" t="s">
        <v>3454</v>
      </c>
      <c r="G750" s="84" t="s">
        <v>3583</v>
      </c>
      <c r="H750" s="84" t="s">
        <v>3048</v>
      </c>
      <c r="I750" s="84" t="s">
        <v>2751</v>
      </c>
      <c r="J750" s="7" t="s">
        <v>3894</v>
      </c>
      <c r="K750" s="7">
        <v>31.0</v>
      </c>
      <c r="L750" s="7">
        <v>31.0</v>
      </c>
      <c r="M750" s="7">
        <v>31.0</v>
      </c>
      <c r="N750" s="7">
        <v>31.0</v>
      </c>
      <c r="O750" s="7">
        <v>31.0</v>
      </c>
      <c r="P750" s="7">
        <v>31.0</v>
      </c>
      <c r="Q750" s="7">
        <v>0.0</v>
      </c>
      <c r="R750" s="7">
        <v>252.0</v>
      </c>
      <c r="S750" s="7">
        <v>4.0</v>
      </c>
      <c r="T750" s="7">
        <v>0.0</v>
      </c>
      <c r="U750" s="7">
        <v>0.0</v>
      </c>
      <c r="V750" s="7">
        <v>252.0</v>
      </c>
      <c r="W750" s="7">
        <f>VLOOKUP($D750,NatureChart,2,0)</f>
        <v>1</v>
      </c>
      <c r="X750" s="7">
        <f>VLOOKUP($D750,NatureChart,3,0)</f>
        <v>1</v>
      </c>
      <c r="Y750" s="7">
        <f>VLOOKUP($D750,NatureChart,4,0)</f>
        <v>0.9</v>
      </c>
      <c r="Z750" s="7">
        <f>VLOOKUP($D750,NatureChart,5,0)</f>
        <v>1</v>
      </c>
      <c r="AA750" s="84">
        <f>VLOOKUP($D750,NatureChart,6,0)</f>
        <v>1.1</v>
      </c>
      <c r="AB750" s="84">
        <f>IF($C750="Shedinja",1,(INT((2*VLOOKUP($C750,DexData,5,0)+INT(Q750/4)+K750)/2)+60))</f>
        <v>185</v>
      </c>
      <c r="AC750" s="84">
        <f>INT(INT((INT((2*VLOOKUP($C750,DexData,6,0)+INT(R750/4)+L750)/2)+5)*W750)*IF($E750="Choice Band",1.5,IF(OR($E750="Mawilite",$E750="Medichamite",$E750="Thick Club"),2,1)))</f>
        <v>182</v>
      </c>
      <c r="AD750" s="84">
        <f>INT(INT((INT((2*VLOOKUP($C750,DexData,7,0)+INT(S750/4)+M750)/2)+5)*X750)*IF($E750="Eviolite",1.5,1))</f>
        <v>101</v>
      </c>
      <c r="AE750" s="84">
        <f>INT(INT((INT((2*VLOOKUP($C750,DexData,9,0)+INT(T750/4)+N750)/2)+5)*Y750)*IF($E750="Choice Specs",1.5,1))</f>
        <v>81</v>
      </c>
      <c r="AF750" s="84">
        <f>INT(INT((INT((2*VLOOKUP($C750,DexData,10,0)+INT(U750/4)+O750)/2)+5)*Z750)*IF(OR($E750="Eviolite",$E750="Assault Vest"),1.5,1))</f>
        <v>80</v>
      </c>
      <c r="AG750" s="84">
        <f>INT(INT((INT((2*VLOOKUP($C750,DexData,11,0)+INT(V750/4)+P750)/2)+5)*AA750)*IF($E750="Choice Scarf",1.5,IF($E750="Iron Ball",0.5,1)))</f>
        <v>145</v>
      </c>
      <c r="AH750" s="84" t="str">
        <f>VLOOKUP(VLOOKUP($C750,DexData,3,0),Aliases!D$2:E$19,2,0)&amp;IFERROR("/"&amp;VLOOKUP(VLOOKUP($C750,DexData,4,0),Aliases!D$2:E$19,2,0),"")</f>
        <v>ICE/GRD</v>
      </c>
      <c r="AI750" s="7">
        <v>3.0</v>
      </c>
      <c r="AJ750" s="7">
        <f>IF(VLOOKUP(B750,'Set Odds'!A$2:AN$1067,40,0),1,IF(VLOOKUP(B750,'Set Odds'!A$2:AO$1067,41,0),2,0))</f>
        <v>1</v>
      </c>
      <c r="AK750" s="7"/>
      <c r="AL750" s="7" t="str">
        <f t="shared" si="1"/>
        <v/>
      </c>
    </row>
    <row r="751" ht="12.75" customHeight="1">
      <c r="A751" s="86">
        <v>750.0</v>
      </c>
      <c r="B751" s="84" t="s">
        <v>4323</v>
      </c>
      <c r="C751" s="7" t="s">
        <v>3704</v>
      </c>
      <c r="D751" s="7" t="s">
        <v>2635</v>
      </c>
      <c r="E751" s="7" t="s">
        <v>2528</v>
      </c>
      <c r="F751" s="84" t="s">
        <v>4324</v>
      </c>
      <c r="G751" s="84" t="s">
        <v>3047</v>
      </c>
      <c r="H751" s="84" t="s">
        <v>2661</v>
      </c>
      <c r="I751" s="84" t="s">
        <v>2659</v>
      </c>
      <c r="J751" s="7" t="s">
        <v>3894</v>
      </c>
      <c r="K751" s="7">
        <v>31.0</v>
      </c>
      <c r="L751" s="7">
        <v>31.0</v>
      </c>
      <c r="M751" s="7">
        <v>31.0</v>
      </c>
      <c r="N751" s="7">
        <v>31.0</v>
      </c>
      <c r="O751" s="7">
        <v>31.0</v>
      </c>
      <c r="P751" s="7">
        <v>31.0</v>
      </c>
      <c r="Q751" s="7">
        <v>4.0</v>
      </c>
      <c r="R751" s="7">
        <v>0.0</v>
      </c>
      <c r="S751" s="7">
        <v>0.0</v>
      </c>
      <c r="T751" s="7">
        <v>252.0</v>
      </c>
      <c r="U751" s="7">
        <v>0.0</v>
      </c>
      <c r="V751" s="7">
        <v>252.0</v>
      </c>
      <c r="W751" s="7">
        <f>VLOOKUP($D751,NatureChart,2,0)</f>
        <v>0.9</v>
      </c>
      <c r="X751" s="7">
        <f>VLOOKUP($D751,NatureChart,3,0)</f>
        <v>1</v>
      </c>
      <c r="Y751" s="7">
        <f>VLOOKUP($D751,NatureChart,4,0)</f>
        <v>1</v>
      </c>
      <c r="Z751" s="7">
        <f>VLOOKUP($D751,NatureChart,5,0)</f>
        <v>1</v>
      </c>
      <c r="AA751" s="84">
        <f>VLOOKUP($D751,NatureChart,6,0)</f>
        <v>1.1</v>
      </c>
      <c r="AB751" s="84">
        <f>IF($C751="Shedinja",1,(INT((2*VLOOKUP($C751,DexData,5,0)+INT(Q751/4)+K751)/2)+60))</f>
        <v>146</v>
      </c>
      <c r="AC751" s="84">
        <f>INT(INT((INT((2*VLOOKUP($C751,DexData,6,0)+INT(R751/4)+L751)/2)+5)*W751)*IF($E751="Choice Band",1.5,IF(OR($E751="Mawilite",$E751="Medichamite",$E751="Thick Club"),2,1)))</f>
        <v>90</v>
      </c>
      <c r="AD751" s="84">
        <f>INT(INT((INT((2*VLOOKUP($C751,DexData,7,0)+INT(S751/4)+M751)/2)+5)*X751)*IF($E751="Eviolite",1.5,1))</f>
        <v>90</v>
      </c>
      <c r="AE751" s="84">
        <f>INT(INT((INT((2*VLOOKUP($C751,DexData,9,0)+INT(T751/4)+N751)/2)+5)*Y751)*IF($E751="Choice Specs",1.5,1))</f>
        <v>132</v>
      </c>
      <c r="AF751" s="84">
        <f>INT(INT((INT((2*VLOOKUP($C751,DexData,10,0)+INT(U751/4)+O751)/2)+5)*Z751)*IF(OR($E751="Eviolite",$E751="Assault Vest"),1.5,1))</f>
        <v>90</v>
      </c>
      <c r="AG751" s="84">
        <f>INT(INT((INT((2*VLOOKUP($C751,DexData,11,0)+INT(V751/4)+P751)/2)+5)*AA751)*IF($E751="Choice Scarf",1.5,IF($E751="Iron Ball",0.5,1)))</f>
        <v>178</v>
      </c>
      <c r="AH751" s="84" t="str">
        <f>VLOOKUP(VLOOKUP($C751,DexData,3,0),Aliases!D$2:E$19,2,0)&amp;IFERROR("/"&amp;VLOOKUP(VLOOKUP($C751,DexData,4,0),Aliases!D$2:E$19,2,0),"")</f>
        <v>ICE/GHO</v>
      </c>
      <c r="AI751" s="7">
        <v>3.0</v>
      </c>
      <c r="AJ751" s="7">
        <f>IF(VLOOKUP(B751,'Set Odds'!A$2:AN$1067,40,0),1,IF(VLOOKUP(B751,'Set Odds'!A$2:AO$1067,41,0),2,0))</f>
        <v>1</v>
      </c>
      <c r="AK751" s="7"/>
      <c r="AL751" s="7" t="str">
        <f t="shared" si="1"/>
        <v/>
      </c>
    </row>
    <row r="752" ht="12.75" customHeight="1">
      <c r="A752" s="86">
        <v>751.0</v>
      </c>
      <c r="B752" s="84" t="s">
        <v>4325</v>
      </c>
      <c r="C752" s="7" t="s">
        <v>3814</v>
      </c>
      <c r="D752" s="7" t="s">
        <v>2635</v>
      </c>
      <c r="E752" s="7" t="s">
        <v>2618</v>
      </c>
      <c r="F752" s="84" t="s">
        <v>4213</v>
      </c>
      <c r="G752" s="84" t="s">
        <v>3558</v>
      </c>
      <c r="H752" s="84" t="s">
        <v>3729</v>
      </c>
      <c r="I752" s="84" t="s">
        <v>2517</v>
      </c>
      <c r="J752" s="7" t="s">
        <v>2742</v>
      </c>
      <c r="K752" s="7">
        <v>31.0</v>
      </c>
      <c r="L752" s="7">
        <v>0.0</v>
      </c>
      <c r="M752" s="7">
        <v>31.0</v>
      </c>
      <c r="N752" s="7">
        <v>31.0</v>
      </c>
      <c r="O752" s="7">
        <v>31.0</v>
      </c>
      <c r="P752" s="7">
        <v>31.0</v>
      </c>
      <c r="Q752" s="7">
        <v>4.0</v>
      </c>
      <c r="R752" s="7">
        <v>0.0</v>
      </c>
      <c r="S752" s="7">
        <v>0.0</v>
      </c>
      <c r="T752" s="7">
        <v>252.0</v>
      </c>
      <c r="U752" s="7">
        <v>0.0</v>
      </c>
      <c r="V752" s="7">
        <v>252.0</v>
      </c>
      <c r="W752" s="7">
        <f>VLOOKUP($D752,NatureChart,2,0)</f>
        <v>0.9</v>
      </c>
      <c r="X752" s="7">
        <f>VLOOKUP($D752,NatureChart,3,0)</f>
        <v>1</v>
      </c>
      <c r="Y752" s="7">
        <f>VLOOKUP($D752,NatureChart,4,0)</f>
        <v>1</v>
      </c>
      <c r="Z752" s="7">
        <f>VLOOKUP($D752,NatureChart,5,0)</f>
        <v>1</v>
      </c>
      <c r="AA752" s="84">
        <f>VLOOKUP($D752,NatureChart,6,0)</f>
        <v>1.1</v>
      </c>
      <c r="AB752" s="84">
        <f>IF($C752="Shedinja",1,(INT((2*VLOOKUP($C752,DexData,5,0)+INT(Q752/4)+K752)/2)+60))</f>
        <v>149</v>
      </c>
      <c r="AC752" s="84">
        <f>INT(INT((INT((2*VLOOKUP($C752,DexData,6,0)+INT(R752/4)+L752)/2)+5)*W752)*IF($E752="Choice Band",1.5,IF(OR($E752="Mawilite",$E752="Medichamite",$E752="Thick Club"),2,1)))</f>
        <v>72</v>
      </c>
      <c r="AD752" s="84">
        <f>INT(INT((INT((2*VLOOKUP($C752,DexData,7,0)+INT(S752/4)+M752)/2)+5)*X752)*IF($E752="Eviolite",1.5,1))</f>
        <v>95</v>
      </c>
      <c r="AE752" s="84">
        <f>INT(INT((INT((2*VLOOKUP($C752,DexData,9,0)+INT(T752/4)+N752)/2)+5)*Y752)*IF($E752="Choice Specs",1.5,1))</f>
        <v>133</v>
      </c>
      <c r="AF752" s="84">
        <f>INT(INT((INT((2*VLOOKUP($C752,DexData,10,0)+INT(U752/4)+O752)/2)+5)*Z752)*IF(OR($E752="Eviolite",$E752="Assault Vest"),1.5,1))</f>
        <v>120</v>
      </c>
      <c r="AG752" s="84">
        <f>INT(INT((INT((2*VLOOKUP($C752,DexData,11,0)+INT(V752/4)+P752)/2)+5)*AA752)*IF($E752="Choice Scarf",1.5,IF($E752="Iron Ball",0.5,1)))</f>
        <v>167</v>
      </c>
      <c r="AH752" s="84" t="str">
        <f>VLOOKUP(VLOOKUP($C752,DexData,3,0),Aliases!D$2:E$19,2,0)&amp;IFERROR("/"&amp;VLOOKUP(VLOOKUP($C752,DexData,4,0),Aliases!D$2:E$19,2,0),"")</f>
        <v>FIR</v>
      </c>
      <c r="AI752" s="7">
        <v>3.0</v>
      </c>
      <c r="AJ752" s="7">
        <f>IF(VLOOKUP(B752,'Set Odds'!A$2:AN$1067,40,0),1,IF(VLOOKUP(B752,'Set Odds'!A$2:AO$1067,41,0),2,0))</f>
        <v>1</v>
      </c>
      <c r="AK752" s="7"/>
      <c r="AL752" s="7" t="str">
        <f t="shared" si="1"/>
        <v/>
      </c>
    </row>
    <row r="753" ht="12.75" customHeight="1">
      <c r="A753" s="86">
        <v>752.0</v>
      </c>
      <c r="B753" s="84" t="s">
        <v>4326</v>
      </c>
      <c r="C753" s="7" t="s">
        <v>3586</v>
      </c>
      <c r="D753" s="7" t="s">
        <v>2656</v>
      </c>
      <c r="E753" s="7" t="s">
        <v>2515</v>
      </c>
      <c r="F753" s="84" t="s">
        <v>2574</v>
      </c>
      <c r="G753" s="84" t="s">
        <v>3558</v>
      </c>
      <c r="H753" s="84" t="s">
        <v>3351</v>
      </c>
      <c r="I753" s="84" t="s">
        <v>3052</v>
      </c>
      <c r="J753" s="7" t="s">
        <v>2701</v>
      </c>
      <c r="K753" s="7">
        <v>31.0</v>
      </c>
      <c r="L753" s="7">
        <v>0.0</v>
      </c>
      <c r="M753" s="7">
        <v>31.0</v>
      </c>
      <c r="N753" s="7">
        <v>31.0</v>
      </c>
      <c r="O753" s="7">
        <v>31.0</v>
      </c>
      <c r="P753" s="7">
        <v>31.0</v>
      </c>
      <c r="Q753" s="7">
        <v>4.0</v>
      </c>
      <c r="R753" s="7">
        <v>0.0</v>
      </c>
      <c r="S753" s="7">
        <v>0.0</v>
      </c>
      <c r="T753" s="7">
        <v>252.0</v>
      </c>
      <c r="U753" s="7">
        <v>0.0</v>
      </c>
      <c r="V753" s="7">
        <v>252.0</v>
      </c>
      <c r="W753" s="7">
        <f>VLOOKUP($D753,NatureChart,2,0)</f>
        <v>0.9</v>
      </c>
      <c r="X753" s="7">
        <f>VLOOKUP($D753,NatureChart,3,0)</f>
        <v>1</v>
      </c>
      <c r="Y753" s="7">
        <f>VLOOKUP($D753,NatureChart,4,0)</f>
        <v>1.1</v>
      </c>
      <c r="Z753" s="7">
        <f>VLOOKUP($D753,NatureChart,5,0)</f>
        <v>1</v>
      </c>
      <c r="AA753" s="84">
        <f>VLOOKUP($D753,NatureChart,6,0)</f>
        <v>1</v>
      </c>
      <c r="AB753" s="84">
        <f>IF($C753="Shedinja",1,(INT((2*VLOOKUP($C753,DexData,5,0)+INT(Q753/4)+K753)/2)+60))</f>
        <v>156</v>
      </c>
      <c r="AC753" s="84">
        <f>INT(INT((INT((2*VLOOKUP($C753,DexData,6,0)+INT(R753/4)+L753)/2)+5)*W753)*IF($E753="Choice Band",1.5,IF(OR($E753="Mawilite",$E753="Medichamite",$E753="Thick Club"),2,1)))</f>
        <v>78</v>
      </c>
      <c r="AD753" s="84">
        <f>INT(INT((INT((2*VLOOKUP($C753,DexData,7,0)+INT(S753/4)+M753)/2)+5)*X753)*IF($E753="Eviolite",1.5,1))</f>
        <v>103</v>
      </c>
      <c r="AE753" s="84">
        <f>INT(INT((INT((2*VLOOKUP($C753,DexData,9,0)+INT(T753/4)+N753)/2)+5)*Y753)*IF($E753="Choice Specs",1.5,1))</f>
        <v>167</v>
      </c>
      <c r="AF753" s="84">
        <f>INT(INT((INT((2*VLOOKUP($C753,DexData,10,0)+INT(U753/4)+O753)/2)+5)*Z753)*IF(OR($E753="Eviolite",$E753="Assault Vest"),1.5,1))</f>
        <v>120</v>
      </c>
      <c r="AG753" s="84">
        <f>INT(INT((INT((2*VLOOKUP($C753,DexData,11,0)+INT(V753/4)+P753)/2)+5)*AA753)*IF($E753="Choice Scarf",1.5,IF($E753="Iron Ball",0.5,1)))</f>
        <v>132</v>
      </c>
      <c r="AH753" s="84" t="str">
        <f>VLOOKUP(VLOOKUP($C753,DexData,3,0),Aliases!D$2:E$19,2,0)&amp;IFERROR("/"&amp;VLOOKUP(VLOOKUP($C753,DexData,4,0),Aliases!D$2:E$19,2,0),"")</f>
        <v>GRS/PSN</v>
      </c>
      <c r="AI753" s="7">
        <v>3.0</v>
      </c>
      <c r="AJ753" s="7">
        <f>IF(VLOOKUP(B753,'Set Odds'!A$2:AN$1067,40,0),1,IF(VLOOKUP(B753,'Set Odds'!A$2:AO$1067,41,0),2,0))</f>
        <v>1</v>
      </c>
      <c r="AK753" s="7"/>
      <c r="AL753" s="7" t="str">
        <f t="shared" si="1"/>
        <v/>
      </c>
    </row>
    <row r="754" ht="12.75" customHeight="1">
      <c r="A754" s="86">
        <v>753.0</v>
      </c>
      <c r="B754" s="84" t="s">
        <v>4327</v>
      </c>
      <c r="C754" s="7" t="s">
        <v>3589</v>
      </c>
      <c r="D754" s="7" t="s">
        <v>2656</v>
      </c>
      <c r="E754" s="7" t="s">
        <v>2665</v>
      </c>
      <c r="F754" s="84" t="s">
        <v>4213</v>
      </c>
      <c r="G754" s="84" t="s">
        <v>3091</v>
      </c>
      <c r="H754" s="84" t="s">
        <v>2660</v>
      </c>
      <c r="I754" s="84" t="s">
        <v>3427</v>
      </c>
      <c r="J754" s="7" t="s">
        <v>3380</v>
      </c>
      <c r="K754" s="7">
        <v>31.0</v>
      </c>
      <c r="L754" s="7">
        <v>0.0</v>
      </c>
      <c r="M754" s="7">
        <v>31.0</v>
      </c>
      <c r="N754" s="7">
        <v>31.0</v>
      </c>
      <c r="O754" s="7">
        <v>31.0</v>
      </c>
      <c r="P754" s="7">
        <v>31.0</v>
      </c>
      <c r="Q754" s="7">
        <v>4.0</v>
      </c>
      <c r="R754" s="7">
        <v>0.0</v>
      </c>
      <c r="S754" s="7">
        <v>0.0</v>
      </c>
      <c r="T754" s="7">
        <v>252.0</v>
      </c>
      <c r="U754" s="7">
        <v>0.0</v>
      </c>
      <c r="V754" s="7">
        <v>252.0</v>
      </c>
      <c r="W754" s="7">
        <f>VLOOKUP($D754,NatureChart,2,0)</f>
        <v>0.9</v>
      </c>
      <c r="X754" s="7">
        <f>VLOOKUP($D754,NatureChart,3,0)</f>
        <v>1</v>
      </c>
      <c r="Y754" s="7">
        <f>VLOOKUP($D754,NatureChart,4,0)</f>
        <v>1.1</v>
      </c>
      <c r="Z754" s="7">
        <f>VLOOKUP($D754,NatureChart,5,0)</f>
        <v>1</v>
      </c>
      <c r="AA754" s="84">
        <f>VLOOKUP($D754,NatureChart,6,0)</f>
        <v>1</v>
      </c>
      <c r="AB754" s="84">
        <f>IF($C754="Shedinja",1,(INT((2*VLOOKUP($C754,DexData,5,0)+INT(Q754/4)+K754)/2)+60))</f>
        <v>154</v>
      </c>
      <c r="AC754" s="84">
        <f>INT(INT((INT((2*VLOOKUP($C754,DexData,6,0)+INT(R754/4)+L754)/2)+5)*W754)*IF($E754="Choice Band",1.5,IF(OR($E754="Mawilite",$E754="Medichamite",$E754="Thick Club"),2,1)))</f>
        <v>80</v>
      </c>
      <c r="AD754" s="84">
        <f>INT(INT((INT((2*VLOOKUP($C754,DexData,7,0)+INT(S754/4)+M754)/2)+5)*X754)*IF($E754="Eviolite",1.5,1))</f>
        <v>98</v>
      </c>
      <c r="AE754" s="84">
        <f>INT(INT((INT((2*VLOOKUP($C754,DexData,9,0)+INT(T754/4)+N754)/2)+5)*Y754)*IF($E754="Choice Specs",1.5,1))</f>
        <v>177</v>
      </c>
      <c r="AF754" s="84">
        <f>INT(INT((INT((2*VLOOKUP($C754,DexData,10,0)+INT(U754/4)+O754)/2)+5)*Z754)*IF(OR($E754="Eviolite",$E754="Assault Vest"),1.5,1))</f>
        <v>105</v>
      </c>
      <c r="AG754" s="84">
        <f>INT(INT((INT((2*VLOOKUP($C754,DexData,11,0)+INT(V754/4)+P754)/2)+5)*AA754)*IF($E754="Choice Scarf",1.5,IF($E754="Iron Ball",0.5,1)))</f>
        <v>228</v>
      </c>
      <c r="AH754" s="84" t="str">
        <f>VLOOKUP(VLOOKUP($C754,DexData,3,0),Aliases!D$2:E$19,2,0)&amp;IFERROR("/"&amp;VLOOKUP(VLOOKUP($C754,DexData,4,0),Aliases!D$2:E$19,2,0),"")</f>
        <v>FIR/FLY</v>
      </c>
      <c r="AI754" s="7">
        <v>3.0</v>
      </c>
      <c r="AJ754" s="7">
        <f>IF(VLOOKUP(B754,'Set Odds'!A$2:AN$1067,40,0),1,IF(VLOOKUP(B754,'Set Odds'!A$2:AO$1067,41,0),2,0))</f>
        <v>1</v>
      </c>
      <c r="AK754" s="7"/>
      <c r="AL754" s="7" t="str">
        <f t="shared" si="1"/>
        <v/>
      </c>
    </row>
    <row r="755" ht="12.75" customHeight="1">
      <c r="A755" s="86">
        <v>754.0</v>
      </c>
      <c r="B755" s="84" t="s">
        <v>4328</v>
      </c>
      <c r="C755" s="7" t="s">
        <v>3936</v>
      </c>
      <c r="D755" s="7" t="s">
        <v>2692</v>
      </c>
      <c r="E755" s="7" t="s">
        <v>3071</v>
      </c>
      <c r="F755" s="84" t="s">
        <v>3454</v>
      </c>
      <c r="G755" s="84" t="s">
        <v>2801</v>
      </c>
      <c r="H755" s="84" t="s">
        <v>2625</v>
      </c>
      <c r="I755" s="84" t="s">
        <v>2581</v>
      </c>
      <c r="J755" s="7" t="s">
        <v>2803</v>
      </c>
      <c r="K755" s="7">
        <v>31.0</v>
      </c>
      <c r="L755" s="7">
        <v>31.0</v>
      </c>
      <c r="M755" s="7">
        <v>31.0</v>
      </c>
      <c r="N755" s="7">
        <v>0.0</v>
      </c>
      <c r="O755" s="7">
        <v>31.0</v>
      </c>
      <c r="P755" s="7">
        <v>31.0</v>
      </c>
      <c r="Q755" s="7">
        <v>4.0</v>
      </c>
      <c r="R755" s="7">
        <v>252.0</v>
      </c>
      <c r="S755" s="7">
        <v>0.0</v>
      </c>
      <c r="T755" s="7">
        <v>0.0</v>
      </c>
      <c r="U755" s="7">
        <v>0.0</v>
      </c>
      <c r="V755" s="7">
        <v>252.0</v>
      </c>
      <c r="W755" s="7">
        <f>VLOOKUP($D755,NatureChart,2,0)</f>
        <v>1</v>
      </c>
      <c r="X755" s="7">
        <f>VLOOKUP($D755,NatureChart,3,0)</f>
        <v>1</v>
      </c>
      <c r="Y755" s="7">
        <f>VLOOKUP($D755,NatureChart,4,0)</f>
        <v>0.9</v>
      </c>
      <c r="Z755" s="7">
        <f>VLOOKUP($D755,NatureChart,5,0)</f>
        <v>1</v>
      </c>
      <c r="AA755" s="84">
        <f>VLOOKUP($D755,NatureChart,6,0)</f>
        <v>1.1</v>
      </c>
      <c r="AB755" s="84">
        <f>IF($C755="Shedinja",1,(INT((2*VLOOKUP($C755,DexData,5,0)+INT(Q755/4)+K755)/2)+60))</f>
        <v>184</v>
      </c>
      <c r="AC755" s="84">
        <f>INT(INT((INT((2*VLOOKUP($C755,DexData,6,0)+INT(R755/4)+L755)/2)+5)*W755)*IF($E755="Choice Band",1.5,IF(OR($E755="Mawilite",$E755="Medichamite",$E755="Thick Club"),2,1)))</f>
        <v>182</v>
      </c>
      <c r="AD755" s="84">
        <f>INT(INT((INT((2*VLOOKUP($C755,DexData,7,0)+INT(S755/4)+M755)/2)+5)*X755)*IF($E755="Eviolite",1.5,1))</f>
        <v>115</v>
      </c>
      <c r="AE755" s="84">
        <f>INT(INT((INT((2*VLOOKUP($C755,DexData,9,0)+INT(T755/4)+N755)/2)+5)*Y755)*IF($E755="Choice Specs",1.5,1))</f>
        <v>76</v>
      </c>
      <c r="AF755" s="84">
        <f>INT(INT((INT((2*VLOOKUP($C755,DexData,10,0)+INT(U755/4)+O755)/2)+5)*Z755)*IF(OR($E755="Eviolite",$E755="Assault Vest"),1.5,1))</f>
        <v>105</v>
      </c>
      <c r="AG755" s="84">
        <f>INT(INT((INT((2*VLOOKUP($C755,DexData,11,0)+INT(V755/4)+P755)/2)+5)*AA755)*IF($E755="Choice Scarf",1.5,IF($E755="Iron Ball",0.5,1)))</f>
        <v>169</v>
      </c>
      <c r="AH755" s="84" t="str">
        <f>VLOOKUP(VLOOKUP($C755,DexData,3,0),Aliases!D$2:E$19,2,0)&amp;IFERROR("/"&amp;VLOOKUP(VLOOKUP($C755,DexData,4,0),Aliases!D$2:E$19,2,0),"")</f>
        <v>DRG/GRD</v>
      </c>
      <c r="AI755" s="7">
        <v>3.0</v>
      </c>
      <c r="AJ755" s="7">
        <f>IF(VLOOKUP(B755,'Set Odds'!A$2:AN$1067,40,0),1,IF(VLOOKUP(B755,'Set Odds'!A$2:AO$1067,41,0),2,0))</f>
        <v>1</v>
      </c>
      <c r="AK755" s="7"/>
      <c r="AL755" s="7" t="str">
        <f t="shared" si="1"/>
        <v/>
      </c>
    </row>
    <row r="756" ht="12.75" customHeight="1">
      <c r="A756" s="86">
        <v>755.0</v>
      </c>
      <c r="B756" s="84" t="s">
        <v>4329</v>
      </c>
      <c r="C756" s="7" t="s">
        <v>3779</v>
      </c>
      <c r="D756" s="7" t="s">
        <v>2862</v>
      </c>
      <c r="E756" s="7" t="s">
        <v>3206</v>
      </c>
      <c r="F756" s="84" t="s">
        <v>3640</v>
      </c>
      <c r="G756" s="84" t="s">
        <v>2517</v>
      </c>
      <c r="H756" s="84" t="s">
        <v>3236</v>
      </c>
      <c r="I756" s="84" t="s">
        <v>3341</v>
      </c>
      <c r="J756" s="7" t="s">
        <v>3399</v>
      </c>
      <c r="K756" s="7">
        <v>31.0</v>
      </c>
      <c r="L756" s="7">
        <v>0.0</v>
      </c>
      <c r="M756" s="7">
        <v>31.0</v>
      </c>
      <c r="N756" s="7">
        <v>31.0</v>
      </c>
      <c r="O756" s="7">
        <v>31.0</v>
      </c>
      <c r="P756" s="7">
        <v>31.0</v>
      </c>
      <c r="Q756" s="7">
        <v>252.0</v>
      </c>
      <c r="R756" s="7">
        <v>0.0</v>
      </c>
      <c r="S756" s="7">
        <v>252.0</v>
      </c>
      <c r="T756" s="7">
        <v>0.0</v>
      </c>
      <c r="U756" s="7">
        <v>4.0</v>
      </c>
      <c r="V756" s="7">
        <v>0.0</v>
      </c>
      <c r="W756" s="7">
        <f>VLOOKUP($D756,NatureChart,2,0)</f>
        <v>0.9</v>
      </c>
      <c r="X756" s="7">
        <f>VLOOKUP($D756,NatureChart,3,0)</f>
        <v>1.1</v>
      </c>
      <c r="Y756" s="7">
        <f>VLOOKUP($D756,NatureChart,4,0)</f>
        <v>1</v>
      </c>
      <c r="Z756" s="7">
        <f>VLOOKUP($D756,NatureChart,5,0)</f>
        <v>1</v>
      </c>
      <c r="AA756" s="84">
        <f>VLOOKUP($D756,NatureChart,6,0)</f>
        <v>1</v>
      </c>
      <c r="AB756" s="84">
        <f>IF($C756="Shedinja",1,(INT((2*VLOOKUP($C756,DexData,5,0)+INT(Q756/4)+K756)/2)+60))</f>
        <v>197</v>
      </c>
      <c r="AC756" s="84">
        <f>INT(INT((INT((2*VLOOKUP($C756,DexData,6,0)+INT(R756/4)+L756)/2)+5)*W756)*IF($E756="Choice Band",1.5,IF(OR($E756="Mawilite",$E756="Medichamite",$E756="Thick Club"),2,1)))</f>
        <v>72</v>
      </c>
      <c r="AD756" s="84">
        <f>INT(INT((INT((2*VLOOKUP($C756,DexData,7,0)+INT(S756/4)+M756)/2)+5)*X756)*IF($E756="Eviolite",1.5,1))</f>
        <v>139</v>
      </c>
      <c r="AE756" s="84">
        <f>INT(INT((INT((2*VLOOKUP($C756,DexData,9,0)+INT(T756/4)+N756)/2)+5)*Y756)*IF($E756="Choice Specs",1.5,1))</f>
        <v>110</v>
      </c>
      <c r="AF756" s="84">
        <f>INT(INT((INT((2*VLOOKUP($C756,DexData,10,0)+INT(U756/4)+O756)/2)+5)*Z756)*IF(OR($E756="Eviolite",$E756="Assault Vest"),1.5,1))</f>
        <v>121</v>
      </c>
      <c r="AG756" s="84">
        <f>INT(INT((INT((2*VLOOKUP($C756,DexData,11,0)+INT(V756/4)+P756)/2)+5)*AA756)*IF($E756="Choice Scarf",1.5,IF($E756="Iron Ball",0.5,1)))</f>
        <v>90</v>
      </c>
      <c r="AH756" s="84" t="str">
        <f>VLOOKUP(VLOOKUP($C756,DexData,3,0),Aliases!D$2:E$19,2,0)&amp;IFERROR("/"&amp;VLOOKUP(VLOOKUP($C756,DexData,4,0),Aliases!D$2:E$19,2,0),"")</f>
        <v>WTR</v>
      </c>
      <c r="AI756" s="7">
        <v>3.0</v>
      </c>
      <c r="AJ756" s="7">
        <f>IF(VLOOKUP(B756,'Set Odds'!A$2:AN$1067,40,0),1,IF(VLOOKUP(B756,'Set Odds'!A$2:AO$1067,41,0),2,0))</f>
        <v>1</v>
      </c>
      <c r="AK756" s="7"/>
      <c r="AL756" s="7" t="str">
        <f t="shared" si="1"/>
        <v/>
      </c>
    </row>
    <row r="757" ht="12.75" customHeight="1">
      <c r="A757" s="86">
        <v>756.0</v>
      </c>
      <c r="B757" s="84" t="s">
        <v>4330</v>
      </c>
      <c r="C757" s="7" t="s">
        <v>3912</v>
      </c>
      <c r="D757" s="7" t="s">
        <v>2656</v>
      </c>
      <c r="E757" s="7" t="s">
        <v>3096</v>
      </c>
      <c r="F757" s="84" t="s">
        <v>3341</v>
      </c>
      <c r="G757" s="84" t="s">
        <v>4016</v>
      </c>
      <c r="H757" s="84" t="s">
        <v>4109</v>
      </c>
      <c r="I757" s="84" t="s">
        <v>2967</v>
      </c>
      <c r="J757" s="7" t="s">
        <v>3028</v>
      </c>
      <c r="K757" s="7">
        <v>31.0</v>
      </c>
      <c r="L757" s="7">
        <v>0.0</v>
      </c>
      <c r="M757" s="7">
        <v>31.0</v>
      </c>
      <c r="N757" s="7">
        <v>31.0</v>
      </c>
      <c r="O757" s="7">
        <v>31.0</v>
      </c>
      <c r="P757" s="7">
        <v>31.0</v>
      </c>
      <c r="Q757" s="7">
        <v>4.0</v>
      </c>
      <c r="R757" s="7">
        <v>0.0</v>
      </c>
      <c r="S757" s="7">
        <v>0.0</v>
      </c>
      <c r="T757" s="7">
        <v>252.0</v>
      </c>
      <c r="U757" s="7">
        <v>0.0</v>
      </c>
      <c r="V757" s="7">
        <v>252.0</v>
      </c>
      <c r="W757" s="7">
        <f>VLOOKUP($D757,NatureChart,2,0)</f>
        <v>0.9</v>
      </c>
      <c r="X757" s="7">
        <f>VLOOKUP($D757,NatureChart,3,0)</f>
        <v>1</v>
      </c>
      <c r="Y757" s="7">
        <f>VLOOKUP($D757,NatureChart,4,0)</f>
        <v>1.1</v>
      </c>
      <c r="Z757" s="7">
        <f>VLOOKUP($D757,NatureChart,5,0)</f>
        <v>1</v>
      </c>
      <c r="AA757" s="84">
        <f>VLOOKUP($D757,NatureChart,6,0)</f>
        <v>1</v>
      </c>
      <c r="AB757" s="84">
        <f>IF($C757="Shedinja",1,(INT((2*VLOOKUP($C757,DexData,5,0)+INT(Q757/4)+K757)/2)+60))</f>
        <v>151</v>
      </c>
      <c r="AC757" s="84">
        <f>INT(INT((INT((2*VLOOKUP($C757,DexData,6,0)+INT(R757/4)+L757)/2)+5)*W757)*IF($E757="Choice Band",1.5,IF(OR($E757="Mawilite",$E757="Medichamite",$E757="Thick Club"),2,1)))</f>
        <v>90</v>
      </c>
      <c r="AD757" s="84">
        <f>INT(INT((INT((2*VLOOKUP($C757,DexData,7,0)+INT(S757/4)+M757)/2)+5)*X757)*IF($E757="Eviolite",1.5,1))</f>
        <v>115</v>
      </c>
      <c r="AE757" s="84">
        <f>INT(INT((INT((2*VLOOKUP($C757,DexData,9,0)+INT(T757/4)+N757)/2)+5)*Y757)*IF($E757="Choice Specs",1.5,1))</f>
        <v>161</v>
      </c>
      <c r="AF757" s="84">
        <f>INT(INT((INT((2*VLOOKUP($C757,DexData,10,0)+INT(U757/4)+O757)/2)+5)*Z757)*IF(OR($E757="Eviolite",$E757="Assault Vest"),1.5,1))</f>
        <v>115</v>
      </c>
      <c r="AG757" s="84">
        <f>INT(INT((INT((2*VLOOKUP($C757,DexData,11,0)+INT(V757/4)+P757)/2)+5)*AA757)*IF($E757="Choice Scarf",1.5,IF($E757="Iron Ball",0.5,1)))</f>
        <v>137</v>
      </c>
      <c r="AH757" s="84" t="str">
        <f>VLOOKUP(VLOOKUP($C757,DexData,3,0),Aliases!D$2:E$19,2,0)&amp;IFERROR("/"&amp;VLOOKUP(VLOOKUP($C757,DexData,4,0),Aliases!D$2:E$19,2,0),"")</f>
        <v>WTR/DRG</v>
      </c>
      <c r="AI757" s="7">
        <v>3.0</v>
      </c>
      <c r="AJ757" s="7">
        <f>IF(VLOOKUP(B757,'Set Odds'!A$2:AN$1067,40,0),1,IF(VLOOKUP(B757,'Set Odds'!A$2:AO$1067,41,0),2,0))</f>
        <v>1</v>
      </c>
      <c r="AK757" s="7"/>
      <c r="AL757" s="7" t="str">
        <f t="shared" si="1"/>
        <v/>
      </c>
    </row>
    <row r="758" ht="12.75" customHeight="1">
      <c r="A758" s="86">
        <v>757.0</v>
      </c>
      <c r="B758" s="84" t="s">
        <v>4331</v>
      </c>
      <c r="C758" s="7" t="s">
        <v>4212</v>
      </c>
      <c r="D758" s="7" t="s">
        <v>2656</v>
      </c>
      <c r="E758" s="7" t="s">
        <v>2636</v>
      </c>
      <c r="F758" s="84" t="s">
        <v>4025</v>
      </c>
      <c r="G758" s="84" t="s">
        <v>3523</v>
      </c>
      <c r="H758" s="84" t="s">
        <v>4109</v>
      </c>
      <c r="I758" s="84" t="s">
        <v>3448</v>
      </c>
      <c r="J758" s="7" t="s">
        <v>3136</v>
      </c>
      <c r="K758" s="7">
        <v>31.0</v>
      </c>
      <c r="L758" s="7">
        <v>0.0</v>
      </c>
      <c r="M758" s="7">
        <v>31.0</v>
      </c>
      <c r="N758" s="7">
        <v>31.0</v>
      </c>
      <c r="O758" s="7">
        <v>31.0</v>
      </c>
      <c r="P758" s="7">
        <v>31.0</v>
      </c>
      <c r="Q758" s="7">
        <v>252.0</v>
      </c>
      <c r="R758" s="7">
        <v>0.0</v>
      </c>
      <c r="S758" s="7">
        <v>4.0</v>
      </c>
      <c r="T758" s="7">
        <v>252.0</v>
      </c>
      <c r="U758" s="7">
        <v>0.0</v>
      </c>
      <c r="V758" s="7">
        <v>0.0</v>
      </c>
      <c r="W758" s="7">
        <f>VLOOKUP($D758,NatureChart,2,0)</f>
        <v>0.9</v>
      </c>
      <c r="X758" s="7">
        <f>VLOOKUP($D758,NatureChart,3,0)</f>
        <v>1</v>
      </c>
      <c r="Y758" s="7">
        <f>VLOOKUP($D758,NatureChart,4,0)</f>
        <v>1.1</v>
      </c>
      <c r="Z758" s="7">
        <f>VLOOKUP($D758,NatureChart,5,0)</f>
        <v>1</v>
      </c>
      <c r="AA758" s="84">
        <f>VLOOKUP($D758,NatureChart,6,0)</f>
        <v>1</v>
      </c>
      <c r="AB758" s="84">
        <f>IF($C758="Shedinja",1,(INT((2*VLOOKUP($C758,DexData,5,0)+INT(Q758/4)+K758)/2)+60))</f>
        <v>197</v>
      </c>
      <c r="AC758" s="84">
        <f>INT(INT((INT((2*VLOOKUP($C758,DexData,6,0)+INT(R758/4)+L758)/2)+5)*W758)*IF($E758="Choice Band",1.5,IF(OR($E758="Mawilite",$E758="Medichamite",$E758="Thick Club"),2,1)))</f>
        <v>85</v>
      </c>
      <c r="AD758" s="84">
        <f>INT(INT((INT((2*VLOOKUP($C758,DexData,7,0)+INT(S758/4)+M758)/2)+5)*X758)*IF($E758="Eviolite",1.5,1))</f>
        <v>106</v>
      </c>
      <c r="AE758" s="84">
        <f>INT(INT((INT((2*VLOOKUP($C758,DexData,9,0)+INT(T758/4)+N758)/2)+5)*Y758)*IF($E758="Choice Specs",1.5,1))</f>
        <v>194</v>
      </c>
      <c r="AF758" s="84">
        <f>INT(INT((INT((2*VLOOKUP($C758,DexData,10,0)+INT(U758/4)+O758)/2)+5)*Z758)*IF(OR($E758="Eviolite",$E758="Assault Vest"),1.5,1))</f>
        <v>110</v>
      </c>
      <c r="AG758" s="84">
        <f>INT(INT((INT((2*VLOOKUP($C758,DexData,11,0)+INT(V758/4)+P758)/2)+5)*AA758)*IF($E758="Choice Scarf",1.5,IF($E758="Iron Ball",0.5,1)))</f>
        <v>120</v>
      </c>
      <c r="AH758" s="84" t="str">
        <f>VLOOKUP(VLOOKUP($C758,DexData,3,0),Aliases!D$2:E$19,2,0)&amp;IFERROR("/"&amp;VLOOKUP(VLOOKUP($C758,DexData,4,0),Aliases!D$2:E$19,2,0),"")</f>
        <v>ELC/FLY</v>
      </c>
      <c r="AI758" s="7">
        <v>3.0</v>
      </c>
      <c r="AJ758" s="7">
        <f>IF(VLOOKUP(B758,'Set Odds'!A$2:AN$1067,40,0),1,IF(VLOOKUP(B758,'Set Odds'!A$2:AO$1067,41,0),2,0))</f>
        <v>1</v>
      </c>
      <c r="AK758" s="7"/>
      <c r="AL758" s="7" t="str">
        <f t="shared" si="1"/>
        <v/>
      </c>
    </row>
    <row r="759" ht="12.75" customHeight="1">
      <c r="A759" s="86">
        <v>758.0</v>
      </c>
      <c r="B759" s="84" t="s">
        <v>4332</v>
      </c>
      <c r="C759" s="7" t="s">
        <v>3783</v>
      </c>
      <c r="D759" s="7" t="s">
        <v>2571</v>
      </c>
      <c r="E759" s="7" t="s">
        <v>2885</v>
      </c>
      <c r="F759" s="84" t="s">
        <v>3784</v>
      </c>
      <c r="G759" s="84" t="s">
        <v>2602</v>
      </c>
      <c r="H759" s="84" t="s">
        <v>3535</v>
      </c>
      <c r="I759" s="84" t="s">
        <v>3314</v>
      </c>
      <c r="J759" s="7" t="s">
        <v>3412</v>
      </c>
      <c r="K759" s="7">
        <v>31.0</v>
      </c>
      <c r="L759" s="7">
        <v>31.0</v>
      </c>
      <c r="M759" s="7">
        <v>31.0</v>
      </c>
      <c r="N759" s="7">
        <v>0.0</v>
      </c>
      <c r="O759" s="7">
        <v>31.0</v>
      </c>
      <c r="P759" s="7">
        <v>31.0</v>
      </c>
      <c r="Q759" s="7">
        <v>236.0</v>
      </c>
      <c r="R759" s="7">
        <v>252.0</v>
      </c>
      <c r="S759" s="7">
        <v>20.0</v>
      </c>
      <c r="T759" s="7">
        <v>0.0</v>
      </c>
      <c r="U759" s="7">
        <v>0.0</v>
      </c>
      <c r="V759" s="7">
        <v>0.0</v>
      </c>
      <c r="W759" s="7">
        <f>VLOOKUP($D759,NatureChart,2,0)</f>
        <v>1.1</v>
      </c>
      <c r="X759" s="7">
        <f>VLOOKUP($D759,NatureChart,3,0)</f>
        <v>1</v>
      </c>
      <c r="Y759" s="7">
        <f>VLOOKUP($D759,NatureChart,4,0)</f>
        <v>0.9</v>
      </c>
      <c r="Z759" s="7">
        <f>VLOOKUP($D759,NatureChart,5,0)</f>
        <v>1</v>
      </c>
      <c r="AA759" s="84">
        <f>VLOOKUP($D759,NatureChart,6,0)</f>
        <v>1</v>
      </c>
      <c r="AB759" s="84">
        <f>IF($C759="Shedinja",1,(INT((2*VLOOKUP($C759,DexData,5,0)+INT(Q759/4)+K759)/2)+60))</f>
        <v>175</v>
      </c>
      <c r="AC759" s="84">
        <f>INT(INT((INT((2*VLOOKUP($C759,DexData,6,0)+INT(R759/4)+L759)/2)+5)*W759)*IF($E759="Choice Band",1.5,IF(OR($E759="Mawilite",$E759="Medichamite",$E759="Thick Club"),2,1)))</f>
        <v>300</v>
      </c>
      <c r="AD759" s="84">
        <f>INT(INT((INT((2*VLOOKUP($C759,DexData,7,0)+INT(S759/4)+M759)/2)+5)*X759)*IF($E759="Eviolite",1.5,1))</f>
        <v>123</v>
      </c>
      <c r="AE759" s="84">
        <f>INT(INT((INT((2*VLOOKUP($C759,DexData,9,0)+INT(T759/4)+N759)/2)+5)*Y759)*IF($E759="Choice Specs",1.5,1))</f>
        <v>54</v>
      </c>
      <c r="AF759" s="84">
        <f>INT(INT((INT((2*VLOOKUP($C759,DexData,10,0)+INT(U759/4)+O759)/2)+5)*Z759)*IF(OR($E759="Eviolite",$E759="Assault Vest"),1.5,1))</f>
        <v>100</v>
      </c>
      <c r="AG759" s="84">
        <f>INT(INT((INT((2*VLOOKUP($C759,DexData,11,0)+INT(V759/4)+P759)/2)+5)*AA759)*IF($E759="Choice Scarf",1.5,IF($E759="Iron Ball",0.5,1)))</f>
        <v>85</v>
      </c>
      <c r="AH759" s="84" t="str">
        <f>VLOOKUP(VLOOKUP($C759,DexData,3,0),Aliases!D$2:E$19,2,0)&amp;IFERROR("/"&amp;VLOOKUP(VLOOKUP($C759,DexData,4,0),Aliases!D$2:E$19,2,0),"")</f>
        <v>BUG/STL</v>
      </c>
      <c r="AI759" s="7">
        <v>3.0</v>
      </c>
      <c r="AJ759" s="7">
        <f>IF(VLOOKUP(B759,'Set Odds'!A$2:AN$1067,40,0),1,IF(VLOOKUP(B759,'Set Odds'!A$2:AO$1067,41,0),2,0))</f>
        <v>1</v>
      </c>
      <c r="AK759" s="7"/>
      <c r="AL759" s="7" t="str">
        <f t="shared" si="1"/>
        <v/>
      </c>
    </row>
    <row r="760" ht="12.75" customHeight="1">
      <c r="A760" s="86">
        <v>759.0</v>
      </c>
      <c r="B760" s="84" t="s">
        <v>4333</v>
      </c>
      <c r="C760" s="7" t="s">
        <v>3492</v>
      </c>
      <c r="D760" s="7" t="s">
        <v>2571</v>
      </c>
      <c r="E760" s="7" t="s">
        <v>2636</v>
      </c>
      <c r="F760" s="84" t="s">
        <v>2513</v>
      </c>
      <c r="G760" s="84" t="s">
        <v>4334</v>
      </c>
      <c r="H760" s="84" t="s">
        <v>3236</v>
      </c>
      <c r="I760" s="84" t="s">
        <v>4335</v>
      </c>
      <c r="J760" s="7" t="s">
        <v>2696</v>
      </c>
      <c r="K760" s="7">
        <v>31.0</v>
      </c>
      <c r="L760" s="7">
        <v>31.0</v>
      </c>
      <c r="M760" s="7">
        <v>31.0</v>
      </c>
      <c r="N760" s="7">
        <v>0.0</v>
      </c>
      <c r="O760" s="7">
        <v>31.0</v>
      </c>
      <c r="P760" s="7">
        <v>31.0</v>
      </c>
      <c r="Q760" s="7">
        <v>252.0</v>
      </c>
      <c r="R760" s="7">
        <v>252.0</v>
      </c>
      <c r="S760" s="7">
        <v>4.0</v>
      </c>
      <c r="T760" s="7">
        <v>0.0</v>
      </c>
      <c r="U760" s="7">
        <v>0.0</v>
      </c>
      <c r="V760" s="7">
        <v>0.0</v>
      </c>
      <c r="W760" s="7">
        <f>VLOOKUP($D760,NatureChart,2,0)</f>
        <v>1.1</v>
      </c>
      <c r="X760" s="7">
        <f>VLOOKUP($D760,NatureChart,3,0)</f>
        <v>1</v>
      </c>
      <c r="Y760" s="7">
        <f>VLOOKUP($D760,NatureChart,4,0)</f>
        <v>0.9</v>
      </c>
      <c r="Z760" s="7">
        <f>VLOOKUP($D760,NatureChart,5,0)</f>
        <v>1</v>
      </c>
      <c r="AA760" s="84">
        <f>VLOOKUP($D760,NatureChart,6,0)</f>
        <v>1</v>
      </c>
      <c r="AB760" s="84">
        <f>IF($C760="Shedinja",1,(INT((2*VLOOKUP($C760,DexData,5,0)+INT(Q760/4)+K760)/2)+60))</f>
        <v>157</v>
      </c>
      <c r="AC760" s="84">
        <f>INT(INT((INT((2*VLOOKUP($C760,DexData,6,0)+INT(R760/4)+L760)/2)+5)*W760)*IF($E760="Choice Band",1.5,IF(OR($E760="Mawilite",$E760="Medichamite",$E760="Thick Club"),2,1)))</f>
        <v>161</v>
      </c>
      <c r="AD760" s="84">
        <f>INT(INT((INT((2*VLOOKUP($C760,DexData,7,0)+INT(S760/4)+M760)/2)+5)*X760)*IF($E760="Eviolite",1.5,1))</f>
        <v>116</v>
      </c>
      <c r="AE760" s="84">
        <f>INT(INT((INT((2*VLOOKUP($C760,DexData,9,0)+INT(T760/4)+N760)/2)+5)*Y760)*IF($E760="Choice Specs",1.5,1))</f>
        <v>36</v>
      </c>
      <c r="AF760" s="84">
        <f>INT(INT((INT((2*VLOOKUP($C760,DexData,10,0)+INT(U760/4)+O760)/2)+5)*Z760)*IF(OR($E760="Eviolite",$E760="Assault Vest"),1.5,1))</f>
        <v>130</v>
      </c>
      <c r="AG760" s="84">
        <f>INT(INT((INT((2*VLOOKUP($C760,DexData,11,0)+INT(V760/4)+P760)/2)+5)*AA760)*IF($E760="Choice Scarf",1.5,IF($E760="Iron Ball",0.5,1)))</f>
        <v>90</v>
      </c>
      <c r="AH760" s="84" t="str">
        <f>VLOOKUP(VLOOKUP($C760,DexData,3,0),Aliases!D$2:E$19,2,0)&amp;IFERROR("/"&amp;VLOOKUP(VLOOKUP($C760,DexData,4,0),Aliases!D$2:E$19,2,0),"")</f>
        <v>FTG</v>
      </c>
      <c r="AI760" s="7">
        <v>3.0</v>
      </c>
      <c r="AJ760" s="7">
        <f>IF(VLOOKUP(B760,'Set Odds'!A$2:AN$1067,40,0),1,IF(VLOOKUP(B760,'Set Odds'!A$2:AO$1067,41,0),2,0))</f>
        <v>1</v>
      </c>
      <c r="AK760" s="7"/>
      <c r="AL760" s="7" t="str">
        <f t="shared" si="1"/>
        <v/>
      </c>
    </row>
    <row r="761" ht="12.75" customHeight="1">
      <c r="A761" s="86">
        <v>760.0</v>
      </c>
      <c r="B761" s="84" t="s">
        <v>4336</v>
      </c>
      <c r="C761" s="7" t="s">
        <v>3728</v>
      </c>
      <c r="D761" s="7" t="s">
        <v>2635</v>
      </c>
      <c r="E761" s="7" t="s">
        <v>3548</v>
      </c>
      <c r="F761" s="84" t="s">
        <v>3260</v>
      </c>
      <c r="G761" s="84" t="s">
        <v>2659</v>
      </c>
      <c r="H761" s="84" t="s">
        <v>3730</v>
      </c>
      <c r="I761" s="84" t="s">
        <v>2638</v>
      </c>
      <c r="J761" s="7" t="s">
        <v>2958</v>
      </c>
      <c r="K761" s="7">
        <v>31.0</v>
      </c>
      <c r="L761" s="7">
        <v>0.0</v>
      </c>
      <c r="M761" s="7">
        <v>31.0</v>
      </c>
      <c r="N761" s="7">
        <v>31.0</v>
      </c>
      <c r="O761" s="7">
        <v>31.0</v>
      </c>
      <c r="P761" s="7">
        <v>31.0</v>
      </c>
      <c r="Q761" s="7">
        <v>4.0</v>
      </c>
      <c r="R761" s="7">
        <v>0.0</v>
      </c>
      <c r="S761" s="7">
        <v>0.0</v>
      </c>
      <c r="T761" s="7">
        <v>252.0</v>
      </c>
      <c r="U761" s="7">
        <v>0.0</v>
      </c>
      <c r="V761" s="7">
        <v>252.0</v>
      </c>
      <c r="W761" s="7">
        <f>VLOOKUP($D761,NatureChart,2,0)</f>
        <v>0.9</v>
      </c>
      <c r="X761" s="7">
        <f>VLOOKUP($D761,NatureChart,3,0)</f>
        <v>1</v>
      </c>
      <c r="Y761" s="7">
        <f>VLOOKUP($D761,NatureChart,4,0)</f>
        <v>1</v>
      </c>
      <c r="Z761" s="7">
        <f>VLOOKUP($D761,NatureChart,5,0)</f>
        <v>1</v>
      </c>
      <c r="AA761" s="84">
        <f>VLOOKUP($D761,NatureChart,6,0)</f>
        <v>1.1</v>
      </c>
      <c r="AB761" s="84">
        <f>IF($C761="Shedinja",1,(INT((2*VLOOKUP($C761,DexData,5,0)+INT(Q761/4)+K761)/2)+60))</f>
        <v>131</v>
      </c>
      <c r="AC761" s="84">
        <f>INT(INT((INT((2*VLOOKUP($C761,DexData,6,0)+INT(R761/4)+L761)/2)+5)*W761)*IF($E761="Choice Band",1.5,IF(OR($E761="Mawilite",$E761="Medichamite",$E761="Thick Club"),2,1)))</f>
        <v>49</v>
      </c>
      <c r="AD761" s="84">
        <f>INT(INT((INT((2*VLOOKUP($C761,DexData,7,0)+INT(S761/4)+M761)/2)+5)*X761)*IF($E761="Eviolite",1.5,1))</f>
        <v>65</v>
      </c>
      <c r="AE761" s="84">
        <f>INT(INT((INT((2*VLOOKUP($C761,DexData,9,0)+INT(T761/4)+N761)/2)+5)*Y761)*IF($E761="Choice Specs",1.5,1))</f>
        <v>187</v>
      </c>
      <c r="AF761" s="84">
        <f>INT(INT((INT((2*VLOOKUP($C761,DexData,10,0)+INT(U761/4)+O761)/2)+5)*Z761)*IF(OR($E761="Eviolite",$E761="Assault Vest"),1.5,1))</f>
        <v>115</v>
      </c>
      <c r="AG761" s="84">
        <f>INT(INT((INT((2*VLOOKUP($C761,DexData,11,0)+INT(V761/4)+P761)/2)+5)*AA761)*IF($E761="Choice Scarf",1.5,IF($E761="Iron Ball",0.5,1)))</f>
        <v>189</v>
      </c>
      <c r="AH761" s="84" t="str">
        <f>VLOOKUP(VLOOKUP($C761,DexData,3,0),Aliases!D$2:E$19,2,0)&amp;IFERROR("/"&amp;VLOOKUP(VLOOKUP($C761,DexData,4,0),Aliases!D$2:E$19,2,0),"")</f>
        <v>PSY</v>
      </c>
      <c r="AI761" s="7">
        <v>3.0</v>
      </c>
      <c r="AJ761" s="7">
        <f>IF(VLOOKUP(B761,'Set Odds'!A$2:AN$1067,40,0),1,IF(VLOOKUP(B761,'Set Odds'!A$2:AO$1067,41,0),2,0))</f>
        <v>1</v>
      </c>
      <c r="AK761" s="7"/>
      <c r="AL761" s="7" t="str">
        <f t="shared" si="1"/>
        <v/>
      </c>
    </row>
    <row r="762" ht="12.75" customHeight="1">
      <c r="A762" s="86">
        <v>761.0</v>
      </c>
      <c r="B762" s="84" t="s">
        <v>4337</v>
      </c>
      <c r="C762" s="7" t="s">
        <v>3848</v>
      </c>
      <c r="D762" s="7" t="s">
        <v>2656</v>
      </c>
      <c r="E762" s="7" t="s">
        <v>2665</v>
      </c>
      <c r="F762" s="84" t="s">
        <v>2659</v>
      </c>
      <c r="G762" s="84" t="s">
        <v>3260</v>
      </c>
      <c r="H762" s="84" t="s">
        <v>3435</v>
      </c>
      <c r="I762" s="84" t="s">
        <v>2956</v>
      </c>
      <c r="J762" s="7" t="s">
        <v>4338</v>
      </c>
      <c r="K762" s="7">
        <v>31.0</v>
      </c>
      <c r="L762" s="7">
        <v>0.0</v>
      </c>
      <c r="M762" s="7">
        <v>31.0</v>
      </c>
      <c r="N762" s="7">
        <v>31.0</v>
      </c>
      <c r="O762" s="7">
        <v>31.0</v>
      </c>
      <c r="P762" s="7">
        <v>31.0</v>
      </c>
      <c r="Q762" s="7">
        <v>4.0</v>
      </c>
      <c r="R762" s="7">
        <v>0.0</v>
      </c>
      <c r="S762" s="7">
        <v>0.0</v>
      </c>
      <c r="T762" s="7">
        <v>252.0</v>
      </c>
      <c r="U762" s="7">
        <v>0.0</v>
      </c>
      <c r="V762" s="7">
        <v>252.0</v>
      </c>
      <c r="W762" s="7">
        <f>VLOOKUP($D762,NatureChart,2,0)</f>
        <v>0.9</v>
      </c>
      <c r="X762" s="7">
        <f>VLOOKUP($D762,NatureChart,3,0)</f>
        <v>1</v>
      </c>
      <c r="Y762" s="7">
        <f>VLOOKUP($D762,NatureChart,4,0)</f>
        <v>1.1</v>
      </c>
      <c r="Z762" s="7">
        <f>VLOOKUP($D762,NatureChart,5,0)</f>
        <v>1</v>
      </c>
      <c r="AA762" s="84">
        <f>VLOOKUP($D762,NatureChart,6,0)</f>
        <v>1</v>
      </c>
      <c r="AB762" s="84">
        <f>IF($C762="Shedinja",1,(INT((2*VLOOKUP($C762,DexData,5,0)+INT(Q762/4)+K762)/2)+60))</f>
        <v>144</v>
      </c>
      <c r="AC762" s="84">
        <f>INT(INT((INT((2*VLOOKUP($C762,DexData,6,0)+INT(R762/4)+L762)/2)+5)*W762)*IF($E762="Choice Band",1.5,IF(OR($E762="Mawilite",$E762="Medichamite",$E762="Thick Club"),2,1)))</f>
        <v>63</v>
      </c>
      <c r="AD762" s="84">
        <f>INT(INT((INT((2*VLOOKUP($C762,DexData,7,0)+INT(S762/4)+M762)/2)+5)*X762)*IF($E762="Eviolite",1.5,1))</f>
        <v>85</v>
      </c>
      <c r="AE762" s="84">
        <f>INT(INT((INT((2*VLOOKUP($C762,DexData,9,0)+INT(T762/4)+N762)/2)+5)*Y762)*IF($E762="Choice Specs",1.5,1))</f>
        <v>194</v>
      </c>
      <c r="AF762" s="84">
        <f>INT(INT((INT((2*VLOOKUP($C762,DexData,10,0)+INT(U762/4)+O762)/2)+5)*Z762)*IF(OR($E762="Eviolite",$E762="Assault Vest"),1.5,1))</f>
        <v>135</v>
      </c>
      <c r="AG762" s="84">
        <f>INT(INT((INT((2*VLOOKUP($C762,DexData,11,0)+INT(V762/4)+P762)/2)+5)*AA762)*IF($E762="Choice Scarf",1.5,IF($E762="Iron Ball",0.5,1)))</f>
        <v>198</v>
      </c>
      <c r="AH762" s="84" t="str">
        <f>VLOOKUP(VLOOKUP($C762,DexData,3,0),Aliases!D$2:E$19,2,0)&amp;IFERROR("/"&amp;VLOOKUP(VLOOKUP($C762,DexData,4,0),Aliases!D$2:E$19,2,0),"")</f>
        <v>PSY/FAI</v>
      </c>
      <c r="AI762" s="7">
        <v>3.0</v>
      </c>
      <c r="AJ762" s="7">
        <f>IF(VLOOKUP(B762,'Set Odds'!A$2:AN$1067,40,0),1,IF(VLOOKUP(B762,'Set Odds'!A$2:AO$1067,41,0),2,0))</f>
        <v>1</v>
      </c>
      <c r="AK762" s="7"/>
      <c r="AL762" s="7" t="str">
        <f t="shared" si="1"/>
        <v/>
      </c>
    </row>
    <row r="763" ht="12.75" customHeight="1">
      <c r="A763" s="86">
        <v>762.0</v>
      </c>
      <c r="B763" s="84" t="s">
        <v>4339</v>
      </c>
      <c r="C763" s="7" t="s">
        <v>3936</v>
      </c>
      <c r="D763" s="7" t="s">
        <v>2692</v>
      </c>
      <c r="E763" s="7" t="s">
        <v>2515</v>
      </c>
      <c r="F763" s="84" t="s">
        <v>3454</v>
      </c>
      <c r="G763" s="84" t="s">
        <v>2801</v>
      </c>
      <c r="H763" s="84" t="s">
        <v>2625</v>
      </c>
      <c r="I763" s="84" t="s">
        <v>2807</v>
      </c>
      <c r="J763" s="7" t="s">
        <v>2803</v>
      </c>
      <c r="K763" s="7">
        <v>31.0</v>
      </c>
      <c r="L763" s="7">
        <v>31.0</v>
      </c>
      <c r="M763" s="7">
        <v>31.0</v>
      </c>
      <c r="N763" s="7">
        <v>0.0</v>
      </c>
      <c r="O763" s="7">
        <v>31.0</v>
      </c>
      <c r="P763" s="7">
        <v>31.0</v>
      </c>
      <c r="Q763" s="7">
        <v>4.0</v>
      </c>
      <c r="R763" s="7">
        <v>252.0</v>
      </c>
      <c r="S763" s="7">
        <v>0.0</v>
      </c>
      <c r="T763" s="7">
        <v>0.0</v>
      </c>
      <c r="U763" s="7">
        <v>0.0</v>
      </c>
      <c r="V763" s="7">
        <v>252.0</v>
      </c>
      <c r="W763" s="7">
        <f>VLOOKUP($D763,NatureChart,2,0)</f>
        <v>1</v>
      </c>
      <c r="X763" s="7">
        <f>VLOOKUP($D763,NatureChart,3,0)</f>
        <v>1</v>
      </c>
      <c r="Y763" s="7">
        <f>VLOOKUP($D763,NatureChart,4,0)</f>
        <v>0.9</v>
      </c>
      <c r="Z763" s="7">
        <f>VLOOKUP($D763,NatureChart,5,0)</f>
        <v>1</v>
      </c>
      <c r="AA763" s="84">
        <f>VLOOKUP($D763,NatureChart,6,0)</f>
        <v>1.1</v>
      </c>
      <c r="AB763" s="84">
        <f>IF($C763="Shedinja",1,(INT((2*VLOOKUP($C763,DexData,5,0)+INT(Q763/4)+K763)/2)+60))</f>
        <v>184</v>
      </c>
      <c r="AC763" s="84">
        <f>INT(INT((INT((2*VLOOKUP($C763,DexData,6,0)+INT(R763/4)+L763)/2)+5)*W763)*IF($E763="Choice Band",1.5,IF(OR($E763="Mawilite",$E763="Medichamite",$E763="Thick Club"),2,1)))</f>
        <v>182</v>
      </c>
      <c r="AD763" s="84">
        <f>INT(INT((INT((2*VLOOKUP($C763,DexData,7,0)+INT(S763/4)+M763)/2)+5)*X763)*IF($E763="Eviolite",1.5,1))</f>
        <v>115</v>
      </c>
      <c r="AE763" s="84">
        <f>INT(INT((INT((2*VLOOKUP($C763,DexData,9,0)+INT(T763/4)+N763)/2)+5)*Y763)*IF($E763="Choice Specs",1.5,1))</f>
        <v>76</v>
      </c>
      <c r="AF763" s="84">
        <f>INT(INT((INT((2*VLOOKUP($C763,DexData,10,0)+INT(U763/4)+O763)/2)+5)*Z763)*IF(OR($E763="Eviolite",$E763="Assault Vest"),1.5,1))</f>
        <v>105</v>
      </c>
      <c r="AG763" s="84">
        <f>INT(INT((INT((2*VLOOKUP($C763,DexData,11,0)+INT(V763/4)+P763)/2)+5)*AA763)*IF($E763="Choice Scarf",1.5,IF($E763="Iron Ball",0.5,1)))</f>
        <v>169</v>
      </c>
      <c r="AH763" s="84" t="str">
        <f>VLOOKUP(VLOOKUP($C763,DexData,3,0),Aliases!D$2:E$19,2,0)&amp;IFERROR("/"&amp;VLOOKUP(VLOOKUP($C763,DexData,4,0),Aliases!D$2:E$19,2,0),"")</f>
        <v>DRG/GRD</v>
      </c>
      <c r="AI763" s="7">
        <v>3.0</v>
      </c>
      <c r="AJ763" s="7">
        <f>IF(VLOOKUP(B763,'Set Odds'!A$2:AN$1067,40,0),1,IF(VLOOKUP(B763,'Set Odds'!A$2:AO$1067,41,0),2,0))</f>
        <v>1</v>
      </c>
      <c r="AK763" s="7"/>
      <c r="AL763" s="7" t="str">
        <f t="shared" si="1"/>
        <v/>
      </c>
    </row>
    <row r="764" ht="12.75" customHeight="1">
      <c r="A764" s="86">
        <v>763.0</v>
      </c>
      <c r="B764" s="84" t="s">
        <v>4340</v>
      </c>
      <c r="C764" s="7" t="s">
        <v>3742</v>
      </c>
      <c r="D764" s="7" t="s">
        <v>2827</v>
      </c>
      <c r="E764" s="7" t="s">
        <v>2515</v>
      </c>
      <c r="F764" s="84" t="s">
        <v>3047</v>
      </c>
      <c r="G764" s="84" t="s">
        <v>3730</v>
      </c>
      <c r="H764" s="84" t="s">
        <v>2661</v>
      </c>
      <c r="I764" s="84" t="s">
        <v>2517</v>
      </c>
      <c r="J764" s="7" t="s">
        <v>3049</v>
      </c>
      <c r="K764" s="7">
        <v>31.0</v>
      </c>
      <c r="L764" s="7">
        <v>0.0</v>
      </c>
      <c r="M764" s="7">
        <v>31.0</v>
      </c>
      <c r="N764" s="7">
        <v>31.0</v>
      </c>
      <c r="O764" s="7">
        <v>31.0</v>
      </c>
      <c r="P764" s="7">
        <v>31.0</v>
      </c>
      <c r="Q764" s="7">
        <v>252.0</v>
      </c>
      <c r="R764" s="7">
        <v>0.0</v>
      </c>
      <c r="S764" s="7">
        <v>4.0</v>
      </c>
      <c r="T764" s="7">
        <v>252.0</v>
      </c>
      <c r="U764" s="7">
        <v>0.0</v>
      </c>
      <c r="V764" s="7">
        <v>0.0</v>
      </c>
      <c r="W764" s="7">
        <f>VLOOKUP($D764,NatureChart,2,0)</f>
        <v>1</v>
      </c>
      <c r="X764" s="7">
        <f>VLOOKUP($D764,NatureChart,3,0)</f>
        <v>1</v>
      </c>
      <c r="Y764" s="7">
        <f>VLOOKUP($D764,NatureChart,4,0)</f>
        <v>1.1</v>
      </c>
      <c r="Z764" s="7">
        <f>VLOOKUP($D764,NatureChart,5,0)</f>
        <v>1</v>
      </c>
      <c r="AA764" s="84">
        <f>VLOOKUP($D764,NatureChart,6,0)</f>
        <v>0.9</v>
      </c>
      <c r="AB764" s="84">
        <f>IF($C764="Shedinja",1,(INT((2*VLOOKUP($C764,DexData,5,0)+INT(Q764/4)+K764)/2)+60))</f>
        <v>197</v>
      </c>
      <c r="AC764" s="84">
        <f>INT(INT((INT((2*VLOOKUP($C764,DexData,6,0)+INT(R764/4)+L764)/2)+5)*W764)*IF($E764="Choice Band",1.5,IF(OR($E764="Mawilite",$E764="Medichamite",$E764="Thick Club"),2,1)))</f>
        <v>97</v>
      </c>
      <c r="AD764" s="84">
        <f>INT(INT((INT((2*VLOOKUP($C764,DexData,7,0)+INT(S764/4)+M764)/2)+5)*X764)*IF($E764="Eviolite",1.5,1))</f>
        <v>96</v>
      </c>
      <c r="AE764" s="84">
        <f>INT(INT((INT((2*VLOOKUP($C764,DexData,9,0)+INT(T764/4)+N764)/2)+5)*Y764)*IF($E764="Choice Specs",1.5,1))</f>
        <v>158</v>
      </c>
      <c r="AF764" s="84">
        <f>INT(INT((INT((2*VLOOKUP($C764,DexData,10,0)+INT(U764/4)+O764)/2)+5)*Z764)*IF(OR($E764="Eviolite",$E764="Assault Vest"),1.5,1))</f>
        <v>105</v>
      </c>
      <c r="AG764" s="84">
        <f>INT(INT((INT((2*VLOOKUP($C764,DexData,11,0)+INT(V764/4)+P764)/2)+5)*AA764)*IF($E764="Choice Scarf",1.5,IF($E764="Iron Ball",0.5,1)))</f>
        <v>72</v>
      </c>
      <c r="AH764" s="84" t="str">
        <f>VLOOKUP(VLOOKUP($C764,DexData,3,0),Aliases!D$2:E$19,2,0)&amp;IFERROR("/"&amp;VLOOKUP(VLOOKUP($C764,DexData,4,0),Aliases!D$2:E$19,2,0),"")</f>
        <v>GRS/ICE</v>
      </c>
      <c r="AI764" s="7">
        <v>3.0</v>
      </c>
      <c r="AJ764" s="7">
        <f>IF(VLOOKUP(B764,'Set Odds'!A$2:AN$1067,40,0),1,IF(VLOOKUP(B764,'Set Odds'!A$2:AO$1067,41,0),2,0))</f>
        <v>1</v>
      </c>
      <c r="AK764" s="7"/>
      <c r="AL764" s="7" t="str">
        <f t="shared" si="1"/>
        <v/>
      </c>
    </row>
    <row r="765" ht="12.75" customHeight="1">
      <c r="A765" s="86">
        <v>764.0</v>
      </c>
      <c r="B765" s="84" t="s">
        <v>4341</v>
      </c>
      <c r="C765" s="7" t="s">
        <v>3805</v>
      </c>
      <c r="D765" s="7" t="s">
        <v>2629</v>
      </c>
      <c r="E765" s="7" t="s">
        <v>2846</v>
      </c>
      <c r="F765" s="84" t="s">
        <v>2798</v>
      </c>
      <c r="G765" s="84" t="s">
        <v>4053</v>
      </c>
      <c r="H765" s="84" t="s">
        <v>2625</v>
      </c>
      <c r="I765" s="84" t="s">
        <v>3733</v>
      </c>
      <c r="J765" s="7" t="s">
        <v>2714</v>
      </c>
      <c r="K765" s="7">
        <v>31.0</v>
      </c>
      <c r="L765" s="7">
        <v>31.0</v>
      </c>
      <c r="M765" s="7">
        <v>31.0</v>
      </c>
      <c r="N765" s="7">
        <v>0.0</v>
      </c>
      <c r="O765" s="7">
        <v>31.0</v>
      </c>
      <c r="P765" s="7">
        <v>31.0</v>
      </c>
      <c r="Q765" s="7">
        <v>252.0</v>
      </c>
      <c r="R765" s="7">
        <v>252.0</v>
      </c>
      <c r="S765" s="7">
        <v>4.0</v>
      </c>
      <c r="T765" s="7">
        <v>0.0</v>
      </c>
      <c r="U765" s="7">
        <v>0.0</v>
      </c>
      <c r="V765" s="7">
        <v>0.0</v>
      </c>
      <c r="W765" s="7">
        <f>VLOOKUP($D765,NatureChart,2,0)</f>
        <v>1.1</v>
      </c>
      <c r="X765" s="7">
        <f>VLOOKUP($D765,NatureChart,3,0)</f>
        <v>1</v>
      </c>
      <c r="Y765" s="7">
        <f>VLOOKUP($D765,NatureChart,4,0)</f>
        <v>1</v>
      </c>
      <c r="Z765" s="7">
        <f>VLOOKUP($D765,NatureChart,5,0)</f>
        <v>1</v>
      </c>
      <c r="AA765" s="84">
        <f>VLOOKUP($D765,NatureChart,6,0)</f>
        <v>0.9</v>
      </c>
      <c r="AB765" s="84">
        <f>IF($C765="Shedinja",1,(INT((2*VLOOKUP($C765,DexData,5,0)+INT(Q765/4)+K765)/2)+60))</f>
        <v>174</v>
      </c>
      <c r="AC765" s="84">
        <f>INT(INT((INT((2*VLOOKUP($C765,DexData,6,0)+INT(R765/4)+L765)/2)+5)*W765)*IF($E765="Choice Band",1.5,IF(OR($E765="Mawilite",$E765="Medichamite",$E765="Thick Club"),2,1)))</f>
        <v>155</v>
      </c>
      <c r="AD765" s="84">
        <f>INT(INT((INT((2*VLOOKUP($C765,DexData,7,0)+INT(S765/4)+M765)/2)+5)*X765)*IF($E765="Eviolite",1.5,1))</f>
        <v>137</v>
      </c>
      <c r="AE765" s="84">
        <f>INT(INT((INT((2*VLOOKUP($C765,DexData,9,0)+INT(T765/4)+N765)/2)+5)*Y765)*IF($E765="Choice Specs",1.5,1))</f>
        <v>84</v>
      </c>
      <c r="AF765" s="84">
        <f>INT(INT((INT((2*VLOOKUP($C765,DexData,10,0)+INT(U765/4)+O765)/2)+5)*Z765)*IF(OR($E765="Eviolite",$E765="Assault Vest"),1.5,1))</f>
        <v>136</v>
      </c>
      <c r="AG765" s="84">
        <f>INT(INT((INT((2*VLOOKUP($C765,DexData,11,0)+INT(V765/4)+P765)/2)+5)*AA765)*IF($E765="Choice Scarf",1.5,IF($E765="Iron Ball",0.5,1)))</f>
        <v>47</v>
      </c>
      <c r="AH765" s="84" t="str">
        <f>VLOOKUP(VLOOKUP($C765,DexData,3,0),Aliases!D$2:E$19,2,0)&amp;IFERROR("/"&amp;VLOOKUP(VLOOKUP($C765,DexData,4,0),Aliases!D$2:E$19,2,0),"")</f>
        <v>STL/PSY</v>
      </c>
      <c r="AI765" s="7">
        <v>3.0</v>
      </c>
      <c r="AJ765" s="7">
        <f>IF(VLOOKUP(B765,'Set Odds'!A$2:AN$1067,40,0),1,IF(VLOOKUP(B765,'Set Odds'!A$2:AO$1067,41,0),2,0))</f>
        <v>1</v>
      </c>
      <c r="AK765" s="7"/>
      <c r="AL765" s="7" t="str">
        <f t="shared" si="1"/>
        <v/>
      </c>
    </row>
    <row r="766" ht="12.75" customHeight="1">
      <c r="A766" s="86">
        <v>765.0</v>
      </c>
      <c r="B766" s="84" t="s">
        <v>4342</v>
      </c>
      <c r="C766" s="7" t="s">
        <v>3432</v>
      </c>
      <c r="D766" s="7" t="s">
        <v>2571</v>
      </c>
      <c r="E766" s="7" t="s">
        <v>3548</v>
      </c>
      <c r="F766" s="84" t="s">
        <v>3454</v>
      </c>
      <c r="G766" s="84" t="s">
        <v>2625</v>
      </c>
      <c r="H766" s="84" t="s">
        <v>3135</v>
      </c>
      <c r="I766" s="84" t="s">
        <v>2807</v>
      </c>
      <c r="J766" s="7" t="s">
        <v>2747</v>
      </c>
      <c r="K766" s="7">
        <v>31.0</v>
      </c>
      <c r="L766" s="7">
        <v>31.0</v>
      </c>
      <c r="M766" s="7">
        <v>31.0</v>
      </c>
      <c r="N766" s="7">
        <v>0.0</v>
      </c>
      <c r="O766" s="7">
        <v>31.0</v>
      </c>
      <c r="P766" s="7">
        <v>31.0</v>
      </c>
      <c r="Q766" s="7">
        <v>252.0</v>
      </c>
      <c r="R766" s="7">
        <v>252.0</v>
      </c>
      <c r="S766" s="7">
        <v>4.0</v>
      </c>
      <c r="T766" s="7">
        <v>0.0</v>
      </c>
      <c r="U766" s="7">
        <v>0.0</v>
      </c>
      <c r="V766" s="7">
        <v>0.0</v>
      </c>
      <c r="W766" s="7">
        <f>VLOOKUP($D766,NatureChart,2,0)</f>
        <v>1.1</v>
      </c>
      <c r="X766" s="7">
        <f>VLOOKUP($D766,NatureChart,3,0)</f>
        <v>1</v>
      </c>
      <c r="Y766" s="7">
        <f>VLOOKUP($D766,NatureChart,4,0)</f>
        <v>0.9</v>
      </c>
      <c r="Z766" s="7">
        <f>VLOOKUP($D766,NatureChart,5,0)</f>
        <v>1</v>
      </c>
      <c r="AA766" s="84">
        <f>VLOOKUP($D766,NatureChart,6,0)</f>
        <v>1</v>
      </c>
      <c r="AB766" s="84">
        <f>IF($C766="Shedinja",1,(INT((2*VLOOKUP($C766,DexData,5,0)+INT(Q766/4)+K766)/2)+60))</f>
        <v>222</v>
      </c>
      <c r="AC766" s="84">
        <f>INT(INT((INT((2*VLOOKUP($C766,DexData,6,0)+INT(R766/4)+L766)/2)+5)*W766)*IF($E766="Choice Band",1.5,IF(OR($E766="Mawilite",$E766="Medichamite",$E766="Thick Club"),2,1)))</f>
        <v>211</v>
      </c>
      <c r="AD766" s="84">
        <f>INT(INT((INT((2*VLOOKUP($C766,DexData,7,0)+INT(S766/4)+M766)/2)+5)*X766)*IF($E766="Eviolite",1.5,1))</f>
        <v>151</v>
      </c>
      <c r="AE766" s="84">
        <f>INT(INT((INT((2*VLOOKUP($C766,DexData,9,0)+INT(T766/4)+N766)/2)+5)*Y766)*IF($E766="Choice Specs",1.5,1))</f>
        <v>54</v>
      </c>
      <c r="AF766" s="84">
        <f>INT(INT((INT((2*VLOOKUP($C766,DexData,10,0)+INT(U766/4)+O766)/2)+5)*Z766)*IF(OR($E766="Eviolite",$E766="Assault Vest"),1.5,1))</f>
        <v>75</v>
      </c>
      <c r="AG766" s="84">
        <f>INT(INT((INT((2*VLOOKUP($C766,DexData,11,0)+INT(V766/4)+P766)/2)+5)*AA766)*IF($E766="Choice Scarf",1.5,IF($E766="Iron Ball",0.5,1)))</f>
        <v>60</v>
      </c>
      <c r="AH766" s="84" t="str">
        <f>VLOOKUP(VLOOKUP($C766,DexData,3,0),Aliases!D$2:E$19,2,0)&amp;IFERROR("/"&amp;VLOOKUP(VLOOKUP($C766,DexData,4,0),Aliases!D$2:E$19,2,0),"")</f>
        <v>GRD/RCK</v>
      </c>
      <c r="AI766" s="7">
        <v>3.0</v>
      </c>
      <c r="AJ766" s="7">
        <f>IF(VLOOKUP(B766,'Set Odds'!A$2:AN$1067,40,0),1,IF(VLOOKUP(B766,'Set Odds'!A$2:AO$1067,41,0),2,0))</f>
        <v>1</v>
      </c>
      <c r="AK766" s="7"/>
      <c r="AL766" s="7" t="str">
        <f t="shared" si="1"/>
        <v/>
      </c>
    </row>
    <row r="767" ht="12.75" customHeight="1">
      <c r="A767" s="86">
        <v>766.0</v>
      </c>
      <c r="B767" s="84" t="s">
        <v>4343</v>
      </c>
      <c r="C767" s="7" t="s">
        <v>4292</v>
      </c>
      <c r="D767" s="7" t="s">
        <v>2656</v>
      </c>
      <c r="E767" s="7" t="s">
        <v>2636</v>
      </c>
      <c r="F767" s="84" t="s">
        <v>3341</v>
      </c>
      <c r="G767" s="84" t="s">
        <v>3278</v>
      </c>
      <c r="H767" s="84" t="s">
        <v>3435</v>
      </c>
      <c r="I767" s="84" t="s">
        <v>2732</v>
      </c>
      <c r="J767" s="7" t="s">
        <v>2714</v>
      </c>
      <c r="K767" s="7">
        <v>31.0</v>
      </c>
      <c r="L767" s="7">
        <v>0.0</v>
      </c>
      <c r="M767" s="7">
        <v>31.0</v>
      </c>
      <c r="N767" s="7">
        <v>31.0</v>
      </c>
      <c r="O767" s="7">
        <v>31.0</v>
      </c>
      <c r="P767" s="7">
        <v>31.0</v>
      </c>
      <c r="Q767" s="7">
        <v>252.0</v>
      </c>
      <c r="R767" s="7">
        <v>0.0</v>
      </c>
      <c r="S767" s="7">
        <v>4.0</v>
      </c>
      <c r="T767" s="7">
        <v>252.0</v>
      </c>
      <c r="U767" s="7">
        <v>0.0</v>
      </c>
      <c r="V767" s="7">
        <v>0.0</v>
      </c>
      <c r="W767" s="7">
        <f>VLOOKUP($D767,NatureChart,2,0)</f>
        <v>0.9</v>
      </c>
      <c r="X767" s="7">
        <f>VLOOKUP($D767,NatureChart,3,0)</f>
        <v>1</v>
      </c>
      <c r="Y767" s="7">
        <f>VLOOKUP($D767,NatureChart,4,0)</f>
        <v>1.1</v>
      </c>
      <c r="Z767" s="7">
        <f>VLOOKUP($D767,NatureChart,5,0)</f>
        <v>1</v>
      </c>
      <c r="AA767" s="84">
        <f>VLOOKUP($D767,NatureChart,6,0)</f>
        <v>1</v>
      </c>
      <c r="AB767" s="84">
        <f>IF($C767="Shedinja",1,(INT((2*VLOOKUP($C767,DexData,5,0)+INT(Q767/4)+K767)/2)+60))</f>
        <v>157</v>
      </c>
      <c r="AC767" s="84">
        <f>INT(INT((INT((2*VLOOKUP($C767,DexData,6,0)+INT(R767/4)+L767)/2)+5)*W767)*IF($E767="Choice Band",1.5,IF(OR($E767="Mawilite",$E767="Medichamite",$E767="Thick Club"),2,1)))</f>
        <v>63</v>
      </c>
      <c r="AD767" s="84">
        <f>INT(INT((INT((2*VLOOKUP($C767,DexData,7,0)+INT(S767/4)+M767)/2)+5)*X767)*IF($E767="Eviolite",1.5,1))</f>
        <v>128</v>
      </c>
      <c r="AE767" s="84">
        <f>INT(INT((INT((2*VLOOKUP($C767,DexData,9,0)+INT(T767/4)+N767)/2)+5)*Y767)*IF($E767="Choice Specs",1.5,1))</f>
        <v>172</v>
      </c>
      <c r="AF767" s="84">
        <f>INT(INT((INT((2*VLOOKUP($C767,DexData,10,0)+INT(U767/4)+O767)/2)+5)*Z767)*IF(OR($E767="Eviolite",$E767="Assault Vest"),1.5,1))</f>
        <v>127</v>
      </c>
      <c r="AG767" s="84">
        <f>INT(INT((INT((2*VLOOKUP($C767,DexData,11,0)+INT(V767/4)+P767)/2)+5)*AA767)*IF($E767="Choice Scarf",1.5,IF($E767="Iron Ball",0.5,1)))</f>
        <v>106</v>
      </c>
      <c r="AH767" s="84" t="str">
        <f>VLOOKUP(VLOOKUP($C767,DexData,3,0),Aliases!D$2:E$19,2,0)&amp;IFERROR("/"&amp;VLOOKUP(VLOOKUP($C767,DexData,4,0),Aliases!D$2:E$19,2,0),"")</f>
        <v>ELC/WTR</v>
      </c>
      <c r="AI767" s="7">
        <v>3.0</v>
      </c>
      <c r="AJ767" s="7">
        <f>IF(VLOOKUP(B767,'Set Odds'!A$2:AN$1067,40,0),1,IF(VLOOKUP(B767,'Set Odds'!A$2:AO$1067,41,0),2,0))</f>
        <v>1</v>
      </c>
      <c r="AK767" s="7"/>
      <c r="AL767" s="7" t="str">
        <f t="shared" si="1"/>
        <v/>
      </c>
    </row>
    <row r="768" ht="12.75" customHeight="1">
      <c r="A768" s="86">
        <v>767.0</v>
      </c>
      <c r="B768" s="84" t="s">
        <v>4344</v>
      </c>
      <c r="C768" s="7" t="s">
        <v>3556</v>
      </c>
      <c r="D768" s="7" t="s">
        <v>2635</v>
      </c>
      <c r="E768" s="7" t="s">
        <v>2515</v>
      </c>
      <c r="F768" s="84" t="s">
        <v>4345</v>
      </c>
      <c r="G768" s="84" t="s">
        <v>3558</v>
      </c>
      <c r="H768" s="84" t="s">
        <v>2956</v>
      </c>
      <c r="I768" s="84" t="s">
        <v>2574</v>
      </c>
      <c r="J768" s="7" t="s">
        <v>2701</v>
      </c>
      <c r="K768" s="7">
        <v>31.0</v>
      </c>
      <c r="L768" s="7">
        <v>0.0</v>
      </c>
      <c r="M768" s="7">
        <v>31.0</v>
      </c>
      <c r="N768" s="7">
        <v>31.0</v>
      </c>
      <c r="O768" s="7">
        <v>31.0</v>
      </c>
      <c r="P768" s="7">
        <v>31.0</v>
      </c>
      <c r="Q768" s="7">
        <v>4.0</v>
      </c>
      <c r="R768" s="7">
        <v>0.0</v>
      </c>
      <c r="S768" s="7">
        <v>0.0</v>
      </c>
      <c r="T768" s="7">
        <v>252.0</v>
      </c>
      <c r="U768" s="7">
        <v>0.0</v>
      </c>
      <c r="V768" s="7">
        <v>252.0</v>
      </c>
      <c r="W768" s="7">
        <f>VLOOKUP($D768,NatureChart,2,0)</f>
        <v>0.9</v>
      </c>
      <c r="X768" s="7">
        <f>VLOOKUP($D768,NatureChart,3,0)</f>
        <v>1</v>
      </c>
      <c r="Y768" s="7">
        <f>VLOOKUP($D768,NatureChart,4,0)</f>
        <v>1</v>
      </c>
      <c r="Z768" s="7">
        <f>VLOOKUP($D768,NatureChart,5,0)</f>
        <v>1</v>
      </c>
      <c r="AA768" s="84">
        <f>VLOOKUP($D768,NatureChart,6,0)</f>
        <v>1.1</v>
      </c>
      <c r="AB768" s="84">
        <f>IF($C768="Shedinja",1,(INT((2*VLOOKUP($C768,DexData,5,0)+INT(Q768/4)+K768)/2)+60))</f>
        <v>151</v>
      </c>
      <c r="AC768" s="84">
        <f>INT(INT((INT((2*VLOOKUP($C768,DexData,6,0)+INT(R768/4)+L768)/2)+5)*W768)*IF($E768="Choice Band",1.5,IF(OR($E768="Mawilite",$E768="Medichamite",$E768="Thick Club"),2,1)))</f>
        <v>76</v>
      </c>
      <c r="AD768" s="84">
        <f>INT(INT((INT((2*VLOOKUP($C768,DexData,7,0)+INT(S768/4)+M768)/2)+5)*X768)*IF($E768="Eviolite",1.5,1))</f>
        <v>115</v>
      </c>
      <c r="AE768" s="84">
        <f>INT(INT((INT((2*VLOOKUP($C768,DexData,9,0)+INT(T768/4)+N768)/2)+5)*Y768)*IF($E768="Choice Specs",1.5,1))</f>
        <v>142</v>
      </c>
      <c r="AF768" s="84">
        <f>INT(INT((INT((2*VLOOKUP($C768,DexData,10,0)+INT(U768/4)+O768)/2)+5)*Z768)*IF(OR($E768="Eviolite",$E768="Assault Vest"),1.5,1))</f>
        <v>120</v>
      </c>
      <c r="AG768" s="84">
        <f>INT(INT((INT((2*VLOOKUP($C768,DexData,11,0)+INT(V768/4)+P768)/2)+5)*AA768)*IF($E768="Choice Scarf",1.5,IF($E768="Iron Ball",0.5,1)))</f>
        <v>112</v>
      </c>
      <c r="AH768" s="84" t="str">
        <f>VLOOKUP(VLOOKUP($C768,DexData,3,0),Aliases!D$2:E$19,2,0)&amp;IFERROR("/"&amp;VLOOKUP(VLOOKUP($C768,DexData,4,0),Aliases!D$2:E$19,2,0),"")</f>
        <v>GRS</v>
      </c>
      <c r="AI768" s="7">
        <v>3.0</v>
      </c>
      <c r="AJ768" s="7">
        <f>IF(VLOOKUP(B768,'Set Odds'!A$2:AN$1067,40,0),1,IF(VLOOKUP(B768,'Set Odds'!A$2:AO$1067,41,0),2,0))</f>
        <v>1</v>
      </c>
      <c r="AK768" s="7"/>
      <c r="AL768" s="7" t="str">
        <f t="shared" si="1"/>
        <v/>
      </c>
    </row>
    <row r="769" ht="12.75" customHeight="1">
      <c r="A769" s="86">
        <v>768.0</v>
      </c>
      <c r="B769" s="84" t="s">
        <v>4346</v>
      </c>
      <c r="C769" s="7" t="s">
        <v>3542</v>
      </c>
      <c r="D769" s="7" t="s">
        <v>2827</v>
      </c>
      <c r="E769" s="7" t="s">
        <v>3014</v>
      </c>
      <c r="F769" s="84" t="s">
        <v>3515</v>
      </c>
      <c r="G769" s="84" t="s">
        <v>4213</v>
      </c>
      <c r="H769" s="84" t="s">
        <v>3558</v>
      </c>
      <c r="I769" s="84" t="s">
        <v>2660</v>
      </c>
      <c r="J769" s="7" t="s">
        <v>2742</v>
      </c>
      <c r="K769" s="7">
        <v>31.0</v>
      </c>
      <c r="L769" s="7">
        <v>0.0</v>
      </c>
      <c r="M769" s="7">
        <v>31.0</v>
      </c>
      <c r="N769" s="7">
        <v>31.0</v>
      </c>
      <c r="O769" s="7">
        <v>31.0</v>
      </c>
      <c r="P769" s="7">
        <v>31.0</v>
      </c>
      <c r="Q769" s="7">
        <v>252.0</v>
      </c>
      <c r="R769" s="7">
        <v>0.0</v>
      </c>
      <c r="S769" s="7">
        <v>0.0</v>
      </c>
      <c r="T769" s="7">
        <v>252.0</v>
      </c>
      <c r="U769" s="7">
        <v>4.0</v>
      </c>
      <c r="V769" s="7">
        <v>0.0</v>
      </c>
      <c r="W769" s="7">
        <f>VLOOKUP($D769,NatureChart,2,0)</f>
        <v>1</v>
      </c>
      <c r="X769" s="7">
        <f>VLOOKUP($D769,NatureChart,3,0)</f>
        <v>1</v>
      </c>
      <c r="Y769" s="7">
        <f>VLOOKUP($D769,NatureChart,4,0)</f>
        <v>1.1</v>
      </c>
      <c r="Z769" s="7">
        <f>VLOOKUP($D769,NatureChart,5,0)</f>
        <v>1</v>
      </c>
      <c r="AA769" s="84">
        <f>VLOOKUP($D769,NatureChart,6,0)</f>
        <v>0.9</v>
      </c>
      <c r="AB769" s="84">
        <f>IF($C769="Shedinja",1,(INT((2*VLOOKUP($C769,DexData,5,0)+INT(Q769/4)+K769)/2)+60))</f>
        <v>177</v>
      </c>
      <c r="AC769" s="84">
        <f>INT(INT((INT((2*VLOOKUP($C769,DexData,6,0)+INT(R769/4)+L769)/2)+5)*W769)*IF($E769="Choice Band",1.5,IF(OR($E769="Mawilite",$E769="Medichamite",$E769="Thick Club"),2,1)))</f>
        <v>90</v>
      </c>
      <c r="AD769" s="84">
        <f>INT(INT((INT((2*VLOOKUP($C769,DexData,7,0)+INT(S769/4)+M769)/2)+5)*X769)*IF($E769="Eviolite",1.5,1))</f>
        <v>160</v>
      </c>
      <c r="AE769" s="84">
        <f>INT(INT((INT((2*VLOOKUP($C769,DexData,9,0)+INT(T769/4)+N769)/2)+5)*Y769)*IF($E769="Choice Specs",1.5,1))</f>
        <v>150</v>
      </c>
      <c r="AF769" s="84">
        <f>INT(INT((INT((2*VLOOKUP($C769,DexData,10,0)+INT(U769/4)+O769)/2)+5)*Z769)*IF(OR($E769="Eviolite",$E769="Assault Vest"),1.5,1))</f>
        <v>91</v>
      </c>
      <c r="AG769" s="84">
        <f>INT(INT((INT((2*VLOOKUP($C769,DexData,11,0)+INT(V769/4)+P769)/2)+5)*AA769)*IF($E769="Choice Scarf",1.5,IF($E769="Iron Ball",0.5,1)))</f>
        <v>36</v>
      </c>
      <c r="AH769" s="84" t="str">
        <f>VLOOKUP(VLOOKUP($C769,DexData,3,0),Aliases!D$2:E$19,2,0)&amp;IFERROR("/"&amp;VLOOKUP(VLOOKUP($C769,DexData,4,0),Aliases!D$2:E$19,2,0),"")</f>
        <v>FIR</v>
      </c>
      <c r="AI769" s="7">
        <v>3.0</v>
      </c>
      <c r="AJ769" s="7">
        <f>IF(VLOOKUP(B769,'Set Odds'!A$2:AN$1067,40,0),1,IF(VLOOKUP(B769,'Set Odds'!A$2:AO$1067,41,0),2,0))</f>
        <v>1</v>
      </c>
      <c r="AK769" s="7"/>
      <c r="AL769" s="7" t="str">
        <f t="shared" si="1"/>
        <v/>
      </c>
    </row>
    <row r="770" ht="12.75" customHeight="1">
      <c r="A770" s="86">
        <v>769.0</v>
      </c>
      <c r="B770" s="84" t="s">
        <v>4347</v>
      </c>
      <c r="C770" s="7" t="s">
        <v>3896</v>
      </c>
      <c r="D770" s="7" t="s">
        <v>2827</v>
      </c>
      <c r="E770" s="7" t="s">
        <v>2636</v>
      </c>
      <c r="F770" s="84" t="s">
        <v>2526</v>
      </c>
      <c r="G770" s="84" t="s">
        <v>4089</v>
      </c>
      <c r="H770" s="84" t="s">
        <v>3435</v>
      </c>
      <c r="I770" s="84" t="s">
        <v>3341</v>
      </c>
      <c r="J770" s="7" t="s">
        <v>3059</v>
      </c>
      <c r="K770" s="7">
        <v>31.0</v>
      </c>
      <c r="L770" s="7">
        <v>0.0</v>
      </c>
      <c r="M770" s="7">
        <v>31.0</v>
      </c>
      <c r="N770" s="7">
        <v>31.0</v>
      </c>
      <c r="O770" s="7">
        <v>31.0</v>
      </c>
      <c r="P770" s="7">
        <v>31.0</v>
      </c>
      <c r="Q770" s="7">
        <v>252.0</v>
      </c>
      <c r="R770" s="7">
        <v>0.0</v>
      </c>
      <c r="S770" s="7">
        <v>4.0</v>
      </c>
      <c r="T770" s="7">
        <v>252.0</v>
      </c>
      <c r="U770" s="7">
        <v>0.0</v>
      </c>
      <c r="V770" s="7">
        <v>0.0</v>
      </c>
      <c r="W770" s="7">
        <f>VLOOKUP($D770,NatureChart,2,0)</f>
        <v>1</v>
      </c>
      <c r="X770" s="7">
        <f>VLOOKUP($D770,NatureChart,3,0)</f>
        <v>1</v>
      </c>
      <c r="Y770" s="7">
        <f>VLOOKUP($D770,NatureChart,4,0)</f>
        <v>1.1</v>
      </c>
      <c r="Z770" s="7">
        <f>VLOOKUP($D770,NatureChart,5,0)</f>
        <v>1</v>
      </c>
      <c r="AA770" s="84">
        <f>VLOOKUP($D770,NatureChart,6,0)</f>
        <v>0.9</v>
      </c>
      <c r="AB770" s="84">
        <f>IF($C770="Shedinja",1,(INT((2*VLOOKUP($C770,DexData,5,0)+INT(Q770/4)+K770)/2)+60))</f>
        <v>237</v>
      </c>
      <c r="AC770" s="84">
        <f>INT(INT((INT((2*VLOOKUP($C770,DexData,6,0)+INT(R770/4)+L770)/2)+5)*W770)*IF($E770="Choice Band",1.5,IF(OR($E770="Mawilite",$E770="Medichamite",$E770="Thick Club"),2,1)))</f>
        <v>90</v>
      </c>
      <c r="AD770" s="84">
        <f>INT(INT((INT((2*VLOOKUP($C770,DexData,7,0)+INT(S770/4)+M770)/2)+5)*X770)*IF($E770="Eviolite",1.5,1))</f>
        <v>101</v>
      </c>
      <c r="AE770" s="84">
        <f>INT(INT((INT((2*VLOOKUP($C770,DexData,9,0)+INT(T770/4)+N770)/2)+5)*Y770)*IF($E770="Choice Specs",1.5,1))</f>
        <v>150</v>
      </c>
      <c r="AF770" s="84">
        <f>INT(INT((INT((2*VLOOKUP($C770,DexData,10,0)+INT(U770/4)+O770)/2)+5)*Z770)*IF(OR($E770="Eviolite",$E770="Assault Vest"),1.5,1))</f>
        <v>115</v>
      </c>
      <c r="AG770" s="84">
        <f>INT(INT((INT((2*VLOOKUP($C770,DexData,11,0)+INT(V770/4)+P770)/2)+5)*AA770)*IF($E770="Choice Scarf",1.5,IF($E770="Iron Ball",0.5,1)))</f>
        <v>72</v>
      </c>
      <c r="AH770" s="84" t="str">
        <f>VLOOKUP(VLOOKUP($C770,DexData,3,0),Aliases!D$2:E$19,2,0)&amp;IFERROR("/"&amp;VLOOKUP(VLOOKUP($C770,DexData,4,0),Aliases!D$2:E$19,2,0),"")</f>
        <v>WTR/ICE</v>
      </c>
      <c r="AI770" s="7">
        <v>3.0</v>
      </c>
      <c r="AJ770" s="7">
        <f>IF(VLOOKUP(B770,'Set Odds'!A$2:AN$1067,40,0),1,IF(VLOOKUP(B770,'Set Odds'!A$2:AO$1067,41,0),2,0))</f>
        <v>1</v>
      </c>
      <c r="AK770" s="7"/>
      <c r="AL770" s="7" t="str">
        <f t="shared" si="1"/>
        <v/>
      </c>
    </row>
    <row r="771" ht="12.75" customHeight="1">
      <c r="A771" s="86">
        <v>770.0</v>
      </c>
      <c r="B771" s="84" t="s">
        <v>4348</v>
      </c>
      <c r="C771" s="7" t="s">
        <v>3962</v>
      </c>
      <c r="D771" s="7" t="s">
        <v>2862</v>
      </c>
      <c r="E771" s="7" t="s">
        <v>4114</v>
      </c>
      <c r="F771" s="84" t="s">
        <v>3733</v>
      </c>
      <c r="G771" s="84" t="s">
        <v>2659</v>
      </c>
      <c r="H771" s="84" t="s">
        <v>2956</v>
      </c>
      <c r="I771" s="84" t="s">
        <v>2938</v>
      </c>
      <c r="J771" s="7" t="s">
        <v>2714</v>
      </c>
      <c r="K771" s="7">
        <v>31.0</v>
      </c>
      <c r="L771" s="7">
        <v>0.0</v>
      </c>
      <c r="M771" s="7">
        <v>31.0</v>
      </c>
      <c r="N771" s="7">
        <v>31.0</v>
      </c>
      <c r="O771" s="7">
        <v>31.0</v>
      </c>
      <c r="P771" s="7">
        <v>31.0</v>
      </c>
      <c r="Q771" s="7">
        <v>252.0</v>
      </c>
      <c r="R771" s="7">
        <v>0.0</v>
      </c>
      <c r="S771" s="7">
        <v>252.0</v>
      </c>
      <c r="T771" s="7">
        <v>0.0</v>
      </c>
      <c r="U771" s="7">
        <v>4.0</v>
      </c>
      <c r="V771" s="7">
        <v>0.0</v>
      </c>
      <c r="W771" s="7">
        <f>VLOOKUP($D771,NatureChart,2,0)</f>
        <v>0.9</v>
      </c>
      <c r="X771" s="7">
        <f>VLOOKUP($D771,NatureChart,3,0)</f>
        <v>1.1</v>
      </c>
      <c r="Y771" s="7">
        <f>VLOOKUP($D771,NatureChart,4,0)</f>
        <v>1</v>
      </c>
      <c r="Z771" s="7">
        <f>VLOOKUP($D771,NatureChart,5,0)</f>
        <v>1</v>
      </c>
      <c r="AA771" s="84">
        <f>VLOOKUP($D771,NatureChart,6,0)</f>
        <v>1</v>
      </c>
      <c r="AB771" s="84">
        <f>IF($C771="Shedinja",1,(INT((2*VLOOKUP($C771,DexData,5,0)+INT(Q771/4)+K771)/2)+60))</f>
        <v>227</v>
      </c>
      <c r="AC771" s="84">
        <f>INT(INT((INT((2*VLOOKUP($C771,DexData,6,0)+INT(R771/4)+L771)/2)+5)*W771)*IF($E771="Choice Band",1.5,IF(OR($E771="Mawilite",$E771="Medichamite",$E771="Thick Club"),2,1)))</f>
        <v>67</v>
      </c>
      <c r="AD771" s="84">
        <f>INT(INT((INT((2*VLOOKUP($C771,DexData,7,0)+INT(S771/4)+M771)/2)+5)*X771)*IF($E771="Eviolite",1.5,1))</f>
        <v>189</v>
      </c>
      <c r="AE771" s="84">
        <f>INT(INT((INT((2*VLOOKUP($C771,DexData,9,0)+INT(T771/4)+N771)/2)+5)*Y771)*IF($E771="Choice Specs",1.5,1))</f>
        <v>95</v>
      </c>
      <c r="AF771" s="84">
        <f>INT(INT((INT((2*VLOOKUP($C771,DexData,10,0)+INT(U771/4)+O771)/2)+5)*Z771)*IF(OR($E771="Eviolite",$E771="Assault Vest"),1.5,1))</f>
        <v>151</v>
      </c>
      <c r="AG771" s="84">
        <f>INT(INT((INT((2*VLOOKUP($C771,DexData,11,0)+INT(V771/4)+P771)/2)+5)*AA771)*IF($E771="Choice Scarf",1.5,IF($E771="Iron Ball",0.5,1)))</f>
        <v>105</v>
      </c>
      <c r="AH771" s="84" t="str">
        <f>VLOOKUP(VLOOKUP($C771,DexData,3,0),Aliases!D$2:E$19,2,0)&amp;IFERROR("/"&amp;VLOOKUP(VLOOKUP($C771,DexData,4,0),Aliases!D$2:E$19,2,0),"")</f>
        <v>PSY</v>
      </c>
      <c r="AI771" s="7">
        <v>3.0</v>
      </c>
      <c r="AJ771" s="7">
        <f>IF(VLOOKUP(B771,'Set Odds'!A$2:AN$1067,40,0),1,IF(VLOOKUP(B771,'Set Odds'!A$2:AO$1067,41,0),2,0))</f>
        <v>1</v>
      </c>
      <c r="AK771" s="7"/>
      <c r="AL771" s="7" t="str">
        <f t="shared" si="1"/>
        <v/>
      </c>
    </row>
    <row r="772" ht="12.75" customHeight="1">
      <c r="A772" s="86">
        <v>771.0</v>
      </c>
      <c r="B772" s="84" t="s">
        <v>4349</v>
      </c>
      <c r="C772" s="7" t="s">
        <v>4222</v>
      </c>
      <c r="D772" s="7" t="s">
        <v>2862</v>
      </c>
      <c r="E772" s="7" t="s">
        <v>2636</v>
      </c>
      <c r="F772" s="84" t="s">
        <v>4350</v>
      </c>
      <c r="G772" s="84" t="s">
        <v>2785</v>
      </c>
      <c r="H772" s="84" t="s">
        <v>2880</v>
      </c>
      <c r="I772" s="84" t="s">
        <v>4220</v>
      </c>
      <c r="J772" s="7" t="s">
        <v>3499</v>
      </c>
      <c r="K772" s="7">
        <v>31.0</v>
      </c>
      <c r="L772" s="7">
        <v>0.0</v>
      </c>
      <c r="M772" s="7">
        <v>31.0</v>
      </c>
      <c r="N772" s="7">
        <v>31.0</v>
      </c>
      <c r="O772" s="7">
        <v>31.0</v>
      </c>
      <c r="P772" s="7">
        <v>31.0</v>
      </c>
      <c r="Q772" s="7">
        <v>252.0</v>
      </c>
      <c r="R772" s="7">
        <v>0.0</v>
      </c>
      <c r="S772" s="7">
        <v>252.0</v>
      </c>
      <c r="T772" s="7">
        <v>0.0</v>
      </c>
      <c r="U772" s="7">
        <v>4.0</v>
      </c>
      <c r="V772" s="7">
        <v>0.0</v>
      </c>
      <c r="W772" s="7">
        <f>VLOOKUP($D772,NatureChart,2,0)</f>
        <v>0.9</v>
      </c>
      <c r="X772" s="7">
        <f>VLOOKUP($D772,NatureChart,3,0)</f>
        <v>1.1</v>
      </c>
      <c r="Y772" s="7">
        <f>VLOOKUP($D772,NatureChart,4,0)</f>
        <v>1</v>
      </c>
      <c r="Z772" s="7">
        <f>VLOOKUP($D772,NatureChart,5,0)</f>
        <v>1</v>
      </c>
      <c r="AA772" s="84">
        <f>VLOOKUP($D772,NatureChart,6,0)</f>
        <v>1</v>
      </c>
      <c r="AB772" s="84">
        <f>IF($C772="Shedinja",1,(INT((2*VLOOKUP($C772,DexData,5,0)+INT(Q772/4)+K772)/2)+60))</f>
        <v>207</v>
      </c>
      <c r="AC772" s="84">
        <f>INT(INT((INT((2*VLOOKUP($C772,DexData,6,0)+INT(R772/4)+L772)/2)+5)*W772)*IF($E772="Choice Band",1.5,IF(OR($E772="Mawilite",$E772="Medichamite",$E772="Thick Club"),2,1)))</f>
        <v>72</v>
      </c>
      <c r="AD772" s="84">
        <f>INT(INT((INT((2*VLOOKUP($C772,DexData,7,0)+INT(S772/4)+M772)/2)+5)*X772)*IF($E772="Eviolite",1.5,1))</f>
        <v>183</v>
      </c>
      <c r="AE772" s="84">
        <f>INT(INT((INT((2*VLOOKUP($C772,DexData,9,0)+INT(T772/4)+N772)/2)+5)*Y772)*IF($E772="Choice Specs",1.5,1))</f>
        <v>110</v>
      </c>
      <c r="AF772" s="84">
        <f>INT(INT((INT((2*VLOOKUP($C772,DexData,10,0)+INT(U772/4)+O772)/2)+5)*Z772)*IF(OR($E772="Eviolite",$E772="Assault Vest"),1.5,1))</f>
        <v>136</v>
      </c>
      <c r="AG772" s="84">
        <f>INT(INT((INT((2*VLOOKUP($C772,DexData,11,0)+INT(V772/4)+P772)/2)+5)*AA772)*IF($E772="Choice Scarf",1.5,IF($E772="Iron Ball",0.5,1)))</f>
        <v>105</v>
      </c>
      <c r="AH772" s="84" t="str">
        <f>VLOOKUP(VLOOKUP($C772,DexData,3,0),Aliases!D$2:E$19,2,0)&amp;IFERROR("/"&amp;VLOOKUP(VLOOKUP($C772,DexData,4,0),Aliases!D$2:E$19,2,0),"")</f>
        <v>WTR</v>
      </c>
      <c r="AI772" s="7">
        <v>3.0</v>
      </c>
      <c r="AJ772" s="7">
        <f>IF(VLOOKUP(B772,'Set Odds'!A$2:AN$1067,40,0),1,IF(VLOOKUP(B772,'Set Odds'!A$2:AO$1067,41,0),2,0))</f>
        <v>1</v>
      </c>
      <c r="AK772" s="7"/>
      <c r="AL772" s="7" t="str">
        <f t="shared" si="1"/>
        <v/>
      </c>
    </row>
    <row r="773" ht="12.75" customHeight="1">
      <c r="A773" s="86">
        <v>772.0</v>
      </c>
      <c r="B773" s="84" t="s">
        <v>4351</v>
      </c>
      <c r="C773" s="7" t="s">
        <v>3936</v>
      </c>
      <c r="D773" s="7" t="s">
        <v>2571</v>
      </c>
      <c r="E773" s="7" t="s">
        <v>2519</v>
      </c>
      <c r="F773" s="84" t="s">
        <v>2801</v>
      </c>
      <c r="G773" s="84" t="s">
        <v>2625</v>
      </c>
      <c r="H773" s="84" t="s">
        <v>3454</v>
      </c>
      <c r="I773" s="84" t="s">
        <v>2517</v>
      </c>
      <c r="J773" s="7" t="s">
        <v>2803</v>
      </c>
      <c r="K773" s="7">
        <v>31.0</v>
      </c>
      <c r="L773" s="7">
        <v>31.0</v>
      </c>
      <c r="M773" s="7">
        <v>31.0</v>
      </c>
      <c r="N773" s="7">
        <v>0.0</v>
      </c>
      <c r="O773" s="7">
        <v>31.0</v>
      </c>
      <c r="P773" s="7">
        <v>31.0</v>
      </c>
      <c r="Q773" s="7">
        <v>4.0</v>
      </c>
      <c r="R773" s="7">
        <v>252.0</v>
      </c>
      <c r="S773" s="7">
        <v>0.0</v>
      </c>
      <c r="T773" s="7">
        <v>0.0</v>
      </c>
      <c r="U773" s="7">
        <v>0.0</v>
      </c>
      <c r="V773" s="7">
        <v>252.0</v>
      </c>
      <c r="W773" s="7">
        <f>VLOOKUP($D773,NatureChart,2,0)</f>
        <v>1.1</v>
      </c>
      <c r="X773" s="7">
        <f>VLOOKUP($D773,NatureChart,3,0)</f>
        <v>1</v>
      </c>
      <c r="Y773" s="7">
        <f>VLOOKUP($D773,NatureChart,4,0)</f>
        <v>0.9</v>
      </c>
      <c r="Z773" s="7">
        <f>VLOOKUP($D773,NatureChart,5,0)</f>
        <v>1</v>
      </c>
      <c r="AA773" s="84">
        <f>VLOOKUP($D773,NatureChart,6,0)</f>
        <v>1</v>
      </c>
      <c r="AB773" s="84">
        <f>IF($C773="Shedinja",1,(INT((2*VLOOKUP($C773,DexData,5,0)+INT(Q773/4)+K773)/2)+60))</f>
        <v>184</v>
      </c>
      <c r="AC773" s="84">
        <f>INT(INT((INT((2*VLOOKUP($C773,DexData,6,0)+INT(R773/4)+L773)/2)+5)*W773)*IF($E773="Choice Band",1.5,IF(OR($E773="Mawilite",$E773="Medichamite",$E773="Thick Club"),2,1)))</f>
        <v>200</v>
      </c>
      <c r="AD773" s="84">
        <f>INT(INT((INT((2*VLOOKUP($C773,DexData,7,0)+INT(S773/4)+M773)/2)+5)*X773)*IF($E773="Eviolite",1.5,1))</f>
        <v>115</v>
      </c>
      <c r="AE773" s="84">
        <f>INT(INT((INT((2*VLOOKUP($C773,DexData,9,0)+INT(T773/4)+N773)/2)+5)*Y773)*IF($E773="Choice Specs",1.5,1))</f>
        <v>76</v>
      </c>
      <c r="AF773" s="84">
        <f>INT(INT((INT((2*VLOOKUP($C773,DexData,10,0)+INT(U773/4)+O773)/2)+5)*Z773)*IF(OR($E773="Eviolite",$E773="Assault Vest"),1.5,1))</f>
        <v>105</v>
      </c>
      <c r="AG773" s="84">
        <f>INT(INT((INT((2*VLOOKUP($C773,DexData,11,0)+INT(V773/4)+P773)/2)+5)*AA773)*IF($E773="Choice Scarf",1.5,IF($E773="Iron Ball",0.5,1)))</f>
        <v>154</v>
      </c>
      <c r="AH773" s="84" t="str">
        <f>VLOOKUP(VLOOKUP($C773,DexData,3,0),Aliases!D$2:E$19,2,0)&amp;IFERROR("/"&amp;VLOOKUP(VLOOKUP($C773,DexData,4,0),Aliases!D$2:E$19,2,0),"")</f>
        <v>DRG/GRD</v>
      </c>
      <c r="AI773" s="7">
        <v>3.0</v>
      </c>
      <c r="AJ773" s="7">
        <f>IF(VLOOKUP(B773,'Set Odds'!A$2:AN$1067,40,0),1,IF(VLOOKUP(B773,'Set Odds'!A$2:AO$1067,41,0),2,0))</f>
        <v>1</v>
      </c>
      <c r="AK773" s="7"/>
      <c r="AL773" s="7" t="str">
        <f t="shared" si="1"/>
        <v/>
      </c>
    </row>
    <row r="774" ht="12.75" customHeight="1">
      <c r="A774" s="86">
        <v>773.0</v>
      </c>
      <c r="B774" s="84" t="s">
        <v>4352</v>
      </c>
      <c r="C774" s="7" t="s">
        <v>3923</v>
      </c>
      <c r="D774" s="7" t="s">
        <v>2656</v>
      </c>
      <c r="E774" s="7" t="s">
        <v>2983</v>
      </c>
      <c r="F774" s="84" t="s">
        <v>3091</v>
      </c>
      <c r="G774" s="84" t="s">
        <v>3260</v>
      </c>
      <c r="H774" s="84" t="s">
        <v>2596</v>
      </c>
      <c r="I774" s="84" t="s">
        <v>2660</v>
      </c>
      <c r="J774" s="7" t="s">
        <v>2662</v>
      </c>
      <c r="K774" s="7">
        <v>31.0</v>
      </c>
      <c r="L774" s="7">
        <v>0.0</v>
      </c>
      <c r="M774" s="7">
        <v>31.0</v>
      </c>
      <c r="N774" s="7">
        <v>31.0</v>
      </c>
      <c r="O774" s="7">
        <v>31.0</v>
      </c>
      <c r="P774" s="7">
        <v>31.0</v>
      </c>
      <c r="Q774" s="7">
        <v>4.0</v>
      </c>
      <c r="R774" s="7">
        <v>0.0</v>
      </c>
      <c r="S774" s="7">
        <v>0.0</v>
      </c>
      <c r="T774" s="7">
        <v>252.0</v>
      </c>
      <c r="U774" s="7">
        <v>0.0</v>
      </c>
      <c r="V774" s="7">
        <v>252.0</v>
      </c>
      <c r="W774" s="7">
        <f>VLOOKUP($D774,NatureChart,2,0)</f>
        <v>0.9</v>
      </c>
      <c r="X774" s="7">
        <f>VLOOKUP($D774,NatureChart,3,0)</f>
        <v>1</v>
      </c>
      <c r="Y774" s="7">
        <f>VLOOKUP($D774,NatureChart,4,0)</f>
        <v>1.1</v>
      </c>
      <c r="Z774" s="7">
        <f>VLOOKUP($D774,NatureChart,5,0)</f>
        <v>1</v>
      </c>
      <c r="AA774" s="84">
        <f>VLOOKUP($D774,NatureChart,6,0)</f>
        <v>1</v>
      </c>
      <c r="AB774" s="84">
        <f>IF($C774="Shedinja",1,(INT((2*VLOOKUP($C774,DexData,5,0)+INT(Q774/4)+K774)/2)+60))</f>
        <v>161</v>
      </c>
      <c r="AC774" s="84">
        <f>INT(INT((INT((2*VLOOKUP($C774,DexData,6,0)+INT(R774/4)+L774)/2)+5)*W774)*IF($E774="Choice Band",1.5,IF(OR($E774="Mawilite",$E774="Medichamite",$E774="Thick Club"),2,1)))</f>
        <v>49</v>
      </c>
      <c r="AD774" s="84">
        <f>INT(INT((INT((2*VLOOKUP($C774,DexData,7,0)+INT(S774/4)+M774)/2)+5)*X774)*IF($E774="Eviolite",1.5,1))</f>
        <v>115</v>
      </c>
      <c r="AE774" s="84">
        <f>INT(INT((INT((2*VLOOKUP($C774,DexData,9,0)+INT(T774/4)+N774)/2)+5)*Y774)*IF($E774="Choice Specs",1.5,1))</f>
        <v>189</v>
      </c>
      <c r="AF774" s="84">
        <f>INT(INT((INT((2*VLOOKUP($C774,DexData,10,0)+INT(U774/4)+O774)/2)+5)*Z774)*IF(OR($E774="Eviolite",$E774="Assault Vest"),1.5,1))</f>
        <v>135</v>
      </c>
      <c r="AG774" s="84">
        <f>INT(INT((INT((2*VLOOKUP($C774,DexData,11,0)+INT(V774/4)+P774)/2)+5)*AA774)*IF($E774="Choice Scarf",1.5,IF($E774="Iron Ball",0.5,1)))</f>
        <v>132</v>
      </c>
      <c r="AH774" s="84" t="str">
        <f>VLOOKUP(VLOOKUP($C774,DexData,3,0),Aliases!D$2:E$19,2,0)&amp;IFERROR("/"&amp;VLOOKUP(VLOOKUP($C774,DexData,4,0),Aliases!D$2:E$19,2,0),"")</f>
        <v>FAI/FLY</v>
      </c>
      <c r="AI774" s="7">
        <v>3.0</v>
      </c>
      <c r="AJ774" s="7">
        <f>IF(VLOOKUP(B774,'Set Odds'!A$2:AN$1067,40,0),1,IF(VLOOKUP(B774,'Set Odds'!A$2:AO$1067,41,0),2,0))</f>
        <v>1</v>
      </c>
      <c r="AK774" s="7"/>
      <c r="AL774" s="7" t="str">
        <f t="shared" si="1"/>
        <v/>
      </c>
    </row>
    <row r="775" ht="12.75" customHeight="1">
      <c r="A775" s="86">
        <v>774.0</v>
      </c>
      <c r="B775" s="84" t="s">
        <v>4353</v>
      </c>
      <c r="C775" s="7" t="s">
        <v>3929</v>
      </c>
      <c r="D775" s="7" t="s">
        <v>2692</v>
      </c>
      <c r="E775" s="7" t="s">
        <v>2515</v>
      </c>
      <c r="F775" s="84" t="s">
        <v>2625</v>
      </c>
      <c r="G775" s="84" t="s">
        <v>3135</v>
      </c>
      <c r="H775" s="84" t="s">
        <v>3390</v>
      </c>
      <c r="I775" s="84" t="s">
        <v>3015</v>
      </c>
      <c r="J775" s="7" t="s">
        <v>3034</v>
      </c>
      <c r="K775" s="7">
        <v>31.0</v>
      </c>
      <c r="L775" s="7">
        <v>31.0</v>
      </c>
      <c r="M775" s="7">
        <v>31.0</v>
      </c>
      <c r="N775" s="7">
        <v>0.0</v>
      </c>
      <c r="O775" s="7">
        <v>31.0</v>
      </c>
      <c r="P775" s="7">
        <v>31.0</v>
      </c>
      <c r="Q775" s="7">
        <v>4.0</v>
      </c>
      <c r="R775" s="7">
        <v>252.0</v>
      </c>
      <c r="S775" s="7">
        <v>0.0</v>
      </c>
      <c r="T775" s="7">
        <v>0.0</v>
      </c>
      <c r="U775" s="7">
        <v>0.0</v>
      </c>
      <c r="V775" s="7">
        <v>252.0</v>
      </c>
      <c r="W775" s="7">
        <f>VLOOKUP($D775,NatureChart,2,0)</f>
        <v>1</v>
      </c>
      <c r="X775" s="7">
        <f>VLOOKUP($D775,NatureChart,3,0)</f>
        <v>1</v>
      </c>
      <c r="Y775" s="7">
        <f>VLOOKUP($D775,NatureChart,4,0)</f>
        <v>0.9</v>
      </c>
      <c r="Z775" s="7">
        <f>VLOOKUP($D775,NatureChart,5,0)</f>
        <v>1</v>
      </c>
      <c r="AA775" s="84">
        <f>VLOOKUP($D775,NatureChart,6,0)</f>
        <v>1.1</v>
      </c>
      <c r="AB775" s="84">
        <f>IF($C775="Shedinja",1,(INT((2*VLOOKUP($C775,DexData,5,0)+INT(Q775/4)+K775)/2)+60))</f>
        <v>176</v>
      </c>
      <c r="AC775" s="84">
        <f>INT(INT((INT((2*VLOOKUP($C775,DexData,6,0)+INT(R775/4)+L775)/2)+5)*W775)*IF($E775="Choice Band",1.5,IF(OR($E775="Mawilite",$E775="Medichamite",$E775="Thick Club"),2,1)))</f>
        <v>186</v>
      </c>
      <c r="AD775" s="84">
        <f>INT(INT((INT((2*VLOOKUP($C775,DexData,7,0)+INT(S775/4)+M775)/2)+5)*X775)*IF($E775="Eviolite",1.5,1))</f>
        <v>130</v>
      </c>
      <c r="AE775" s="84">
        <f>INT(INT((INT((2*VLOOKUP($C775,DexData,9,0)+INT(T775/4)+N775)/2)+5)*Y775)*IF($E775="Choice Specs",1.5,1))</f>
        <v>90</v>
      </c>
      <c r="AF775" s="84">
        <f>INT(INT((INT((2*VLOOKUP($C775,DexData,10,0)+INT(U775/4)+O775)/2)+5)*Z775)*IF(OR($E775="Eviolite",$E775="Assault Vest"),1.5,1))</f>
        <v>120</v>
      </c>
      <c r="AG775" s="84">
        <f>INT(INT((INT((2*VLOOKUP($C775,DexData,11,0)+INT(V775/4)+P775)/2)+5)*AA775)*IF($E775="Choice Scarf",1.5,IF($E775="Iron Ball",0.5,1)))</f>
        <v>124</v>
      </c>
      <c r="AH775" s="84" t="str">
        <f>VLOOKUP(VLOOKUP($C775,DexData,3,0),Aliases!D$2:E$19,2,0)&amp;IFERROR("/"&amp;VLOOKUP(VLOOKUP($C775,DexData,4,0),Aliases!D$2:E$19,2,0),"")</f>
        <v>RCK/DRK</v>
      </c>
      <c r="AI775" s="7">
        <v>3.0</v>
      </c>
      <c r="AJ775" s="7">
        <f>IF(VLOOKUP(B775,'Set Odds'!A$2:AN$1067,40,0),1,IF(VLOOKUP(B775,'Set Odds'!A$2:AO$1067,41,0),2,0))</f>
        <v>1</v>
      </c>
      <c r="AK775" s="7"/>
      <c r="AL775" s="7" t="str">
        <f t="shared" si="1"/>
        <v/>
      </c>
    </row>
    <row r="776" ht="12.75" customHeight="1">
      <c r="A776" s="86">
        <v>775.0</v>
      </c>
      <c r="B776" s="84" t="s">
        <v>4354</v>
      </c>
      <c r="C776" s="7" t="s">
        <v>3706</v>
      </c>
      <c r="D776" s="7" t="s">
        <v>2692</v>
      </c>
      <c r="E776" s="7" t="s">
        <v>2523</v>
      </c>
      <c r="F776" s="84" t="s">
        <v>2513</v>
      </c>
      <c r="G776" s="84" t="s">
        <v>2852</v>
      </c>
      <c r="H776" s="84" t="s">
        <v>3874</v>
      </c>
      <c r="I776" s="84" t="s">
        <v>2667</v>
      </c>
      <c r="J776" s="7" t="s">
        <v>3131</v>
      </c>
      <c r="K776" s="7">
        <v>31.0</v>
      </c>
      <c r="L776" s="7">
        <v>31.0</v>
      </c>
      <c r="M776" s="7">
        <v>31.0</v>
      </c>
      <c r="N776" s="7">
        <v>0.0</v>
      </c>
      <c r="O776" s="7">
        <v>31.0</v>
      </c>
      <c r="P776" s="7">
        <v>31.0</v>
      </c>
      <c r="Q776" s="7">
        <v>4.0</v>
      </c>
      <c r="R776" s="7">
        <v>252.0</v>
      </c>
      <c r="S776" s="7">
        <v>0.0</v>
      </c>
      <c r="T776" s="7">
        <v>0.0</v>
      </c>
      <c r="U776" s="7">
        <v>0.0</v>
      </c>
      <c r="V776" s="7">
        <v>252.0</v>
      </c>
      <c r="W776" s="7">
        <f>VLOOKUP($D776,NatureChart,2,0)</f>
        <v>1</v>
      </c>
      <c r="X776" s="7">
        <f>VLOOKUP($D776,NatureChart,3,0)</f>
        <v>1</v>
      </c>
      <c r="Y776" s="7">
        <f>VLOOKUP($D776,NatureChart,4,0)</f>
        <v>0.9</v>
      </c>
      <c r="Z776" s="7">
        <f>VLOOKUP($D776,NatureChart,5,0)</f>
        <v>1</v>
      </c>
      <c r="AA776" s="84">
        <f>VLOOKUP($D776,NatureChart,6,0)</f>
        <v>1.1</v>
      </c>
      <c r="AB776" s="84">
        <f>IF($C776="Shedinja",1,(INT((2*VLOOKUP($C776,DexData,5,0)+INT(Q776/4)+K776)/2)+60))</f>
        <v>151</v>
      </c>
      <c r="AC776" s="84">
        <f>INT(INT((INT((2*VLOOKUP($C776,DexData,6,0)+INT(R776/4)+L776)/2)+5)*W776)*IF($E776="Choice Band",1.5,IF(OR($E776="Mawilite",$E776="Medichamite",$E776="Thick Club"),2,1)))</f>
        <v>152</v>
      </c>
      <c r="AD776" s="84">
        <f>INT(INT((INT((2*VLOOKUP($C776,DexData,7,0)+INT(S776/4)+M776)/2)+5)*X776)*IF($E776="Eviolite",1.5,1))</f>
        <v>86</v>
      </c>
      <c r="AE776" s="84">
        <f>INT(INT((INT((2*VLOOKUP($C776,DexData,9,0)+INT(T776/4)+N776)/2)+5)*Y776)*IF($E776="Choice Specs",1.5,1))</f>
        <v>58</v>
      </c>
      <c r="AF776" s="84">
        <f>INT(INT((INT((2*VLOOKUP($C776,DexData,10,0)+INT(U776/4)+O776)/2)+5)*Z776)*IF(OR($E776="Eviolite",$E776="Assault Vest"),1.5,1))</f>
        <v>86</v>
      </c>
      <c r="AG776" s="84">
        <f>INT(INT((INT((2*VLOOKUP($C776,DexData,11,0)+INT(V776/4)+P776)/2)+5)*AA776)*IF($E776="Choice Scarf",1.5,IF($E776="Iron Ball",0.5,1)))</f>
        <v>183</v>
      </c>
      <c r="AH776" s="84" t="str">
        <f>VLOOKUP(VLOOKUP($C776,DexData,3,0),Aliases!D$2:E$19,2,0)&amp;IFERROR("/"&amp;VLOOKUP(VLOOKUP($C776,DexData,4,0),Aliases!D$2:E$19,2,0),"")</f>
        <v>NRM</v>
      </c>
      <c r="AI776" s="7">
        <v>3.0</v>
      </c>
      <c r="AJ776" s="7">
        <f>IF(VLOOKUP(B776,'Set Odds'!A$2:AN$1067,40,0),1,IF(VLOOKUP(B776,'Set Odds'!A$2:AO$1067,41,0),2,0))</f>
        <v>0</v>
      </c>
      <c r="AK776" s="7"/>
      <c r="AL776" s="7" t="str">
        <f t="shared" si="1"/>
        <v/>
      </c>
    </row>
    <row r="777" ht="12.75" customHeight="1">
      <c r="A777" s="86">
        <v>776.0</v>
      </c>
      <c r="B777" s="84" t="s">
        <v>4355</v>
      </c>
      <c r="C777" s="7" t="s">
        <v>3799</v>
      </c>
      <c r="D777" s="7" t="s">
        <v>2862</v>
      </c>
      <c r="E777" s="7" t="s">
        <v>2685</v>
      </c>
      <c r="F777" s="84" t="s">
        <v>3087</v>
      </c>
      <c r="G777" s="84" t="s">
        <v>4053</v>
      </c>
      <c r="H777" s="84" t="s">
        <v>2823</v>
      </c>
      <c r="I777" s="84" t="s">
        <v>2832</v>
      </c>
      <c r="J777" s="7" t="s">
        <v>2714</v>
      </c>
      <c r="K777" s="7">
        <v>31.0</v>
      </c>
      <c r="L777" s="7">
        <v>0.0</v>
      </c>
      <c r="M777" s="7">
        <v>31.0</v>
      </c>
      <c r="N777" s="7">
        <v>31.0</v>
      </c>
      <c r="O777" s="7">
        <v>31.0</v>
      </c>
      <c r="P777" s="7">
        <v>31.0</v>
      </c>
      <c r="Q777" s="7">
        <v>252.0</v>
      </c>
      <c r="R777" s="7">
        <v>0.0</v>
      </c>
      <c r="S777" s="7">
        <v>252.0</v>
      </c>
      <c r="T777" s="7">
        <v>4.0</v>
      </c>
      <c r="U777" s="7">
        <v>0.0</v>
      </c>
      <c r="V777" s="7">
        <v>0.0</v>
      </c>
      <c r="W777" s="7">
        <f>VLOOKUP($D777,NatureChart,2,0)</f>
        <v>0.9</v>
      </c>
      <c r="X777" s="7">
        <f>VLOOKUP($D777,NatureChart,3,0)</f>
        <v>1.1</v>
      </c>
      <c r="Y777" s="7">
        <f>VLOOKUP($D777,NatureChart,4,0)</f>
        <v>1</v>
      </c>
      <c r="Z777" s="7">
        <f>VLOOKUP($D777,NatureChart,5,0)</f>
        <v>1</v>
      </c>
      <c r="AA777" s="84">
        <f>VLOOKUP($D777,NatureChart,6,0)</f>
        <v>1</v>
      </c>
      <c r="AB777" s="84">
        <f>IF($C777="Shedinja",1,(INT((2*VLOOKUP($C777,DexData,5,0)+INT(Q777/4)+K777)/2)+60))</f>
        <v>167</v>
      </c>
      <c r="AC777" s="84">
        <f>INT(INT((INT((2*VLOOKUP($C777,DexData,6,0)+INT(R777/4)+L777)/2)+5)*W777)*IF($E777="Choice Band",1.5,IF(OR($E777="Mawilite",$E777="Medichamite",$E777="Thick Club"),2,1)))</f>
        <v>67</v>
      </c>
      <c r="AD777" s="84">
        <f>INT(INT((INT((2*VLOOKUP($C777,DexData,7,0)+INT(S777/4)+M777)/2)+5)*X777)*IF($E777="Eviolite",1.5,1))</f>
        <v>172</v>
      </c>
      <c r="AE777" s="84">
        <f>INT(INT((INT((2*VLOOKUP($C777,DexData,9,0)+INT(T777/4)+N777)/2)+5)*Y777)*IF($E777="Choice Specs",1.5,1))</f>
        <v>91</v>
      </c>
      <c r="AF777" s="84">
        <f>INT(INT((INT((2*VLOOKUP($C777,DexData,10,0)+INT(U777/4)+O777)/2)+5)*Z777)*IF(OR($E777="Eviolite",$E777="Assault Vest"),1.5,1))</f>
        <v>140</v>
      </c>
      <c r="AG777" s="84">
        <f>INT(INT((INT((2*VLOOKUP($C777,DexData,11,0)+INT(V777/4)+P777)/2)+5)*AA777)*IF($E777="Choice Scarf",1.5,IF($E777="Iron Ball",0.5,1)))</f>
        <v>95</v>
      </c>
      <c r="AH777" s="84" t="str">
        <f>VLOOKUP(VLOOKUP($C777,DexData,3,0),Aliases!D$2:E$19,2,0)&amp;IFERROR("/"&amp;VLOOKUP(VLOOKUP($C777,DexData,4,0),Aliases!D$2:E$19,2,0),"")</f>
        <v>GRD/PSY</v>
      </c>
      <c r="AI777" s="7">
        <v>3.0</v>
      </c>
      <c r="AJ777" s="7">
        <f>IF(VLOOKUP(B777,'Set Odds'!A$2:AN$1067,40,0),1,IF(VLOOKUP(B777,'Set Odds'!A$2:AO$1067,41,0),2,0))</f>
        <v>1</v>
      </c>
      <c r="AK777" s="7"/>
      <c r="AL777" s="7" t="str">
        <f t="shared" si="1"/>
        <v/>
      </c>
    </row>
    <row r="778" ht="12.75" customHeight="1">
      <c r="A778" s="86">
        <v>777.0</v>
      </c>
      <c r="B778" s="84" t="s">
        <v>4356</v>
      </c>
      <c r="C778" s="7" t="s">
        <v>3802</v>
      </c>
      <c r="D778" s="7" t="s">
        <v>2692</v>
      </c>
      <c r="E778" s="7" t="s">
        <v>2665</v>
      </c>
      <c r="F778" s="84" t="s">
        <v>3803</v>
      </c>
      <c r="G778" s="84" t="s">
        <v>3710</v>
      </c>
      <c r="H778" s="84" t="s">
        <v>3454</v>
      </c>
      <c r="I778" s="84" t="s">
        <v>3626</v>
      </c>
      <c r="J778" s="7" t="s">
        <v>3102</v>
      </c>
      <c r="K778" s="7">
        <v>31.0</v>
      </c>
      <c r="L778" s="7">
        <v>31.0</v>
      </c>
      <c r="M778" s="7">
        <v>31.0</v>
      </c>
      <c r="N778" s="7">
        <v>0.0</v>
      </c>
      <c r="O778" s="7">
        <v>31.0</v>
      </c>
      <c r="P778" s="7">
        <v>31.0</v>
      </c>
      <c r="Q778" s="7">
        <v>4.0</v>
      </c>
      <c r="R778" s="7">
        <v>252.0</v>
      </c>
      <c r="S778" s="7">
        <v>0.0</v>
      </c>
      <c r="T778" s="7">
        <v>0.0</v>
      </c>
      <c r="U778" s="7">
        <v>0.0</v>
      </c>
      <c r="V778" s="7">
        <v>252.0</v>
      </c>
      <c r="W778" s="7">
        <f>VLOOKUP($D778,NatureChart,2,0)</f>
        <v>1</v>
      </c>
      <c r="X778" s="7">
        <f>VLOOKUP($D778,NatureChart,3,0)</f>
        <v>1</v>
      </c>
      <c r="Y778" s="7">
        <f>VLOOKUP($D778,NatureChart,4,0)</f>
        <v>0.9</v>
      </c>
      <c r="Z778" s="7">
        <f>VLOOKUP($D778,NatureChart,5,0)</f>
        <v>1</v>
      </c>
      <c r="AA778" s="84">
        <f>VLOOKUP($D778,NatureChart,6,0)</f>
        <v>1.1</v>
      </c>
      <c r="AB778" s="84">
        <f>IF($C778="Shedinja",1,(INT((2*VLOOKUP($C778,DexData,5,0)+INT(Q778/4)+K778)/2)+60))</f>
        <v>173</v>
      </c>
      <c r="AC778" s="84">
        <f>INT(INT((INT((2*VLOOKUP($C778,DexData,6,0)+INT(R778/4)+L778)/2)+5)*W778)*IF($E778="Choice Band",1.5,IF(OR($E778="Mawilite",$E778="Medichamite",$E778="Thick Club"),2,1)))</f>
        <v>217</v>
      </c>
      <c r="AD778" s="84">
        <f>INT(INT((INT((2*VLOOKUP($C778,DexData,7,0)+INT(S778/4)+M778)/2)+5)*X778)*IF($E778="Eviolite",1.5,1))</f>
        <v>80</v>
      </c>
      <c r="AE778" s="84">
        <f>INT(INT((INT((2*VLOOKUP($C778,DexData,9,0)+INT(T778/4)+N778)/2)+5)*Y778)*IF($E778="Choice Specs",1.5,1))</f>
        <v>63</v>
      </c>
      <c r="AF778" s="84">
        <f>INT(INT((INT((2*VLOOKUP($C778,DexData,10,0)+INT(U778/4)+O778)/2)+5)*Z778)*IF(OR($E778="Eviolite",$E778="Assault Vest"),1.5,1))</f>
        <v>70</v>
      </c>
      <c r="AG778" s="84">
        <f>INT(INT((INT((2*VLOOKUP($C778,DexData,11,0)+INT(V778/4)+P778)/2)+5)*AA778)*IF($E778="Choice Scarf",1.5,IF($E778="Iron Ball",0.5,1)))</f>
        <v>181</v>
      </c>
      <c r="AH778" s="84" t="str">
        <f>VLOOKUP(VLOOKUP($C778,DexData,3,0),Aliases!D$2:E$19,2,0)&amp;IFERROR("/"&amp;VLOOKUP(VLOOKUP($C778,DexData,4,0),Aliases!D$2:E$19,2,0),"")</f>
        <v>RCK</v>
      </c>
      <c r="AI778" s="7">
        <v>3.0</v>
      </c>
      <c r="AJ778" s="7">
        <f>IF(VLOOKUP(B778,'Set Odds'!A$2:AN$1067,40,0),1,IF(VLOOKUP(B778,'Set Odds'!A$2:AO$1067,41,0),2,0))</f>
        <v>1</v>
      </c>
      <c r="AK778" s="7"/>
      <c r="AL778" s="7" t="str">
        <f t="shared" si="1"/>
        <v/>
      </c>
    </row>
    <row r="779" ht="12.75" customHeight="1">
      <c r="A779" s="86">
        <v>778.0</v>
      </c>
      <c r="B779" s="84" t="s">
        <v>4357</v>
      </c>
      <c r="C779" s="7" t="s">
        <v>3807</v>
      </c>
      <c r="D779" s="7" t="s">
        <v>2648</v>
      </c>
      <c r="E779" s="7" t="s">
        <v>2579</v>
      </c>
      <c r="F779" s="84" t="s">
        <v>3578</v>
      </c>
      <c r="G779" s="84" t="s">
        <v>3809</v>
      </c>
      <c r="H779" s="84" t="s">
        <v>3454</v>
      </c>
      <c r="I779" s="84" t="s">
        <v>3603</v>
      </c>
      <c r="J779" s="7" t="s">
        <v>2773</v>
      </c>
      <c r="K779" s="7">
        <v>31.0</v>
      </c>
      <c r="L779" s="7">
        <v>31.0</v>
      </c>
      <c r="M779" s="7">
        <v>31.0</v>
      </c>
      <c r="N779" s="7">
        <v>0.0</v>
      </c>
      <c r="O779" s="7">
        <v>31.0</v>
      </c>
      <c r="P779" s="7">
        <v>31.0</v>
      </c>
      <c r="Q779" s="7">
        <v>108.0</v>
      </c>
      <c r="R779" s="7">
        <v>252.0</v>
      </c>
      <c r="S779" s="7">
        <v>68.0</v>
      </c>
      <c r="T779" s="7">
        <v>0.0</v>
      </c>
      <c r="U779" s="7">
        <v>4.0</v>
      </c>
      <c r="V779" s="7">
        <v>76.0</v>
      </c>
      <c r="W779" s="7">
        <f>VLOOKUP($D779,NatureChart,2,0)</f>
        <v>1</v>
      </c>
      <c r="X779" s="7">
        <f>VLOOKUP($D779,NatureChart,3,0)</f>
        <v>1.1</v>
      </c>
      <c r="Y779" s="7">
        <f>VLOOKUP($D779,NatureChart,4,0)</f>
        <v>0.9</v>
      </c>
      <c r="Z779" s="7">
        <f>VLOOKUP($D779,NatureChart,5,0)</f>
        <v>1</v>
      </c>
      <c r="AA779" s="84">
        <f>VLOOKUP($D779,NatureChart,6,0)</f>
        <v>1</v>
      </c>
      <c r="AB779" s="84">
        <f>IF($C779="Shedinja",1,(INT((2*VLOOKUP($C779,DexData,5,0)+INT(Q779/4)+K779)/2)+60))</f>
        <v>159</v>
      </c>
      <c r="AC779" s="84">
        <f>INT(INT((INT((2*VLOOKUP($C779,DexData,6,0)+INT(R779/4)+L779)/2)+5)*W779)*IF($E779="Choice Band",1.5,IF(OR($E779="Mawilite",$E779="Medichamite",$E779="Thick Club"),2,1)))</f>
        <v>142</v>
      </c>
      <c r="AD779" s="84">
        <f>INT(INT((INT((2*VLOOKUP($C779,DexData,7,0)+INT(S779/4)+M779)/2)+5)*X779)*IF($E779="Eviolite",1.5,1))</f>
        <v>152</v>
      </c>
      <c r="AE779" s="84">
        <f>INT(INT((INT((2*VLOOKUP($C779,DexData,9,0)+INT(T779/4)+N779)/2)+5)*Y779)*IF($E779="Choice Specs",1.5,1))</f>
        <v>58</v>
      </c>
      <c r="AF779" s="84">
        <f>INT(INT((INT((2*VLOOKUP($C779,DexData,10,0)+INT(U779/4)+O779)/2)+5)*Z779)*IF(OR($E779="Eviolite",$E779="Assault Vest"),1.5,1))</f>
        <v>96</v>
      </c>
      <c r="AG779" s="84">
        <f>INT(INT((INT((2*VLOOKUP($C779,DexData,11,0)+INT(V779/4)+P779)/2)+5)*AA779)*IF($E779="Choice Scarf",1.5,IF($E779="Iron Ball",0.5,1)))</f>
        <v>125</v>
      </c>
      <c r="AH779" s="84" t="str">
        <f>VLOOKUP(VLOOKUP($C779,DexData,3,0),Aliases!D$2:E$19,2,0)&amp;IFERROR("/"&amp;VLOOKUP(VLOOKUP($C779,DexData,4,0),Aliases!D$2:E$19,2,0),"")</f>
        <v>PSN/DRK</v>
      </c>
      <c r="AI779" s="7">
        <v>3.0</v>
      </c>
      <c r="AJ779" s="7">
        <f>IF(VLOOKUP(B779,'Set Odds'!A$2:AN$1067,40,0),1,IF(VLOOKUP(B779,'Set Odds'!A$2:AO$1067,41,0),2,0))</f>
        <v>1</v>
      </c>
      <c r="AK779" s="7"/>
      <c r="AL779" s="7" t="str">
        <f t="shared" si="1"/>
        <v/>
      </c>
    </row>
    <row r="780" ht="12.75" customHeight="1">
      <c r="A780" s="86">
        <v>779.0</v>
      </c>
      <c r="B780" s="84" t="s">
        <v>4358</v>
      </c>
      <c r="C780" s="7" t="s">
        <v>3814</v>
      </c>
      <c r="D780" s="7" t="s">
        <v>2635</v>
      </c>
      <c r="E780" s="7" t="s">
        <v>3522</v>
      </c>
      <c r="F780" s="84" t="s">
        <v>2660</v>
      </c>
      <c r="G780" s="84" t="s">
        <v>3558</v>
      </c>
      <c r="H780" s="84" t="s">
        <v>3729</v>
      </c>
      <c r="I780" s="84" t="s">
        <v>2661</v>
      </c>
      <c r="J780" s="7" t="s">
        <v>2742</v>
      </c>
      <c r="K780" s="7">
        <v>31.0</v>
      </c>
      <c r="L780" s="7">
        <v>0.0</v>
      </c>
      <c r="M780" s="7">
        <v>31.0</v>
      </c>
      <c r="N780" s="7">
        <v>31.0</v>
      </c>
      <c r="O780" s="7">
        <v>31.0</v>
      </c>
      <c r="P780" s="7">
        <v>31.0</v>
      </c>
      <c r="Q780" s="7">
        <v>4.0</v>
      </c>
      <c r="R780" s="7">
        <v>0.0</v>
      </c>
      <c r="S780" s="7">
        <v>0.0</v>
      </c>
      <c r="T780" s="7">
        <v>252.0</v>
      </c>
      <c r="U780" s="7">
        <v>0.0</v>
      </c>
      <c r="V780" s="7">
        <v>252.0</v>
      </c>
      <c r="W780" s="7">
        <f>VLOOKUP($D780,NatureChart,2,0)</f>
        <v>0.9</v>
      </c>
      <c r="X780" s="7">
        <f>VLOOKUP($D780,NatureChart,3,0)</f>
        <v>1</v>
      </c>
      <c r="Y780" s="7">
        <f>VLOOKUP($D780,NatureChart,4,0)</f>
        <v>1</v>
      </c>
      <c r="Z780" s="7">
        <f>VLOOKUP($D780,NatureChart,5,0)</f>
        <v>1</v>
      </c>
      <c r="AA780" s="84">
        <f>VLOOKUP($D780,NatureChart,6,0)</f>
        <v>1.1</v>
      </c>
      <c r="AB780" s="84">
        <f>IF($C780="Shedinja",1,(INT((2*VLOOKUP($C780,DexData,5,0)+INT(Q780/4)+K780)/2)+60))</f>
        <v>149</v>
      </c>
      <c r="AC780" s="84">
        <f>INT(INT((INT((2*VLOOKUP($C780,DexData,6,0)+INT(R780/4)+L780)/2)+5)*W780)*IF($E780="Choice Band",1.5,IF(OR($E780="Mawilite",$E780="Medichamite",$E780="Thick Club"),2,1)))</f>
        <v>72</v>
      </c>
      <c r="AD780" s="84">
        <f>INT(INT((INT((2*VLOOKUP($C780,DexData,7,0)+INT(S780/4)+M780)/2)+5)*X780)*IF($E780="Eviolite",1.5,1))</f>
        <v>95</v>
      </c>
      <c r="AE780" s="84">
        <f>INT(INT((INT((2*VLOOKUP($C780,DexData,9,0)+INT(T780/4)+N780)/2)+5)*Y780)*IF($E780="Choice Specs",1.5,1))</f>
        <v>199</v>
      </c>
      <c r="AF780" s="84">
        <f>INT(INT((INT((2*VLOOKUP($C780,DexData,10,0)+INT(U780/4)+O780)/2)+5)*Z780)*IF(OR($E780="Eviolite",$E780="Assault Vest"),1.5,1))</f>
        <v>120</v>
      </c>
      <c r="AG780" s="84">
        <f>INT(INT((INT((2*VLOOKUP($C780,DexData,11,0)+INT(V780/4)+P780)/2)+5)*AA780)*IF($E780="Choice Scarf",1.5,IF($E780="Iron Ball",0.5,1)))</f>
        <v>167</v>
      </c>
      <c r="AH780" s="84" t="str">
        <f>VLOOKUP(VLOOKUP($C780,DexData,3,0),Aliases!D$2:E$19,2,0)&amp;IFERROR("/"&amp;VLOOKUP(VLOOKUP($C780,DexData,4,0),Aliases!D$2:E$19,2,0),"")</f>
        <v>FIR</v>
      </c>
      <c r="AI780" s="7">
        <v>3.0</v>
      </c>
      <c r="AJ780" s="7">
        <f>IF(VLOOKUP(B780,'Set Odds'!A$2:AN$1067,40,0),1,IF(VLOOKUP(B780,'Set Odds'!A$2:AO$1067,41,0),2,0))</f>
        <v>1</v>
      </c>
      <c r="AK780" s="7"/>
      <c r="AL780" s="7" t="str">
        <f t="shared" si="1"/>
        <v/>
      </c>
    </row>
    <row r="781" ht="12.75" customHeight="1">
      <c r="A781" s="86">
        <v>780.0</v>
      </c>
      <c r="B781" s="84" t="s">
        <v>4359</v>
      </c>
      <c r="C781" s="7" t="s">
        <v>3816</v>
      </c>
      <c r="D781" s="7" t="s">
        <v>2571</v>
      </c>
      <c r="E781" s="7" t="s">
        <v>3395</v>
      </c>
      <c r="F781" s="84" t="s">
        <v>3483</v>
      </c>
      <c r="G781" s="84" t="s">
        <v>3390</v>
      </c>
      <c r="H781" s="84" t="s">
        <v>2734</v>
      </c>
      <c r="I781" s="84" t="s">
        <v>3784</v>
      </c>
      <c r="J781" s="7" t="s">
        <v>2777</v>
      </c>
      <c r="K781" s="7">
        <v>31.0</v>
      </c>
      <c r="L781" s="7">
        <v>31.0</v>
      </c>
      <c r="M781" s="7">
        <v>31.0</v>
      </c>
      <c r="N781" s="7">
        <v>0.0</v>
      </c>
      <c r="O781" s="7">
        <v>31.0</v>
      </c>
      <c r="P781" s="7">
        <v>31.0</v>
      </c>
      <c r="Q781" s="7">
        <v>204.0</v>
      </c>
      <c r="R781" s="7">
        <v>252.0</v>
      </c>
      <c r="S781" s="7">
        <v>12.0</v>
      </c>
      <c r="T781" s="7">
        <v>0.0</v>
      </c>
      <c r="U781" s="7">
        <v>36.0</v>
      </c>
      <c r="V781" s="7">
        <v>4.0</v>
      </c>
      <c r="W781" s="7">
        <f>VLOOKUP($D781,NatureChart,2,0)</f>
        <v>1.1</v>
      </c>
      <c r="X781" s="7">
        <f>VLOOKUP($D781,NatureChart,3,0)</f>
        <v>1</v>
      </c>
      <c r="Y781" s="7">
        <f>VLOOKUP($D781,NatureChart,4,0)</f>
        <v>0.9</v>
      </c>
      <c r="Z781" s="7">
        <f>VLOOKUP($D781,NatureChart,5,0)</f>
        <v>1</v>
      </c>
      <c r="AA781" s="84">
        <f>VLOOKUP($D781,NatureChart,6,0)</f>
        <v>1</v>
      </c>
      <c r="AB781" s="84">
        <f>IF($C781="Shedinja",1,(INT((2*VLOOKUP($C781,DexData,5,0)+INT(Q781/4)+K781)/2)+60))</f>
        <v>191</v>
      </c>
      <c r="AC781" s="84">
        <f>INT(INT((INT((2*VLOOKUP($C781,DexData,6,0)+INT(R781/4)+L781)/2)+5)*W781)*IF($E781="Choice Band",1.5,IF(OR($E781="Mawilite",$E781="Medichamite",$E781="Thick Club"),2,1)))</f>
        <v>200</v>
      </c>
      <c r="AD781" s="84">
        <f>INT(INT((INT((2*VLOOKUP($C781,DexData,7,0)+INT(S781/4)+M781)/2)+5)*X781)*IF($E781="Eviolite",1.5,1))</f>
        <v>102</v>
      </c>
      <c r="AE781" s="84">
        <f>INT(INT((INT((2*VLOOKUP($C781,DexData,9,0)+INT(T781/4)+N781)/2)+5)*Y781)*IF($E781="Choice Specs",1.5,1))</f>
        <v>63</v>
      </c>
      <c r="AF781" s="84">
        <f>INT(INT((INT((2*VLOOKUP($C781,DexData,10,0)+INT(U781/4)+O781)/2)+5)*Z781)*IF(OR($E781="Eviolite",$E781="Assault Vest"),1.5,1))</f>
        <v>110</v>
      </c>
      <c r="AG781" s="84">
        <f>INT(INT((INT((2*VLOOKUP($C781,DexData,11,0)+INT(V781/4)+P781)/2)+5)*AA781)*IF($E781="Choice Scarf",1.5,IF($E781="Iron Ball",0.5,1)))</f>
        <v>76</v>
      </c>
      <c r="AH781" s="84" t="str">
        <f>VLOOKUP(VLOOKUP($C781,DexData,3,0),Aliases!D$2:E$19,2,0)&amp;IFERROR("/"&amp;VLOOKUP(VLOOKUP($C781,DexData,4,0),Aliases!D$2:E$19,2,0),"")</f>
        <v>FTG</v>
      </c>
      <c r="AI781" s="7">
        <v>3.0</v>
      </c>
      <c r="AJ781" s="7">
        <f>IF(VLOOKUP(B781,'Set Odds'!A$2:AN$1067,40,0),1,IF(VLOOKUP(B781,'Set Odds'!A$2:AO$1067,41,0),2,0))</f>
        <v>1</v>
      </c>
      <c r="AK781" s="7"/>
      <c r="AL781" s="7" t="str">
        <f t="shared" si="1"/>
        <v/>
      </c>
    </row>
    <row r="782" ht="12.75" customHeight="1">
      <c r="A782" s="86">
        <v>781.0</v>
      </c>
      <c r="B782" s="84" t="s">
        <v>4360</v>
      </c>
      <c r="C782" s="7" t="s">
        <v>3824</v>
      </c>
      <c r="D782" s="7" t="s">
        <v>2571</v>
      </c>
      <c r="E782" s="7" t="s">
        <v>3175</v>
      </c>
      <c r="F782" s="84" t="s">
        <v>3578</v>
      </c>
      <c r="G782" s="84" t="s">
        <v>3554</v>
      </c>
      <c r="H782" s="84" t="s">
        <v>3538</v>
      </c>
      <c r="I782" s="84" t="s">
        <v>2763</v>
      </c>
      <c r="J782" s="7" t="s">
        <v>3788</v>
      </c>
      <c r="K782" s="7">
        <v>31.0</v>
      </c>
      <c r="L782" s="7">
        <v>31.0</v>
      </c>
      <c r="M782" s="7">
        <v>31.0</v>
      </c>
      <c r="N782" s="7">
        <v>0.0</v>
      </c>
      <c r="O782" s="7">
        <v>31.0</v>
      </c>
      <c r="P782" s="7">
        <v>31.0</v>
      </c>
      <c r="Q782" s="7">
        <v>156.0</v>
      </c>
      <c r="R782" s="7">
        <v>252.0</v>
      </c>
      <c r="S782" s="7">
        <v>100.0</v>
      </c>
      <c r="T782" s="7">
        <v>0.0</v>
      </c>
      <c r="U782" s="7">
        <v>0.0</v>
      </c>
      <c r="V782" s="7">
        <v>0.0</v>
      </c>
      <c r="W782" s="7">
        <f>VLOOKUP($D782,NatureChart,2,0)</f>
        <v>1.1</v>
      </c>
      <c r="X782" s="7">
        <f>VLOOKUP($D782,NatureChart,3,0)</f>
        <v>1</v>
      </c>
      <c r="Y782" s="7">
        <f>VLOOKUP($D782,NatureChart,4,0)</f>
        <v>0.9</v>
      </c>
      <c r="Z782" s="7">
        <f>VLOOKUP($D782,NatureChart,5,0)</f>
        <v>1</v>
      </c>
      <c r="AA782" s="84">
        <f>VLOOKUP($D782,NatureChart,6,0)</f>
        <v>1</v>
      </c>
      <c r="AB782" s="84">
        <f>IF($C782="Shedinja",1,(INT((2*VLOOKUP($C782,DexData,5,0)+INT(Q782/4)+K782)/2)+60))</f>
        <v>195</v>
      </c>
      <c r="AC782" s="84">
        <f>INT(INT((INT((2*VLOOKUP($C782,DexData,6,0)+INT(R782/4)+L782)/2)+5)*W782)*IF($E782="Choice Band",1.5,IF(OR($E782="Mawilite",$E782="Medichamite",$E782="Thick Club"),2,1)))</f>
        <v>194</v>
      </c>
      <c r="AD782" s="84">
        <f>INT(INT((INT((2*VLOOKUP($C782,DexData,7,0)+INT(S782/4)+M782)/2)+5)*X782)*IF($E782="Eviolite",1.5,1))</f>
        <v>85</v>
      </c>
      <c r="AE782" s="84">
        <f>INT(INT((INT((2*VLOOKUP($C782,DexData,9,0)+INT(T782/4)+N782)/2)+5)*Y782)*IF($E782="Choice Specs",1.5,1))</f>
        <v>99</v>
      </c>
      <c r="AF782" s="84">
        <f>INT(INT((INT((2*VLOOKUP($C782,DexData,10,0)+INT(U782/4)+O782)/2)+5)*Z782)*IF(OR($E782="Eviolite",$E782="Assault Vest"),1.5,1))</f>
        <v>72</v>
      </c>
      <c r="AG782" s="84">
        <f>INT(INT((INT((2*VLOOKUP($C782,DexData,11,0)+INT(V782/4)+P782)/2)+5)*AA782)*IF($E782="Choice Scarf",1.5,IF($E782="Iron Ball",0.5,1)))</f>
        <v>91</v>
      </c>
      <c r="AH782" s="84" t="str">
        <f>VLOOKUP(VLOOKUP($C782,DexData,3,0),Aliases!D$2:E$19,2,0)&amp;IFERROR("/"&amp;VLOOKUP(VLOOKUP($C782,DexData,4,0),Aliases!D$2:E$19,2,0),"")</f>
        <v>DRK/FLY</v>
      </c>
      <c r="AI782" s="7">
        <v>3.0</v>
      </c>
      <c r="AJ782" s="7">
        <f>IF(VLOOKUP(B782,'Set Odds'!A$2:AN$1067,40,0),1,IF(VLOOKUP(B782,'Set Odds'!A$2:AO$1067,41,0),2,0))</f>
        <v>1</v>
      </c>
      <c r="AK782" s="7"/>
      <c r="AL782" s="7" t="str">
        <f t="shared" si="1"/>
        <v/>
      </c>
    </row>
    <row r="783" ht="12.75" customHeight="1">
      <c r="A783" s="86">
        <v>782.0</v>
      </c>
      <c r="B783" s="84" t="s">
        <v>4361</v>
      </c>
      <c r="C783" s="7" t="s">
        <v>3828</v>
      </c>
      <c r="D783" s="7" t="s">
        <v>2629</v>
      </c>
      <c r="E783" s="7" t="s">
        <v>3548</v>
      </c>
      <c r="F783" s="84" t="s">
        <v>2746</v>
      </c>
      <c r="G783" s="84" t="s">
        <v>2580</v>
      </c>
      <c r="H783" s="84" t="s">
        <v>3441</v>
      </c>
      <c r="I783" s="84" t="s">
        <v>3603</v>
      </c>
      <c r="J783" s="7" t="s">
        <v>3745</v>
      </c>
      <c r="K783" s="7">
        <v>31.0</v>
      </c>
      <c r="L783" s="7">
        <v>31.0</v>
      </c>
      <c r="M783" s="7">
        <v>31.0</v>
      </c>
      <c r="N783" s="7">
        <v>0.0</v>
      </c>
      <c r="O783" s="7">
        <v>31.0</v>
      </c>
      <c r="P783" s="7">
        <v>31.0</v>
      </c>
      <c r="Q783" s="7">
        <v>252.0</v>
      </c>
      <c r="R783" s="7">
        <v>252.0</v>
      </c>
      <c r="S783" s="7">
        <v>4.0</v>
      </c>
      <c r="T783" s="7">
        <v>0.0</v>
      </c>
      <c r="U783" s="7">
        <v>0.0</v>
      </c>
      <c r="V783" s="7">
        <v>0.0</v>
      </c>
      <c r="W783" s="7">
        <f>VLOOKUP($D783,NatureChart,2,0)</f>
        <v>1.1</v>
      </c>
      <c r="X783" s="7">
        <f>VLOOKUP($D783,NatureChart,3,0)</f>
        <v>1</v>
      </c>
      <c r="Y783" s="7">
        <f>VLOOKUP($D783,NatureChart,4,0)</f>
        <v>1</v>
      </c>
      <c r="Z783" s="7">
        <f>VLOOKUP($D783,NatureChart,5,0)</f>
        <v>1</v>
      </c>
      <c r="AA783" s="84">
        <f>VLOOKUP($D783,NatureChart,6,0)</f>
        <v>0.9</v>
      </c>
      <c r="AB783" s="84">
        <f>IF($C783="Shedinja",1,(INT((2*VLOOKUP($C783,DexData,5,0)+INT(Q783/4)+K783)/2)+60))</f>
        <v>182</v>
      </c>
      <c r="AC783" s="84">
        <f>INT(INT((INT((2*VLOOKUP($C783,DexData,6,0)+INT(R783/4)+L783)/2)+5)*W783)*IF($E783="Choice Band",1.5,IF(OR($E783="Mawilite",$E783="Medichamite",$E783="Thick Club"),2,1)))</f>
        <v>150</v>
      </c>
      <c r="AD783" s="84">
        <f>INT(INT((INT((2*VLOOKUP($C783,DexData,7,0)+INT(S783/4)+M783)/2)+5)*X783)*IF($E783="Eviolite",1.5,1))</f>
        <v>221</v>
      </c>
      <c r="AE783" s="84">
        <f>INT(INT((INT((2*VLOOKUP($C783,DexData,9,0)+INT(T783/4)+N783)/2)+5)*Y783)*IF($E783="Choice Specs",1.5,1))</f>
        <v>60</v>
      </c>
      <c r="AF783" s="84">
        <f>INT(INT((INT((2*VLOOKUP($C783,DexData,10,0)+INT(U783/4)+O783)/2)+5)*Z783)*IF(OR($E783="Eviolite",$E783="Assault Vest"),1.5,1))</f>
        <v>85</v>
      </c>
      <c r="AG783" s="84">
        <f>INT(INT((INT((2*VLOOKUP($C783,DexData,11,0)+INT(V783/4)+P783)/2)+5)*AA783)*IF($E783="Choice Scarf",1.5,IF($E783="Iron Ball",0.5,1)))</f>
        <v>45</v>
      </c>
      <c r="AH783" s="84" t="str">
        <f>VLOOKUP(VLOOKUP($C783,DexData,3,0),Aliases!D$2:E$19,2,0)&amp;IFERROR("/"&amp;VLOOKUP(VLOOKUP($C783,DexData,4,0),Aliases!D$2:E$19,2,0),"")</f>
        <v>STL/GRD</v>
      </c>
      <c r="AI783" s="7">
        <v>3.0</v>
      </c>
      <c r="AJ783" s="7">
        <f>IF(VLOOKUP(B783,'Set Odds'!A$2:AN$1067,40,0),1,IF(VLOOKUP(B783,'Set Odds'!A$2:AO$1067,41,0),2,0))</f>
        <v>1</v>
      </c>
      <c r="AK783" s="7"/>
      <c r="AL783" s="7" t="str">
        <f t="shared" si="1"/>
        <v/>
      </c>
    </row>
    <row r="784" ht="12.75" customHeight="1">
      <c r="A784" s="86">
        <v>783.0</v>
      </c>
      <c r="B784" s="84" t="s">
        <v>4362</v>
      </c>
      <c r="C784" s="7" t="s">
        <v>3830</v>
      </c>
      <c r="D784" s="7" t="s">
        <v>2692</v>
      </c>
      <c r="E784" s="7" t="s">
        <v>2515</v>
      </c>
      <c r="F784" s="84" t="s">
        <v>3578</v>
      </c>
      <c r="G784" s="84" t="s">
        <v>3390</v>
      </c>
      <c r="H784" s="84" t="s">
        <v>3048</v>
      </c>
      <c r="I784" s="84" t="s">
        <v>3113</v>
      </c>
      <c r="J784" s="7" t="s">
        <v>3392</v>
      </c>
      <c r="K784" s="7">
        <v>31.0</v>
      </c>
      <c r="L784" s="7">
        <v>31.0</v>
      </c>
      <c r="M784" s="7">
        <v>31.0</v>
      </c>
      <c r="N784" s="7">
        <v>0.0</v>
      </c>
      <c r="O784" s="7">
        <v>31.0</v>
      </c>
      <c r="P784" s="7">
        <v>31.0</v>
      </c>
      <c r="Q784" s="7">
        <v>4.0</v>
      </c>
      <c r="R784" s="7">
        <v>252.0</v>
      </c>
      <c r="S784" s="7">
        <v>0.0</v>
      </c>
      <c r="T784" s="7">
        <v>0.0</v>
      </c>
      <c r="U784" s="7">
        <v>0.0</v>
      </c>
      <c r="V784" s="7">
        <v>252.0</v>
      </c>
      <c r="W784" s="7">
        <f>VLOOKUP($D784,NatureChart,2,0)</f>
        <v>1</v>
      </c>
      <c r="X784" s="7">
        <f>VLOOKUP($D784,NatureChart,3,0)</f>
        <v>1</v>
      </c>
      <c r="Y784" s="7">
        <f>VLOOKUP($D784,NatureChart,4,0)</f>
        <v>0.9</v>
      </c>
      <c r="Z784" s="7">
        <f>VLOOKUP($D784,NatureChart,5,0)</f>
        <v>1</v>
      </c>
      <c r="AA784" s="84">
        <f>VLOOKUP($D784,NatureChart,6,0)</f>
        <v>1.1</v>
      </c>
      <c r="AB784" s="84">
        <f>IF($C784="Shedinja",1,(INT((2*VLOOKUP($C784,DexData,5,0)+INT(Q784/4)+K784)/2)+60))</f>
        <v>146</v>
      </c>
      <c r="AC784" s="84">
        <f>INT(INT((INT((2*VLOOKUP($C784,DexData,6,0)+INT(R784/4)+L784)/2)+5)*W784)*IF($E784="Choice Band",1.5,IF(OR($E784="Mawilite",$E784="Medichamite",$E784="Thick Club"),2,1)))</f>
        <v>172</v>
      </c>
      <c r="AD784" s="84">
        <f>INT(INT((INT((2*VLOOKUP($C784,DexData,7,0)+INT(S784/4)+M784)/2)+5)*X784)*IF($E784="Eviolite",1.5,1))</f>
        <v>85</v>
      </c>
      <c r="AE784" s="84">
        <f>INT(INT((INT((2*VLOOKUP($C784,DexData,9,0)+INT(T784/4)+N784)/2)+5)*Y784)*IF($E784="Choice Specs",1.5,1))</f>
        <v>45</v>
      </c>
      <c r="AF784" s="84">
        <f>INT(INT((INT((2*VLOOKUP($C784,DexData,10,0)+INT(U784/4)+O784)/2)+5)*Z784)*IF(OR($E784="Eviolite",$E784="Assault Vest"),1.5,1))</f>
        <v>105</v>
      </c>
      <c r="AG784" s="84">
        <f>INT(INT((INT((2*VLOOKUP($C784,DexData,11,0)+INT(V784/4)+P784)/2)+5)*AA784)*IF($E784="Choice Scarf",1.5,IF($E784="Iron Ball",0.5,1)))</f>
        <v>194</v>
      </c>
      <c r="AH784" s="84" t="str">
        <f>VLOOKUP(VLOOKUP($C784,DexData,3,0),Aliases!D$2:E$19,2,0)&amp;IFERROR("/"&amp;VLOOKUP(VLOOKUP($C784,DexData,4,0),Aliases!D$2:E$19,2,0),"")</f>
        <v>DRK/ICE</v>
      </c>
      <c r="AI784" s="7">
        <v>3.0</v>
      </c>
      <c r="AJ784" s="7">
        <f>IF(VLOOKUP(B784,'Set Odds'!A$2:AN$1067,40,0),1,IF(VLOOKUP(B784,'Set Odds'!A$2:AO$1067,41,0),2,0))</f>
        <v>1</v>
      </c>
      <c r="AK784" s="7"/>
      <c r="AL784" s="7" t="str">
        <f t="shared" si="1"/>
        <v/>
      </c>
    </row>
    <row r="785" ht="12.75" customHeight="1">
      <c r="A785" s="86">
        <v>784.0</v>
      </c>
      <c r="B785" s="84" t="s">
        <v>4363</v>
      </c>
      <c r="C785" s="7" t="s">
        <v>3832</v>
      </c>
      <c r="D785" s="7" t="s">
        <v>2692</v>
      </c>
      <c r="E785" s="7" t="s">
        <v>3651</v>
      </c>
      <c r="F785" s="84" t="s">
        <v>3454</v>
      </c>
      <c r="G785" s="84" t="s">
        <v>2522</v>
      </c>
      <c r="H785" s="84" t="s">
        <v>3185</v>
      </c>
      <c r="I785" s="84" t="s">
        <v>2517</v>
      </c>
      <c r="J785" s="7" t="s">
        <v>3653</v>
      </c>
      <c r="K785" s="7">
        <v>31.0</v>
      </c>
      <c r="L785" s="7">
        <v>31.0</v>
      </c>
      <c r="M785" s="7">
        <v>31.0</v>
      </c>
      <c r="N785" s="7">
        <v>0.0</v>
      </c>
      <c r="O785" s="7">
        <v>31.0</v>
      </c>
      <c r="P785" s="7">
        <v>31.0</v>
      </c>
      <c r="Q785" s="7">
        <v>252.0</v>
      </c>
      <c r="R785" s="7">
        <v>0.0</v>
      </c>
      <c r="S785" s="7">
        <v>100.0</v>
      </c>
      <c r="T785" s="7">
        <v>0.0</v>
      </c>
      <c r="U785" s="7">
        <v>0.0</v>
      </c>
      <c r="V785" s="7">
        <v>156.0</v>
      </c>
      <c r="W785" s="7">
        <f>VLOOKUP($D785,NatureChart,2,0)</f>
        <v>1</v>
      </c>
      <c r="X785" s="7">
        <f>VLOOKUP($D785,NatureChart,3,0)</f>
        <v>1</v>
      </c>
      <c r="Y785" s="7">
        <f>VLOOKUP($D785,NatureChart,4,0)</f>
        <v>0.9</v>
      </c>
      <c r="Z785" s="7">
        <f>VLOOKUP($D785,NatureChart,5,0)</f>
        <v>1</v>
      </c>
      <c r="AA785" s="84">
        <f>VLOOKUP($D785,NatureChart,6,0)</f>
        <v>1.1</v>
      </c>
      <c r="AB785" s="84">
        <f>IF($C785="Shedinja",1,(INT((2*VLOOKUP($C785,DexData,5,0)+INT(Q785/4)+K785)/2)+60))</f>
        <v>182</v>
      </c>
      <c r="AC785" s="84">
        <f>INT(INT((INT((2*VLOOKUP($C785,DexData,6,0)+INT(R785/4)+L785)/2)+5)*W785)*IF($E785="Choice Band",1.5,IF(OR($E785="Mawilite",$E785="Medichamite",$E785="Thick Club"),2,1)))</f>
        <v>115</v>
      </c>
      <c r="AD785" s="84">
        <f>INT(INT((INT((2*VLOOKUP($C785,DexData,7,0)+INT(S785/4)+M785)/2)+5)*X785)*IF($E785="Eviolite",1.5,1))</f>
        <v>158</v>
      </c>
      <c r="AE785" s="84">
        <f>INT(INT((INT((2*VLOOKUP($C785,DexData,9,0)+INT(T785/4)+N785)/2)+5)*Y785)*IF($E785="Choice Specs",1.5,1))</f>
        <v>45</v>
      </c>
      <c r="AF785" s="84">
        <f>INT(INT((INT((2*VLOOKUP($C785,DexData,10,0)+INT(U785/4)+O785)/2)+5)*Z785)*IF(OR($E785="Eviolite",$E785="Assault Vest"),1.5,1))</f>
        <v>95</v>
      </c>
      <c r="AG785" s="84">
        <f>INT(INT((INT((2*VLOOKUP($C785,DexData,11,0)+INT(V785/4)+P785)/2)+5)*AA785)*IF($E785="Choice Scarf",1.5,IF($E785="Iron Ball",0.5,1)))</f>
        <v>148</v>
      </c>
      <c r="AH785" s="84" t="str">
        <f>VLOOKUP(VLOOKUP($C785,DexData,3,0),Aliases!D$2:E$19,2,0)&amp;IFERROR("/"&amp;VLOOKUP(VLOOKUP($C785,DexData,4,0),Aliases!D$2:E$19,2,0),"")</f>
        <v>GRD/FLY</v>
      </c>
      <c r="AI785" s="7">
        <v>3.0</v>
      </c>
      <c r="AJ785" s="7">
        <f>IF(VLOOKUP(B785,'Set Odds'!A$2:AN$1067,40,0),1,IF(VLOOKUP(B785,'Set Odds'!A$2:AO$1067,41,0),2,0))</f>
        <v>1</v>
      </c>
      <c r="AK785" s="7"/>
      <c r="AL785" s="7" t="str">
        <f t="shared" si="1"/>
        <v/>
      </c>
    </row>
    <row r="786" ht="12.75" customHeight="1">
      <c r="A786" s="86">
        <v>785.0</v>
      </c>
      <c r="B786" s="84" t="s">
        <v>4364</v>
      </c>
      <c r="C786" s="7" t="s">
        <v>3836</v>
      </c>
      <c r="D786" s="7" t="s">
        <v>2692</v>
      </c>
      <c r="E786" s="7" t="s">
        <v>2889</v>
      </c>
      <c r="F786" s="84" t="s">
        <v>2625</v>
      </c>
      <c r="G786" s="84" t="s">
        <v>3454</v>
      </c>
      <c r="H786" s="84" t="s">
        <v>3603</v>
      </c>
      <c r="I786" s="84" t="s">
        <v>3626</v>
      </c>
      <c r="J786" s="7" t="s">
        <v>3499</v>
      </c>
      <c r="K786" s="7">
        <v>31.0</v>
      </c>
      <c r="L786" s="7">
        <v>31.0</v>
      </c>
      <c r="M786" s="7">
        <v>31.0</v>
      </c>
      <c r="N786" s="7">
        <v>0.0</v>
      </c>
      <c r="O786" s="7">
        <v>31.0</v>
      </c>
      <c r="P786" s="7">
        <v>31.0</v>
      </c>
      <c r="Q786" s="7">
        <v>4.0</v>
      </c>
      <c r="R786" s="7">
        <v>252.0</v>
      </c>
      <c r="S786" s="7">
        <v>0.0</v>
      </c>
      <c r="T786" s="7">
        <v>0.0</v>
      </c>
      <c r="U786" s="7">
        <v>0.0</v>
      </c>
      <c r="V786" s="7">
        <v>252.0</v>
      </c>
      <c r="W786" s="7">
        <f>VLOOKUP($D786,NatureChart,2,0)</f>
        <v>1</v>
      </c>
      <c r="X786" s="7">
        <f>VLOOKUP($D786,NatureChart,3,0)</f>
        <v>1</v>
      </c>
      <c r="Y786" s="7">
        <f>VLOOKUP($D786,NatureChart,4,0)</f>
        <v>0.9</v>
      </c>
      <c r="Z786" s="7">
        <f>VLOOKUP($D786,NatureChart,5,0)</f>
        <v>1</v>
      </c>
      <c r="AA786" s="84">
        <f>VLOOKUP($D786,NatureChart,6,0)</f>
        <v>1.1</v>
      </c>
      <c r="AB786" s="84">
        <f>IF($C786="Shedinja",1,(INT((2*VLOOKUP($C786,DexData,5,0)+INT(Q786/4)+K786)/2)+60))</f>
        <v>156</v>
      </c>
      <c r="AC786" s="84">
        <f>INT(INT((INT((2*VLOOKUP($C786,DexData,6,0)+INT(R786/4)+L786)/2)+5)*W786)*IF($E786="Choice Band",1.5,IF(OR($E786="Mawilite",$E786="Medichamite",$E786="Thick Club"),2,1)))</f>
        <v>157</v>
      </c>
      <c r="AD786" s="84">
        <f>INT(INT((INT((2*VLOOKUP($C786,DexData,7,0)+INT(S786/4)+M786)/2)+5)*X786)*IF($E786="Eviolite",1.5,1))</f>
        <v>85</v>
      </c>
      <c r="AE786" s="84">
        <f>INT(INT((INT((2*VLOOKUP($C786,DexData,9,0)+INT(T786/4)+N786)/2)+5)*Y786)*IF($E786="Choice Specs",1.5,1))</f>
        <v>58</v>
      </c>
      <c r="AF786" s="84">
        <f>INT(INT((INT((2*VLOOKUP($C786,DexData,10,0)+INT(U786/4)+O786)/2)+5)*Z786)*IF(OR($E786="Eviolite",$E786="Assault Vest"),1.5,1))</f>
        <v>95</v>
      </c>
      <c r="AG786" s="84">
        <f>INT(INT((INT((2*VLOOKUP($C786,DexData,11,0)+INT(V786/4)+P786)/2)+5)*AA786)*IF($E786="Choice Scarf",1.5,IF($E786="Iron Ball",0.5,1)))</f>
        <v>200</v>
      </c>
      <c r="AH786" s="84" t="str">
        <f>VLOOKUP(VLOOKUP($C786,DexData,3,0),Aliases!D$2:E$19,2,0)&amp;IFERROR("/"&amp;VLOOKUP(VLOOKUP($C786,DexData,4,0),Aliases!D$2:E$19,2,0),"")</f>
        <v>RCK/FLY</v>
      </c>
      <c r="AI786" s="7">
        <v>3.0</v>
      </c>
      <c r="AJ786" s="7">
        <f>IF(VLOOKUP(B786,'Set Odds'!A$2:AN$1067,40,0),1,IF(VLOOKUP(B786,'Set Odds'!A$2:AO$1067,41,0),2,0))</f>
        <v>1</v>
      </c>
      <c r="AK786" s="7"/>
      <c r="AL786" s="7" t="str">
        <f t="shared" si="1"/>
        <v/>
      </c>
    </row>
    <row r="787" ht="12.75" customHeight="1">
      <c r="A787" s="86">
        <v>786.0</v>
      </c>
      <c r="B787" s="84" t="s">
        <v>4365</v>
      </c>
      <c r="C787" s="7" t="s">
        <v>3843</v>
      </c>
      <c r="D787" s="7" t="s">
        <v>2629</v>
      </c>
      <c r="E787" s="7" t="s">
        <v>2885</v>
      </c>
      <c r="F787" s="84" t="s">
        <v>2539</v>
      </c>
      <c r="G787" s="84" t="s">
        <v>3472</v>
      </c>
      <c r="H787" s="84" t="s">
        <v>2798</v>
      </c>
      <c r="I787" s="84" t="s">
        <v>2734</v>
      </c>
      <c r="J787" s="7" t="s">
        <v>2849</v>
      </c>
      <c r="K787" s="7">
        <v>31.0</v>
      </c>
      <c r="L787" s="7">
        <v>31.0</v>
      </c>
      <c r="M787" s="7">
        <v>31.0</v>
      </c>
      <c r="N787" s="7">
        <v>0.0</v>
      </c>
      <c r="O787" s="7">
        <v>31.0</v>
      </c>
      <c r="P787" s="7">
        <v>0.0</v>
      </c>
      <c r="Q787" s="7">
        <v>252.0</v>
      </c>
      <c r="R787" s="7">
        <v>252.0</v>
      </c>
      <c r="S787" s="7">
        <v>4.0</v>
      </c>
      <c r="T787" s="7">
        <v>0.0</v>
      </c>
      <c r="U787" s="7">
        <v>0.0</v>
      </c>
      <c r="V787" s="7">
        <v>0.0</v>
      </c>
      <c r="W787" s="7">
        <f>VLOOKUP($D787,NatureChart,2,0)</f>
        <v>1.1</v>
      </c>
      <c r="X787" s="7">
        <f>VLOOKUP($D787,NatureChart,3,0)</f>
        <v>1</v>
      </c>
      <c r="Y787" s="7">
        <f>VLOOKUP($D787,NatureChart,4,0)</f>
        <v>1</v>
      </c>
      <c r="Z787" s="7">
        <f>VLOOKUP($D787,NatureChart,5,0)</f>
        <v>1</v>
      </c>
      <c r="AA787" s="84">
        <f>VLOOKUP($D787,NatureChart,6,0)</f>
        <v>0.9</v>
      </c>
      <c r="AB787" s="84">
        <f>IF($C787="Shedinja",1,(INT((2*VLOOKUP($C787,DexData,5,0)+INT(Q787/4)+K787)/2)+60))</f>
        <v>217</v>
      </c>
      <c r="AC787" s="84">
        <f>INT(INT((INT((2*VLOOKUP($C787,DexData,6,0)+INT(R787/4)+L787)/2)+5)*W787)*IF($E787="Choice Band",1.5,IF(OR($E787="Mawilite",$E787="Medichamite",$E787="Thick Club"),2,1)))</f>
        <v>225</v>
      </c>
      <c r="AD787" s="84">
        <f>INT(INT((INT((2*VLOOKUP($C787,DexData,7,0)+INT(S787/4)+M787)/2)+5)*X787)*IF($E787="Eviolite",1.5,1))</f>
        <v>116</v>
      </c>
      <c r="AE787" s="84">
        <f>INT(INT((INT((2*VLOOKUP($C787,DexData,9,0)+INT(T787/4)+N787)/2)+5)*Y787)*IF($E787="Choice Specs",1.5,1))</f>
        <v>85</v>
      </c>
      <c r="AF787" s="84">
        <f>INT(INT((INT((2*VLOOKUP($C787,DexData,10,0)+INT(U787/4)+O787)/2)+5)*Z787)*IF(OR($E787="Eviolite",$E787="Assault Vest"),1.5,1))</f>
        <v>115</v>
      </c>
      <c r="AG787" s="84">
        <f>INT(INT((INT((2*VLOOKUP($C787,DexData,11,0)+INT(V787/4)+P787)/2)+5)*AA787)*IF($E787="Choice Scarf",1.5,IF($E787="Iron Ball",0.5,1)))</f>
        <v>49</v>
      </c>
      <c r="AH787" s="84" t="str">
        <f>VLOOKUP(VLOOKUP($C787,DexData,3,0),Aliases!D$2:E$19,2,0)&amp;IFERROR("/"&amp;VLOOKUP(VLOOKUP($C787,DexData,4,0),Aliases!D$2:E$19,2,0),"")</f>
        <v>NRM</v>
      </c>
      <c r="AI787" s="7">
        <v>3.0</v>
      </c>
      <c r="AJ787" s="7">
        <f>IF(VLOOKUP(B787,'Set Odds'!A$2:AN$1067,40,0),1,IF(VLOOKUP(B787,'Set Odds'!A$2:AO$1067,41,0),2,0))</f>
        <v>1</v>
      </c>
      <c r="AK787" s="7"/>
      <c r="AL787" s="7" t="str">
        <f t="shared" si="1"/>
        <v/>
      </c>
    </row>
    <row r="788" ht="12.75" customHeight="1">
      <c r="A788" s="86">
        <v>787.0</v>
      </c>
      <c r="B788" s="84" t="s">
        <v>4366</v>
      </c>
      <c r="C788" s="7" t="s">
        <v>3848</v>
      </c>
      <c r="D788" s="7" t="s">
        <v>2635</v>
      </c>
      <c r="E788" s="7" t="s">
        <v>3522</v>
      </c>
      <c r="F788" s="84" t="s">
        <v>2956</v>
      </c>
      <c r="G788" s="84" t="s">
        <v>2659</v>
      </c>
      <c r="H788" s="84" t="s">
        <v>3435</v>
      </c>
      <c r="I788" s="84" t="s">
        <v>4072</v>
      </c>
      <c r="J788" s="7" t="s">
        <v>1477</v>
      </c>
      <c r="K788" s="7">
        <v>31.0</v>
      </c>
      <c r="L788" s="7">
        <v>0.0</v>
      </c>
      <c r="M788" s="7">
        <v>31.0</v>
      </c>
      <c r="N788" s="7">
        <v>31.0</v>
      </c>
      <c r="O788" s="7">
        <v>31.0</v>
      </c>
      <c r="P788" s="7">
        <v>31.0</v>
      </c>
      <c r="Q788" s="7">
        <v>4.0</v>
      </c>
      <c r="R788" s="7">
        <v>0.0</v>
      </c>
      <c r="S788" s="7">
        <v>0.0</v>
      </c>
      <c r="T788" s="7">
        <v>252.0</v>
      </c>
      <c r="U788" s="7">
        <v>0.0</v>
      </c>
      <c r="V788" s="7">
        <v>252.0</v>
      </c>
      <c r="W788" s="7">
        <f>VLOOKUP($D788,NatureChart,2,0)</f>
        <v>0.9</v>
      </c>
      <c r="X788" s="7">
        <f>VLOOKUP($D788,NatureChart,3,0)</f>
        <v>1</v>
      </c>
      <c r="Y788" s="7">
        <f>VLOOKUP($D788,NatureChart,4,0)</f>
        <v>1</v>
      </c>
      <c r="Z788" s="7">
        <f>VLOOKUP($D788,NatureChart,5,0)</f>
        <v>1</v>
      </c>
      <c r="AA788" s="84">
        <f>VLOOKUP($D788,NatureChart,6,0)</f>
        <v>1.1</v>
      </c>
      <c r="AB788" s="84">
        <f>IF($C788="Shedinja",1,(INT((2*VLOOKUP($C788,DexData,5,0)+INT(Q788/4)+K788)/2)+60))</f>
        <v>144</v>
      </c>
      <c r="AC788" s="84">
        <f>INT(INT((INT((2*VLOOKUP($C788,DexData,6,0)+INT(R788/4)+L788)/2)+5)*W788)*IF($E788="Choice Band",1.5,IF(OR($E788="Mawilite",$E788="Medichamite",$E788="Thick Club"),2,1)))</f>
        <v>63</v>
      </c>
      <c r="AD788" s="84">
        <f>INT(INT((INT((2*VLOOKUP($C788,DexData,7,0)+INT(S788/4)+M788)/2)+5)*X788)*IF($E788="Eviolite",1.5,1))</f>
        <v>85</v>
      </c>
      <c r="AE788" s="84">
        <f>INT(INT((INT((2*VLOOKUP($C788,DexData,9,0)+INT(T788/4)+N788)/2)+5)*Y788)*IF($E788="Choice Specs",1.5,1))</f>
        <v>265</v>
      </c>
      <c r="AF788" s="84">
        <f>INT(INT((INT((2*VLOOKUP($C788,DexData,10,0)+INT(U788/4)+O788)/2)+5)*Z788)*IF(OR($E788="Eviolite",$E788="Assault Vest"),1.5,1))</f>
        <v>135</v>
      </c>
      <c r="AG788" s="84">
        <f>INT(INT((INT((2*VLOOKUP($C788,DexData,11,0)+INT(V788/4)+P788)/2)+5)*AA788)*IF($E788="Choice Scarf",1.5,IF($E788="Iron Ball",0.5,1)))</f>
        <v>145</v>
      </c>
      <c r="AH788" s="84" t="str">
        <f>VLOOKUP(VLOOKUP($C788,DexData,3,0),Aliases!D$2:E$19,2,0)&amp;IFERROR("/"&amp;VLOOKUP(VLOOKUP($C788,DexData,4,0),Aliases!D$2:E$19,2,0),"")</f>
        <v>PSY/FAI</v>
      </c>
      <c r="AI788" s="7">
        <v>3.0</v>
      </c>
      <c r="AJ788" s="7">
        <f>IF(VLOOKUP(B788,'Set Odds'!A$2:AN$1067,40,0),1,IF(VLOOKUP(B788,'Set Odds'!A$2:AO$1067,41,0),2,0))</f>
        <v>1</v>
      </c>
      <c r="AK788" s="7"/>
      <c r="AL788" s="7" t="str">
        <f t="shared" si="1"/>
        <v/>
      </c>
    </row>
    <row r="789" ht="12.75" customHeight="1">
      <c r="A789" s="86">
        <v>788.0</v>
      </c>
      <c r="B789" s="84" t="s">
        <v>4367</v>
      </c>
      <c r="C789" s="7" t="s">
        <v>3855</v>
      </c>
      <c r="D789" s="7" t="s">
        <v>2827</v>
      </c>
      <c r="E789" s="7" t="s">
        <v>2636</v>
      </c>
      <c r="F789" s="84" t="s">
        <v>3733</v>
      </c>
      <c r="G789" s="84" t="s">
        <v>2704</v>
      </c>
      <c r="H789" s="84" t="s">
        <v>2659</v>
      </c>
      <c r="I789" s="84" t="s">
        <v>3052</v>
      </c>
      <c r="J789" s="7" t="s">
        <v>4368</v>
      </c>
      <c r="K789" s="7">
        <v>31.0</v>
      </c>
      <c r="L789" s="7">
        <v>0.0</v>
      </c>
      <c r="M789" s="7">
        <v>31.0</v>
      </c>
      <c r="N789" s="7">
        <v>31.0</v>
      </c>
      <c r="O789" s="7">
        <v>31.0</v>
      </c>
      <c r="P789" s="7">
        <v>31.0</v>
      </c>
      <c r="Q789" s="7">
        <v>252.0</v>
      </c>
      <c r="R789" s="7">
        <v>0.0</v>
      </c>
      <c r="S789" s="7">
        <v>4.0</v>
      </c>
      <c r="T789" s="7">
        <v>252.0</v>
      </c>
      <c r="U789" s="7">
        <v>0.0</v>
      </c>
      <c r="V789" s="7">
        <v>0.0</v>
      </c>
      <c r="W789" s="7">
        <f>VLOOKUP($D789,NatureChart,2,0)</f>
        <v>1</v>
      </c>
      <c r="X789" s="7">
        <f>VLOOKUP($D789,NatureChart,3,0)</f>
        <v>1</v>
      </c>
      <c r="Y789" s="7">
        <f>VLOOKUP($D789,NatureChart,4,0)</f>
        <v>1.1</v>
      </c>
      <c r="Z789" s="7">
        <f>VLOOKUP($D789,NatureChart,5,0)</f>
        <v>1</v>
      </c>
      <c r="AA789" s="84">
        <f>VLOOKUP($D789,NatureChart,6,0)</f>
        <v>0.9</v>
      </c>
      <c r="AB789" s="84">
        <f>IF($C789="Shedinja",1,(INT((2*VLOOKUP($C789,DexData,5,0)+INT(Q789/4)+K789)/2)+60))</f>
        <v>202</v>
      </c>
      <c r="AC789" s="84">
        <f>INT(INT((INT((2*VLOOKUP($C789,DexData,6,0)+INT(R789/4)+L789)/2)+5)*W789)*IF($E789="Choice Band",1.5,IF(OR($E789="Mawilite",$E789="Medichamite",$E789="Thick Club"),2,1)))</f>
        <v>100</v>
      </c>
      <c r="AD789" s="84">
        <f>INT(INT((INT((2*VLOOKUP($C789,DexData,7,0)+INT(S789/4)+M789)/2)+5)*X789)*IF($E789="Eviolite",1.5,1))</f>
        <v>106</v>
      </c>
      <c r="AE789" s="84">
        <f>INT(INT((INT((2*VLOOKUP($C789,DexData,9,0)+INT(T789/4)+N789)/2)+5)*Y789)*IF($E789="Choice Specs",1.5,1))</f>
        <v>194</v>
      </c>
      <c r="AF789" s="84">
        <f>INT(INT((INT((2*VLOOKUP($C789,DexData,10,0)+INT(U789/4)+O789)/2)+5)*Z789)*IF(OR($E789="Eviolite",$E789="Assault Vest"),1.5,1))</f>
        <v>95</v>
      </c>
      <c r="AG789" s="84">
        <f>INT(INT((INT((2*VLOOKUP($C789,DexData,11,0)+INT(V789/4)+P789)/2)+5)*AA789)*IF($E789="Choice Scarf",1.5,IF($E789="Iron Ball",0.5,1)))</f>
        <v>67</v>
      </c>
      <c r="AH789" s="84" t="str">
        <f>VLOOKUP(VLOOKUP($C789,DexData,3,0),Aliases!D$2:E$19,2,0)&amp;IFERROR("/"&amp;VLOOKUP(VLOOKUP($C789,DexData,4,0),Aliases!D$2:E$19,2,0),"")</f>
        <v>GRS/PSY</v>
      </c>
      <c r="AI789" s="7">
        <v>3.0</v>
      </c>
      <c r="AJ789" s="7">
        <f>IF(VLOOKUP(B789,'Set Odds'!A$2:AN$1067,40,0),1,IF(VLOOKUP(B789,'Set Odds'!A$2:AO$1067,41,0),2,0))</f>
        <v>1</v>
      </c>
      <c r="AK789" s="7"/>
      <c r="AL789" s="7" t="str">
        <f t="shared" si="1"/>
        <v/>
      </c>
    </row>
    <row r="790" ht="12.75" customHeight="1">
      <c r="A790" s="86">
        <v>789.0</v>
      </c>
      <c r="B790" s="84" t="s">
        <v>4369</v>
      </c>
      <c r="C790" s="7" t="s">
        <v>3857</v>
      </c>
      <c r="D790" s="7" t="s">
        <v>2635</v>
      </c>
      <c r="E790" s="7" t="s">
        <v>2515</v>
      </c>
      <c r="F790" s="84" t="s">
        <v>3341</v>
      </c>
      <c r="G790" s="84" t="s">
        <v>3260</v>
      </c>
      <c r="H790" s="84" t="s">
        <v>2823</v>
      </c>
      <c r="I790" s="84" t="s">
        <v>2659</v>
      </c>
      <c r="J790" s="7" t="s">
        <v>3169</v>
      </c>
      <c r="K790" s="7">
        <v>31.0</v>
      </c>
      <c r="L790" s="7">
        <v>0.0</v>
      </c>
      <c r="M790" s="7">
        <v>31.0</v>
      </c>
      <c r="N790" s="7">
        <v>31.0</v>
      </c>
      <c r="O790" s="7">
        <v>31.0</v>
      </c>
      <c r="P790" s="7">
        <v>31.0</v>
      </c>
      <c r="Q790" s="7">
        <v>4.0</v>
      </c>
      <c r="R790" s="7">
        <v>0.0</v>
      </c>
      <c r="S790" s="7">
        <v>0.0</v>
      </c>
      <c r="T790" s="7">
        <v>252.0</v>
      </c>
      <c r="U790" s="7">
        <v>0.0</v>
      </c>
      <c r="V790" s="7">
        <v>252.0</v>
      </c>
      <c r="W790" s="7">
        <f>VLOOKUP($D790,NatureChart,2,0)</f>
        <v>0.9</v>
      </c>
      <c r="X790" s="7">
        <f>VLOOKUP($D790,NatureChart,3,0)</f>
        <v>1</v>
      </c>
      <c r="Y790" s="7">
        <f>VLOOKUP($D790,NatureChart,4,0)</f>
        <v>1</v>
      </c>
      <c r="Z790" s="7">
        <f>VLOOKUP($D790,NatureChart,5,0)</f>
        <v>1</v>
      </c>
      <c r="AA790" s="84">
        <f>VLOOKUP($D790,NatureChart,6,0)</f>
        <v>1.1</v>
      </c>
      <c r="AB790" s="84">
        <f>IF($C790="Shedinja",1,(INT((2*VLOOKUP($C790,DexData,5,0)+INT(Q790/4)+K790)/2)+60))</f>
        <v>136</v>
      </c>
      <c r="AC790" s="84">
        <f>INT(INT((INT((2*VLOOKUP($C790,DexData,6,0)+INT(R790/4)+L790)/2)+5)*W790)*IF($E790="Choice Band",1.5,IF(OR($E790="Mawilite",$E790="Medichamite",$E790="Thick Club"),2,1)))</f>
        <v>72</v>
      </c>
      <c r="AD790" s="84">
        <f>INT(INT((INT((2*VLOOKUP($C790,DexData,7,0)+INT(S790/4)+M790)/2)+5)*X790)*IF($E790="Eviolite",1.5,1))</f>
        <v>105</v>
      </c>
      <c r="AE790" s="84">
        <f>INT(INT((INT((2*VLOOKUP($C790,DexData,9,0)+INT(T790/4)+N790)/2)+5)*Y790)*IF($E790="Choice Specs",1.5,1))</f>
        <v>152</v>
      </c>
      <c r="AF790" s="84">
        <f>INT(INT((INT((2*VLOOKUP($C790,DexData,10,0)+INT(U790/4)+O790)/2)+5)*Z790)*IF(OR($E790="Eviolite",$E790="Assault Vest"),1.5,1))</f>
        <v>105</v>
      </c>
      <c r="AG790" s="84">
        <f>INT(INT((INT((2*VLOOKUP($C790,DexData,11,0)+INT(V790/4)+P790)/2)+5)*AA790)*IF($E790="Choice Scarf",1.5,IF($E790="Iron Ball",0.5,1)))</f>
        <v>183</v>
      </c>
      <c r="AH790" s="84" t="str">
        <f>VLOOKUP(VLOOKUP($C790,DexData,3,0),Aliases!D$2:E$19,2,0)&amp;IFERROR("/"&amp;VLOOKUP(VLOOKUP($C790,DexData,4,0),Aliases!D$2:E$19,2,0),"")</f>
        <v>WTR/PSY</v>
      </c>
      <c r="AI790" s="7">
        <v>3.0</v>
      </c>
      <c r="AJ790" s="7">
        <f>IF(VLOOKUP(B790,'Set Odds'!A$2:AN$1067,40,0),1,IF(VLOOKUP(B790,'Set Odds'!A$2:AO$1067,41,0),2,0))</f>
        <v>1</v>
      </c>
      <c r="AK790" s="7"/>
      <c r="AL790" s="7" t="str">
        <f t="shared" si="1"/>
        <v/>
      </c>
    </row>
    <row r="791" ht="12.75" customHeight="1">
      <c r="A791" s="86">
        <v>790.0</v>
      </c>
      <c r="B791" s="84" t="s">
        <v>4370</v>
      </c>
      <c r="C791" s="7" t="s">
        <v>3859</v>
      </c>
      <c r="D791" s="7" t="s">
        <v>2656</v>
      </c>
      <c r="E791" s="7" t="s">
        <v>3522</v>
      </c>
      <c r="F791" s="84" t="s">
        <v>3697</v>
      </c>
      <c r="G791" s="84" t="s">
        <v>4016</v>
      </c>
      <c r="H791" s="84" t="s">
        <v>2832</v>
      </c>
      <c r="I791" s="84" t="s">
        <v>2660</v>
      </c>
      <c r="J791" s="7" t="s">
        <v>2714</v>
      </c>
      <c r="K791" s="7">
        <v>31.0</v>
      </c>
      <c r="L791" s="7">
        <v>0.0</v>
      </c>
      <c r="M791" s="7">
        <v>31.0</v>
      </c>
      <c r="N791" s="7">
        <v>31.0</v>
      </c>
      <c r="O791" s="7">
        <v>31.0</v>
      </c>
      <c r="P791" s="7">
        <v>31.0</v>
      </c>
      <c r="Q791" s="7">
        <v>4.0</v>
      </c>
      <c r="R791" s="7">
        <v>0.0</v>
      </c>
      <c r="S791" s="7">
        <v>0.0</v>
      </c>
      <c r="T791" s="7">
        <v>252.0</v>
      </c>
      <c r="U791" s="7">
        <v>0.0</v>
      </c>
      <c r="V791" s="7">
        <v>252.0</v>
      </c>
      <c r="W791" s="7">
        <f>VLOOKUP($D791,NatureChart,2,0)</f>
        <v>0.9</v>
      </c>
      <c r="X791" s="7">
        <f>VLOOKUP($D791,NatureChart,3,0)</f>
        <v>1</v>
      </c>
      <c r="Y791" s="7">
        <f>VLOOKUP($D791,NatureChart,4,0)</f>
        <v>1.1</v>
      </c>
      <c r="Z791" s="7">
        <f>VLOOKUP($D791,NatureChart,5,0)</f>
        <v>1</v>
      </c>
      <c r="AA791" s="84">
        <f>VLOOKUP($D791,NatureChart,6,0)</f>
        <v>1</v>
      </c>
      <c r="AB791" s="84">
        <f>IF($C791="Shedinja",1,(INT((2*VLOOKUP($C791,DexData,5,0)+INT(Q791/4)+K791)/2)+60))</f>
        <v>156</v>
      </c>
      <c r="AC791" s="84">
        <f>INT(INT((INT((2*VLOOKUP($C791,DexData,6,0)+INT(R791/4)+L791)/2)+5)*W791)*IF($E791="Choice Band",1.5,IF(OR($E791="Mawilite",$E791="Medichamite",$E791="Thick Club"),2,1)))</f>
        <v>94</v>
      </c>
      <c r="AD791" s="84">
        <f>INT(INT((INT((2*VLOOKUP($C791,DexData,7,0)+INT(S791/4)+M791)/2)+5)*X791)*IF($E791="Eviolite",1.5,1))</f>
        <v>100</v>
      </c>
      <c r="AE791" s="84">
        <f>INT(INT((INT((2*VLOOKUP($C791,DexData,9,0)+INT(T791/4)+N791)/2)+5)*Y791)*IF($E791="Choice Specs",1.5,1))</f>
        <v>217</v>
      </c>
      <c r="AF791" s="84">
        <f>INT(INT((INT((2*VLOOKUP($C791,DexData,10,0)+INT(U791/4)+O791)/2)+5)*Z791)*IF(OR($E791="Eviolite",$E791="Assault Vest"),1.5,1))</f>
        <v>100</v>
      </c>
      <c r="AG791" s="84">
        <f>INT(INT((INT((2*VLOOKUP($C791,DexData,11,0)+INT(V791/4)+P791)/2)+5)*AA791)*IF($E791="Choice Scarf",1.5,IF($E791="Iron Ball",0.5,1)))</f>
        <v>152</v>
      </c>
      <c r="AH791" s="84" t="str">
        <f>VLOOKUP(VLOOKUP($C791,DexData,3,0),Aliases!D$2:E$19,2,0)&amp;IFERROR("/"&amp;VLOOKUP(VLOOKUP($C791,DexData,4,0),Aliases!D$2:E$19,2,0),"")</f>
        <v>GRD/DRG</v>
      </c>
      <c r="AI791" s="7">
        <v>3.0</v>
      </c>
      <c r="AJ791" s="7">
        <f>IF(VLOOKUP(B791,'Set Odds'!A$2:AN$1067,40,0),1,IF(VLOOKUP(B791,'Set Odds'!A$2:AO$1067,41,0),2,0))</f>
        <v>1</v>
      </c>
      <c r="AK791" s="7"/>
      <c r="AL791" s="7" t="str">
        <f t="shared" si="1"/>
        <v/>
      </c>
    </row>
    <row r="792" ht="12.75" customHeight="1">
      <c r="A792" s="86">
        <v>791.0</v>
      </c>
      <c r="B792" s="84" t="s">
        <v>4371</v>
      </c>
      <c r="C792" s="7" t="s">
        <v>3861</v>
      </c>
      <c r="D792" s="7" t="s">
        <v>2862</v>
      </c>
      <c r="E792" s="7" t="s">
        <v>2685</v>
      </c>
      <c r="F792" s="84" t="s">
        <v>2880</v>
      </c>
      <c r="G792" s="84" t="s">
        <v>2972</v>
      </c>
      <c r="H792" s="84" t="s">
        <v>2688</v>
      </c>
      <c r="I792" s="84" t="s">
        <v>3130</v>
      </c>
      <c r="J792" s="7" t="s">
        <v>3059</v>
      </c>
      <c r="K792" s="7">
        <v>31.0</v>
      </c>
      <c r="L792" s="7">
        <v>0.0</v>
      </c>
      <c r="M792" s="7">
        <v>31.0</v>
      </c>
      <c r="N792" s="7">
        <v>31.0</v>
      </c>
      <c r="O792" s="7">
        <v>31.0</v>
      </c>
      <c r="P792" s="7">
        <v>31.0</v>
      </c>
      <c r="Q792" s="7">
        <v>252.0</v>
      </c>
      <c r="R792" s="7">
        <v>0.0</v>
      </c>
      <c r="S792" s="7">
        <v>252.0</v>
      </c>
      <c r="T792" s="7">
        <v>0.0</v>
      </c>
      <c r="U792" s="7">
        <v>4.0</v>
      </c>
      <c r="V792" s="7">
        <v>0.0</v>
      </c>
      <c r="W792" s="7">
        <f>VLOOKUP($D792,NatureChart,2,0)</f>
        <v>0.9</v>
      </c>
      <c r="X792" s="7">
        <f>VLOOKUP($D792,NatureChart,3,0)</f>
        <v>1.1</v>
      </c>
      <c r="Y792" s="7">
        <f>VLOOKUP($D792,NatureChart,4,0)</f>
        <v>1</v>
      </c>
      <c r="Z792" s="7">
        <f>VLOOKUP($D792,NatureChart,5,0)</f>
        <v>1</v>
      </c>
      <c r="AA792" s="84">
        <f>VLOOKUP($D792,NatureChart,6,0)</f>
        <v>1</v>
      </c>
      <c r="AB792" s="84">
        <f>IF($C792="Shedinja",1,(INT((2*VLOOKUP($C792,DexData,5,0)+INT(Q792/4)+K792)/2)+60))</f>
        <v>237</v>
      </c>
      <c r="AC792" s="84">
        <f>INT(INT((INT((2*VLOOKUP($C792,DexData,6,0)+INT(R792/4)+L792)/2)+5)*W792)*IF($E792="Choice Band",1.5,IF(OR($E792="Mawilite",$E792="Medichamite",$E792="Thick Club"),2,1)))</f>
        <v>63</v>
      </c>
      <c r="AD792" s="84">
        <f>INT(INT((INT((2*VLOOKUP($C792,DexData,7,0)+INT(S792/4)+M792)/2)+5)*X792)*IF($E792="Eviolite",1.5,1))</f>
        <v>123</v>
      </c>
      <c r="AE792" s="84">
        <f>INT(INT((INT((2*VLOOKUP($C792,DexData,9,0)+INT(T792/4)+N792)/2)+5)*Y792)*IF($E792="Choice Specs",1.5,1))</f>
        <v>130</v>
      </c>
      <c r="AF792" s="84">
        <f>INT(INT((INT((2*VLOOKUP($C792,DexData,10,0)+INT(U792/4)+O792)/2)+5)*Z792)*IF(OR($E792="Eviolite",$E792="Assault Vest"),1.5,1))</f>
        <v>116</v>
      </c>
      <c r="AG792" s="84">
        <f>INT(INT((INT((2*VLOOKUP($C792,DexData,11,0)+INT(V792/4)+P792)/2)+5)*AA792)*IF($E792="Choice Scarf",1.5,IF($E792="Iron Ball",0.5,1)))</f>
        <v>85</v>
      </c>
      <c r="AH792" s="84" t="str">
        <f>VLOOKUP(VLOOKUP($C792,DexData,3,0),Aliases!D$2:E$19,2,0)&amp;IFERROR("/"&amp;VLOOKUP(VLOOKUP($C792,DexData,4,0),Aliases!D$2:E$19,2,0),"")</f>
        <v>WTR</v>
      </c>
      <c r="AI792" s="7">
        <v>3.0</v>
      </c>
      <c r="AJ792" s="7">
        <f>IF(VLOOKUP(B792,'Set Odds'!A$2:AN$1067,40,0),1,IF(VLOOKUP(B792,'Set Odds'!A$2:AO$1067,41,0),2,0))</f>
        <v>1</v>
      </c>
      <c r="AK792" s="7"/>
      <c r="AL792" s="7" t="str">
        <f t="shared" si="1"/>
        <v/>
      </c>
    </row>
    <row r="793" ht="12.75" customHeight="1">
      <c r="A793" s="86">
        <v>792.0</v>
      </c>
      <c r="B793" s="84" t="s">
        <v>4372</v>
      </c>
      <c r="C793" s="7" t="s">
        <v>3863</v>
      </c>
      <c r="D793" s="7" t="s">
        <v>2635</v>
      </c>
      <c r="E793" s="7" t="s">
        <v>3522</v>
      </c>
      <c r="F793" s="84" t="s">
        <v>3523</v>
      </c>
      <c r="G793" s="84" t="s">
        <v>3435</v>
      </c>
      <c r="H793" s="84" t="s">
        <v>2661</v>
      </c>
      <c r="I793" s="84" t="s">
        <v>3130</v>
      </c>
      <c r="J793" s="7" t="s">
        <v>3000</v>
      </c>
      <c r="K793" s="7">
        <v>31.0</v>
      </c>
      <c r="L793" s="7">
        <v>0.0</v>
      </c>
      <c r="M793" s="7">
        <v>31.0</v>
      </c>
      <c r="N793" s="7">
        <v>31.0</v>
      </c>
      <c r="O793" s="7">
        <v>31.0</v>
      </c>
      <c r="P793" s="7">
        <v>31.0</v>
      </c>
      <c r="Q793" s="7">
        <v>4.0</v>
      </c>
      <c r="R793" s="7">
        <v>0.0</v>
      </c>
      <c r="S793" s="7">
        <v>0.0</v>
      </c>
      <c r="T793" s="7">
        <v>252.0</v>
      </c>
      <c r="U793" s="7">
        <v>0.0</v>
      </c>
      <c r="V793" s="7">
        <v>252.0</v>
      </c>
      <c r="W793" s="7">
        <f>VLOOKUP($D793,NatureChart,2,0)</f>
        <v>0.9</v>
      </c>
      <c r="X793" s="7">
        <f>VLOOKUP($D793,NatureChart,3,0)</f>
        <v>1</v>
      </c>
      <c r="Y793" s="7">
        <f>VLOOKUP($D793,NatureChart,4,0)</f>
        <v>1</v>
      </c>
      <c r="Z793" s="7">
        <f>VLOOKUP($D793,NatureChart,5,0)</f>
        <v>1</v>
      </c>
      <c r="AA793" s="84">
        <f>VLOOKUP($D793,NatureChart,6,0)</f>
        <v>1.1</v>
      </c>
      <c r="AB793" s="84">
        <f>IF($C793="Shedinja",1,(INT((2*VLOOKUP($C793,DexData,5,0)+INT(Q793/4)+K793)/2)+60))</f>
        <v>141</v>
      </c>
      <c r="AC793" s="84">
        <f>INT(INT((INT((2*VLOOKUP($C793,DexData,6,0)+INT(R793/4)+L793)/2)+5)*W793)*IF($E793="Choice Band",1.5,IF(OR($E793="Mawilite",$E793="Medichamite",$E793="Thick Club"),2,1)))</f>
        <v>63</v>
      </c>
      <c r="AD793" s="84">
        <f>INT(INT((INT((2*VLOOKUP($C793,DexData,7,0)+INT(S793/4)+M793)/2)+5)*X793)*IF($E793="Eviolite",1.5,1))</f>
        <v>80</v>
      </c>
      <c r="AE793" s="84">
        <f>INT(INT((INT((2*VLOOKUP($C793,DexData,9,0)+INT(T793/4)+N793)/2)+5)*Y793)*IF($E793="Choice Specs",1.5,1))</f>
        <v>243</v>
      </c>
      <c r="AF793" s="84">
        <f>INT(INT((INT((2*VLOOKUP($C793,DexData,10,0)+INT(U793/4)+O793)/2)+5)*Z793)*IF(OR($E793="Eviolite",$E793="Assault Vest"),1.5,1))</f>
        <v>115</v>
      </c>
      <c r="AG793" s="84">
        <f>INT(INT((INT((2*VLOOKUP($C793,DexData,11,0)+INT(V793/4)+P793)/2)+5)*AA793)*IF($E793="Choice Scarf",1.5,IF($E793="Iron Ball",0.5,1)))</f>
        <v>200</v>
      </c>
      <c r="AH793" s="84" t="str">
        <f>VLOOKUP(VLOOKUP($C793,DexData,3,0),Aliases!D$2:E$19,2,0)&amp;IFERROR("/"&amp;VLOOKUP(VLOOKUP($C793,DexData,4,0),Aliases!D$2:E$19,2,0),"")</f>
        <v>ELC</v>
      </c>
      <c r="AI793" s="7">
        <v>3.0</v>
      </c>
      <c r="AJ793" s="7">
        <f>IF(VLOOKUP(B793,'Set Odds'!A$2:AN$1067,40,0),1,IF(VLOOKUP(B793,'Set Odds'!A$2:AO$1067,41,0),2,0))</f>
        <v>1</v>
      </c>
      <c r="AK793" s="7"/>
      <c r="AL793" s="7" t="str">
        <f t="shared" si="1"/>
        <v/>
      </c>
    </row>
    <row r="794" ht="12.75" customHeight="1">
      <c r="A794" s="86">
        <v>793.0</v>
      </c>
      <c r="B794" s="84" t="s">
        <v>4373</v>
      </c>
      <c r="C794" s="7" t="s">
        <v>3869</v>
      </c>
      <c r="D794" s="7" t="s">
        <v>2862</v>
      </c>
      <c r="E794" s="7" t="s">
        <v>2685</v>
      </c>
      <c r="F794" s="84" t="s">
        <v>4085</v>
      </c>
      <c r="G794" s="84" t="s">
        <v>2534</v>
      </c>
      <c r="H794" s="84" t="s">
        <v>2688</v>
      </c>
      <c r="I794" s="84" t="s">
        <v>2517</v>
      </c>
      <c r="J794" s="7" t="s">
        <v>3233</v>
      </c>
      <c r="K794" s="7">
        <v>31.0</v>
      </c>
      <c r="L794" s="7">
        <v>0.0</v>
      </c>
      <c r="M794" s="7">
        <v>31.0</v>
      </c>
      <c r="N794" s="7">
        <v>31.0</v>
      </c>
      <c r="O794" s="7">
        <v>31.0</v>
      </c>
      <c r="P794" s="7">
        <v>31.0</v>
      </c>
      <c r="Q794" s="7">
        <v>252.0</v>
      </c>
      <c r="R794" s="7">
        <v>0.0</v>
      </c>
      <c r="S794" s="7">
        <v>252.0</v>
      </c>
      <c r="T794" s="7">
        <v>0.0</v>
      </c>
      <c r="U794" s="7">
        <v>4.0</v>
      </c>
      <c r="V794" s="7">
        <v>0.0</v>
      </c>
      <c r="W794" s="7">
        <f>VLOOKUP($D794,NatureChart,2,0)</f>
        <v>0.9</v>
      </c>
      <c r="X794" s="7">
        <f>VLOOKUP($D794,NatureChart,3,0)</f>
        <v>1.1</v>
      </c>
      <c r="Y794" s="7">
        <f>VLOOKUP($D794,NatureChart,4,0)</f>
        <v>1</v>
      </c>
      <c r="Z794" s="7">
        <f>VLOOKUP($D794,NatureChart,5,0)</f>
        <v>1</v>
      </c>
      <c r="AA794" s="84">
        <f>VLOOKUP($D794,NatureChart,6,0)</f>
        <v>1</v>
      </c>
      <c r="AB794" s="84">
        <f>IF($C794="Shedinja",1,(INT((2*VLOOKUP($C794,DexData,5,0)+INT(Q794/4)+K794)/2)+60))</f>
        <v>202</v>
      </c>
      <c r="AC794" s="84">
        <f>INT(INT((INT((2*VLOOKUP($C794,DexData,6,0)+INT(R794/4)+L794)/2)+5)*W794)*IF($E794="Choice Band",1.5,IF(OR($E794="Mawilite",$E794="Medichamite",$E794="Thick Club"),2,1)))</f>
        <v>63</v>
      </c>
      <c r="AD794" s="84">
        <f>INT(INT((INT((2*VLOOKUP($C794,DexData,7,0)+INT(S794/4)+M794)/2)+5)*X794)*IF($E794="Eviolite",1.5,1))</f>
        <v>178</v>
      </c>
      <c r="AE794" s="84">
        <f>INT(INT((INT((2*VLOOKUP($C794,DexData,9,0)+INT(T794/4)+N794)/2)+5)*Y794)*IF($E794="Choice Specs",1.5,1))</f>
        <v>80</v>
      </c>
      <c r="AF794" s="84">
        <f>INT(INT((INT((2*VLOOKUP($C794,DexData,10,0)+INT(U794/4)+O794)/2)+5)*Z794)*IF(OR($E794="Eviolite",$E794="Assault Vest"),1.5,1))</f>
        <v>151</v>
      </c>
      <c r="AG794" s="84">
        <f>INT(INT((INT((2*VLOOKUP($C794,DexData,11,0)+INT(V794/4)+P794)/2)+5)*AA794)*IF($E794="Choice Scarf",1.5,IF($E794="Iron Ball",0.5,1)))</f>
        <v>85</v>
      </c>
      <c r="AH794" s="84" t="str">
        <f>VLOOKUP(VLOOKUP($C794,DexData,3,0),Aliases!D$2:E$19,2,0)&amp;IFERROR("/"&amp;VLOOKUP(VLOOKUP($C794,DexData,4,0),Aliases!D$2:E$19,2,0),"")</f>
        <v>DRK</v>
      </c>
      <c r="AI794" s="7">
        <v>3.0</v>
      </c>
      <c r="AJ794" s="7">
        <f>IF(VLOOKUP(B794,'Set Odds'!A$2:AN$1067,40,0),1,IF(VLOOKUP(B794,'Set Odds'!A$2:AO$1067,41,0),2,0))</f>
        <v>1</v>
      </c>
      <c r="AK794" s="7"/>
      <c r="AL794" s="7" t="str">
        <f t="shared" si="1"/>
        <v/>
      </c>
    </row>
    <row r="795" ht="12.75" customHeight="1">
      <c r="A795" s="86">
        <v>794.0</v>
      </c>
      <c r="B795" s="84" t="s">
        <v>4374</v>
      </c>
      <c r="C795" s="7" t="s">
        <v>3871</v>
      </c>
      <c r="D795" s="7" t="s">
        <v>2723</v>
      </c>
      <c r="E795" s="7" t="s">
        <v>2685</v>
      </c>
      <c r="F795" s="84" t="s">
        <v>3685</v>
      </c>
      <c r="G795" s="84" t="s">
        <v>2575</v>
      </c>
      <c r="H795" s="84" t="s">
        <v>2856</v>
      </c>
      <c r="I795" s="84" t="s">
        <v>2517</v>
      </c>
      <c r="J795" s="7" t="s">
        <v>2701</v>
      </c>
      <c r="K795" s="7">
        <v>31.0</v>
      </c>
      <c r="L795" s="7">
        <v>31.0</v>
      </c>
      <c r="M795" s="7">
        <v>31.0</v>
      </c>
      <c r="N795" s="7">
        <v>0.0</v>
      </c>
      <c r="O795" s="7">
        <v>31.0</v>
      </c>
      <c r="P795" s="7">
        <v>31.0</v>
      </c>
      <c r="Q795" s="7">
        <v>252.0</v>
      </c>
      <c r="R795" s="7">
        <v>4.0</v>
      </c>
      <c r="S795" s="7">
        <v>0.0</v>
      </c>
      <c r="T795" s="7">
        <v>0.0</v>
      </c>
      <c r="U795" s="7">
        <v>252.0</v>
      </c>
      <c r="V795" s="7">
        <v>0.0</v>
      </c>
      <c r="W795" s="7">
        <f>VLOOKUP($D795,NatureChart,2,0)</f>
        <v>1</v>
      </c>
      <c r="X795" s="7">
        <f>VLOOKUP($D795,NatureChart,3,0)</f>
        <v>1</v>
      </c>
      <c r="Y795" s="7">
        <f>VLOOKUP($D795,NatureChart,4,0)</f>
        <v>0.9</v>
      </c>
      <c r="Z795" s="7">
        <f>VLOOKUP($D795,NatureChart,5,0)</f>
        <v>1.1</v>
      </c>
      <c r="AA795" s="84">
        <f>VLOOKUP($D795,NatureChart,6,0)</f>
        <v>1</v>
      </c>
      <c r="AB795" s="84">
        <f>IF($C795="Shedinja",1,(INT((2*VLOOKUP($C795,DexData,5,0)+INT(Q795/4)+K795)/2)+60))</f>
        <v>172</v>
      </c>
      <c r="AC795" s="84">
        <f>INT(INT((INT((2*VLOOKUP($C795,DexData,6,0)+INT(R795/4)+L795)/2)+5)*W795)*IF($E795="Choice Band",1.5,IF(OR($E795="Mawilite",$E795="Medichamite",$E795="Thick Club"),2,1)))</f>
        <v>131</v>
      </c>
      <c r="AD795" s="84">
        <f>INT(INT((INT((2*VLOOKUP($C795,DexData,7,0)+INT(S795/4)+M795)/2)+5)*X795)*IF($E795="Eviolite",1.5,1))</f>
        <v>150</v>
      </c>
      <c r="AE795" s="84">
        <f>INT(INT((INT((2*VLOOKUP($C795,DexData,9,0)+INT(T795/4)+N795)/2)+5)*Y795)*IF($E795="Choice Specs",1.5,1))</f>
        <v>58</v>
      </c>
      <c r="AF795" s="84">
        <f>INT(INT((INT((2*VLOOKUP($C795,DexData,10,0)+INT(U795/4)+O795)/2)+5)*Z795)*IF(OR($E795="Eviolite",$E795="Assault Vest"),1.5,1))</f>
        <v>128</v>
      </c>
      <c r="AG795" s="84">
        <f>INT(INT((INT((2*VLOOKUP($C795,DexData,11,0)+INT(V795/4)+P795)/2)+5)*AA795)*IF($E795="Choice Scarf",1.5,IF($E795="Iron Ball",0.5,1)))</f>
        <v>115</v>
      </c>
      <c r="AH795" s="84" t="str">
        <f>VLOOKUP(VLOOKUP($C795,DexData,3,0),Aliases!D$2:E$19,2,0)&amp;IFERROR("/"&amp;VLOOKUP(VLOOKUP($C795,DexData,4,0),Aliases!D$2:E$19,2,0),"")</f>
        <v>GRS</v>
      </c>
      <c r="AI795" s="7">
        <v>3.0</v>
      </c>
      <c r="AJ795" s="7">
        <f>IF(VLOOKUP(B795,'Set Odds'!A$2:AN$1067,40,0),1,IF(VLOOKUP(B795,'Set Odds'!A$2:AO$1067,41,0),2,0))</f>
        <v>1</v>
      </c>
      <c r="AK795" s="7"/>
      <c r="AL795" s="7" t="str">
        <f t="shared" si="1"/>
        <v/>
      </c>
    </row>
    <row r="796" ht="12.75" customHeight="1">
      <c r="A796" s="86">
        <v>795.0</v>
      </c>
      <c r="B796" s="84" t="s">
        <v>4375</v>
      </c>
      <c r="C796" s="7" t="s">
        <v>3876</v>
      </c>
      <c r="D796" s="7" t="s">
        <v>2692</v>
      </c>
      <c r="E796" s="7" t="s">
        <v>3726</v>
      </c>
      <c r="F796" s="84" t="s">
        <v>3483</v>
      </c>
      <c r="G796" s="84" t="s">
        <v>3934</v>
      </c>
      <c r="H796" s="84" t="s">
        <v>3390</v>
      </c>
      <c r="I796" s="84" t="s">
        <v>3784</v>
      </c>
      <c r="J796" s="7" t="s">
        <v>3233</v>
      </c>
      <c r="K796" s="7">
        <v>31.0</v>
      </c>
      <c r="L796" s="7">
        <v>31.0</v>
      </c>
      <c r="M796" s="7">
        <v>31.0</v>
      </c>
      <c r="N796" s="7">
        <v>0.0</v>
      </c>
      <c r="O796" s="7">
        <v>31.0</v>
      </c>
      <c r="P796" s="7">
        <v>31.0</v>
      </c>
      <c r="Q796" s="7">
        <v>4.0</v>
      </c>
      <c r="R796" s="7">
        <v>252.0</v>
      </c>
      <c r="S796" s="7">
        <v>0.0</v>
      </c>
      <c r="T796" s="7">
        <v>0.0</v>
      </c>
      <c r="U796" s="7">
        <v>0.0</v>
      </c>
      <c r="V796" s="7">
        <v>252.0</v>
      </c>
      <c r="W796" s="7">
        <f>VLOOKUP($D796,NatureChart,2,0)</f>
        <v>1</v>
      </c>
      <c r="X796" s="7">
        <f>VLOOKUP($D796,NatureChart,3,0)</f>
        <v>1</v>
      </c>
      <c r="Y796" s="7">
        <f>VLOOKUP($D796,NatureChart,4,0)</f>
        <v>0.9</v>
      </c>
      <c r="Z796" s="7">
        <f>VLOOKUP($D796,NatureChart,5,0)</f>
        <v>1</v>
      </c>
      <c r="AA796" s="84">
        <f>VLOOKUP($D796,NatureChart,6,0)</f>
        <v>1.1</v>
      </c>
      <c r="AB796" s="84">
        <f>IF($C796="Shedinja",1,(INT((2*VLOOKUP($C796,DexData,5,0)+INT(Q796/4)+K796)/2)+60))</f>
        <v>146</v>
      </c>
      <c r="AC796" s="84">
        <f>INT(INT((INT((2*VLOOKUP($C796,DexData,6,0)+INT(R796/4)+L796)/2)+5)*W796)*IF($E796="Choice Band",1.5,IF(OR($E796="Mawilite",$E796="Medichamite",$E796="Thick Club"),2,1)))</f>
        <v>162</v>
      </c>
      <c r="AD796" s="84">
        <f>INT(INT((INT((2*VLOOKUP($C796,DexData,7,0)+INT(S796/4)+M796)/2)+5)*X796)*IF($E796="Eviolite",1.5,1))</f>
        <v>90</v>
      </c>
      <c r="AE796" s="84">
        <f>INT(INT((INT((2*VLOOKUP($C796,DexData,9,0)+INT(T796/4)+N796)/2)+5)*Y796)*IF($E796="Choice Specs",1.5,1))</f>
        <v>108</v>
      </c>
      <c r="AF796" s="84">
        <f>INT(INT((INT((2*VLOOKUP($C796,DexData,10,0)+INT(U796/4)+O796)/2)+5)*Z796)*IF(OR($E796="Eviolite",$E796="Assault Vest"),1.5,1))</f>
        <v>90</v>
      </c>
      <c r="AG796" s="84">
        <f>INT(INT((INT((2*VLOOKUP($C796,DexData,11,0)+INT(V796/4)+P796)/2)+5)*AA796)*IF($E796="Choice Scarf",1.5,IF($E796="Iron Ball",0.5,1)))</f>
        <v>156</v>
      </c>
      <c r="AH796" s="84" t="str">
        <f>VLOOKUP(VLOOKUP($C796,DexData,3,0),Aliases!D$2:E$19,2,0)&amp;IFERROR("/"&amp;VLOOKUP(VLOOKUP($C796,DexData,4,0),Aliases!D$2:E$19,2,0),"")</f>
        <v>FTG/STL</v>
      </c>
      <c r="AI796" s="7">
        <v>3.0</v>
      </c>
      <c r="AJ796" s="7">
        <f>IF(VLOOKUP(B796,'Set Odds'!A$2:AN$1067,40,0),1,IF(VLOOKUP(B796,'Set Odds'!A$2:AO$1067,41,0),2,0))</f>
        <v>1</v>
      </c>
      <c r="AK796" s="7"/>
      <c r="AL796" s="7" t="str">
        <f t="shared" si="1"/>
        <v/>
      </c>
    </row>
    <row r="797" ht="12.75" customHeight="1">
      <c r="A797" s="86">
        <v>796.0</v>
      </c>
      <c r="B797" s="84" t="s">
        <v>4376</v>
      </c>
      <c r="C797" s="7" t="s">
        <v>3879</v>
      </c>
      <c r="D797" s="7" t="s">
        <v>2571</v>
      </c>
      <c r="E797" s="7" t="s">
        <v>3548</v>
      </c>
      <c r="F797" s="84" t="s">
        <v>3454</v>
      </c>
      <c r="G797" s="84" t="s">
        <v>3441</v>
      </c>
      <c r="H797" s="84" t="s">
        <v>3603</v>
      </c>
      <c r="I797" s="84" t="s">
        <v>2688</v>
      </c>
      <c r="J797" s="7" t="s">
        <v>3034</v>
      </c>
      <c r="K797" s="7">
        <v>31.0</v>
      </c>
      <c r="L797" s="7">
        <v>31.0</v>
      </c>
      <c r="M797" s="7">
        <v>31.0</v>
      </c>
      <c r="N797" s="7">
        <v>0.0</v>
      </c>
      <c r="O797" s="7">
        <v>31.0</v>
      </c>
      <c r="P797" s="7">
        <v>31.0</v>
      </c>
      <c r="Q797" s="7">
        <v>252.0</v>
      </c>
      <c r="R797" s="7">
        <v>252.0</v>
      </c>
      <c r="S797" s="7">
        <v>4.0</v>
      </c>
      <c r="T797" s="7">
        <v>0.0</v>
      </c>
      <c r="U797" s="7">
        <v>0.0</v>
      </c>
      <c r="V797" s="7">
        <v>0.0</v>
      </c>
      <c r="W797" s="7">
        <f>VLOOKUP($D797,NatureChart,2,0)</f>
        <v>1.1</v>
      </c>
      <c r="X797" s="7">
        <f>VLOOKUP($D797,NatureChart,3,0)</f>
        <v>1</v>
      </c>
      <c r="Y797" s="7">
        <f>VLOOKUP($D797,NatureChart,4,0)</f>
        <v>0.9</v>
      </c>
      <c r="Z797" s="7">
        <f>VLOOKUP($D797,NatureChart,5,0)</f>
        <v>1</v>
      </c>
      <c r="AA797" s="84">
        <f>VLOOKUP($D797,NatureChart,6,0)</f>
        <v>1</v>
      </c>
      <c r="AB797" s="84">
        <f>IF($C797="Shedinja",1,(INT((2*VLOOKUP($C797,DexData,5,0)+INT(Q797/4)+K797)/2)+60))</f>
        <v>215</v>
      </c>
      <c r="AC797" s="84">
        <f>INT(INT((INT((2*VLOOKUP($C797,DexData,6,0)+INT(R797/4)+L797)/2)+5)*W797)*IF($E797="Choice Band",1.5,IF(OR($E797="Mawilite",$E797="Medichamite",$E797="Thick Club"),2,1)))</f>
        <v>180</v>
      </c>
      <c r="AD797" s="84">
        <f>INT(INT((INT((2*VLOOKUP($C797,DexData,7,0)+INT(S797/4)+M797)/2)+5)*X797)*IF($E797="Eviolite",1.5,1))</f>
        <v>139</v>
      </c>
      <c r="AE797" s="84">
        <f>INT(INT((INT((2*VLOOKUP($C797,DexData,9,0)+INT(T797/4)+N797)/2)+5)*Y797)*IF($E797="Choice Specs",1.5,1))</f>
        <v>65</v>
      </c>
      <c r="AF797" s="84">
        <f>INT(INT((INT((2*VLOOKUP($C797,DexData,10,0)+INT(U797/4)+O797)/2)+5)*Z797)*IF(OR($E797="Eviolite",$E797="Assault Vest"),1.5,1))</f>
        <v>92</v>
      </c>
      <c r="AG797" s="84">
        <f>INT(INT((INT((2*VLOOKUP($C797,DexData,11,0)+INT(V797/4)+P797)/2)+5)*AA797)*IF($E797="Choice Scarf",1.5,IF($E797="Iron Ball",0.5,1)))</f>
        <v>67</v>
      </c>
      <c r="AH797" s="84" t="str">
        <f>VLOOKUP(VLOOKUP($C797,DexData,3,0),Aliases!D$2:E$19,2,0)&amp;IFERROR("/"&amp;VLOOKUP(VLOOKUP($C797,DexData,4,0),Aliases!D$2:E$19,2,0),"")</f>
        <v>GRD</v>
      </c>
      <c r="AI797" s="7">
        <v>3.0</v>
      </c>
      <c r="AJ797" s="7">
        <f>IF(VLOOKUP(B797,'Set Odds'!A$2:AN$1067,40,0),1,IF(VLOOKUP(B797,'Set Odds'!A$2:AO$1067,41,0),2,0))</f>
        <v>1</v>
      </c>
      <c r="AK797" s="7"/>
      <c r="AL797" s="7" t="str">
        <f t="shared" si="1"/>
        <v/>
      </c>
    </row>
    <row r="798" ht="12.75" customHeight="1">
      <c r="A798" s="86">
        <v>797.0</v>
      </c>
      <c r="B798" s="84" t="s">
        <v>4377</v>
      </c>
      <c r="C798" s="7" t="s">
        <v>3881</v>
      </c>
      <c r="D798" s="7" t="s">
        <v>2656</v>
      </c>
      <c r="E798" s="7" t="s">
        <v>2527</v>
      </c>
      <c r="F798" s="84" t="s">
        <v>3524</v>
      </c>
      <c r="G798" s="84" t="s">
        <v>3260</v>
      </c>
      <c r="H798" s="84" t="s">
        <v>3523</v>
      </c>
      <c r="I798" s="84" t="s">
        <v>4153</v>
      </c>
      <c r="J798" s="7" t="s">
        <v>2728</v>
      </c>
      <c r="K798" s="7">
        <v>31.0</v>
      </c>
      <c r="L798" s="7">
        <v>0.0</v>
      </c>
      <c r="M798" s="7">
        <v>31.0</v>
      </c>
      <c r="N798" s="7">
        <v>31.0</v>
      </c>
      <c r="O798" s="7">
        <v>31.0</v>
      </c>
      <c r="P798" s="7">
        <v>31.0</v>
      </c>
      <c r="Q798" s="7">
        <v>252.0</v>
      </c>
      <c r="R798" s="7">
        <v>0.0</v>
      </c>
      <c r="S798" s="7">
        <v>0.0</v>
      </c>
      <c r="T798" s="7">
        <v>252.0</v>
      </c>
      <c r="U798" s="7">
        <v>0.0</v>
      </c>
      <c r="V798" s="7">
        <v>4.0</v>
      </c>
      <c r="W798" s="7">
        <f>VLOOKUP($D798,NatureChart,2,0)</f>
        <v>0.9</v>
      </c>
      <c r="X798" s="7">
        <f>VLOOKUP($D798,NatureChart,3,0)</f>
        <v>1</v>
      </c>
      <c r="Y798" s="7">
        <f>VLOOKUP($D798,NatureChart,4,0)</f>
        <v>1.1</v>
      </c>
      <c r="Z798" s="7">
        <f>VLOOKUP($D798,NatureChart,5,0)</f>
        <v>1</v>
      </c>
      <c r="AA798" s="84">
        <f>VLOOKUP($D798,NatureChart,6,0)</f>
        <v>1</v>
      </c>
      <c r="AB798" s="84">
        <f>IF($C798="Shedinja",1,(INT((2*VLOOKUP($C798,DexData,5,0)+INT(Q798/4)+K798)/2)+60))</f>
        <v>167</v>
      </c>
      <c r="AC798" s="84">
        <f>INT(INT((INT((2*VLOOKUP($C798,DexData,6,0)+INT(R798/4)+L798)/2)+5)*W798)*IF($E798="Choice Band",1.5,IF(OR($E798="Mawilite",$E798="Medichamite",$E798="Thick Club"),2,1)))</f>
        <v>54</v>
      </c>
      <c r="AD798" s="84">
        <f>INT(INT((INT((2*VLOOKUP($C798,DexData,7,0)+INT(S798/4)+M798)/2)+5)*X798)*IF($E798="Eviolite",1.5,1))</f>
        <v>165</v>
      </c>
      <c r="AE798" s="84">
        <f>INT(INT((INT((2*VLOOKUP($C798,DexData,9,0)+INT(T798/4)+N798)/2)+5)*Y798)*IF($E798="Choice Specs",1.5,1))</f>
        <v>139</v>
      </c>
      <c r="AF798" s="84">
        <f>INT(INT((INT((2*VLOOKUP($C798,DexData,10,0)+INT(U798/4)+O798)/2)+5)*Z798)*IF(OR($E798="Eviolite",$E798="Assault Vest"),1.5,1))</f>
        <v>170</v>
      </c>
      <c r="AG798" s="84">
        <f>INT(INT((INT((2*VLOOKUP($C798,DexData,11,0)+INT(V798/4)+P798)/2)+5)*AA798)*IF($E798="Choice Scarf",1.5,IF($E798="Iron Ball",0.5,1)))</f>
        <v>61</v>
      </c>
      <c r="AH798" s="84" t="str">
        <f>VLOOKUP(VLOOKUP($C798,DexData,3,0),Aliases!D$2:E$19,2,0)&amp;IFERROR("/"&amp;VLOOKUP(VLOOKUP($C798,DexData,4,0),Aliases!D$2:E$19,2,0),"")</f>
        <v>RCK/STL</v>
      </c>
      <c r="AI798" s="7">
        <v>3.0</v>
      </c>
      <c r="AJ798" s="7">
        <f>IF(VLOOKUP(B798,'Set Odds'!A$2:AN$1067,40,0),1,IF(VLOOKUP(B798,'Set Odds'!A$2:AO$1067,41,0),2,0))</f>
        <v>1</v>
      </c>
      <c r="AK798" s="7"/>
      <c r="AL798" s="7" t="str">
        <f t="shared" si="1"/>
        <v/>
      </c>
    </row>
    <row r="799" ht="12.75" customHeight="1">
      <c r="A799" s="86">
        <v>798.0</v>
      </c>
      <c r="B799" s="84" t="s">
        <v>4378</v>
      </c>
      <c r="C799" s="7" t="s">
        <v>3893</v>
      </c>
      <c r="D799" s="7" t="s">
        <v>2692</v>
      </c>
      <c r="E799" s="7" t="s">
        <v>2515</v>
      </c>
      <c r="F799" s="84" t="s">
        <v>3454</v>
      </c>
      <c r="G799" s="84" t="s">
        <v>3583</v>
      </c>
      <c r="H799" s="84" t="s">
        <v>3048</v>
      </c>
      <c r="I799" s="84" t="s">
        <v>2751</v>
      </c>
      <c r="J799" s="7" t="s">
        <v>2968</v>
      </c>
      <c r="K799" s="7">
        <v>31.0</v>
      </c>
      <c r="L799" s="7">
        <v>31.0</v>
      </c>
      <c r="M799" s="7">
        <v>31.0</v>
      </c>
      <c r="N799" s="7">
        <v>31.0</v>
      </c>
      <c r="O799" s="7">
        <v>31.0</v>
      </c>
      <c r="P799" s="7">
        <v>31.0</v>
      </c>
      <c r="Q799" s="7">
        <v>0.0</v>
      </c>
      <c r="R799" s="7">
        <v>252.0</v>
      </c>
      <c r="S799" s="7">
        <v>4.0</v>
      </c>
      <c r="T799" s="7">
        <v>0.0</v>
      </c>
      <c r="U799" s="7">
        <v>0.0</v>
      </c>
      <c r="V799" s="7">
        <v>252.0</v>
      </c>
      <c r="W799" s="7">
        <f>VLOOKUP($D799,NatureChart,2,0)</f>
        <v>1</v>
      </c>
      <c r="X799" s="7">
        <f>VLOOKUP($D799,NatureChart,3,0)</f>
        <v>1</v>
      </c>
      <c r="Y799" s="7">
        <f>VLOOKUP($D799,NatureChart,4,0)</f>
        <v>0.9</v>
      </c>
      <c r="Z799" s="7">
        <f>VLOOKUP($D799,NatureChart,5,0)</f>
        <v>1</v>
      </c>
      <c r="AA799" s="84">
        <f>VLOOKUP($D799,NatureChart,6,0)</f>
        <v>1.1</v>
      </c>
      <c r="AB799" s="84">
        <f>IF($C799="Shedinja",1,(INT((2*VLOOKUP($C799,DexData,5,0)+INT(Q799/4)+K799)/2)+60))</f>
        <v>185</v>
      </c>
      <c r="AC799" s="84">
        <f>INT(INT((INT((2*VLOOKUP($C799,DexData,6,0)+INT(R799/4)+L799)/2)+5)*W799)*IF($E799="Choice Band",1.5,IF(OR($E799="Mawilite",$E799="Medichamite",$E799="Thick Club"),2,1)))</f>
        <v>182</v>
      </c>
      <c r="AD799" s="84">
        <f>INT(INT((INT((2*VLOOKUP($C799,DexData,7,0)+INT(S799/4)+M799)/2)+5)*X799)*IF($E799="Eviolite",1.5,1))</f>
        <v>101</v>
      </c>
      <c r="AE799" s="84">
        <f>INT(INT((INT((2*VLOOKUP($C799,DexData,9,0)+INT(T799/4)+N799)/2)+5)*Y799)*IF($E799="Choice Specs",1.5,1))</f>
        <v>81</v>
      </c>
      <c r="AF799" s="84">
        <f>INT(INT((INT((2*VLOOKUP($C799,DexData,10,0)+INT(U799/4)+O799)/2)+5)*Z799)*IF(OR($E799="Eviolite",$E799="Assault Vest"),1.5,1))</f>
        <v>80</v>
      </c>
      <c r="AG799" s="84">
        <f>INT(INT((INT((2*VLOOKUP($C799,DexData,11,0)+INT(V799/4)+P799)/2)+5)*AA799)*IF($E799="Choice Scarf",1.5,IF($E799="Iron Ball",0.5,1)))</f>
        <v>145</v>
      </c>
      <c r="AH799" s="84" t="str">
        <f>VLOOKUP(VLOOKUP($C799,DexData,3,0),Aliases!D$2:E$19,2,0)&amp;IFERROR("/"&amp;VLOOKUP(VLOOKUP($C799,DexData,4,0),Aliases!D$2:E$19,2,0),"")</f>
        <v>ICE/GRD</v>
      </c>
      <c r="AI799" s="7">
        <v>3.0</v>
      </c>
      <c r="AJ799" s="7">
        <f>IF(VLOOKUP(B799,'Set Odds'!A$2:AN$1067,40,0),1,IF(VLOOKUP(B799,'Set Odds'!A$2:AO$1067,41,0),2,0))</f>
        <v>1</v>
      </c>
      <c r="AK799" s="7"/>
      <c r="AL799" s="7" t="str">
        <f t="shared" si="1"/>
        <v/>
      </c>
    </row>
    <row r="800" ht="12.75" customHeight="1">
      <c r="A800" s="86">
        <v>799.0</v>
      </c>
      <c r="B800" s="84" t="s">
        <v>4379</v>
      </c>
      <c r="C800" s="7" t="s">
        <v>3896</v>
      </c>
      <c r="D800" s="7" t="s">
        <v>2656</v>
      </c>
      <c r="E800" s="7" t="s">
        <v>2636</v>
      </c>
      <c r="F800" s="84" t="s">
        <v>2967</v>
      </c>
      <c r="G800" s="84" t="s">
        <v>4089</v>
      </c>
      <c r="H800" s="84" t="s">
        <v>3435</v>
      </c>
      <c r="I800" s="84" t="s">
        <v>2526</v>
      </c>
      <c r="J800" s="7" t="s">
        <v>3059</v>
      </c>
      <c r="K800" s="7">
        <v>31.0</v>
      </c>
      <c r="L800" s="7">
        <v>31.0</v>
      </c>
      <c r="M800" s="7">
        <v>31.0</v>
      </c>
      <c r="N800" s="7">
        <v>31.0</v>
      </c>
      <c r="O800" s="7">
        <v>31.0</v>
      </c>
      <c r="P800" s="7">
        <v>31.0</v>
      </c>
      <c r="Q800" s="7">
        <v>252.0</v>
      </c>
      <c r="R800" s="7">
        <v>4.0</v>
      </c>
      <c r="S800" s="7">
        <v>0.0</v>
      </c>
      <c r="T800" s="7">
        <v>252.0</v>
      </c>
      <c r="U800" s="7">
        <v>0.0</v>
      </c>
      <c r="V800" s="7">
        <v>0.0</v>
      </c>
      <c r="W800" s="7">
        <f>VLOOKUP($D800,NatureChart,2,0)</f>
        <v>0.9</v>
      </c>
      <c r="X800" s="7">
        <f>VLOOKUP($D800,NatureChart,3,0)</f>
        <v>1</v>
      </c>
      <c r="Y800" s="7">
        <f>VLOOKUP($D800,NatureChart,4,0)</f>
        <v>1.1</v>
      </c>
      <c r="Z800" s="7">
        <f>VLOOKUP($D800,NatureChart,5,0)</f>
        <v>1</v>
      </c>
      <c r="AA800" s="84">
        <f>VLOOKUP($D800,NatureChart,6,0)</f>
        <v>1</v>
      </c>
      <c r="AB800" s="84">
        <f>IF($C800="Shedinja",1,(INT((2*VLOOKUP($C800,DexData,5,0)+INT(Q800/4)+K800)/2)+60))</f>
        <v>237</v>
      </c>
      <c r="AC800" s="84">
        <f>INT(INT((INT((2*VLOOKUP($C800,DexData,6,0)+INT(R800/4)+L800)/2)+5)*W800)*IF($E800="Choice Band",1.5,IF(OR($E800="Mawilite",$E800="Medichamite",$E800="Thick Club"),2,1)))</f>
        <v>95</v>
      </c>
      <c r="AD800" s="84">
        <f>INT(INT((INT((2*VLOOKUP($C800,DexData,7,0)+INT(S800/4)+M800)/2)+5)*X800)*IF($E800="Eviolite",1.5,1))</f>
        <v>100</v>
      </c>
      <c r="AE800" s="84">
        <f>INT(INT((INT((2*VLOOKUP($C800,DexData,9,0)+INT(T800/4)+N800)/2)+5)*Y800)*IF($E800="Choice Specs",1.5,1))</f>
        <v>150</v>
      </c>
      <c r="AF800" s="84">
        <f>INT(INT((INT((2*VLOOKUP($C800,DexData,10,0)+INT(U800/4)+O800)/2)+5)*Z800)*IF(OR($E800="Eviolite",$E800="Assault Vest"),1.5,1))</f>
        <v>115</v>
      </c>
      <c r="AG800" s="84">
        <f>INT(INT((INT((2*VLOOKUP($C800,DexData,11,0)+INT(V800/4)+P800)/2)+5)*AA800)*IF($E800="Choice Scarf",1.5,IF($E800="Iron Ball",0.5,1)))</f>
        <v>80</v>
      </c>
      <c r="AH800" s="84" t="str">
        <f>VLOOKUP(VLOOKUP($C800,DexData,3,0),Aliases!D$2:E$19,2,0)&amp;IFERROR("/"&amp;VLOOKUP(VLOOKUP($C800,DexData,4,0),Aliases!D$2:E$19,2,0),"")</f>
        <v>WTR/ICE</v>
      </c>
      <c r="AI800" s="7">
        <v>3.0</v>
      </c>
      <c r="AJ800" s="7">
        <f>IF(VLOOKUP(B800,'Set Odds'!A$2:AN$1067,40,0),1,IF(VLOOKUP(B800,'Set Odds'!A$2:AO$1067,41,0),2,0))</f>
        <v>1</v>
      </c>
      <c r="AK800" s="7"/>
      <c r="AL800" s="7" t="str">
        <f t="shared" si="1"/>
        <v/>
      </c>
    </row>
    <row r="801" ht="12.75" customHeight="1">
      <c r="A801" s="86">
        <v>800.0</v>
      </c>
      <c r="B801" s="84" t="s">
        <v>4380</v>
      </c>
      <c r="C801" s="7" t="s">
        <v>3432</v>
      </c>
      <c r="D801" s="7" t="s">
        <v>2571</v>
      </c>
      <c r="E801" s="7" t="s">
        <v>2889</v>
      </c>
      <c r="F801" s="84" t="s">
        <v>2625</v>
      </c>
      <c r="G801" s="84" t="s">
        <v>3454</v>
      </c>
      <c r="H801" s="84" t="s">
        <v>3390</v>
      </c>
      <c r="I801" s="84" t="s">
        <v>3135</v>
      </c>
      <c r="J801" s="7" t="s">
        <v>3436</v>
      </c>
      <c r="K801" s="7">
        <v>31.0</v>
      </c>
      <c r="L801" s="7">
        <v>31.0</v>
      </c>
      <c r="M801" s="7">
        <v>31.0</v>
      </c>
      <c r="N801" s="7">
        <v>0.0</v>
      </c>
      <c r="O801" s="7">
        <v>31.0</v>
      </c>
      <c r="P801" s="7">
        <v>31.0</v>
      </c>
      <c r="Q801" s="7">
        <v>252.0</v>
      </c>
      <c r="R801" s="7">
        <v>252.0</v>
      </c>
      <c r="S801" s="7">
        <v>4.0</v>
      </c>
      <c r="T801" s="7">
        <v>0.0</v>
      </c>
      <c r="U801" s="7">
        <v>0.0</v>
      </c>
      <c r="V801" s="7">
        <v>0.0</v>
      </c>
      <c r="W801" s="7">
        <f>VLOOKUP($D801,NatureChart,2,0)</f>
        <v>1.1</v>
      </c>
      <c r="X801" s="7">
        <f>VLOOKUP($D801,NatureChart,3,0)</f>
        <v>1</v>
      </c>
      <c r="Y801" s="7">
        <f>VLOOKUP($D801,NatureChart,4,0)</f>
        <v>0.9</v>
      </c>
      <c r="Z801" s="7">
        <f>VLOOKUP($D801,NatureChart,5,0)</f>
        <v>1</v>
      </c>
      <c r="AA801" s="84">
        <f>VLOOKUP($D801,NatureChart,6,0)</f>
        <v>1</v>
      </c>
      <c r="AB801" s="84">
        <f>IF($C801="Shedinja",1,(INT((2*VLOOKUP($C801,DexData,5,0)+INT(Q801/4)+K801)/2)+60))</f>
        <v>222</v>
      </c>
      <c r="AC801" s="84">
        <f>INT(INT((INT((2*VLOOKUP($C801,DexData,6,0)+INT(R801/4)+L801)/2)+5)*W801)*IF($E801="Choice Band",1.5,IF(OR($E801="Mawilite",$E801="Medichamite",$E801="Thick Club"),2,1)))</f>
        <v>211</v>
      </c>
      <c r="AD801" s="84">
        <f>INT(INT((INT((2*VLOOKUP($C801,DexData,7,0)+INT(S801/4)+M801)/2)+5)*X801)*IF($E801="Eviolite",1.5,1))</f>
        <v>151</v>
      </c>
      <c r="AE801" s="84">
        <f>INT(INT((INT((2*VLOOKUP($C801,DexData,9,0)+INT(T801/4)+N801)/2)+5)*Y801)*IF($E801="Choice Specs",1.5,1))</f>
        <v>54</v>
      </c>
      <c r="AF801" s="84">
        <f>INT(INT((INT((2*VLOOKUP($C801,DexData,10,0)+INT(U801/4)+O801)/2)+5)*Z801)*IF(OR($E801="Eviolite",$E801="Assault Vest"),1.5,1))</f>
        <v>75</v>
      </c>
      <c r="AG801" s="84">
        <f>INT(INT((INT((2*VLOOKUP($C801,DexData,11,0)+INT(V801/4)+P801)/2)+5)*AA801)*IF($E801="Choice Scarf",1.5,IF($E801="Iron Ball",0.5,1)))</f>
        <v>60</v>
      </c>
      <c r="AH801" s="84" t="str">
        <f>VLOOKUP(VLOOKUP($C801,DexData,3,0),Aliases!D$2:E$19,2,0)&amp;IFERROR("/"&amp;VLOOKUP(VLOOKUP($C801,DexData,4,0),Aliases!D$2:E$19,2,0),"")</f>
        <v>GRD/RCK</v>
      </c>
      <c r="AI801" s="7">
        <v>3.0</v>
      </c>
      <c r="AJ801" s="7">
        <f>IF(VLOOKUP(B801,'Set Odds'!A$2:AN$1067,40,0),1,IF(VLOOKUP(B801,'Set Odds'!A$2:AO$1067,41,0),2,0))</f>
        <v>1</v>
      </c>
      <c r="AK801" s="7"/>
      <c r="AL801" s="7" t="str">
        <f t="shared" si="1"/>
        <v/>
      </c>
    </row>
    <row r="802" ht="12.75" customHeight="1">
      <c r="A802" s="86">
        <v>801.0</v>
      </c>
      <c r="B802" s="84" t="s">
        <v>4381</v>
      </c>
      <c r="C802" s="7" t="s">
        <v>3903</v>
      </c>
      <c r="D802" s="7" t="s">
        <v>2656</v>
      </c>
      <c r="E802" s="7" t="s">
        <v>2636</v>
      </c>
      <c r="F802" s="84" t="s">
        <v>2704</v>
      </c>
      <c r="G802" s="84" t="s">
        <v>3590</v>
      </c>
      <c r="H802" s="84" t="s">
        <v>3052</v>
      </c>
      <c r="I802" s="84" t="s">
        <v>2574</v>
      </c>
      <c r="J802" s="7" t="s">
        <v>3404</v>
      </c>
      <c r="K802" s="7">
        <v>31.0</v>
      </c>
      <c r="L802" s="7">
        <v>0.0</v>
      </c>
      <c r="M802" s="7">
        <v>31.0</v>
      </c>
      <c r="N802" s="7">
        <v>31.0</v>
      </c>
      <c r="O802" s="7">
        <v>31.0</v>
      </c>
      <c r="P802" s="7">
        <v>31.0</v>
      </c>
      <c r="Q802" s="7">
        <v>252.0</v>
      </c>
      <c r="R802" s="7">
        <v>0.0</v>
      </c>
      <c r="S802" s="7">
        <v>4.0</v>
      </c>
      <c r="T802" s="7">
        <v>252.0</v>
      </c>
      <c r="U802" s="7">
        <v>0.0</v>
      </c>
      <c r="V802" s="7">
        <v>0.0</v>
      </c>
      <c r="W802" s="7">
        <f>VLOOKUP($D802,NatureChart,2,0)</f>
        <v>0.9</v>
      </c>
      <c r="X802" s="7">
        <f>VLOOKUP($D802,NatureChart,3,0)</f>
        <v>1</v>
      </c>
      <c r="Y802" s="7">
        <f>VLOOKUP($D802,NatureChart,4,0)</f>
        <v>1.1</v>
      </c>
      <c r="Z802" s="7">
        <f>VLOOKUP($D802,NatureChart,5,0)</f>
        <v>1</v>
      </c>
      <c r="AA802" s="84">
        <f>VLOOKUP($D802,NatureChart,6,0)</f>
        <v>1</v>
      </c>
      <c r="AB802" s="84">
        <f>IF($C802="Shedinja",1,(INT((2*VLOOKUP($C802,DexData,5,0)+INT(Q802/4)+K802)/2)+60))</f>
        <v>207</v>
      </c>
      <c r="AC802" s="84">
        <f>INT(INT((INT((2*VLOOKUP($C802,DexData,6,0)+INT(R802/4)+L802)/2)+5)*W802)*IF($E802="Choice Band",1.5,IF(OR($E802="Mawilite",$E802="Medichamite",$E802="Thick Club"),2,1)))</f>
        <v>94</v>
      </c>
      <c r="AD802" s="84">
        <f>INT(INT((INT((2*VLOOKUP($C802,DexData,7,0)+INT(S802/4)+M802)/2)+5)*X802)*IF($E802="Eviolite",1.5,1))</f>
        <v>146</v>
      </c>
      <c r="AE802" s="84">
        <f>INT(INT((INT((2*VLOOKUP($C802,DexData,9,0)+INT(T802/4)+N802)/2)+5)*Y802)*IF($E802="Choice Specs",1.5,1))</f>
        <v>178</v>
      </c>
      <c r="AF802" s="84">
        <f>INT(INT((INT((2*VLOOKUP($C802,DexData,10,0)+INT(U802/4)+O802)/2)+5)*Z802)*IF(OR($E802="Eviolite",$E802="Assault Vest"),1.5,1))</f>
        <v>70</v>
      </c>
      <c r="AG802" s="84">
        <f>INT(INT((INT((2*VLOOKUP($C802,DexData,11,0)+INT(V802/4)+P802)/2)+5)*AA802)*IF($E802="Choice Scarf",1.5,IF($E802="Iron Ball",0.5,1)))</f>
        <v>70</v>
      </c>
      <c r="AH802" s="84" t="str">
        <f>VLOOKUP(VLOOKUP($C802,DexData,3,0),Aliases!D$2:E$19,2,0)&amp;IFERROR("/"&amp;VLOOKUP(VLOOKUP($C802,DexData,4,0),Aliases!D$2:E$19,2,0),"")</f>
        <v>GRS</v>
      </c>
      <c r="AI802" s="7">
        <v>3.0</v>
      </c>
      <c r="AJ802" s="7">
        <f>IF(VLOOKUP(B802,'Set Odds'!A$2:AN$1067,40,0),1,IF(VLOOKUP(B802,'Set Odds'!A$2:AO$1067,41,0),2,0))</f>
        <v>1</v>
      </c>
      <c r="AK802" s="7"/>
      <c r="AL802" s="7" t="str">
        <f t="shared" si="1"/>
        <v/>
      </c>
    </row>
    <row r="803" ht="12.75" customHeight="1">
      <c r="A803" s="86">
        <v>802.0</v>
      </c>
      <c r="B803" s="84" t="s">
        <v>4382</v>
      </c>
      <c r="C803" s="7" t="s">
        <v>3905</v>
      </c>
      <c r="D803" s="7" t="s">
        <v>2635</v>
      </c>
      <c r="E803" s="7" t="s">
        <v>3129</v>
      </c>
      <c r="F803" s="84" t="s">
        <v>3228</v>
      </c>
      <c r="G803" s="84" t="s">
        <v>3435</v>
      </c>
      <c r="H803" s="84" t="s">
        <v>2823</v>
      </c>
      <c r="I803" s="84" t="s">
        <v>2661</v>
      </c>
      <c r="J803" s="7" t="s">
        <v>2837</v>
      </c>
      <c r="K803" s="7">
        <v>31.0</v>
      </c>
      <c r="L803" s="7">
        <v>0.0</v>
      </c>
      <c r="M803" s="7">
        <v>31.0</v>
      </c>
      <c r="N803" s="7">
        <v>31.0</v>
      </c>
      <c r="O803" s="7">
        <v>31.0</v>
      </c>
      <c r="P803" s="7">
        <v>31.0</v>
      </c>
      <c r="Q803" s="7">
        <v>4.0</v>
      </c>
      <c r="R803" s="7">
        <v>0.0</v>
      </c>
      <c r="S803" s="7">
        <v>0.0</v>
      </c>
      <c r="T803" s="7">
        <v>252.0</v>
      </c>
      <c r="U803" s="7">
        <v>0.0</v>
      </c>
      <c r="V803" s="7">
        <v>252.0</v>
      </c>
      <c r="W803" s="7">
        <f>VLOOKUP($D803,NatureChart,2,0)</f>
        <v>0.9</v>
      </c>
      <c r="X803" s="7">
        <f>VLOOKUP($D803,NatureChart,3,0)</f>
        <v>1</v>
      </c>
      <c r="Y803" s="7">
        <f>VLOOKUP($D803,NatureChart,4,0)</f>
        <v>1</v>
      </c>
      <c r="Z803" s="7">
        <f>VLOOKUP($D803,NatureChart,5,0)</f>
        <v>1</v>
      </c>
      <c r="AA803" s="84">
        <f>VLOOKUP($D803,NatureChart,6,0)</f>
        <v>1.1</v>
      </c>
      <c r="AB803" s="84">
        <f>IF($C803="Shedinja",1,(INT((2*VLOOKUP($C803,DexData,5,0)+INT(Q803/4)+K803)/2)+60))</f>
        <v>161</v>
      </c>
      <c r="AC803" s="84">
        <f>INT(INT((INT((2*VLOOKUP($C803,DexData,6,0)+INT(R803/4)+L803)/2)+5)*W803)*IF($E803="Choice Band",1.5,IF(OR($E803="Mawilite",$E803="Medichamite",$E803="Thick Club"),2,1)))</f>
        <v>76</v>
      </c>
      <c r="AD803" s="84">
        <f>INT(INT((INT((2*VLOOKUP($C803,DexData,7,0)+INT(S803/4)+M803)/2)+5)*X803)*IF($E803="Eviolite",1.5,1))</f>
        <v>90</v>
      </c>
      <c r="AE803" s="84">
        <f>INT(INT((INT((2*VLOOKUP($C803,DexData,9,0)+INT(T803/4)+N803)/2)+5)*Y803)*IF($E803="Choice Specs",1.5,1))</f>
        <v>187</v>
      </c>
      <c r="AF803" s="84">
        <f>INT(INT((INT((2*VLOOKUP($C803,DexData,10,0)+INT(U803/4)+O803)/2)+5)*Z803)*IF(OR($E803="Eviolite",$E803="Assault Vest"),1.5,1))</f>
        <v>95</v>
      </c>
      <c r="AG803" s="84">
        <f>INT(INT((INT((2*VLOOKUP($C803,DexData,11,0)+INT(V803/4)+P803)/2)+5)*AA803)*IF($E803="Choice Scarf",1.5,IF($E803="Iron Ball",0.5,1)))</f>
        <v>156</v>
      </c>
      <c r="AH803" s="84" t="str">
        <f>VLOOKUP(VLOOKUP($C803,DexData,3,0),Aliases!D$2:E$19,2,0)&amp;IFERROR("/"&amp;VLOOKUP(VLOOKUP($C803,DexData,4,0),Aliases!D$2:E$19,2,0),"")</f>
        <v>NRM</v>
      </c>
      <c r="AI803" s="7">
        <v>3.0</v>
      </c>
      <c r="AJ803" s="7">
        <f>IF(VLOOKUP(B803,'Set Odds'!A$2:AN$1067,40,0),1,IF(VLOOKUP(B803,'Set Odds'!A$2:AO$1067,41,0),2,0))</f>
        <v>1</v>
      </c>
      <c r="AK803" s="7"/>
      <c r="AL803" s="7" t="str">
        <f t="shared" si="1"/>
        <v/>
      </c>
    </row>
    <row r="804" ht="12.75" customHeight="1">
      <c r="A804" s="86">
        <v>803.0</v>
      </c>
      <c r="B804" s="84" t="s">
        <v>4383</v>
      </c>
      <c r="C804" s="7" t="s">
        <v>3907</v>
      </c>
      <c r="D804" s="7" t="s">
        <v>2571</v>
      </c>
      <c r="E804" s="7" t="s">
        <v>2636</v>
      </c>
      <c r="F804" s="84" t="s">
        <v>2869</v>
      </c>
      <c r="G804" s="84" t="s">
        <v>3454</v>
      </c>
      <c r="H804" s="84" t="s">
        <v>3603</v>
      </c>
      <c r="I804" s="84" t="s">
        <v>2764</v>
      </c>
      <c r="J804" s="7" t="s">
        <v>2696</v>
      </c>
      <c r="K804" s="7">
        <v>31.0</v>
      </c>
      <c r="L804" s="7">
        <v>31.0</v>
      </c>
      <c r="M804" s="7">
        <v>31.0</v>
      </c>
      <c r="N804" s="7">
        <v>0.0</v>
      </c>
      <c r="O804" s="7">
        <v>31.0</v>
      </c>
      <c r="P804" s="7">
        <v>31.0</v>
      </c>
      <c r="Q804" s="7">
        <v>84.0</v>
      </c>
      <c r="R804" s="7">
        <v>252.0</v>
      </c>
      <c r="S804" s="7">
        <v>0.0</v>
      </c>
      <c r="T804" s="7">
        <v>0.0</v>
      </c>
      <c r="U804" s="7">
        <v>0.0</v>
      </c>
      <c r="V804" s="7">
        <v>172.0</v>
      </c>
      <c r="W804" s="7">
        <f>VLOOKUP($D804,NatureChart,2,0)</f>
        <v>1.1</v>
      </c>
      <c r="X804" s="7">
        <f>VLOOKUP($D804,NatureChart,3,0)</f>
        <v>1</v>
      </c>
      <c r="Y804" s="7">
        <f>VLOOKUP($D804,NatureChart,4,0)</f>
        <v>0.9</v>
      </c>
      <c r="Z804" s="7">
        <f>VLOOKUP($D804,NatureChart,5,0)</f>
        <v>1</v>
      </c>
      <c r="AA804" s="84">
        <f>VLOOKUP($D804,NatureChart,6,0)</f>
        <v>1</v>
      </c>
      <c r="AB804" s="84">
        <f>IF($C804="Shedinja",1,(INT((2*VLOOKUP($C804,DexData,5,0)+INT(Q804/4)+K804)/2)+60))</f>
        <v>181</v>
      </c>
      <c r="AC804" s="84">
        <f>INT(INT((INT((2*VLOOKUP($C804,DexData,6,0)+INT(R804/4)+L804)/2)+5)*W804)*IF($E804="Choice Band",1.5,IF(OR($E804="Mawilite",$E804="Medichamite",$E804="Thick Club"),2,1)))</f>
        <v>194</v>
      </c>
      <c r="AD804" s="84">
        <f>INT(INT((INT((2*VLOOKUP($C804,DexData,7,0)+INT(S804/4)+M804)/2)+5)*X804)*IF($E804="Eviolite",1.5,1))</f>
        <v>99</v>
      </c>
      <c r="AE804" s="84">
        <f>INT(INT((INT((2*VLOOKUP($C804,DexData,9,0)+INT(T804/4)+N804)/2)+5)*Y804)*IF($E804="Choice Specs",1.5,1))</f>
        <v>58</v>
      </c>
      <c r="AF804" s="84">
        <f>INT(INT((INT((2*VLOOKUP($C804,DexData,10,0)+INT(U804/4)+O804)/2)+5)*Z804)*IF(OR($E804="Eviolite",$E804="Assault Vest"),1.5,1))</f>
        <v>120</v>
      </c>
      <c r="AG804" s="84">
        <f>INT(INT((INT((2*VLOOKUP($C804,DexData,11,0)+INT(V804/4)+P804)/2)+5)*AA804)*IF($E804="Choice Scarf",1.5,IF($E804="Iron Ball",0.5,1)))</f>
        <v>123</v>
      </c>
      <c r="AH804" s="84" t="str">
        <f>VLOOKUP(VLOOKUP($C804,DexData,3,0),Aliases!D$2:E$19,2,0)&amp;IFERROR("/"&amp;VLOOKUP(VLOOKUP($C804,DexData,4,0),Aliases!D$2:E$19,2,0),"")</f>
        <v>WTR/FLY</v>
      </c>
      <c r="AI804" s="7">
        <v>3.0</v>
      </c>
      <c r="AJ804" s="7">
        <f>IF(VLOOKUP(B804,'Set Odds'!A$2:AN$1067,40,0),1,IF(VLOOKUP(B804,'Set Odds'!A$2:AO$1067,41,0),2,0))</f>
        <v>1</v>
      </c>
      <c r="AK804" s="7"/>
      <c r="AL804" s="7" t="str">
        <f t="shared" si="1"/>
        <v/>
      </c>
    </row>
    <row r="805" ht="12.75" customHeight="1">
      <c r="A805" s="86">
        <v>804.0</v>
      </c>
      <c r="B805" s="84" t="s">
        <v>4384</v>
      </c>
      <c r="C805" s="7" t="s">
        <v>3909</v>
      </c>
      <c r="D805" s="7" t="s">
        <v>2571</v>
      </c>
      <c r="E805" s="7" t="s">
        <v>3220</v>
      </c>
      <c r="F805" s="84" t="s">
        <v>2593</v>
      </c>
      <c r="G805" s="84" t="s">
        <v>2632</v>
      </c>
      <c r="H805" s="84" t="s">
        <v>4107</v>
      </c>
      <c r="I805" s="84" t="s">
        <v>2688</v>
      </c>
      <c r="J805" s="7" t="s">
        <v>3207</v>
      </c>
      <c r="K805" s="7">
        <v>31.0</v>
      </c>
      <c r="L805" s="7">
        <v>31.0</v>
      </c>
      <c r="M805" s="7">
        <v>31.0</v>
      </c>
      <c r="N805" s="7">
        <v>0.0</v>
      </c>
      <c r="O805" s="7">
        <v>31.0</v>
      </c>
      <c r="P805" s="7">
        <v>31.0</v>
      </c>
      <c r="Q805" s="7">
        <v>4.0</v>
      </c>
      <c r="R805" s="7">
        <v>252.0</v>
      </c>
      <c r="S805" s="7">
        <v>252.0</v>
      </c>
      <c r="T805" s="7">
        <v>0.0</v>
      </c>
      <c r="U805" s="7">
        <v>0.0</v>
      </c>
      <c r="V805" s="7">
        <v>0.0</v>
      </c>
      <c r="W805" s="7">
        <f>VLOOKUP($D805,NatureChart,2,0)</f>
        <v>1.1</v>
      </c>
      <c r="X805" s="7">
        <f>VLOOKUP($D805,NatureChart,3,0)</f>
        <v>1</v>
      </c>
      <c r="Y805" s="7">
        <f>VLOOKUP($D805,NatureChart,4,0)</f>
        <v>0.9</v>
      </c>
      <c r="Z805" s="7">
        <f>VLOOKUP($D805,NatureChart,5,0)</f>
        <v>1</v>
      </c>
      <c r="AA805" s="84">
        <f>VLOOKUP($D805,NatureChart,6,0)</f>
        <v>1</v>
      </c>
      <c r="AB805" s="84">
        <f>IF($C805="Shedinja",1,(INT((2*VLOOKUP($C805,DexData,5,0)+INT(Q805/4)+K805)/2)+60))</f>
        <v>236</v>
      </c>
      <c r="AC805" s="84">
        <f>INT(INT((INT((2*VLOOKUP($C805,DexData,6,0)+INT(R805/4)+L805)/2)+5)*W805)*IF($E805="Choice Band",1.5,IF(OR($E805="Mawilite",$E805="Medichamite",$E805="Thick Club"),2,1)))</f>
        <v>178</v>
      </c>
      <c r="AD805" s="84">
        <f>INT(INT((INT((2*VLOOKUP($C805,DexData,7,0)+INT(S805/4)+M805)/2)+5)*X805)*IF($E805="Eviolite",1.5,1))</f>
        <v>117</v>
      </c>
      <c r="AE805" s="84">
        <f>INT(INT((INT((2*VLOOKUP($C805,DexData,9,0)+INT(T805/4)+N805)/2)+5)*Y805)*IF($E805="Choice Specs",1.5,1))</f>
        <v>63</v>
      </c>
      <c r="AF805" s="84">
        <f>INT(INT((INT((2*VLOOKUP($C805,DexData,10,0)+INT(U805/4)+O805)/2)+5)*Z805)*IF(OR($E805="Eviolite",$E805="Assault Vest"),1.5,1))</f>
        <v>130</v>
      </c>
      <c r="AG805" s="84">
        <f>INT(INT((INT((2*VLOOKUP($C805,DexData,11,0)+INT(V805/4)+P805)/2)+5)*AA805)*IF($E805="Choice Scarf",1.5,IF($E805="Iron Ball",0.5,1)))</f>
        <v>50</v>
      </c>
      <c r="AH805" s="84" t="str">
        <f>VLOOKUP(VLOOKUP($C805,DexData,3,0),Aliases!D$2:E$19,2,0)&amp;IFERROR("/"&amp;VLOOKUP(VLOOKUP($C805,DexData,4,0),Aliases!D$2:E$19,2,0),"")</f>
        <v>NRM</v>
      </c>
      <c r="AI805" s="7">
        <v>3.0</v>
      </c>
      <c r="AJ805" s="7">
        <f>IF(VLOOKUP(B805,'Set Odds'!A$2:AN$1067,40,0),1,IF(VLOOKUP(B805,'Set Odds'!A$2:AO$1067,41,0),2,0))</f>
        <v>1</v>
      </c>
      <c r="AK805" s="7"/>
      <c r="AL805" s="7" t="str">
        <f t="shared" si="1"/>
        <v/>
      </c>
    </row>
    <row r="806" ht="12.75" customHeight="1">
      <c r="A806" s="86">
        <v>805.0</v>
      </c>
      <c r="B806" s="84" t="s">
        <v>4385</v>
      </c>
      <c r="C806" s="7" t="s">
        <v>3914</v>
      </c>
      <c r="D806" s="7" t="s">
        <v>2862</v>
      </c>
      <c r="E806" s="7" t="s">
        <v>2685</v>
      </c>
      <c r="F806" s="84" t="s">
        <v>3459</v>
      </c>
      <c r="G806" s="84" t="s">
        <v>3718</v>
      </c>
      <c r="H806" s="84" t="s">
        <v>2660</v>
      </c>
      <c r="I806" s="84" t="s">
        <v>3185</v>
      </c>
      <c r="J806" s="7" t="s">
        <v>2662</v>
      </c>
      <c r="K806" s="7">
        <v>31.0</v>
      </c>
      <c r="L806" s="7">
        <v>0.0</v>
      </c>
      <c r="M806" s="7">
        <v>31.0</v>
      </c>
      <c r="N806" s="7">
        <v>31.0</v>
      </c>
      <c r="O806" s="7">
        <v>31.0</v>
      </c>
      <c r="P806" s="7">
        <v>31.0</v>
      </c>
      <c r="Q806" s="7">
        <v>0.0</v>
      </c>
      <c r="R806" s="7">
        <v>0.0</v>
      </c>
      <c r="S806" s="7">
        <v>252.0</v>
      </c>
      <c r="T806" s="7">
        <v>252.0</v>
      </c>
      <c r="U806" s="7">
        <v>0.0</v>
      </c>
      <c r="V806" s="7">
        <v>4.0</v>
      </c>
      <c r="W806" s="7">
        <f>VLOOKUP($D806,NatureChart,2,0)</f>
        <v>0.9</v>
      </c>
      <c r="X806" s="7">
        <f>VLOOKUP($D806,NatureChart,3,0)</f>
        <v>1.1</v>
      </c>
      <c r="Y806" s="7">
        <f>VLOOKUP($D806,NatureChart,4,0)</f>
        <v>1</v>
      </c>
      <c r="Z806" s="7">
        <f>VLOOKUP($D806,NatureChart,5,0)</f>
        <v>1</v>
      </c>
      <c r="AA806" s="84">
        <f>VLOOKUP($D806,NatureChart,6,0)</f>
        <v>1</v>
      </c>
      <c r="AB806" s="84">
        <f>IF($C806="Shedinja",1,(INT((2*VLOOKUP($C806,DexData,5,0)+INT(Q806/4)+K806)/2)+60))</f>
        <v>330</v>
      </c>
      <c r="AC806" s="84">
        <f>INT(INT((INT((2*VLOOKUP($C806,DexData,6,0)+INT(R806/4)+L806)/2)+5)*W806)*IF($E806="Choice Band",1.5,IF(OR($E806="Mawilite",$E806="Medichamite",$E806="Thick Club"),2,1)))</f>
        <v>13</v>
      </c>
      <c r="AD806" s="84">
        <f>INT(INT((INT((2*VLOOKUP($C806,DexData,7,0)+INT(S806/4)+M806)/2)+5)*X806)*IF($E806="Eviolite",1.5,1))</f>
        <v>68</v>
      </c>
      <c r="AE806" s="84">
        <f>INT(INT((INT((2*VLOOKUP($C806,DexData,9,0)+INT(T806/4)+N806)/2)+5)*Y806)*IF($E806="Choice Specs",1.5,1))</f>
        <v>127</v>
      </c>
      <c r="AF806" s="84">
        <f>INT(INT((INT((2*VLOOKUP($C806,DexData,10,0)+INT(U806/4)+O806)/2)+5)*Z806)*IF(OR($E806="Eviolite",$E806="Assault Vest"),1.5,1))</f>
        <v>155</v>
      </c>
      <c r="AG806" s="84">
        <f>INT(INT((INT((2*VLOOKUP($C806,DexData,11,0)+INT(V806/4)+P806)/2)+5)*AA806)*IF($E806="Choice Scarf",1.5,IF($E806="Iron Ball",0.5,1)))</f>
        <v>76</v>
      </c>
      <c r="AH806" s="84" t="str">
        <f>VLOOKUP(VLOOKUP($C806,DexData,3,0),Aliases!D$2:E$19,2,0)&amp;IFERROR("/"&amp;VLOOKUP(VLOOKUP($C806,DexData,4,0),Aliases!D$2:E$19,2,0),"")</f>
        <v>NRM</v>
      </c>
      <c r="AI806" s="7">
        <v>3.0</v>
      </c>
      <c r="AJ806" s="7">
        <f>IF(VLOOKUP(B806,'Set Odds'!A$2:AN$1067,40,0),1,IF(VLOOKUP(B806,'Set Odds'!A$2:AO$1067,41,0),2,0))</f>
        <v>1</v>
      </c>
      <c r="AK806" s="7"/>
      <c r="AL806" s="7" t="str">
        <f t="shared" si="1"/>
        <v/>
      </c>
    </row>
    <row r="807" ht="12.75" customHeight="1">
      <c r="A807" s="86">
        <v>806.0</v>
      </c>
      <c r="B807" s="84" t="s">
        <v>4386</v>
      </c>
      <c r="C807" s="7" t="s">
        <v>3426</v>
      </c>
      <c r="D807" s="7" t="s">
        <v>2635</v>
      </c>
      <c r="E807" s="7" t="s">
        <v>3548</v>
      </c>
      <c r="F807" s="84" t="s">
        <v>2880</v>
      </c>
      <c r="G807" s="84" t="s">
        <v>2823</v>
      </c>
      <c r="H807" s="84" t="s">
        <v>3341</v>
      </c>
      <c r="I807" s="84" t="s">
        <v>3427</v>
      </c>
      <c r="J807" s="7" t="s">
        <v>3377</v>
      </c>
      <c r="K807" s="7">
        <v>31.0</v>
      </c>
      <c r="L807" s="7">
        <v>0.0</v>
      </c>
      <c r="M807" s="7">
        <v>31.0</v>
      </c>
      <c r="N807" s="7">
        <v>31.0</v>
      </c>
      <c r="O807" s="7">
        <v>31.0</v>
      </c>
      <c r="P807" s="7">
        <v>31.0</v>
      </c>
      <c r="Q807" s="7">
        <v>4.0</v>
      </c>
      <c r="R807" s="7">
        <v>0.0</v>
      </c>
      <c r="S807" s="7">
        <v>0.0</v>
      </c>
      <c r="T807" s="7">
        <v>252.0</v>
      </c>
      <c r="U807" s="7">
        <v>0.0</v>
      </c>
      <c r="V807" s="7">
        <v>252.0</v>
      </c>
      <c r="W807" s="7">
        <f>VLOOKUP($D807,NatureChart,2,0)</f>
        <v>0.9</v>
      </c>
      <c r="X807" s="7">
        <f>VLOOKUP($D807,NatureChart,3,0)</f>
        <v>1</v>
      </c>
      <c r="Y807" s="7">
        <f>VLOOKUP($D807,NatureChart,4,0)</f>
        <v>1</v>
      </c>
      <c r="Z807" s="7">
        <f>VLOOKUP($D807,NatureChart,5,0)</f>
        <v>1</v>
      </c>
      <c r="AA807" s="84">
        <f>VLOOKUP($D807,NatureChart,6,0)</f>
        <v>1.1</v>
      </c>
      <c r="AB807" s="84">
        <f>IF($C807="Shedinja",1,(INT((2*VLOOKUP($C807,DexData,5,0)+INT(Q807/4)+K807)/2)+60))</f>
        <v>171</v>
      </c>
      <c r="AC807" s="84">
        <f>INT(INT((INT((2*VLOOKUP($C807,DexData,6,0)+INT(R807/4)+L807)/2)+5)*W807)*IF($E807="Choice Band",1.5,IF(OR($E807="Mawilite",$E807="Medichamite",$E807="Thick Club"),2,1)))</f>
        <v>58</v>
      </c>
      <c r="AD807" s="84">
        <f>INT(INT((INT((2*VLOOKUP($C807,DexData,7,0)+INT(S807/4)+M807)/2)+5)*X807)*IF($E807="Eviolite",1.5,1))</f>
        <v>99</v>
      </c>
      <c r="AE807" s="84">
        <f>INT(INT((INT((2*VLOOKUP($C807,DexData,9,0)+INT(T807/4)+N807)/2)+5)*Y807)*IF($E807="Choice Specs",1.5,1))</f>
        <v>152</v>
      </c>
      <c r="AF807" s="84">
        <f>INT(INT((INT((2*VLOOKUP($C807,DexData,10,0)+INT(U807/4)+O807)/2)+5)*Z807)*IF(OR($E807="Eviolite",$E807="Assault Vest"),1.5,1))</f>
        <v>145</v>
      </c>
      <c r="AG807" s="84">
        <f>INT(INT((INT((2*VLOOKUP($C807,DexData,11,0)+INT(V807/4)+P807)/2)+5)*AA807)*IF($E807="Choice Scarf",1.5,IF($E807="Iron Ball",0.5,1)))</f>
        <v>146</v>
      </c>
      <c r="AH807" s="84" t="str">
        <f>VLOOKUP(VLOOKUP($C807,DexData,3,0),Aliases!D$2:E$19,2,0)&amp;IFERROR("/"&amp;VLOOKUP(VLOOKUP($C807,DexData,4,0),Aliases!D$2:E$19,2,0),"")</f>
        <v>WTR</v>
      </c>
      <c r="AI807" s="7">
        <v>3.0</v>
      </c>
      <c r="AJ807" s="7">
        <f>IF(VLOOKUP(B807,'Set Odds'!A$2:AN$1067,40,0),1,IF(VLOOKUP(B807,'Set Odds'!A$2:AO$1067,41,0),2,0))</f>
        <v>1</v>
      </c>
      <c r="AK807" s="7"/>
      <c r="AL807" s="7" t="str">
        <f t="shared" si="1"/>
        <v/>
      </c>
    </row>
    <row r="808" ht="12.75" customHeight="1">
      <c r="A808" s="86">
        <v>807.0</v>
      </c>
      <c r="B808" s="84" t="s">
        <v>4387</v>
      </c>
      <c r="C808" s="7" t="s">
        <v>3917</v>
      </c>
      <c r="D808" s="7" t="s">
        <v>2692</v>
      </c>
      <c r="E808" s="7" t="s">
        <v>2515</v>
      </c>
      <c r="F808" s="84" t="s">
        <v>4056</v>
      </c>
      <c r="G808" s="84" t="s">
        <v>3454</v>
      </c>
      <c r="H808" s="84" t="s">
        <v>3390</v>
      </c>
      <c r="I808" s="84" t="s">
        <v>2602</v>
      </c>
      <c r="J808" s="7" t="s">
        <v>3918</v>
      </c>
      <c r="K808" s="7">
        <v>31.0</v>
      </c>
      <c r="L808" s="7">
        <v>31.0</v>
      </c>
      <c r="M808" s="7">
        <v>31.0</v>
      </c>
      <c r="N808" s="7">
        <v>0.0</v>
      </c>
      <c r="O808" s="7">
        <v>31.0</v>
      </c>
      <c r="P808" s="7">
        <v>31.0</v>
      </c>
      <c r="Q808" s="7">
        <v>4.0</v>
      </c>
      <c r="R808" s="7">
        <v>252.0</v>
      </c>
      <c r="S808" s="7">
        <v>0.0</v>
      </c>
      <c r="T808" s="7">
        <v>0.0</v>
      </c>
      <c r="U808" s="7">
        <v>0.0</v>
      </c>
      <c r="V808" s="7">
        <v>252.0</v>
      </c>
      <c r="W808" s="7">
        <f>VLOOKUP($D808,NatureChart,2,0)</f>
        <v>1</v>
      </c>
      <c r="X808" s="7">
        <f>VLOOKUP($D808,NatureChart,3,0)</f>
        <v>1</v>
      </c>
      <c r="Y808" s="7">
        <f>VLOOKUP($D808,NatureChart,4,0)</f>
        <v>0.9</v>
      </c>
      <c r="Z808" s="7">
        <f>VLOOKUP($D808,NatureChart,5,0)</f>
        <v>1</v>
      </c>
      <c r="AA808" s="84">
        <f>VLOOKUP($D808,NatureChart,6,0)</f>
        <v>1.1</v>
      </c>
      <c r="AB808" s="84">
        <f>IF($C808="Shedinja",1,(INT((2*VLOOKUP($C808,DexData,5,0)+INT(Q808/4)+K808)/2)+60))</f>
        <v>151</v>
      </c>
      <c r="AC808" s="84">
        <f>INT(INT((INT((2*VLOOKUP($C808,DexData,6,0)+INT(R808/4)+L808)/2)+5)*W808)*IF($E808="Choice Band",1.5,IF(OR($E808="Mawilite",$E808="Medichamite",$E808="Thick Club"),2,1)))</f>
        <v>175</v>
      </c>
      <c r="AD808" s="84">
        <f>INT(INT((INT((2*VLOOKUP($C808,DexData,7,0)+INT(S808/4)+M808)/2)+5)*X808)*IF($E808="Eviolite",1.5,1))</f>
        <v>87</v>
      </c>
      <c r="AE808" s="84">
        <f>INT(INT((INT((2*VLOOKUP($C808,DexData,9,0)+INT(T808/4)+N808)/2)+5)*Y808)*IF($E808="Choice Specs",1.5,1))</f>
        <v>90</v>
      </c>
      <c r="AF808" s="84">
        <f>INT(INT((INT((2*VLOOKUP($C808,DexData,10,0)+INT(U808/4)+O808)/2)+5)*Z808)*IF(OR($E808="Eviolite",$E808="Assault Vest"),1.5,1))</f>
        <v>105</v>
      </c>
      <c r="AG808" s="84">
        <f>INT(INT((INT((2*VLOOKUP($C808,DexData,11,0)+INT(V808/4)+P808)/2)+5)*AA808)*IF($E808="Choice Scarf",1.5,IF($E808="Iron Ball",0.5,1)))</f>
        <v>161</v>
      </c>
      <c r="AH808" s="84" t="str">
        <f>VLOOKUP(VLOOKUP($C808,DexData,3,0),Aliases!D$2:E$19,2,0)&amp;IFERROR("/"&amp;VLOOKUP(VLOOKUP($C808,DexData,4,0),Aliases!D$2:E$19,2,0),"")</f>
        <v>ELC</v>
      </c>
      <c r="AI808" s="7">
        <v>3.0</v>
      </c>
      <c r="AJ808" s="7">
        <f>IF(VLOOKUP(B808,'Set Odds'!A$2:AN$1067,40,0),1,IF(VLOOKUP(B808,'Set Odds'!A$2:AO$1067,41,0),2,0))</f>
        <v>1</v>
      </c>
      <c r="AK808" s="7"/>
      <c r="AL808" s="7" t="str">
        <f t="shared" si="1"/>
        <v/>
      </c>
    </row>
    <row r="809" ht="12.75" customHeight="1">
      <c r="A809" s="86">
        <v>808.0</v>
      </c>
      <c r="B809" s="84" t="s">
        <v>4388</v>
      </c>
      <c r="C809" s="7" t="s">
        <v>3920</v>
      </c>
      <c r="D809" s="7" t="s">
        <v>2656</v>
      </c>
      <c r="E809" s="7" t="s">
        <v>2636</v>
      </c>
      <c r="F809" s="84" t="s">
        <v>3600</v>
      </c>
      <c r="G809" s="84" t="s">
        <v>3435</v>
      </c>
      <c r="H809" s="84" t="s">
        <v>2659</v>
      </c>
      <c r="I809" s="84" t="s">
        <v>3921</v>
      </c>
      <c r="J809" s="7" t="s">
        <v>3011</v>
      </c>
      <c r="K809" s="7">
        <v>31.0</v>
      </c>
      <c r="L809" s="7">
        <v>0.0</v>
      </c>
      <c r="M809" s="7">
        <v>31.0</v>
      </c>
      <c r="N809" s="7">
        <v>31.0</v>
      </c>
      <c r="O809" s="7">
        <v>31.0</v>
      </c>
      <c r="P809" s="7">
        <v>31.0</v>
      </c>
      <c r="Q809" s="7">
        <v>252.0</v>
      </c>
      <c r="R809" s="7">
        <v>0.0</v>
      </c>
      <c r="S809" s="7">
        <v>4.0</v>
      </c>
      <c r="T809" s="7">
        <v>252.0</v>
      </c>
      <c r="U809" s="7">
        <v>0.0</v>
      </c>
      <c r="V809" s="7">
        <v>0.0</v>
      </c>
      <c r="W809" s="7">
        <f>VLOOKUP($D809,NatureChart,2,0)</f>
        <v>0.9</v>
      </c>
      <c r="X809" s="7">
        <f>VLOOKUP($D809,NatureChart,3,0)</f>
        <v>1</v>
      </c>
      <c r="Y809" s="7">
        <f>VLOOKUP($D809,NatureChart,4,0)</f>
        <v>1.1</v>
      </c>
      <c r="Z809" s="7">
        <f>VLOOKUP($D809,NatureChart,5,0)</f>
        <v>1</v>
      </c>
      <c r="AA809" s="84">
        <f>VLOOKUP($D809,NatureChart,6,0)</f>
        <v>1</v>
      </c>
      <c r="AB809" s="84">
        <f>IF($C809="Shedinja",1,(INT((2*VLOOKUP($C809,DexData,5,0)+INT(Q809/4)+K809)/2)+60))</f>
        <v>182</v>
      </c>
      <c r="AC809" s="84">
        <f>INT(INT((INT((2*VLOOKUP($C809,DexData,6,0)+INT(R809/4)+L809)/2)+5)*W809)*IF($E809="Choice Band",1.5,IF(OR($E809="Mawilite",$E809="Medichamite",$E809="Thick Club"),2,1)))</f>
        <v>90</v>
      </c>
      <c r="AD809" s="84">
        <f>INT(INT((INT((2*VLOOKUP($C809,DexData,7,0)+INT(S809/4)+M809)/2)+5)*X809)*IF($E809="Eviolite",1.5,1))</f>
        <v>88</v>
      </c>
      <c r="AE809" s="84">
        <f>INT(INT((INT((2*VLOOKUP($C809,DexData,9,0)+INT(T809/4)+N809)/2)+5)*Y809)*IF($E809="Choice Specs",1.5,1))</f>
        <v>194</v>
      </c>
      <c r="AF809" s="84">
        <f>INT(INT((INT((2*VLOOKUP($C809,DexData,10,0)+INT(U809/4)+O809)/2)+5)*Z809)*IF(OR($E809="Eviolite",$E809="Assault Vest"),1.5,1))</f>
        <v>115</v>
      </c>
      <c r="AG809" s="84">
        <f>INT(INT((INT((2*VLOOKUP($C809,DexData,11,0)+INT(V809/4)+P809)/2)+5)*AA809)*IF($E809="Choice Scarf",1.5,IF($E809="Iron Ball",0.5,1)))</f>
        <v>103</v>
      </c>
      <c r="AH809" s="84" t="str">
        <f>VLOOKUP(VLOOKUP($C809,DexData,3,0),Aliases!D$2:E$19,2,0)&amp;IFERROR("/"&amp;VLOOKUP(VLOOKUP($C809,DexData,4,0),Aliases!D$2:E$19,2,0),"")</f>
        <v>FIR</v>
      </c>
      <c r="AI809" s="7">
        <v>3.0</v>
      </c>
      <c r="AJ809" s="7">
        <f>IF(VLOOKUP(B809,'Set Odds'!A$2:AN$1067,40,0),1,IF(VLOOKUP(B809,'Set Odds'!A$2:AO$1067,41,0),2,0))</f>
        <v>1</v>
      </c>
      <c r="AK809" s="7"/>
      <c r="AL809" s="7" t="str">
        <f t="shared" si="1"/>
        <v/>
      </c>
    </row>
    <row r="810" ht="12.75" customHeight="1">
      <c r="A810" s="86">
        <v>809.0</v>
      </c>
      <c r="B810" s="84" t="s">
        <v>4389</v>
      </c>
      <c r="C810" s="7" t="s">
        <v>3923</v>
      </c>
      <c r="D810" s="7" t="s">
        <v>2635</v>
      </c>
      <c r="E810" s="7" t="s">
        <v>2579</v>
      </c>
      <c r="F810" s="84" t="s">
        <v>3091</v>
      </c>
      <c r="G810" s="84" t="s">
        <v>2660</v>
      </c>
      <c r="H810" s="84" t="s">
        <v>3260</v>
      </c>
      <c r="I810" s="84" t="s">
        <v>2763</v>
      </c>
      <c r="J810" s="7" t="s">
        <v>3826</v>
      </c>
      <c r="K810" s="7">
        <v>31.0</v>
      </c>
      <c r="L810" s="7">
        <v>0.0</v>
      </c>
      <c r="M810" s="7">
        <v>31.0</v>
      </c>
      <c r="N810" s="7">
        <v>31.0</v>
      </c>
      <c r="O810" s="7">
        <v>31.0</v>
      </c>
      <c r="P810" s="7">
        <v>31.0</v>
      </c>
      <c r="Q810" s="7">
        <v>4.0</v>
      </c>
      <c r="R810" s="7">
        <v>0.0</v>
      </c>
      <c r="S810" s="7">
        <v>0.0</v>
      </c>
      <c r="T810" s="7">
        <v>252.0</v>
      </c>
      <c r="U810" s="7">
        <v>0.0</v>
      </c>
      <c r="V810" s="7">
        <v>252.0</v>
      </c>
      <c r="W810" s="7">
        <f>VLOOKUP($D810,NatureChart,2,0)</f>
        <v>0.9</v>
      </c>
      <c r="X810" s="7">
        <f>VLOOKUP($D810,NatureChart,3,0)</f>
        <v>1</v>
      </c>
      <c r="Y810" s="7">
        <f>VLOOKUP($D810,NatureChart,4,0)</f>
        <v>1</v>
      </c>
      <c r="Z810" s="7">
        <f>VLOOKUP($D810,NatureChart,5,0)</f>
        <v>1</v>
      </c>
      <c r="AA810" s="84">
        <f>VLOOKUP($D810,NatureChart,6,0)</f>
        <v>1.1</v>
      </c>
      <c r="AB810" s="84">
        <f>IF($C810="Shedinja",1,(INT((2*VLOOKUP($C810,DexData,5,0)+INT(Q810/4)+K810)/2)+60))</f>
        <v>161</v>
      </c>
      <c r="AC810" s="84">
        <f>INT(INT((INT((2*VLOOKUP($C810,DexData,6,0)+INT(R810/4)+L810)/2)+5)*W810)*IF($E810="Choice Band",1.5,IF(OR($E810="Mawilite",$E810="Medichamite",$E810="Thick Club"),2,1)))</f>
        <v>49</v>
      </c>
      <c r="AD810" s="84">
        <f>INT(INT((INT((2*VLOOKUP($C810,DexData,7,0)+INT(S810/4)+M810)/2)+5)*X810)*IF($E810="Eviolite",1.5,1))</f>
        <v>115</v>
      </c>
      <c r="AE810" s="84">
        <f>INT(INT((INT((2*VLOOKUP($C810,DexData,9,0)+INT(T810/4)+N810)/2)+5)*Y810)*IF($E810="Choice Specs",1.5,1))</f>
        <v>172</v>
      </c>
      <c r="AF810" s="84">
        <f>INT(INT((INT((2*VLOOKUP($C810,DexData,10,0)+INT(U810/4)+O810)/2)+5)*Z810)*IF(OR($E810="Eviolite",$E810="Assault Vest"),1.5,1))</f>
        <v>135</v>
      </c>
      <c r="AG810" s="84">
        <f>INT(INT((INT((2*VLOOKUP($C810,DexData,11,0)+INT(V810/4)+P810)/2)+5)*AA810)*IF($E810="Choice Scarf",1.5,IF($E810="Iron Ball",0.5,1)))</f>
        <v>145</v>
      </c>
      <c r="AH810" s="84" t="str">
        <f>VLOOKUP(VLOOKUP($C810,DexData,3,0),Aliases!D$2:E$19,2,0)&amp;IFERROR("/"&amp;VLOOKUP(VLOOKUP($C810,DexData,4,0),Aliases!D$2:E$19,2,0),"")</f>
        <v>FAI/FLY</v>
      </c>
      <c r="AI810" s="7">
        <v>3.0</v>
      </c>
      <c r="AJ810" s="7">
        <f>IF(VLOOKUP(B810,'Set Odds'!A$2:AN$1067,40,0),1,IF(VLOOKUP(B810,'Set Odds'!A$2:AO$1067,41,0),2,0))</f>
        <v>1</v>
      </c>
      <c r="AK810" s="7"/>
      <c r="AL810" s="7" t="str">
        <f t="shared" si="1"/>
        <v/>
      </c>
    </row>
    <row r="811" ht="12.75" customHeight="1">
      <c r="A811" s="86">
        <v>810.0</v>
      </c>
      <c r="B811" s="84" t="s">
        <v>4390</v>
      </c>
      <c r="C811" s="7" t="s">
        <v>3926</v>
      </c>
      <c r="D811" s="7" t="s">
        <v>2692</v>
      </c>
      <c r="E811" s="7" t="s">
        <v>2885</v>
      </c>
      <c r="F811" s="84" t="s">
        <v>3608</v>
      </c>
      <c r="G811" s="84" t="s">
        <v>4056</v>
      </c>
      <c r="H811" s="84" t="s">
        <v>3285</v>
      </c>
      <c r="I811" s="84" t="s">
        <v>3483</v>
      </c>
      <c r="J811" s="7" t="s">
        <v>2696</v>
      </c>
      <c r="K811" s="7">
        <v>31.0</v>
      </c>
      <c r="L811" s="7">
        <v>31.0</v>
      </c>
      <c r="M811" s="7">
        <v>31.0</v>
      </c>
      <c r="N811" s="7">
        <v>0.0</v>
      </c>
      <c r="O811" s="7">
        <v>31.0</v>
      </c>
      <c r="P811" s="7">
        <v>31.0</v>
      </c>
      <c r="Q811" s="7">
        <v>4.0</v>
      </c>
      <c r="R811" s="7">
        <v>252.0</v>
      </c>
      <c r="S811" s="7">
        <v>0.0</v>
      </c>
      <c r="T811" s="7">
        <v>0.0</v>
      </c>
      <c r="U811" s="7">
        <v>0.0</v>
      </c>
      <c r="V811" s="7">
        <v>252.0</v>
      </c>
      <c r="W811" s="7">
        <f>VLOOKUP($D811,NatureChart,2,0)</f>
        <v>1</v>
      </c>
      <c r="X811" s="7">
        <f>VLOOKUP($D811,NatureChart,3,0)</f>
        <v>1</v>
      </c>
      <c r="Y811" s="7">
        <f>VLOOKUP($D811,NatureChart,4,0)</f>
        <v>0.9</v>
      </c>
      <c r="Z811" s="7">
        <f>VLOOKUP($D811,NatureChart,5,0)</f>
        <v>1</v>
      </c>
      <c r="AA811" s="84">
        <f>VLOOKUP($D811,NatureChart,6,0)</f>
        <v>1.1</v>
      </c>
      <c r="AB811" s="84">
        <f>IF($C811="Shedinja",1,(INT((2*VLOOKUP($C811,DexData,5,0)+INT(Q811/4)+K811)/2)+60))</f>
        <v>166</v>
      </c>
      <c r="AC811" s="84">
        <f>INT(INT((INT((2*VLOOKUP($C811,DexData,6,0)+INT(R811/4)+L811)/2)+5)*W811)*IF($E811="Choice Band",1.5,IF(OR($E811="Mawilite",$E811="Medichamite",$E811="Thick Club"),2,1)))</f>
        <v>243</v>
      </c>
      <c r="AD811" s="84">
        <f>INT(INT((INT((2*VLOOKUP($C811,DexData,7,0)+INT(S811/4)+M811)/2)+5)*X811)*IF($E811="Eviolite",1.5,1))</f>
        <v>100</v>
      </c>
      <c r="AE811" s="84">
        <f>INT(INT((INT((2*VLOOKUP($C811,DexData,9,0)+INT(T811/4)+N811)/2)+5)*Y811)*IF($E811="Choice Specs",1.5,1))</f>
        <v>94</v>
      </c>
      <c r="AF811" s="84">
        <f>INT(INT((INT((2*VLOOKUP($C811,DexData,10,0)+INT(U811/4)+O811)/2)+5)*Z811)*IF(OR($E811="Eviolite",$E811="Assault Vest"),1.5,1))</f>
        <v>100</v>
      </c>
      <c r="AG811" s="84">
        <f>INT(INT((INT((2*VLOOKUP($C811,DexData,11,0)+INT(V811/4)+P811)/2)+5)*AA811)*IF($E811="Choice Scarf",1.5,IF($E811="Iron Ball",0.5,1)))</f>
        <v>161</v>
      </c>
      <c r="AH811" s="84" t="str">
        <f>VLOOKUP(VLOOKUP($C811,DexData,3,0),Aliases!D$2:E$19,2,0)&amp;IFERROR("/"&amp;VLOOKUP(VLOOKUP($C811,DexData,4,0),Aliases!D$2:E$19,2,0),"")</f>
        <v>FIR</v>
      </c>
      <c r="AI811" s="7">
        <v>3.0</v>
      </c>
      <c r="AJ811" s="7">
        <f>IF(VLOOKUP(B811,'Set Odds'!A$2:AN$1067,40,0),1,IF(VLOOKUP(B811,'Set Odds'!A$2:AO$1067,41,0),2,0))</f>
        <v>1</v>
      </c>
      <c r="AK811" s="7"/>
      <c r="AL811" s="7" t="str">
        <f t="shared" si="1"/>
        <v/>
      </c>
    </row>
    <row r="812" ht="12.75" customHeight="1">
      <c r="A812" s="86">
        <v>811.0</v>
      </c>
      <c r="B812" s="84" t="s">
        <v>4391</v>
      </c>
      <c r="C812" s="7" t="s">
        <v>3438</v>
      </c>
      <c r="D812" s="7" t="s">
        <v>2571</v>
      </c>
      <c r="E812" s="7" t="s">
        <v>3726</v>
      </c>
      <c r="F812" s="84" t="s">
        <v>2762</v>
      </c>
      <c r="G812" s="84" t="s">
        <v>3454</v>
      </c>
      <c r="H812" s="84" t="s">
        <v>3160</v>
      </c>
      <c r="I812" s="84" t="s">
        <v>2764</v>
      </c>
      <c r="J812" s="7" t="s">
        <v>3442</v>
      </c>
      <c r="K812" s="7">
        <v>31.0</v>
      </c>
      <c r="L812" s="7">
        <v>31.0</v>
      </c>
      <c r="M812" s="7">
        <v>31.0</v>
      </c>
      <c r="N812" s="7">
        <v>0.0</v>
      </c>
      <c r="O812" s="7">
        <v>31.0</v>
      </c>
      <c r="P812" s="7">
        <v>31.0</v>
      </c>
      <c r="Q812" s="7">
        <v>4.0</v>
      </c>
      <c r="R812" s="7">
        <v>252.0</v>
      </c>
      <c r="S812" s="7">
        <v>0.0</v>
      </c>
      <c r="T812" s="7">
        <v>0.0</v>
      </c>
      <c r="U812" s="7">
        <v>0.0</v>
      </c>
      <c r="V812" s="7">
        <v>252.0</v>
      </c>
      <c r="W812" s="7">
        <f>VLOOKUP($D812,NatureChart,2,0)</f>
        <v>1.1</v>
      </c>
      <c r="X812" s="7">
        <f>VLOOKUP($D812,NatureChart,3,0)</f>
        <v>1</v>
      </c>
      <c r="Y812" s="7">
        <f>VLOOKUP($D812,NatureChart,4,0)</f>
        <v>0.9</v>
      </c>
      <c r="Z812" s="7">
        <f>VLOOKUP($D812,NatureChart,5,0)</f>
        <v>1</v>
      </c>
      <c r="AA812" s="84">
        <f>VLOOKUP($D812,NatureChart,6,0)</f>
        <v>1</v>
      </c>
      <c r="AB812" s="84">
        <f>IF($C812="Shedinja",1,(INT((2*VLOOKUP($C812,DexData,5,0)+INT(Q812/4)+K812)/2)+60))</f>
        <v>167</v>
      </c>
      <c r="AC812" s="84">
        <f>INT(INT((INT((2*VLOOKUP($C812,DexData,6,0)+INT(R812/4)+L812)/2)+5)*W812)*IF($E812="Choice Band",1.5,IF(OR($E812="Mawilite",$E812="Medichamite",$E812="Thick Club"),2,1)))</f>
        <v>204</v>
      </c>
      <c r="AD812" s="84">
        <f>INT(INT((INT((2*VLOOKUP($C812,DexData,7,0)+INT(S812/4)+M812)/2)+5)*X812)*IF($E812="Eviolite",1.5,1))</f>
        <v>115</v>
      </c>
      <c r="AE812" s="84">
        <f>INT(INT((INT((2*VLOOKUP($C812,DexData,9,0)+INT(T812/4)+N812)/2)+5)*Y812)*IF($E812="Choice Specs",1.5,1))</f>
        <v>94</v>
      </c>
      <c r="AF812" s="84">
        <f>INT(INT((INT((2*VLOOKUP($C812,DexData,10,0)+INT(U812/4)+O812)/2)+5)*Z812)*IF(OR($E812="Eviolite",$E812="Assault Vest"),1.5,1))</f>
        <v>120</v>
      </c>
      <c r="AG812" s="84">
        <f>INT(INT((INT((2*VLOOKUP($C812,DexData,11,0)+INT(V812/4)+P812)/2)+5)*AA812)*IF($E812="Choice Scarf",1.5,IF($E812="Iron Ball",0.5,1)))</f>
        <v>132</v>
      </c>
      <c r="AH812" s="84" t="str">
        <f>VLOOKUP(VLOOKUP($C812,DexData,3,0),Aliases!D$2:E$19,2,0)&amp;IFERROR("/"&amp;VLOOKUP(VLOOKUP($C812,DexData,4,0),Aliases!D$2:E$19,2,0),"")</f>
        <v>DRG/FLY</v>
      </c>
      <c r="AI812" s="7">
        <v>3.0</v>
      </c>
      <c r="AJ812" s="7">
        <f>IF(VLOOKUP(B812,'Set Odds'!A$2:AN$1067,40,0),1,IF(VLOOKUP(B812,'Set Odds'!A$2:AO$1067,41,0),2,0))</f>
        <v>1</v>
      </c>
      <c r="AK812" s="7"/>
      <c r="AL812" s="7" t="str">
        <f t="shared" si="1"/>
        <v/>
      </c>
    </row>
    <row r="813" ht="12.75" customHeight="1">
      <c r="A813" s="86">
        <v>812.0</v>
      </c>
      <c r="B813" s="84" t="s">
        <v>4392</v>
      </c>
      <c r="C813" s="7" t="s">
        <v>3929</v>
      </c>
      <c r="D813" s="7" t="s">
        <v>2692</v>
      </c>
      <c r="E813" s="7" t="s">
        <v>3726</v>
      </c>
      <c r="F813" s="84" t="s">
        <v>3454</v>
      </c>
      <c r="G813" s="84" t="s">
        <v>3441</v>
      </c>
      <c r="H813" s="84" t="s">
        <v>3015</v>
      </c>
      <c r="I813" s="84" t="s">
        <v>2764</v>
      </c>
      <c r="J813" s="7" t="s">
        <v>3034</v>
      </c>
      <c r="K813" s="7">
        <v>31.0</v>
      </c>
      <c r="L813" s="7">
        <v>31.0</v>
      </c>
      <c r="M813" s="7">
        <v>31.0</v>
      </c>
      <c r="N813" s="7">
        <v>0.0</v>
      </c>
      <c r="O813" s="7">
        <v>31.0</v>
      </c>
      <c r="P813" s="7">
        <v>31.0</v>
      </c>
      <c r="Q813" s="7">
        <v>4.0</v>
      </c>
      <c r="R813" s="7">
        <v>252.0</v>
      </c>
      <c r="S813" s="7">
        <v>0.0</v>
      </c>
      <c r="T813" s="7">
        <v>0.0</v>
      </c>
      <c r="U813" s="7">
        <v>0.0</v>
      </c>
      <c r="V813" s="7">
        <v>252.0</v>
      </c>
      <c r="W813" s="7">
        <f>VLOOKUP($D813,NatureChart,2,0)</f>
        <v>1</v>
      </c>
      <c r="X813" s="7">
        <f>VLOOKUP($D813,NatureChart,3,0)</f>
        <v>1</v>
      </c>
      <c r="Y813" s="7">
        <f>VLOOKUP($D813,NatureChart,4,0)</f>
        <v>0.9</v>
      </c>
      <c r="Z813" s="7">
        <f>VLOOKUP($D813,NatureChart,5,0)</f>
        <v>1</v>
      </c>
      <c r="AA813" s="84">
        <f>VLOOKUP($D813,NatureChart,6,0)</f>
        <v>1.1</v>
      </c>
      <c r="AB813" s="84">
        <f>IF($C813="Shedinja",1,(INT((2*VLOOKUP($C813,DexData,5,0)+INT(Q813/4)+K813)/2)+60))</f>
        <v>176</v>
      </c>
      <c r="AC813" s="84">
        <f>INT(INT((INT((2*VLOOKUP($C813,DexData,6,0)+INT(R813/4)+L813)/2)+5)*W813)*IF($E813="Choice Band",1.5,IF(OR($E813="Mawilite",$E813="Medichamite",$E813="Thick Club"),2,1)))</f>
        <v>186</v>
      </c>
      <c r="AD813" s="84">
        <f>INT(INT((INT((2*VLOOKUP($C813,DexData,7,0)+INT(S813/4)+M813)/2)+5)*X813)*IF($E813="Eviolite",1.5,1))</f>
        <v>130</v>
      </c>
      <c r="AE813" s="84">
        <f>INT(INT((INT((2*VLOOKUP($C813,DexData,9,0)+INT(T813/4)+N813)/2)+5)*Y813)*IF($E813="Choice Specs",1.5,1))</f>
        <v>90</v>
      </c>
      <c r="AF813" s="84">
        <f>INT(INT((INT((2*VLOOKUP($C813,DexData,10,0)+INT(U813/4)+O813)/2)+5)*Z813)*IF(OR($E813="Eviolite",$E813="Assault Vest"),1.5,1))</f>
        <v>120</v>
      </c>
      <c r="AG813" s="84">
        <f>INT(INT((INT((2*VLOOKUP($C813,DexData,11,0)+INT(V813/4)+P813)/2)+5)*AA813)*IF($E813="Choice Scarf",1.5,IF($E813="Iron Ball",0.5,1)))</f>
        <v>124</v>
      </c>
      <c r="AH813" s="84" t="str">
        <f>VLOOKUP(VLOOKUP($C813,DexData,3,0),Aliases!D$2:E$19,2,0)&amp;IFERROR("/"&amp;VLOOKUP(VLOOKUP($C813,DexData,4,0),Aliases!D$2:E$19,2,0),"")</f>
        <v>RCK/DRK</v>
      </c>
      <c r="AI813" s="7">
        <v>3.0</v>
      </c>
      <c r="AJ813" s="7">
        <f>IF(VLOOKUP(B813,'Set Odds'!A$2:AN$1067,40,0),1,IF(VLOOKUP(B813,'Set Odds'!A$2:AO$1067,41,0),2,0))</f>
        <v>1</v>
      </c>
      <c r="AK813" s="7"/>
      <c r="AL813" s="7" t="str">
        <f t="shared" si="1"/>
        <v/>
      </c>
    </row>
    <row r="814" ht="12.75" customHeight="1">
      <c r="A814" s="86">
        <v>813.0</v>
      </c>
      <c r="B814" s="84" t="s">
        <v>4393</v>
      </c>
      <c r="C814" s="7" t="s">
        <v>3931</v>
      </c>
      <c r="D814" s="7" t="s">
        <v>2692</v>
      </c>
      <c r="E814" s="7" t="s">
        <v>2665</v>
      </c>
      <c r="F814" s="84" t="s">
        <v>2762</v>
      </c>
      <c r="G814" s="84" t="s">
        <v>2776</v>
      </c>
      <c r="H814" s="84" t="s">
        <v>3015</v>
      </c>
      <c r="I814" s="84" t="s">
        <v>3454</v>
      </c>
      <c r="J814" s="7" t="s">
        <v>3788</v>
      </c>
      <c r="K814" s="7">
        <v>31.0</v>
      </c>
      <c r="L814" s="7">
        <v>31.0</v>
      </c>
      <c r="M814" s="7">
        <v>31.0</v>
      </c>
      <c r="N814" s="7">
        <v>0.0</v>
      </c>
      <c r="O814" s="7">
        <v>31.0</v>
      </c>
      <c r="P814" s="7">
        <v>31.0</v>
      </c>
      <c r="Q814" s="7">
        <v>4.0</v>
      </c>
      <c r="R814" s="7">
        <v>252.0</v>
      </c>
      <c r="S814" s="7">
        <v>0.0</v>
      </c>
      <c r="T814" s="7">
        <v>0.0</v>
      </c>
      <c r="U814" s="7">
        <v>0.0</v>
      </c>
      <c r="V814" s="7">
        <v>252.0</v>
      </c>
      <c r="W814" s="7">
        <f>VLOOKUP($D814,NatureChart,2,0)</f>
        <v>1</v>
      </c>
      <c r="X814" s="7">
        <f>VLOOKUP($D814,NatureChart,3,0)</f>
        <v>1</v>
      </c>
      <c r="Y814" s="7">
        <f>VLOOKUP($D814,NatureChart,4,0)</f>
        <v>0.9</v>
      </c>
      <c r="Z814" s="7">
        <f>VLOOKUP($D814,NatureChart,5,0)</f>
        <v>1</v>
      </c>
      <c r="AA814" s="84">
        <f>VLOOKUP($D814,NatureChart,6,0)</f>
        <v>1.1</v>
      </c>
      <c r="AB814" s="84">
        <f>IF($C814="Shedinja",1,(INT((2*VLOOKUP($C814,DexData,5,0)+INT(Q814/4)+K814)/2)+60))</f>
        <v>171</v>
      </c>
      <c r="AC814" s="84">
        <f>INT(INT((INT((2*VLOOKUP($C814,DexData,6,0)+INT(R814/4)+L814)/2)+5)*W814)*IF($E814="Choice Band",1.5,IF(OR($E814="Mawilite",$E814="Medichamite",$E814="Thick Club"),2,1)))</f>
        <v>187</v>
      </c>
      <c r="AD814" s="84">
        <f>INT(INT((INT((2*VLOOKUP($C814,DexData,7,0)+INT(S814/4)+M814)/2)+5)*X814)*IF($E814="Eviolite",1.5,1))</f>
        <v>100</v>
      </c>
      <c r="AE814" s="84">
        <f>INT(INT((INT((2*VLOOKUP($C814,DexData,9,0)+INT(T814/4)+N814)/2)+5)*Y814)*IF($E814="Choice Specs",1.5,1))</f>
        <v>103</v>
      </c>
      <c r="AF814" s="84">
        <f>INT(INT((INT((2*VLOOKUP($C814,DexData,10,0)+INT(U814/4)+O814)/2)+5)*Z814)*IF(OR($E814="Eviolite",$E814="Assault Vest"),1.5,1))</f>
        <v>100</v>
      </c>
      <c r="AG814" s="84">
        <f>INT(INT((INT((2*VLOOKUP($C814,DexData,11,0)+INT(V814/4)+P814)/2)+5)*AA814)*IF($E814="Choice Scarf",1.5,IF($E814="Iron Ball",0.5,1)))</f>
        <v>250</v>
      </c>
      <c r="AH814" s="84" t="str">
        <f>VLOOKUP(VLOOKUP($C814,DexData,3,0),Aliases!D$2:E$19,2,0)&amp;IFERROR("/"&amp;VLOOKUP(VLOOKUP($C814,DexData,4,0),Aliases!D$2:E$19,2,0),"")</f>
        <v>DRG/FLY</v>
      </c>
      <c r="AI814" s="7">
        <v>3.0</v>
      </c>
      <c r="AJ814" s="7">
        <f>IF(VLOOKUP(B814,'Set Odds'!A$2:AN$1067,40,0),1,IF(VLOOKUP(B814,'Set Odds'!A$2:AO$1067,41,0),2,0))</f>
        <v>1</v>
      </c>
      <c r="AK814" s="7"/>
      <c r="AL814" s="7" t="str">
        <f t="shared" si="1"/>
        <v/>
      </c>
    </row>
    <row r="815" ht="12.75" customHeight="1">
      <c r="A815" s="86">
        <v>814.0</v>
      </c>
      <c r="B815" s="84" t="s">
        <v>4394</v>
      </c>
      <c r="C815" s="7" t="s">
        <v>3933</v>
      </c>
      <c r="D815" s="7" t="s">
        <v>2692</v>
      </c>
      <c r="E815" s="7" t="s">
        <v>3220</v>
      </c>
      <c r="F815" s="84" t="s">
        <v>3390</v>
      </c>
      <c r="G815" s="84" t="s">
        <v>3784</v>
      </c>
      <c r="H815" s="84" t="s">
        <v>3710</v>
      </c>
      <c r="I815" s="84" t="s">
        <v>3934</v>
      </c>
      <c r="J815" s="7" t="s">
        <v>3370</v>
      </c>
      <c r="K815" s="7">
        <v>31.0</v>
      </c>
      <c r="L815" s="7">
        <v>31.0</v>
      </c>
      <c r="M815" s="7">
        <v>31.0</v>
      </c>
      <c r="N815" s="7">
        <v>0.0</v>
      </c>
      <c r="O815" s="7">
        <v>31.0</v>
      </c>
      <c r="P815" s="7">
        <v>31.0</v>
      </c>
      <c r="Q815" s="7">
        <v>4.0</v>
      </c>
      <c r="R815" s="7">
        <v>252.0</v>
      </c>
      <c r="S815" s="7">
        <v>68.0</v>
      </c>
      <c r="T815" s="7">
        <v>0.0</v>
      </c>
      <c r="U815" s="7">
        <v>4.0</v>
      </c>
      <c r="V815" s="7">
        <v>180.0</v>
      </c>
      <c r="W815" s="7">
        <f>VLOOKUP($D815,NatureChart,2,0)</f>
        <v>1</v>
      </c>
      <c r="X815" s="7">
        <f>VLOOKUP($D815,NatureChart,3,0)</f>
        <v>1</v>
      </c>
      <c r="Y815" s="7">
        <f>VLOOKUP($D815,NatureChart,4,0)</f>
        <v>0.9</v>
      </c>
      <c r="Z815" s="7">
        <f>VLOOKUP($D815,NatureChart,5,0)</f>
        <v>1</v>
      </c>
      <c r="AA815" s="84">
        <f>VLOOKUP($D815,NatureChart,6,0)</f>
        <v>1.1</v>
      </c>
      <c r="AB815" s="84">
        <f>IF($C815="Shedinja",1,(INT((2*VLOOKUP($C815,DexData,5,0)+INT(Q815/4)+K815)/2)+60))</f>
        <v>156</v>
      </c>
      <c r="AC815" s="84">
        <f>INT(INT((INT((2*VLOOKUP($C815,DexData,6,0)+INT(R815/4)+L815)/2)+5)*W815)*IF($E815="Choice Band",1.5,IF(OR($E815="Mawilite",$E815="Medichamite",$E815="Thick Club"),2,1)))</f>
        <v>187</v>
      </c>
      <c r="AD815" s="84">
        <f>INT(INT((INT((2*VLOOKUP($C815,DexData,7,0)+INT(S815/4)+M815)/2)+5)*X815)*IF($E815="Eviolite",1.5,1))</f>
        <v>159</v>
      </c>
      <c r="AE815" s="84">
        <f>INT(INT((INT((2*VLOOKUP($C815,DexData,9,0)+INT(T815/4)+N815)/2)+5)*Y815)*IF($E815="Choice Specs",1.5,1))</f>
        <v>90</v>
      </c>
      <c r="AF815" s="84">
        <f>INT(INT((INT((2*VLOOKUP($C815,DexData,10,0)+INT(U815/4)+O815)/2)+5)*Z815)*IF(OR($E815="Eviolite",$E815="Assault Vest"),1.5,1))</f>
        <v>111</v>
      </c>
      <c r="AG815" s="84">
        <f>INT(INT((INT((2*VLOOKUP($C815,DexData,11,0)+INT(V815/4)+P815)/2)+5)*AA815)*IF($E815="Choice Scarf",1.5,IF($E815="Iron Ball",0.5,1)))</f>
        <v>124</v>
      </c>
      <c r="AH815" s="84" t="str">
        <f>VLOOKUP(VLOOKUP($C815,DexData,3,0),Aliases!D$2:E$19,2,0)&amp;IFERROR("/"&amp;VLOOKUP(VLOOKUP($C815,DexData,4,0),Aliases!D$2:E$19,2,0),"")</f>
        <v>STL/PSY</v>
      </c>
      <c r="AI815" s="7">
        <v>3.0</v>
      </c>
      <c r="AJ815" s="7">
        <f>IF(VLOOKUP(B815,'Set Odds'!A$2:AN$1067,40,0),1,IF(VLOOKUP(B815,'Set Odds'!A$2:AO$1067,41,0),2,0))</f>
        <v>1</v>
      </c>
      <c r="AK815" s="7"/>
      <c r="AL815" s="7" t="str">
        <f t="shared" si="1"/>
        <v/>
      </c>
    </row>
    <row r="816" ht="12.75" customHeight="1">
      <c r="A816" s="86">
        <v>815.0</v>
      </c>
      <c r="B816" s="84" t="s">
        <v>4395</v>
      </c>
      <c r="C816" s="7" t="s">
        <v>3936</v>
      </c>
      <c r="D816" s="7" t="s">
        <v>2692</v>
      </c>
      <c r="E816" s="7" t="s">
        <v>2515</v>
      </c>
      <c r="F816" s="84" t="s">
        <v>3454</v>
      </c>
      <c r="G816" s="84" t="s">
        <v>2762</v>
      </c>
      <c r="H816" s="84" t="s">
        <v>2751</v>
      </c>
      <c r="I816" s="84" t="s">
        <v>3113</v>
      </c>
      <c r="J816" s="7" t="s">
        <v>2803</v>
      </c>
      <c r="K816" s="7">
        <v>31.0</v>
      </c>
      <c r="L816" s="7">
        <v>31.0</v>
      </c>
      <c r="M816" s="7">
        <v>31.0</v>
      </c>
      <c r="N816" s="7">
        <v>0.0</v>
      </c>
      <c r="O816" s="7">
        <v>31.0</v>
      </c>
      <c r="P816" s="7">
        <v>31.0</v>
      </c>
      <c r="Q816" s="7">
        <v>4.0</v>
      </c>
      <c r="R816" s="7">
        <v>252.0</v>
      </c>
      <c r="S816" s="7">
        <v>0.0</v>
      </c>
      <c r="T816" s="7">
        <v>0.0</v>
      </c>
      <c r="U816" s="7">
        <v>0.0</v>
      </c>
      <c r="V816" s="7">
        <v>252.0</v>
      </c>
      <c r="W816" s="7">
        <f>VLOOKUP($D816,NatureChart,2,0)</f>
        <v>1</v>
      </c>
      <c r="X816" s="7">
        <f>VLOOKUP($D816,NatureChart,3,0)</f>
        <v>1</v>
      </c>
      <c r="Y816" s="7">
        <f>VLOOKUP($D816,NatureChart,4,0)</f>
        <v>0.9</v>
      </c>
      <c r="Z816" s="7">
        <f>VLOOKUP($D816,NatureChart,5,0)</f>
        <v>1</v>
      </c>
      <c r="AA816" s="84">
        <f>VLOOKUP($D816,NatureChart,6,0)</f>
        <v>1.1</v>
      </c>
      <c r="AB816" s="84">
        <f>IF($C816="Shedinja",1,(INT((2*VLOOKUP($C816,DexData,5,0)+INT(Q816/4)+K816)/2)+60))</f>
        <v>184</v>
      </c>
      <c r="AC816" s="84">
        <f>INT(INT((INT((2*VLOOKUP($C816,DexData,6,0)+INT(R816/4)+L816)/2)+5)*W816)*IF($E816="Choice Band",1.5,IF(OR($E816="Mawilite",$E816="Medichamite",$E816="Thick Club"),2,1)))</f>
        <v>182</v>
      </c>
      <c r="AD816" s="84">
        <f>INT(INT((INT((2*VLOOKUP($C816,DexData,7,0)+INT(S816/4)+M816)/2)+5)*X816)*IF($E816="Eviolite",1.5,1))</f>
        <v>115</v>
      </c>
      <c r="AE816" s="84">
        <f>INT(INT((INT((2*VLOOKUP($C816,DexData,9,0)+INT(T816/4)+N816)/2)+5)*Y816)*IF($E816="Choice Specs",1.5,1))</f>
        <v>76</v>
      </c>
      <c r="AF816" s="84">
        <f>INT(INT((INT((2*VLOOKUP($C816,DexData,10,0)+INT(U816/4)+O816)/2)+5)*Z816)*IF(OR($E816="Eviolite",$E816="Assault Vest"),1.5,1))</f>
        <v>105</v>
      </c>
      <c r="AG816" s="84">
        <f>INT(INT((INT((2*VLOOKUP($C816,DexData,11,0)+INT(V816/4)+P816)/2)+5)*AA816)*IF($E816="Choice Scarf",1.5,IF($E816="Iron Ball",0.5,1)))</f>
        <v>169</v>
      </c>
      <c r="AH816" s="84" t="str">
        <f>VLOOKUP(VLOOKUP($C816,DexData,3,0),Aliases!D$2:E$19,2,0)&amp;IFERROR("/"&amp;VLOOKUP(VLOOKUP($C816,DexData,4,0),Aliases!D$2:E$19,2,0),"")</f>
        <v>DRG/GRD</v>
      </c>
      <c r="AI816" s="7">
        <v>3.0</v>
      </c>
      <c r="AJ816" s="7">
        <f>IF(VLOOKUP(B816,'Set Odds'!A$2:AN$1067,40,0),1,IF(VLOOKUP(B816,'Set Odds'!A$2:AO$1067,41,0),2,0))</f>
        <v>1</v>
      </c>
      <c r="AK816" s="7"/>
      <c r="AL816" s="7" t="str">
        <f t="shared" si="1"/>
        <v/>
      </c>
    </row>
    <row r="817" ht="12.75" customHeight="1">
      <c r="A817" s="86">
        <v>816.0</v>
      </c>
      <c r="B817" s="84" t="s">
        <v>4396</v>
      </c>
      <c r="C817" s="7" t="s">
        <v>3938</v>
      </c>
      <c r="D817" s="7" t="s">
        <v>2571</v>
      </c>
      <c r="E817" s="7" t="s">
        <v>2636</v>
      </c>
      <c r="F817" s="84" t="s">
        <v>3636</v>
      </c>
      <c r="G817" s="84" t="s">
        <v>3454</v>
      </c>
      <c r="H817" s="84" t="s">
        <v>3578</v>
      </c>
      <c r="I817" s="84" t="s">
        <v>3950</v>
      </c>
      <c r="J817" s="7" t="s">
        <v>3939</v>
      </c>
      <c r="K817" s="7">
        <v>31.0</v>
      </c>
      <c r="L817" s="7">
        <v>31.0</v>
      </c>
      <c r="M817" s="7">
        <v>31.0</v>
      </c>
      <c r="N817" s="7">
        <v>0.0</v>
      </c>
      <c r="O817" s="7">
        <v>31.0</v>
      </c>
      <c r="P817" s="7">
        <v>31.0</v>
      </c>
      <c r="Q817" s="7">
        <v>252.0</v>
      </c>
      <c r="R817" s="7">
        <v>252.0</v>
      </c>
      <c r="S817" s="7">
        <v>0.0</v>
      </c>
      <c r="T817" s="7">
        <v>0.0</v>
      </c>
      <c r="U817" s="7">
        <v>0.0</v>
      </c>
      <c r="V817" s="7">
        <v>4.0</v>
      </c>
      <c r="W817" s="7">
        <f>VLOOKUP($D817,NatureChart,2,0)</f>
        <v>1.1</v>
      </c>
      <c r="X817" s="7">
        <f>VLOOKUP($D817,NatureChart,3,0)</f>
        <v>1</v>
      </c>
      <c r="Y817" s="7">
        <f>VLOOKUP($D817,NatureChart,4,0)</f>
        <v>0.9</v>
      </c>
      <c r="Z817" s="7">
        <f>VLOOKUP($D817,NatureChart,5,0)</f>
        <v>1</v>
      </c>
      <c r="AA817" s="84">
        <f>VLOOKUP($D817,NatureChart,6,0)</f>
        <v>1</v>
      </c>
      <c r="AB817" s="84">
        <f>IF($C817="Shedinja",1,(INT((2*VLOOKUP($C817,DexData,5,0)+INT(Q817/4)+K817)/2)+60))</f>
        <v>257</v>
      </c>
      <c r="AC817" s="84">
        <f>INT(INT((INT((2*VLOOKUP($C817,DexData,6,0)+INT(R817/4)+L817)/2)+5)*W817)*IF($E817="Choice Band",1.5,IF(OR($E817="Mawilite",$E817="Medichamite",$E817="Thick Club"),2,1)))</f>
        <v>233</v>
      </c>
      <c r="AD817" s="84">
        <f>INT(INT((INT((2*VLOOKUP($C817,DexData,7,0)+INT(S817/4)+M817)/2)+5)*X817)*IF($E817="Eviolite",1.5,1))</f>
        <v>120</v>
      </c>
      <c r="AE817" s="84">
        <f>INT(INT((INT((2*VLOOKUP($C817,DexData,9,0)+INT(T817/4)+N817)/2)+5)*Y817)*IF($E817="Choice Specs",1.5,1))</f>
        <v>90</v>
      </c>
      <c r="AF817" s="84">
        <f>INT(INT((INT((2*VLOOKUP($C817,DexData,10,0)+INT(U817/4)+O817)/2)+5)*Z817)*IF(OR($E817="Eviolite",$E817="Assault Vest"),1.5,1))</f>
        <v>85</v>
      </c>
      <c r="AG817" s="84">
        <f>INT(INT((INT((2*VLOOKUP($C817,DexData,11,0)+INT(V817/4)+P817)/2)+5)*AA817)*IF($E817="Choice Scarf",1.5,IF($E817="Iron Ball",0.5,1)))</f>
        <v>121</v>
      </c>
      <c r="AH817" s="84" t="str">
        <f>VLOOKUP(VLOOKUP($C817,DexData,3,0),Aliases!D$2:E$19,2,0)&amp;IFERROR("/"&amp;VLOOKUP(VLOOKUP($C817,DexData,4,0),Aliases!D$2:E$19,2,0),"")</f>
        <v>NRM</v>
      </c>
      <c r="AI817" s="7">
        <v>3.0</v>
      </c>
      <c r="AJ817" s="7">
        <f>IF(VLOOKUP(B817,'Set Odds'!A$2:AN$1067,40,0),1,IF(VLOOKUP(B817,'Set Odds'!A$2:AO$1067,41,0),2,0))</f>
        <v>1</v>
      </c>
      <c r="AK817" s="7"/>
      <c r="AL817" s="7" t="str">
        <f t="shared" si="1"/>
        <v/>
      </c>
    </row>
    <row r="818" ht="12.75" customHeight="1">
      <c r="A818" s="86">
        <v>817.0</v>
      </c>
      <c r="B818" s="84" t="s">
        <v>4397</v>
      </c>
      <c r="C818" s="7" t="s">
        <v>3586</v>
      </c>
      <c r="D818" s="7" t="s">
        <v>2656</v>
      </c>
      <c r="E818" s="7" t="s">
        <v>2806</v>
      </c>
      <c r="F818" s="84" t="s">
        <v>2704</v>
      </c>
      <c r="G818" s="84" t="s">
        <v>3052</v>
      </c>
      <c r="H818" s="84" t="s">
        <v>2832</v>
      </c>
      <c r="I818" s="84" t="s">
        <v>2574</v>
      </c>
      <c r="J818" s="7" t="s">
        <v>2576</v>
      </c>
      <c r="K818" s="7">
        <v>31.0</v>
      </c>
      <c r="L818" s="7">
        <v>0.0</v>
      </c>
      <c r="M818" s="7">
        <v>31.0</v>
      </c>
      <c r="N818" s="7">
        <v>31.0</v>
      </c>
      <c r="O818" s="7">
        <v>31.0</v>
      </c>
      <c r="P818" s="7">
        <v>31.0</v>
      </c>
      <c r="Q818" s="7">
        <v>252.0</v>
      </c>
      <c r="R818" s="7">
        <v>0.0</v>
      </c>
      <c r="S818" s="7">
        <v>4.0</v>
      </c>
      <c r="T818" s="7">
        <v>252.0</v>
      </c>
      <c r="U818" s="7">
        <v>0.0</v>
      </c>
      <c r="V818" s="7">
        <v>0.0</v>
      </c>
      <c r="W818" s="7">
        <f>VLOOKUP($D818,NatureChart,2,0)</f>
        <v>0.9</v>
      </c>
      <c r="X818" s="7">
        <f>VLOOKUP($D818,NatureChart,3,0)</f>
        <v>1</v>
      </c>
      <c r="Y818" s="7">
        <f>VLOOKUP($D818,NatureChart,4,0)</f>
        <v>1.1</v>
      </c>
      <c r="Z818" s="7">
        <f>VLOOKUP($D818,NatureChart,5,0)</f>
        <v>1</v>
      </c>
      <c r="AA818" s="84">
        <f>VLOOKUP($D818,NatureChart,6,0)</f>
        <v>1</v>
      </c>
      <c r="AB818" s="84">
        <f>IF($C818="Shedinja",1,(INT((2*VLOOKUP($C818,DexData,5,0)+INT(Q818/4)+K818)/2)+60))</f>
        <v>187</v>
      </c>
      <c r="AC818" s="84">
        <f>INT(INT((INT((2*VLOOKUP($C818,DexData,6,0)+INT(R818/4)+L818)/2)+5)*W818)*IF($E818="Choice Band",1.5,IF(OR($E818="Mawilite",$E818="Medichamite",$E818="Thick Club"),2,1)))</f>
        <v>78</v>
      </c>
      <c r="AD818" s="84">
        <f>INT(INT((INT((2*VLOOKUP($C818,DexData,7,0)+INT(S818/4)+M818)/2)+5)*X818)*IF($E818="Eviolite",1.5,1))</f>
        <v>104</v>
      </c>
      <c r="AE818" s="84">
        <f>INT(INT((INT((2*VLOOKUP($C818,DexData,9,0)+INT(T818/4)+N818)/2)+5)*Y818)*IF($E818="Choice Specs",1.5,1))</f>
        <v>167</v>
      </c>
      <c r="AF818" s="84">
        <f>INT(INT((INT((2*VLOOKUP($C818,DexData,10,0)+INT(U818/4)+O818)/2)+5)*Z818)*IF(OR($E818="Eviolite",$E818="Assault Vest"),1.5,1))</f>
        <v>120</v>
      </c>
      <c r="AG818" s="84">
        <f>INT(INT((INT((2*VLOOKUP($C818,DexData,11,0)+INT(V818/4)+P818)/2)+5)*AA818)*IF($E818="Choice Scarf",1.5,IF($E818="Iron Ball",0.5,1)))</f>
        <v>100</v>
      </c>
      <c r="AH818" s="84" t="str">
        <f>VLOOKUP(VLOOKUP($C818,DexData,3,0),Aliases!D$2:E$19,2,0)&amp;IFERROR("/"&amp;VLOOKUP(VLOOKUP($C818,DexData,4,0),Aliases!D$2:E$19,2,0),"")</f>
        <v>GRS/PSN</v>
      </c>
      <c r="AI818" s="7">
        <v>3.0</v>
      </c>
      <c r="AJ818" s="7">
        <f>IF(VLOOKUP(B818,'Set Odds'!A$2:AN$1067,40,0),1,IF(VLOOKUP(B818,'Set Odds'!A$2:AO$1067,41,0),2,0))</f>
        <v>1</v>
      </c>
      <c r="AK818" s="7"/>
      <c r="AL818" s="7" t="str">
        <f t="shared" si="1"/>
        <v/>
      </c>
    </row>
    <row r="819" ht="12.75" customHeight="1">
      <c r="A819" s="86">
        <v>818.0</v>
      </c>
      <c r="B819" s="84" t="s">
        <v>4398</v>
      </c>
      <c r="C819" s="7" t="s">
        <v>3589</v>
      </c>
      <c r="D819" s="7" t="s">
        <v>2692</v>
      </c>
      <c r="E819" s="7" t="s">
        <v>2636</v>
      </c>
      <c r="F819" s="84" t="s">
        <v>3844</v>
      </c>
      <c r="G819" s="84" t="s">
        <v>2801</v>
      </c>
      <c r="H819" s="84" t="s">
        <v>3160</v>
      </c>
      <c r="I819" s="84" t="s">
        <v>3454</v>
      </c>
      <c r="J819" s="7" t="s">
        <v>2584</v>
      </c>
      <c r="K819" s="7">
        <v>31.0</v>
      </c>
      <c r="L819" s="7">
        <v>31.0</v>
      </c>
      <c r="M819" s="7">
        <v>31.0</v>
      </c>
      <c r="N819" s="7">
        <v>0.0</v>
      </c>
      <c r="O819" s="7">
        <v>31.0</v>
      </c>
      <c r="P819" s="7">
        <v>31.0</v>
      </c>
      <c r="Q819" s="7">
        <v>4.0</v>
      </c>
      <c r="R819" s="7">
        <v>252.0</v>
      </c>
      <c r="S819" s="7">
        <v>0.0</v>
      </c>
      <c r="T819" s="7">
        <v>0.0</v>
      </c>
      <c r="U819" s="7">
        <v>0.0</v>
      </c>
      <c r="V819" s="7">
        <v>252.0</v>
      </c>
      <c r="W819" s="7">
        <f>VLOOKUP($D819,NatureChart,2,0)</f>
        <v>1</v>
      </c>
      <c r="X819" s="7">
        <f>VLOOKUP($D819,NatureChart,3,0)</f>
        <v>1</v>
      </c>
      <c r="Y819" s="7">
        <f>VLOOKUP($D819,NatureChart,4,0)</f>
        <v>0.9</v>
      </c>
      <c r="Z819" s="7">
        <f>VLOOKUP($D819,NatureChart,5,0)</f>
        <v>1</v>
      </c>
      <c r="AA819" s="84">
        <f>VLOOKUP($D819,NatureChart,6,0)</f>
        <v>1.1</v>
      </c>
      <c r="AB819" s="84">
        <f>IF($C819="Shedinja",1,(INT((2*VLOOKUP($C819,DexData,5,0)+INT(Q819/4)+K819)/2)+60))</f>
        <v>154</v>
      </c>
      <c r="AC819" s="84">
        <f>INT(INT((INT((2*VLOOKUP($C819,DexData,6,0)+INT(R819/4)+L819)/2)+5)*W819)*IF($E819="Choice Band",1.5,IF(OR($E819="Mawilite",$E819="Medichamite",$E819="Thick Club"),2,1)))</f>
        <v>136</v>
      </c>
      <c r="AD819" s="84">
        <f>INT(INT((INT((2*VLOOKUP($C819,DexData,7,0)+INT(S819/4)+M819)/2)+5)*X819)*IF($E819="Eviolite",1.5,1))</f>
        <v>98</v>
      </c>
      <c r="AE819" s="84">
        <f>INT(INT((INT((2*VLOOKUP($C819,DexData,9,0)+INT(T819/4)+N819)/2)+5)*Y819)*IF($E819="Choice Specs",1.5,1))</f>
        <v>102</v>
      </c>
      <c r="AF819" s="84">
        <f>INT(INT((INT((2*VLOOKUP($C819,DexData,10,0)+INT(U819/4)+O819)/2)+5)*Z819)*IF(OR($E819="Eviolite",$E819="Assault Vest"),1.5,1))</f>
        <v>105</v>
      </c>
      <c r="AG819" s="84">
        <f>INT(INT((INT((2*VLOOKUP($C819,DexData,11,0)+INT(V819/4)+P819)/2)+5)*AA819)*IF($E819="Choice Scarf",1.5,IF($E819="Iron Ball",0.5,1)))</f>
        <v>167</v>
      </c>
      <c r="AH819" s="84" t="str">
        <f>VLOOKUP(VLOOKUP($C819,DexData,3,0),Aliases!D$2:E$19,2,0)&amp;IFERROR("/"&amp;VLOOKUP(VLOOKUP($C819,DexData,4,0),Aliases!D$2:E$19,2,0),"")</f>
        <v>FIR/FLY</v>
      </c>
      <c r="AI819" s="7">
        <v>3.0</v>
      </c>
      <c r="AJ819" s="7">
        <f>IF(VLOOKUP(B819,'Set Odds'!A$2:AN$1067,40,0),1,IF(VLOOKUP(B819,'Set Odds'!A$2:AO$1067,41,0),2,0))</f>
        <v>1</v>
      </c>
      <c r="AK819" s="7"/>
      <c r="AL819" s="7" t="str">
        <f t="shared" si="1"/>
        <v/>
      </c>
    </row>
    <row r="820" ht="12.75" customHeight="1">
      <c r="A820" s="86">
        <v>819.0</v>
      </c>
      <c r="B820" s="84" t="s">
        <v>4399</v>
      </c>
      <c r="C820" s="7" t="s">
        <v>3599</v>
      </c>
      <c r="D820" s="7" t="s">
        <v>2656</v>
      </c>
      <c r="E820" s="7" t="s">
        <v>2665</v>
      </c>
      <c r="F820" s="84" t="s">
        <v>3515</v>
      </c>
      <c r="G820" s="84" t="s">
        <v>2660</v>
      </c>
      <c r="H820" s="84" t="s">
        <v>2712</v>
      </c>
      <c r="I820" s="84" t="s">
        <v>3590</v>
      </c>
      <c r="J820" s="7" t="s">
        <v>3016</v>
      </c>
      <c r="K820" s="7">
        <v>31.0</v>
      </c>
      <c r="L820" s="7">
        <v>0.0</v>
      </c>
      <c r="M820" s="7">
        <v>31.0</v>
      </c>
      <c r="N820" s="7">
        <v>31.0</v>
      </c>
      <c r="O820" s="7">
        <v>31.0</v>
      </c>
      <c r="P820" s="7">
        <v>31.0</v>
      </c>
      <c r="Q820" s="7">
        <v>4.0</v>
      </c>
      <c r="R820" s="7">
        <v>0.0</v>
      </c>
      <c r="S820" s="7">
        <v>0.0</v>
      </c>
      <c r="T820" s="7">
        <v>252.0</v>
      </c>
      <c r="U820" s="7">
        <v>0.0</v>
      </c>
      <c r="V820" s="7">
        <v>252.0</v>
      </c>
      <c r="W820" s="7">
        <f>VLOOKUP($D820,NatureChart,2,0)</f>
        <v>0.9</v>
      </c>
      <c r="X820" s="7">
        <f>VLOOKUP($D820,NatureChart,3,0)</f>
        <v>1</v>
      </c>
      <c r="Y820" s="7">
        <f>VLOOKUP($D820,NatureChart,4,0)</f>
        <v>1.1</v>
      </c>
      <c r="Z820" s="7">
        <f>VLOOKUP($D820,NatureChart,5,0)</f>
        <v>1</v>
      </c>
      <c r="AA820" s="84">
        <f>VLOOKUP($D820,NatureChart,6,0)</f>
        <v>1</v>
      </c>
      <c r="AB820" s="84">
        <f>IF($C820="Shedinja",1,(INT((2*VLOOKUP($C820,DexData,5,0)+INT(Q820/4)+K820)/2)+60))</f>
        <v>154</v>
      </c>
      <c r="AC820" s="84">
        <f>INT(INT((INT((2*VLOOKUP($C820,DexData,6,0)+INT(R820/4)+L820)/2)+5)*W820)*IF($E820="Choice Band",1.5,IF(OR($E820="Mawilite",$E820="Medichamite",$E820="Thick Club"),2,1)))</f>
        <v>80</v>
      </c>
      <c r="AD820" s="84">
        <f>INT(INT((INT((2*VLOOKUP($C820,DexData,7,0)+INT(S820/4)+M820)/2)+5)*X820)*IF($E820="Eviolite",1.5,1))</f>
        <v>98</v>
      </c>
      <c r="AE820" s="84">
        <f>INT(INT((INT((2*VLOOKUP($C820,DexData,9,0)+INT(T820/4)+N820)/2)+5)*Y820)*IF($E820="Choice Specs",1.5,1))</f>
        <v>177</v>
      </c>
      <c r="AF820" s="84">
        <f>INT(INT((INT((2*VLOOKUP($C820,DexData,10,0)+INT(U820/4)+O820)/2)+5)*Z820)*IF(OR($E820="Eviolite",$E820="Assault Vest"),1.5,1))</f>
        <v>105</v>
      </c>
      <c r="AG820" s="84">
        <f>INT(INT((INT((2*VLOOKUP($C820,DexData,11,0)+INT(V820/4)+P820)/2)+5)*AA820)*IF($E820="Choice Scarf",1.5,IF($E820="Iron Ball",0.5,1)))</f>
        <v>228</v>
      </c>
      <c r="AH820" s="84" t="str">
        <f>VLOOKUP(VLOOKUP($C820,DexData,3,0),Aliases!D$2:E$19,2,0)&amp;IFERROR("/"&amp;VLOOKUP(VLOOKUP($C820,DexData,4,0),Aliases!D$2:E$19,2,0),"")</f>
        <v>FIR</v>
      </c>
      <c r="AI820" s="7">
        <v>3.0</v>
      </c>
      <c r="AJ820" s="7">
        <f>IF(VLOOKUP(B820,'Set Odds'!A$2:AN$1067,40,0),1,IF(VLOOKUP(B820,'Set Odds'!A$2:AO$1067,41,0),2,0))</f>
        <v>1</v>
      </c>
      <c r="AK820" s="7"/>
      <c r="AL820" s="7" t="str">
        <f t="shared" si="1"/>
        <v/>
      </c>
    </row>
    <row r="821" ht="12.75" customHeight="1">
      <c r="A821" s="86">
        <v>820.0</v>
      </c>
      <c r="B821" s="84" t="s">
        <v>4400</v>
      </c>
      <c r="C821" s="7" t="s">
        <v>3602</v>
      </c>
      <c r="D821" s="7" t="s">
        <v>2692</v>
      </c>
      <c r="E821" s="7" t="s">
        <v>3548</v>
      </c>
      <c r="F821" s="84" t="s">
        <v>2869</v>
      </c>
      <c r="G821" s="84" t="s">
        <v>3390</v>
      </c>
      <c r="H821" s="84" t="s">
        <v>3015</v>
      </c>
      <c r="I821" s="84" t="s">
        <v>2764</v>
      </c>
      <c r="J821" s="7" t="s">
        <v>3745</v>
      </c>
      <c r="K821" s="7">
        <v>31.0</v>
      </c>
      <c r="L821" s="7">
        <v>31.0</v>
      </c>
      <c r="M821" s="7">
        <v>31.0</v>
      </c>
      <c r="N821" s="7">
        <v>0.0</v>
      </c>
      <c r="O821" s="7">
        <v>31.0</v>
      </c>
      <c r="P821" s="7">
        <v>31.0</v>
      </c>
      <c r="Q821" s="7">
        <v>20.0</v>
      </c>
      <c r="R821" s="7">
        <v>252.0</v>
      </c>
      <c r="S821" s="7">
        <v>0.0</v>
      </c>
      <c r="T821" s="7">
        <v>0.0</v>
      </c>
      <c r="U821" s="7">
        <v>0.0</v>
      </c>
      <c r="V821" s="7">
        <v>236.0</v>
      </c>
      <c r="W821" s="7">
        <f>VLOOKUP($D821,NatureChart,2,0)</f>
        <v>1</v>
      </c>
      <c r="X821" s="7">
        <f>VLOOKUP($D821,NatureChart,3,0)</f>
        <v>1</v>
      </c>
      <c r="Y821" s="7">
        <f>VLOOKUP($D821,NatureChart,4,0)</f>
        <v>0.9</v>
      </c>
      <c r="Z821" s="7">
        <f>VLOOKUP($D821,NatureChart,5,0)</f>
        <v>1</v>
      </c>
      <c r="AA821" s="84">
        <f>VLOOKUP($D821,NatureChart,6,0)</f>
        <v>1.1</v>
      </c>
      <c r="AB821" s="84">
        <f>IF($C821="Shedinja",1,(INT((2*VLOOKUP($C821,DexData,5,0)+INT(Q821/4)+K821)/2)+60))</f>
        <v>163</v>
      </c>
      <c r="AC821" s="84">
        <f>INT(INT((INT((2*VLOOKUP($C821,DexData,6,0)+INT(R821/4)+L821)/2)+5)*W821)*IF($E821="Choice Band",1.5,IF(OR($E821="Mawilite",$E821="Medichamite",$E821="Thick Club"),2,1)))</f>
        <v>157</v>
      </c>
      <c r="AD821" s="84">
        <f>INT(INT((INT((2*VLOOKUP($C821,DexData,7,0)+INT(S821/4)+M821)/2)+5)*X821)*IF($E821="Eviolite",1.5,1))</f>
        <v>120</v>
      </c>
      <c r="AE821" s="84">
        <f>INT(INT((INT((2*VLOOKUP($C821,DexData,9,0)+INT(T821/4)+N821)/2)+5)*Y821)*IF($E821="Choice Specs",1.5,1))</f>
        <v>75</v>
      </c>
      <c r="AF821" s="84">
        <f>INT(INT((INT((2*VLOOKUP($C821,DexData,10,0)+INT(U821/4)+O821)/2)+5)*Z821)*IF(OR($E821="Eviolite",$E821="Assault Vest"),1.5,1))</f>
        <v>103</v>
      </c>
      <c r="AG821" s="84">
        <f>INT(INT((INT((2*VLOOKUP($C821,DexData,11,0)+INT(V821/4)+P821)/2)+5)*AA821)*IF($E821="Choice Scarf",1.5,IF($E821="Iron Ball",0.5,1)))</f>
        <v>140</v>
      </c>
      <c r="AH821" s="84" t="str">
        <f>VLOOKUP(VLOOKUP($C821,DexData,3,0),Aliases!D$2:E$19,2,0)&amp;IFERROR("/"&amp;VLOOKUP(VLOOKUP($C821,DexData,4,0),Aliases!D$2:E$19,2,0),"")</f>
        <v>WTR</v>
      </c>
      <c r="AI821" s="7">
        <v>3.0</v>
      </c>
      <c r="AJ821" s="7">
        <f>IF(VLOOKUP(B821,'Set Odds'!A$2:AN$1067,40,0),1,IF(VLOOKUP(B821,'Set Odds'!A$2:AO$1067,41,0),2,0))</f>
        <v>1</v>
      </c>
      <c r="AK821" s="7"/>
      <c r="AL821" s="7" t="str">
        <f t="shared" si="1"/>
        <v/>
      </c>
    </row>
    <row r="822" ht="12.75" customHeight="1">
      <c r="A822" s="86">
        <v>821.0</v>
      </c>
      <c r="B822" s="84" t="s">
        <v>4401</v>
      </c>
      <c r="C822" s="7" t="s">
        <v>3607</v>
      </c>
      <c r="D822" s="7" t="s">
        <v>2571</v>
      </c>
      <c r="E822" s="7" t="s">
        <v>2515</v>
      </c>
      <c r="F822" s="84" t="s">
        <v>3160</v>
      </c>
      <c r="G822" s="84" t="s">
        <v>3483</v>
      </c>
      <c r="H822" s="84" t="s">
        <v>2877</v>
      </c>
      <c r="I822" s="84" t="s">
        <v>3113</v>
      </c>
      <c r="J822" s="7" t="s">
        <v>3217</v>
      </c>
      <c r="K822" s="7">
        <v>31.0</v>
      </c>
      <c r="L822" s="7">
        <v>31.0</v>
      </c>
      <c r="M822" s="7">
        <v>31.0</v>
      </c>
      <c r="N822" s="7">
        <v>0.0</v>
      </c>
      <c r="O822" s="7">
        <v>31.0</v>
      </c>
      <c r="P822" s="7">
        <v>31.0</v>
      </c>
      <c r="Q822" s="7">
        <v>4.0</v>
      </c>
      <c r="R822" s="7">
        <v>252.0</v>
      </c>
      <c r="S822" s="7">
        <v>0.0</v>
      </c>
      <c r="T822" s="7">
        <v>0.0</v>
      </c>
      <c r="U822" s="7">
        <v>0.0</v>
      </c>
      <c r="V822" s="7">
        <v>252.0</v>
      </c>
      <c r="W822" s="7">
        <f>VLOOKUP($D822,NatureChart,2,0)</f>
        <v>1.1</v>
      </c>
      <c r="X822" s="7">
        <f>VLOOKUP($D822,NatureChart,3,0)</f>
        <v>1</v>
      </c>
      <c r="Y822" s="7">
        <f>VLOOKUP($D822,NatureChart,4,0)</f>
        <v>0.9</v>
      </c>
      <c r="Z822" s="7">
        <f>VLOOKUP($D822,NatureChart,5,0)</f>
        <v>1</v>
      </c>
      <c r="AA822" s="84">
        <f>VLOOKUP($D822,NatureChart,6,0)</f>
        <v>1</v>
      </c>
      <c r="AB822" s="84">
        <f>IF($C822="Shedinja",1,(INT((2*VLOOKUP($C822,DexData,5,0)+INT(Q822/4)+K822)/2)+60))</f>
        <v>156</v>
      </c>
      <c r="AC822" s="84">
        <f>INT(INT((INT((2*VLOOKUP($C822,DexData,6,0)+INT(R822/4)+L822)/2)+5)*W822)*IF($E822="Choice Band",1.5,IF(OR($E822="Mawilite",$E822="Medichamite",$E822="Thick Club"),2,1)))</f>
        <v>189</v>
      </c>
      <c r="AD822" s="84">
        <f>INT(INT((INT((2*VLOOKUP($C822,DexData,7,0)+INT(S822/4)+M822)/2)+5)*X822)*IF($E822="Eviolite",1.5,1))</f>
        <v>90</v>
      </c>
      <c r="AE822" s="84">
        <f>INT(INT((INT((2*VLOOKUP($C822,DexData,9,0)+INT(T822/4)+N822)/2)+5)*Y822)*IF($E822="Choice Specs",1.5,1))</f>
        <v>103</v>
      </c>
      <c r="AF822" s="84">
        <f>INT(INT((INT((2*VLOOKUP($C822,DexData,10,0)+INT(U822/4)+O822)/2)+5)*Z822)*IF(OR($E822="Eviolite",$E822="Assault Vest"),1.5,1))</f>
        <v>90</v>
      </c>
      <c r="AG822" s="84">
        <f>INT(INT((INT((2*VLOOKUP($C822,DexData,11,0)+INT(V822/4)+P822)/2)+5)*AA822)*IF($E822="Choice Scarf",1.5,IF($E822="Iron Ball",0.5,1)))</f>
        <v>132</v>
      </c>
      <c r="AH822" s="84" t="str">
        <f>VLOOKUP(VLOOKUP($C822,DexData,3,0),Aliases!D$2:E$19,2,0)&amp;IFERROR("/"&amp;VLOOKUP(VLOOKUP($C822,DexData,4,0),Aliases!D$2:E$19,2,0),"")</f>
        <v>FIR/FTG</v>
      </c>
      <c r="AI822" s="7">
        <v>3.0</v>
      </c>
      <c r="AJ822" s="7">
        <f>IF(VLOOKUP(B822,'Set Odds'!A$2:AN$1067,40,0),1,IF(VLOOKUP(B822,'Set Odds'!A$2:AO$1067,41,0),2,0))</f>
        <v>1</v>
      </c>
      <c r="AK822" s="7"/>
      <c r="AL822" s="7" t="str">
        <f t="shared" si="1"/>
        <v/>
      </c>
    </row>
    <row r="823" ht="12.75" customHeight="1">
      <c r="A823" s="86">
        <v>822.0</v>
      </c>
      <c r="B823" s="84" t="s">
        <v>4402</v>
      </c>
      <c r="C823" s="7" t="s">
        <v>3610</v>
      </c>
      <c r="D823" s="7" t="s">
        <v>2571</v>
      </c>
      <c r="E823" s="7" t="s">
        <v>2636</v>
      </c>
      <c r="F823" s="84" t="s">
        <v>2869</v>
      </c>
      <c r="G823" s="84" t="s">
        <v>3454</v>
      </c>
      <c r="H823" s="84" t="s">
        <v>2688</v>
      </c>
      <c r="I823" s="84" t="s">
        <v>2718</v>
      </c>
      <c r="J823" s="7" t="s">
        <v>4403</v>
      </c>
      <c r="K823" s="7">
        <v>31.0</v>
      </c>
      <c r="L823" s="7">
        <v>31.0</v>
      </c>
      <c r="M823" s="7">
        <v>31.0</v>
      </c>
      <c r="N823" s="7">
        <v>0.0</v>
      </c>
      <c r="O823" s="7">
        <v>31.0</v>
      </c>
      <c r="P823" s="7">
        <v>31.0</v>
      </c>
      <c r="Q823" s="7">
        <v>252.0</v>
      </c>
      <c r="R823" s="7">
        <v>252.0</v>
      </c>
      <c r="S823" s="7">
        <v>4.0</v>
      </c>
      <c r="T823" s="7">
        <v>0.0</v>
      </c>
      <c r="U823" s="7">
        <v>0.0</v>
      </c>
      <c r="V823" s="7">
        <v>0.0</v>
      </c>
      <c r="W823" s="7">
        <f>VLOOKUP($D823,NatureChart,2,0)</f>
        <v>1.1</v>
      </c>
      <c r="X823" s="7">
        <f>VLOOKUP($D823,NatureChart,3,0)</f>
        <v>1</v>
      </c>
      <c r="Y823" s="7">
        <f>VLOOKUP($D823,NatureChart,4,0)</f>
        <v>0.9</v>
      </c>
      <c r="Z823" s="7">
        <f>VLOOKUP($D823,NatureChart,5,0)</f>
        <v>1</v>
      </c>
      <c r="AA823" s="84">
        <f>VLOOKUP($D823,NatureChart,6,0)</f>
        <v>1</v>
      </c>
      <c r="AB823" s="84">
        <f>IF($C823="Shedinja",1,(INT((2*VLOOKUP($C823,DexData,5,0)+INT(Q823/4)+K823)/2)+60))</f>
        <v>207</v>
      </c>
      <c r="AC823" s="84">
        <f>INT(INT((INT((2*VLOOKUP($C823,DexData,6,0)+INT(R823/4)+L823)/2)+5)*W823)*IF($E823="Choice Band",1.5,IF(OR($E823="Mawilite",$E823="Medichamite",$E823="Thick Club"),2,1)))</f>
        <v>178</v>
      </c>
      <c r="AD823" s="84">
        <f>INT(INT((INT((2*VLOOKUP($C823,DexData,7,0)+INT(S823/4)+M823)/2)+5)*X823)*IF($E823="Eviolite",1.5,1))</f>
        <v>111</v>
      </c>
      <c r="AE823" s="84">
        <f>INT(INT((INT((2*VLOOKUP($C823,DexData,9,0)+INT(T823/4)+N823)/2)+5)*Y823)*IF($E823="Choice Specs",1.5,1))</f>
        <v>81</v>
      </c>
      <c r="AF823" s="84">
        <f>INT(INT((INT((2*VLOOKUP($C823,DexData,10,0)+INT(U823/4)+O823)/2)+5)*Z823)*IF(OR($E823="Eviolite",$E823="Assault Vest"),1.5,1))</f>
        <v>110</v>
      </c>
      <c r="AG823" s="84">
        <f>INT(INT((INT((2*VLOOKUP($C823,DexData,11,0)+INT(V823/4)+P823)/2)+5)*AA823)*IF($E823="Choice Scarf",1.5,IF($E823="Iron Ball",0.5,1)))</f>
        <v>80</v>
      </c>
      <c r="AH823" s="84" t="str">
        <f>VLOOKUP(VLOOKUP($C823,DexData,3,0),Aliases!D$2:E$19,2,0)&amp;IFERROR("/"&amp;VLOOKUP(VLOOKUP($C823,DexData,4,0),Aliases!D$2:E$19,2,0),"")</f>
        <v>WTR/GRD</v>
      </c>
      <c r="AI823" s="7">
        <v>3.0</v>
      </c>
      <c r="AJ823" s="7">
        <f>IF(VLOOKUP(B823,'Set Odds'!A$2:AN$1067,40,0),1,IF(VLOOKUP(B823,'Set Odds'!A$2:AO$1067,41,0),2,0))</f>
        <v>1</v>
      </c>
      <c r="AK823" s="7"/>
      <c r="AL823" s="7" t="str">
        <f t="shared" si="1"/>
        <v/>
      </c>
    </row>
    <row r="824" ht="12.75" customHeight="1">
      <c r="A824" s="86">
        <v>823.0</v>
      </c>
      <c r="B824" s="84" t="s">
        <v>4404</v>
      </c>
      <c r="C824" s="7" t="s">
        <v>3616</v>
      </c>
      <c r="D824" s="7" t="s">
        <v>2692</v>
      </c>
      <c r="E824" s="7" t="s">
        <v>2515</v>
      </c>
      <c r="F824" s="84" t="s">
        <v>3483</v>
      </c>
      <c r="G824" s="84" t="s">
        <v>3160</v>
      </c>
      <c r="H824" s="84" t="s">
        <v>2513</v>
      </c>
      <c r="I824" s="84" t="s">
        <v>3312</v>
      </c>
      <c r="J824" s="7" t="s">
        <v>3487</v>
      </c>
      <c r="K824" s="7">
        <v>31.0</v>
      </c>
      <c r="L824" s="7">
        <v>31.0</v>
      </c>
      <c r="M824" s="7">
        <v>31.0</v>
      </c>
      <c r="N824" s="7">
        <v>0.0</v>
      </c>
      <c r="O824" s="7">
        <v>31.0</v>
      </c>
      <c r="P824" s="7">
        <v>31.0</v>
      </c>
      <c r="Q824" s="7">
        <v>4.0</v>
      </c>
      <c r="R824" s="7">
        <v>252.0</v>
      </c>
      <c r="S824" s="7">
        <v>0.0</v>
      </c>
      <c r="T824" s="7">
        <v>0.0</v>
      </c>
      <c r="U824" s="7">
        <v>0.0</v>
      </c>
      <c r="V824" s="7">
        <v>252.0</v>
      </c>
      <c r="W824" s="7">
        <f>VLOOKUP($D824,NatureChart,2,0)</f>
        <v>1</v>
      </c>
      <c r="X824" s="7">
        <f>VLOOKUP($D824,NatureChart,3,0)</f>
        <v>1</v>
      </c>
      <c r="Y824" s="7">
        <f>VLOOKUP($D824,NatureChart,4,0)</f>
        <v>0.9</v>
      </c>
      <c r="Z824" s="7">
        <f>VLOOKUP($D824,NatureChart,5,0)</f>
        <v>1</v>
      </c>
      <c r="AA824" s="84">
        <f>VLOOKUP($D824,NatureChart,6,0)</f>
        <v>1.1</v>
      </c>
      <c r="AB824" s="84">
        <f>IF($C824="Shedinja",1,(INT((2*VLOOKUP($C824,DexData,5,0)+INT(Q824/4)+K824)/2)+60))</f>
        <v>152</v>
      </c>
      <c r="AC824" s="84">
        <f>INT(INT((INT((2*VLOOKUP($C824,DexData,6,0)+INT(R824/4)+L824)/2)+5)*W824)*IF($E824="Choice Band",1.5,IF(OR($E824="Mawilite",$E824="Medichamite",$E824="Thick Club"),2,1)))</f>
        <v>156</v>
      </c>
      <c r="AD824" s="84">
        <f>INT(INT((INT((2*VLOOKUP($C824,DexData,7,0)+INT(S824/4)+M824)/2)+5)*X824)*IF($E824="Eviolite",1.5,1))</f>
        <v>91</v>
      </c>
      <c r="AE824" s="84">
        <f>INT(INT((INT((2*VLOOKUP($C824,DexData,9,0)+INT(T824/4)+N824)/2)+5)*Y824)*IF($E824="Choice Specs",1.5,1))</f>
        <v>98</v>
      </c>
      <c r="AF824" s="84">
        <f>INT(INT((INT((2*VLOOKUP($C824,DexData,10,0)+INT(U824/4)+O824)/2)+5)*Z824)*IF(OR($E824="Eviolite",$E824="Assault Vest"),1.5,1))</f>
        <v>91</v>
      </c>
      <c r="AG824" s="84">
        <f>INT(INT((INT((2*VLOOKUP($C824,DexData,11,0)+INT(V824/4)+P824)/2)+5)*AA824)*IF($E824="Choice Scarf",1.5,IF($E824="Iron Ball",0.5,1)))</f>
        <v>176</v>
      </c>
      <c r="AH824" s="84" t="str">
        <f>VLOOKUP(VLOOKUP($C824,DexData,3,0),Aliases!D$2:E$19,2,0)&amp;IFERROR("/"&amp;VLOOKUP(VLOOKUP($C824,DexData,4,0),Aliases!D$2:E$19,2,0),"")</f>
        <v>FIR/FTG</v>
      </c>
      <c r="AI824" s="7">
        <v>3.0</v>
      </c>
      <c r="AJ824" s="7">
        <f>IF(VLOOKUP(B824,'Set Odds'!A$2:AN$1067,40,0),1,IF(VLOOKUP(B824,'Set Odds'!A$2:AO$1067,41,0),2,0))</f>
        <v>1</v>
      </c>
      <c r="AK824" s="7"/>
      <c r="AL824" s="7" t="str">
        <f t="shared" si="1"/>
        <v/>
      </c>
    </row>
    <row r="825" ht="12.75" customHeight="1">
      <c r="A825" s="86">
        <v>824.0</v>
      </c>
      <c r="B825" s="84" t="s">
        <v>4405</v>
      </c>
      <c r="C825" s="7" t="s">
        <v>3628</v>
      </c>
      <c r="D825" s="7" t="s">
        <v>2692</v>
      </c>
      <c r="E825" s="7" t="s">
        <v>3433</v>
      </c>
      <c r="F825" s="84" t="s">
        <v>3629</v>
      </c>
      <c r="G825" s="84" t="s">
        <v>3390</v>
      </c>
      <c r="H825" s="84" t="s">
        <v>3160</v>
      </c>
      <c r="I825" s="84" t="s">
        <v>2513</v>
      </c>
      <c r="J825" s="7" t="s">
        <v>3630</v>
      </c>
      <c r="K825" s="7">
        <v>31.0</v>
      </c>
      <c r="L825" s="7">
        <v>31.0</v>
      </c>
      <c r="M825" s="7">
        <v>31.0</v>
      </c>
      <c r="N825" s="7">
        <v>0.0</v>
      </c>
      <c r="O825" s="7">
        <v>31.0</v>
      </c>
      <c r="P825" s="7">
        <v>31.0</v>
      </c>
      <c r="Q825" s="7">
        <v>4.0</v>
      </c>
      <c r="R825" s="7">
        <v>252.0</v>
      </c>
      <c r="S825" s="7">
        <v>0.0</v>
      </c>
      <c r="T825" s="7">
        <v>0.0</v>
      </c>
      <c r="U825" s="7">
        <v>0.0</v>
      </c>
      <c r="V825" s="7">
        <v>252.0</v>
      </c>
      <c r="W825" s="7">
        <f>VLOOKUP($D825,NatureChart,2,0)</f>
        <v>1</v>
      </c>
      <c r="X825" s="7">
        <f>VLOOKUP($D825,NatureChart,3,0)</f>
        <v>1</v>
      </c>
      <c r="Y825" s="7">
        <f>VLOOKUP($D825,NatureChart,4,0)</f>
        <v>0.9</v>
      </c>
      <c r="Z825" s="7">
        <f>VLOOKUP($D825,NatureChart,5,0)</f>
        <v>1</v>
      </c>
      <c r="AA825" s="84">
        <f>VLOOKUP($D825,NatureChart,6,0)</f>
        <v>1.1</v>
      </c>
      <c r="AB825" s="84">
        <f>IF($C825="Shedinja",1,(INT((2*VLOOKUP($C825,DexData,5,0)+INT(Q825/4)+K825)/2)+60))</f>
        <v>136</v>
      </c>
      <c r="AC825" s="84">
        <f>INT(INT((INT((2*VLOOKUP($C825,DexData,6,0)+INT(R825/4)+L825)/2)+5)*W825)*IF($E825="Choice Band",1.5,IF(OR($E825="Mawilite",$E825="Medichamite",$E825="Thick Club"),2,1)))</f>
        <v>112</v>
      </c>
      <c r="AD825" s="84">
        <f>INT(INT((INT((2*VLOOKUP($C825,DexData,7,0)+INT(S825/4)+M825)/2)+5)*X825)*IF($E825="Eviolite",1.5,1))</f>
        <v>95</v>
      </c>
      <c r="AE825" s="84">
        <f>INT(INT((INT((2*VLOOKUP($C825,DexData,9,0)+INT(T825/4)+N825)/2)+5)*Y825)*IF($E825="Choice Specs",1.5,1))</f>
        <v>58</v>
      </c>
      <c r="AF825" s="84">
        <f>INT(INT((INT((2*VLOOKUP($C825,DexData,10,0)+INT(U825/4)+O825)/2)+5)*Z825)*IF(OR($E825="Eviolite",$E825="Assault Vest"),1.5,1))</f>
        <v>95</v>
      </c>
      <c r="AG825" s="84">
        <f>INT(INT((INT((2*VLOOKUP($C825,DexData,11,0)+INT(V825/4)+P825)/2)+5)*AA825)*IF($E825="Choice Scarf",1.5,IF($E825="Iron Ball",0.5,1)))</f>
        <v>145</v>
      </c>
      <c r="AH825" s="84" t="str">
        <f>VLOOKUP(VLOOKUP($C825,DexData,3,0),Aliases!D$2:E$19,2,0)&amp;IFERROR("/"&amp;VLOOKUP(VLOOKUP($C825,DexData,4,0),Aliases!D$2:E$19,2,0),"")</f>
        <v>FTG/PSY</v>
      </c>
      <c r="AI825" s="7">
        <v>3.0</v>
      </c>
      <c r="AJ825" s="7">
        <f>IF(VLOOKUP(B825,'Set Odds'!A$2:AN$1067,40,0),1,IF(VLOOKUP(B825,'Set Odds'!A$2:AO$1067,41,0),2,0))</f>
        <v>1</v>
      </c>
      <c r="AK825" s="7"/>
      <c r="AL825" s="7" t="str">
        <f t="shared" si="1"/>
        <v/>
      </c>
    </row>
    <row r="826" ht="12.75" customHeight="1">
      <c r="A826" s="86">
        <v>825.0</v>
      </c>
      <c r="B826" s="84" t="s">
        <v>4406</v>
      </c>
      <c r="C826" s="7" t="s">
        <v>3632</v>
      </c>
      <c r="D826" s="7" t="s">
        <v>2862</v>
      </c>
      <c r="E826" s="7" t="s">
        <v>2685</v>
      </c>
      <c r="F826" s="84" t="s">
        <v>3222</v>
      </c>
      <c r="G826" s="84" t="s">
        <v>3245</v>
      </c>
      <c r="H826" s="84" t="s">
        <v>2855</v>
      </c>
      <c r="I826" s="84" t="s">
        <v>3428</v>
      </c>
      <c r="J826" s="7" t="s">
        <v>3971</v>
      </c>
      <c r="K826" s="7">
        <v>31.0</v>
      </c>
      <c r="L826" s="7">
        <v>0.0</v>
      </c>
      <c r="M826" s="7">
        <v>31.0</v>
      </c>
      <c r="N826" s="7">
        <v>31.0</v>
      </c>
      <c r="O826" s="7">
        <v>31.0</v>
      </c>
      <c r="P826" s="7">
        <v>31.0</v>
      </c>
      <c r="Q826" s="7">
        <v>252.0</v>
      </c>
      <c r="R826" s="7">
        <v>0.0</v>
      </c>
      <c r="S826" s="7">
        <v>252.0</v>
      </c>
      <c r="T826" s="7">
        <v>0.0</v>
      </c>
      <c r="U826" s="7">
        <v>4.0</v>
      </c>
      <c r="V826" s="7">
        <v>0.0</v>
      </c>
      <c r="W826" s="7">
        <f>VLOOKUP($D826,NatureChart,2,0)</f>
        <v>0.9</v>
      </c>
      <c r="X826" s="7">
        <f>VLOOKUP($D826,NatureChart,3,0)</f>
        <v>1.1</v>
      </c>
      <c r="Y826" s="7">
        <f>VLOOKUP($D826,NatureChart,4,0)</f>
        <v>1</v>
      </c>
      <c r="Z826" s="7">
        <f>VLOOKUP($D826,NatureChart,5,0)</f>
        <v>1</v>
      </c>
      <c r="AA826" s="84">
        <f>VLOOKUP($D826,NatureChart,6,0)</f>
        <v>1</v>
      </c>
      <c r="AB826" s="84">
        <f>IF($C826="Shedinja",1,(INT((2*VLOOKUP($C826,DexData,5,0)+INT(Q826/4)+K826)/2)+60))</f>
        <v>202</v>
      </c>
      <c r="AC826" s="84">
        <f>INT(INT((INT((2*VLOOKUP($C826,DexData,6,0)+INT(R826/4)+L826)/2)+5)*W826)*IF($E826="Choice Band",1.5,IF(OR($E826="Mawilite",$E826="Medichamite",$E826="Thick Club"),2,1)))</f>
        <v>81</v>
      </c>
      <c r="AD826" s="84">
        <f>INT(INT((INT((2*VLOOKUP($C826,DexData,7,0)+INT(S826/4)+M826)/2)+5)*X826)*IF($E826="Eviolite",1.5,1))</f>
        <v>150</v>
      </c>
      <c r="AE826" s="84">
        <f>INT(INT((INT((2*VLOOKUP($C826,DexData,9,0)+INT(T826/4)+N826)/2)+5)*Y826)*IF($E826="Choice Specs",1.5,1))</f>
        <v>85</v>
      </c>
      <c r="AF826" s="84">
        <f>INT(INT((INT((2*VLOOKUP($C826,DexData,10,0)+INT(U826/4)+O826)/2)+5)*Z826)*IF(OR($E826="Eviolite",$E826="Assault Vest"),1.5,1))</f>
        <v>86</v>
      </c>
      <c r="AG826" s="84">
        <f>INT(INT((INT((2*VLOOKUP($C826,DexData,11,0)+INT(V826/4)+P826)/2)+5)*AA826)*IF($E826="Choice Scarf",1.5,IF($E826="Iron Ball",0.5,1)))</f>
        <v>55</v>
      </c>
      <c r="AH826" s="84" t="str">
        <f>VLOOKUP(VLOOKUP($C826,DexData,3,0),Aliases!D$2:E$19,2,0)&amp;IFERROR("/"&amp;VLOOKUP(VLOOKUP($C826,DexData,4,0),Aliases!D$2:E$19,2,0),"")</f>
        <v>WTR/GRD</v>
      </c>
      <c r="AI826" s="7">
        <v>3.0</v>
      </c>
      <c r="AJ826" s="7">
        <f>IF(VLOOKUP(B826,'Set Odds'!A$2:AN$1067,40,0),1,IF(VLOOKUP(B826,'Set Odds'!A$2:AO$1067,41,0),2,0))</f>
        <v>1</v>
      </c>
      <c r="AK826" s="7"/>
      <c r="AL826" s="7" t="str">
        <f t="shared" si="1"/>
        <v/>
      </c>
    </row>
    <row r="827" ht="12.75" customHeight="1">
      <c r="A827" s="86">
        <v>826.0</v>
      </c>
      <c r="B827" s="84" t="s">
        <v>4407</v>
      </c>
      <c r="C827" s="7" t="s">
        <v>3648</v>
      </c>
      <c r="D827" s="7" t="s">
        <v>2656</v>
      </c>
      <c r="E827" s="7" t="s">
        <v>2636</v>
      </c>
      <c r="F827" s="84" t="s">
        <v>2880</v>
      </c>
      <c r="G827" s="84" t="s">
        <v>2823</v>
      </c>
      <c r="H827" s="84" t="s">
        <v>3523</v>
      </c>
      <c r="I827" s="84" t="s">
        <v>3435</v>
      </c>
      <c r="J827" s="7" t="s">
        <v>3059</v>
      </c>
      <c r="K827" s="7">
        <v>31.0</v>
      </c>
      <c r="L827" s="7">
        <v>0.0</v>
      </c>
      <c r="M827" s="7">
        <v>31.0</v>
      </c>
      <c r="N827" s="7">
        <v>31.0</v>
      </c>
      <c r="O827" s="7">
        <v>31.0</v>
      </c>
      <c r="P827" s="7">
        <v>31.0</v>
      </c>
      <c r="Q827" s="7">
        <v>252.0</v>
      </c>
      <c r="R827" s="7">
        <v>0.0</v>
      </c>
      <c r="S827" s="7">
        <v>0.0</v>
      </c>
      <c r="T827" s="7">
        <v>252.0</v>
      </c>
      <c r="U827" s="7">
        <v>4.0</v>
      </c>
      <c r="V827" s="7">
        <v>0.0</v>
      </c>
      <c r="W827" s="7">
        <f>VLOOKUP($D827,NatureChart,2,0)</f>
        <v>0.9</v>
      </c>
      <c r="X827" s="7">
        <f>VLOOKUP($D827,NatureChart,3,0)</f>
        <v>1</v>
      </c>
      <c r="Y827" s="7">
        <f>VLOOKUP($D827,NatureChart,4,0)</f>
        <v>1.1</v>
      </c>
      <c r="Z827" s="7">
        <f>VLOOKUP($D827,NatureChart,5,0)</f>
        <v>1</v>
      </c>
      <c r="AA827" s="84">
        <f>VLOOKUP($D827,NatureChart,6,0)</f>
        <v>1</v>
      </c>
      <c r="AB827" s="84">
        <f>IF($C827="Shedinja",1,(INT((2*VLOOKUP($C827,DexData,5,0)+INT(Q827/4)+K827)/2)+60))</f>
        <v>232</v>
      </c>
      <c r="AC827" s="84">
        <f>INT(INT((INT((2*VLOOKUP($C827,DexData,6,0)+INT(R827/4)+L827)/2)+5)*W827)*IF($E827="Choice Band",1.5,IF(OR($E827="Mawilite",$E827="Medichamite",$E827="Thick Club"),2,1)))</f>
        <v>56</v>
      </c>
      <c r="AD827" s="84">
        <f>INT(INT((INT((2*VLOOKUP($C827,DexData,7,0)+INT(S827/4)+M827)/2)+5)*X827)*IF($E827="Eviolite",1.5,1))</f>
        <v>78</v>
      </c>
      <c r="AE827" s="84">
        <f>INT(INT((INT((2*VLOOKUP($C827,DexData,9,0)+INT(T827/4)+N827)/2)+5)*Y827)*IF($E827="Choice Specs",1.5,1))</f>
        <v>140</v>
      </c>
      <c r="AF827" s="84">
        <f>INT(INT((INT((2*VLOOKUP($C827,DexData,10,0)+INT(U827/4)+O827)/2)+5)*Z827)*IF(OR($E827="Eviolite",$E827="Assault Vest"),1.5,1))</f>
        <v>97</v>
      </c>
      <c r="AG827" s="84">
        <f>INT(INT((INT((2*VLOOKUP($C827,DexData,11,0)+INT(V827/4)+P827)/2)+5)*AA827)*IF($E827="Choice Scarf",1.5,IF($E827="Iron Ball",0.5,1)))</f>
        <v>87</v>
      </c>
      <c r="AH827" s="84" t="str">
        <f>VLOOKUP(VLOOKUP($C827,DexData,3,0),Aliases!D$2:E$19,2,0)&amp;IFERROR("/"&amp;VLOOKUP(VLOOKUP($C827,DexData,4,0),Aliases!D$2:E$19,2,0),"")</f>
        <v>WTR/ELC</v>
      </c>
      <c r="AI827" s="7">
        <v>3.0</v>
      </c>
      <c r="AJ827" s="7">
        <f>IF(VLOOKUP(B827,'Set Odds'!A$2:AN$1067,40,0),1,IF(VLOOKUP(B827,'Set Odds'!A$2:AO$1067,41,0),2,0))</f>
        <v>1</v>
      </c>
      <c r="AK827" s="7"/>
      <c r="AL827" s="7" t="str">
        <f t="shared" si="1"/>
        <v/>
      </c>
    </row>
    <row r="828" ht="12.75" customHeight="1">
      <c r="A828" s="86">
        <v>827.0</v>
      </c>
      <c r="B828" s="84" t="s">
        <v>4408</v>
      </c>
      <c r="C828" s="7" t="s">
        <v>3650</v>
      </c>
      <c r="D828" s="7" t="s">
        <v>2692</v>
      </c>
      <c r="E828" s="7" t="s">
        <v>2515</v>
      </c>
      <c r="F828" s="84" t="s">
        <v>3249</v>
      </c>
      <c r="G828" s="84" t="s">
        <v>3312</v>
      </c>
      <c r="H828" s="84" t="s">
        <v>2718</v>
      </c>
      <c r="I828" s="84" t="s">
        <v>2594</v>
      </c>
      <c r="J828" s="7" t="s">
        <v>3412</v>
      </c>
      <c r="K828" s="7">
        <v>31.0</v>
      </c>
      <c r="L828" s="7">
        <v>31.0</v>
      </c>
      <c r="M828" s="7">
        <v>31.0</v>
      </c>
      <c r="N828" s="7">
        <v>0.0</v>
      </c>
      <c r="O828" s="7">
        <v>31.0</v>
      </c>
      <c r="P828" s="7">
        <v>31.0</v>
      </c>
      <c r="Q828" s="7">
        <v>4.0</v>
      </c>
      <c r="R828" s="7">
        <v>252.0</v>
      </c>
      <c r="S828" s="7">
        <v>0.0</v>
      </c>
      <c r="T828" s="7">
        <v>0.0</v>
      </c>
      <c r="U828" s="7">
        <v>0.0</v>
      </c>
      <c r="V828" s="7">
        <v>252.0</v>
      </c>
      <c r="W828" s="7">
        <f>VLOOKUP($D828,NatureChart,2,0)</f>
        <v>1</v>
      </c>
      <c r="X828" s="7">
        <f>VLOOKUP($D828,NatureChart,3,0)</f>
        <v>1</v>
      </c>
      <c r="Y828" s="7">
        <f>VLOOKUP($D828,NatureChart,4,0)</f>
        <v>0.9</v>
      </c>
      <c r="Z828" s="7">
        <f>VLOOKUP($D828,NatureChart,5,0)</f>
        <v>1</v>
      </c>
      <c r="AA828" s="84">
        <f>VLOOKUP($D828,NatureChart,6,0)</f>
        <v>1.1</v>
      </c>
      <c r="AB828" s="84">
        <f>IF($C828="Shedinja",1,(INT((2*VLOOKUP($C828,DexData,5,0)+INT(Q828/4)+K828)/2)+60))</f>
        <v>136</v>
      </c>
      <c r="AC828" s="84">
        <f>INT(INT((INT((2*VLOOKUP($C828,DexData,6,0)+INT(R828/4)+L828)/2)+5)*W828)*IF($E828="Choice Band",1.5,IF(OR($E828="Mawilite",$E828="Medichamite",$E828="Thick Club"),2,1)))</f>
        <v>182</v>
      </c>
      <c r="AD828" s="84">
        <f>INT(INT((INT((2*VLOOKUP($C828,DexData,7,0)+INT(S828/4)+M828)/2)+5)*X828)*IF($E828="Eviolite",1.5,1))</f>
        <v>100</v>
      </c>
      <c r="AE828" s="84">
        <f>INT(INT((INT((2*VLOOKUP($C828,DexData,9,0)+INT(T828/4)+N828)/2)+5)*Y828)*IF($E828="Choice Specs",1.5,1))</f>
        <v>58</v>
      </c>
      <c r="AF828" s="84">
        <f>INT(INT((INT((2*VLOOKUP($C828,DexData,10,0)+INT(U828/4)+O828)/2)+5)*Z828)*IF(OR($E828="Eviolite",$E828="Assault Vest"),1.5,1))</f>
        <v>80</v>
      </c>
      <c r="AG828" s="84">
        <f>INT(INT((INT((2*VLOOKUP($C828,DexData,11,0)+INT(V828/4)+P828)/2)+5)*AA828)*IF($E828="Choice Scarf",1.5,IF($E828="Iron Ball",0.5,1)))</f>
        <v>134</v>
      </c>
      <c r="AH828" s="84" t="str">
        <f>VLOOKUP(VLOOKUP($C828,DexData,3,0),Aliases!D$2:E$19,2,0)&amp;IFERROR("/"&amp;VLOOKUP(VLOOKUP($C828,DexData,4,0),Aliases!D$2:E$19,2,0),"")</f>
        <v>GRS/FTG</v>
      </c>
      <c r="AI828" s="7">
        <v>3.0</v>
      </c>
      <c r="AJ828" s="7">
        <f>IF(VLOOKUP(B828,'Set Odds'!A$2:AN$1067,40,0),1,IF(VLOOKUP(B828,'Set Odds'!A$2:AO$1067,41,0),2,0))</f>
        <v>1</v>
      </c>
      <c r="AK828" s="7"/>
      <c r="AL828" s="7" t="str">
        <f t="shared" si="1"/>
        <v/>
      </c>
    </row>
    <row r="829" ht="12.75" customHeight="1">
      <c r="A829" s="86">
        <v>828.0</v>
      </c>
      <c r="B829" s="84" t="s">
        <v>4409</v>
      </c>
      <c r="C829" s="7" t="s">
        <v>3676</v>
      </c>
      <c r="D829" s="7" t="s">
        <v>2692</v>
      </c>
      <c r="E829" s="7" t="s">
        <v>2665</v>
      </c>
      <c r="F829" s="84" t="s">
        <v>4410</v>
      </c>
      <c r="G829" s="84" t="s">
        <v>3314</v>
      </c>
      <c r="H829" s="84" t="s">
        <v>2667</v>
      </c>
      <c r="I829" s="84" t="s">
        <v>2667</v>
      </c>
      <c r="J829" s="7" t="s">
        <v>2696</v>
      </c>
      <c r="K829" s="7">
        <v>31.0</v>
      </c>
      <c r="L829" s="7">
        <v>31.0</v>
      </c>
      <c r="M829" s="7">
        <v>31.0</v>
      </c>
      <c r="N829" s="7">
        <v>0.0</v>
      </c>
      <c r="O829" s="7">
        <v>31.0</v>
      </c>
      <c r="P829" s="7">
        <v>31.0</v>
      </c>
      <c r="Q829" s="7">
        <v>4.0</v>
      </c>
      <c r="R829" s="7">
        <v>252.0</v>
      </c>
      <c r="S829" s="7">
        <v>0.0</v>
      </c>
      <c r="T829" s="7">
        <v>0.0</v>
      </c>
      <c r="U829" s="7">
        <v>0.0</v>
      </c>
      <c r="V829" s="7">
        <v>252.0</v>
      </c>
      <c r="W829" s="7">
        <f>VLOOKUP($D829,NatureChart,2,0)</f>
        <v>1</v>
      </c>
      <c r="X829" s="7">
        <f>VLOOKUP($D829,NatureChart,3,0)</f>
        <v>1</v>
      </c>
      <c r="Y829" s="7">
        <f>VLOOKUP($D829,NatureChart,4,0)</f>
        <v>0.9</v>
      </c>
      <c r="Z829" s="7">
        <f>VLOOKUP($D829,NatureChart,5,0)</f>
        <v>1</v>
      </c>
      <c r="AA829" s="84">
        <f>VLOOKUP($D829,NatureChart,6,0)</f>
        <v>1.1</v>
      </c>
      <c r="AB829" s="84">
        <f>IF($C829="Shedinja",1,(INT((2*VLOOKUP($C829,DexData,5,0)+INT(Q829/4)+K829)/2)+60))</f>
        <v>161</v>
      </c>
      <c r="AC829" s="84">
        <f>INT(INT((INT((2*VLOOKUP($C829,DexData,6,0)+INT(R829/4)+L829)/2)+5)*W829)*IF($E829="Choice Band",1.5,IF(OR($E829="Mawilite",$E829="Medichamite",$E829="Thick Club"),2,1)))</f>
        <v>172</v>
      </c>
      <c r="AD829" s="84">
        <f>INT(INT((INT((2*VLOOKUP($C829,DexData,7,0)+INT(S829/4)+M829)/2)+5)*X829)*IF($E829="Eviolite",1.5,1))</f>
        <v>90</v>
      </c>
      <c r="AE829" s="84">
        <f>INT(INT((INT((2*VLOOKUP($C829,DexData,9,0)+INT(T829/4)+N829)/2)+5)*Y829)*IF($E829="Choice Specs",1.5,1))</f>
        <v>49</v>
      </c>
      <c r="AF829" s="84">
        <f>INT(INT((INT((2*VLOOKUP($C829,DexData,10,0)+INT(U829/4)+O829)/2)+5)*Z829)*IF(OR($E829="Eviolite",$E829="Assault Vest"),1.5,1))</f>
        <v>80</v>
      </c>
      <c r="AG829" s="84">
        <f>INT(INT((INT((2*VLOOKUP($C829,DexData,11,0)+INT(V829/4)+P829)/2)+5)*AA829)*IF($E829="Choice Scarf",1.5,IF($E829="Iron Ball",0.5,1)))</f>
        <v>250</v>
      </c>
      <c r="AH829" s="84" t="str">
        <f>VLOOKUP(VLOOKUP($C829,DexData,3,0),Aliases!D$2:E$19,2,0)&amp;IFERROR("/"&amp;VLOOKUP(VLOOKUP($C829,DexData,4,0),Aliases!D$2:E$19,2,0),"")</f>
        <v>NRM/FLY</v>
      </c>
      <c r="AI829" s="7">
        <v>3.0</v>
      </c>
      <c r="AJ829" s="7">
        <f>IF(VLOOKUP(B829,'Set Odds'!A$2:AN$1067,40,0),1,IF(VLOOKUP(B829,'Set Odds'!A$2:AO$1067,41,0),2,0))</f>
        <v>1</v>
      </c>
      <c r="AK829" s="7"/>
      <c r="AL829" s="7" t="str">
        <f t="shared" si="1"/>
        <v/>
      </c>
    </row>
    <row r="830" ht="12.75" customHeight="1">
      <c r="A830" s="86">
        <v>829.0</v>
      </c>
      <c r="B830" s="84" t="s">
        <v>4411</v>
      </c>
      <c r="C830" s="7" t="s">
        <v>3678</v>
      </c>
      <c r="D830" s="7" t="s">
        <v>2862</v>
      </c>
      <c r="E830" s="7" t="s">
        <v>4114</v>
      </c>
      <c r="F830" s="84" t="s">
        <v>2880</v>
      </c>
      <c r="G830" s="84" t="s">
        <v>2832</v>
      </c>
      <c r="H830" s="84" t="s">
        <v>3428</v>
      </c>
      <c r="I830" s="84" t="s">
        <v>3168</v>
      </c>
      <c r="J830" s="7" t="s">
        <v>2988</v>
      </c>
      <c r="K830" s="7">
        <v>31.0</v>
      </c>
      <c r="L830" s="7">
        <v>0.0</v>
      </c>
      <c r="M830" s="7">
        <v>31.0</v>
      </c>
      <c r="N830" s="7">
        <v>31.0</v>
      </c>
      <c r="O830" s="7">
        <v>31.0</v>
      </c>
      <c r="P830" s="7">
        <v>31.0</v>
      </c>
      <c r="Q830" s="7">
        <v>252.0</v>
      </c>
      <c r="R830" s="7">
        <v>0.0</v>
      </c>
      <c r="S830" s="7">
        <v>252.0</v>
      </c>
      <c r="T830" s="7">
        <v>4.0</v>
      </c>
      <c r="U830" s="7">
        <v>0.0</v>
      </c>
      <c r="V830" s="7">
        <v>0.0</v>
      </c>
      <c r="W830" s="7">
        <f>VLOOKUP($D830,NatureChart,2,0)</f>
        <v>0.9</v>
      </c>
      <c r="X830" s="7">
        <f>VLOOKUP($D830,NatureChart,3,0)</f>
        <v>1.1</v>
      </c>
      <c r="Y830" s="7">
        <f>VLOOKUP($D830,NatureChart,4,0)</f>
        <v>1</v>
      </c>
      <c r="Z830" s="7">
        <f>VLOOKUP($D830,NatureChart,5,0)</f>
        <v>1</v>
      </c>
      <c r="AA830" s="84">
        <f>VLOOKUP($D830,NatureChart,6,0)</f>
        <v>1</v>
      </c>
      <c r="AB830" s="84">
        <f>IF($C830="Shedinja",1,(INT((2*VLOOKUP($C830,DexData,5,0)+INT(Q830/4)+K830)/2)+60))</f>
        <v>218</v>
      </c>
      <c r="AC830" s="84">
        <f>INT(INT((INT((2*VLOOKUP($C830,DexData,6,0)+INT(R830/4)+L830)/2)+5)*W830)*IF($E830="Choice Band",1.5,IF(OR($E830="Mawilite",$E830="Medichamite",$E830="Thick Club"),2,1)))</f>
        <v>79</v>
      </c>
      <c r="AD830" s="84">
        <f>INT(INT((INT((2*VLOOKUP($C830,DexData,7,0)+INT(S830/4)+M830)/2)+5)*X830)*IF($E830="Eviolite",1.5,1))</f>
        <v>132</v>
      </c>
      <c r="AE830" s="84">
        <f>INT(INT((INT((2*VLOOKUP($C830,DexData,9,0)+INT(T830/4)+N830)/2)+5)*Y830)*IF($E830="Choice Specs",1.5,1))</f>
        <v>113</v>
      </c>
      <c r="AF830" s="84">
        <f>INT(INT((INT((2*VLOOKUP($C830,DexData,10,0)+INT(U830/4)+O830)/2)+5)*Z830)*IF(OR($E830="Eviolite",$E830="Assault Vest"),1.5,1))</f>
        <v>102</v>
      </c>
      <c r="AG830" s="84">
        <f>INT(INT((INT((2*VLOOKUP($C830,DexData,11,0)+INT(V830/4)+P830)/2)+5)*AA830)*IF($E830="Choice Scarf",1.5,IF($E830="Iron Ball",0.5,1)))</f>
        <v>59</v>
      </c>
      <c r="AH830" s="84" t="str">
        <f>VLOOKUP(VLOOKUP($C830,DexData,3,0),Aliases!D$2:E$19,2,0)&amp;IFERROR("/"&amp;VLOOKUP(VLOOKUP($C830,DexData,4,0),Aliases!D$2:E$19,2,0),"")</f>
        <v>WTR/GRD</v>
      </c>
      <c r="AI830" s="7">
        <v>3.0</v>
      </c>
      <c r="AJ830" s="7">
        <f>IF(VLOOKUP(B830,'Set Odds'!A$2:AN$1067,40,0),1,IF(VLOOKUP(B830,'Set Odds'!A$2:AO$1067,41,0),2,0))</f>
        <v>1</v>
      </c>
      <c r="AK830" s="7"/>
      <c r="AL830" s="7" t="str">
        <f t="shared" si="1"/>
        <v/>
      </c>
    </row>
    <row r="831" ht="12.75" customHeight="1">
      <c r="A831" s="86">
        <v>830.0</v>
      </c>
      <c r="B831" s="84" t="s">
        <v>4412</v>
      </c>
      <c r="C831" s="7" t="s">
        <v>3721</v>
      </c>
      <c r="D831" s="7" t="s">
        <v>2862</v>
      </c>
      <c r="E831" s="7" t="s">
        <v>2806</v>
      </c>
      <c r="F831" s="84" t="s">
        <v>3600</v>
      </c>
      <c r="G831" s="84" t="s">
        <v>3052</v>
      </c>
      <c r="H831" s="84" t="s">
        <v>2732</v>
      </c>
      <c r="I831" s="84" t="s">
        <v>3407</v>
      </c>
      <c r="J831" s="7" t="s">
        <v>2714</v>
      </c>
      <c r="K831" s="7">
        <v>31.0</v>
      </c>
      <c r="L831" s="7">
        <v>0.0</v>
      </c>
      <c r="M831" s="7">
        <v>31.0</v>
      </c>
      <c r="N831" s="7">
        <v>31.0</v>
      </c>
      <c r="O831" s="7">
        <v>31.0</v>
      </c>
      <c r="P831" s="7">
        <v>31.0</v>
      </c>
      <c r="Q831" s="7">
        <v>252.0</v>
      </c>
      <c r="R831" s="7">
        <v>0.0</v>
      </c>
      <c r="S831" s="7">
        <v>252.0</v>
      </c>
      <c r="T831" s="7">
        <v>4.0</v>
      </c>
      <c r="U831" s="7">
        <v>0.0</v>
      </c>
      <c r="V831" s="7">
        <v>0.0</v>
      </c>
      <c r="W831" s="7">
        <f>VLOOKUP($D831,NatureChart,2,0)</f>
        <v>0.9</v>
      </c>
      <c r="X831" s="7">
        <f>VLOOKUP($D831,NatureChart,3,0)</f>
        <v>1.1</v>
      </c>
      <c r="Y831" s="7">
        <f>VLOOKUP($D831,NatureChart,4,0)</f>
        <v>1</v>
      </c>
      <c r="Z831" s="7">
        <f>VLOOKUP($D831,NatureChart,5,0)</f>
        <v>1</v>
      </c>
      <c r="AA831" s="84">
        <f>VLOOKUP($D831,NatureChart,6,0)</f>
        <v>1</v>
      </c>
      <c r="AB831" s="84">
        <f>IF($C831="Shedinja",1,(INT((2*VLOOKUP($C831,DexData,5,0)+INT(Q831/4)+K831)/2)+60))</f>
        <v>172</v>
      </c>
      <c r="AC831" s="84">
        <f>INT(INT((INT((2*VLOOKUP($C831,DexData,6,0)+INT(R831/4)+L831)/2)+5)*W831)*IF($E831="Choice Band",1.5,IF(OR($E831="Mawilite",$E831="Medichamite",$E831="Thick Club"),2,1)))</f>
        <v>85</v>
      </c>
      <c r="AD831" s="84">
        <f>INT(INT((INT((2*VLOOKUP($C831,DexData,7,0)+INT(S831/4)+M831)/2)+5)*X831)*IF($E831="Eviolite",1.5,1))</f>
        <v>189</v>
      </c>
      <c r="AE831" s="84">
        <f>INT(INT((INT((2*VLOOKUP($C831,DexData,9,0)+INT(T831/4)+N831)/2)+5)*Y831)*IF($E831="Choice Specs",1.5,1))</f>
        <v>106</v>
      </c>
      <c r="AF831" s="84">
        <f>INT(INT((INT((2*VLOOKUP($C831,DexData,10,0)+INT(U831/4)+O831)/2)+5)*Z831)*IF(OR($E831="Eviolite",$E831="Assault Vest"),1.5,1))</f>
        <v>90</v>
      </c>
      <c r="AG831" s="84">
        <f>INT(INT((INT((2*VLOOKUP($C831,DexData,11,0)+INT(V831/4)+P831)/2)+5)*AA831)*IF($E831="Choice Scarf",1.5,IF($E831="Iron Ball",0.5,1)))</f>
        <v>80</v>
      </c>
      <c r="AH831" s="84" t="str">
        <f>VLOOKUP(VLOOKUP($C831,DexData,3,0),Aliases!D$2:E$19,2,0)&amp;IFERROR("/"&amp;VLOOKUP(VLOOKUP($C831,DexData,4,0),Aliases!D$2:E$19,2,0),"")</f>
        <v>PSN</v>
      </c>
      <c r="AI831" s="7">
        <v>3.0</v>
      </c>
      <c r="AJ831" s="7">
        <f>IF(VLOOKUP(B831,'Set Odds'!A$2:AN$1067,40,0),1,IF(VLOOKUP(B831,'Set Odds'!A$2:AO$1067,41,0),2,0))</f>
        <v>1</v>
      </c>
      <c r="AK831" s="7"/>
      <c r="AL831" s="7" t="str">
        <f t="shared" si="1"/>
        <v/>
      </c>
    </row>
    <row r="832" ht="12.75" customHeight="1">
      <c r="A832" s="86">
        <v>831.0</v>
      </c>
      <c r="B832" s="84" t="s">
        <v>4413</v>
      </c>
      <c r="C832" s="7" t="s">
        <v>3728</v>
      </c>
      <c r="D832" s="7" t="s">
        <v>2635</v>
      </c>
      <c r="E832" s="7" t="s">
        <v>3548</v>
      </c>
      <c r="F832" s="84" t="s">
        <v>3729</v>
      </c>
      <c r="G832" s="84" t="s">
        <v>2661</v>
      </c>
      <c r="H832" s="84" t="s">
        <v>3730</v>
      </c>
      <c r="I832" s="84" t="s">
        <v>3260</v>
      </c>
      <c r="J832" s="7" t="s">
        <v>2958</v>
      </c>
      <c r="K832" s="7">
        <v>31.0</v>
      </c>
      <c r="L832" s="7">
        <v>0.0</v>
      </c>
      <c r="M832" s="7">
        <v>31.0</v>
      </c>
      <c r="N832" s="7">
        <v>31.0</v>
      </c>
      <c r="O832" s="7">
        <v>31.0</v>
      </c>
      <c r="P832" s="7">
        <v>31.0</v>
      </c>
      <c r="Q832" s="7">
        <v>4.0</v>
      </c>
      <c r="R832" s="7">
        <v>0.0</v>
      </c>
      <c r="S832" s="7">
        <v>0.0</v>
      </c>
      <c r="T832" s="7">
        <v>252.0</v>
      </c>
      <c r="U832" s="7">
        <v>0.0</v>
      </c>
      <c r="V832" s="7">
        <v>252.0</v>
      </c>
      <c r="W832" s="7">
        <f>VLOOKUP($D832,NatureChart,2,0)</f>
        <v>0.9</v>
      </c>
      <c r="X832" s="7">
        <f>VLOOKUP($D832,NatureChart,3,0)</f>
        <v>1</v>
      </c>
      <c r="Y832" s="7">
        <f>VLOOKUP($D832,NatureChart,4,0)</f>
        <v>1</v>
      </c>
      <c r="Z832" s="7">
        <f>VLOOKUP($D832,NatureChart,5,0)</f>
        <v>1</v>
      </c>
      <c r="AA832" s="84">
        <f>VLOOKUP($D832,NatureChart,6,0)</f>
        <v>1.1</v>
      </c>
      <c r="AB832" s="84">
        <f>IF($C832="Shedinja",1,(INT((2*VLOOKUP($C832,DexData,5,0)+INT(Q832/4)+K832)/2)+60))</f>
        <v>131</v>
      </c>
      <c r="AC832" s="84">
        <f>INT(INT((INT((2*VLOOKUP($C832,DexData,6,0)+INT(R832/4)+L832)/2)+5)*W832)*IF($E832="Choice Band",1.5,IF(OR($E832="Mawilite",$E832="Medichamite",$E832="Thick Club"),2,1)))</f>
        <v>49</v>
      </c>
      <c r="AD832" s="84">
        <f>INT(INT((INT((2*VLOOKUP($C832,DexData,7,0)+INT(S832/4)+M832)/2)+5)*X832)*IF($E832="Eviolite",1.5,1))</f>
        <v>65</v>
      </c>
      <c r="AE832" s="84">
        <f>INT(INT((INT((2*VLOOKUP($C832,DexData,9,0)+INT(T832/4)+N832)/2)+5)*Y832)*IF($E832="Choice Specs",1.5,1))</f>
        <v>187</v>
      </c>
      <c r="AF832" s="84">
        <f>INT(INT((INT((2*VLOOKUP($C832,DexData,10,0)+INT(U832/4)+O832)/2)+5)*Z832)*IF(OR($E832="Eviolite",$E832="Assault Vest"),1.5,1))</f>
        <v>115</v>
      </c>
      <c r="AG832" s="84">
        <f>INT(INT((INT((2*VLOOKUP($C832,DexData,11,0)+INT(V832/4)+P832)/2)+5)*AA832)*IF($E832="Choice Scarf",1.5,IF($E832="Iron Ball",0.5,1)))</f>
        <v>189</v>
      </c>
      <c r="AH832" s="84" t="str">
        <f>VLOOKUP(VLOOKUP($C832,DexData,3,0),Aliases!D$2:E$19,2,0)&amp;IFERROR("/"&amp;VLOOKUP(VLOOKUP($C832,DexData,4,0),Aliases!D$2:E$19,2,0),"")</f>
        <v>PSY</v>
      </c>
      <c r="AI832" s="7">
        <v>3.0</v>
      </c>
      <c r="AJ832" s="7">
        <f>IF(VLOOKUP(B832,'Set Odds'!A$2:AN$1067,40,0),1,IF(VLOOKUP(B832,'Set Odds'!A$2:AO$1067,41,0),2,0))</f>
        <v>1</v>
      </c>
      <c r="AK832" s="7"/>
      <c r="AL832" s="7" t="str">
        <f t="shared" si="1"/>
        <v/>
      </c>
    </row>
    <row r="833" ht="12.75" customHeight="1">
      <c r="A833" s="86">
        <v>832.0</v>
      </c>
      <c r="B833" s="84" t="s">
        <v>4414</v>
      </c>
      <c r="C833" s="7" t="s">
        <v>3735</v>
      </c>
      <c r="D833" s="7" t="s">
        <v>2571</v>
      </c>
      <c r="E833" s="7" t="s">
        <v>2894</v>
      </c>
      <c r="F833" s="84" t="s">
        <v>2895</v>
      </c>
      <c r="G833" s="84" t="s">
        <v>2867</v>
      </c>
      <c r="H833" s="84" t="s">
        <v>3736</v>
      </c>
      <c r="I833" s="84" t="s">
        <v>2763</v>
      </c>
      <c r="J833" s="7" t="s">
        <v>2968</v>
      </c>
      <c r="K833" s="7">
        <v>31.0</v>
      </c>
      <c r="L833" s="7">
        <v>31.0</v>
      </c>
      <c r="M833" s="7">
        <v>31.0</v>
      </c>
      <c r="N833" s="7">
        <v>0.0</v>
      </c>
      <c r="O833" s="7">
        <v>31.0</v>
      </c>
      <c r="P833" s="7">
        <v>31.0</v>
      </c>
      <c r="Q833" s="7">
        <v>4.0</v>
      </c>
      <c r="R833" s="7">
        <v>252.0</v>
      </c>
      <c r="S833" s="7">
        <v>252.0</v>
      </c>
      <c r="T833" s="7">
        <v>0.0</v>
      </c>
      <c r="U833" s="7">
        <v>0.0</v>
      </c>
      <c r="V833" s="7">
        <v>0.0</v>
      </c>
      <c r="W833" s="7">
        <f>VLOOKUP($D833,NatureChart,2,0)</f>
        <v>1.1</v>
      </c>
      <c r="X833" s="7">
        <f>VLOOKUP($D833,NatureChart,3,0)</f>
        <v>1</v>
      </c>
      <c r="Y833" s="7">
        <f>VLOOKUP($D833,NatureChart,4,0)</f>
        <v>0.9</v>
      </c>
      <c r="Z833" s="7">
        <f>VLOOKUP($D833,NatureChart,5,0)</f>
        <v>1</v>
      </c>
      <c r="AA833" s="84">
        <f>VLOOKUP($D833,NatureChart,6,0)</f>
        <v>1</v>
      </c>
      <c r="AB833" s="84">
        <f>IF($C833="Shedinja",1,(INT((2*VLOOKUP($C833,DexData,5,0)+INT(Q833/4)+K833)/2)+60))</f>
        <v>171</v>
      </c>
      <c r="AC833" s="84">
        <f>INT(INT((INT((2*VLOOKUP($C833,DexData,6,0)+INT(R833/4)+L833)/2)+5)*W833)*IF($E833="Choice Band",1.5,IF(OR($E833="Mawilite",$E833="Medichamite",$E833="Thick Club"),2,1)))</f>
        <v>145</v>
      </c>
      <c r="AD833" s="84">
        <f>INT(INT((INT((2*VLOOKUP($C833,DexData,7,0)+INT(S833/4)+M833)/2)+5)*X833)*IF($E833="Eviolite",1.5,1))</f>
        <v>157</v>
      </c>
      <c r="AE833" s="84">
        <f>INT(INT((INT((2*VLOOKUP($C833,DexData,9,0)+INT(T833/4)+N833)/2)+5)*Y833)*IF($E833="Choice Specs",1.5,1))</f>
        <v>40</v>
      </c>
      <c r="AF833" s="84">
        <f>INT(INT((INT((2*VLOOKUP($C833,DexData,10,0)+INT(U833/4)+O833)/2)+5)*Z833)*IF(OR($E833="Eviolite",$E833="Assault Vest"),1.5,1))</f>
        <v>90</v>
      </c>
      <c r="AG833" s="84">
        <f>INT(INT((INT((2*VLOOKUP($C833,DexData,11,0)+INT(V833/4)+P833)/2)+5)*AA833)*IF($E833="Choice Scarf",1.5,IF($E833="Iron Ball",0.5,1)))</f>
        <v>120</v>
      </c>
      <c r="AH833" s="84" t="str">
        <f>VLOOKUP(VLOOKUP($C833,DexData,3,0),Aliases!D$2:E$19,2,0)&amp;IFERROR("/"&amp;VLOOKUP(VLOOKUP($C833,DexData,4,0),Aliases!D$2:E$19,2,0),"")</f>
        <v>NRM</v>
      </c>
      <c r="AI833" s="7">
        <v>3.0</v>
      </c>
      <c r="AJ833" s="7">
        <f>IF(VLOOKUP(B833,'Set Odds'!A$2:AN$1067,40,0),1,IF(VLOOKUP(B833,'Set Odds'!A$2:AO$1067,41,0),2,0))</f>
        <v>1</v>
      </c>
      <c r="AK833" s="7"/>
      <c r="AL833" s="7" t="str">
        <f t="shared" si="1"/>
        <v/>
      </c>
    </row>
    <row r="834" ht="12.75" customHeight="1">
      <c r="A834" s="86">
        <v>833.0</v>
      </c>
      <c r="B834" s="84" t="s">
        <v>4415</v>
      </c>
      <c r="C834" s="7" t="s">
        <v>3742</v>
      </c>
      <c r="D834" s="7" t="s">
        <v>2656</v>
      </c>
      <c r="E834" s="7" t="s">
        <v>2665</v>
      </c>
      <c r="F834" s="84" t="s">
        <v>3047</v>
      </c>
      <c r="G834" s="84" t="s">
        <v>3730</v>
      </c>
      <c r="H834" s="84" t="s">
        <v>2832</v>
      </c>
      <c r="I834" s="84" t="s">
        <v>3590</v>
      </c>
      <c r="J834" s="7" t="s">
        <v>3049</v>
      </c>
      <c r="K834" s="7">
        <v>31.0</v>
      </c>
      <c r="L834" s="7">
        <v>0.0</v>
      </c>
      <c r="M834" s="7">
        <v>31.0</v>
      </c>
      <c r="N834" s="7">
        <v>31.0</v>
      </c>
      <c r="O834" s="7">
        <v>31.0</v>
      </c>
      <c r="P834" s="7">
        <v>31.0</v>
      </c>
      <c r="Q834" s="7">
        <v>4.0</v>
      </c>
      <c r="R834" s="7">
        <v>0.0</v>
      </c>
      <c r="S834" s="7">
        <v>0.0</v>
      </c>
      <c r="T834" s="7">
        <v>252.0</v>
      </c>
      <c r="U834" s="7">
        <v>0.0</v>
      </c>
      <c r="V834" s="7">
        <v>252.0</v>
      </c>
      <c r="W834" s="7">
        <f>VLOOKUP($D834,NatureChart,2,0)</f>
        <v>0.9</v>
      </c>
      <c r="X834" s="7">
        <f>VLOOKUP($D834,NatureChart,3,0)</f>
        <v>1</v>
      </c>
      <c r="Y834" s="7">
        <f>VLOOKUP($D834,NatureChart,4,0)</f>
        <v>1.1</v>
      </c>
      <c r="Z834" s="7">
        <f>VLOOKUP($D834,NatureChart,5,0)</f>
        <v>1</v>
      </c>
      <c r="AA834" s="84">
        <f>VLOOKUP($D834,NatureChart,6,0)</f>
        <v>1</v>
      </c>
      <c r="AB834" s="84">
        <f>IF($C834="Shedinja",1,(INT((2*VLOOKUP($C834,DexData,5,0)+INT(Q834/4)+K834)/2)+60))</f>
        <v>166</v>
      </c>
      <c r="AC834" s="84">
        <f>INT(INT((INT((2*VLOOKUP($C834,DexData,6,0)+INT(R834/4)+L834)/2)+5)*W834)*IF($E834="Choice Band",1.5,IF(OR($E834="Mawilite",$E834="Medichamite",$E834="Thick Club"),2,1)))</f>
        <v>87</v>
      </c>
      <c r="AD834" s="84">
        <f>INT(INT((INT((2*VLOOKUP($C834,DexData,7,0)+INT(S834/4)+M834)/2)+5)*X834)*IF($E834="Eviolite",1.5,1))</f>
        <v>95</v>
      </c>
      <c r="AE834" s="84">
        <f>INT(INT((INT((2*VLOOKUP($C834,DexData,9,0)+INT(T834/4)+N834)/2)+5)*Y834)*IF($E834="Choice Specs",1.5,1))</f>
        <v>158</v>
      </c>
      <c r="AF834" s="84">
        <f>INT(INT((INT((2*VLOOKUP($C834,DexData,10,0)+INT(U834/4)+O834)/2)+5)*Z834)*IF(OR($E834="Eviolite",$E834="Assault Vest"),1.5,1))</f>
        <v>105</v>
      </c>
      <c r="AG834" s="84">
        <f>INT(INT((INT((2*VLOOKUP($C834,DexData,11,0)+INT(V834/4)+P834)/2)+5)*AA834)*IF($E834="Choice Scarf",1.5,IF($E834="Iron Ball",0.5,1)))</f>
        <v>168</v>
      </c>
      <c r="AH834" s="84" t="str">
        <f>VLOOKUP(VLOOKUP($C834,DexData,3,0),Aliases!D$2:E$19,2,0)&amp;IFERROR("/"&amp;VLOOKUP(VLOOKUP($C834,DexData,4,0),Aliases!D$2:E$19,2,0),"")</f>
        <v>GRS/ICE</v>
      </c>
      <c r="AI834" s="7">
        <v>3.0</v>
      </c>
      <c r="AJ834" s="7">
        <f>IF(VLOOKUP(B834,'Set Odds'!A$2:AN$1067,40,0),1,IF(VLOOKUP(B834,'Set Odds'!A$2:AO$1067,41,0),2,0))</f>
        <v>1</v>
      </c>
      <c r="AK834" s="7"/>
      <c r="AL834" s="7" t="str">
        <f t="shared" si="1"/>
        <v/>
      </c>
    </row>
    <row r="835" ht="12.75" customHeight="1">
      <c r="A835" s="86">
        <v>834.0</v>
      </c>
      <c r="B835" s="84" t="s">
        <v>4416</v>
      </c>
      <c r="C835" s="7" t="s">
        <v>3744</v>
      </c>
      <c r="D835" s="7" t="s">
        <v>2656</v>
      </c>
      <c r="E835" s="7" t="s">
        <v>3548</v>
      </c>
      <c r="F835" s="84" t="s">
        <v>4296</v>
      </c>
      <c r="G835" s="84" t="s">
        <v>2823</v>
      </c>
      <c r="H835" s="84" t="s">
        <v>3435</v>
      </c>
      <c r="I835" s="84" t="s">
        <v>2660</v>
      </c>
      <c r="J835" s="7" t="s">
        <v>3745</v>
      </c>
      <c r="K835" s="7">
        <v>31.0</v>
      </c>
      <c r="L835" s="7">
        <v>0.0</v>
      </c>
      <c r="M835" s="7">
        <v>31.0</v>
      </c>
      <c r="N835" s="7">
        <v>31.0</v>
      </c>
      <c r="O835" s="7">
        <v>31.0</v>
      </c>
      <c r="P835" s="7">
        <v>31.0</v>
      </c>
      <c r="Q835" s="7">
        <v>4.0</v>
      </c>
      <c r="R835" s="7">
        <v>0.0</v>
      </c>
      <c r="S835" s="7">
        <v>0.0</v>
      </c>
      <c r="T835" s="7">
        <v>252.0</v>
      </c>
      <c r="U835" s="7">
        <v>0.0</v>
      </c>
      <c r="V835" s="7">
        <v>252.0</v>
      </c>
      <c r="W835" s="7">
        <f>VLOOKUP($D835,NatureChart,2,0)</f>
        <v>0.9</v>
      </c>
      <c r="X835" s="7">
        <f>VLOOKUP($D835,NatureChart,3,0)</f>
        <v>1</v>
      </c>
      <c r="Y835" s="7">
        <f>VLOOKUP($D835,NatureChart,4,0)</f>
        <v>1.1</v>
      </c>
      <c r="Z835" s="7">
        <f>VLOOKUP($D835,NatureChart,5,0)</f>
        <v>1</v>
      </c>
      <c r="AA835" s="84">
        <f>VLOOKUP($D835,NatureChart,6,0)</f>
        <v>1</v>
      </c>
      <c r="AB835" s="84">
        <f>IF($C835="Shedinja",1,(INT((2*VLOOKUP($C835,DexData,5,0)+INT(Q835/4)+K835)/2)+60))</f>
        <v>166</v>
      </c>
      <c r="AC835" s="84">
        <f>INT(INT((INT((2*VLOOKUP($C835,DexData,6,0)+INT(R835/4)+L835)/2)+5)*W835)*IF($E835="Choice Band",1.5,IF(OR($E835="Mawilite",$E835="Medichamite",$E835="Thick Club"),2,1)))</f>
        <v>87</v>
      </c>
      <c r="AD835" s="84">
        <f>INT(INT((INT((2*VLOOKUP($C835,DexData,7,0)+INT(S835/4)+M835)/2)+5)*X835)*IF($E835="Eviolite",1.5,1))</f>
        <v>107</v>
      </c>
      <c r="AE835" s="84">
        <f>INT(INT((INT((2*VLOOKUP($C835,DexData,9,0)+INT(T835/4)+N835)/2)+5)*Y835)*IF($E835="Choice Specs",1.5,1))</f>
        <v>139</v>
      </c>
      <c r="AF835" s="84">
        <f>INT(INT((INT((2*VLOOKUP($C835,DexData,10,0)+INT(U835/4)+O835)/2)+5)*Z835)*IF(OR($E835="Eviolite",$E835="Assault Vest"),1.5,1))</f>
        <v>105</v>
      </c>
      <c r="AG835" s="84">
        <f>INT(INT((INT((2*VLOOKUP($C835,DexData,11,0)+INT(V835/4)+P835)/2)+5)*AA835)*IF($E835="Choice Scarf",1.5,IF($E835="Iron Ball",0.5,1)))</f>
        <v>128</v>
      </c>
      <c r="AH835" s="84" t="str">
        <f>VLOOKUP(VLOOKUP($C835,DexData,3,0),Aliases!D$2:E$19,2,0)&amp;IFERROR("/"&amp;VLOOKUP(VLOOKUP($C835,DexData,4,0),Aliases!D$2:E$19,2,0),"")</f>
        <v>PSN/GRD</v>
      </c>
      <c r="AI835" s="7">
        <v>3.0</v>
      </c>
      <c r="AJ835" s="7">
        <f>IF(VLOOKUP(B835,'Set Odds'!A$2:AN$1067,40,0),1,IF(VLOOKUP(B835,'Set Odds'!A$2:AO$1067,41,0),2,0))</f>
        <v>1</v>
      </c>
      <c r="AK835" s="7"/>
      <c r="AL835" s="7" t="str">
        <f t="shared" si="1"/>
        <v/>
      </c>
    </row>
    <row r="836" ht="12.75" customHeight="1">
      <c r="A836" s="86">
        <v>835.0</v>
      </c>
      <c r="B836" s="84" t="s">
        <v>4417</v>
      </c>
      <c r="C836" s="7" t="s">
        <v>3747</v>
      </c>
      <c r="D836" s="7" t="s">
        <v>2656</v>
      </c>
      <c r="E836" s="7" t="s">
        <v>3548</v>
      </c>
      <c r="F836" s="84" t="s">
        <v>4296</v>
      </c>
      <c r="G836" s="84" t="s">
        <v>2823</v>
      </c>
      <c r="H836" s="84" t="s">
        <v>3435</v>
      </c>
      <c r="I836" s="84" t="s">
        <v>2660</v>
      </c>
      <c r="J836" s="7" t="s">
        <v>3745</v>
      </c>
      <c r="K836" s="7">
        <v>31.0</v>
      </c>
      <c r="L836" s="7">
        <v>0.0</v>
      </c>
      <c r="M836" s="7">
        <v>31.0</v>
      </c>
      <c r="N836" s="7">
        <v>31.0</v>
      </c>
      <c r="O836" s="7">
        <v>31.0</v>
      </c>
      <c r="P836" s="7">
        <v>31.0</v>
      </c>
      <c r="Q836" s="7">
        <v>4.0</v>
      </c>
      <c r="R836" s="7">
        <v>0.0</v>
      </c>
      <c r="S836" s="7">
        <v>0.0</v>
      </c>
      <c r="T836" s="7">
        <v>252.0</v>
      </c>
      <c r="U836" s="7">
        <v>0.0</v>
      </c>
      <c r="V836" s="7">
        <v>252.0</v>
      </c>
      <c r="W836" s="7">
        <f>VLOOKUP($D836,NatureChart,2,0)</f>
        <v>0.9</v>
      </c>
      <c r="X836" s="7">
        <f>VLOOKUP($D836,NatureChart,3,0)</f>
        <v>1</v>
      </c>
      <c r="Y836" s="7">
        <f>VLOOKUP($D836,NatureChart,4,0)</f>
        <v>1.1</v>
      </c>
      <c r="Z836" s="7">
        <f>VLOOKUP($D836,NatureChart,5,0)</f>
        <v>1</v>
      </c>
      <c r="AA836" s="84">
        <f>VLOOKUP($D836,NatureChart,6,0)</f>
        <v>1</v>
      </c>
      <c r="AB836" s="84">
        <f>IF($C836="Shedinja",1,(INT((2*VLOOKUP($C836,DexData,5,0)+INT(Q836/4)+K836)/2)+60))</f>
        <v>157</v>
      </c>
      <c r="AC836" s="84">
        <f>INT(INT((INT((2*VLOOKUP($C836,DexData,6,0)+INT(R836/4)+L836)/2)+5)*W836)*IF($E836="Choice Band",1.5,IF(OR($E836="Mawilite",$E836="Medichamite",$E836="Thick Club"),2,1)))</f>
        <v>96</v>
      </c>
      <c r="AD836" s="84">
        <f>INT(INT((INT((2*VLOOKUP($C836,DexData,7,0)+INT(S836/4)+M836)/2)+5)*X836)*IF($E836="Eviolite",1.5,1))</f>
        <v>97</v>
      </c>
      <c r="AE836" s="84">
        <f>INT(INT((INT((2*VLOOKUP($C836,DexData,9,0)+INT(T836/4)+N836)/2)+5)*Y836)*IF($E836="Choice Specs",1.5,1))</f>
        <v>150</v>
      </c>
      <c r="AF836" s="84">
        <f>INT(INT((INT((2*VLOOKUP($C836,DexData,10,0)+INT(U836/4)+O836)/2)+5)*Z836)*IF(OR($E836="Eviolite",$E836="Assault Vest"),1.5,1))</f>
        <v>95</v>
      </c>
      <c r="AG836" s="84">
        <f>INT(INT((INT((2*VLOOKUP($C836,DexData,11,0)+INT(V836/4)+P836)/2)+5)*AA836)*IF($E836="Choice Scarf",1.5,IF($E836="Iron Ball",0.5,1)))</f>
        <v>137</v>
      </c>
      <c r="AH836" s="84" t="str">
        <f>VLOOKUP(VLOOKUP($C836,DexData,3,0),Aliases!D$2:E$19,2,0)&amp;IFERROR("/"&amp;VLOOKUP(VLOOKUP($C836,DexData,4,0),Aliases!D$2:E$19,2,0),"")</f>
        <v>PSN/GRD</v>
      </c>
      <c r="AI836" s="7">
        <v>3.0</v>
      </c>
      <c r="AJ836" s="7">
        <f>IF(VLOOKUP(B836,'Set Odds'!A$2:AN$1067,40,0),1,IF(VLOOKUP(B836,'Set Odds'!A$2:AO$1067,41,0),2,0))</f>
        <v>1</v>
      </c>
      <c r="AK836" s="7"/>
      <c r="AL836" s="7" t="str">
        <f t="shared" si="1"/>
        <v/>
      </c>
    </row>
    <row r="837" ht="12.75" customHeight="1">
      <c r="A837" s="86">
        <v>836.0</v>
      </c>
      <c r="B837" s="84" t="s">
        <v>4418</v>
      </c>
      <c r="C837" s="7" t="s">
        <v>3749</v>
      </c>
      <c r="D837" s="7" t="s">
        <v>2862</v>
      </c>
      <c r="E837" s="7" t="s">
        <v>2685</v>
      </c>
      <c r="F837" s="84" t="s">
        <v>2704</v>
      </c>
      <c r="G837" s="84" t="s">
        <v>3052</v>
      </c>
      <c r="H837" s="84" t="s">
        <v>3222</v>
      </c>
      <c r="I837" s="84" t="s">
        <v>2575</v>
      </c>
      <c r="J837" s="7" t="s">
        <v>2988</v>
      </c>
      <c r="K837" s="7">
        <v>31.0</v>
      </c>
      <c r="L837" s="7">
        <v>0.0</v>
      </c>
      <c r="M837" s="7">
        <v>31.0</v>
      </c>
      <c r="N837" s="7">
        <v>31.0</v>
      </c>
      <c r="O837" s="7">
        <v>31.0</v>
      </c>
      <c r="P837" s="7">
        <v>31.0</v>
      </c>
      <c r="Q837" s="7">
        <v>252.0</v>
      </c>
      <c r="R837" s="7">
        <v>0.0</v>
      </c>
      <c r="S837" s="7">
        <v>252.0</v>
      </c>
      <c r="T837" s="7">
        <v>4.0</v>
      </c>
      <c r="U837" s="7">
        <v>0.0</v>
      </c>
      <c r="V837" s="7">
        <v>0.0</v>
      </c>
      <c r="W837" s="7">
        <f>VLOOKUP($D837,NatureChart,2,0)</f>
        <v>0.9</v>
      </c>
      <c r="X837" s="7">
        <f>VLOOKUP($D837,NatureChart,3,0)</f>
        <v>1.1</v>
      </c>
      <c r="Y837" s="7">
        <f>VLOOKUP($D837,NatureChart,4,0)</f>
        <v>1</v>
      </c>
      <c r="Z837" s="7">
        <f>VLOOKUP($D837,NatureChart,5,0)</f>
        <v>1</v>
      </c>
      <c r="AA837" s="84">
        <f>VLOOKUP($D837,NatureChart,6,0)</f>
        <v>1</v>
      </c>
      <c r="AB837" s="84">
        <f>IF($C837="Shedinja",1,(INT((2*VLOOKUP($C837,DexData,5,0)+INT(Q837/4)+K837)/2)+60))</f>
        <v>193</v>
      </c>
      <c r="AC837" s="84">
        <f>INT(INT((INT((2*VLOOKUP($C837,DexData,6,0)+INT(R837/4)+L837)/2)+5)*W837)*IF($E837="Choice Band",1.5,IF(OR($E837="Mawilite",$E837="Medichamite",$E837="Thick Club"),2,1)))</f>
        <v>77</v>
      </c>
      <c r="AD837" s="84">
        <f>INT(INT((INT((2*VLOOKUP($C837,DexData,7,0)+INT(S837/4)+M837)/2)+5)*X837)*IF($E837="Eviolite",1.5,1))</f>
        <v>163</v>
      </c>
      <c r="AE837" s="84">
        <f>INT(INT((INT((2*VLOOKUP($C837,DexData,9,0)+INT(T837/4)+N837)/2)+5)*Y837)*IF($E837="Choice Specs",1.5,1))</f>
        <v>102</v>
      </c>
      <c r="AF837" s="84">
        <f>INT(INT((INT((2*VLOOKUP($C837,DexData,10,0)+INT(U837/4)+O837)/2)+5)*Z837)*IF(OR($E837="Eviolite",$E837="Assault Vest"),1.5,1))</f>
        <v>127</v>
      </c>
      <c r="AG837" s="84">
        <f>INT(INT((INT((2*VLOOKUP($C837,DexData,11,0)+INT(V837/4)+P837)/2)+5)*AA837)*IF($E837="Choice Scarf",1.5,IF($E837="Iron Ball",0.5,1)))</f>
        <v>63</v>
      </c>
      <c r="AH837" s="84" t="str">
        <f>VLOOKUP(VLOOKUP($C837,DexData,3,0),Aliases!D$2:E$19,2,0)&amp;IFERROR("/"&amp;VLOOKUP(VLOOKUP($C837,DexData,4,0),Aliases!D$2:E$19,2,0),"")</f>
        <v>RCK/GRS</v>
      </c>
      <c r="AI837" s="7">
        <v>3.0</v>
      </c>
      <c r="AJ837" s="7">
        <f>IF(VLOOKUP(B837,'Set Odds'!A$2:AN$1067,40,0),1,IF(VLOOKUP(B837,'Set Odds'!A$2:AO$1067,41,0),2,0))</f>
        <v>1</v>
      </c>
      <c r="AK837" s="7"/>
      <c r="AL837" s="7" t="str">
        <f t="shared" si="1"/>
        <v/>
      </c>
    </row>
    <row r="838" ht="12.75" customHeight="1">
      <c r="A838" s="86">
        <v>837.0</v>
      </c>
      <c r="B838" s="84" t="s">
        <v>4419</v>
      </c>
      <c r="C838" s="7" t="s">
        <v>3761</v>
      </c>
      <c r="D838" s="7" t="s">
        <v>2635</v>
      </c>
      <c r="E838" s="7" t="s">
        <v>2636</v>
      </c>
      <c r="F838" s="84" t="s">
        <v>3130</v>
      </c>
      <c r="G838" s="84" t="s">
        <v>2732</v>
      </c>
      <c r="H838" s="84" t="s">
        <v>3687</v>
      </c>
      <c r="I838" s="84" t="s">
        <v>2530</v>
      </c>
      <c r="J838" s="7" t="s">
        <v>3763</v>
      </c>
      <c r="K838" s="7">
        <v>31.0</v>
      </c>
      <c r="L838" s="7">
        <v>0.0</v>
      </c>
      <c r="M838" s="7">
        <v>31.0</v>
      </c>
      <c r="N838" s="7">
        <v>31.0</v>
      </c>
      <c r="O838" s="7">
        <v>31.0</v>
      </c>
      <c r="P838" s="7">
        <v>31.0</v>
      </c>
      <c r="Q838" s="7">
        <v>252.0</v>
      </c>
      <c r="R838" s="7">
        <v>0.0</v>
      </c>
      <c r="S838" s="7">
        <v>4.0</v>
      </c>
      <c r="T838" s="7">
        <v>0.0</v>
      </c>
      <c r="U838" s="7">
        <v>0.0</v>
      </c>
      <c r="V838" s="7">
        <v>252.0</v>
      </c>
      <c r="W838" s="7">
        <f>VLOOKUP($D838,NatureChart,2,0)</f>
        <v>0.9</v>
      </c>
      <c r="X838" s="7">
        <f>VLOOKUP($D838,NatureChart,3,0)</f>
        <v>1</v>
      </c>
      <c r="Y838" s="7">
        <f>VLOOKUP($D838,NatureChart,4,0)</f>
        <v>1</v>
      </c>
      <c r="Z838" s="7">
        <f>VLOOKUP($D838,NatureChart,5,0)</f>
        <v>1</v>
      </c>
      <c r="AA838" s="84">
        <f>VLOOKUP($D838,NatureChart,6,0)</f>
        <v>1.1</v>
      </c>
      <c r="AB838" s="84">
        <f>IF($C838="Shedinja",1,(INT((2*VLOOKUP($C838,DexData,5,0)+INT(Q838/4)+K838)/2)+60))</f>
        <v>257</v>
      </c>
      <c r="AC838" s="84">
        <f>INT(INT((INT((2*VLOOKUP($C838,DexData,6,0)+INT(R838/4)+L838)/2)+5)*W838)*IF($E838="Choice Band",1.5,IF(OR($E838="Mawilite",$E838="Medichamite",$E838="Thick Club"),2,1)))</f>
        <v>76</v>
      </c>
      <c r="AD838" s="84">
        <f>INT(INT((INT((2*VLOOKUP($C838,DexData,7,0)+INT(S838/4)+M838)/2)+5)*X838)*IF($E838="Eviolite",1.5,1))</f>
        <v>65</v>
      </c>
      <c r="AE838" s="84">
        <f>INT(INT((INT((2*VLOOKUP($C838,DexData,9,0)+INT(T838/4)+N838)/2)+5)*Y838)*IF($E838="Choice Specs",1.5,1))</f>
        <v>110</v>
      </c>
      <c r="AF838" s="84">
        <f>INT(INT((INT((2*VLOOKUP($C838,DexData,10,0)+INT(U838/4)+O838)/2)+5)*Z838)*IF(OR($E838="Eviolite",$E838="Assault Vest"),1.5,1))</f>
        <v>74</v>
      </c>
      <c r="AG838" s="84">
        <f>INT(INT((INT((2*VLOOKUP($C838,DexData,11,0)+INT(V838/4)+P838)/2)+5)*AA838)*IF($E838="Choice Scarf",1.5,IF($E838="Iron Ball",0.5,1)))</f>
        <v>145</v>
      </c>
      <c r="AH838" s="84" t="str">
        <f>VLOOKUP(VLOOKUP($C838,DexData,3,0),Aliases!D$2:E$19,2,0)&amp;IFERROR("/"&amp;VLOOKUP(VLOOKUP($C838,DexData,4,0),Aliases!D$2:E$19,2,0),"")</f>
        <v>GHO/FLY</v>
      </c>
      <c r="AI838" s="7">
        <v>3.0</v>
      </c>
      <c r="AJ838" s="7">
        <f>IF(VLOOKUP(B838,'Set Odds'!A$2:AN$1067,40,0),1,IF(VLOOKUP(B838,'Set Odds'!A$2:AO$1067,41,0),2,0))</f>
        <v>1</v>
      </c>
      <c r="AK838" s="7"/>
      <c r="AL838" s="7" t="str">
        <f t="shared" si="1"/>
        <v/>
      </c>
    </row>
    <row r="839" ht="12.75" customHeight="1">
      <c r="A839" s="86">
        <v>838.0</v>
      </c>
      <c r="B839" s="84" t="s">
        <v>4420</v>
      </c>
      <c r="C839" s="7" t="s">
        <v>3774</v>
      </c>
      <c r="D839" s="7" t="s">
        <v>2635</v>
      </c>
      <c r="E839" s="7" t="s">
        <v>2515</v>
      </c>
      <c r="F839" s="84" t="s">
        <v>2661</v>
      </c>
      <c r="G839" s="84" t="s">
        <v>3052</v>
      </c>
      <c r="H839" s="84" t="s">
        <v>4033</v>
      </c>
      <c r="I839" s="84" t="s">
        <v>3260</v>
      </c>
      <c r="J839" s="7" t="s">
        <v>3496</v>
      </c>
      <c r="K839" s="7">
        <v>31.0</v>
      </c>
      <c r="L839" s="7">
        <v>0.0</v>
      </c>
      <c r="M839" s="7">
        <v>31.0</v>
      </c>
      <c r="N839" s="7">
        <v>31.0</v>
      </c>
      <c r="O839" s="7">
        <v>31.0</v>
      </c>
      <c r="P839" s="7">
        <v>31.0</v>
      </c>
      <c r="Q839" s="7">
        <v>4.0</v>
      </c>
      <c r="R839" s="7">
        <v>0.0</v>
      </c>
      <c r="S839" s="7">
        <v>0.0</v>
      </c>
      <c r="T839" s="7">
        <v>252.0</v>
      </c>
      <c r="U839" s="7">
        <v>0.0</v>
      </c>
      <c r="V839" s="7">
        <v>252.0</v>
      </c>
      <c r="W839" s="7">
        <f>VLOOKUP($D839,NatureChart,2,0)</f>
        <v>0.9</v>
      </c>
      <c r="X839" s="7">
        <f>VLOOKUP($D839,NatureChart,3,0)</f>
        <v>1</v>
      </c>
      <c r="Y839" s="7">
        <f>VLOOKUP($D839,NatureChart,4,0)</f>
        <v>1</v>
      </c>
      <c r="Z839" s="7">
        <f>VLOOKUP($D839,NatureChart,5,0)</f>
        <v>1</v>
      </c>
      <c r="AA839" s="84">
        <f>VLOOKUP($D839,NatureChart,6,0)</f>
        <v>1.1</v>
      </c>
      <c r="AB839" s="84">
        <f>IF($C839="Shedinja",1,(INT((2*VLOOKUP($C839,DexData,5,0)+INT(Q839/4)+K839)/2)+60))</f>
        <v>136</v>
      </c>
      <c r="AC839" s="84">
        <f>INT(INT((INT((2*VLOOKUP($C839,DexData,6,0)+INT(R839/4)+L839)/2)+5)*W839)*IF($E839="Choice Band",1.5,IF(OR($E839="Mawilite",$E839="Medichamite",$E839="Thick Club"),2,1)))</f>
        <v>63</v>
      </c>
      <c r="AD839" s="84">
        <f>INT(INT((INT((2*VLOOKUP($C839,DexData,7,0)+INT(S839/4)+M839)/2)+5)*X839)*IF($E839="Eviolite",1.5,1))</f>
        <v>80</v>
      </c>
      <c r="AE839" s="84">
        <f>INT(INT((INT((2*VLOOKUP($C839,DexData,9,0)+INT(T839/4)+N839)/2)+5)*Y839)*IF($E839="Choice Specs",1.5,1))</f>
        <v>182</v>
      </c>
      <c r="AF839" s="84">
        <f>INT(INT((INT((2*VLOOKUP($C839,DexData,10,0)+INT(U839/4)+O839)/2)+5)*Z839)*IF(OR($E839="Eviolite",$E839="Assault Vest"),1.5,1))</f>
        <v>95</v>
      </c>
      <c r="AG839" s="84">
        <f>INT(INT((INT((2*VLOOKUP($C839,DexData,11,0)+INT(V839/4)+P839)/2)+5)*AA839)*IF($E839="Choice Scarf",1.5,IF($E839="Iron Ball",0.5,1)))</f>
        <v>178</v>
      </c>
      <c r="AH839" s="84" t="str">
        <f>VLOOKUP(VLOOKUP($C839,DexData,3,0),Aliases!D$2:E$19,2,0)&amp;IFERROR("/"&amp;VLOOKUP(VLOOKUP($C839,DexData,4,0),Aliases!D$2:E$19,2,0),"")</f>
        <v>GHO/PSN</v>
      </c>
      <c r="AI839" s="7">
        <v>3.0</v>
      </c>
      <c r="AJ839" s="7">
        <f>IF(VLOOKUP(B839,'Set Odds'!A$2:AN$1067,40,0),1,IF(VLOOKUP(B839,'Set Odds'!A$2:AO$1067,41,0),2,0))</f>
        <v>1</v>
      </c>
      <c r="AK839" s="7"/>
      <c r="AL839" s="7" t="str">
        <f t="shared" si="1"/>
        <v/>
      </c>
    </row>
    <row r="840" ht="12.75" customHeight="1">
      <c r="A840" s="86">
        <v>839.0</v>
      </c>
      <c r="B840" s="84" t="s">
        <v>4421</v>
      </c>
      <c r="C840" s="7" t="s">
        <v>3779</v>
      </c>
      <c r="D840" s="7" t="s">
        <v>2862</v>
      </c>
      <c r="E840" s="7" t="s">
        <v>2636</v>
      </c>
      <c r="F840" s="84" t="s">
        <v>2880</v>
      </c>
      <c r="G840" s="84" t="s">
        <v>2823</v>
      </c>
      <c r="H840" s="84" t="s">
        <v>2517</v>
      </c>
      <c r="I840" s="84" t="s">
        <v>3640</v>
      </c>
      <c r="J840" s="7" t="s">
        <v>3399</v>
      </c>
      <c r="K840" s="7">
        <v>31.0</v>
      </c>
      <c r="L840" s="7">
        <v>0.0</v>
      </c>
      <c r="M840" s="7">
        <v>31.0</v>
      </c>
      <c r="N840" s="7">
        <v>31.0</v>
      </c>
      <c r="O840" s="7">
        <v>31.0</v>
      </c>
      <c r="P840" s="7">
        <v>31.0</v>
      </c>
      <c r="Q840" s="7">
        <v>252.0</v>
      </c>
      <c r="R840" s="7">
        <v>0.0</v>
      </c>
      <c r="S840" s="7">
        <v>4.0</v>
      </c>
      <c r="T840" s="7">
        <v>0.0</v>
      </c>
      <c r="U840" s="7">
        <v>0.0</v>
      </c>
      <c r="V840" s="7">
        <v>252.0</v>
      </c>
      <c r="W840" s="7">
        <f>VLOOKUP($D840,NatureChart,2,0)</f>
        <v>0.9</v>
      </c>
      <c r="X840" s="7">
        <f>VLOOKUP($D840,NatureChart,3,0)</f>
        <v>1.1</v>
      </c>
      <c r="Y840" s="7">
        <f>VLOOKUP($D840,NatureChart,4,0)</f>
        <v>1</v>
      </c>
      <c r="Z840" s="7">
        <f>VLOOKUP($D840,NatureChart,5,0)</f>
        <v>1</v>
      </c>
      <c r="AA840" s="84">
        <f>VLOOKUP($D840,NatureChart,6,0)</f>
        <v>1</v>
      </c>
      <c r="AB840" s="84">
        <f>IF($C840="Shedinja",1,(INT((2*VLOOKUP($C840,DexData,5,0)+INT(Q840/4)+K840)/2)+60))</f>
        <v>197</v>
      </c>
      <c r="AC840" s="84">
        <f>INT(INT((INT((2*VLOOKUP($C840,DexData,6,0)+INT(R840/4)+L840)/2)+5)*W840)*IF($E840="Choice Band",1.5,IF(OR($E840="Mawilite",$E840="Medichamite",$E840="Thick Club"),2,1)))</f>
        <v>72</v>
      </c>
      <c r="AD840" s="84">
        <f>INT(INT((INT((2*VLOOKUP($C840,DexData,7,0)+INT(S840/4)+M840)/2)+5)*X840)*IF($E840="Eviolite",1.5,1))</f>
        <v>105</v>
      </c>
      <c r="AE840" s="84">
        <f>INT(INT((INT((2*VLOOKUP($C840,DexData,9,0)+INT(T840/4)+N840)/2)+5)*Y840)*IF($E840="Choice Specs",1.5,1))</f>
        <v>110</v>
      </c>
      <c r="AF840" s="84">
        <f>INT(INT((INT((2*VLOOKUP($C840,DexData,10,0)+INT(U840/4)+O840)/2)+5)*Z840)*IF(OR($E840="Eviolite",$E840="Assault Vest"),1.5,1))</f>
        <v>120</v>
      </c>
      <c r="AG840" s="84">
        <f>INT(INT((INT((2*VLOOKUP($C840,DexData,11,0)+INT(V840/4)+P840)/2)+5)*AA840)*IF($E840="Choice Scarf",1.5,IF($E840="Iron Ball",0.5,1)))</f>
        <v>122</v>
      </c>
      <c r="AH840" s="84" t="str">
        <f>VLOOKUP(VLOOKUP($C840,DexData,3,0),Aliases!D$2:E$19,2,0)&amp;IFERROR("/"&amp;VLOOKUP(VLOOKUP($C840,DexData,4,0),Aliases!D$2:E$19,2,0),"")</f>
        <v>WTR</v>
      </c>
      <c r="AI840" s="7">
        <v>3.0</v>
      </c>
      <c r="AJ840" s="7">
        <f>IF(VLOOKUP(B840,'Set Odds'!A$2:AN$1067,40,0),1,IF(VLOOKUP(B840,'Set Odds'!A$2:AO$1067,41,0),2,0))</f>
        <v>1</v>
      </c>
      <c r="AK840" s="7"/>
      <c r="AL840" s="7" t="str">
        <f t="shared" si="1"/>
        <v/>
      </c>
    </row>
    <row r="841" ht="12.75" customHeight="1">
      <c r="A841" s="86">
        <v>840.0</v>
      </c>
      <c r="B841" s="84" t="s">
        <v>4422</v>
      </c>
      <c r="C841" s="7" t="s">
        <v>3783</v>
      </c>
      <c r="D841" s="7" t="s">
        <v>2571</v>
      </c>
      <c r="E841" s="7" t="s">
        <v>2636</v>
      </c>
      <c r="F841" s="84" t="s">
        <v>3784</v>
      </c>
      <c r="G841" s="84" t="s">
        <v>2890</v>
      </c>
      <c r="H841" s="84" t="s">
        <v>3448</v>
      </c>
      <c r="I841" s="84" t="s">
        <v>3113</v>
      </c>
      <c r="J841" s="7" t="s">
        <v>3412</v>
      </c>
      <c r="K841" s="7">
        <v>31.0</v>
      </c>
      <c r="L841" s="7">
        <v>31.0</v>
      </c>
      <c r="M841" s="7">
        <v>31.0</v>
      </c>
      <c r="N841" s="7">
        <v>0.0</v>
      </c>
      <c r="O841" s="7">
        <v>31.0</v>
      </c>
      <c r="P841" s="7">
        <v>31.0</v>
      </c>
      <c r="Q841" s="7">
        <v>236.0</v>
      </c>
      <c r="R841" s="7">
        <v>252.0</v>
      </c>
      <c r="S841" s="7">
        <v>20.0</v>
      </c>
      <c r="T841" s="7">
        <v>0.0</v>
      </c>
      <c r="U841" s="7">
        <v>0.0</v>
      </c>
      <c r="V841" s="7">
        <v>0.0</v>
      </c>
      <c r="W841" s="7">
        <f>VLOOKUP($D841,NatureChart,2,0)</f>
        <v>1.1</v>
      </c>
      <c r="X841" s="7">
        <f>VLOOKUP($D841,NatureChart,3,0)</f>
        <v>1</v>
      </c>
      <c r="Y841" s="7">
        <f>VLOOKUP($D841,NatureChart,4,0)</f>
        <v>0.9</v>
      </c>
      <c r="Z841" s="7">
        <f>VLOOKUP($D841,NatureChart,5,0)</f>
        <v>1</v>
      </c>
      <c r="AA841" s="84">
        <f>VLOOKUP($D841,NatureChart,6,0)</f>
        <v>1</v>
      </c>
      <c r="AB841" s="84">
        <f>IF($C841="Shedinja",1,(INT((2*VLOOKUP($C841,DexData,5,0)+INT(Q841/4)+K841)/2)+60))</f>
        <v>175</v>
      </c>
      <c r="AC841" s="84">
        <f>INT(INT((INT((2*VLOOKUP($C841,DexData,6,0)+INT(R841/4)+L841)/2)+5)*W841)*IF($E841="Choice Band",1.5,IF(OR($E841="Mawilite",$E841="Medichamite",$E841="Thick Club"),2,1)))</f>
        <v>200</v>
      </c>
      <c r="AD841" s="84">
        <f>INT(INT((INT((2*VLOOKUP($C841,DexData,7,0)+INT(S841/4)+M841)/2)+5)*X841)*IF($E841="Eviolite",1.5,1))</f>
        <v>123</v>
      </c>
      <c r="AE841" s="84">
        <f>INT(INT((INT((2*VLOOKUP($C841,DexData,9,0)+INT(T841/4)+N841)/2)+5)*Y841)*IF($E841="Choice Specs",1.5,1))</f>
        <v>54</v>
      </c>
      <c r="AF841" s="84">
        <f>INT(INT((INT((2*VLOOKUP($C841,DexData,10,0)+INT(U841/4)+O841)/2)+5)*Z841)*IF(OR($E841="Eviolite",$E841="Assault Vest"),1.5,1))</f>
        <v>100</v>
      </c>
      <c r="AG841" s="84">
        <f>INT(INT((INT((2*VLOOKUP($C841,DexData,11,0)+INT(V841/4)+P841)/2)+5)*AA841)*IF($E841="Choice Scarf",1.5,IF($E841="Iron Ball",0.5,1)))</f>
        <v>85</v>
      </c>
      <c r="AH841" s="84" t="str">
        <f>VLOOKUP(VLOOKUP($C841,DexData,3,0),Aliases!D$2:E$19,2,0)&amp;IFERROR("/"&amp;VLOOKUP(VLOOKUP($C841,DexData,4,0),Aliases!D$2:E$19,2,0),"")</f>
        <v>BUG/STL</v>
      </c>
      <c r="AI841" s="7">
        <v>3.0</v>
      </c>
      <c r="AJ841" s="7">
        <f>IF(VLOOKUP(B841,'Set Odds'!A$2:AN$1067,40,0),1,IF(VLOOKUP(B841,'Set Odds'!A$2:AO$1067,41,0),2,0))</f>
        <v>1</v>
      </c>
      <c r="AK841" s="7"/>
      <c r="AL841" s="7" t="str">
        <f t="shared" si="1"/>
        <v/>
      </c>
    </row>
    <row r="842" ht="12.75" customHeight="1">
      <c r="A842" s="86">
        <v>841.0</v>
      </c>
      <c r="B842" s="84" t="s">
        <v>4423</v>
      </c>
      <c r="C842" s="7" t="s">
        <v>3786</v>
      </c>
      <c r="D842" s="7" t="s">
        <v>2692</v>
      </c>
      <c r="E842" s="7" t="s">
        <v>3726</v>
      </c>
      <c r="F842" s="84" t="s">
        <v>3787</v>
      </c>
      <c r="G842" s="84" t="s">
        <v>3441</v>
      </c>
      <c r="H842" s="84" t="s">
        <v>3253</v>
      </c>
      <c r="I842" s="84" t="s">
        <v>2886</v>
      </c>
      <c r="J842" s="7" t="s">
        <v>3788</v>
      </c>
      <c r="K842" s="7">
        <v>31.0</v>
      </c>
      <c r="L842" s="7">
        <v>31.0</v>
      </c>
      <c r="M842" s="7">
        <v>31.0</v>
      </c>
      <c r="N842" s="7">
        <v>31.0</v>
      </c>
      <c r="O842" s="7">
        <v>31.0</v>
      </c>
      <c r="P842" s="7">
        <v>31.0</v>
      </c>
      <c r="Q842" s="7">
        <v>4.0</v>
      </c>
      <c r="R842" s="7">
        <v>252.0</v>
      </c>
      <c r="S842" s="7">
        <v>0.0</v>
      </c>
      <c r="T842" s="7">
        <v>0.0</v>
      </c>
      <c r="U842" s="7">
        <v>0.0</v>
      </c>
      <c r="V842" s="7">
        <v>252.0</v>
      </c>
      <c r="W842" s="7">
        <f>VLOOKUP($D842,NatureChart,2,0)</f>
        <v>1</v>
      </c>
      <c r="X842" s="7">
        <f>VLOOKUP($D842,NatureChart,3,0)</f>
        <v>1</v>
      </c>
      <c r="Y842" s="7">
        <f>VLOOKUP($D842,NatureChart,4,0)</f>
        <v>0.9</v>
      </c>
      <c r="Z842" s="7">
        <f>VLOOKUP($D842,NatureChart,5,0)</f>
        <v>1</v>
      </c>
      <c r="AA842" s="84">
        <f>VLOOKUP($D842,NatureChart,6,0)</f>
        <v>1.1</v>
      </c>
      <c r="AB842" s="84">
        <f>IF($C842="Shedinja",1,(INT((2*VLOOKUP($C842,DexData,5,0)+INT(Q842/4)+K842)/2)+60))</f>
        <v>156</v>
      </c>
      <c r="AC842" s="84">
        <f>INT(INT((INT((2*VLOOKUP($C842,DexData,6,0)+INT(R842/4)+L842)/2)+5)*W842)*IF($E842="Choice Band",1.5,IF(OR($E842="Mawilite",$E842="Medichamite",$E842="Thick Club"),2,1)))</f>
        <v>177</v>
      </c>
      <c r="AD842" s="84">
        <f>INT(INT((INT((2*VLOOKUP($C842,DexData,7,0)+INT(S842/4)+M842)/2)+5)*X842)*IF($E842="Eviolite",1.5,1))</f>
        <v>95</v>
      </c>
      <c r="AE842" s="84">
        <f>INT(INT((INT((2*VLOOKUP($C842,DexData,9,0)+INT(T842/4)+N842)/2)+5)*Y842)*IF($E842="Choice Specs",1.5,1))</f>
        <v>54</v>
      </c>
      <c r="AF842" s="84">
        <f>INT(INT((INT((2*VLOOKUP($C842,DexData,10,0)+INT(U842/4)+O842)/2)+5)*Z842)*IF(OR($E842="Eviolite",$E842="Assault Vest"),1.5,1))</f>
        <v>115</v>
      </c>
      <c r="AG842" s="84">
        <f>INT(INT((INT((2*VLOOKUP($C842,DexData,11,0)+INT(V842/4)+P842)/2)+5)*AA842)*IF($E842="Choice Scarf",1.5,IF($E842="Iron Ball",0.5,1)))</f>
        <v>150</v>
      </c>
      <c r="AH842" s="84" t="str">
        <f>VLOOKUP(VLOOKUP($C842,DexData,3,0),Aliases!D$2:E$19,2,0)&amp;IFERROR("/"&amp;VLOOKUP(VLOOKUP($C842,DexData,4,0),Aliases!D$2:E$19,2,0),"")</f>
        <v>BUG/FTG</v>
      </c>
      <c r="AI842" s="7">
        <v>3.0</v>
      </c>
      <c r="AJ842" s="7">
        <f>IF(VLOOKUP(B842,'Set Odds'!A$2:AN$1067,40,0),1,IF(VLOOKUP(B842,'Set Odds'!A$2:AO$1067,41,0),2,0))</f>
        <v>1</v>
      </c>
      <c r="AK842" s="7"/>
      <c r="AL842" s="7" t="str">
        <f t="shared" si="1"/>
        <v/>
      </c>
    </row>
    <row r="843" ht="12.75" customHeight="1">
      <c r="A843" s="86">
        <v>842.0</v>
      </c>
      <c r="B843" s="84" t="s">
        <v>4424</v>
      </c>
      <c r="C843" s="7" t="s">
        <v>4210</v>
      </c>
      <c r="D843" s="7" t="s">
        <v>2635</v>
      </c>
      <c r="E843" s="7" t="s">
        <v>2524</v>
      </c>
      <c r="F843" s="84" t="s">
        <v>2526</v>
      </c>
      <c r="G843" s="84" t="s">
        <v>3768</v>
      </c>
      <c r="H843" s="84" t="s">
        <v>3185</v>
      </c>
      <c r="I843" s="84" t="s">
        <v>3448</v>
      </c>
      <c r="J843" s="7" t="s">
        <v>3499</v>
      </c>
      <c r="K843" s="7">
        <v>31.0</v>
      </c>
      <c r="L843" s="7">
        <v>0.0</v>
      </c>
      <c r="M843" s="7">
        <v>31.0</v>
      </c>
      <c r="N843" s="7">
        <v>31.0</v>
      </c>
      <c r="O843" s="7">
        <v>31.0</v>
      </c>
      <c r="P843" s="7">
        <v>31.0</v>
      </c>
      <c r="Q843" s="7">
        <v>252.0</v>
      </c>
      <c r="R843" s="7">
        <v>0.0</v>
      </c>
      <c r="S843" s="7">
        <v>4.0</v>
      </c>
      <c r="T843" s="7">
        <v>0.0</v>
      </c>
      <c r="U843" s="7">
        <v>0.0</v>
      </c>
      <c r="V843" s="7">
        <v>252.0</v>
      </c>
      <c r="W843" s="7">
        <f>VLOOKUP($D843,NatureChart,2,0)</f>
        <v>0.9</v>
      </c>
      <c r="X843" s="7">
        <f>VLOOKUP($D843,NatureChart,3,0)</f>
        <v>1</v>
      </c>
      <c r="Y843" s="7">
        <f>VLOOKUP($D843,NatureChart,4,0)</f>
        <v>1</v>
      </c>
      <c r="Z843" s="7">
        <f>VLOOKUP($D843,NatureChart,5,0)</f>
        <v>1</v>
      </c>
      <c r="AA843" s="84">
        <f>VLOOKUP($D843,NatureChart,6,0)</f>
        <v>1.1</v>
      </c>
      <c r="AB843" s="84">
        <f>IF($C843="Shedinja",1,(INT((2*VLOOKUP($C843,DexData,5,0)+INT(Q843/4)+K843)/2)+60))</f>
        <v>197</v>
      </c>
      <c r="AC843" s="84">
        <f>INT(INT((INT((2*VLOOKUP($C843,DexData,6,0)+INT(R843/4)+L843)/2)+5)*W843)*IF($E843="Choice Band",1.5,IF(OR($E843="Mawilite",$E843="Medichamite",$E843="Thick Club"),2,1)))</f>
        <v>81</v>
      </c>
      <c r="AD843" s="84">
        <f>INT(INT((INT((2*VLOOKUP($C843,DexData,7,0)+INT(S843/4)+M843)/2)+5)*X843)*IF($E843="Eviolite",1.5,1))</f>
        <v>121</v>
      </c>
      <c r="AE843" s="84">
        <f>INT(INT((INT((2*VLOOKUP($C843,DexData,9,0)+INT(T843/4)+N843)/2)+5)*Y843)*IF($E843="Choice Specs",1.5,1))</f>
        <v>115</v>
      </c>
      <c r="AF843" s="84">
        <f>INT(INT((INT((2*VLOOKUP($C843,DexData,10,0)+INT(U843/4)+O843)/2)+5)*Z843)*IF(OR($E843="Eviolite",$E843="Assault Vest"),1.5,1))</f>
        <v>145</v>
      </c>
      <c r="AG843" s="84">
        <f>INT(INT((INT((2*VLOOKUP($C843,DexData,11,0)+INT(V843/4)+P843)/2)+5)*AA843)*IF($E843="Choice Scarf",1.5,IF($E843="Iron Ball",0.5,1)))</f>
        <v>150</v>
      </c>
      <c r="AH843" s="84" t="str">
        <f>VLOOKUP(VLOOKUP($C843,DexData,3,0),Aliases!D$2:E$19,2,0)&amp;IFERROR("/"&amp;VLOOKUP(VLOOKUP($C843,DexData,4,0),Aliases!D$2:E$19,2,0),"")</f>
        <v>ICE/FLY</v>
      </c>
      <c r="AI843" s="7">
        <v>3.0</v>
      </c>
      <c r="AJ843" s="7">
        <f>IF(VLOOKUP(B843,'Set Odds'!A$2:AN$1067,40,0),1,IF(VLOOKUP(B843,'Set Odds'!A$2:AO$1067,41,0),2,0))</f>
        <v>1</v>
      </c>
      <c r="AK843" s="7"/>
      <c r="AL843" s="7" t="str">
        <f t="shared" si="1"/>
        <v/>
      </c>
    </row>
    <row r="844" ht="12.75" customHeight="1">
      <c r="A844" s="86">
        <v>843.0</v>
      </c>
      <c r="B844" s="84" t="s">
        <v>4425</v>
      </c>
      <c r="C844" s="7" t="s">
        <v>4212</v>
      </c>
      <c r="D844" s="7" t="s">
        <v>2862</v>
      </c>
      <c r="E844" s="7" t="s">
        <v>3148</v>
      </c>
      <c r="F844" s="84" t="s">
        <v>3278</v>
      </c>
      <c r="G844" s="84" t="s">
        <v>3523</v>
      </c>
      <c r="H844" s="84" t="s">
        <v>3448</v>
      </c>
      <c r="I844" s="84" t="s">
        <v>4109</v>
      </c>
      <c r="J844" s="7" t="s">
        <v>3136</v>
      </c>
      <c r="K844" s="7">
        <v>31.0</v>
      </c>
      <c r="L844" s="7">
        <v>0.0</v>
      </c>
      <c r="M844" s="7">
        <v>31.0</v>
      </c>
      <c r="N844" s="7">
        <v>31.0</v>
      </c>
      <c r="O844" s="7">
        <v>31.0</v>
      </c>
      <c r="P844" s="7">
        <v>31.0</v>
      </c>
      <c r="Q844" s="7">
        <v>252.0</v>
      </c>
      <c r="R844" s="7">
        <v>0.0</v>
      </c>
      <c r="S844" s="7">
        <v>252.0</v>
      </c>
      <c r="T844" s="7">
        <v>4.0</v>
      </c>
      <c r="U844" s="7">
        <v>0.0</v>
      </c>
      <c r="V844" s="7">
        <v>0.0</v>
      </c>
      <c r="W844" s="7">
        <f>VLOOKUP($D844,NatureChart,2,0)</f>
        <v>0.9</v>
      </c>
      <c r="X844" s="7">
        <f>VLOOKUP($D844,NatureChart,3,0)</f>
        <v>1.1</v>
      </c>
      <c r="Y844" s="7">
        <f>VLOOKUP($D844,NatureChart,4,0)</f>
        <v>1</v>
      </c>
      <c r="Z844" s="7">
        <f>VLOOKUP($D844,NatureChart,5,0)</f>
        <v>1</v>
      </c>
      <c r="AA844" s="84">
        <f>VLOOKUP($D844,NatureChart,6,0)</f>
        <v>1</v>
      </c>
      <c r="AB844" s="84">
        <f>IF($C844="Shedinja",1,(INT((2*VLOOKUP($C844,DexData,5,0)+INT(Q844/4)+K844)/2)+60))</f>
        <v>197</v>
      </c>
      <c r="AC844" s="84">
        <f>INT(INT((INT((2*VLOOKUP($C844,DexData,6,0)+INT(R844/4)+L844)/2)+5)*W844)*IF($E844="Choice Band",1.5,IF(OR($E844="Mawilite",$E844="Medichamite",$E844="Thick Club"),2,1)))</f>
        <v>85</v>
      </c>
      <c r="AD844" s="84">
        <f>INT(INT((INT((2*VLOOKUP($C844,DexData,7,0)+INT(S844/4)+M844)/2)+5)*X844)*IF($E844="Eviolite",1.5,1))</f>
        <v>150</v>
      </c>
      <c r="AE844" s="84">
        <f>INT(INT((INT((2*VLOOKUP($C844,DexData,9,0)+INT(T844/4)+N844)/2)+5)*Y844)*IF($E844="Choice Specs",1.5,1))</f>
        <v>146</v>
      </c>
      <c r="AF844" s="84">
        <f>INT(INT((INT((2*VLOOKUP($C844,DexData,10,0)+INT(U844/4)+O844)/2)+5)*Z844)*IF(OR($E844="Eviolite",$E844="Assault Vest"),1.5,1))</f>
        <v>110</v>
      </c>
      <c r="AG844" s="84">
        <f>INT(INT((INT((2*VLOOKUP($C844,DexData,11,0)+INT(V844/4)+P844)/2)+5)*AA844)*IF($E844="Choice Scarf",1.5,IF($E844="Iron Ball",0.5,1)))</f>
        <v>120</v>
      </c>
      <c r="AH844" s="84" t="str">
        <f>VLOOKUP(VLOOKUP($C844,DexData,3,0),Aliases!D$2:E$19,2,0)&amp;IFERROR("/"&amp;VLOOKUP(VLOOKUP($C844,DexData,4,0),Aliases!D$2:E$19,2,0),"")</f>
        <v>ELC/FLY</v>
      </c>
      <c r="AI844" s="7">
        <v>3.0</v>
      </c>
      <c r="AJ844" s="7">
        <f>IF(VLOOKUP(B844,'Set Odds'!A$2:AN$1067,40,0),1,IF(VLOOKUP(B844,'Set Odds'!A$2:AO$1067,41,0),2,0))</f>
        <v>1</v>
      </c>
      <c r="AK844" s="7"/>
      <c r="AL844" s="7" t="str">
        <f t="shared" si="1"/>
        <v/>
      </c>
    </row>
    <row r="845" ht="12.75" customHeight="1">
      <c r="A845" s="86">
        <v>844.0</v>
      </c>
      <c r="B845" s="84" t="s">
        <v>4426</v>
      </c>
      <c r="C845" s="7" t="s">
        <v>4215</v>
      </c>
      <c r="D845" s="7" t="s">
        <v>2862</v>
      </c>
      <c r="E845" s="7" t="s">
        <v>2528</v>
      </c>
      <c r="F845" s="84" t="s">
        <v>4072</v>
      </c>
      <c r="G845" s="84" t="s">
        <v>4109</v>
      </c>
      <c r="H845" s="84" t="s">
        <v>2732</v>
      </c>
      <c r="I845" s="84" t="s">
        <v>3448</v>
      </c>
      <c r="J845" s="7" t="s">
        <v>3162</v>
      </c>
      <c r="K845" s="7">
        <v>31.0</v>
      </c>
      <c r="L845" s="7">
        <v>0.0</v>
      </c>
      <c r="M845" s="7">
        <v>31.0</v>
      </c>
      <c r="N845" s="7">
        <v>31.0</v>
      </c>
      <c r="O845" s="7">
        <v>31.0</v>
      </c>
      <c r="P845" s="7">
        <v>31.0</v>
      </c>
      <c r="Q845" s="7">
        <v>252.0</v>
      </c>
      <c r="R845" s="7">
        <v>0.0</v>
      </c>
      <c r="S845" s="7">
        <v>252.0</v>
      </c>
      <c r="T845" s="7">
        <v>4.0</v>
      </c>
      <c r="U845" s="7">
        <v>0.0</v>
      </c>
      <c r="V845" s="7">
        <v>0.0</v>
      </c>
      <c r="W845" s="7">
        <f>VLOOKUP($D845,NatureChart,2,0)</f>
        <v>0.9</v>
      </c>
      <c r="X845" s="7">
        <f>VLOOKUP($D845,NatureChart,3,0)</f>
        <v>1.1</v>
      </c>
      <c r="Y845" s="7">
        <f>VLOOKUP($D845,NatureChart,4,0)</f>
        <v>1</v>
      </c>
      <c r="Z845" s="7">
        <f>VLOOKUP($D845,NatureChart,5,0)</f>
        <v>1</v>
      </c>
      <c r="AA845" s="84">
        <f>VLOOKUP($D845,NatureChart,6,0)</f>
        <v>1</v>
      </c>
      <c r="AB845" s="84">
        <f>IF($C845="Shedinja",1,(INT((2*VLOOKUP($C845,DexData,5,0)+INT(Q845/4)+K845)/2)+60))</f>
        <v>197</v>
      </c>
      <c r="AC845" s="84">
        <f>INT(INT((INT((2*VLOOKUP($C845,DexData,6,0)+INT(R845/4)+L845)/2)+5)*W845)*IF($E845="Choice Band",1.5,IF(OR($E845="Mawilite",$E845="Medichamite",$E845="Thick Club"),2,1)))</f>
        <v>94</v>
      </c>
      <c r="AD845" s="84">
        <f>INT(INT((INT((2*VLOOKUP($C845,DexData,7,0)+INT(S845/4)+M845)/2)+5)*X845)*IF($E845="Eviolite",1.5,1))</f>
        <v>156</v>
      </c>
      <c r="AE845" s="84">
        <f>INT(INT((INT((2*VLOOKUP($C845,DexData,9,0)+INT(T845/4)+N845)/2)+5)*Y845)*IF($E845="Choice Specs",1.5,1))</f>
        <v>146</v>
      </c>
      <c r="AF845" s="84">
        <f>INT(INT((INT((2*VLOOKUP($C845,DexData,10,0)+INT(U845/4)+O845)/2)+5)*Z845)*IF(OR($E845="Eviolite",$E845="Assault Vest"),1.5,1))</f>
        <v>105</v>
      </c>
      <c r="AG845" s="84">
        <f>INT(INT((INT((2*VLOOKUP($C845,DexData,11,0)+INT(V845/4)+P845)/2)+5)*AA845)*IF($E845="Choice Scarf",1.5,IF($E845="Iron Ball",0.5,1)))</f>
        <v>110</v>
      </c>
      <c r="AH845" s="84" t="str">
        <f>VLOOKUP(VLOOKUP($C845,DexData,3,0),Aliases!D$2:E$19,2,0)&amp;IFERROR("/"&amp;VLOOKUP(VLOOKUP($C845,DexData,4,0),Aliases!D$2:E$19,2,0),"")</f>
        <v>FIR/FLY</v>
      </c>
      <c r="AI845" s="7">
        <v>3.0</v>
      </c>
      <c r="AJ845" s="7">
        <f>IF(VLOOKUP(B845,'Set Odds'!A$2:AN$1067,40,0),1,IF(VLOOKUP(B845,'Set Odds'!A$2:AO$1067,41,0),2,0))</f>
        <v>1</v>
      </c>
      <c r="AK845" s="7"/>
      <c r="AL845" s="7" t="str">
        <f t="shared" si="1"/>
        <v/>
      </c>
    </row>
    <row r="846" ht="12.75" customHeight="1">
      <c r="A846" s="86">
        <v>845.0</v>
      </c>
      <c r="B846" s="84" t="s">
        <v>4427</v>
      </c>
      <c r="C846" s="7" t="s">
        <v>4217</v>
      </c>
      <c r="D846" s="7" t="s">
        <v>2635</v>
      </c>
      <c r="E846" s="7" t="s">
        <v>3522</v>
      </c>
      <c r="F846" s="84" t="s">
        <v>3435</v>
      </c>
      <c r="G846" s="84" t="s">
        <v>3523</v>
      </c>
      <c r="H846" s="84" t="s">
        <v>2661</v>
      </c>
      <c r="I846" s="84" t="s">
        <v>2880</v>
      </c>
      <c r="J846" s="7" t="s">
        <v>3233</v>
      </c>
      <c r="K846" s="7">
        <v>31.0</v>
      </c>
      <c r="L846" s="7">
        <v>0.0</v>
      </c>
      <c r="M846" s="7">
        <v>31.0</v>
      </c>
      <c r="N846" s="7">
        <v>31.0</v>
      </c>
      <c r="O846" s="7">
        <v>31.0</v>
      </c>
      <c r="P846" s="7">
        <v>31.0</v>
      </c>
      <c r="Q846" s="7">
        <v>4.0</v>
      </c>
      <c r="R846" s="7">
        <v>0.0</v>
      </c>
      <c r="S846" s="7">
        <v>0.0</v>
      </c>
      <c r="T846" s="7">
        <v>252.0</v>
      </c>
      <c r="U846" s="7">
        <v>0.0</v>
      </c>
      <c r="V846" s="7">
        <v>252.0</v>
      </c>
      <c r="W846" s="7">
        <f>VLOOKUP($D846,NatureChart,2,0)</f>
        <v>0.9</v>
      </c>
      <c r="X846" s="7">
        <f>VLOOKUP($D846,NatureChart,3,0)</f>
        <v>1</v>
      </c>
      <c r="Y846" s="7">
        <f>VLOOKUP($D846,NatureChart,4,0)</f>
        <v>1</v>
      </c>
      <c r="Z846" s="7">
        <f>VLOOKUP($D846,NatureChart,5,0)</f>
        <v>1</v>
      </c>
      <c r="AA846" s="84">
        <f>VLOOKUP($D846,NatureChart,6,0)</f>
        <v>1.1</v>
      </c>
      <c r="AB846" s="84">
        <f>IF($C846="Shedinja",1,(INT((2*VLOOKUP($C846,DexData,5,0)+INT(Q846/4)+K846)/2)+60))</f>
        <v>166</v>
      </c>
      <c r="AC846" s="84">
        <f>INT(INT((INT((2*VLOOKUP($C846,DexData,6,0)+INT(R846/4)+L846)/2)+5)*W846)*IF($E846="Choice Band",1.5,IF(OR($E846="Mawilite",$E846="Medichamite",$E846="Thick Club"),2,1)))</f>
        <v>81</v>
      </c>
      <c r="AD846" s="84">
        <f>INT(INT((INT((2*VLOOKUP($C846,DexData,7,0)+INT(S846/4)+M846)/2)+5)*X846)*IF($E846="Eviolite",1.5,1))</f>
        <v>95</v>
      </c>
      <c r="AE846" s="84">
        <f>INT(INT((INT((2*VLOOKUP($C846,DexData,9,0)+INT(T846/4)+N846)/2)+5)*Y846)*IF($E846="Choice Specs",1.5,1))</f>
        <v>250</v>
      </c>
      <c r="AF846" s="84">
        <f>INT(INT((INT((2*VLOOKUP($C846,DexData,10,0)+INT(U846/4)+O846)/2)+5)*Z846)*IF(OR($E846="Eviolite",$E846="Assault Vest"),1.5,1))</f>
        <v>120</v>
      </c>
      <c r="AG846" s="84">
        <f>INT(INT((INT((2*VLOOKUP($C846,DexData,11,0)+INT(V846/4)+P846)/2)+5)*AA846)*IF($E846="Choice Scarf",1.5,IF($E846="Iron Ball",0.5,1)))</f>
        <v>183</v>
      </c>
      <c r="AH846" s="84" t="str">
        <f>VLOOKUP(VLOOKUP($C846,DexData,3,0),Aliases!D$2:E$19,2,0)&amp;IFERROR("/"&amp;VLOOKUP(VLOOKUP($C846,DexData,4,0),Aliases!D$2:E$19,2,0),"")</f>
        <v>ELC</v>
      </c>
      <c r="AI846" s="7">
        <v>3.0</v>
      </c>
      <c r="AJ846" s="7">
        <f>IF(VLOOKUP(B846,'Set Odds'!A$2:AN$1067,40,0),1,IF(VLOOKUP(B846,'Set Odds'!A$2:AO$1067,41,0),2,0))</f>
        <v>1</v>
      </c>
      <c r="AK846" s="7"/>
      <c r="AL846" s="7" t="str">
        <f t="shared" si="1"/>
        <v/>
      </c>
    </row>
    <row r="847" ht="12.75" customHeight="1">
      <c r="A847" s="86">
        <v>846.0</v>
      </c>
      <c r="B847" s="84" t="s">
        <v>4428</v>
      </c>
      <c r="C847" s="7" t="s">
        <v>4219</v>
      </c>
      <c r="D847" s="7" t="s">
        <v>2571</v>
      </c>
      <c r="E847" s="7" t="s">
        <v>2885</v>
      </c>
      <c r="F847" s="84" t="s">
        <v>4429</v>
      </c>
      <c r="G847" s="84" t="s">
        <v>3360</v>
      </c>
      <c r="H847" s="84" t="s">
        <v>3015</v>
      </c>
      <c r="I847" s="84" t="s">
        <v>3441</v>
      </c>
      <c r="J847" s="7" t="s">
        <v>3233</v>
      </c>
      <c r="K847" s="7">
        <v>31.0</v>
      </c>
      <c r="L847" s="7">
        <v>31.0</v>
      </c>
      <c r="M847" s="7">
        <v>31.0</v>
      </c>
      <c r="N847" s="7">
        <v>0.0</v>
      </c>
      <c r="O847" s="7">
        <v>31.0</v>
      </c>
      <c r="P847" s="7">
        <v>31.0</v>
      </c>
      <c r="Q847" s="7">
        <v>4.0</v>
      </c>
      <c r="R847" s="7">
        <v>252.0</v>
      </c>
      <c r="S847" s="7">
        <v>0.0</v>
      </c>
      <c r="T847" s="7">
        <v>0.0</v>
      </c>
      <c r="U847" s="7">
        <v>0.0</v>
      </c>
      <c r="V847" s="7">
        <v>252.0</v>
      </c>
      <c r="W847" s="7">
        <f>VLOOKUP($D847,NatureChart,2,0)</f>
        <v>1.1</v>
      </c>
      <c r="X847" s="7">
        <f>VLOOKUP($D847,NatureChart,3,0)</f>
        <v>1</v>
      </c>
      <c r="Y847" s="7">
        <f>VLOOKUP($D847,NatureChart,4,0)</f>
        <v>0.9</v>
      </c>
      <c r="Z847" s="7">
        <f>VLOOKUP($D847,NatureChart,5,0)</f>
        <v>1</v>
      </c>
      <c r="AA847" s="84">
        <f>VLOOKUP($D847,NatureChart,6,0)</f>
        <v>1</v>
      </c>
      <c r="AB847" s="84">
        <f>IF($C847="Shedinja",1,(INT((2*VLOOKUP($C847,DexData,5,0)+INT(Q847/4)+K847)/2)+60))</f>
        <v>191</v>
      </c>
      <c r="AC847" s="84">
        <f>INT(INT((INT((2*VLOOKUP($C847,DexData,6,0)+INT(R847/4)+L847)/2)+5)*W847)*IF($E847="Choice Band",1.5,IF(OR($E847="Mawilite",$E847="Medichamite",$E847="Thick Club"),2,1)))</f>
        <v>274</v>
      </c>
      <c r="AD847" s="84">
        <f>INT(INT((INT((2*VLOOKUP($C847,DexData,7,0)+INT(S847/4)+M847)/2)+5)*X847)*IF($E847="Eviolite",1.5,1))</f>
        <v>105</v>
      </c>
      <c r="AE847" s="84">
        <f>INT(INT((INT((2*VLOOKUP($C847,DexData,9,0)+INT(T847/4)+N847)/2)+5)*Y847)*IF($E847="Choice Specs",1.5,1))</f>
        <v>85</v>
      </c>
      <c r="AF847" s="84">
        <f>INT(INT((INT((2*VLOOKUP($C847,DexData,10,0)+INT(U847/4)+O847)/2)+5)*Z847)*IF(OR($E847="Eviolite",$E847="Assault Vest"),1.5,1))</f>
        <v>95</v>
      </c>
      <c r="AG847" s="84">
        <f>INT(INT((INT((2*VLOOKUP($C847,DexData,11,0)+INT(V847/4)+P847)/2)+5)*AA847)*IF($E847="Choice Scarf",1.5,IF($E847="Iron Ball",0.5,1)))</f>
        <v>152</v>
      </c>
      <c r="AH847" s="84" t="str">
        <f>VLOOKUP(VLOOKUP($C847,DexData,3,0),Aliases!D$2:E$19,2,0)&amp;IFERROR("/"&amp;VLOOKUP(VLOOKUP($C847,DexData,4,0),Aliases!D$2:E$19,2,0),"")</f>
        <v>FIR</v>
      </c>
      <c r="AI847" s="7">
        <v>3.0</v>
      </c>
      <c r="AJ847" s="7">
        <f>IF(VLOOKUP(B847,'Set Odds'!A$2:AN$1067,40,0),1,IF(VLOOKUP(B847,'Set Odds'!A$2:AO$1067,41,0),2,0))</f>
        <v>1</v>
      </c>
      <c r="AK847" s="7"/>
      <c r="AL847" s="7" t="str">
        <f t="shared" si="1"/>
        <v/>
      </c>
    </row>
    <row r="848" ht="12.75" customHeight="1">
      <c r="A848" s="86">
        <v>847.0</v>
      </c>
      <c r="B848" s="84" t="s">
        <v>4430</v>
      </c>
      <c r="C848" s="7" t="s">
        <v>4222</v>
      </c>
      <c r="D848" s="7" t="s">
        <v>2862</v>
      </c>
      <c r="E848" s="7" t="s">
        <v>2685</v>
      </c>
      <c r="F848" s="84" t="s">
        <v>2841</v>
      </c>
      <c r="G848" s="84" t="s">
        <v>3510</v>
      </c>
      <c r="H848" s="84" t="s">
        <v>2880</v>
      </c>
      <c r="I848" s="84" t="s">
        <v>2823</v>
      </c>
      <c r="J848" s="7" t="s">
        <v>3499</v>
      </c>
      <c r="K848" s="7">
        <v>31.0</v>
      </c>
      <c r="L848" s="7">
        <v>0.0</v>
      </c>
      <c r="M848" s="7">
        <v>31.0</v>
      </c>
      <c r="N848" s="7">
        <v>31.0</v>
      </c>
      <c r="O848" s="7">
        <v>31.0</v>
      </c>
      <c r="P848" s="7">
        <v>31.0</v>
      </c>
      <c r="Q848" s="7">
        <v>252.0</v>
      </c>
      <c r="R848" s="7">
        <v>0.0</v>
      </c>
      <c r="S848" s="7">
        <v>252.0</v>
      </c>
      <c r="T848" s="7">
        <v>4.0</v>
      </c>
      <c r="U848" s="7">
        <v>0.0</v>
      </c>
      <c r="V848" s="7">
        <v>0.0</v>
      </c>
      <c r="W848" s="7">
        <f>VLOOKUP($D848,NatureChart,2,0)</f>
        <v>0.9</v>
      </c>
      <c r="X848" s="7">
        <f>VLOOKUP($D848,NatureChart,3,0)</f>
        <v>1.1</v>
      </c>
      <c r="Y848" s="7">
        <f>VLOOKUP($D848,NatureChart,4,0)</f>
        <v>1</v>
      </c>
      <c r="Z848" s="7">
        <f>VLOOKUP($D848,NatureChart,5,0)</f>
        <v>1</v>
      </c>
      <c r="AA848" s="84">
        <f>VLOOKUP($D848,NatureChart,6,0)</f>
        <v>1</v>
      </c>
      <c r="AB848" s="84">
        <f>IF($C848="Shedinja",1,(INT((2*VLOOKUP($C848,DexData,5,0)+INT(Q848/4)+K848)/2)+60))</f>
        <v>207</v>
      </c>
      <c r="AC848" s="84">
        <f>INT(INT((INT((2*VLOOKUP($C848,DexData,6,0)+INT(R848/4)+L848)/2)+5)*W848)*IF($E848="Choice Band",1.5,IF(OR($E848="Mawilite",$E848="Medichamite",$E848="Thick Club"),2,1)))</f>
        <v>72</v>
      </c>
      <c r="AD848" s="84">
        <f>INT(INT((INT((2*VLOOKUP($C848,DexData,7,0)+INT(S848/4)+M848)/2)+5)*X848)*IF($E848="Eviolite",1.5,1))</f>
        <v>183</v>
      </c>
      <c r="AE848" s="84">
        <f>INT(INT((INT((2*VLOOKUP($C848,DexData,9,0)+INT(T848/4)+N848)/2)+5)*Y848)*IF($E848="Choice Specs",1.5,1))</f>
        <v>111</v>
      </c>
      <c r="AF848" s="84">
        <f>INT(INT((INT((2*VLOOKUP($C848,DexData,10,0)+INT(U848/4)+O848)/2)+5)*Z848)*IF(OR($E848="Eviolite",$E848="Assault Vest"),1.5,1))</f>
        <v>135</v>
      </c>
      <c r="AG848" s="84">
        <f>INT(INT((INT((2*VLOOKUP($C848,DexData,11,0)+INT(V848/4)+P848)/2)+5)*AA848)*IF($E848="Choice Scarf",1.5,IF($E848="Iron Ball",0.5,1)))</f>
        <v>105</v>
      </c>
      <c r="AH848" s="84" t="str">
        <f>VLOOKUP(VLOOKUP($C848,DexData,3,0),Aliases!D$2:E$19,2,0)&amp;IFERROR("/"&amp;VLOOKUP(VLOOKUP($C848,DexData,4,0),Aliases!D$2:E$19,2,0),"")</f>
        <v>WTR</v>
      </c>
      <c r="AI848" s="7">
        <v>3.0</v>
      </c>
      <c r="AJ848" s="7">
        <f>IF(VLOOKUP(B848,'Set Odds'!A$2:AN$1067,40,0),1,IF(VLOOKUP(B848,'Set Odds'!A$2:AO$1067,41,0),2,0))</f>
        <v>1</v>
      </c>
      <c r="AK848" s="7"/>
      <c r="AL848" s="7" t="str">
        <f t="shared" si="1"/>
        <v/>
      </c>
    </row>
    <row r="849" ht="12.75" customHeight="1">
      <c r="A849" s="86">
        <v>848.0</v>
      </c>
      <c r="B849" s="84" t="s">
        <v>4431</v>
      </c>
      <c r="C849" s="7" t="s">
        <v>4224</v>
      </c>
      <c r="D849" s="7" t="s">
        <v>2571</v>
      </c>
      <c r="E849" s="7" t="s">
        <v>2790</v>
      </c>
      <c r="F849" s="84" t="s">
        <v>3800</v>
      </c>
      <c r="G849" s="84" t="s">
        <v>3454</v>
      </c>
      <c r="H849" s="84" t="s">
        <v>3441</v>
      </c>
      <c r="I849" s="84" t="s">
        <v>4053</v>
      </c>
      <c r="J849" s="7" t="s">
        <v>2728</v>
      </c>
      <c r="K849" s="7">
        <v>31.0</v>
      </c>
      <c r="L849" s="7">
        <v>31.0</v>
      </c>
      <c r="M849" s="7">
        <v>31.0</v>
      </c>
      <c r="N849" s="7">
        <v>0.0</v>
      </c>
      <c r="O849" s="7">
        <v>31.0</v>
      </c>
      <c r="P849" s="7">
        <v>31.0</v>
      </c>
      <c r="Q849" s="7">
        <v>0.0</v>
      </c>
      <c r="R849" s="7">
        <v>252.0</v>
      </c>
      <c r="S849" s="7">
        <v>4.0</v>
      </c>
      <c r="T849" s="7">
        <v>0.0</v>
      </c>
      <c r="U849" s="7">
        <v>0.0</v>
      </c>
      <c r="V849" s="7">
        <v>252.0</v>
      </c>
      <c r="W849" s="7">
        <f>VLOOKUP($D849,NatureChart,2,0)</f>
        <v>1.1</v>
      </c>
      <c r="X849" s="7">
        <f>VLOOKUP($D849,NatureChart,3,0)</f>
        <v>1</v>
      </c>
      <c r="Y849" s="7">
        <f>VLOOKUP($D849,NatureChart,4,0)</f>
        <v>0.9</v>
      </c>
      <c r="Z849" s="7">
        <f>VLOOKUP($D849,NatureChart,5,0)</f>
        <v>1</v>
      </c>
      <c r="AA849" s="84">
        <f>VLOOKUP($D849,NatureChart,6,0)</f>
        <v>1</v>
      </c>
      <c r="AB849" s="84">
        <f>IF($C849="Shedinja",1,(INT((2*VLOOKUP($C849,DexData,5,0)+INT(Q849/4)+K849)/2)+60))</f>
        <v>155</v>
      </c>
      <c r="AC849" s="84">
        <f>INT(INT((INT((2*VLOOKUP($C849,DexData,6,0)+INT(R849/4)+L849)/2)+5)*W849)*IF($E849="Choice Band",1.5,IF(OR($E849="Mawilite",$E849="Medichamite",$E849="Thick Club"),2,1)))</f>
        <v>167</v>
      </c>
      <c r="AD849" s="84">
        <f>INT(INT((INT((2*VLOOKUP($C849,DexData,7,0)+INT(S849/4)+M849)/2)+5)*X849)*IF($E849="Eviolite",1.5,1))</f>
        <v>221</v>
      </c>
      <c r="AE849" s="84">
        <f>INT(INT((INT((2*VLOOKUP($C849,DexData,9,0)+INT(T849/4)+N849)/2)+5)*Y849)*IF($E849="Choice Specs",1.5,1))</f>
        <v>49</v>
      </c>
      <c r="AF849" s="84">
        <f>INT(INT((INT((2*VLOOKUP($C849,DexData,10,0)+INT(U849/4)+O849)/2)+5)*Z849)*IF(OR($E849="Eviolite",$E849="Assault Vest"),1.5,1))</f>
        <v>120</v>
      </c>
      <c r="AG849" s="84">
        <f>INT(INT((INT((2*VLOOKUP($C849,DexData,11,0)+INT(V849/4)+P849)/2)+5)*AA849)*IF($E849="Choice Scarf",1.5,IF($E849="Iron Ball",0.5,1)))</f>
        <v>102</v>
      </c>
      <c r="AH849" s="84" t="str">
        <f>VLOOKUP(VLOOKUP($C849,DexData,3,0),Aliases!D$2:E$19,2,0)&amp;IFERROR("/"&amp;VLOOKUP(VLOOKUP($C849,DexData,4,0),Aliases!D$2:E$19,2,0),"")</f>
        <v>RCK</v>
      </c>
      <c r="AI849" s="7">
        <v>3.0</v>
      </c>
      <c r="AJ849" s="7">
        <f>IF(VLOOKUP(B849,'Set Odds'!A$2:AN$1067,40,0),1,IF(VLOOKUP(B849,'Set Odds'!A$2:AO$1067,41,0),2,0))</f>
        <v>1</v>
      </c>
      <c r="AK849" s="7"/>
      <c r="AL849" s="7" t="str">
        <f t="shared" si="1"/>
        <v/>
      </c>
    </row>
    <row r="850" ht="12.75" customHeight="1">
      <c r="A850" s="86">
        <v>849.0</v>
      </c>
      <c r="B850" s="84" t="s">
        <v>4432</v>
      </c>
      <c r="C850" s="7" t="s">
        <v>4226</v>
      </c>
      <c r="D850" s="7" t="s">
        <v>2827</v>
      </c>
      <c r="E850" s="7" t="s">
        <v>4102</v>
      </c>
      <c r="F850" s="84" t="s">
        <v>4025</v>
      </c>
      <c r="G850" s="84" t="s">
        <v>3047</v>
      </c>
      <c r="H850" s="84" t="s">
        <v>3590</v>
      </c>
      <c r="I850" s="84" t="s">
        <v>3524</v>
      </c>
      <c r="J850" s="7" t="s">
        <v>3370</v>
      </c>
      <c r="K850" s="7">
        <v>31.0</v>
      </c>
      <c r="L850" s="7">
        <v>0.0</v>
      </c>
      <c r="M850" s="7">
        <v>31.0</v>
      </c>
      <c r="N850" s="7">
        <v>31.0</v>
      </c>
      <c r="O850" s="7">
        <v>31.0</v>
      </c>
      <c r="P850" s="7">
        <v>31.0</v>
      </c>
      <c r="Q850" s="7">
        <v>252.0</v>
      </c>
      <c r="R850" s="7">
        <v>0.0</v>
      </c>
      <c r="S850" s="7">
        <v>4.0</v>
      </c>
      <c r="T850" s="7">
        <v>252.0</v>
      </c>
      <c r="U850" s="7">
        <v>0.0</v>
      </c>
      <c r="V850" s="7">
        <v>0.0</v>
      </c>
      <c r="W850" s="7">
        <f>VLOOKUP($D850,NatureChart,2,0)</f>
        <v>1</v>
      </c>
      <c r="X850" s="7">
        <f>VLOOKUP($D850,NatureChart,3,0)</f>
        <v>1</v>
      </c>
      <c r="Y850" s="7">
        <f>VLOOKUP($D850,NatureChart,4,0)</f>
        <v>1.1</v>
      </c>
      <c r="Z850" s="7">
        <f>VLOOKUP($D850,NatureChart,5,0)</f>
        <v>1</v>
      </c>
      <c r="AA850" s="84">
        <f>VLOOKUP($D850,NatureChart,6,0)</f>
        <v>0.9</v>
      </c>
      <c r="AB850" s="84">
        <f>IF($C850="Shedinja",1,(INT((2*VLOOKUP($C850,DexData,5,0)+INT(Q850/4)+K850)/2)+60))</f>
        <v>187</v>
      </c>
      <c r="AC850" s="84">
        <f>INT(INT((INT((2*VLOOKUP($C850,DexData,6,0)+INT(R850/4)+L850)/2)+5)*W850)*IF($E850="Choice Band",1.5,IF(OR($E850="Mawilite",$E850="Medichamite",$E850="Thick Club"),2,1)))</f>
        <v>55</v>
      </c>
      <c r="AD850" s="84">
        <f>INT(INT((INT((2*VLOOKUP($C850,DexData,7,0)+INT(S850/4)+M850)/2)+5)*X850)*IF($E850="Eviolite",1.5,1))</f>
        <v>121</v>
      </c>
      <c r="AE850" s="84">
        <f>INT(INT((INT((2*VLOOKUP($C850,DexData,9,0)+INT(T850/4)+N850)/2)+5)*Y850)*IF($E850="Choice Specs",1.5,1))</f>
        <v>167</v>
      </c>
      <c r="AF850" s="84">
        <f>INT(INT((INT((2*VLOOKUP($C850,DexData,10,0)+INT(U850/4)+O850)/2)+5)*Z850)*IF(OR($E850="Eviolite",$E850="Assault Vest"),1.5,1))</f>
        <v>220</v>
      </c>
      <c r="AG850" s="84">
        <f>INT(INT((INT((2*VLOOKUP($C850,DexData,11,0)+INT(V850/4)+P850)/2)+5)*AA850)*IF($E850="Choice Scarf",1.5,IF($E850="Iron Ball",0.5,1)))</f>
        <v>63</v>
      </c>
      <c r="AH850" s="84" t="str">
        <f>VLOOKUP(VLOOKUP($C850,DexData,3,0),Aliases!D$2:E$19,2,0)&amp;IFERROR("/"&amp;VLOOKUP(VLOOKUP($C850,DexData,4,0),Aliases!D$2:E$19,2,0),"")</f>
        <v>ICE</v>
      </c>
      <c r="AI850" s="7">
        <v>3.0</v>
      </c>
      <c r="AJ850" s="7">
        <f>IF(VLOOKUP(B850,'Set Odds'!A$2:AN$1067,40,0),1,IF(VLOOKUP(B850,'Set Odds'!A$2:AO$1067,41,0),2,0))</f>
        <v>1</v>
      </c>
      <c r="AK850" s="7"/>
      <c r="AL850" s="7" t="str">
        <f t="shared" si="1"/>
        <v/>
      </c>
    </row>
    <row r="851" ht="12.75" customHeight="1">
      <c r="A851" s="86">
        <v>850.0</v>
      </c>
      <c r="B851" s="84" t="s">
        <v>4433</v>
      </c>
      <c r="C851" s="7" t="s">
        <v>4228</v>
      </c>
      <c r="D851" s="7" t="s">
        <v>2629</v>
      </c>
      <c r="E851" s="7" t="s">
        <v>3548</v>
      </c>
      <c r="F851" s="84" t="s">
        <v>2539</v>
      </c>
      <c r="G851" s="84" t="s">
        <v>3626</v>
      </c>
      <c r="H851" s="84" t="s">
        <v>3524</v>
      </c>
      <c r="I851" s="84" t="s">
        <v>3435</v>
      </c>
      <c r="J851" s="7" t="s">
        <v>3370</v>
      </c>
      <c r="K851" s="7">
        <v>31.0</v>
      </c>
      <c r="L851" s="7">
        <v>31.0</v>
      </c>
      <c r="M851" s="7">
        <v>31.0</v>
      </c>
      <c r="N851" s="7">
        <v>31.0</v>
      </c>
      <c r="O851" s="7">
        <v>31.0</v>
      </c>
      <c r="P851" s="7">
        <v>31.0</v>
      </c>
      <c r="Q851" s="7">
        <v>4.0</v>
      </c>
      <c r="R851" s="7">
        <v>252.0</v>
      </c>
      <c r="S851" s="7">
        <v>0.0</v>
      </c>
      <c r="T851" s="7">
        <v>252.0</v>
      </c>
      <c r="U851" s="7">
        <v>0.0</v>
      </c>
      <c r="V851" s="7">
        <v>0.0</v>
      </c>
      <c r="W851" s="7">
        <f>VLOOKUP($D851,NatureChart,2,0)</f>
        <v>1.1</v>
      </c>
      <c r="X851" s="7">
        <f>VLOOKUP($D851,NatureChart,3,0)</f>
        <v>1</v>
      </c>
      <c r="Y851" s="7">
        <f>VLOOKUP($D851,NatureChart,4,0)</f>
        <v>1</v>
      </c>
      <c r="Z851" s="7">
        <f>VLOOKUP($D851,NatureChart,5,0)</f>
        <v>1</v>
      </c>
      <c r="AA851" s="84">
        <f>VLOOKUP($D851,NatureChart,6,0)</f>
        <v>0.9</v>
      </c>
      <c r="AB851" s="84">
        <f>IF($C851="Shedinja",1,(INT((2*VLOOKUP($C851,DexData,5,0)+INT(Q851/4)+K851)/2)+60))</f>
        <v>156</v>
      </c>
      <c r="AC851" s="84">
        <f>INT(INT((INT((2*VLOOKUP($C851,DexData,6,0)+INT(R851/4)+L851)/2)+5)*W851)*IF($E851="Choice Band",1.5,IF(OR($E851="Mawilite",$E851="Medichamite",$E851="Thick Club"),2,1)))</f>
        <v>139</v>
      </c>
      <c r="AD851" s="84">
        <f>INT(INT((INT((2*VLOOKUP($C851,DexData,7,0)+INT(S851/4)+M851)/2)+5)*X851)*IF($E851="Eviolite",1.5,1))</f>
        <v>170</v>
      </c>
      <c r="AE851" s="84">
        <f>INT(INT((INT((2*VLOOKUP($C851,DexData,9,0)+INT(T851/4)+N851)/2)+5)*Y851)*IF($E851="Choice Specs",1.5,1))</f>
        <v>127</v>
      </c>
      <c r="AF851" s="84">
        <f>INT(INT((INT((2*VLOOKUP($C851,DexData,10,0)+INT(U851/4)+O851)/2)+5)*Z851)*IF(OR($E851="Eviolite",$E851="Assault Vest"),1.5,1))</f>
        <v>170</v>
      </c>
      <c r="AG851" s="84">
        <f>INT(INT((INT((2*VLOOKUP($C851,DexData,11,0)+INT(V851/4)+P851)/2)+5)*AA851)*IF($E851="Choice Scarf",1.5,IF($E851="Iron Ball",0.5,1)))</f>
        <v>63</v>
      </c>
      <c r="AH851" s="84" t="str">
        <f>VLOOKUP(VLOOKUP($C851,DexData,3,0),Aliases!D$2:E$19,2,0)&amp;IFERROR("/"&amp;VLOOKUP(VLOOKUP($C851,DexData,4,0),Aliases!D$2:E$19,2,0),"")</f>
        <v>STL</v>
      </c>
      <c r="AI851" s="7">
        <v>3.0</v>
      </c>
      <c r="AJ851" s="7">
        <f>IF(VLOOKUP(B851,'Set Odds'!A$2:AN$1067,40,0),1,IF(VLOOKUP(B851,'Set Odds'!A$2:AO$1067,41,0),2,0))</f>
        <v>1</v>
      </c>
      <c r="AK851" s="7"/>
      <c r="AL851" s="7" t="str">
        <f t="shared" si="1"/>
        <v/>
      </c>
    </row>
    <row r="852" ht="12.75" customHeight="1">
      <c r="A852" s="86">
        <v>851.0</v>
      </c>
      <c r="B852" s="84" t="s">
        <v>4434</v>
      </c>
      <c r="C852" s="7" t="s">
        <v>4230</v>
      </c>
      <c r="D852" s="7" t="s">
        <v>2635</v>
      </c>
      <c r="E852" s="7" t="s">
        <v>2685</v>
      </c>
      <c r="F852" s="84" t="s">
        <v>3718</v>
      </c>
      <c r="G852" s="84" t="s">
        <v>3428</v>
      </c>
      <c r="H852" s="84" t="s">
        <v>3963</v>
      </c>
      <c r="I852" s="84" t="s">
        <v>4072</v>
      </c>
      <c r="J852" s="7" t="s">
        <v>2714</v>
      </c>
      <c r="K852" s="7">
        <v>31.0</v>
      </c>
      <c r="L852" s="7">
        <v>0.0</v>
      </c>
      <c r="M852" s="7">
        <v>31.0</v>
      </c>
      <c r="N852" s="7">
        <v>31.0</v>
      </c>
      <c r="O852" s="7">
        <v>31.0</v>
      </c>
      <c r="P852" s="7">
        <v>31.0</v>
      </c>
      <c r="Q852" s="7">
        <v>252.0</v>
      </c>
      <c r="R852" s="7">
        <v>0.0</v>
      </c>
      <c r="S852" s="7">
        <v>0.0</v>
      </c>
      <c r="T852" s="7">
        <v>4.0</v>
      </c>
      <c r="U852" s="7">
        <v>0.0</v>
      </c>
      <c r="V852" s="7">
        <v>252.0</v>
      </c>
      <c r="W852" s="7">
        <f>VLOOKUP($D852,NatureChart,2,0)</f>
        <v>0.9</v>
      </c>
      <c r="X852" s="7">
        <f>VLOOKUP($D852,NatureChart,3,0)</f>
        <v>1</v>
      </c>
      <c r="Y852" s="7">
        <f>VLOOKUP($D852,NatureChart,4,0)</f>
        <v>1</v>
      </c>
      <c r="Z852" s="7">
        <f>VLOOKUP($D852,NatureChart,5,0)</f>
        <v>1</v>
      </c>
      <c r="AA852" s="84">
        <f>VLOOKUP($D852,NatureChart,6,0)</f>
        <v>1.1</v>
      </c>
      <c r="AB852" s="84">
        <f>IF($C852="Shedinja",1,(INT((2*VLOOKUP($C852,DexData,5,0)+INT(Q852/4)+K852)/2)+60))</f>
        <v>187</v>
      </c>
      <c r="AC852" s="84">
        <f>INT(INT((INT((2*VLOOKUP($C852,DexData,6,0)+INT(R852/4)+L852)/2)+5)*W852)*IF($E852="Choice Band",1.5,IF(OR($E852="Mawilite",$E852="Medichamite",$E852="Thick Club"),2,1)))</f>
        <v>76</v>
      </c>
      <c r="AD852" s="84">
        <f>INT(INT((INT((2*VLOOKUP($C852,DexData,7,0)+INT(S852/4)+M852)/2)+5)*X852)*IF($E852="Eviolite",1.5,1))</f>
        <v>110</v>
      </c>
      <c r="AE852" s="84">
        <f>INT(INT((INT((2*VLOOKUP($C852,DexData,9,0)+INT(T852/4)+N852)/2)+5)*Y852)*IF($E852="Choice Specs",1.5,1))</f>
        <v>131</v>
      </c>
      <c r="AF852" s="84">
        <f>INT(INT((INT((2*VLOOKUP($C852,DexData,10,0)+INT(U852/4)+O852)/2)+5)*Z852)*IF(OR($E852="Eviolite",$E852="Assault Vest"),1.5,1))</f>
        <v>150</v>
      </c>
      <c r="AG852" s="84">
        <f>INT(INT((INT((2*VLOOKUP($C852,DexData,11,0)+INT(V852/4)+P852)/2)+5)*AA852)*IF($E852="Choice Scarf",1.5,IF($E852="Iron Ball",0.5,1)))</f>
        <v>178</v>
      </c>
      <c r="AH852" s="84" t="str">
        <f>VLOOKUP(VLOOKUP($C852,DexData,3,0),Aliases!D$2:E$19,2,0)&amp;IFERROR("/"&amp;VLOOKUP(VLOOKUP($C852,DexData,4,0),Aliases!D$2:E$19,2,0),"")</f>
        <v>DRG/PSY</v>
      </c>
      <c r="AI852" s="7">
        <v>3.0</v>
      </c>
      <c r="AJ852" s="7">
        <f>IF(VLOOKUP(B852,'Set Odds'!A$2:AN$1067,40,0),1,IF(VLOOKUP(B852,'Set Odds'!A$2:AO$1067,41,0),2,0))</f>
        <v>1</v>
      </c>
      <c r="AK852" s="7"/>
      <c r="AL852" s="7" t="str">
        <f t="shared" si="1"/>
        <v/>
      </c>
    </row>
    <row r="853" ht="12.75" customHeight="1">
      <c r="A853" s="86">
        <v>852.0</v>
      </c>
      <c r="B853" s="84" t="s">
        <v>4435</v>
      </c>
      <c r="C853" s="7" t="s">
        <v>4232</v>
      </c>
      <c r="D853" s="7" t="s">
        <v>2635</v>
      </c>
      <c r="E853" s="7" t="s">
        <v>3522</v>
      </c>
      <c r="F853" s="84" t="s">
        <v>4016</v>
      </c>
      <c r="G853" s="84" t="s">
        <v>2967</v>
      </c>
      <c r="H853" s="84" t="s">
        <v>3435</v>
      </c>
      <c r="I853" s="84" t="s">
        <v>2659</v>
      </c>
      <c r="J853" s="7" t="s">
        <v>2714</v>
      </c>
      <c r="K853" s="7">
        <v>31.0</v>
      </c>
      <c r="L853" s="7">
        <v>0.0</v>
      </c>
      <c r="M853" s="7">
        <v>31.0</v>
      </c>
      <c r="N853" s="7">
        <v>31.0</v>
      </c>
      <c r="O853" s="7">
        <v>31.0</v>
      </c>
      <c r="P853" s="7">
        <v>31.0</v>
      </c>
      <c r="Q853" s="7">
        <v>4.0</v>
      </c>
      <c r="R853" s="7">
        <v>0.0</v>
      </c>
      <c r="S853" s="7">
        <v>0.0</v>
      </c>
      <c r="T853" s="7">
        <v>252.0</v>
      </c>
      <c r="U853" s="7">
        <v>0.0</v>
      </c>
      <c r="V853" s="7">
        <v>252.0</v>
      </c>
      <c r="W853" s="7">
        <f>VLOOKUP($D853,NatureChart,2,0)</f>
        <v>0.9</v>
      </c>
      <c r="X853" s="7">
        <f>VLOOKUP($D853,NatureChart,3,0)</f>
        <v>1</v>
      </c>
      <c r="Y853" s="7">
        <f>VLOOKUP($D853,NatureChart,4,0)</f>
        <v>1</v>
      </c>
      <c r="Z853" s="7">
        <f>VLOOKUP($D853,NatureChart,5,0)</f>
        <v>1</v>
      </c>
      <c r="AA853" s="84">
        <f>VLOOKUP($D853,NatureChart,6,0)</f>
        <v>1.1</v>
      </c>
      <c r="AB853" s="84">
        <f>IF($C853="Shedinja",1,(INT((2*VLOOKUP($C853,DexData,5,0)+INT(Q853/4)+K853)/2)+60))</f>
        <v>156</v>
      </c>
      <c r="AC853" s="84">
        <f>INT(INT((INT((2*VLOOKUP($C853,DexData,6,0)+INT(R853/4)+L853)/2)+5)*W853)*IF($E853="Choice Band",1.5,IF(OR($E853="Mawilite",$E853="Medichamite",$E853="Thick Club"),2,1)))</f>
        <v>85</v>
      </c>
      <c r="AD853" s="84">
        <f>INT(INT((INT((2*VLOOKUP($C853,DexData,7,0)+INT(S853/4)+M853)/2)+5)*X853)*IF($E853="Eviolite",1.5,1))</f>
        <v>100</v>
      </c>
      <c r="AE853" s="84">
        <f>INT(INT((INT((2*VLOOKUP($C853,DexData,9,0)+INT(T853/4)+N853)/2)+5)*Y853)*IF($E853="Choice Specs",1.5,1))</f>
        <v>273</v>
      </c>
      <c r="AF853" s="84">
        <f>INT(INT((INT((2*VLOOKUP($C853,DexData,10,0)+INT(U853/4)+O853)/2)+5)*Z853)*IF(OR($E853="Eviolite",$E853="Assault Vest"),1.5,1))</f>
        <v>130</v>
      </c>
      <c r="AG853" s="84">
        <f>INT(INT((INT((2*VLOOKUP($C853,DexData,11,0)+INT(V853/4)+P853)/2)+5)*AA853)*IF($E853="Choice Scarf",1.5,IF($E853="Iron Ball",0.5,1)))</f>
        <v>178</v>
      </c>
      <c r="AH853" s="84" t="str">
        <f>VLOOKUP(VLOOKUP($C853,DexData,3,0),Aliases!D$2:E$19,2,0)&amp;IFERROR("/"&amp;VLOOKUP(VLOOKUP($C853,DexData,4,0),Aliases!D$2:E$19,2,0),"")</f>
        <v>DRG/PSY</v>
      </c>
      <c r="AI853" s="7">
        <v>3.0</v>
      </c>
      <c r="AJ853" s="7">
        <f>IF(VLOOKUP(B853,'Set Odds'!A$2:AN$1067,40,0),1,IF(VLOOKUP(B853,'Set Odds'!A$2:AO$1067,41,0),2,0))</f>
        <v>1</v>
      </c>
      <c r="AK853" s="7"/>
      <c r="AL853" s="7" t="str">
        <f t="shared" si="1"/>
        <v/>
      </c>
    </row>
    <row r="854" ht="12.75" customHeight="1">
      <c r="A854" s="86">
        <v>853.0</v>
      </c>
      <c r="B854" s="84" t="s">
        <v>4436</v>
      </c>
      <c r="C854" s="7" t="s">
        <v>3958</v>
      </c>
      <c r="D854" s="7" t="s">
        <v>2656</v>
      </c>
      <c r="E854" s="7" t="s">
        <v>2665</v>
      </c>
      <c r="F854" s="84" t="s">
        <v>3959</v>
      </c>
      <c r="G854" s="84" t="s">
        <v>3524</v>
      </c>
      <c r="H854" s="84" t="s">
        <v>2832</v>
      </c>
      <c r="I854" s="84" t="s">
        <v>3427</v>
      </c>
      <c r="J854" s="7" t="s">
        <v>3016</v>
      </c>
      <c r="K854" s="7">
        <v>31.0</v>
      </c>
      <c r="L854" s="7">
        <v>0.0</v>
      </c>
      <c r="M854" s="7">
        <v>31.0</v>
      </c>
      <c r="N854" s="7">
        <v>31.0</v>
      </c>
      <c r="O854" s="7">
        <v>31.0</v>
      </c>
      <c r="P854" s="7">
        <v>31.0</v>
      </c>
      <c r="Q854" s="7">
        <v>4.0</v>
      </c>
      <c r="R854" s="7">
        <v>0.0</v>
      </c>
      <c r="S854" s="7">
        <v>0.0</v>
      </c>
      <c r="T854" s="7">
        <v>252.0</v>
      </c>
      <c r="U854" s="7">
        <v>0.0</v>
      </c>
      <c r="V854" s="7">
        <v>252.0</v>
      </c>
      <c r="W854" s="7">
        <f>VLOOKUP($D854,NatureChart,2,0)</f>
        <v>0.9</v>
      </c>
      <c r="X854" s="7">
        <f>VLOOKUP($D854,NatureChart,3,0)</f>
        <v>1</v>
      </c>
      <c r="Y854" s="7">
        <f>VLOOKUP($D854,NatureChart,4,0)</f>
        <v>1.1</v>
      </c>
      <c r="Z854" s="7">
        <f>VLOOKUP($D854,NatureChart,5,0)</f>
        <v>1</v>
      </c>
      <c r="AA854" s="84">
        <f>VLOOKUP($D854,NatureChart,6,0)</f>
        <v>1</v>
      </c>
      <c r="AB854" s="84">
        <f>IF($C854="Shedinja",1,(INT((2*VLOOKUP($C854,DexData,5,0)+INT(Q854/4)+K854)/2)+60))</f>
        <v>167</v>
      </c>
      <c r="AC854" s="84">
        <f>INT(INT((INT((2*VLOOKUP($C854,DexData,6,0)+INT(R854/4)+L854)/2)+5)*W854)*IF($E854="Choice Band",1.5,IF(OR($E854="Mawilite",$E854="Medichamite",$E854="Thick Club"),2,1)))</f>
        <v>85</v>
      </c>
      <c r="AD854" s="84">
        <f>INT(INT((INT((2*VLOOKUP($C854,DexData,7,0)+INT(S854/4)+M854)/2)+5)*X854)*IF($E854="Eviolite",1.5,1))</f>
        <v>126</v>
      </c>
      <c r="AE854" s="84">
        <f>INT(INT((INT((2*VLOOKUP($C854,DexData,9,0)+INT(T854/4)+N854)/2)+5)*Y854)*IF($E854="Choice Specs",1.5,1))</f>
        <v>200</v>
      </c>
      <c r="AF854" s="84">
        <f>INT(INT((INT((2*VLOOKUP($C854,DexData,10,0)+INT(U854/4)+O854)/2)+5)*Z854)*IF(OR($E854="Eviolite",$E854="Assault Vest"),1.5,1))</f>
        <v>126</v>
      </c>
      <c r="AG854" s="84">
        <f>INT(INT((INT((2*VLOOKUP($C854,DexData,11,0)+INT(V854/4)+P854)/2)+5)*AA854)*IF($E854="Choice Scarf",1.5,IF($E854="Iron Ball",0.5,1)))</f>
        <v>193</v>
      </c>
      <c r="AH854" s="84" t="str">
        <f>VLOOKUP(VLOOKUP($C854,DexData,3,0),Aliases!D$2:E$19,2,0)&amp;IFERROR("/"&amp;VLOOKUP(VLOOKUP($C854,DexData,4,0),Aliases!D$2:E$19,2,0),"")</f>
        <v>FIR/STL</v>
      </c>
      <c r="AI854" s="7">
        <v>3.0</v>
      </c>
      <c r="AJ854" s="7">
        <f>IF(VLOOKUP(B854,'Set Odds'!A$2:AN$1067,40,0),1,IF(VLOOKUP(B854,'Set Odds'!A$2:AO$1067,41,0),2,0))</f>
        <v>1</v>
      </c>
      <c r="AK854" s="7"/>
      <c r="AL854" s="7">
        <f t="shared" si="1"/>
        <v>1</v>
      </c>
    </row>
    <row r="855" ht="12.75" customHeight="1">
      <c r="A855" s="86">
        <v>854.0</v>
      </c>
      <c r="B855" s="84" t="s">
        <v>4437</v>
      </c>
      <c r="C855" s="7" t="s">
        <v>3962</v>
      </c>
      <c r="D855" s="7" t="s">
        <v>2862</v>
      </c>
      <c r="E855" s="7" t="s">
        <v>4114</v>
      </c>
      <c r="F855" s="84" t="s">
        <v>3718</v>
      </c>
      <c r="G855" s="84" t="s">
        <v>2938</v>
      </c>
      <c r="H855" s="84" t="s">
        <v>2956</v>
      </c>
      <c r="I855" s="84" t="s">
        <v>3729</v>
      </c>
      <c r="J855" s="7" t="s">
        <v>2714</v>
      </c>
      <c r="K855" s="7">
        <v>31.0</v>
      </c>
      <c r="L855" s="7">
        <v>0.0</v>
      </c>
      <c r="M855" s="7">
        <v>31.0</v>
      </c>
      <c r="N855" s="7">
        <v>31.0</v>
      </c>
      <c r="O855" s="7">
        <v>31.0</v>
      </c>
      <c r="P855" s="7">
        <v>31.0</v>
      </c>
      <c r="Q855" s="7">
        <v>252.0</v>
      </c>
      <c r="R855" s="7">
        <v>0.0</v>
      </c>
      <c r="S855" s="7">
        <v>252.0</v>
      </c>
      <c r="T855" s="7">
        <v>4.0</v>
      </c>
      <c r="U855" s="7">
        <v>0.0</v>
      </c>
      <c r="V855" s="7">
        <v>0.0</v>
      </c>
      <c r="W855" s="7">
        <f>VLOOKUP($D855,NatureChart,2,0)</f>
        <v>0.9</v>
      </c>
      <c r="X855" s="7">
        <f>VLOOKUP($D855,NatureChart,3,0)</f>
        <v>1.1</v>
      </c>
      <c r="Y855" s="7">
        <f>VLOOKUP($D855,NatureChart,4,0)</f>
        <v>1</v>
      </c>
      <c r="Z855" s="7">
        <f>VLOOKUP($D855,NatureChart,5,0)</f>
        <v>1</v>
      </c>
      <c r="AA855" s="84">
        <f>VLOOKUP($D855,NatureChart,6,0)</f>
        <v>1</v>
      </c>
      <c r="AB855" s="84">
        <f>IF($C855="Shedinja",1,(INT((2*VLOOKUP($C855,DexData,5,0)+INT(Q855/4)+K855)/2)+60))</f>
        <v>227</v>
      </c>
      <c r="AC855" s="84">
        <f>INT(INT((INT((2*VLOOKUP($C855,DexData,6,0)+INT(R855/4)+L855)/2)+5)*W855)*IF($E855="Choice Band",1.5,IF(OR($E855="Mawilite",$E855="Medichamite",$E855="Thick Club"),2,1)))</f>
        <v>67</v>
      </c>
      <c r="AD855" s="84">
        <f>INT(INT((INT((2*VLOOKUP($C855,DexData,7,0)+INT(S855/4)+M855)/2)+5)*X855)*IF($E855="Eviolite",1.5,1))</f>
        <v>189</v>
      </c>
      <c r="AE855" s="84">
        <f>INT(INT((INT((2*VLOOKUP($C855,DexData,9,0)+INT(T855/4)+N855)/2)+5)*Y855)*IF($E855="Choice Specs",1.5,1))</f>
        <v>96</v>
      </c>
      <c r="AF855" s="84">
        <f>INT(INT((INT((2*VLOOKUP($C855,DexData,10,0)+INT(U855/4)+O855)/2)+5)*Z855)*IF(OR($E855="Eviolite",$E855="Assault Vest"),1.5,1))</f>
        <v>150</v>
      </c>
      <c r="AG855" s="84">
        <f>INT(INT((INT((2*VLOOKUP($C855,DexData,11,0)+INT(V855/4)+P855)/2)+5)*AA855)*IF($E855="Choice Scarf",1.5,IF($E855="Iron Ball",0.5,1)))</f>
        <v>105</v>
      </c>
      <c r="AH855" s="84" t="str">
        <f>VLOOKUP(VLOOKUP($C855,DexData,3,0),Aliases!D$2:E$19,2,0)&amp;IFERROR("/"&amp;VLOOKUP(VLOOKUP($C855,DexData,4,0),Aliases!D$2:E$19,2,0),"")</f>
        <v>PSY</v>
      </c>
      <c r="AI855" s="7">
        <v>3.0</v>
      </c>
      <c r="AJ855" s="7">
        <f>IF(VLOOKUP(B855,'Set Odds'!A$2:AN$1067,40,0),1,IF(VLOOKUP(B855,'Set Odds'!A$2:AO$1067,41,0),2,0))</f>
        <v>1</v>
      </c>
      <c r="AK855" s="7"/>
      <c r="AL855" s="7" t="str">
        <f t="shared" si="1"/>
        <v/>
      </c>
    </row>
    <row r="856" ht="12.75" customHeight="1">
      <c r="A856" s="86">
        <v>855.0</v>
      </c>
      <c r="B856" s="84" t="s">
        <v>4438</v>
      </c>
      <c r="C856" s="7" t="s">
        <v>3966</v>
      </c>
      <c r="D856" s="7" t="s">
        <v>2648</v>
      </c>
      <c r="E856" s="7" t="s">
        <v>2685</v>
      </c>
      <c r="F856" s="84" t="s">
        <v>3967</v>
      </c>
      <c r="G856" s="84" t="s">
        <v>3692</v>
      </c>
      <c r="H856" s="84" t="s">
        <v>2734</v>
      </c>
      <c r="I856" s="84" t="s">
        <v>2517</v>
      </c>
      <c r="J856" s="7" t="s">
        <v>3968</v>
      </c>
      <c r="K856" s="7">
        <v>31.0</v>
      </c>
      <c r="L856" s="7">
        <v>31.0</v>
      </c>
      <c r="M856" s="7">
        <v>31.0</v>
      </c>
      <c r="N856" s="7">
        <v>0.0</v>
      </c>
      <c r="O856" s="7">
        <v>31.0</v>
      </c>
      <c r="P856" s="7">
        <v>31.0</v>
      </c>
      <c r="Q856" s="7">
        <v>4.0</v>
      </c>
      <c r="R856" s="7">
        <v>252.0</v>
      </c>
      <c r="S856" s="7">
        <v>252.0</v>
      </c>
      <c r="T856" s="7">
        <v>0.0</v>
      </c>
      <c r="U856" s="7">
        <v>0.0</v>
      </c>
      <c r="V856" s="7">
        <v>0.0</v>
      </c>
      <c r="W856" s="7">
        <f>VLOOKUP($D856,NatureChart,2,0)</f>
        <v>1</v>
      </c>
      <c r="X856" s="7">
        <f>VLOOKUP($D856,NatureChart,3,0)</f>
        <v>1.1</v>
      </c>
      <c r="Y856" s="7">
        <f>VLOOKUP($D856,NatureChart,4,0)</f>
        <v>0.9</v>
      </c>
      <c r="Z856" s="7">
        <f>VLOOKUP($D856,NatureChart,5,0)</f>
        <v>1</v>
      </c>
      <c r="AA856" s="84">
        <f>VLOOKUP($D856,NatureChart,6,0)</f>
        <v>1</v>
      </c>
      <c r="AB856" s="84">
        <f>IF($C856="Shedinja",1,(INT((2*VLOOKUP($C856,DexData,5,0)+INT(Q856/4)+K856)/2)+60))</f>
        <v>186</v>
      </c>
      <c r="AC856" s="84">
        <f>INT(INT((INT((2*VLOOKUP($C856,DexData,6,0)+INT(R856/4)+L856)/2)+5)*W856)*IF($E856="Choice Band",1.5,IF(OR($E856="Mawilite",$E856="Medichamite",$E856="Thick Club"),2,1)))</f>
        <v>212</v>
      </c>
      <c r="AD856" s="84">
        <f>INT(INT((INT((2*VLOOKUP($C856,DexData,7,0)+INT(S856/4)+M856)/2)+5)*X856)*IF($E856="Eviolite",1.5,1))</f>
        <v>178</v>
      </c>
      <c r="AE856" s="84">
        <f>INT(INT((INT((2*VLOOKUP($C856,DexData,9,0)+INT(T856/4)+N856)/2)+5)*Y856)*IF($E856="Choice Specs",1.5,1))</f>
        <v>76</v>
      </c>
      <c r="AF856" s="84">
        <f>INT(INT((INT((2*VLOOKUP($C856,DexData,10,0)+INT(U856/4)+O856)/2)+5)*Z856)*IF(OR($E856="Eviolite",$E856="Assault Vest"),1.5,1))</f>
        <v>130</v>
      </c>
      <c r="AG856" s="84">
        <f>INT(INT((INT((2*VLOOKUP($C856,DexData,11,0)+INT(V856/4)+P856)/2)+5)*AA856)*IF($E856="Choice Scarf",1.5,IF($E856="Iron Ball",0.5,1)))</f>
        <v>120</v>
      </c>
      <c r="AH856" s="84" t="str">
        <f>VLOOKUP(VLOOKUP($C856,DexData,3,0),Aliases!D$2:E$19,2,0)&amp;IFERROR("/"&amp;VLOOKUP(VLOOKUP($C856,DexData,4,0),Aliases!D$2:E$19,2,0),"")</f>
        <v>NRM</v>
      </c>
      <c r="AI856" s="7">
        <v>3.0</v>
      </c>
      <c r="AJ856" s="7">
        <f>IF(VLOOKUP(B856,'Set Odds'!A$2:AN$1067,40,0),1,IF(VLOOKUP(B856,'Set Odds'!A$2:AO$1067,41,0),2,0))</f>
        <v>1</v>
      </c>
      <c r="AK856" s="7"/>
      <c r="AL856" s="7" t="str">
        <f t="shared" si="1"/>
        <v/>
      </c>
    </row>
    <row r="857" ht="12.75" customHeight="1">
      <c r="A857" s="86">
        <v>856.0</v>
      </c>
      <c r="B857" s="84" t="s">
        <v>4439</v>
      </c>
      <c r="C857" s="7" t="s">
        <v>3742</v>
      </c>
      <c r="D857" s="7" t="s">
        <v>2656</v>
      </c>
      <c r="E857" s="7" t="s">
        <v>3046</v>
      </c>
      <c r="F857" s="84" t="s">
        <v>3047</v>
      </c>
      <c r="G857" s="84" t="s">
        <v>2704</v>
      </c>
      <c r="H857" s="84" t="s">
        <v>2832</v>
      </c>
      <c r="I857" s="84" t="s">
        <v>3048</v>
      </c>
      <c r="J857" s="7" t="s">
        <v>3049</v>
      </c>
      <c r="K857" s="7">
        <v>31.0</v>
      </c>
      <c r="L857" s="7">
        <v>0.0</v>
      </c>
      <c r="M857" s="7">
        <v>31.0</v>
      </c>
      <c r="N857" s="7">
        <v>31.0</v>
      </c>
      <c r="O857" s="7">
        <v>31.0</v>
      </c>
      <c r="P857" s="7">
        <v>31.0</v>
      </c>
      <c r="Q857" s="7">
        <v>252.0</v>
      </c>
      <c r="R857" s="7">
        <v>4.0</v>
      </c>
      <c r="S857" s="7">
        <v>0.0</v>
      </c>
      <c r="T857" s="7">
        <v>252.0</v>
      </c>
      <c r="U857" s="7">
        <v>0.0</v>
      </c>
      <c r="V857" s="7">
        <v>0.0</v>
      </c>
      <c r="W857" s="7">
        <f>VLOOKUP($D857,NatureChart,2,0)</f>
        <v>0.9</v>
      </c>
      <c r="X857" s="7">
        <f>VLOOKUP($D857,NatureChart,3,0)</f>
        <v>1</v>
      </c>
      <c r="Y857" s="7">
        <f>VLOOKUP($D857,NatureChart,4,0)</f>
        <v>1.1</v>
      </c>
      <c r="Z857" s="7">
        <f>VLOOKUP($D857,NatureChart,5,0)</f>
        <v>1</v>
      </c>
      <c r="AA857" s="84">
        <f>VLOOKUP($D857,NatureChart,6,0)</f>
        <v>1</v>
      </c>
      <c r="AB857" s="84">
        <f>IF($C857="Shedinja",1,(INT((2*VLOOKUP($C857,DexData,5,0)+INT(Q857/4)+K857)/2)+60))</f>
        <v>197</v>
      </c>
      <c r="AC857" s="84">
        <f>INT(INT((INT((2*VLOOKUP($C857,DexData,6,0)+INT(R857/4)+L857)/2)+5)*W857)*IF($E857="Choice Band",1.5,IF(OR($E857="Mawilite",$E857="Medichamite",$E857="Thick Club"),2,1)))</f>
        <v>87</v>
      </c>
      <c r="AD857" s="84">
        <f>INT(INT((INT((2*VLOOKUP($C857,DexData,7,0)+INT(S857/4)+M857)/2)+5)*X857)*IF($E857="Eviolite",1.5,1))</f>
        <v>95</v>
      </c>
      <c r="AE857" s="84">
        <f>INT(INT((INT((2*VLOOKUP($C857,DexData,9,0)+INT(T857/4)+N857)/2)+5)*Y857)*IF($E857="Choice Specs",1.5,1))</f>
        <v>158</v>
      </c>
      <c r="AF857" s="84">
        <f>INT(INT((INT((2*VLOOKUP($C857,DexData,10,0)+INT(U857/4)+O857)/2)+5)*Z857)*IF(OR($E857="Eviolite",$E857="Assault Vest"),1.5,1))</f>
        <v>105</v>
      </c>
      <c r="AG857" s="84">
        <f>INT(INT((INT((2*VLOOKUP($C857,DexData,11,0)+INT(V857/4)+P857)/2)+5)*AA857)*IF($E857="Choice Scarf",1.5,IF($E857="Iron Ball",0.5,1)))</f>
        <v>80</v>
      </c>
      <c r="AH857" s="84" t="str">
        <f>VLOOKUP(VLOOKUP($C857,DexData,3,0),Aliases!D$2:E$19,2,0)&amp;IFERROR("/"&amp;VLOOKUP(VLOOKUP($C857,DexData,4,0),Aliases!D$2:E$19,2,0),"")</f>
        <v>GRS/ICE</v>
      </c>
      <c r="AI857" s="7">
        <v>3.0</v>
      </c>
      <c r="AJ857" s="7">
        <f>IF(VLOOKUP(B857,'Set Odds'!A$2:AN$1067,40,0),1,IF(VLOOKUP(B857,'Set Odds'!A$2:AO$1067,41,0),2,0))</f>
        <v>1</v>
      </c>
      <c r="AK857" s="7"/>
      <c r="AL857" s="7" t="str">
        <f t="shared" si="1"/>
        <v/>
      </c>
    </row>
    <row r="858" ht="12.75" customHeight="1">
      <c r="A858" s="86">
        <v>857.0</v>
      </c>
      <c r="B858" s="84" t="s">
        <v>4440</v>
      </c>
      <c r="C858" s="7" t="s">
        <v>3836</v>
      </c>
      <c r="D858" s="7" t="s">
        <v>2692</v>
      </c>
      <c r="E858" s="7" t="s">
        <v>3726</v>
      </c>
      <c r="F858" s="84" t="s">
        <v>2614</v>
      </c>
      <c r="G858" s="84" t="s">
        <v>3441</v>
      </c>
      <c r="H858" s="84" t="s">
        <v>3454</v>
      </c>
      <c r="I858" s="84" t="s">
        <v>3626</v>
      </c>
      <c r="J858" s="7" t="s">
        <v>4441</v>
      </c>
      <c r="K858" s="7">
        <v>31.0</v>
      </c>
      <c r="L858" s="7">
        <v>31.0</v>
      </c>
      <c r="M858" s="7">
        <v>31.0</v>
      </c>
      <c r="N858" s="7">
        <v>0.0</v>
      </c>
      <c r="O858" s="7">
        <v>31.0</v>
      </c>
      <c r="P858" s="7">
        <v>31.0</v>
      </c>
      <c r="Q858" s="7">
        <v>4.0</v>
      </c>
      <c r="R858" s="7">
        <v>252.0</v>
      </c>
      <c r="S858" s="7">
        <v>0.0</v>
      </c>
      <c r="T858" s="7">
        <v>0.0</v>
      </c>
      <c r="U858" s="7">
        <v>0.0</v>
      </c>
      <c r="V858" s="7">
        <v>252.0</v>
      </c>
      <c r="W858" s="7">
        <f>VLOOKUP($D858,NatureChart,2,0)</f>
        <v>1</v>
      </c>
      <c r="X858" s="7">
        <f>VLOOKUP($D858,NatureChart,3,0)</f>
        <v>1</v>
      </c>
      <c r="Y858" s="7">
        <f>VLOOKUP($D858,NatureChart,4,0)</f>
        <v>0.9</v>
      </c>
      <c r="Z858" s="7">
        <f>VLOOKUP($D858,NatureChart,5,0)</f>
        <v>1</v>
      </c>
      <c r="AA858" s="84">
        <f>VLOOKUP($D858,NatureChart,6,0)</f>
        <v>1.1</v>
      </c>
      <c r="AB858" s="84">
        <f>IF($C858="Shedinja",1,(INT((2*VLOOKUP($C858,DexData,5,0)+INT(Q858/4)+K858)/2)+60))</f>
        <v>156</v>
      </c>
      <c r="AC858" s="84">
        <f>INT(INT((INT((2*VLOOKUP($C858,DexData,6,0)+INT(R858/4)+L858)/2)+5)*W858)*IF($E858="Choice Band",1.5,IF(OR($E858="Mawilite",$E858="Medichamite",$E858="Thick Club"),2,1)))</f>
        <v>157</v>
      </c>
      <c r="AD858" s="84">
        <f>INT(INT((INT((2*VLOOKUP($C858,DexData,7,0)+INT(S858/4)+M858)/2)+5)*X858)*IF($E858="Eviolite",1.5,1))</f>
        <v>85</v>
      </c>
      <c r="AE858" s="84">
        <f>INT(INT((INT((2*VLOOKUP($C858,DexData,9,0)+INT(T858/4)+N858)/2)+5)*Y858)*IF($E858="Choice Specs",1.5,1))</f>
        <v>58</v>
      </c>
      <c r="AF858" s="84">
        <f>INT(INT((INT((2*VLOOKUP($C858,DexData,10,0)+INT(U858/4)+O858)/2)+5)*Z858)*IF(OR($E858="Eviolite",$E858="Assault Vest"),1.5,1))</f>
        <v>95</v>
      </c>
      <c r="AG858" s="84">
        <f>INT(INT((INT((2*VLOOKUP($C858,DexData,11,0)+INT(V858/4)+P858)/2)+5)*AA858)*IF($E858="Choice Scarf",1.5,IF($E858="Iron Ball",0.5,1)))</f>
        <v>200</v>
      </c>
      <c r="AH858" s="84" t="str">
        <f>VLOOKUP(VLOOKUP($C858,DexData,3,0),Aliases!D$2:E$19,2,0)&amp;IFERROR("/"&amp;VLOOKUP(VLOOKUP($C858,DexData,4,0),Aliases!D$2:E$19,2,0),"")</f>
        <v>RCK/FLY</v>
      </c>
      <c r="AI858" s="7">
        <v>0.0</v>
      </c>
      <c r="AJ858" s="7">
        <f>IF(VLOOKUP(B858,'Set Odds'!A$2:AN$1067,40,0),1,IF(VLOOKUP(B858,'Set Odds'!A$2:AO$1067,41,0),2,0))</f>
        <v>2</v>
      </c>
      <c r="AK858" s="87" t="s">
        <v>4442</v>
      </c>
      <c r="AL858" s="7" t="str">
        <f t="shared" si="1"/>
        <v/>
      </c>
    </row>
    <row r="859" ht="12.75" customHeight="1">
      <c r="A859" s="86">
        <v>858.0</v>
      </c>
      <c r="B859" s="84" t="s">
        <v>4443</v>
      </c>
      <c r="C859" s="7" t="s">
        <v>3717</v>
      </c>
      <c r="D859" s="7" t="s">
        <v>2862</v>
      </c>
      <c r="E859" s="7" t="s">
        <v>2685</v>
      </c>
      <c r="F859" s="84" t="s">
        <v>2880</v>
      </c>
      <c r="G859" s="84" t="s">
        <v>2631</v>
      </c>
      <c r="H859" s="84" t="s">
        <v>2823</v>
      </c>
      <c r="I859" s="84" t="s">
        <v>3719</v>
      </c>
      <c r="J859" s="7" t="s">
        <v>3404</v>
      </c>
      <c r="K859" s="7">
        <v>31.0</v>
      </c>
      <c r="L859" s="7">
        <v>0.0</v>
      </c>
      <c r="M859" s="7">
        <v>31.0</v>
      </c>
      <c r="N859" s="7">
        <v>31.0</v>
      </c>
      <c r="O859" s="7">
        <v>31.0</v>
      </c>
      <c r="P859" s="7">
        <v>31.0</v>
      </c>
      <c r="Q859" s="7">
        <v>252.0</v>
      </c>
      <c r="R859" s="7">
        <v>0.0</v>
      </c>
      <c r="S859" s="7">
        <v>252.0</v>
      </c>
      <c r="T859" s="7">
        <v>4.0</v>
      </c>
      <c r="U859" s="7">
        <v>0.0</v>
      </c>
      <c r="V859" s="7">
        <v>0.0</v>
      </c>
      <c r="W859" s="7">
        <f>VLOOKUP($D859,NatureChart,2,0)</f>
        <v>0.9</v>
      </c>
      <c r="X859" s="7">
        <f>VLOOKUP($D859,NatureChart,3,0)</f>
        <v>1.1</v>
      </c>
      <c r="Y859" s="7">
        <f>VLOOKUP($D859,NatureChart,4,0)</f>
        <v>1</v>
      </c>
      <c r="Z859" s="7">
        <f>VLOOKUP($D859,NatureChart,5,0)</f>
        <v>1</v>
      </c>
      <c r="AA859" s="84">
        <f>VLOOKUP($D859,NatureChart,6,0)</f>
        <v>1</v>
      </c>
      <c r="AB859" s="84">
        <f>IF($C859="Shedinja",1,(INT((2*VLOOKUP($C859,DexData,5,0)+INT(Q859/4)+K859)/2)+60))</f>
        <v>202</v>
      </c>
      <c r="AC859" s="84">
        <f>INT(INT((INT((2*VLOOKUP($C859,DexData,6,0)+INT(R859/4)+L859)/2)+5)*W859)*IF($E859="Choice Band",1.5,IF(OR($E859="Mawilite",$E859="Medichamite",$E859="Thick Club"),2,1)))</f>
        <v>72</v>
      </c>
      <c r="AD859" s="84">
        <f>INT(INT((INT((2*VLOOKUP($C859,DexData,7,0)+INT(S859/4)+M859)/2)+5)*X859)*IF($E859="Eviolite",1.5,1))</f>
        <v>178</v>
      </c>
      <c r="AE859" s="84">
        <f>INT(INT((INT((2*VLOOKUP($C859,DexData,9,0)+INT(T859/4)+N859)/2)+5)*Y859)*IF($E859="Choice Specs",1.5,1))</f>
        <v>121</v>
      </c>
      <c r="AF859" s="84">
        <f>INT(INT((INT((2*VLOOKUP($C859,DexData,10,0)+INT(U859/4)+O859)/2)+5)*Z859)*IF(OR($E859="Eviolite",$E859="Assault Vest"),1.5,1))</f>
        <v>100</v>
      </c>
      <c r="AG859" s="84">
        <f>INT(INT((INT((2*VLOOKUP($C859,DexData,11,0)+INT(V859/4)+P859)/2)+5)*AA859)*IF($E859="Choice Scarf",1.5,IF($E859="Iron Ball",0.5,1)))</f>
        <v>50</v>
      </c>
      <c r="AH859" s="84" t="str">
        <f>VLOOKUP(VLOOKUP($C859,DexData,3,0),Aliases!D$2:E$19,2,0)&amp;IFERROR("/"&amp;VLOOKUP(VLOOKUP($C859,DexData,4,0),Aliases!D$2:E$19,2,0),"")</f>
        <v>WTR/PSY</v>
      </c>
      <c r="AI859" s="7">
        <v>0.0</v>
      </c>
      <c r="AJ859" s="7">
        <f>IF(VLOOKUP(B859,'Set Odds'!A$2:AN$1067,40,0),1,IF(VLOOKUP(B859,'Set Odds'!A$2:AO$1067,41,0),2,0))</f>
        <v>2</v>
      </c>
      <c r="AK859" s="87" t="s">
        <v>4442</v>
      </c>
      <c r="AL859" s="7" t="str">
        <f t="shared" si="1"/>
        <v/>
      </c>
    </row>
    <row r="860" ht="12.75" customHeight="1">
      <c r="A860" s="86">
        <v>859.0</v>
      </c>
      <c r="B860" s="84" t="s">
        <v>4444</v>
      </c>
      <c r="C860" s="7" t="s">
        <v>3929</v>
      </c>
      <c r="D860" s="7" t="s">
        <v>2692</v>
      </c>
      <c r="E860" s="7" t="s">
        <v>2515</v>
      </c>
      <c r="F860" s="84" t="s">
        <v>2764</v>
      </c>
      <c r="G860" s="84" t="s">
        <v>2625</v>
      </c>
      <c r="H860" s="84" t="s">
        <v>3015</v>
      </c>
      <c r="I860" s="84" t="s">
        <v>3390</v>
      </c>
      <c r="J860" s="7" t="s">
        <v>3034</v>
      </c>
      <c r="K860" s="7">
        <v>31.0</v>
      </c>
      <c r="L860" s="7">
        <v>31.0</v>
      </c>
      <c r="M860" s="7">
        <v>31.0</v>
      </c>
      <c r="N860" s="7">
        <v>0.0</v>
      </c>
      <c r="O860" s="7">
        <v>31.0</v>
      </c>
      <c r="P860" s="7">
        <v>31.0</v>
      </c>
      <c r="Q860" s="7">
        <v>0.0</v>
      </c>
      <c r="R860" s="7">
        <v>252.0</v>
      </c>
      <c r="S860" s="7">
        <v>0.0</v>
      </c>
      <c r="T860" s="7">
        <v>0.0</v>
      </c>
      <c r="U860" s="7">
        <v>4.0</v>
      </c>
      <c r="V860" s="7">
        <v>252.0</v>
      </c>
      <c r="W860" s="7">
        <f>VLOOKUP($D860,NatureChart,2,0)</f>
        <v>1</v>
      </c>
      <c r="X860" s="7">
        <f>VLOOKUP($D860,NatureChart,3,0)</f>
        <v>1</v>
      </c>
      <c r="Y860" s="7">
        <f>VLOOKUP($D860,NatureChart,4,0)</f>
        <v>0.9</v>
      </c>
      <c r="Z860" s="7">
        <f>VLOOKUP($D860,NatureChart,5,0)</f>
        <v>1</v>
      </c>
      <c r="AA860" s="84">
        <f>VLOOKUP($D860,NatureChart,6,0)</f>
        <v>1.1</v>
      </c>
      <c r="AB860" s="84">
        <f>IF($C860="Shedinja",1,(INT((2*VLOOKUP($C860,DexData,5,0)+INT(Q860/4)+K860)/2)+60))</f>
        <v>175</v>
      </c>
      <c r="AC860" s="84">
        <f>INT(INT((INT((2*VLOOKUP($C860,DexData,6,0)+INT(R860/4)+L860)/2)+5)*W860)*IF($E860="Choice Band",1.5,IF(OR($E860="Mawilite",$E860="Medichamite",$E860="Thick Club"),2,1)))</f>
        <v>186</v>
      </c>
      <c r="AD860" s="84">
        <f>INT(INT((INT((2*VLOOKUP($C860,DexData,7,0)+INT(S860/4)+M860)/2)+5)*X860)*IF($E860="Eviolite",1.5,1))</f>
        <v>130</v>
      </c>
      <c r="AE860" s="84">
        <f>INT(INT((INT((2*VLOOKUP($C860,DexData,9,0)+INT(T860/4)+N860)/2)+5)*Y860)*IF($E860="Choice Specs",1.5,1))</f>
        <v>90</v>
      </c>
      <c r="AF860" s="84">
        <f>INT(INT((INT((2*VLOOKUP($C860,DexData,10,0)+INT(U860/4)+O860)/2)+5)*Z860)*IF(OR($E860="Eviolite",$E860="Assault Vest"),1.5,1))</f>
        <v>121</v>
      </c>
      <c r="AG860" s="84">
        <f>INT(INT((INT((2*VLOOKUP($C860,DexData,11,0)+INT(V860/4)+P860)/2)+5)*AA860)*IF($E860="Choice Scarf",1.5,IF($E860="Iron Ball",0.5,1)))</f>
        <v>124</v>
      </c>
      <c r="AH860" s="84" t="str">
        <f>VLOOKUP(VLOOKUP($C860,DexData,3,0),Aliases!D$2:E$19,2,0)&amp;IFERROR("/"&amp;VLOOKUP(VLOOKUP($C860,DexData,4,0),Aliases!D$2:E$19,2,0),"")</f>
        <v>RCK/DRK</v>
      </c>
      <c r="AI860" s="7">
        <v>0.0</v>
      </c>
      <c r="AJ860" s="7">
        <f>IF(VLOOKUP(B860,'Set Odds'!A$2:AN$1067,40,0),1,IF(VLOOKUP(B860,'Set Odds'!A$2:AO$1067,41,0),2,0))</f>
        <v>2</v>
      </c>
      <c r="AK860" s="87" t="s">
        <v>4442</v>
      </c>
      <c r="AL860" s="7" t="str">
        <f t="shared" si="1"/>
        <v/>
      </c>
    </row>
    <row r="861" ht="12.75" customHeight="1">
      <c r="A861" s="86">
        <v>860.0</v>
      </c>
      <c r="B861" s="84" t="s">
        <v>4445</v>
      </c>
      <c r="C861" s="7" t="s">
        <v>3929</v>
      </c>
      <c r="D861" s="7" t="s">
        <v>2648</v>
      </c>
      <c r="E861" s="7" t="s">
        <v>3889</v>
      </c>
      <c r="F861" s="84" t="s">
        <v>3543</v>
      </c>
      <c r="G861" s="84" t="s">
        <v>2763</v>
      </c>
      <c r="H861" s="84" t="s">
        <v>2751</v>
      </c>
      <c r="I861" s="84" t="s">
        <v>3015</v>
      </c>
      <c r="J861" s="7" t="s">
        <v>3034</v>
      </c>
      <c r="K861" s="7">
        <v>31.0</v>
      </c>
      <c r="L861" s="7">
        <v>31.0</v>
      </c>
      <c r="M861" s="7">
        <v>31.0</v>
      </c>
      <c r="N861" s="7">
        <v>0.0</v>
      </c>
      <c r="O861" s="7">
        <v>31.0</v>
      </c>
      <c r="P861" s="7">
        <v>31.0</v>
      </c>
      <c r="Q861" s="7">
        <v>252.0</v>
      </c>
      <c r="R861" s="7">
        <v>4.0</v>
      </c>
      <c r="S861" s="7">
        <v>252.0</v>
      </c>
      <c r="T861" s="7">
        <v>0.0</v>
      </c>
      <c r="U861" s="7">
        <v>0.0</v>
      </c>
      <c r="V861" s="7">
        <v>0.0</v>
      </c>
      <c r="W861" s="7">
        <f>VLOOKUP($D861,NatureChart,2,0)</f>
        <v>1</v>
      </c>
      <c r="X861" s="7">
        <f>VLOOKUP($D861,NatureChart,3,0)</f>
        <v>1.1</v>
      </c>
      <c r="Y861" s="7">
        <f>VLOOKUP($D861,NatureChart,4,0)</f>
        <v>0.9</v>
      </c>
      <c r="Z861" s="7">
        <f>VLOOKUP($D861,NatureChart,5,0)</f>
        <v>1</v>
      </c>
      <c r="AA861" s="84">
        <f>VLOOKUP($D861,NatureChart,6,0)</f>
        <v>1</v>
      </c>
      <c r="AB861" s="84">
        <f>IF($C861="Shedinja",1,(INT((2*VLOOKUP($C861,DexData,5,0)+INT(Q861/4)+K861)/2)+60))</f>
        <v>207</v>
      </c>
      <c r="AC861" s="84">
        <f>INT(INT((INT((2*VLOOKUP($C861,DexData,6,0)+INT(R861/4)+L861)/2)+5)*W861)*IF($E861="Choice Band",1.5,IF(OR($E861="Mawilite",$E861="Medichamite",$E861="Thick Club"),2,1)))</f>
        <v>155</v>
      </c>
      <c r="AD861" s="84">
        <f>INT(INT((INT((2*VLOOKUP($C861,DexData,7,0)+INT(S861/4)+M861)/2)+5)*X861)*IF($E861="Eviolite",1.5,1))</f>
        <v>178</v>
      </c>
      <c r="AE861" s="84">
        <f>INT(INT((INT((2*VLOOKUP($C861,DexData,9,0)+INT(T861/4)+N861)/2)+5)*Y861)*IF($E861="Choice Specs",1.5,1))</f>
        <v>90</v>
      </c>
      <c r="AF861" s="84">
        <f>INT(INT((INT((2*VLOOKUP($C861,DexData,10,0)+INT(U861/4)+O861)/2)+5)*Z861)*IF(OR($E861="Eviolite",$E861="Assault Vest"),1.5,1))</f>
        <v>120</v>
      </c>
      <c r="AG861" s="84">
        <f>INT(INT((INT((2*VLOOKUP($C861,DexData,11,0)+INT(V861/4)+P861)/2)+5)*AA861)*IF($E861="Choice Scarf",1.5,IF($E861="Iron Ball",0.5,1)))</f>
        <v>81</v>
      </c>
      <c r="AH861" s="84" t="str">
        <f>VLOOKUP(VLOOKUP($C861,DexData,3,0),Aliases!D$2:E$19,2,0)&amp;IFERROR("/"&amp;VLOOKUP(VLOOKUP($C861,DexData,4,0),Aliases!D$2:E$19,2,0),"")</f>
        <v>RCK/DRK</v>
      </c>
      <c r="AI861" s="7">
        <v>0.0</v>
      </c>
      <c r="AJ861" s="7">
        <f>IF(VLOOKUP(B861,'Set Odds'!A$2:AN$1067,40,0),1,IF(VLOOKUP(B861,'Set Odds'!A$2:AO$1067,41,0),2,0))</f>
        <v>1</v>
      </c>
      <c r="AK861" s="88" t="s">
        <v>4446</v>
      </c>
      <c r="AL861" s="7" t="str">
        <f t="shared" si="1"/>
        <v/>
      </c>
    </row>
    <row r="862" ht="12.75" customHeight="1">
      <c r="A862" s="86">
        <v>861.0</v>
      </c>
      <c r="B862" s="84" t="s">
        <v>4447</v>
      </c>
      <c r="C862" s="7" t="s">
        <v>3931</v>
      </c>
      <c r="D862" s="7" t="s">
        <v>2692</v>
      </c>
      <c r="E862" s="7" t="s">
        <v>3726</v>
      </c>
      <c r="F862" s="84" t="s">
        <v>3454</v>
      </c>
      <c r="G862" s="84" t="s">
        <v>2762</v>
      </c>
      <c r="H862" s="84" t="s">
        <v>3710</v>
      </c>
      <c r="I862" s="84" t="s">
        <v>2764</v>
      </c>
      <c r="J862" s="7" t="s">
        <v>2696</v>
      </c>
      <c r="K862" s="7">
        <v>31.0</v>
      </c>
      <c r="L862" s="7">
        <v>31.0</v>
      </c>
      <c r="M862" s="7">
        <v>31.0</v>
      </c>
      <c r="N862" s="7">
        <v>0.0</v>
      </c>
      <c r="O862" s="7">
        <v>31.0</v>
      </c>
      <c r="P862" s="7">
        <v>31.0</v>
      </c>
      <c r="Q862" s="7">
        <v>4.0</v>
      </c>
      <c r="R862" s="7">
        <v>252.0</v>
      </c>
      <c r="S862" s="7">
        <v>0.0</v>
      </c>
      <c r="T862" s="7">
        <v>0.0</v>
      </c>
      <c r="U862" s="7">
        <v>0.0</v>
      </c>
      <c r="V862" s="7">
        <v>252.0</v>
      </c>
      <c r="W862" s="7">
        <f>VLOOKUP($D862,NatureChart,2,0)</f>
        <v>1</v>
      </c>
      <c r="X862" s="7">
        <f>VLOOKUP($D862,NatureChart,3,0)</f>
        <v>1</v>
      </c>
      <c r="Y862" s="7">
        <f>VLOOKUP($D862,NatureChart,4,0)</f>
        <v>0.9</v>
      </c>
      <c r="Z862" s="7">
        <f>VLOOKUP($D862,NatureChart,5,0)</f>
        <v>1</v>
      </c>
      <c r="AA862" s="84">
        <f>VLOOKUP($D862,NatureChart,6,0)</f>
        <v>1.1</v>
      </c>
      <c r="AB862" s="84">
        <f>IF($C862="Shedinja",1,(INT((2*VLOOKUP($C862,DexData,5,0)+INT(Q862/4)+K862)/2)+60))</f>
        <v>171</v>
      </c>
      <c r="AC862" s="84">
        <f>INT(INT((INT((2*VLOOKUP($C862,DexData,6,0)+INT(R862/4)+L862)/2)+5)*W862)*IF($E862="Choice Band",1.5,IF(OR($E862="Mawilite",$E862="Medichamite",$E862="Thick Club"),2,1)))</f>
        <v>187</v>
      </c>
      <c r="AD862" s="84">
        <f>INT(INT((INT((2*VLOOKUP($C862,DexData,7,0)+INT(S862/4)+M862)/2)+5)*X862)*IF($E862="Eviolite",1.5,1))</f>
        <v>100</v>
      </c>
      <c r="AE862" s="84">
        <f>INT(INT((INT((2*VLOOKUP($C862,DexData,9,0)+INT(T862/4)+N862)/2)+5)*Y862)*IF($E862="Choice Specs",1.5,1))</f>
        <v>103</v>
      </c>
      <c r="AF862" s="84">
        <f>INT(INT((INT((2*VLOOKUP($C862,DexData,10,0)+INT(U862/4)+O862)/2)+5)*Z862)*IF(OR($E862="Eviolite",$E862="Assault Vest"),1.5,1))</f>
        <v>100</v>
      </c>
      <c r="AG862" s="84">
        <f>INT(INT((INT((2*VLOOKUP($C862,DexData,11,0)+INT(V862/4)+P862)/2)+5)*AA862)*IF($E862="Choice Scarf",1.5,IF($E862="Iron Ball",0.5,1)))</f>
        <v>167</v>
      </c>
      <c r="AH862" s="84" t="str">
        <f>VLOOKUP(VLOOKUP($C862,DexData,3,0),Aliases!D$2:E$19,2,0)&amp;IFERROR("/"&amp;VLOOKUP(VLOOKUP($C862,DexData,4,0),Aliases!D$2:E$19,2,0),"")</f>
        <v>DRG/FLY</v>
      </c>
      <c r="AI862" s="7">
        <v>0.0</v>
      </c>
      <c r="AJ862" s="7">
        <f>IF(VLOOKUP(B862,'Set Odds'!A$2:AN$1067,40,0),1,IF(VLOOKUP(B862,'Set Odds'!A$2:AO$1067,41,0),2,0))</f>
        <v>2</v>
      </c>
      <c r="AK862" s="87" t="s">
        <v>4442</v>
      </c>
      <c r="AL862" s="7" t="str">
        <f t="shared" si="1"/>
        <v/>
      </c>
    </row>
    <row r="863" ht="12.75" customHeight="1">
      <c r="A863" s="86">
        <v>862.0</v>
      </c>
      <c r="B863" s="84" t="s">
        <v>4448</v>
      </c>
      <c r="C863" s="7" t="s">
        <v>3802</v>
      </c>
      <c r="D863" s="7" t="s">
        <v>2692</v>
      </c>
      <c r="E863" s="7" t="s">
        <v>2665</v>
      </c>
      <c r="F863" s="84" t="s">
        <v>3803</v>
      </c>
      <c r="G863" s="84" t="s">
        <v>3710</v>
      </c>
      <c r="H863" s="84" t="s">
        <v>3454</v>
      </c>
      <c r="I863" s="84" t="s">
        <v>3626</v>
      </c>
      <c r="J863" s="7" t="s">
        <v>3102</v>
      </c>
      <c r="K863" s="7">
        <v>31.0</v>
      </c>
      <c r="L863" s="7">
        <v>31.0</v>
      </c>
      <c r="M863" s="7">
        <v>31.0</v>
      </c>
      <c r="N863" s="7">
        <v>0.0</v>
      </c>
      <c r="O863" s="7">
        <v>31.0</v>
      </c>
      <c r="P863" s="7">
        <v>31.0</v>
      </c>
      <c r="Q863" s="7">
        <v>4.0</v>
      </c>
      <c r="R863" s="7">
        <v>252.0</v>
      </c>
      <c r="S863" s="7">
        <v>0.0</v>
      </c>
      <c r="T863" s="7">
        <v>0.0</v>
      </c>
      <c r="U863" s="7">
        <v>0.0</v>
      </c>
      <c r="V863" s="7">
        <v>252.0</v>
      </c>
      <c r="W863" s="7">
        <f>VLOOKUP($D863,NatureChart,2,0)</f>
        <v>1</v>
      </c>
      <c r="X863" s="7">
        <f>VLOOKUP($D863,NatureChart,3,0)</f>
        <v>1</v>
      </c>
      <c r="Y863" s="7">
        <f>VLOOKUP($D863,NatureChart,4,0)</f>
        <v>0.9</v>
      </c>
      <c r="Z863" s="7">
        <f>VLOOKUP($D863,NatureChart,5,0)</f>
        <v>1</v>
      </c>
      <c r="AA863" s="84">
        <f>VLOOKUP($D863,NatureChart,6,0)</f>
        <v>1.1</v>
      </c>
      <c r="AB863" s="84">
        <f>IF($C863="Shedinja",1,(INT((2*VLOOKUP($C863,DexData,5,0)+INT(Q863/4)+K863)/2)+60))</f>
        <v>173</v>
      </c>
      <c r="AC863" s="84">
        <f>INT(INT((INT((2*VLOOKUP($C863,DexData,6,0)+INT(R863/4)+L863)/2)+5)*W863)*IF($E863="Choice Band",1.5,IF(OR($E863="Mawilite",$E863="Medichamite",$E863="Thick Club"),2,1)))</f>
        <v>217</v>
      </c>
      <c r="AD863" s="84">
        <f>INT(INT((INT((2*VLOOKUP($C863,DexData,7,0)+INT(S863/4)+M863)/2)+5)*X863)*IF($E863="Eviolite",1.5,1))</f>
        <v>80</v>
      </c>
      <c r="AE863" s="84">
        <f>INT(INT((INT((2*VLOOKUP($C863,DexData,9,0)+INT(T863/4)+N863)/2)+5)*Y863)*IF($E863="Choice Specs",1.5,1))</f>
        <v>63</v>
      </c>
      <c r="AF863" s="84">
        <f>INT(INT((INT((2*VLOOKUP($C863,DexData,10,0)+INT(U863/4)+O863)/2)+5)*Z863)*IF(OR($E863="Eviolite",$E863="Assault Vest"),1.5,1))</f>
        <v>70</v>
      </c>
      <c r="AG863" s="84">
        <f>INT(INT((INT((2*VLOOKUP($C863,DexData,11,0)+INT(V863/4)+P863)/2)+5)*AA863)*IF($E863="Choice Scarf",1.5,IF($E863="Iron Ball",0.5,1)))</f>
        <v>181</v>
      </c>
      <c r="AH863" s="84" t="str">
        <f>VLOOKUP(VLOOKUP($C863,DexData,3,0),Aliases!D$2:E$19,2,0)&amp;IFERROR("/"&amp;VLOOKUP(VLOOKUP($C863,DexData,4,0),Aliases!D$2:E$19,2,0),"")</f>
        <v>RCK</v>
      </c>
      <c r="AI863" s="7">
        <v>0.0</v>
      </c>
      <c r="AJ863" s="7">
        <f>IF(VLOOKUP(B863,'Set Odds'!A$2:AN$1067,40,0),1,IF(VLOOKUP(B863,'Set Odds'!A$2:AO$1067,41,0),2,0))</f>
        <v>2</v>
      </c>
      <c r="AK863" s="87" t="s">
        <v>4442</v>
      </c>
      <c r="AL863" s="7" t="str">
        <f t="shared" si="1"/>
        <v/>
      </c>
    </row>
    <row r="864" ht="12.75" customHeight="1">
      <c r="A864" s="86">
        <v>863.0</v>
      </c>
      <c r="B864" s="84" t="s">
        <v>4449</v>
      </c>
      <c r="C864" s="7" t="s">
        <v>3418</v>
      </c>
      <c r="D864" s="7" t="s">
        <v>2827</v>
      </c>
      <c r="E864" s="7" t="s">
        <v>2515</v>
      </c>
      <c r="F864" s="84" t="s">
        <v>3733</v>
      </c>
      <c r="G864" s="84" t="s">
        <v>2823</v>
      </c>
      <c r="H864" s="84" t="s">
        <v>2631</v>
      </c>
      <c r="I864" s="84" t="s">
        <v>2659</v>
      </c>
      <c r="J864" s="7" t="s">
        <v>2714</v>
      </c>
      <c r="K864" s="7">
        <v>31.0</v>
      </c>
      <c r="L864" s="7">
        <v>0.0</v>
      </c>
      <c r="M864" s="7">
        <v>31.0</v>
      </c>
      <c r="N864" s="7">
        <v>31.0</v>
      </c>
      <c r="O864" s="7">
        <v>31.0</v>
      </c>
      <c r="P864" s="7">
        <v>0.0</v>
      </c>
      <c r="Q864" s="7">
        <v>252.0</v>
      </c>
      <c r="R864" s="7">
        <v>0.0</v>
      </c>
      <c r="S864" s="7">
        <v>4.0</v>
      </c>
      <c r="T864" s="7">
        <v>252.0</v>
      </c>
      <c r="U864" s="7">
        <v>0.0</v>
      </c>
      <c r="V864" s="7">
        <v>0.0</v>
      </c>
      <c r="W864" s="7">
        <f>VLOOKUP($D864,NatureChart,2,0)</f>
        <v>1</v>
      </c>
      <c r="X864" s="7">
        <f>VLOOKUP($D864,NatureChart,3,0)</f>
        <v>1</v>
      </c>
      <c r="Y864" s="7">
        <f>VLOOKUP($D864,NatureChart,4,0)</f>
        <v>1.1</v>
      </c>
      <c r="Z864" s="7">
        <f>VLOOKUP($D864,NatureChart,5,0)</f>
        <v>1</v>
      </c>
      <c r="AA864" s="84">
        <f>VLOOKUP($D864,NatureChart,6,0)</f>
        <v>0.9</v>
      </c>
      <c r="AB864" s="84">
        <f>IF($C864="Shedinja",1,(INT((2*VLOOKUP($C864,DexData,5,0)+INT(Q864/4)+K864)/2)+60))</f>
        <v>197</v>
      </c>
      <c r="AC864" s="84">
        <f>INT(INT((INT((2*VLOOKUP($C864,DexData,6,0)+INT(R864/4)+L864)/2)+5)*W864)*IF($E864="Choice Band",1.5,IF(OR($E864="Mawilite",$E864="Medichamite",$E864="Thick Club"),2,1)))</f>
        <v>60</v>
      </c>
      <c r="AD864" s="84">
        <f>INT(INT((INT((2*VLOOKUP($C864,DexData,7,0)+INT(S864/4)+M864)/2)+5)*X864)*IF($E864="Eviolite",1.5,1))</f>
        <v>86</v>
      </c>
      <c r="AE864" s="84">
        <f>INT(INT((INT((2*VLOOKUP($C864,DexData,9,0)+INT(T864/4)+N864)/2)+5)*Y864)*IF($E864="Choice Specs",1.5,1))</f>
        <v>161</v>
      </c>
      <c r="AF864" s="84">
        <f>INT(INT((INT((2*VLOOKUP($C864,DexData,10,0)+INT(U864/4)+O864)/2)+5)*Z864)*IF(OR($E864="Eviolite",$E864="Assault Vest"),1.5,1))</f>
        <v>105</v>
      </c>
      <c r="AG864" s="84">
        <f>INT(INT((INT((2*VLOOKUP($C864,DexData,11,0)+INT(V864/4)+P864)/2)+5)*AA864)*IF($E864="Choice Scarf",1.5,IF($E864="Iron Ball",0.5,1)))</f>
        <v>67</v>
      </c>
      <c r="AH864" s="84" t="str">
        <f>VLOOKUP(VLOOKUP($C864,DexData,3,0),Aliases!D$2:E$19,2,0)&amp;IFERROR("/"&amp;VLOOKUP(VLOOKUP($C864,DexData,4,0),Aliases!D$2:E$19,2,0),"")</f>
        <v>RCK/PSY</v>
      </c>
      <c r="AI864" s="7">
        <v>3.0</v>
      </c>
      <c r="AJ864" s="7">
        <f>IF(VLOOKUP(B864,'Set Odds'!A$2:AN$1067,40,0),1,IF(VLOOKUP(B864,'Set Odds'!A$2:AO$1067,41,0),2,0))</f>
        <v>2</v>
      </c>
      <c r="AK864" s="87" t="s">
        <v>4442</v>
      </c>
      <c r="AL864" s="7" t="str">
        <f t="shared" si="1"/>
        <v/>
      </c>
    </row>
    <row r="865" ht="12.75" customHeight="1">
      <c r="A865" s="86">
        <v>864.0</v>
      </c>
      <c r="B865" s="84" t="s">
        <v>4450</v>
      </c>
      <c r="C865" s="7" t="s">
        <v>3542</v>
      </c>
      <c r="D865" s="7" t="s">
        <v>2827</v>
      </c>
      <c r="E865" s="7" t="s">
        <v>3014</v>
      </c>
      <c r="F865" s="84" t="s">
        <v>3515</v>
      </c>
      <c r="G865" s="84" t="s">
        <v>2660</v>
      </c>
      <c r="H865" s="84" t="s">
        <v>3558</v>
      </c>
      <c r="I865" s="84" t="s">
        <v>2832</v>
      </c>
      <c r="J865" s="7" t="s">
        <v>2742</v>
      </c>
      <c r="K865" s="7">
        <v>31.0</v>
      </c>
      <c r="L865" s="7">
        <v>0.0</v>
      </c>
      <c r="M865" s="7">
        <v>31.0</v>
      </c>
      <c r="N865" s="7">
        <v>31.0</v>
      </c>
      <c r="O865" s="7">
        <v>31.0</v>
      </c>
      <c r="P865" s="7">
        <v>0.0</v>
      </c>
      <c r="Q865" s="7">
        <v>252.0</v>
      </c>
      <c r="R865" s="7">
        <v>0.0</v>
      </c>
      <c r="S865" s="7">
        <v>4.0</v>
      </c>
      <c r="T865" s="7">
        <v>252.0</v>
      </c>
      <c r="U865" s="7">
        <v>0.0</v>
      </c>
      <c r="V865" s="7">
        <v>0.0</v>
      </c>
      <c r="W865" s="7">
        <f>VLOOKUP($D865,NatureChart,2,0)</f>
        <v>1</v>
      </c>
      <c r="X865" s="7">
        <f>VLOOKUP($D865,NatureChart,3,0)</f>
        <v>1</v>
      </c>
      <c r="Y865" s="7">
        <f>VLOOKUP($D865,NatureChart,4,0)</f>
        <v>1.1</v>
      </c>
      <c r="Z865" s="7">
        <f>VLOOKUP($D865,NatureChart,5,0)</f>
        <v>1</v>
      </c>
      <c r="AA865" s="84">
        <f>VLOOKUP($D865,NatureChart,6,0)</f>
        <v>0.9</v>
      </c>
      <c r="AB865" s="84">
        <f>IF($C865="Shedinja",1,(INT((2*VLOOKUP($C865,DexData,5,0)+INT(Q865/4)+K865)/2)+60))</f>
        <v>177</v>
      </c>
      <c r="AC865" s="84">
        <f>INT(INT((INT((2*VLOOKUP($C865,DexData,6,0)+INT(R865/4)+L865)/2)+5)*W865)*IF($E865="Choice Band",1.5,IF(OR($E865="Mawilite",$E865="Medichamite",$E865="Thick Club"),2,1)))</f>
        <v>90</v>
      </c>
      <c r="AD865" s="84">
        <f>INT(INT((INT((2*VLOOKUP($C865,DexData,7,0)+INT(S865/4)+M865)/2)+5)*X865)*IF($E865="Eviolite",1.5,1))</f>
        <v>161</v>
      </c>
      <c r="AE865" s="84">
        <f>INT(INT((INT((2*VLOOKUP($C865,DexData,9,0)+INT(T865/4)+N865)/2)+5)*Y865)*IF($E865="Choice Specs",1.5,1))</f>
        <v>150</v>
      </c>
      <c r="AF865" s="84">
        <f>INT(INT((INT((2*VLOOKUP($C865,DexData,10,0)+INT(U865/4)+O865)/2)+5)*Z865)*IF(OR($E865="Eviolite",$E865="Assault Vest"),1.5,1))</f>
        <v>90</v>
      </c>
      <c r="AG865" s="84">
        <f>INT(INT((INT((2*VLOOKUP($C865,DexData,11,0)+INT(V865/4)+P865)/2)+5)*AA865)*IF($E865="Choice Scarf",1.5,IF($E865="Iron Ball",0.5,1)))</f>
        <v>22</v>
      </c>
      <c r="AH865" s="84" t="str">
        <f>VLOOKUP(VLOOKUP($C865,DexData,3,0),Aliases!D$2:E$19,2,0)&amp;IFERROR("/"&amp;VLOOKUP(VLOOKUP($C865,DexData,4,0),Aliases!D$2:E$19,2,0),"")</f>
        <v>FIR</v>
      </c>
      <c r="AI865" s="7">
        <v>0.0</v>
      </c>
      <c r="AJ865" s="7">
        <f>IF(VLOOKUP(B865,'Set Odds'!A$2:AN$1067,40,0),1,IF(VLOOKUP(B865,'Set Odds'!A$2:AO$1067,41,0),2,0))</f>
        <v>2</v>
      </c>
      <c r="AK865" s="87" t="s">
        <v>4442</v>
      </c>
      <c r="AL865" s="7" t="str">
        <f t="shared" si="1"/>
        <v/>
      </c>
    </row>
    <row r="866" ht="12.75" customHeight="1">
      <c r="A866" s="86">
        <v>865.0</v>
      </c>
      <c r="B866" s="84" t="s">
        <v>4451</v>
      </c>
      <c r="C866" s="7" t="s">
        <v>3802</v>
      </c>
      <c r="D866" s="7" t="s">
        <v>2629</v>
      </c>
      <c r="E866" s="7" t="s">
        <v>3548</v>
      </c>
      <c r="F866" s="84" t="s">
        <v>3803</v>
      </c>
      <c r="G866" s="84" t="s">
        <v>3710</v>
      </c>
      <c r="H866" s="84" t="s">
        <v>3454</v>
      </c>
      <c r="I866" s="84" t="s">
        <v>3626</v>
      </c>
      <c r="J866" s="7" t="s">
        <v>3102</v>
      </c>
      <c r="K866" s="7">
        <v>31.0</v>
      </c>
      <c r="L866" s="7">
        <v>31.0</v>
      </c>
      <c r="M866" s="7">
        <v>31.0</v>
      </c>
      <c r="N866" s="7">
        <v>0.0</v>
      </c>
      <c r="O866" s="7">
        <v>31.0</v>
      </c>
      <c r="P866" s="7">
        <v>0.0</v>
      </c>
      <c r="Q866" s="7">
        <v>252.0</v>
      </c>
      <c r="R866" s="7">
        <v>252.0</v>
      </c>
      <c r="S866" s="7">
        <v>4.0</v>
      </c>
      <c r="T866" s="7">
        <v>0.0</v>
      </c>
      <c r="U866" s="7">
        <v>0.0</v>
      </c>
      <c r="V866" s="7">
        <v>0.0</v>
      </c>
      <c r="W866" s="7">
        <f>VLOOKUP($D866,NatureChart,2,0)</f>
        <v>1.1</v>
      </c>
      <c r="X866" s="7">
        <f>VLOOKUP($D866,NatureChart,3,0)</f>
        <v>1</v>
      </c>
      <c r="Y866" s="7">
        <f>VLOOKUP($D866,NatureChart,4,0)</f>
        <v>1</v>
      </c>
      <c r="Z866" s="7">
        <f>VLOOKUP($D866,NatureChart,5,0)</f>
        <v>1</v>
      </c>
      <c r="AA866" s="84">
        <f>VLOOKUP($D866,NatureChart,6,0)</f>
        <v>0.9</v>
      </c>
      <c r="AB866" s="84">
        <f>IF($C866="Shedinja",1,(INT((2*VLOOKUP($C866,DexData,5,0)+INT(Q866/4)+K866)/2)+60))</f>
        <v>204</v>
      </c>
      <c r="AC866" s="84">
        <f>INT(INT((INT((2*VLOOKUP($C866,DexData,6,0)+INT(R866/4)+L866)/2)+5)*W866)*IF($E866="Choice Band",1.5,IF(OR($E866="Mawilite",$E866="Medichamite",$E866="Thick Club"),2,1)))</f>
        <v>238</v>
      </c>
      <c r="AD866" s="84">
        <f>INT(INT((INT((2*VLOOKUP($C866,DexData,7,0)+INT(S866/4)+M866)/2)+5)*X866)*IF($E866="Eviolite",1.5,1))</f>
        <v>81</v>
      </c>
      <c r="AE866" s="84">
        <f>INT(INT((INT((2*VLOOKUP($C866,DexData,9,0)+INT(T866/4)+N866)/2)+5)*Y866)*IF($E866="Choice Specs",1.5,1))</f>
        <v>70</v>
      </c>
      <c r="AF866" s="84">
        <f>INT(INT((INT((2*VLOOKUP($C866,DexData,10,0)+INT(U866/4)+O866)/2)+5)*Z866)*IF(OR($E866="Eviolite",$E866="Assault Vest"),1.5,1))</f>
        <v>70</v>
      </c>
      <c r="AG866" s="84">
        <f>INT(INT((INT((2*VLOOKUP($C866,DexData,11,0)+INT(V866/4)+P866)/2)+5)*AA866)*IF($E866="Choice Scarf",1.5,IF($E866="Iron Ball",0.5,1)))</f>
        <v>56</v>
      </c>
      <c r="AH866" s="84" t="str">
        <f>VLOOKUP(VLOOKUP($C866,DexData,3,0),Aliases!D$2:E$19,2,0)&amp;IFERROR("/"&amp;VLOOKUP(VLOOKUP($C866,DexData,4,0),Aliases!D$2:E$19,2,0),"")</f>
        <v>RCK</v>
      </c>
      <c r="AI866" s="7">
        <v>0.0</v>
      </c>
      <c r="AJ866" s="7">
        <f>IF(VLOOKUP(B866,'Set Odds'!A$2:AN$1067,40,0),1,IF(VLOOKUP(B866,'Set Odds'!A$2:AO$1067,41,0),2,0))</f>
        <v>2</v>
      </c>
      <c r="AK866" s="87" t="s">
        <v>4442</v>
      </c>
      <c r="AL866" s="7" t="str">
        <f t="shared" si="1"/>
        <v/>
      </c>
    </row>
    <row r="867" ht="12.75" customHeight="1">
      <c r="A867" s="86">
        <v>866.0</v>
      </c>
      <c r="B867" s="84" t="s">
        <v>4452</v>
      </c>
      <c r="C867" s="7" t="s">
        <v>3929</v>
      </c>
      <c r="D867" s="7" t="s">
        <v>2692</v>
      </c>
      <c r="E867" s="7" t="s">
        <v>2665</v>
      </c>
      <c r="F867" s="84" t="s">
        <v>3390</v>
      </c>
      <c r="G867" s="84" t="s">
        <v>2625</v>
      </c>
      <c r="H867" s="84" t="s">
        <v>3160</v>
      </c>
      <c r="I867" s="84" t="s">
        <v>3454</v>
      </c>
      <c r="J867" s="7" t="s">
        <v>3034</v>
      </c>
      <c r="K867" s="7">
        <v>31.0</v>
      </c>
      <c r="L867" s="7">
        <v>31.0</v>
      </c>
      <c r="M867" s="7">
        <v>31.0</v>
      </c>
      <c r="N867" s="7">
        <v>0.0</v>
      </c>
      <c r="O867" s="7">
        <v>31.0</v>
      </c>
      <c r="P867" s="7">
        <v>31.0</v>
      </c>
      <c r="Q867" s="7">
        <v>0.0</v>
      </c>
      <c r="R867" s="7">
        <v>252.0</v>
      </c>
      <c r="S867" s="7">
        <v>4.0</v>
      </c>
      <c r="T867" s="7">
        <v>0.0</v>
      </c>
      <c r="U867" s="7">
        <v>0.0</v>
      </c>
      <c r="V867" s="7">
        <v>252.0</v>
      </c>
      <c r="W867" s="7">
        <f>VLOOKUP($D867,NatureChart,2,0)</f>
        <v>1</v>
      </c>
      <c r="X867" s="7">
        <f>VLOOKUP($D867,NatureChart,3,0)</f>
        <v>1</v>
      </c>
      <c r="Y867" s="7">
        <f>VLOOKUP($D867,NatureChart,4,0)</f>
        <v>0.9</v>
      </c>
      <c r="Z867" s="7">
        <f>VLOOKUP($D867,NatureChart,5,0)</f>
        <v>1</v>
      </c>
      <c r="AA867" s="84">
        <f>VLOOKUP($D867,NatureChart,6,0)</f>
        <v>1.1</v>
      </c>
      <c r="AB867" s="84">
        <f>IF($C867="Shedinja",1,(INT((2*VLOOKUP($C867,DexData,5,0)+INT(Q867/4)+K867)/2)+60))</f>
        <v>175</v>
      </c>
      <c r="AC867" s="84">
        <f>INT(INT((INT((2*VLOOKUP($C867,DexData,6,0)+INT(R867/4)+L867)/2)+5)*W867)*IF($E867="Choice Band",1.5,IF(OR($E867="Mawilite",$E867="Medichamite",$E867="Thick Club"),2,1)))</f>
        <v>186</v>
      </c>
      <c r="AD867" s="84">
        <f>INT(INT((INT((2*VLOOKUP($C867,DexData,7,0)+INT(S867/4)+M867)/2)+5)*X867)*IF($E867="Eviolite",1.5,1))</f>
        <v>131</v>
      </c>
      <c r="AE867" s="84">
        <f>INT(INT((INT((2*VLOOKUP($C867,DexData,9,0)+INT(T867/4)+N867)/2)+5)*Y867)*IF($E867="Choice Specs",1.5,1))</f>
        <v>90</v>
      </c>
      <c r="AF867" s="84">
        <f>INT(INT((INT((2*VLOOKUP($C867,DexData,10,0)+INT(U867/4)+O867)/2)+5)*Z867)*IF(OR($E867="Eviolite",$E867="Assault Vest"),1.5,1))</f>
        <v>120</v>
      </c>
      <c r="AG867" s="84">
        <f>INT(INT((INT((2*VLOOKUP($C867,DexData,11,0)+INT(V867/4)+P867)/2)+5)*AA867)*IF($E867="Choice Scarf",1.5,IF($E867="Iron Ball",0.5,1)))</f>
        <v>186</v>
      </c>
      <c r="AH867" s="84" t="str">
        <f>VLOOKUP(VLOOKUP($C867,DexData,3,0),Aliases!D$2:E$19,2,0)&amp;IFERROR("/"&amp;VLOOKUP(VLOOKUP($C867,DexData,4,0),Aliases!D$2:E$19,2,0),"")</f>
        <v>RCK/DRK</v>
      </c>
      <c r="AI867" s="7">
        <v>0.0</v>
      </c>
      <c r="AJ867" s="7">
        <f>IF(VLOOKUP(B867,'Set Odds'!A$2:AN$1067,40,0),1,IF(VLOOKUP(B867,'Set Odds'!A$2:AO$1067,41,0),2,0))</f>
        <v>2</v>
      </c>
      <c r="AK867" s="87" t="s">
        <v>4453</v>
      </c>
      <c r="AL867" s="7" t="str">
        <f t="shared" si="1"/>
        <v/>
      </c>
    </row>
    <row r="868" ht="12.75" customHeight="1">
      <c r="A868" s="86">
        <v>867.0</v>
      </c>
      <c r="B868" s="84" t="s">
        <v>4454</v>
      </c>
      <c r="C868" s="7" t="s">
        <v>3783</v>
      </c>
      <c r="D868" s="7" t="s">
        <v>2571</v>
      </c>
      <c r="E868" s="7" t="s">
        <v>2885</v>
      </c>
      <c r="F868" s="84" t="s">
        <v>3784</v>
      </c>
      <c r="G868" s="84" t="s">
        <v>2602</v>
      </c>
      <c r="H868" s="84" t="s">
        <v>3535</v>
      </c>
      <c r="I868" s="84" t="s">
        <v>3314</v>
      </c>
      <c r="J868" s="7" t="s">
        <v>3412</v>
      </c>
      <c r="K868" s="7">
        <v>31.0</v>
      </c>
      <c r="L868" s="7">
        <v>31.0</v>
      </c>
      <c r="M868" s="7">
        <v>31.0</v>
      </c>
      <c r="N868" s="7">
        <v>0.0</v>
      </c>
      <c r="O868" s="7">
        <v>31.0</v>
      </c>
      <c r="P868" s="7">
        <v>31.0</v>
      </c>
      <c r="Q868" s="7">
        <v>236.0</v>
      </c>
      <c r="R868" s="7">
        <v>252.0</v>
      </c>
      <c r="S868" s="7">
        <v>20.0</v>
      </c>
      <c r="T868" s="7">
        <v>0.0</v>
      </c>
      <c r="U868" s="7">
        <v>0.0</v>
      </c>
      <c r="V868" s="7">
        <v>0.0</v>
      </c>
      <c r="W868" s="7">
        <f>VLOOKUP($D868,NatureChart,2,0)</f>
        <v>1.1</v>
      </c>
      <c r="X868" s="7">
        <f>VLOOKUP($D868,NatureChart,3,0)</f>
        <v>1</v>
      </c>
      <c r="Y868" s="7">
        <f>VLOOKUP($D868,NatureChart,4,0)</f>
        <v>0.9</v>
      </c>
      <c r="Z868" s="7">
        <f>VLOOKUP($D868,NatureChart,5,0)</f>
        <v>1</v>
      </c>
      <c r="AA868" s="84">
        <f>VLOOKUP($D868,NatureChart,6,0)</f>
        <v>1</v>
      </c>
      <c r="AB868" s="84">
        <f>IF($C868="Shedinja",1,(INT((2*VLOOKUP($C868,DexData,5,0)+INT(Q868/4)+K868)/2)+60))</f>
        <v>175</v>
      </c>
      <c r="AC868" s="84">
        <f>INT(INT((INT((2*VLOOKUP($C868,DexData,6,0)+INT(R868/4)+L868)/2)+5)*W868)*IF($E868="Choice Band",1.5,IF(OR($E868="Mawilite",$E868="Medichamite",$E868="Thick Club"),2,1)))</f>
        <v>300</v>
      </c>
      <c r="AD868" s="84">
        <f>INT(INT((INT((2*VLOOKUP($C868,DexData,7,0)+INT(S868/4)+M868)/2)+5)*X868)*IF($E868="Eviolite",1.5,1))</f>
        <v>123</v>
      </c>
      <c r="AE868" s="84">
        <f>INT(INT((INT((2*VLOOKUP($C868,DexData,9,0)+INT(T868/4)+N868)/2)+5)*Y868)*IF($E868="Choice Specs",1.5,1))</f>
        <v>54</v>
      </c>
      <c r="AF868" s="84">
        <f>INT(INT((INT((2*VLOOKUP($C868,DexData,10,0)+INT(U868/4)+O868)/2)+5)*Z868)*IF(OR($E868="Eviolite",$E868="Assault Vest"),1.5,1))</f>
        <v>100</v>
      </c>
      <c r="AG868" s="84">
        <f>INT(INT((INT((2*VLOOKUP($C868,DexData,11,0)+INT(V868/4)+P868)/2)+5)*AA868)*IF($E868="Choice Scarf",1.5,IF($E868="Iron Ball",0.5,1)))</f>
        <v>85</v>
      </c>
      <c r="AH868" s="84" t="str">
        <f>VLOOKUP(VLOOKUP($C868,DexData,3,0),Aliases!D$2:E$19,2,0)&amp;IFERROR("/"&amp;VLOOKUP(VLOOKUP($C868,DexData,4,0),Aliases!D$2:E$19,2,0),"")</f>
        <v>BUG/STL</v>
      </c>
      <c r="AI868" s="7">
        <v>0.0</v>
      </c>
      <c r="AJ868" s="7">
        <f>IF(VLOOKUP(B868,'Set Odds'!A$2:AN$1067,40,0),1,IF(VLOOKUP(B868,'Set Odds'!A$2:AO$1067,41,0),2,0))</f>
        <v>2</v>
      </c>
      <c r="AK868" s="87" t="s">
        <v>4455</v>
      </c>
      <c r="AL868" s="7" t="str">
        <f t="shared" si="1"/>
        <v/>
      </c>
    </row>
    <row r="869" ht="12.75" customHeight="1">
      <c r="A869" s="86">
        <v>868.0</v>
      </c>
      <c r="B869" s="84" t="s">
        <v>4456</v>
      </c>
      <c r="C869" s="7" t="s">
        <v>3802</v>
      </c>
      <c r="D869" s="7" t="s">
        <v>2692</v>
      </c>
      <c r="E869" s="7" t="s">
        <v>2515</v>
      </c>
      <c r="F869" s="84" t="s">
        <v>3803</v>
      </c>
      <c r="G869" s="84" t="s">
        <v>3710</v>
      </c>
      <c r="H869" s="84" t="s">
        <v>3950</v>
      </c>
      <c r="I869" s="84" t="s">
        <v>2517</v>
      </c>
      <c r="J869" s="7" t="s">
        <v>3102</v>
      </c>
      <c r="K869" s="7">
        <v>31.0</v>
      </c>
      <c r="L869" s="7">
        <v>31.0</v>
      </c>
      <c r="M869" s="7">
        <v>31.0</v>
      </c>
      <c r="N869" s="7">
        <v>0.0</v>
      </c>
      <c r="O869" s="7">
        <v>31.0</v>
      </c>
      <c r="P869" s="7">
        <v>31.0</v>
      </c>
      <c r="Q869" s="7">
        <v>4.0</v>
      </c>
      <c r="R869" s="7">
        <v>252.0</v>
      </c>
      <c r="S869" s="7">
        <v>0.0</v>
      </c>
      <c r="T869" s="7">
        <v>0.0</v>
      </c>
      <c r="U869" s="7">
        <v>0.0</v>
      </c>
      <c r="V869" s="7">
        <v>252.0</v>
      </c>
      <c r="W869" s="7">
        <f>VLOOKUP($D869,NatureChart,2,0)</f>
        <v>1</v>
      </c>
      <c r="X869" s="7">
        <f>VLOOKUP($D869,NatureChart,3,0)</f>
        <v>1</v>
      </c>
      <c r="Y869" s="7">
        <f>VLOOKUP($D869,NatureChart,4,0)</f>
        <v>0.9</v>
      </c>
      <c r="Z869" s="7">
        <f>VLOOKUP($D869,NatureChart,5,0)</f>
        <v>1</v>
      </c>
      <c r="AA869" s="84">
        <f>VLOOKUP($D869,NatureChart,6,0)</f>
        <v>1.1</v>
      </c>
      <c r="AB869" s="84">
        <f>IF($C869="Shedinja",1,(INT((2*VLOOKUP($C869,DexData,5,0)+INT(Q869/4)+K869)/2)+60))</f>
        <v>173</v>
      </c>
      <c r="AC869" s="84">
        <f>INT(INT((INT((2*VLOOKUP($C869,DexData,6,0)+INT(R869/4)+L869)/2)+5)*W869)*IF($E869="Choice Band",1.5,IF(OR($E869="Mawilite",$E869="Medichamite",$E869="Thick Club"),2,1)))</f>
        <v>217</v>
      </c>
      <c r="AD869" s="84">
        <f>INT(INT((INT((2*VLOOKUP($C869,DexData,7,0)+INT(S869/4)+M869)/2)+5)*X869)*IF($E869="Eviolite",1.5,1))</f>
        <v>80</v>
      </c>
      <c r="AE869" s="84">
        <f>INT(INT((INT((2*VLOOKUP($C869,DexData,9,0)+INT(T869/4)+N869)/2)+5)*Y869)*IF($E869="Choice Specs",1.5,1))</f>
        <v>63</v>
      </c>
      <c r="AF869" s="84">
        <f>INT(INT((INT((2*VLOOKUP($C869,DexData,10,0)+INT(U869/4)+O869)/2)+5)*Z869)*IF(OR($E869="Eviolite",$E869="Assault Vest"),1.5,1))</f>
        <v>70</v>
      </c>
      <c r="AG869" s="84">
        <f>INT(INT((INT((2*VLOOKUP($C869,DexData,11,0)+INT(V869/4)+P869)/2)+5)*AA869)*IF($E869="Choice Scarf",1.5,IF($E869="Iron Ball",0.5,1)))</f>
        <v>121</v>
      </c>
      <c r="AH869" s="84" t="str">
        <f>VLOOKUP(VLOOKUP($C869,DexData,3,0),Aliases!D$2:E$19,2,0)&amp;IFERROR("/"&amp;VLOOKUP(VLOOKUP($C869,DexData,4,0),Aliases!D$2:E$19,2,0),"")</f>
        <v>RCK</v>
      </c>
      <c r="AI869" s="7">
        <v>0.0</v>
      </c>
      <c r="AJ869" s="7">
        <f>IF(VLOOKUP(B869,'Set Odds'!A$2:AN$1067,40,0),1,IF(VLOOKUP(B869,'Set Odds'!A$2:AO$1067,41,0),2,0))</f>
        <v>2</v>
      </c>
      <c r="AK869" s="87" t="s">
        <v>4453</v>
      </c>
      <c r="AL869" s="7" t="str">
        <f t="shared" si="1"/>
        <v/>
      </c>
    </row>
    <row r="870" ht="12.75" customHeight="1">
      <c r="A870" s="86">
        <v>869.0</v>
      </c>
      <c r="B870" s="84" t="s">
        <v>4457</v>
      </c>
      <c r="C870" s="7" t="s">
        <v>3753</v>
      </c>
      <c r="D870" s="7" t="s">
        <v>2571</v>
      </c>
      <c r="E870" s="7" t="s">
        <v>2527</v>
      </c>
      <c r="F870" s="84" t="s">
        <v>3754</v>
      </c>
      <c r="G870" s="84" t="s">
        <v>2625</v>
      </c>
      <c r="H870" s="84" t="s">
        <v>3626</v>
      </c>
      <c r="I870" s="84" t="s">
        <v>4334</v>
      </c>
      <c r="J870" s="7" t="s">
        <v>2728</v>
      </c>
      <c r="K870" s="7">
        <v>31.0</v>
      </c>
      <c r="L870" s="7">
        <v>31.0</v>
      </c>
      <c r="M870" s="7">
        <v>31.0</v>
      </c>
      <c r="N870" s="7">
        <v>0.0</v>
      </c>
      <c r="O870" s="7">
        <v>31.0</v>
      </c>
      <c r="P870" s="7">
        <v>31.0</v>
      </c>
      <c r="Q870" s="7">
        <v>4.0</v>
      </c>
      <c r="R870" s="7">
        <v>252.0</v>
      </c>
      <c r="S870" s="7">
        <v>0.0</v>
      </c>
      <c r="T870" s="7">
        <v>0.0</v>
      </c>
      <c r="U870" s="7">
        <v>0.0</v>
      </c>
      <c r="V870" s="7">
        <v>252.0</v>
      </c>
      <c r="W870" s="7">
        <f>VLOOKUP($D870,NatureChart,2,0)</f>
        <v>1.1</v>
      </c>
      <c r="X870" s="7">
        <f>VLOOKUP($D870,NatureChart,3,0)</f>
        <v>1</v>
      </c>
      <c r="Y870" s="7">
        <f>VLOOKUP($D870,NatureChart,4,0)</f>
        <v>0.9</v>
      </c>
      <c r="Z870" s="7">
        <f>VLOOKUP($D870,NatureChart,5,0)</f>
        <v>1</v>
      </c>
      <c r="AA870" s="84">
        <f>VLOOKUP($D870,NatureChart,6,0)</f>
        <v>1</v>
      </c>
      <c r="AB870" s="84">
        <f>IF($C870="Shedinja",1,(INT((2*VLOOKUP($C870,DexData,5,0)+INT(Q870/4)+K870)/2)+60))</f>
        <v>136</v>
      </c>
      <c r="AC870" s="84">
        <f>INT(INT((INT((2*VLOOKUP($C870,DexData,6,0)+INT(R870/4)+L870)/2)+5)*W870)*IF($E870="Choice Band",1.5,IF(OR($E870="Mawilite",$E870="Medichamite",$E870="Thick Club"),2,1)))</f>
        <v>114</v>
      </c>
      <c r="AD870" s="84">
        <f>INT(INT((INT((2*VLOOKUP($C870,DexData,7,0)+INT(S870/4)+M870)/2)+5)*X870)*IF($E870="Eviolite",1.5,1))</f>
        <v>188</v>
      </c>
      <c r="AE870" s="84">
        <f>INT(INT((INT((2*VLOOKUP($C870,DexData,9,0)+INT(T870/4)+N870)/2)+5)*Y870)*IF($E870="Choice Specs",1.5,1))</f>
        <v>46</v>
      </c>
      <c r="AF870" s="84">
        <f>INT(INT((INT((2*VLOOKUP($C870,DexData,10,0)+INT(U870/4)+O870)/2)+5)*Z870)*IF(OR($E870="Eviolite",$E870="Assault Vest"),1.5,1))</f>
        <v>158</v>
      </c>
      <c r="AG870" s="84">
        <f>INT(INT((INT((2*VLOOKUP($C870,DexData,11,0)+INT(V870/4)+P870)/2)+5)*AA870)*IF($E870="Choice Scarf",1.5,IF($E870="Iron Ball",0.5,1)))</f>
        <v>82</v>
      </c>
      <c r="AH870" s="84" t="str">
        <f>VLOOKUP(VLOOKUP($C870,DexData,3,0),Aliases!D$2:E$19,2,0)&amp;IFERROR("/"&amp;VLOOKUP(VLOOKUP($C870,DexData,4,0),Aliases!D$2:E$19,2,0),"")</f>
        <v>RCK/STL</v>
      </c>
      <c r="AI870" s="7">
        <v>0.0</v>
      </c>
      <c r="AJ870" s="7">
        <f>IF(VLOOKUP(B870,'Set Odds'!A$2:AN$1067,40,0),1,IF(VLOOKUP(B870,'Set Odds'!A$2:AO$1067,41,0),2,0))</f>
        <v>2</v>
      </c>
      <c r="AK870" s="87" t="s">
        <v>4455</v>
      </c>
      <c r="AL870" s="7" t="str">
        <f t="shared" si="1"/>
        <v/>
      </c>
    </row>
    <row r="871" ht="12.75" customHeight="1">
      <c r="A871" s="86">
        <v>870.0</v>
      </c>
      <c r="B871" s="84" t="s">
        <v>4458</v>
      </c>
      <c r="C871" s="7" t="s">
        <v>3802</v>
      </c>
      <c r="D871" s="7" t="s">
        <v>2629</v>
      </c>
      <c r="E871" s="7" t="s">
        <v>3548</v>
      </c>
      <c r="F871" s="84" t="s">
        <v>2517</v>
      </c>
      <c r="G871" s="84" t="s">
        <v>3441</v>
      </c>
      <c r="H871" s="84" t="s">
        <v>3710</v>
      </c>
      <c r="I871" s="84" t="s">
        <v>2581</v>
      </c>
      <c r="J871" s="7" t="s">
        <v>3745</v>
      </c>
      <c r="K871" s="7">
        <v>31.0</v>
      </c>
      <c r="L871" s="7">
        <v>31.0</v>
      </c>
      <c r="M871" s="7">
        <v>31.0</v>
      </c>
      <c r="N871" s="7">
        <v>0.0</v>
      </c>
      <c r="O871" s="7">
        <v>31.0</v>
      </c>
      <c r="P871" s="7">
        <v>0.0</v>
      </c>
      <c r="Q871" s="7">
        <v>252.0</v>
      </c>
      <c r="R871" s="7">
        <v>252.0</v>
      </c>
      <c r="S871" s="7">
        <v>4.0</v>
      </c>
      <c r="T871" s="7">
        <v>0.0</v>
      </c>
      <c r="U871" s="7">
        <v>0.0</v>
      </c>
      <c r="V871" s="7">
        <v>0.0</v>
      </c>
      <c r="W871" s="7">
        <f>VLOOKUP($D871,NatureChart,2,0)</f>
        <v>1.1</v>
      </c>
      <c r="X871" s="7">
        <f>VLOOKUP($D871,NatureChart,3,0)</f>
        <v>1</v>
      </c>
      <c r="Y871" s="7">
        <f>VLOOKUP($D871,NatureChart,4,0)</f>
        <v>1</v>
      </c>
      <c r="Z871" s="7">
        <f>VLOOKUP($D871,NatureChart,5,0)</f>
        <v>1</v>
      </c>
      <c r="AA871" s="84">
        <f>VLOOKUP($D871,NatureChart,6,0)</f>
        <v>0.9</v>
      </c>
      <c r="AB871" s="84">
        <f>IF($C871="Shedinja",1,(INT((2*VLOOKUP($C871,DexData,5,0)+INT(Q871/4)+K871)/2)+60))</f>
        <v>204</v>
      </c>
      <c r="AC871" s="84">
        <f>INT(INT((INT((2*VLOOKUP($C871,DexData,6,0)+INT(R871/4)+L871)/2)+5)*W871)*IF($E871="Choice Band",1.5,IF(OR($E871="Mawilite",$E871="Medichamite",$E871="Thick Club"),2,1)))</f>
        <v>238</v>
      </c>
      <c r="AD871" s="84">
        <f>INT(INT((INT((2*VLOOKUP($C871,DexData,7,0)+INT(S871/4)+M871)/2)+5)*X871)*IF($E871="Eviolite",1.5,1))</f>
        <v>81</v>
      </c>
      <c r="AE871" s="84">
        <f>INT(INT((INT((2*VLOOKUP($C871,DexData,9,0)+INT(T871/4)+N871)/2)+5)*Y871)*IF($E871="Choice Specs",1.5,1))</f>
        <v>70</v>
      </c>
      <c r="AF871" s="84">
        <f>INT(INT((INT((2*VLOOKUP($C871,DexData,10,0)+INT(U871/4)+O871)/2)+5)*Z871)*IF(OR($E871="Eviolite",$E871="Assault Vest"),1.5,1))</f>
        <v>70</v>
      </c>
      <c r="AG871" s="84">
        <f>INT(INT((INT((2*VLOOKUP($C871,DexData,11,0)+INT(V871/4)+P871)/2)+5)*AA871)*IF($E871="Choice Scarf",1.5,IF($E871="Iron Ball",0.5,1)))</f>
        <v>56</v>
      </c>
      <c r="AH871" s="84" t="str">
        <f>VLOOKUP(VLOOKUP($C871,DexData,3,0),Aliases!D$2:E$19,2,0)&amp;IFERROR("/"&amp;VLOOKUP(VLOOKUP($C871,DexData,4,0),Aliases!D$2:E$19,2,0),"")</f>
        <v>RCK</v>
      </c>
      <c r="AI871" s="7">
        <v>0.0</v>
      </c>
      <c r="AJ871" s="7">
        <f>IF(VLOOKUP(B871,'Set Odds'!A$2:AN$1067,40,0),1,IF(VLOOKUP(B871,'Set Odds'!A$2:AO$1067,41,0),2,0))</f>
        <v>2</v>
      </c>
      <c r="AK871" s="87" t="s">
        <v>4453</v>
      </c>
      <c r="AL871" s="7" t="str">
        <f t="shared" si="1"/>
        <v/>
      </c>
    </row>
    <row r="872" ht="12.75" customHeight="1">
      <c r="A872" s="86">
        <v>871.0</v>
      </c>
      <c r="B872" s="84" t="s">
        <v>4459</v>
      </c>
      <c r="C872" s="7" t="s">
        <v>3805</v>
      </c>
      <c r="D872" s="7" t="s">
        <v>2629</v>
      </c>
      <c r="E872" s="7" t="s">
        <v>2846</v>
      </c>
      <c r="F872" s="84" t="s">
        <v>3733</v>
      </c>
      <c r="G872" s="84" t="s">
        <v>2798</v>
      </c>
      <c r="H872" s="84" t="s">
        <v>2625</v>
      </c>
      <c r="I872" s="84" t="s">
        <v>3710</v>
      </c>
      <c r="J872" s="7" t="s">
        <v>2714</v>
      </c>
      <c r="K872" s="7">
        <v>31.0</v>
      </c>
      <c r="L872" s="7">
        <v>31.0</v>
      </c>
      <c r="M872" s="7">
        <v>31.0</v>
      </c>
      <c r="N872" s="7">
        <v>0.0</v>
      </c>
      <c r="O872" s="7">
        <v>31.0</v>
      </c>
      <c r="P872" s="7">
        <v>0.0</v>
      </c>
      <c r="Q872" s="7">
        <v>252.0</v>
      </c>
      <c r="R872" s="7">
        <v>252.0</v>
      </c>
      <c r="S872" s="7">
        <v>4.0</v>
      </c>
      <c r="T872" s="7">
        <v>0.0</v>
      </c>
      <c r="U872" s="7">
        <v>0.0</v>
      </c>
      <c r="V872" s="7">
        <v>0.0</v>
      </c>
      <c r="W872" s="7">
        <f>VLOOKUP($D872,NatureChart,2,0)</f>
        <v>1.1</v>
      </c>
      <c r="X872" s="7">
        <f>VLOOKUP($D872,NatureChart,3,0)</f>
        <v>1</v>
      </c>
      <c r="Y872" s="7">
        <f>VLOOKUP($D872,NatureChart,4,0)</f>
        <v>1</v>
      </c>
      <c r="Z872" s="7">
        <f>VLOOKUP($D872,NatureChart,5,0)</f>
        <v>1</v>
      </c>
      <c r="AA872" s="84">
        <f>VLOOKUP($D872,NatureChart,6,0)</f>
        <v>0.9</v>
      </c>
      <c r="AB872" s="84">
        <f>IF($C872="Shedinja",1,(INT((2*VLOOKUP($C872,DexData,5,0)+INT(Q872/4)+K872)/2)+60))</f>
        <v>174</v>
      </c>
      <c r="AC872" s="84">
        <f>INT(INT((INT((2*VLOOKUP($C872,DexData,6,0)+INT(R872/4)+L872)/2)+5)*W872)*IF($E872="Choice Band",1.5,IF(OR($E872="Mawilite",$E872="Medichamite",$E872="Thick Club"),2,1)))</f>
        <v>155</v>
      </c>
      <c r="AD872" s="84">
        <f>INT(INT((INT((2*VLOOKUP($C872,DexData,7,0)+INT(S872/4)+M872)/2)+5)*X872)*IF($E872="Eviolite",1.5,1))</f>
        <v>137</v>
      </c>
      <c r="AE872" s="84">
        <f>INT(INT((INT((2*VLOOKUP($C872,DexData,9,0)+INT(T872/4)+N872)/2)+5)*Y872)*IF($E872="Choice Specs",1.5,1))</f>
        <v>84</v>
      </c>
      <c r="AF872" s="84">
        <f>INT(INT((INT((2*VLOOKUP($C872,DexData,10,0)+INT(U872/4)+O872)/2)+5)*Z872)*IF(OR($E872="Eviolite",$E872="Assault Vest"),1.5,1))</f>
        <v>136</v>
      </c>
      <c r="AG872" s="84">
        <f>INT(INT((INT((2*VLOOKUP($C872,DexData,11,0)+INT(V872/4)+P872)/2)+5)*AA872)*IF($E872="Choice Scarf",1.5,IF($E872="Iron Ball",0.5,1)))</f>
        <v>34</v>
      </c>
      <c r="AH872" s="84" t="str">
        <f>VLOOKUP(VLOOKUP($C872,DexData,3,0),Aliases!D$2:E$19,2,0)&amp;IFERROR("/"&amp;VLOOKUP(VLOOKUP($C872,DexData,4,0),Aliases!D$2:E$19,2,0),"")</f>
        <v>STL/PSY</v>
      </c>
      <c r="AI872" s="7">
        <v>3.0</v>
      </c>
      <c r="AJ872" s="7">
        <f>IF(VLOOKUP(B872,'Set Odds'!A$2:AN$1067,40,0),1,IF(VLOOKUP(B872,'Set Odds'!A$2:AO$1067,41,0),2,0))</f>
        <v>2</v>
      </c>
      <c r="AK872" s="87" t="s">
        <v>4455</v>
      </c>
      <c r="AL872" s="7" t="str">
        <f t="shared" si="1"/>
        <v/>
      </c>
    </row>
    <row r="873" ht="12.75" customHeight="1">
      <c r="A873" s="86">
        <v>872.0</v>
      </c>
      <c r="B873" s="84" t="s">
        <v>4460</v>
      </c>
      <c r="C873" s="7" t="s">
        <v>3929</v>
      </c>
      <c r="D873" s="7" t="s">
        <v>2571</v>
      </c>
      <c r="E873" s="7" t="s">
        <v>3889</v>
      </c>
      <c r="F873" s="84" t="s">
        <v>2625</v>
      </c>
      <c r="G873" s="84" t="s">
        <v>3390</v>
      </c>
      <c r="H873" s="84" t="s">
        <v>3160</v>
      </c>
      <c r="I873" s="84" t="s">
        <v>2727</v>
      </c>
      <c r="J873" s="7" t="s">
        <v>3034</v>
      </c>
      <c r="K873" s="7">
        <v>31.0</v>
      </c>
      <c r="L873" s="7">
        <v>31.0</v>
      </c>
      <c r="M873" s="7">
        <v>31.0</v>
      </c>
      <c r="N873" s="7">
        <v>0.0</v>
      </c>
      <c r="O873" s="7">
        <v>31.0</v>
      </c>
      <c r="P873" s="7">
        <v>31.0</v>
      </c>
      <c r="Q873" s="7">
        <v>252.0</v>
      </c>
      <c r="R873" s="7">
        <v>252.0</v>
      </c>
      <c r="S873" s="7">
        <v>4.0</v>
      </c>
      <c r="T873" s="7">
        <v>0.0</v>
      </c>
      <c r="U873" s="7">
        <v>0.0</v>
      </c>
      <c r="V873" s="7">
        <v>0.0</v>
      </c>
      <c r="W873" s="7">
        <f>VLOOKUP($D873,NatureChart,2,0)</f>
        <v>1.1</v>
      </c>
      <c r="X873" s="7">
        <f>VLOOKUP($D873,NatureChart,3,0)</f>
        <v>1</v>
      </c>
      <c r="Y873" s="7">
        <f>VLOOKUP($D873,NatureChart,4,0)</f>
        <v>0.9</v>
      </c>
      <c r="Z873" s="7">
        <f>VLOOKUP($D873,NatureChart,5,0)</f>
        <v>1</v>
      </c>
      <c r="AA873" s="84">
        <f>VLOOKUP($D873,NatureChart,6,0)</f>
        <v>1</v>
      </c>
      <c r="AB873" s="84">
        <f>IF($C873="Shedinja",1,(INT((2*VLOOKUP($C873,DexData,5,0)+INT(Q873/4)+K873)/2)+60))</f>
        <v>207</v>
      </c>
      <c r="AC873" s="84">
        <f>INT(INT((INT((2*VLOOKUP($C873,DexData,6,0)+INT(R873/4)+L873)/2)+5)*W873)*IF($E873="Choice Band",1.5,IF(OR($E873="Mawilite",$E873="Medichamite",$E873="Thick Club"),2,1)))</f>
        <v>204</v>
      </c>
      <c r="AD873" s="84">
        <f>INT(INT((INT((2*VLOOKUP($C873,DexData,7,0)+INT(S873/4)+M873)/2)+5)*X873)*IF($E873="Eviolite",1.5,1))</f>
        <v>131</v>
      </c>
      <c r="AE873" s="84">
        <f>INT(INT((INT((2*VLOOKUP($C873,DexData,9,0)+INT(T873/4)+N873)/2)+5)*Y873)*IF($E873="Choice Specs",1.5,1))</f>
        <v>90</v>
      </c>
      <c r="AF873" s="84">
        <f>INT(INT((INT((2*VLOOKUP($C873,DexData,10,0)+INT(U873/4)+O873)/2)+5)*Z873)*IF(OR($E873="Eviolite",$E873="Assault Vest"),1.5,1))</f>
        <v>120</v>
      </c>
      <c r="AG873" s="84">
        <f>INT(INT((INT((2*VLOOKUP($C873,DexData,11,0)+INT(V873/4)+P873)/2)+5)*AA873)*IF($E873="Choice Scarf",1.5,IF($E873="Iron Ball",0.5,1)))</f>
        <v>81</v>
      </c>
      <c r="AH873" s="84" t="str">
        <f>VLOOKUP(VLOOKUP($C873,DexData,3,0),Aliases!D$2:E$19,2,0)&amp;IFERROR("/"&amp;VLOOKUP(VLOOKUP($C873,DexData,4,0),Aliases!D$2:E$19,2,0),"")</f>
        <v>RCK/DRK</v>
      </c>
      <c r="AI873" s="7">
        <v>0.0</v>
      </c>
      <c r="AJ873" s="7">
        <f>IF(VLOOKUP(B873,'Set Odds'!A$2:AN$1067,40,0),1,IF(VLOOKUP(B873,'Set Odds'!A$2:AO$1067,41,0),2,0))</f>
        <v>2</v>
      </c>
      <c r="AK873" s="87" t="s">
        <v>4453</v>
      </c>
      <c r="AL873" s="7" t="str">
        <f t="shared" si="1"/>
        <v/>
      </c>
    </row>
    <row r="874" ht="12.75" customHeight="1">
      <c r="A874" s="86">
        <v>873.0</v>
      </c>
      <c r="B874" s="84" t="s">
        <v>4461</v>
      </c>
      <c r="C874" s="7" t="s">
        <v>3753</v>
      </c>
      <c r="D874" s="7" t="s">
        <v>2571</v>
      </c>
      <c r="E874" s="7" t="s">
        <v>2618</v>
      </c>
      <c r="F874" s="84" t="s">
        <v>3626</v>
      </c>
      <c r="G874" s="84" t="s">
        <v>2625</v>
      </c>
      <c r="H874" s="84" t="s">
        <v>2514</v>
      </c>
      <c r="I874" s="84" t="s">
        <v>2593</v>
      </c>
      <c r="J874" s="7" t="s">
        <v>2728</v>
      </c>
      <c r="K874" s="7">
        <v>31.0</v>
      </c>
      <c r="L874" s="7">
        <v>31.0</v>
      </c>
      <c r="M874" s="7">
        <v>31.0</v>
      </c>
      <c r="N874" s="7">
        <v>0.0</v>
      </c>
      <c r="O874" s="7">
        <v>31.0</v>
      </c>
      <c r="P874" s="7">
        <v>31.0</v>
      </c>
      <c r="Q874" s="7">
        <v>4.0</v>
      </c>
      <c r="R874" s="7">
        <v>252.0</v>
      </c>
      <c r="S874" s="7">
        <v>0.0</v>
      </c>
      <c r="T874" s="7">
        <v>0.0</v>
      </c>
      <c r="U874" s="7">
        <v>0.0</v>
      </c>
      <c r="V874" s="7">
        <v>252.0</v>
      </c>
      <c r="W874" s="7">
        <f>VLOOKUP($D874,NatureChart,2,0)</f>
        <v>1.1</v>
      </c>
      <c r="X874" s="7">
        <f>VLOOKUP($D874,NatureChart,3,0)</f>
        <v>1</v>
      </c>
      <c r="Y874" s="7">
        <f>VLOOKUP($D874,NatureChart,4,0)</f>
        <v>0.9</v>
      </c>
      <c r="Z874" s="7">
        <f>VLOOKUP($D874,NatureChart,5,0)</f>
        <v>1</v>
      </c>
      <c r="AA874" s="84">
        <f>VLOOKUP($D874,NatureChart,6,0)</f>
        <v>1</v>
      </c>
      <c r="AB874" s="84">
        <f>IF($C874="Shedinja",1,(INT((2*VLOOKUP($C874,DexData,5,0)+INT(Q874/4)+K874)/2)+60))</f>
        <v>136</v>
      </c>
      <c r="AC874" s="84">
        <f>INT(INT((INT((2*VLOOKUP($C874,DexData,6,0)+INT(R874/4)+L874)/2)+5)*W874)*IF($E874="Choice Band",1.5,IF(OR($E874="Mawilite",$E874="Medichamite",$E874="Thick Club"),2,1)))</f>
        <v>114</v>
      </c>
      <c r="AD874" s="84">
        <f>INT(INT((INT((2*VLOOKUP($C874,DexData,7,0)+INT(S874/4)+M874)/2)+5)*X874)*IF($E874="Eviolite",1.5,1))</f>
        <v>188</v>
      </c>
      <c r="AE874" s="84">
        <f>INT(INT((INT((2*VLOOKUP($C874,DexData,9,0)+INT(T874/4)+N874)/2)+5)*Y874)*IF($E874="Choice Specs",1.5,1))</f>
        <v>46</v>
      </c>
      <c r="AF874" s="84">
        <f>INT(INT((INT((2*VLOOKUP($C874,DexData,10,0)+INT(U874/4)+O874)/2)+5)*Z874)*IF(OR($E874="Eviolite",$E874="Assault Vest"),1.5,1))</f>
        <v>158</v>
      </c>
      <c r="AG874" s="84">
        <f>INT(INT((INT((2*VLOOKUP($C874,DexData,11,0)+INT(V874/4)+P874)/2)+5)*AA874)*IF($E874="Choice Scarf",1.5,IF($E874="Iron Ball",0.5,1)))</f>
        <v>82</v>
      </c>
      <c r="AH874" s="84" t="str">
        <f>VLOOKUP(VLOOKUP($C874,DexData,3,0),Aliases!D$2:E$19,2,0)&amp;IFERROR("/"&amp;VLOOKUP(VLOOKUP($C874,DexData,4,0),Aliases!D$2:E$19,2,0),"")</f>
        <v>RCK/STL</v>
      </c>
      <c r="AI874" s="7">
        <v>0.0</v>
      </c>
      <c r="AJ874" s="7">
        <f>IF(VLOOKUP(B874,'Set Odds'!A$2:AN$1067,40,0),1,IF(VLOOKUP(B874,'Set Odds'!A$2:AO$1067,41,0),2,0))</f>
        <v>2</v>
      </c>
      <c r="AK874" s="87" t="s">
        <v>4455</v>
      </c>
      <c r="AL874" s="7" t="str">
        <f t="shared" si="1"/>
        <v/>
      </c>
    </row>
    <row r="875" ht="12.75" customHeight="1">
      <c r="A875" s="86">
        <v>874.0</v>
      </c>
      <c r="B875" s="84" t="s">
        <v>4462</v>
      </c>
      <c r="C875" s="7" t="s">
        <v>3836</v>
      </c>
      <c r="D875" s="7" t="s">
        <v>2692</v>
      </c>
      <c r="E875" s="7" t="s">
        <v>2889</v>
      </c>
      <c r="F875" s="84" t="s">
        <v>2625</v>
      </c>
      <c r="G875" s="84" t="s">
        <v>3626</v>
      </c>
      <c r="H875" s="84" t="s">
        <v>2614</v>
      </c>
      <c r="I875" s="84" t="s">
        <v>3603</v>
      </c>
      <c r="J875" s="7" t="s">
        <v>4441</v>
      </c>
      <c r="K875" s="7">
        <v>31.0</v>
      </c>
      <c r="L875" s="7">
        <v>31.0</v>
      </c>
      <c r="M875" s="7">
        <v>31.0</v>
      </c>
      <c r="N875" s="7">
        <v>0.0</v>
      </c>
      <c r="O875" s="7">
        <v>31.0</v>
      </c>
      <c r="P875" s="7">
        <v>31.0</v>
      </c>
      <c r="Q875" s="7">
        <v>4.0</v>
      </c>
      <c r="R875" s="7">
        <v>252.0</v>
      </c>
      <c r="S875" s="7">
        <v>0.0</v>
      </c>
      <c r="T875" s="7">
        <v>0.0</v>
      </c>
      <c r="U875" s="7">
        <v>0.0</v>
      </c>
      <c r="V875" s="7">
        <v>252.0</v>
      </c>
      <c r="W875" s="7">
        <f>VLOOKUP($D875,NatureChart,2,0)</f>
        <v>1</v>
      </c>
      <c r="X875" s="7">
        <f>VLOOKUP($D875,NatureChart,3,0)</f>
        <v>1</v>
      </c>
      <c r="Y875" s="7">
        <f>VLOOKUP($D875,NatureChart,4,0)</f>
        <v>0.9</v>
      </c>
      <c r="Z875" s="7">
        <f>VLOOKUP($D875,NatureChart,5,0)</f>
        <v>1</v>
      </c>
      <c r="AA875" s="84">
        <f>VLOOKUP($D875,NatureChart,6,0)</f>
        <v>1.1</v>
      </c>
      <c r="AB875" s="84">
        <f>IF($C875="Shedinja",1,(INT((2*VLOOKUP($C875,DexData,5,0)+INT(Q875/4)+K875)/2)+60))</f>
        <v>156</v>
      </c>
      <c r="AC875" s="84">
        <f>INT(INT((INT((2*VLOOKUP($C875,DexData,6,0)+INT(R875/4)+L875)/2)+5)*W875)*IF($E875="Choice Band",1.5,IF(OR($E875="Mawilite",$E875="Medichamite",$E875="Thick Club"),2,1)))</f>
        <v>157</v>
      </c>
      <c r="AD875" s="84">
        <f>INT(INT((INT((2*VLOOKUP($C875,DexData,7,0)+INT(S875/4)+M875)/2)+5)*X875)*IF($E875="Eviolite",1.5,1))</f>
        <v>85</v>
      </c>
      <c r="AE875" s="84">
        <f>INT(INT((INT((2*VLOOKUP($C875,DexData,9,0)+INT(T875/4)+N875)/2)+5)*Y875)*IF($E875="Choice Specs",1.5,1))</f>
        <v>58</v>
      </c>
      <c r="AF875" s="84">
        <f>INT(INT((INT((2*VLOOKUP($C875,DexData,10,0)+INT(U875/4)+O875)/2)+5)*Z875)*IF(OR($E875="Eviolite",$E875="Assault Vest"),1.5,1))</f>
        <v>95</v>
      </c>
      <c r="AG875" s="84">
        <f>INT(INT((INT((2*VLOOKUP($C875,DexData,11,0)+INT(V875/4)+P875)/2)+5)*AA875)*IF($E875="Choice Scarf",1.5,IF($E875="Iron Ball",0.5,1)))</f>
        <v>200</v>
      </c>
      <c r="AH875" s="84" t="str">
        <f>VLOOKUP(VLOOKUP($C875,DexData,3,0),Aliases!D$2:E$19,2,0)&amp;IFERROR("/"&amp;VLOOKUP(VLOOKUP($C875,DexData,4,0),Aliases!D$2:E$19,2,0),"")</f>
        <v>RCK/FLY</v>
      </c>
      <c r="AI875" s="7">
        <v>0.0</v>
      </c>
      <c r="AJ875" s="7">
        <f>IF(VLOOKUP(B875,'Set Odds'!A$2:AN$1067,40,0),1,IF(VLOOKUP(B875,'Set Odds'!A$2:AO$1067,41,0),2,0))</f>
        <v>2</v>
      </c>
      <c r="AK875" s="87" t="s">
        <v>4453</v>
      </c>
      <c r="AL875" s="7" t="str">
        <f t="shared" si="1"/>
        <v/>
      </c>
    </row>
    <row r="876" ht="12.75" customHeight="1">
      <c r="A876" s="86">
        <v>875.0</v>
      </c>
      <c r="B876" s="84" t="s">
        <v>4463</v>
      </c>
      <c r="C876" s="7" t="s">
        <v>3933</v>
      </c>
      <c r="D876" s="7" t="s">
        <v>2692</v>
      </c>
      <c r="E876" s="7" t="s">
        <v>2636</v>
      </c>
      <c r="F876" s="84" t="s">
        <v>3934</v>
      </c>
      <c r="G876" s="84" t="s">
        <v>3454</v>
      </c>
      <c r="H876" s="84" t="s">
        <v>3390</v>
      </c>
      <c r="I876" s="84" t="s">
        <v>3784</v>
      </c>
      <c r="J876" s="7" t="s">
        <v>3370</v>
      </c>
      <c r="K876" s="7">
        <v>31.0</v>
      </c>
      <c r="L876" s="7">
        <v>31.0</v>
      </c>
      <c r="M876" s="7">
        <v>31.0</v>
      </c>
      <c r="N876" s="7">
        <v>0.0</v>
      </c>
      <c r="O876" s="7">
        <v>31.0</v>
      </c>
      <c r="P876" s="7">
        <v>31.0</v>
      </c>
      <c r="Q876" s="7">
        <v>4.0</v>
      </c>
      <c r="R876" s="7">
        <v>252.0</v>
      </c>
      <c r="S876" s="7">
        <v>0.0</v>
      </c>
      <c r="T876" s="7">
        <v>0.0</v>
      </c>
      <c r="U876" s="7">
        <v>0.0</v>
      </c>
      <c r="V876" s="7">
        <v>252.0</v>
      </c>
      <c r="W876" s="7">
        <f>VLOOKUP($D876,NatureChart,2,0)</f>
        <v>1</v>
      </c>
      <c r="X876" s="7">
        <f>VLOOKUP($D876,NatureChart,3,0)</f>
        <v>1</v>
      </c>
      <c r="Y876" s="7">
        <f>VLOOKUP($D876,NatureChart,4,0)</f>
        <v>0.9</v>
      </c>
      <c r="Z876" s="7">
        <f>VLOOKUP($D876,NatureChart,5,0)</f>
        <v>1</v>
      </c>
      <c r="AA876" s="84">
        <f>VLOOKUP($D876,NatureChart,6,0)</f>
        <v>1.1</v>
      </c>
      <c r="AB876" s="84">
        <f>IF($C876="Shedinja",1,(INT((2*VLOOKUP($C876,DexData,5,0)+INT(Q876/4)+K876)/2)+60))</f>
        <v>156</v>
      </c>
      <c r="AC876" s="84">
        <f>INT(INT((INT((2*VLOOKUP($C876,DexData,6,0)+INT(R876/4)+L876)/2)+5)*W876)*IF($E876="Choice Band",1.5,IF(OR($E876="Mawilite",$E876="Medichamite",$E876="Thick Club"),2,1)))</f>
        <v>187</v>
      </c>
      <c r="AD876" s="84">
        <f>INT(INT((INT((2*VLOOKUP($C876,DexData,7,0)+INT(S876/4)+M876)/2)+5)*X876)*IF($E876="Eviolite",1.5,1))</f>
        <v>150</v>
      </c>
      <c r="AE876" s="84">
        <f>INT(INT((INT((2*VLOOKUP($C876,DexData,9,0)+INT(T876/4)+N876)/2)+5)*Y876)*IF($E876="Choice Specs",1.5,1))</f>
        <v>90</v>
      </c>
      <c r="AF876" s="84">
        <f>INT(INT((INT((2*VLOOKUP($C876,DexData,10,0)+INT(U876/4)+O876)/2)+5)*Z876)*IF(OR($E876="Eviolite",$E876="Assault Vest"),1.5,1))</f>
        <v>110</v>
      </c>
      <c r="AG876" s="84">
        <f>INT(INT((INT((2*VLOOKUP($C876,DexData,11,0)+INT(V876/4)+P876)/2)+5)*AA876)*IF($E876="Choice Scarf",1.5,IF($E876="Iron Ball",0.5,1)))</f>
        <v>134</v>
      </c>
      <c r="AH876" s="84" t="str">
        <f>VLOOKUP(VLOOKUP($C876,DexData,3,0),Aliases!D$2:E$19,2,0)&amp;IFERROR("/"&amp;VLOOKUP(VLOOKUP($C876,DexData,4,0),Aliases!D$2:E$19,2,0),"")</f>
        <v>STL/PSY</v>
      </c>
      <c r="AI876" s="7">
        <v>3.0</v>
      </c>
      <c r="AJ876" s="7">
        <f>IF(VLOOKUP(B876,'Set Odds'!A$2:AN$1067,40,0),1,IF(VLOOKUP(B876,'Set Odds'!A$2:AO$1067,41,0),2,0))</f>
        <v>2</v>
      </c>
      <c r="AK876" s="87" t="s">
        <v>4455</v>
      </c>
      <c r="AL876" s="7" t="str">
        <f t="shared" si="1"/>
        <v/>
      </c>
    </row>
    <row r="877" ht="12.75" customHeight="1">
      <c r="A877" s="86">
        <v>876.0</v>
      </c>
      <c r="B877" s="84" t="s">
        <v>4464</v>
      </c>
      <c r="C877" s="7" t="s">
        <v>3929</v>
      </c>
      <c r="D877" s="7" t="s">
        <v>2692</v>
      </c>
      <c r="E877" s="7" t="s">
        <v>2665</v>
      </c>
      <c r="F877" s="84" t="s">
        <v>3390</v>
      </c>
      <c r="G877" s="84" t="s">
        <v>2625</v>
      </c>
      <c r="H877" s="84" t="s">
        <v>3160</v>
      </c>
      <c r="I877" s="84" t="s">
        <v>3454</v>
      </c>
      <c r="J877" s="7" t="s">
        <v>3034</v>
      </c>
      <c r="K877" s="7">
        <v>31.0</v>
      </c>
      <c r="L877" s="7">
        <v>31.0</v>
      </c>
      <c r="M877" s="7">
        <v>31.0</v>
      </c>
      <c r="N877" s="7">
        <v>0.0</v>
      </c>
      <c r="O877" s="7">
        <v>31.0</v>
      </c>
      <c r="P877" s="7">
        <v>31.0</v>
      </c>
      <c r="Q877" s="7">
        <v>4.0</v>
      </c>
      <c r="R877" s="7">
        <v>252.0</v>
      </c>
      <c r="S877" s="7">
        <v>0.0</v>
      </c>
      <c r="T877" s="7">
        <v>0.0</v>
      </c>
      <c r="U877" s="7">
        <v>0.0</v>
      </c>
      <c r="V877" s="7">
        <v>252.0</v>
      </c>
      <c r="W877" s="7">
        <f>VLOOKUP($D877,NatureChart,2,0)</f>
        <v>1</v>
      </c>
      <c r="X877" s="7">
        <f>VLOOKUP($D877,NatureChart,3,0)</f>
        <v>1</v>
      </c>
      <c r="Y877" s="7">
        <f>VLOOKUP($D877,NatureChart,4,0)</f>
        <v>0.9</v>
      </c>
      <c r="Z877" s="7">
        <f>VLOOKUP($D877,NatureChart,5,0)</f>
        <v>1</v>
      </c>
      <c r="AA877" s="84">
        <f>VLOOKUP($D877,NatureChart,6,0)</f>
        <v>1.1</v>
      </c>
      <c r="AB877" s="84">
        <f>IF($C877="Shedinja",1,(INT((2*VLOOKUP($C877,DexData,5,0)+INT(Q877/4)+K877)/2)+60))</f>
        <v>176</v>
      </c>
      <c r="AC877" s="84">
        <f>INT(INT((INT((2*VLOOKUP($C877,DexData,6,0)+INT(R877/4)+L877)/2)+5)*W877)*IF($E877="Choice Band",1.5,IF(OR($E877="Mawilite",$E877="Medichamite",$E877="Thick Club"),2,1)))</f>
        <v>186</v>
      </c>
      <c r="AD877" s="84">
        <f>INT(INT((INT((2*VLOOKUP($C877,DexData,7,0)+INT(S877/4)+M877)/2)+5)*X877)*IF($E877="Eviolite",1.5,1))</f>
        <v>130</v>
      </c>
      <c r="AE877" s="84">
        <f>INT(INT((INT((2*VLOOKUP($C877,DexData,9,0)+INT(T877/4)+N877)/2)+5)*Y877)*IF($E877="Choice Specs",1.5,1))</f>
        <v>90</v>
      </c>
      <c r="AF877" s="84">
        <f>INT(INT((INT((2*VLOOKUP($C877,DexData,10,0)+INT(U877/4)+O877)/2)+5)*Z877)*IF(OR($E877="Eviolite",$E877="Assault Vest"),1.5,1))</f>
        <v>120</v>
      </c>
      <c r="AG877" s="84">
        <f>INT(INT((INT((2*VLOOKUP($C877,DexData,11,0)+INT(V877/4)+P877)/2)+5)*AA877)*IF($E877="Choice Scarf",1.5,IF($E877="Iron Ball",0.5,1)))</f>
        <v>186</v>
      </c>
      <c r="AH877" s="84" t="str">
        <f>VLOOKUP(VLOOKUP($C877,DexData,3,0),Aliases!D$2:E$19,2,0)&amp;IFERROR("/"&amp;VLOOKUP(VLOOKUP($C877,DexData,4,0),Aliases!D$2:E$19,2,0),"")</f>
        <v>RCK/DRK</v>
      </c>
      <c r="AI877" s="7">
        <v>0.0</v>
      </c>
      <c r="AJ877" s="7">
        <f>IF(VLOOKUP(B877,'Set Odds'!A$2:AN$1067,40,0),1,IF(VLOOKUP(B877,'Set Odds'!A$2:AO$1067,41,0),2,0))</f>
        <v>2</v>
      </c>
      <c r="AK877" s="87" t="s">
        <v>4453</v>
      </c>
      <c r="AL877" s="7" t="str">
        <f t="shared" si="1"/>
        <v/>
      </c>
    </row>
    <row r="878" ht="12.75" customHeight="1">
      <c r="A878" s="86">
        <v>877.0</v>
      </c>
      <c r="B878" s="84" t="s">
        <v>4465</v>
      </c>
      <c r="C878" s="7" t="s">
        <v>3958</v>
      </c>
      <c r="D878" s="7" t="s">
        <v>2656</v>
      </c>
      <c r="E878" s="7" t="s">
        <v>2515</v>
      </c>
      <c r="F878" s="84" t="s">
        <v>4213</v>
      </c>
      <c r="G878" s="84" t="s">
        <v>3524</v>
      </c>
      <c r="H878" s="84" t="s">
        <v>3427</v>
      </c>
      <c r="I878" s="84" t="s">
        <v>2832</v>
      </c>
      <c r="J878" s="7" t="s">
        <v>3016</v>
      </c>
      <c r="K878" s="7">
        <v>31.0</v>
      </c>
      <c r="L878" s="7">
        <v>0.0</v>
      </c>
      <c r="M878" s="7">
        <v>31.0</v>
      </c>
      <c r="N878" s="7">
        <v>31.0</v>
      </c>
      <c r="O878" s="7">
        <v>31.0</v>
      </c>
      <c r="P878" s="7">
        <v>31.0</v>
      </c>
      <c r="Q878" s="7">
        <v>4.0</v>
      </c>
      <c r="R878" s="7">
        <v>0.0</v>
      </c>
      <c r="S878" s="7">
        <v>0.0</v>
      </c>
      <c r="T878" s="7">
        <v>252.0</v>
      </c>
      <c r="U878" s="7">
        <v>0.0</v>
      </c>
      <c r="V878" s="7">
        <v>252.0</v>
      </c>
      <c r="W878" s="7">
        <f>VLOOKUP($D878,NatureChart,2,0)</f>
        <v>0.9</v>
      </c>
      <c r="X878" s="7">
        <f>VLOOKUP($D878,NatureChart,3,0)</f>
        <v>1</v>
      </c>
      <c r="Y878" s="7">
        <f>VLOOKUP($D878,NatureChart,4,0)</f>
        <v>1.1</v>
      </c>
      <c r="Z878" s="7">
        <f>VLOOKUP($D878,NatureChart,5,0)</f>
        <v>1</v>
      </c>
      <c r="AA878" s="84">
        <f>VLOOKUP($D878,NatureChart,6,0)</f>
        <v>1</v>
      </c>
      <c r="AB878" s="84">
        <f>IF($C878="Shedinja",1,(INT((2*VLOOKUP($C878,DexData,5,0)+INT(Q878/4)+K878)/2)+60))</f>
        <v>167</v>
      </c>
      <c r="AC878" s="84">
        <f>INT(INT((INT((2*VLOOKUP($C878,DexData,6,0)+INT(R878/4)+L878)/2)+5)*W878)*IF($E878="Choice Band",1.5,IF(OR($E878="Mawilite",$E878="Medichamite",$E878="Thick Club"),2,1)))</f>
        <v>85</v>
      </c>
      <c r="AD878" s="84">
        <f>INT(INT((INT((2*VLOOKUP($C878,DexData,7,0)+INT(S878/4)+M878)/2)+5)*X878)*IF($E878="Eviolite",1.5,1))</f>
        <v>126</v>
      </c>
      <c r="AE878" s="84">
        <f>INT(INT((INT((2*VLOOKUP($C878,DexData,9,0)+INT(T878/4)+N878)/2)+5)*Y878)*IF($E878="Choice Specs",1.5,1))</f>
        <v>200</v>
      </c>
      <c r="AF878" s="84">
        <f>INT(INT((INT((2*VLOOKUP($C878,DexData,10,0)+INT(U878/4)+O878)/2)+5)*Z878)*IF(OR($E878="Eviolite",$E878="Assault Vest"),1.5,1))</f>
        <v>126</v>
      </c>
      <c r="AG878" s="84">
        <f>INT(INT((INT((2*VLOOKUP($C878,DexData,11,0)+INT(V878/4)+P878)/2)+5)*AA878)*IF($E878="Choice Scarf",1.5,IF($E878="Iron Ball",0.5,1)))</f>
        <v>129</v>
      </c>
      <c r="AH878" s="84" t="str">
        <f>VLOOKUP(VLOOKUP($C878,DexData,3,0),Aliases!D$2:E$19,2,0)&amp;IFERROR("/"&amp;VLOOKUP(VLOOKUP($C878,DexData,4,0),Aliases!D$2:E$19,2,0),"")</f>
        <v>FIR/STL</v>
      </c>
      <c r="AI878" s="7">
        <v>0.0</v>
      </c>
      <c r="AJ878" s="7">
        <f>IF(VLOOKUP(B878,'Set Odds'!A$2:AN$1067,40,0),1,IF(VLOOKUP(B878,'Set Odds'!A$2:AO$1067,41,0),2,0))</f>
        <v>2</v>
      </c>
      <c r="AK878" s="87" t="s">
        <v>4455</v>
      </c>
      <c r="AL878" s="7">
        <f t="shared" si="1"/>
        <v>1</v>
      </c>
    </row>
    <row r="879" ht="12.75" customHeight="1">
      <c r="A879" s="86">
        <v>878.0</v>
      </c>
      <c r="B879" s="84" t="s">
        <v>4466</v>
      </c>
      <c r="C879" s="7" t="s">
        <v>3650</v>
      </c>
      <c r="D879" s="7" t="s">
        <v>2692</v>
      </c>
      <c r="E879" s="7" t="s">
        <v>2515</v>
      </c>
      <c r="F879" s="84" t="s">
        <v>3249</v>
      </c>
      <c r="G879" s="84" t="s">
        <v>3312</v>
      </c>
      <c r="H879" s="84" t="s">
        <v>2594</v>
      </c>
      <c r="I879" s="84" t="s">
        <v>2751</v>
      </c>
      <c r="J879" s="7" t="s">
        <v>3412</v>
      </c>
      <c r="K879" s="7">
        <v>31.0</v>
      </c>
      <c r="L879" s="7">
        <v>31.0</v>
      </c>
      <c r="M879" s="7">
        <v>31.0</v>
      </c>
      <c r="N879" s="7">
        <v>0.0</v>
      </c>
      <c r="O879" s="7">
        <v>31.0</v>
      </c>
      <c r="P879" s="7">
        <v>31.0</v>
      </c>
      <c r="Q879" s="7">
        <v>4.0</v>
      </c>
      <c r="R879" s="7">
        <v>252.0</v>
      </c>
      <c r="S879" s="7">
        <v>0.0</v>
      </c>
      <c r="T879" s="7">
        <v>0.0</v>
      </c>
      <c r="U879" s="7">
        <v>0.0</v>
      </c>
      <c r="V879" s="7">
        <v>252.0</v>
      </c>
      <c r="W879" s="7">
        <f>VLOOKUP($D879,NatureChart,2,0)</f>
        <v>1</v>
      </c>
      <c r="X879" s="7">
        <f>VLOOKUP($D879,NatureChart,3,0)</f>
        <v>1</v>
      </c>
      <c r="Y879" s="7">
        <f>VLOOKUP($D879,NatureChart,4,0)</f>
        <v>0.9</v>
      </c>
      <c r="Z879" s="7">
        <f>VLOOKUP($D879,NatureChart,5,0)</f>
        <v>1</v>
      </c>
      <c r="AA879" s="84">
        <f>VLOOKUP($D879,NatureChart,6,0)</f>
        <v>1.1</v>
      </c>
      <c r="AB879" s="84">
        <f>IF($C879="Shedinja",1,(INT((2*VLOOKUP($C879,DexData,5,0)+INT(Q879/4)+K879)/2)+60))</f>
        <v>136</v>
      </c>
      <c r="AC879" s="84">
        <f>INT(INT((INT((2*VLOOKUP($C879,DexData,6,0)+INT(R879/4)+L879)/2)+5)*W879)*IF($E879="Choice Band",1.5,IF(OR($E879="Mawilite",$E879="Medichamite",$E879="Thick Club"),2,1)))</f>
        <v>182</v>
      </c>
      <c r="AD879" s="84">
        <f>INT(INT((INT((2*VLOOKUP($C879,DexData,7,0)+INT(S879/4)+M879)/2)+5)*X879)*IF($E879="Eviolite",1.5,1))</f>
        <v>100</v>
      </c>
      <c r="AE879" s="84">
        <f>INT(INT((INT((2*VLOOKUP($C879,DexData,9,0)+INT(T879/4)+N879)/2)+5)*Y879)*IF($E879="Choice Specs",1.5,1))</f>
        <v>58</v>
      </c>
      <c r="AF879" s="84">
        <f>INT(INT((INT((2*VLOOKUP($C879,DexData,10,0)+INT(U879/4)+O879)/2)+5)*Z879)*IF(OR($E879="Eviolite",$E879="Assault Vest"),1.5,1))</f>
        <v>80</v>
      </c>
      <c r="AG879" s="84">
        <f>INT(INT((INT((2*VLOOKUP($C879,DexData,11,0)+INT(V879/4)+P879)/2)+5)*AA879)*IF($E879="Choice Scarf",1.5,IF($E879="Iron Ball",0.5,1)))</f>
        <v>134</v>
      </c>
      <c r="AH879" s="84" t="str">
        <f>VLOOKUP(VLOOKUP($C879,DexData,3,0),Aliases!D$2:E$19,2,0)&amp;IFERROR("/"&amp;VLOOKUP(VLOOKUP($C879,DexData,4,0),Aliases!D$2:E$19,2,0),"")</f>
        <v>GRS/FTG</v>
      </c>
      <c r="AI879" s="7">
        <v>1.0</v>
      </c>
      <c r="AJ879" s="7">
        <f>IF(VLOOKUP(B879,'Set Odds'!A$2:AN$1067,40,0),1,IF(VLOOKUP(B879,'Set Odds'!A$2:AO$1067,41,0),2,0))</f>
        <v>2</v>
      </c>
      <c r="AK879" s="87" t="s">
        <v>4467</v>
      </c>
      <c r="AL879" s="7" t="str">
        <f t="shared" si="1"/>
        <v/>
      </c>
    </row>
    <row r="880" ht="12.75" customHeight="1">
      <c r="A880" s="86">
        <v>879.0</v>
      </c>
      <c r="B880" s="84" t="s">
        <v>4468</v>
      </c>
      <c r="C880" s="7" t="s">
        <v>3749</v>
      </c>
      <c r="D880" s="7" t="s">
        <v>3597</v>
      </c>
      <c r="E880" s="7" t="s">
        <v>2685</v>
      </c>
      <c r="F880" s="84" t="s">
        <v>2704</v>
      </c>
      <c r="G880" s="84" t="s">
        <v>2575</v>
      </c>
      <c r="H880" s="84" t="s">
        <v>3052</v>
      </c>
      <c r="I880" s="84" t="s">
        <v>3222</v>
      </c>
      <c r="J880" s="7" t="s">
        <v>2988</v>
      </c>
      <c r="K880" s="7">
        <v>31.0</v>
      </c>
      <c r="L880" s="7">
        <v>0.0</v>
      </c>
      <c r="M880" s="7">
        <v>31.0</v>
      </c>
      <c r="N880" s="7">
        <v>31.0</v>
      </c>
      <c r="O880" s="7">
        <v>31.0</v>
      </c>
      <c r="P880" s="7">
        <v>31.0</v>
      </c>
      <c r="Q880" s="7">
        <v>252.0</v>
      </c>
      <c r="R880" s="7">
        <v>0.0</v>
      </c>
      <c r="S880" s="7">
        <v>4.0</v>
      </c>
      <c r="T880" s="7">
        <v>0.0</v>
      </c>
      <c r="U880" s="7">
        <v>252.0</v>
      </c>
      <c r="V880" s="7">
        <v>0.0</v>
      </c>
      <c r="W880" s="7">
        <f>VLOOKUP($D880,NatureChart,2,0)</f>
        <v>0.9</v>
      </c>
      <c r="X880" s="7">
        <f>VLOOKUP($D880,NatureChart,3,0)</f>
        <v>1</v>
      </c>
      <c r="Y880" s="7">
        <f>VLOOKUP($D880,NatureChart,4,0)</f>
        <v>1</v>
      </c>
      <c r="Z880" s="7">
        <f>VLOOKUP($D880,NatureChart,5,0)</f>
        <v>1.1</v>
      </c>
      <c r="AA880" s="84">
        <f>VLOOKUP($D880,NatureChart,6,0)</f>
        <v>1</v>
      </c>
      <c r="AB880" s="84">
        <f>IF($C880="Shedinja",1,(INT((2*VLOOKUP($C880,DexData,5,0)+INT(Q880/4)+K880)/2)+60))</f>
        <v>193</v>
      </c>
      <c r="AC880" s="84">
        <f>INT(INT((INT((2*VLOOKUP($C880,DexData,6,0)+INT(R880/4)+L880)/2)+5)*W880)*IF($E880="Choice Band",1.5,IF(OR($E880="Mawilite",$E880="Medichamite",$E880="Thick Club"),2,1)))</f>
        <v>77</v>
      </c>
      <c r="AD880" s="84">
        <f>INT(INT((INT((2*VLOOKUP($C880,DexData,7,0)+INT(S880/4)+M880)/2)+5)*X880)*IF($E880="Eviolite",1.5,1))</f>
        <v>118</v>
      </c>
      <c r="AE880" s="84">
        <f>INT(INT((INT((2*VLOOKUP($C880,DexData,9,0)+INT(T880/4)+N880)/2)+5)*Y880)*IF($E880="Choice Specs",1.5,1))</f>
        <v>101</v>
      </c>
      <c r="AF880" s="84">
        <f>INT(INT((INT((2*VLOOKUP($C880,DexData,10,0)+INT(U880/4)+O880)/2)+5)*Z880)*IF(OR($E880="Eviolite",$E880="Assault Vest"),1.5,1))</f>
        <v>174</v>
      </c>
      <c r="AG880" s="84">
        <f>INT(INT((INT((2*VLOOKUP($C880,DexData,11,0)+INT(V880/4)+P880)/2)+5)*AA880)*IF($E880="Choice Scarf",1.5,IF($E880="Iron Ball",0.5,1)))</f>
        <v>63</v>
      </c>
      <c r="AH880" s="84" t="str">
        <f>VLOOKUP(VLOOKUP($C880,DexData,3,0),Aliases!D$2:E$19,2,0)&amp;IFERROR("/"&amp;VLOOKUP(VLOOKUP($C880,DexData,4,0),Aliases!D$2:E$19,2,0),"")</f>
        <v>RCK/GRS</v>
      </c>
      <c r="AI880" s="7">
        <v>1.0</v>
      </c>
      <c r="AJ880" s="7">
        <f>IF(VLOOKUP(B880,'Set Odds'!A$2:AN$1067,40,0),1,IF(VLOOKUP(B880,'Set Odds'!A$2:AO$1067,41,0),2,0))</f>
        <v>1</v>
      </c>
      <c r="AK880" s="88" t="s">
        <v>4469</v>
      </c>
      <c r="AL880" s="7" t="str">
        <f t="shared" si="1"/>
        <v/>
      </c>
    </row>
    <row r="881" ht="12.75" customHeight="1">
      <c r="A881" s="86">
        <v>880.0</v>
      </c>
      <c r="B881" s="84" t="s">
        <v>4470</v>
      </c>
      <c r="C881" s="7" t="s">
        <v>3822</v>
      </c>
      <c r="D881" s="7" t="s">
        <v>2635</v>
      </c>
      <c r="E881" s="7" t="s">
        <v>3096</v>
      </c>
      <c r="F881" s="84" t="s">
        <v>3952</v>
      </c>
      <c r="G881" s="84" t="s">
        <v>3052</v>
      </c>
      <c r="H881" s="84" t="s">
        <v>2661</v>
      </c>
      <c r="I881" s="84" t="s">
        <v>3260</v>
      </c>
      <c r="J881" s="7" t="s">
        <v>2708</v>
      </c>
      <c r="K881" s="7">
        <v>31.0</v>
      </c>
      <c r="L881" s="7">
        <v>0.0</v>
      </c>
      <c r="M881" s="7">
        <v>31.0</v>
      </c>
      <c r="N881" s="7">
        <v>31.0</v>
      </c>
      <c r="O881" s="7">
        <v>31.0</v>
      </c>
      <c r="P881" s="7">
        <v>31.0</v>
      </c>
      <c r="Q881" s="7">
        <v>4.0</v>
      </c>
      <c r="R881" s="7">
        <v>0.0</v>
      </c>
      <c r="S881" s="7">
        <v>0.0</v>
      </c>
      <c r="T881" s="7">
        <v>252.0</v>
      </c>
      <c r="U881" s="7">
        <v>0.0</v>
      </c>
      <c r="V881" s="7">
        <v>252.0</v>
      </c>
      <c r="W881" s="7">
        <f>VLOOKUP($D881,NatureChart,2,0)</f>
        <v>0.9</v>
      </c>
      <c r="X881" s="7">
        <f>VLOOKUP($D881,NatureChart,3,0)</f>
        <v>1</v>
      </c>
      <c r="Y881" s="7">
        <f>VLOOKUP($D881,NatureChart,4,0)</f>
        <v>1</v>
      </c>
      <c r="Z881" s="7">
        <f>VLOOKUP($D881,NatureChart,5,0)</f>
        <v>1</v>
      </c>
      <c r="AA881" s="84">
        <f>VLOOKUP($D881,NatureChart,6,0)</f>
        <v>1.1</v>
      </c>
      <c r="AB881" s="84">
        <f>IF($C881="Shedinja",1,(INT((2*VLOOKUP($C881,DexData,5,0)+INT(Q881/4)+K881)/2)+60))</f>
        <v>136</v>
      </c>
      <c r="AC881" s="84">
        <f>INT(INT((INT((2*VLOOKUP($C881,DexData,6,0)+INT(R881/4)+L881)/2)+5)*W881)*IF($E881="Choice Band",1.5,IF(OR($E881="Mawilite",$E881="Medichamite",$E881="Thick Club"),2,1)))</f>
        <v>67</v>
      </c>
      <c r="AD881" s="84">
        <f>INT(INT((INT((2*VLOOKUP($C881,DexData,7,0)+INT(S881/4)+M881)/2)+5)*X881)*IF($E881="Eviolite",1.5,1))</f>
        <v>85</v>
      </c>
      <c r="AE881" s="84">
        <f>INT(INT((INT((2*VLOOKUP($C881,DexData,9,0)+INT(T881/4)+N881)/2)+5)*Y881)*IF($E881="Choice Specs",1.5,1))</f>
        <v>177</v>
      </c>
      <c r="AF881" s="84">
        <f>INT(INT((INT((2*VLOOKUP($C881,DexData,10,0)+INT(U881/4)+O881)/2)+5)*Z881)*IF(OR($E881="Eviolite",$E881="Assault Vest"),1.5,1))</f>
        <v>125</v>
      </c>
      <c r="AG881" s="84">
        <f>INT(INT((INT((2*VLOOKUP($C881,DexData,11,0)+INT(V881/4)+P881)/2)+5)*AA881)*IF($E881="Choice Scarf",1.5,IF($E881="Iron Ball",0.5,1)))</f>
        <v>156</v>
      </c>
      <c r="AH881" s="84" t="str">
        <f>VLOOKUP(VLOOKUP($C881,DexData,3,0),Aliases!D$2:E$19,2,0)&amp;IFERROR("/"&amp;VLOOKUP(VLOOKUP($C881,DexData,4,0),Aliases!D$2:E$19,2,0),"")</f>
        <v>GRS/PSN</v>
      </c>
      <c r="AI881" s="7">
        <v>1.0</v>
      </c>
      <c r="AJ881" s="7">
        <f>IF(VLOOKUP(B881,'Set Odds'!A$2:AN$1067,40,0),1,IF(VLOOKUP(B881,'Set Odds'!A$2:AO$1067,41,0),2,0))</f>
        <v>2</v>
      </c>
      <c r="AK881" s="87" t="s">
        <v>4467</v>
      </c>
      <c r="AL881" s="7" t="str">
        <f t="shared" si="1"/>
        <v/>
      </c>
    </row>
    <row r="882" ht="12.75" customHeight="1">
      <c r="A882" s="86">
        <v>881.0</v>
      </c>
      <c r="B882" s="84" t="s">
        <v>4471</v>
      </c>
      <c r="C882" s="7" t="s">
        <v>4472</v>
      </c>
      <c r="D882" s="7" t="s">
        <v>2656</v>
      </c>
      <c r="E882" s="7" t="s">
        <v>2636</v>
      </c>
      <c r="F882" s="84" t="s">
        <v>3435</v>
      </c>
      <c r="G882" s="84" t="s">
        <v>3952</v>
      </c>
      <c r="H882" s="84" t="s">
        <v>3523</v>
      </c>
      <c r="I882" s="84" t="s">
        <v>2763</v>
      </c>
      <c r="J882" s="7" t="s">
        <v>2714</v>
      </c>
      <c r="K882" s="7">
        <v>31.0</v>
      </c>
      <c r="L882" s="7">
        <v>0.0</v>
      </c>
      <c r="M882" s="7">
        <v>31.0</v>
      </c>
      <c r="N882" s="7">
        <v>31.0</v>
      </c>
      <c r="O882" s="7">
        <v>31.0</v>
      </c>
      <c r="P882" s="7">
        <v>31.0</v>
      </c>
      <c r="Q882" s="7">
        <v>252.0</v>
      </c>
      <c r="R882" s="7">
        <v>0.0</v>
      </c>
      <c r="S882" s="7">
        <v>0.0</v>
      </c>
      <c r="T882" s="7">
        <v>252.0</v>
      </c>
      <c r="U882" s="7">
        <v>0.0</v>
      </c>
      <c r="V882" s="7">
        <v>4.0</v>
      </c>
      <c r="W882" s="7">
        <f>VLOOKUP($D882,NatureChart,2,0)</f>
        <v>0.9</v>
      </c>
      <c r="X882" s="7">
        <f>VLOOKUP($D882,NatureChart,3,0)</f>
        <v>1</v>
      </c>
      <c r="Y882" s="7">
        <f>VLOOKUP($D882,NatureChart,4,0)</f>
        <v>1.1</v>
      </c>
      <c r="Z882" s="7">
        <f>VLOOKUP($D882,NatureChart,5,0)</f>
        <v>1</v>
      </c>
      <c r="AA882" s="84">
        <f>VLOOKUP($D882,NatureChart,6,0)</f>
        <v>1</v>
      </c>
      <c r="AB882" s="84">
        <f>IF($C882="Shedinja",1,(INT((2*VLOOKUP($C882,DexData,5,0)+INT(Q882/4)+K882)/2)+60))</f>
        <v>157</v>
      </c>
      <c r="AC882" s="84">
        <f>INT(INT((INT((2*VLOOKUP($C882,DexData,6,0)+INT(R882/4)+L882)/2)+5)*W882)*IF($E882="Choice Band",1.5,IF(OR($E882="Mawilite",$E882="Medichamite",$E882="Thick Club"),2,1)))</f>
        <v>63</v>
      </c>
      <c r="AD882" s="84">
        <f>INT(INT((INT((2*VLOOKUP($C882,DexData,7,0)+INT(S882/4)+M882)/2)+5)*X882)*IF($E882="Eviolite",1.5,1))</f>
        <v>127</v>
      </c>
      <c r="AE882" s="84">
        <f>INT(INT((INT((2*VLOOKUP($C882,DexData,9,0)+INT(T882/4)+N882)/2)+5)*Y882)*IF($E882="Choice Specs",1.5,1))</f>
        <v>172</v>
      </c>
      <c r="AF882" s="84">
        <f>INT(INT((INT((2*VLOOKUP($C882,DexData,10,0)+INT(U882/4)+O882)/2)+5)*Z882)*IF(OR($E882="Eviolite",$E882="Assault Vest"),1.5,1))</f>
        <v>127</v>
      </c>
      <c r="AG882" s="84">
        <f>INT(INT((INT((2*VLOOKUP($C882,DexData,11,0)+INT(V882/4)+P882)/2)+5)*AA882)*IF($E882="Choice Scarf",1.5,IF($E882="Iron Ball",0.5,1)))</f>
        <v>107</v>
      </c>
      <c r="AH882" s="84" t="str">
        <f>VLOOKUP(VLOOKUP($C882,DexData,3,0),Aliases!D$2:E$19,2,0)&amp;IFERROR("/"&amp;VLOOKUP(VLOOKUP($C882,DexData,4,0),Aliases!D$2:E$19,2,0),"")</f>
        <v>ELC/GRS</v>
      </c>
      <c r="AI882" s="7">
        <v>3.0</v>
      </c>
      <c r="AJ882" s="7">
        <f>IF(VLOOKUP(B882,'Set Odds'!A$2:AN$1067,40,0),1,IF(VLOOKUP(B882,'Set Odds'!A$2:AO$1067,41,0),2,0))</f>
        <v>2</v>
      </c>
      <c r="AK882" s="87" t="s">
        <v>4467</v>
      </c>
      <c r="AL882" s="7" t="str">
        <f t="shared" si="1"/>
        <v/>
      </c>
    </row>
    <row r="883" ht="12.75" customHeight="1">
      <c r="A883" s="86">
        <v>882.0</v>
      </c>
      <c r="B883" s="84" t="s">
        <v>4473</v>
      </c>
      <c r="C883" s="7" t="s">
        <v>3426</v>
      </c>
      <c r="D883" s="7" t="s">
        <v>2635</v>
      </c>
      <c r="E883" s="7" t="s">
        <v>3548</v>
      </c>
      <c r="F883" s="84" t="s">
        <v>2797</v>
      </c>
      <c r="G883" s="84" t="s">
        <v>2823</v>
      </c>
      <c r="H883" s="84" t="s">
        <v>3341</v>
      </c>
      <c r="I883" s="84" t="s">
        <v>3427</v>
      </c>
      <c r="J883" s="7" t="s">
        <v>3377</v>
      </c>
      <c r="K883" s="7">
        <v>31.0</v>
      </c>
      <c r="L883" s="7">
        <v>0.0</v>
      </c>
      <c r="M883" s="7">
        <v>31.0</v>
      </c>
      <c r="N883" s="7">
        <v>31.0</v>
      </c>
      <c r="O883" s="7">
        <v>31.0</v>
      </c>
      <c r="P883" s="7">
        <v>31.0</v>
      </c>
      <c r="Q883" s="7">
        <v>4.0</v>
      </c>
      <c r="R883" s="7">
        <v>0.0</v>
      </c>
      <c r="S883" s="7">
        <v>0.0</v>
      </c>
      <c r="T883" s="7">
        <v>252.0</v>
      </c>
      <c r="U883" s="7">
        <v>0.0</v>
      </c>
      <c r="V883" s="7">
        <v>252.0</v>
      </c>
      <c r="W883" s="7">
        <f>VLOOKUP($D883,NatureChart,2,0)</f>
        <v>0.9</v>
      </c>
      <c r="X883" s="7">
        <f>VLOOKUP($D883,NatureChart,3,0)</f>
        <v>1</v>
      </c>
      <c r="Y883" s="7">
        <f>VLOOKUP($D883,NatureChart,4,0)</f>
        <v>1</v>
      </c>
      <c r="Z883" s="7">
        <f>VLOOKUP($D883,NatureChart,5,0)</f>
        <v>1</v>
      </c>
      <c r="AA883" s="84">
        <f>VLOOKUP($D883,NatureChart,6,0)</f>
        <v>1.1</v>
      </c>
      <c r="AB883" s="84">
        <f>IF($C883="Shedinja",1,(INT((2*VLOOKUP($C883,DexData,5,0)+INT(Q883/4)+K883)/2)+60))</f>
        <v>171</v>
      </c>
      <c r="AC883" s="84">
        <f>INT(INT((INT((2*VLOOKUP($C883,DexData,6,0)+INT(R883/4)+L883)/2)+5)*W883)*IF($E883="Choice Band",1.5,IF(OR($E883="Mawilite",$E883="Medichamite",$E883="Thick Club"),2,1)))</f>
        <v>58</v>
      </c>
      <c r="AD883" s="84">
        <f>INT(INT((INT((2*VLOOKUP($C883,DexData,7,0)+INT(S883/4)+M883)/2)+5)*X883)*IF($E883="Eviolite",1.5,1))</f>
        <v>99</v>
      </c>
      <c r="AE883" s="84">
        <f>INT(INT((INT((2*VLOOKUP($C883,DexData,9,0)+INT(T883/4)+N883)/2)+5)*Y883)*IF($E883="Choice Specs",1.5,1))</f>
        <v>152</v>
      </c>
      <c r="AF883" s="84">
        <f>INT(INT((INT((2*VLOOKUP($C883,DexData,10,0)+INT(U883/4)+O883)/2)+5)*Z883)*IF(OR($E883="Eviolite",$E883="Assault Vest"),1.5,1))</f>
        <v>145</v>
      </c>
      <c r="AG883" s="84">
        <f>INT(INT((INT((2*VLOOKUP($C883,DexData,11,0)+INT(V883/4)+P883)/2)+5)*AA883)*IF($E883="Choice Scarf",1.5,IF($E883="Iron Ball",0.5,1)))</f>
        <v>146</v>
      </c>
      <c r="AH883" s="84" t="str">
        <f>VLOOKUP(VLOOKUP($C883,DexData,3,0),Aliases!D$2:E$19,2,0)&amp;IFERROR("/"&amp;VLOOKUP(VLOOKUP($C883,DexData,4,0),Aliases!D$2:E$19,2,0),"")</f>
        <v>WTR</v>
      </c>
      <c r="AI883" s="7">
        <v>1.0</v>
      </c>
      <c r="AJ883" s="7">
        <f>IF(VLOOKUP(B883,'Set Odds'!A$2:AN$1067,40,0),1,IF(VLOOKUP(B883,'Set Odds'!A$2:AO$1067,41,0),2,0))</f>
        <v>2</v>
      </c>
      <c r="AK883" s="87" t="s">
        <v>4467</v>
      </c>
      <c r="AL883" s="7" t="str">
        <f t="shared" si="1"/>
        <v/>
      </c>
    </row>
    <row r="884" ht="12.75" customHeight="1">
      <c r="A884" s="86">
        <v>883.0</v>
      </c>
      <c r="B884" s="84" t="s">
        <v>4474</v>
      </c>
      <c r="C884" s="7" t="s">
        <v>3822</v>
      </c>
      <c r="D884" s="7" t="s">
        <v>2635</v>
      </c>
      <c r="E884" s="7" t="s">
        <v>2515</v>
      </c>
      <c r="F884" s="84" t="s">
        <v>3952</v>
      </c>
      <c r="G884" s="84" t="s">
        <v>3052</v>
      </c>
      <c r="H884" s="84" t="s">
        <v>2661</v>
      </c>
      <c r="I884" s="84" t="s">
        <v>3260</v>
      </c>
      <c r="J884" s="7" t="s">
        <v>2708</v>
      </c>
      <c r="K884" s="7">
        <v>31.0</v>
      </c>
      <c r="L884" s="7">
        <v>0.0</v>
      </c>
      <c r="M884" s="7">
        <v>31.0</v>
      </c>
      <c r="N884" s="7">
        <v>31.0</v>
      </c>
      <c r="O884" s="7">
        <v>31.0</v>
      </c>
      <c r="P884" s="7">
        <v>31.0</v>
      </c>
      <c r="Q884" s="7">
        <v>4.0</v>
      </c>
      <c r="R884" s="7">
        <v>0.0</v>
      </c>
      <c r="S884" s="7">
        <v>0.0</v>
      </c>
      <c r="T884" s="7">
        <v>252.0</v>
      </c>
      <c r="U884" s="7">
        <v>0.0</v>
      </c>
      <c r="V884" s="7">
        <v>252.0</v>
      </c>
      <c r="W884" s="7">
        <f>VLOOKUP($D884,NatureChart,2,0)</f>
        <v>0.9</v>
      </c>
      <c r="X884" s="7">
        <f>VLOOKUP($D884,NatureChart,3,0)</f>
        <v>1</v>
      </c>
      <c r="Y884" s="7">
        <f>VLOOKUP($D884,NatureChart,4,0)</f>
        <v>1</v>
      </c>
      <c r="Z884" s="7">
        <f>VLOOKUP($D884,NatureChart,5,0)</f>
        <v>1</v>
      </c>
      <c r="AA884" s="84">
        <f>VLOOKUP($D884,NatureChart,6,0)</f>
        <v>1.1</v>
      </c>
      <c r="AB884" s="84">
        <f>IF($C884="Shedinja",1,(INT((2*VLOOKUP($C884,DexData,5,0)+INT(Q884/4)+K884)/2)+60))</f>
        <v>136</v>
      </c>
      <c r="AC884" s="84">
        <f>INT(INT((INT((2*VLOOKUP($C884,DexData,6,0)+INT(R884/4)+L884)/2)+5)*W884)*IF($E884="Choice Band",1.5,IF(OR($E884="Mawilite",$E884="Medichamite",$E884="Thick Club"),2,1)))</f>
        <v>67</v>
      </c>
      <c r="AD884" s="84">
        <f>INT(INT((INT((2*VLOOKUP($C884,DexData,7,0)+INT(S884/4)+M884)/2)+5)*X884)*IF($E884="Eviolite",1.5,1))</f>
        <v>85</v>
      </c>
      <c r="AE884" s="84">
        <f>INT(INT((INT((2*VLOOKUP($C884,DexData,9,0)+INT(T884/4)+N884)/2)+5)*Y884)*IF($E884="Choice Specs",1.5,1))</f>
        <v>177</v>
      </c>
      <c r="AF884" s="84">
        <f>INT(INT((INT((2*VLOOKUP($C884,DexData,10,0)+INT(U884/4)+O884)/2)+5)*Z884)*IF(OR($E884="Eviolite",$E884="Assault Vest"),1.5,1))</f>
        <v>125</v>
      </c>
      <c r="AG884" s="84">
        <f>INT(INT((INT((2*VLOOKUP($C884,DexData,11,0)+INT(V884/4)+P884)/2)+5)*AA884)*IF($E884="Choice Scarf",1.5,IF($E884="Iron Ball",0.5,1)))</f>
        <v>156</v>
      </c>
      <c r="AH884" s="84" t="str">
        <f>VLOOKUP(VLOOKUP($C884,DexData,3,0),Aliases!D$2:E$19,2,0)&amp;IFERROR("/"&amp;VLOOKUP(VLOOKUP($C884,DexData,4,0),Aliases!D$2:E$19,2,0),"")</f>
        <v>GRS/PSN</v>
      </c>
      <c r="AI884" s="7">
        <v>1.0</v>
      </c>
      <c r="AJ884" s="7">
        <f>IF(VLOOKUP(B884,'Set Odds'!A$2:AN$1067,40,0),1,IF(VLOOKUP(B884,'Set Odds'!A$2:AO$1067,41,0),2,0))</f>
        <v>2</v>
      </c>
      <c r="AK884" s="87" t="s">
        <v>4467</v>
      </c>
      <c r="AL884" s="7" t="str">
        <f t="shared" si="1"/>
        <v/>
      </c>
    </row>
    <row r="885" ht="12.75" customHeight="1">
      <c r="A885" s="86">
        <v>884.0</v>
      </c>
      <c r="B885" s="84" t="s">
        <v>4475</v>
      </c>
      <c r="C885" s="7" t="s">
        <v>3814</v>
      </c>
      <c r="D885" s="7" t="s">
        <v>2635</v>
      </c>
      <c r="E885" s="7" t="s">
        <v>3614</v>
      </c>
      <c r="F885" s="84" t="s">
        <v>2660</v>
      </c>
      <c r="G885" s="84" t="s">
        <v>3558</v>
      </c>
      <c r="H885" s="84" t="s">
        <v>2732</v>
      </c>
      <c r="I885" s="84" t="s">
        <v>4301</v>
      </c>
      <c r="J885" s="7" t="s">
        <v>2742</v>
      </c>
      <c r="K885" s="7">
        <v>31.0</v>
      </c>
      <c r="L885" s="7">
        <v>0.0</v>
      </c>
      <c r="M885" s="7">
        <v>31.0</v>
      </c>
      <c r="N885" s="7">
        <v>31.0</v>
      </c>
      <c r="O885" s="7">
        <v>31.0</v>
      </c>
      <c r="P885" s="7">
        <v>31.0</v>
      </c>
      <c r="Q885" s="7">
        <v>4.0</v>
      </c>
      <c r="R885" s="7">
        <v>0.0</v>
      </c>
      <c r="S885" s="7">
        <v>0.0</v>
      </c>
      <c r="T885" s="7">
        <v>252.0</v>
      </c>
      <c r="U885" s="7">
        <v>0.0</v>
      </c>
      <c r="V885" s="7">
        <v>252.0</v>
      </c>
      <c r="W885" s="7">
        <f>VLOOKUP($D885,NatureChart,2,0)</f>
        <v>0.9</v>
      </c>
      <c r="X885" s="7">
        <f>VLOOKUP($D885,NatureChart,3,0)</f>
        <v>1</v>
      </c>
      <c r="Y885" s="7">
        <f>VLOOKUP($D885,NatureChart,4,0)</f>
        <v>1</v>
      </c>
      <c r="Z885" s="7">
        <f>VLOOKUP($D885,NatureChart,5,0)</f>
        <v>1</v>
      </c>
      <c r="AA885" s="84">
        <f>VLOOKUP($D885,NatureChart,6,0)</f>
        <v>1.1</v>
      </c>
      <c r="AB885" s="84">
        <f>IF($C885="Shedinja",1,(INT((2*VLOOKUP($C885,DexData,5,0)+INT(Q885/4)+K885)/2)+60))</f>
        <v>149</v>
      </c>
      <c r="AC885" s="84">
        <f>INT(INT((INT((2*VLOOKUP($C885,DexData,6,0)+INT(R885/4)+L885)/2)+5)*W885)*IF($E885="Choice Band",1.5,IF(OR($E885="Mawilite",$E885="Medichamite",$E885="Thick Club"),2,1)))</f>
        <v>72</v>
      </c>
      <c r="AD885" s="84">
        <f>INT(INT((INT((2*VLOOKUP($C885,DexData,7,0)+INT(S885/4)+M885)/2)+5)*X885)*IF($E885="Eviolite",1.5,1))</f>
        <v>95</v>
      </c>
      <c r="AE885" s="84">
        <f>INT(INT((INT((2*VLOOKUP($C885,DexData,9,0)+INT(T885/4)+N885)/2)+5)*Y885)*IF($E885="Choice Specs",1.5,1))</f>
        <v>133</v>
      </c>
      <c r="AF885" s="84">
        <f>INT(INT((INT((2*VLOOKUP($C885,DexData,10,0)+INT(U885/4)+O885)/2)+5)*Z885)*IF(OR($E885="Eviolite",$E885="Assault Vest"),1.5,1))</f>
        <v>120</v>
      </c>
      <c r="AG885" s="84">
        <f>INT(INT((INT((2*VLOOKUP($C885,DexData,11,0)+INT(V885/4)+P885)/2)+5)*AA885)*IF($E885="Choice Scarf",1.5,IF($E885="Iron Ball",0.5,1)))</f>
        <v>167</v>
      </c>
      <c r="AH885" s="84" t="str">
        <f>VLOOKUP(VLOOKUP($C885,DexData,3,0),Aliases!D$2:E$19,2,0)&amp;IFERROR("/"&amp;VLOOKUP(VLOOKUP($C885,DexData,4,0),Aliases!D$2:E$19,2,0),"")</f>
        <v>FIR</v>
      </c>
      <c r="AI885" s="7">
        <v>1.0</v>
      </c>
      <c r="AJ885" s="7">
        <f>IF(VLOOKUP(B885,'Set Odds'!A$2:AN$1067,40,0),1,IF(VLOOKUP(B885,'Set Odds'!A$2:AO$1067,41,0),2,0))</f>
        <v>2</v>
      </c>
      <c r="AK885" s="87" t="s">
        <v>4467</v>
      </c>
      <c r="AL885" s="7" t="str">
        <f t="shared" si="1"/>
        <v/>
      </c>
    </row>
    <row r="886" ht="12.75" customHeight="1">
      <c r="A886" s="86">
        <v>885.0</v>
      </c>
      <c r="B886" s="84" t="s">
        <v>4476</v>
      </c>
      <c r="C886" s="7" t="s">
        <v>4472</v>
      </c>
      <c r="D886" s="7" t="s">
        <v>2656</v>
      </c>
      <c r="E886" s="7" t="s">
        <v>3522</v>
      </c>
      <c r="F886" s="84" t="s">
        <v>3435</v>
      </c>
      <c r="G886" s="84" t="s">
        <v>3952</v>
      </c>
      <c r="H886" s="84" t="s">
        <v>3523</v>
      </c>
      <c r="I886" s="84" t="s">
        <v>4477</v>
      </c>
      <c r="J886" s="7" t="s">
        <v>2714</v>
      </c>
      <c r="K886" s="7">
        <v>31.0</v>
      </c>
      <c r="L886" s="7">
        <v>0.0</v>
      </c>
      <c r="M886" s="7">
        <v>31.0</v>
      </c>
      <c r="N886" s="7">
        <v>31.0</v>
      </c>
      <c r="O886" s="7">
        <v>31.0</v>
      </c>
      <c r="P886" s="7">
        <v>31.0</v>
      </c>
      <c r="Q886" s="7">
        <v>4.0</v>
      </c>
      <c r="R886" s="7">
        <v>0.0</v>
      </c>
      <c r="S886" s="7">
        <v>0.0</v>
      </c>
      <c r="T886" s="7">
        <v>252.0</v>
      </c>
      <c r="U886" s="7">
        <v>0.0</v>
      </c>
      <c r="V886" s="7">
        <v>252.0</v>
      </c>
      <c r="W886" s="7">
        <f>VLOOKUP($D886,NatureChart,2,0)</f>
        <v>0.9</v>
      </c>
      <c r="X886" s="7">
        <f>VLOOKUP($D886,NatureChart,3,0)</f>
        <v>1</v>
      </c>
      <c r="Y886" s="7">
        <f>VLOOKUP($D886,NatureChart,4,0)</f>
        <v>1.1</v>
      </c>
      <c r="Z886" s="7">
        <f>VLOOKUP($D886,NatureChart,5,0)</f>
        <v>1</v>
      </c>
      <c r="AA886" s="84">
        <f>VLOOKUP($D886,NatureChart,6,0)</f>
        <v>1</v>
      </c>
      <c r="AB886" s="84">
        <f>IF($C886="Shedinja",1,(INT((2*VLOOKUP($C886,DexData,5,0)+INT(Q886/4)+K886)/2)+60))</f>
        <v>126</v>
      </c>
      <c r="AC886" s="84">
        <f>INT(INT((INT((2*VLOOKUP($C886,DexData,6,0)+INT(R886/4)+L886)/2)+5)*W886)*IF($E886="Choice Band",1.5,IF(OR($E886="Mawilite",$E886="Medichamite",$E886="Thick Club"),2,1)))</f>
        <v>63</v>
      </c>
      <c r="AD886" s="84">
        <f>INT(INT((INT((2*VLOOKUP($C886,DexData,7,0)+INT(S886/4)+M886)/2)+5)*X886)*IF($E886="Eviolite",1.5,1))</f>
        <v>127</v>
      </c>
      <c r="AE886" s="84">
        <f>INT(INT((INT((2*VLOOKUP($C886,DexData,9,0)+INT(T886/4)+N886)/2)+5)*Y886)*IF($E886="Choice Specs",1.5,1))</f>
        <v>258</v>
      </c>
      <c r="AF886" s="84">
        <f>INT(INT((INT((2*VLOOKUP($C886,DexData,10,0)+INT(U886/4)+O886)/2)+5)*Z886)*IF(OR($E886="Eviolite",$E886="Assault Vest"),1.5,1))</f>
        <v>127</v>
      </c>
      <c r="AG886" s="84">
        <f>INT(INT((INT((2*VLOOKUP($C886,DexData,11,0)+INT(V886/4)+P886)/2)+5)*AA886)*IF($E886="Choice Scarf",1.5,IF($E886="Iron Ball",0.5,1)))</f>
        <v>138</v>
      </c>
      <c r="AH886" s="84" t="str">
        <f>VLOOKUP(VLOOKUP($C886,DexData,3,0),Aliases!D$2:E$19,2,0)&amp;IFERROR("/"&amp;VLOOKUP(VLOOKUP($C886,DexData,4,0),Aliases!D$2:E$19,2,0),"")</f>
        <v>ELC/GRS</v>
      </c>
      <c r="AI886" s="7">
        <v>3.0</v>
      </c>
      <c r="AJ886" s="7">
        <f>IF(VLOOKUP(B886,'Set Odds'!A$2:AN$1067,40,0),1,IF(VLOOKUP(B886,'Set Odds'!A$2:AO$1067,41,0),2,0))</f>
        <v>2</v>
      </c>
      <c r="AK886" s="87" t="s">
        <v>4467</v>
      </c>
      <c r="AL886" s="7" t="str">
        <f t="shared" si="1"/>
        <v/>
      </c>
    </row>
    <row r="887" ht="12.75" customHeight="1">
      <c r="A887" s="86">
        <v>886.0</v>
      </c>
      <c r="B887" s="84" t="s">
        <v>4478</v>
      </c>
      <c r="C887" s="7" t="s">
        <v>3586</v>
      </c>
      <c r="D887" s="7" t="s">
        <v>2656</v>
      </c>
      <c r="E887" s="7" t="s">
        <v>2806</v>
      </c>
      <c r="F887" s="84" t="s">
        <v>2704</v>
      </c>
      <c r="G887" s="84" t="s">
        <v>2574</v>
      </c>
      <c r="H887" s="84" t="s">
        <v>3052</v>
      </c>
      <c r="I887" s="84" t="s">
        <v>2832</v>
      </c>
      <c r="J887" s="7" t="s">
        <v>2701</v>
      </c>
      <c r="K887" s="7">
        <v>31.0</v>
      </c>
      <c r="L887" s="7">
        <v>0.0</v>
      </c>
      <c r="M887" s="7">
        <v>31.0</v>
      </c>
      <c r="N887" s="7">
        <v>31.0</v>
      </c>
      <c r="O887" s="7">
        <v>31.0</v>
      </c>
      <c r="P887" s="7">
        <v>31.0</v>
      </c>
      <c r="Q887" s="7">
        <v>4.0</v>
      </c>
      <c r="R887" s="7">
        <v>0.0</v>
      </c>
      <c r="S887" s="7">
        <v>0.0</v>
      </c>
      <c r="T887" s="7">
        <v>252.0</v>
      </c>
      <c r="U887" s="7">
        <v>0.0</v>
      </c>
      <c r="V887" s="7">
        <v>252.0</v>
      </c>
      <c r="W887" s="7">
        <f>VLOOKUP($D887,NatureChart,2,0)</f>
        <v>0.9</v>
      </c>
      <c r="X887" s="7">
        <f>VLOOKUP($D887,NatureChart,3,0)</f>
        <v>1</v>
      </c>
      <c r="Y887" s="7">
        <f>VLOOKUP($D887,NatureChart,4,0)</f>
        <v>1.1</v>
      </c>
      <c r="Z887" s="7">
        <f>VLOOKUP($D887,NatureChart,5,0)</f>
        <v>1</v>
      </c>
      <c r="AA887" s="84">
        <f>VLOOKUP($D887,NatureChart,6,0)</f>
        <v>1</v>
      </c>
      <c r="AB887" s="84">
        <f>IF($C887="Shedinja",1,(INT((2*VLOOKUP($C887,DexData,5,0)+INT(Q887/4)+K887)/2)+60))</f>
        <v>156</v>
      </c>
      <c r="AC887" s="84">
        <f>INT(INT((INT((2*VLOOKUP($C887,DexData,6,0)+INT(R887/4)+L887)/2)+5)*W887)*IF($E887="Choice Band",1.5,IF(OR($E887="Mawilite",$E887="Medichamite",$E887="Thick Club"),2,1)))</f>
        <v>78</v>
      </c>
      <c r="AD887" s="84">
        <f>INT(INT((INT((2*VLOOKUP($C887,DexData,7,0)+INT(S887/4)+M887)/2)+5)*X887)*IF($E887="Eviolite",1.5,1))</f>
        <v>103</v>
      </c>
      <c r="AE887" s="84">
        <f>INT(INT((INT((2*VLOOKUP($C887,DexData,9,0)+INT(T887/4)+N887)/2)+5)*Y887)*IF($E887="Choice Specs",1.5,1))</f>
        <v>167</v>
      </c>
      <c r="AF887" s="84">
        <f>INT(INT((INT((2*VLOOKUP($C887,DexData,10,0)+INT(U887/4)+O887)/2)+5)*Z887)*IF(OR($E887="Eviolite",$E887="Assault Vest"),1.5,1))</f>
        <v>120</v>
      </c>
      <c r="AG887" s="84">
        <f>INT(INT((INT((2*VLOOKUP($C887,DexData,11,0)+INT(V887/4)+P887)/2)+5)*AA887)*IF($E887="Choice Scarf",1.5,IF($E887="Iron Ball",0.5,1)))</f>
        <v>132</v>
      </c>
      <c r="AH887" s="84" t="str">
        <f>VLOOKUP(VLOOKUP($C887,DexData,3,0),Aliases!D$2:E$19,2,0)&amp;IFERROR("/"&amp;VLOOKUP(VLOOKUP($C887,DexData,4,0),Aliases!D$2:E$19,2,0),"")</f>
        <v>GRS/PSN</v>
      </c>
      <c r="AI887" s="7">
        <v>1.0</v>
      </c>
      <c r="AJ887" s="7">
        <f>IF(VLOOKUP(B887,'Set Odds'!A$2:AN$1067,40,0),1,IF(VLOOKUP(B887,'Set Odds'!A$2:AO$1067,41,0),2,0))</f>
        <v>2</v>
      </c>
      <c r="AK887" s="87" t="s">
        <v>4467</v>
      </c>
      <c r="AL887" s="7" t="str">
        <f t="shared" si="1"/>
        <v/>
      </c>
    </row>
    <row r="888" ht="12.75" customHeight="1">
      <c r="A888" s="86">
        <v>887.0</v>
      </c>
      <c r="B888" s="84" t="s">
        <v>4479</v>
      </c>
      <c r="C888" s="7" t="s">
        <v>3728</v>
      </c>
      <c r="D888" s="7" t="s">
        <v>2635</v>
      </c>
      <c r="E888" s="7" t="s">
        <v>3548</v>
      </c>
      <c r="F888" s="84" t="s">
        <v>2659</v>
      </c>
      <c r="G888" s="84" t="s">
        <v>3260</v>
      </c>
      <c r="H888" s="84" t="s">
        <v>3590</v>
      </c>
      <c r="I888" s="84" t="s">
        <v>2517</v>
      </c>
      <c r="J888" s="7" t="s">
        <v>2958</v>
      </c>
      <c r="K888" s="7">
        <v>31.0</v>
      </c>
      <c r="L888" s="7">
        <v>0.0</v>
      </c>
      <c r="M888" s="7">
        <v>31.0</v>
      </c>
      <c r="N888" s="7">
        <v>31.0</v>
      </c>
      <c r="O888" s="7">
        <v>31.0</v>
      </c>
      <c r="P888" s="7">
        <v>31.0</v>
      </c>
      <c r="Q888" s="7">
        <v>4.0</v>
      </c>
      <c r="R888" s="7">
        <v>0.0</v>
      </c>
      <c r="S888" s="7">
        <v>0.0</v>
      </c>
      <c r="T888" s="7">
        <v>252.0</v>
      </c>
      <c r="U888" s="7">
        <v>0.0</v>
      </c>
      <c r="V888" s="7">
        <v>252.0</v>
      </c>
      <c r="W888" s="7">
        <f>VLOOKUP($D888,NatureChart,2,0)</f>
        <v>0.9</v>
      </c>
      <c r="X888" s="7">
        <f>VLOOKUP($D888,NatureChart,3,0)</f>
        <v>1</v>
      </c>
      <c r="Y888" s="7">
        <f>VLOOKUP($D888,NatureChart,4,0)</f>
        <v>1</v>
      </c>
      <c r="Z888" s="7">
        <f>VLOOKUP($D888,NatureChart,5,0)</f>
        <v>1</v>
      </c>
      <c r="AA888" s="84">
        <f>VLOOKUP($D888,NatureChart,6,0)</f>
        <v>1.1</v>
      </c>
      <c r="AB888" s="84">
        <f>IF($C888="Shedinja",1,(INT((2*VLOOKUP($C888,DexData,5,0)+INT(Q888/4)+K888)/2)+60))</f>
        <v>131</v>
      </c>
      <c r="AC888" s="84">
        <f>INT(INT((INT((2*VLOOKUP($C888,DexData,6,0)+INT(R888/4)+L888)/2)+5)*W888)*IF($E888="Choice Band",1.5,IF(OR($E888="Mawilite",$E888="Medichamite",$E888="Thick Club"),2,1)))</f>
        <v>49</v>
      </c>
      <c r="AD888" s="84">
        <f>INT(INT((INT((2*VLOOKUP($C888,DexData,7,0)+INT(S888/4)+M888)/2)+5)*X888)*IF($E888="Eviolite",1.5,1))</f>
        <v>65</v>
      </c>
      <c r="AE888" s="84">
        <f>INT(INT((INT((2*VLOOKUP($C888,DexData,9,0)+INT(T888/4)+N888)/2)+5)*Y888)*IF($E888="Choice Specs",1.5,1))</f>
        <v>187</v>
      </c>
      <c r="AF888" s="84">
        <f>INT(INT((INT((2*VLOOKUP($C888,DexData,10,0)+INT(U888/4)+O888)/2)+5)*Z888)*IF(OR($E888="Eviolite",$E888="Assault Vest"),1.5,1))</f>
        <v>115</v>
      </c>
      <c r="AG888" s="84">
        <f>INT(INT((INT((2*VLOOKUP($C888,DexData,11,0)+INT(V888/4)+P888)/2)+5)*AA888)*IF($E888="Choice Scarf",1.5,IF($E888="Iron Ball",0.5,1)))</f>
        <v>189</v>
      </c>
      <c r="AH888" s="84" t="str">
        <f>VLOOKUP(VLOOKUP($C888,DexData,3,0),Aliases!D$2:E$19,2,0)&amp;IFERROR("/"&amp;VLOOKUP(VLOOKUP($C888,DexData,4,0),Aliases!D$2:E$19,2,0),"")</f>
        <v>PSY</v>
      </c>
      <c r="AI888" s="7">
        <v>0.0</v>
      </c>
      <c r="AJ888" s="7">
        <f>IF(VLOOKUP(B888,'Set Odds'!A$2:AN$1067,40,0),1,IF(VLOOKUP(B888,'Set Odds'!A$2:AO$1067,41,0),2,0))</f>
        <v>2</v>
      </c>
      <c r="AK888" s="87" t="s">
        <v>4480</v>
      </c>
      <c r="AL888" s="7" t="str">
        <f t="shared" si="1"/>
        <v/>
      </c>
    </row>
    <row r="889" ht="12.75" customHeight="1">
      <c r="A889" s="86">
        <v>888.0</v>
      </c>
      <c r="B889" s="84" t="s">
        <v>4481</v>
      </c>
      <c r="C889" s="7" t="s">
        <v>3869</v>
      </c>
      <c r="D889" s="7" t="s">
        <v>2862</v>
      </c>
      <c r="E889" s="7" t="s">
        <v>2685</v>
      </c>
      <c r="F889" s="84" t="s">
        <v>4085</v>
      </c>
      <c r="G889" s="84" t="s">
        <v>3236</v>
      </c>
      <c r="H889" s="84" t="s">
        <v>4220</v>
      </c>
      <c r="I889" s="84" t="s">
        <v>2521</v>
      </c>
      <c r="J889" s="7" t="s">
        <v>3233</v>
      </c>
      <c r="K889" s="7">
        <v>31.0</v>
      </c>
      <c r="L889" s="7">
        <v>0.0</v>
      </c>
      <c r="M889" s="7">
        <v>31.0</v>
      </c>
      <c r="N889" s="7">
        <v>31.0</v>
      </c>
      <c r="O889" s="7">
        <v>31.0</v>
      </c>
      <c r="P889" s="7">
        <v>31.0</v>
      </c>
      <c r="Q889" s="7">
        <v>252.0</v>
      </c>
      <c r="R889" s="7">
        <v>0.0</v>
      </c>
      <c r="S889" s="7">
        <v>252.0</v>
      </c>
      <c r="T889" s="7">
        <v>4.0</v>
      </c>
      <c r="U889" s="7">
        <v>0.0</v>
      </c>
      <c r="V889" s="7">
        <v>0.0</v>
      </c>
      <c r="W889" s="7">
        <f>VLOOKUP($D889,NatureChart,2,0)</f>
        <v>0.9</v>
      </c>
      <c r="X889" s="7">
        <f>VLOOKUP($D889,NatureChart,3,0)</f>
        <v>1.1</v>
      </c>
      <c r="Y889" s="7">
        <f>VLOOKUP($D889,NatureChart,4,0)</f>
        <v>1</v>
      </c>
      <c r="Z889" s="7">
        <f>VLOOKUP($D889,NatureChart,5,0)</f>
        <v>1</v>
      </c>
      <c r="AA889" s="84">
        <f>VLOOKUP($D889,NatureChart,6,0)</f>
        <v>1</v>
      </c>
      <c r="AB889" s="84">
        <f>IF($C889="Shedinja",1,(INT((2*VLOOKUP($C889,DexData,5,0)+INT(Q889/4)+K889)/2)+60))</f>
        <v>202</v>
      </c>
      <c r="AC889" s="84">
        <f>INT(INT((INT((2*VLOOKUP($C889,DexData,6,0)+INT(R889/4)+L889)/2)+5)*W889)*IF($E889="Choice Band",1.5,IF(OR($E889="Mawilite",$E889="Medichamite",$E889="Thick Club"),2,1)))</f>
        <v>63</v>
      </c>
      <c r="AD889" s="84">
        <f>INT(INT((INT((2*VLOOKUP($C889,DexData,7,0)+INT(S889/4)+M889)/2)+5)*X889)*IF($E889="Eviolite",1.5,1))</f>
        <v>178</v>
      </c>
      <c r="AE889" s="84">
        <f>INT(INT((INT((2*VLOOKUP($C889,DexData,9,0)+INT(T889/4)+N889)/2)+5)*Y889)*IF($E889="Choice Specs",1.5,1))</f>
        <v>81</v>
      </c>
      <c r="AF889" s="84">
        <f>INT(INT((INT((2*VLOOKUP($C889,DexData,10,0)+INT(U889/4)+O889)/2)+5)*Z889)*IF(OR($E889="Eviolite",$E889="Assault Vest"),1.5,1))</f>
        <v>150</v>
      </c>
      <c r="AG889" s="84">
        <f>INT(INT((INT((2*VLOOKUP($C889,DexData,11,0)+INT(V889/4)+P889)/2)+5)*AA889)*IF($E889="Choice Scarf",1.5,IF($E889="Iron Ball",0.5,1)))</f>
        <v>85</v>
      </c>
      <c r="AH889" s="84" t="str">
        <f>VLOOKUP(VLOOKUP($C889,DexData,3,0),Aliases!D$2:E$19,2,0)&amp;IFERROR("/"&amp;VLOOKUP(VLOOKUP($C889,DexData,4,0),Aliases!D$2:E$19,2,0),"")</f>
        <v>DRK</v>
      </c>
      <c r="AI889" s="7">
        <v>1.0</v>
      </c>
      <c r="AJ889" s="7">
        <f>IF(VLOOKUP(B889,'Set Odds'!A$2:AN$1067,40,0),1,IF(VLOOKUP(B889,'Set Odds'!A$2:AO$1067,41,0),2,0))</f>
        <v>2</v>
      </c>
      <c r="AK889" s="87" t="s">
        <v>4482</v>
      </c>
      <c r="AL889" s="7" t="str">
        <f t="shared" si="1"/>
        <v/>
      </c>
    </row>
    <row r="890" ht="12.75" customHeight="1">
      <c r="A890" s="86">
        <v>889.0</v>
      </c>
      <c r="B890" s="84" t="s">
        <v>4483</v>
      </c>
      <c r="C890" s="7" t="s">
        <v>3774</v>
      </c>
      <c r="D890" s="7" t="s">
        <v>2635</v>
      </c>
      <c r="E890" s="7" t="s">
        <v>2515</v>
      </c>
      <c r="F890" s="84" t="s">
        <v>4296</v>
      </c>
      <c r="G890" s="84" t="s">
        <v>3260</v>
      </c>
      <c r="H890" s="84" t="s">
        <v>2785</v>
      </c>
      <c r="I890" s="84" t="s">
        <v>2661</v>
      </c>
      <c r="J890" s="7" t="s">
        <v>3496</v>
      </c>
      <c r="K890" s="7">
        <v>31.0</v>
      </c>
      <c r="L890" s="7">
        <v>0.0</v>
      </c>
      <c r="M890" s="7">
        <v>31.0</v>
      </c>
      <c r="N890" s="7">
        <v>31.0</v>
      </c>
      <c r="O890" s="7">
        <v>31.0</v>
      </c>
      <c r="P890" s="7">
        <v>31.0</v>
      </c>
      <c r="Q890" s="7">
        <v>4.0</v>
      </c>
      <c r="R890" s="7">
        <v>0.0</v>
      </c>
      <c r="S890" s="7">
        <v>0.0</v>
      </c>
      <c r="T890" s="7">
        <v>252.0</v>
      </c>
      <c r="U890" s="7">
        <v>0.0</v>
      </c>
      <c r="V890" s="7">
        <v>252.0</v>
      </c>
      <c r="W890" s="7">
        <f>VLOOKUP($D890,NatureChart,2,0)</f>
        <v>0.9</v>
      </c>
      <c r="X890" s="7">
        <f>VLOOKUP($D890,NatureChart,3,0)</f>
        <v>1</v>
      </c>
      <c r="Y890" s="7">
        <f>VLOOKUP($D890,NatureChart,4,0)</f>
        <v>1</v>
      </c>
      <c r="Z890" s="7">
        <f>VLOOKUP($D890,NatureChart,5,0)</f>
        <v>1</v>
      </c>
      <c r="AA890" s="84">
        <f>VLOOKUP($D890,NatureChart,6,0)</f>
        <v>1.1</v>
      </c>
      <c r="AB890" s="84">
        <f>IF($C890="Shedinja",1,(INT((2*VLOOKUP($C890,DexData,5,0)+INT(Q890/4)+K890)/2)+60))</f>
        <v>136</v>
      </c>
      <c r="AC890" s="84">
        <f>INT(INT((INT((2*VLOOKUP($C890,DexData,6,0)+INT(R890/4)+L890)/2)+5)*W890)*IF($E890="Choice Band",1.5,IF(OR($E890="Mawilite",$E890="Medichamite",$E890="Thick Club"),2,1)))</f>
        <v>63</v>
      </c>
      <c r="AD890" s="84">
        <f>INT(INT((INT((2*VLOOKUP($C890,DexData,7,0)+INT(S890/4)+M890)/2)+5)*X890)*IF($E890="Eviolite",1.5,1))</f>
        <v>80</v>
      </c>
      <c r="AE890" s="84">
        <f>INT(INT((INT((2*VLOOKUP($C890,DexData,9,0)+INT(T890/4)+N890)/2)+5)*Y890)*IF($E890="Choice Specs",1.5,1))</f>
        <v>182</v>
      </c>
      <c r="AF890" s="84">
        <f>INT(INT((INT((2*VLOOKUP($C890,DexData,10,0)+INT(U890/4)+O890)/2)+5)*Z890)*IF(OR($E890="Eviolite",$E890="Assault Vest"),1.5,1))</f>
        <v>95</v>
      </c>
      <c r="AG890" s="84">
        <f>INT(INT((INT((2*VLOOKUP($C890,DexData,11,0)+INT(V890/4)+P890)/2)+5)*AA890)*IF($E890="Choice Scarf",1.5,IF($E890="Iron Ball",0.5,1)))</f>
        <v>178</v>
      </c>
      <c r="AH890" s="84" t="str">
        <f>VLOOKUP(VLOOKUP($C890,DexData,3,0),Aliases!D$2:E$19,2,0)&amp;IFERROR("/"&amp;VLOOKUP(VLOOKUP($C890,DexData,4,0),Aliases!D$2:E$19,2,0),"")</f>
        <v>GHO/PSN</v>
      </c>
      <c r="AI890" s="7">
        <v>1.0</v>
      </c>
      <c r="AJ890" s="7">
        <f>IF(VLOOKUP(B890,'Set Odds'!A$2:AN$1067,40,0),1,IF(VLOOKUP(B890,'Set Odds'!A$2:AO$1067,41,0),2,0))</f>
        <v>2</v>
      </c>
      <c r="AK890" s="87" t="s">
        <v>4480</v>
      </c>
      <c r="AL890" s="7" t="str">
        <f t="shared" si="1"/>
        <v/>
      </c>
    </row>
    <row r="891" ht="12.75" customHeight="1">
      <c r="A891" s="86">
        <v>890.0</v>
      </c>
      <c r="B891" s="84" t="s">
        <v>4484</v>
      </c>
      <c r="C891" s="7" t="s">
        <v>3914</v>
      </c>
      <c r="D891" s="7" t="s">
        <v>2862</v>
      </c>
      <c r="E891" s="7" t="s">
        <v>3715</v>
      </c>
      <c r="F891" s="84" t="s">
        <v>2785</v>
      </c>
      <c r="G891" s="84" t="s">
        <v>3260</v>
      </c>
      <c r="H891" s="84" t="s">
        <v>3228</v>
      </c>
      <c r="I891" s="84" t="s">
        <v>2660</v>
      </c>
      <c r="J891" s="7" t="s">
        <v>2662</v>
      </c>
      <c r="K891" s="7">
        <v>31.0</v>
      </c>
      <c r="L891" s="7">
        <v>0.0</v>
      </c>
      <c r="M891" s="7">
        <v>31.0</v>
      </c>
      <c r="N891" s="7">
        <v>31.0</v>
      </c>
      <c r="O891" s="7">
        <v>31.0</v>
      </c>
      <c r="P891" s="7">
        <v>31.0</v>
      </c>
      <c r="Q891" s="7">
        <v>0.0</v>
      </c>
      <c r="R891" s="7">
        <v>0.0</v>
      </c>
      <c r="S891" s="7">
        <v>252.0</v>
      </c>
      <c r="T891" s="7">
        <v>4.0</v>
      </c>
      <c r="U891" s="7">
        <v>0.0</v>
      </c>
      <c r="V891" s="7">
        <v>252.0</v>
      </c>
      <c r="W891" s="7">
        <f>VLOOKUP($D891,NatureChart,2,0)</f>
        <v>0.9</v>
      </c>
      <c r="X891" s="7">
        <f>VLOOKUP($D891,NatureChart,3,0)</f>
        <v>1.1</v>
      </c>
      <c r="Y891" s="7">
        <f>VLOOKUP($D891,NatureChart,4,0)</f>
        <v>1</v>
      </c>
      <c r="Z891" s="7">
        <f>VLOOKUP($D891,NatureChart,5,0)</f>
        <v>1</v>
      </c>
      <c r="AA891" s="84">
        <f>VLOOKUP($D891,NatureChart,6,0)</f>
        <v>1</v>
      </c>
      <c r="AB891" s="84">
        <f>IF($C891="Shedinja",1,(INT((2*VLOOKUP($C891,DexData,5,0)+INT(Q891/4)+K891)/2)+60))</f>
        <v>330</v>
      </c>
      <c r="AC891" s="84">
        <f>INT(INT((INT((2*VLOOKUP($C891,DexData,6,0)+INT(R891/4)+L891)/2)+5)*W891)*IF($E891="Choice Band",1.5,IF(OR($E891="Mawilite",$E891="Medichamite",$E891="Thick Club"),2,1)))</f>
        <v>13</v>
      </c>
      <c r="AD891" s="84">
        <f>INT(INT((INT((2*VLOOKUP($C891,DexData,7,0)+INT(S891/4)+M891)/2)+5)*X891)*IF($E891="Eviolite",1.5,1))</f>
        <v>68</v>
      </c>
      <c r="AE891" s="84">
        <f>INT(INT((INT((2*VLOOKUP($C891,DexData,9,0)+INT(T891/4)+N891)/2)+5)*Y891)*IF($E891="Choice Specs",1.5,1))</f>
        <v>96</v>
      </c>
      <c r="AF891" s="84">
        <f>INT(INT((INT((2*VLOOKUP($C891,DexData,10,0)+INT(U891/4)+O891)/2)+5)*Z891)*IF(OR($E891="Eviolite",$E891="Assault Vest"),1.5,1))</f>
        <v>155</v>
      </c>
      <c r="AG891" s="84">
        <f>INT(INT((INT((2*VLOOKUP($C891,DexData,11,0)+INT(V891/4)+P891)/2)+5)*AA891)*IF($E891="Choice Scarf",1.5,IF($E891="Iron Ball",0.5,1)))</f>
        <v>107</v>
      </c>
      <c r="AH891" s="84" t="str">
        <f>VLOOKUP(VLOOKUP($C891,DexData,3,0),Aliases!D$2:E$19,2,0)&amp;IFERROR("/"&amp;VLOOKUP(VLOOKUP($C891,DexData,4,0),Aliases!D$2:E$19,2,0),"")</f>
        <v>NRM</v>
      </c>
      <c r="AI891" s="7">
        <v>1.0</v>
      </c>
      <c r="AJ891" s="7">
        <f>IF(VLOOKUP(B891,'Set Odds'!A$2:AN$1067,40,0),1,IF(VLOOKUP(B891,'Set Odds'!A$2:AO$1067,41,0),2,0))</f>
        <v>2</v>
      </c>
      <c r="AK891" s="87" t="s">
        <v>4482</v>
      </c>
      <c r="AL891" s="7" t="str">
        <f t="shared" si="1"/>
        <v/>
      </c>
    </row>
    <row r="892" ht="12.75" customHeight="1">
      <c r="A892" s="86">
        <v>891.0</v>
      </c>
      <c r="B892" s="84" t="s">
        <v>4485</v>
      </c>
      <c r="C892" s="7" t="s">
        <v>4212</v>
      </c>
      <c r="D892" s="7" t="s">
        <v>2656</v>
      </c>
      <c r="E892" s="7" t="s">
        <v>3715</v>
      </c>
      <c r="F892" s="84" t="s">
        <v>4213</v>
      </c>
      <c r="G892" s="84" t="s">
        <v>4109</v>
      </c>
      <c r="H892" s="84" t="s">
        <v>3435</v>
      </c>
      <c r="I892" s="84" t="s">
        <v>3523</v>
      </c>
      <c r="J892" s="7" t="s">
        <v>3136</v>
      </c>
      <c r="K892" s="7">
        <v>31.0</v>
      </c>
      <c r="L892" s="7">
        <v>0.0</v>
      </c>
      <c r="M892" s="7">
        <v>31.0</v>
      </c>
      <c r="N892" s="7">
        <v>31.0</v>
      </c>
      <c r="O892" s="7">
        <v>31.0</v>
      </c>
      <c r="P892" s="7">
        <v>31.0</v>
      </c>
      <c r="Q892" s="7">
        <v>4.0</v>
      </c>
      <c r="R892" s="7">
        <v>0.0</v>
      </c>
      <c r="S892" s="7">
        <v>0.0</v>
      </c>
      <c r="T892" s="7">
        <v>252.0</v>
      </c>
      <c r="U892" s="7">
        <v>0.0</v>
      </c>
      <c r="V892" s="7">
        <v>252.0</v>
      </c>
      <c r="W892" s="7">
        <f>VLOOKUP($D892,NatureChart,2,0)</f>
        <v>0.9</v>
      </c>
      <c r="X892" s="7">
        <f>VLOOKUP($D892,NatureChart,3,0)</f>
        <v>1</v>
      </c>
      <c r="Y892" s="7">
        <f>VLOOKUP($D892,NatureChart,4,0)</f>
        <v>1.1</v>
      </c>
      <c r="Z892" s="7">
        <f>VLOOKUP($D892,NatureChart,5,0)</f>
        <v>1</v>
      </c>
      <c r="AA892" s="84">
        <f>VLOOKUP($D892,NatureChart,6,0)</f>
        <v>1</v>
      </c>
      <c r="AB892" s="84">
        <f>IF($C892="Shedinja",1,(INT((2*VLOOKUP($C892,DexData,5,0)+INT(Q892/4)+K892)/2)+60))</f>
        <v>166</v>
      </c>
      <c r="AC892" s="84">
        <f>INT(INT((INT((2*VLOOKUP($C892,DexData,6,0)+INT(R892/4)+L892)/2)+5)*W892)*IF($E892="Choice Band",1.5,IF(OR($E892="Mawilite",$E892="Medichamite",$E892="Thick Club"),2,1)))</f>
        <v>85</v>
      </c>
      <c r="AD892" s="84">
        <f>INT(INT((INT((2*VLOOKUP($C892,DexData,7,0)+INT(S892/4)+M892)/2)+5)*X892)*IF($E892="Eviolite",1.5,1))</f>
        <v>105</v>
      </c>
      <c r="AE892" s="84">
        <f>INT(INT((INT((2*VLOOKUP($C892,DexData,9,0)+INT(T892/4)+N892)/2)+5)*Y892)*IF($E892="Choice Specs",1.5,1))</f>
        <v>194</v>
      </c>
      <c r="AF892" s="84">
        <f>INT(INT((INT((2*VLOOKUP($C892,DexData,10,0)+INT(U892/4)+O892)/2)+5)*Z892)*IF(OR($E892="Eviolite",$E892="Assault Vest"),1.5,1))</f>
        <v>110</v>
      </c>
      <c r="AG892" s="84">
        <f>INT(INT((INT((2*VLOOKUP($C892,DexData,11,0)+INT(V892/4)+P892)/2)+5)*AA892)*IF($E892="Choice Scarf",1.5,IF($E892="Iron Ball",0.5,1)))</f>
        <v>152</v>
      </c>
      <c r="AH892" s="84" t="str">
        <f>VLOOKUP(VLOOKUP($C892,DexData,3,0),Aliases!D$2:E$19,2,0)&amp;IFERROR("/"&amp;VLOOKUP(VLOOKUP($C892,DexData,4,0),Aliases!D$2:E$19,2,0),"")</f>
        <v>ELC/FLY</v>
      </c>
      <c r="AI892" s="7">
        <v>3.0</v>
      </c>
      <c r="AJ892" s="7">
        <f>IF(VLOOKUP(B892,'Set Odds'!A$2:AN$1067,40,0),1,IF(VLOOKUP(B892,'Set Odds'!A$2:AO$1067,41,0),2,0))</f>
        <v>2</v>
      </c>
      <c r="AK892" s="87" t="s">
        <v>4480</v>
      </c>
      <c r="AL892" s="7" t="str">
        <f t="shared" si="1"/>
        <v/>
      </c>
    </row>
    <row r="893" ht="12.75" customHeight="1">
      <c r="A893" s="86">
        <v>892.0</v>
      </c>
      <c r="B893" s="84" t="s">
        <v>4486</v>
      </c>
      <c r="C893" s="7" t="s">
        <v>3914</v>
      </c>
      <c r="D893" s="7" t="s">
        <v>2862</v>
      </c>
      <c r="E893" s="7" t="s">
        <v>2685</v>
      </c>
      <c r="F893" s="84" t="s">
        <v>2785</v>
      </c>
      <c r="G893" s="84" t="s">
        <v>3260</v>
      </c>
      <c r="H893" s="84" t="s">
        <v>3228</v>
      </c>
      <c r="I893" s="84" t="s">
        <v>2660</v>
      </c>
      <c r="J893" s="7" t="s">
        <v>2662</v>
      </c>
      <c r="K893" s="7">
        <v>31.0</v>
      </c>
      <c r="L893" s="7">
        <v>0.0</v>
      </c>
      <c r="M893" s="7">
        <v>31.0</v>
      </c>
      <c r="N893" s="7">
        <v>31.0</v>
      </c>
      <c r="O893" s="7">
        <v>31.0</v>
      </c>
      <c r="P893" s="7">
        <v>31.0</v>
      </c>
      <c r="Q893" s="7">
        <v>0.0</v>
      </c>
      <c r="R893" s="7">
        <v>0.0</v>
      </c>
      <c r="S893" s="7">
        <v>252.0</v>
      </c>
      <c r="T893" s="7">
        <v>4.0</v>
      </c>
      <c r="U893" s="7">
        <v>0.0</v>
      </c>
      <c r="V893" s="7">
        <v>252.0</v>
      </c>
      <c r="W893" s="7">
        <f>VLOOKUP($D893,NatureChart,2,0)</f>
        <v>0.9</v>
      </c>
      <c r="X893" s="7">
        <f>VLOOKUP($D893,NatureChart,3,0)</f>
        <v>1.1</v>
      </c>
      <c r="Y893" s="7">
        <f>VLOOKUP($D893,NatureChart,4,0)</f>
        <v>1</v>
      </c>
      <c r="Z893" s="7">
        <f>VLOOKUP($D893,NatureChart,5,0)</f>
        <v>1</v>
      </c>
      <c r="AA893" s="84">
        <f>VLOOKUP($D893,NatureChart,6,0)</f>
        <v>1</v>
      </c>
      <c r="AB893" s="84">
        <f>IF($C893="Shedinja",1,(INT((2*VLOOKUP($C893,DexData,5,0)+INT(Q893/4)+K893)/2)+60))</f>
        <v>330</v>
      </c>
      <c r="AC893" s="84">
        <f>INT(INT((INT((2*VLOOKUP($C893,DexData,6,0)+INT(R893/4)+L893)/2)+5)*W893)*IF($E893="Choice Band",1.5,IF(OR($E893="Mawilite",$E893="Medichamite",$E893="Thick Club"),2,1)))</f>
        <v>13</v>
      </c>
      <c r="AD893" s="84">
        <f>INT(INT((INT((2*VLOOKUP($C893,DexData,7,0)+INT(S893/4)+M893)/2)+5)*X893)*IF($E893="Eviolite",1.5,1))</f>
        <v>68</v>
      </c>
      <c r="AE893" s="84">
        <f>INT(INT((INT((2*VLOOKUP($C893,DexData,9,0)+INT(T893/4)+N893)/2)+5)*Y893)*IF($E893="Choice Specs",1.5,1))</f>
        <v>96</v>
      </c>
      <c r="AF893" s="84">
        <f>INT(INT((INT((2*VLOOKUP($C893,DexData,10,0)+INT(U893/4)+O893)/2)+5)*Z893)*IF(OR($E893="Eviolite",$E893="Assault Vest"),1.5,1))</f>
        <v>155</v>
      </c>
      <c r="AG893" s="84">
        <f>INT(INT((INT((2*VLOOKUP($C893,DexData,11,0)+INT(V893/4)+P893)/2)+5)*AA893)*IF($E893="Choice Scarf",1.5,IF($E893="Iron Ball",0.5,1)))</f>
        <v>107</v>
      </c>
      <c r="AH893" s="84" t="str">
        <f>VLOOKUP(VLOOKUP($C893,DexData,3,0),Aliases!D$2:E$19,2,0)&amp;IFERROR("/"&amp;VLOOKUP(VLOOKUP($C893,DexData,4,0),Aliases!D$2:E$19,2,0),"")</f>
        <v>NRM</v>
      </c>
      <c r="AI893" s="7">
        <v>1.0</v>
      </c>
      <c r="AJ893" s="7">
        <f>IF(VLOOKUP(B893,'Set Odds'!A$2:AN$1067,40,0),1,IF(VLOOKUP(B893,'Set Odds'!A$2:AO$1067,41,0),2,0))</f>
        <v>2</v>
      </c>
      <c r="AK893" s="87" t="s">
        <v>4482</v>
      </c>
      <c r="AL893" s="7" t="str">
        <f t="shared" si="1"/>
        <v/>
      </c>
    </row>
    <row r="894" ht="12.75" customHeight="1">
      <c r="A894" s="86">
        <v>893.0</v>
      </c>
      <c r="B894" s="84" t="s">
        <v>4487</v>
      </c>
      <c r="C894" s="7" t="s">
        <v>3728</v>
      </c>
      <c r="D894" s="7" t="s">
        <v>2635</v>
      </c>
      <c r="E894" s="7" t="s">
        <v>3548</v>
      </c>
      <c r="F894" s="84" t="s">
        <v>3729</v>
      </c>
      <c r="G894" s="84" t="s">
        <v>3260</v>
      </c>
      <c r="H894" s="84" t="s">
        <v>3590</v>
      </c>
      <c r="I894" s="84" t="s">
        <v>2517</v>
      </c>
      <c r="J894" s="7" t="s">
        <v>2958</v>
      </c>
      <c r="K894" s="7">
        <v>31.0</v>
      </c>
      <c r="L894" s="7">
        <v>0.0</v>
      </c>
      <c r="M894" s="7">
        <v>31.0</v>
      </c>
      <c r="N894" s="7">
        <v>31.0</v>
      </c>
      <c r="O894" s="7">
        <v>31.0</v>
      </c>
      <c r="P894" s="7">
        <v>31.0</v>
      </c>
      <c r="Q894" s="7">
        <v>4.0</v>
      </c>
      <c r="R894" s="7">
        <v>0.0</v>
      </c>
      <c r="S894" s="7">
        <v>0.0</v>
      </c>
      <c r="T894" s="7">
        <v>252.0</v>
      </c>
      <c r="U894" s="7">
        <v>0.0</v>
      </c>
      <c r="V894" s="7">
        <v>252.0</v>
      </c>
      <c r="W894" s="7">
        <f>VLOOKUP($D894,NatureChart,2,0)</f>
        <v>0.9</v>
      </c>
      <c r="X894" s="7">
        <f>VLOOKUP($D894,NatureChart,3,0)</f>
        <v>1</v>
      </c>
      <c r="Y894" s="7">
        <f>VLOOKUP($D894,NatureChart,4,0)</f>
        <v>1</v>
      </c>
      <c r="Z894" s="7">
        <f>VLOOKUP($D894,NatureChart,5,0)</f>
        <v>1</v>
      </c>
      <c r="AA894" s="84">
        <f>VLOOKUP($D894,NatureChart,6,0)</f>
        <v>1.1</v>
      </c>
      <c r="AB894" s="84">
        <f>IF($C894="Shedinja",1,(INT((2*VLOOKUP($C894,DexData,5,0)+INT(Q894/4)+K894)/2)+60))</f>
        <v>131</v>
      </c>
      <c r="AC894" s="84">
        <f>INT(INT((INT((2*VLOOKUP($C894,DexData,6,0)+INT(R894/4)+L894)/2)+5)*W894)*IF($E894="Choice Band",1.5,IF(OR($E894="Mawilite",$E894="Medichamite",$E894="Thick Club"),2,1)))</f>
        <v>49</v>
      </c>
      <c r="AD894" s="84">
        <f>INT(INT((INT((2*VLOOKUP($C894,DexData,7,0)+INT(S894/4)+M894)/2)+5)*X894)*IF($E894="Eviolite",1.5,1))</f>
        <v>65</v>
      </c>
      <c r="AE894" s="84">
        <f>INT(INT((INT((2*VLOOKUP($C894,DexData,9,0)+INT(T894/4)+N894)/2)+5)*Y894)*IF($E894="Choice Specs",1.5,1))</f>
        <v>187</v>
      </c>
      <c r="AF894" s="84">
        <f>INT(INT((INT((2*VLOOKUP($C894,DexData,10,0)+INT(U894/4)+O894)/2)+5)*Z894)*IF(OR($E894="Eviolite",$E894="Assault Vest"),1.5,1))</f>
        <v>115</v>
      </c>
      <c r="AG894" s="84">
        <f>INT(INT((INT((2*VLOOKUP($C894,DexData,11,0)+INT(V894/4)+P894)/2)+5)*AA894)*IF($E894="Choice Scarf",1.5,IF($E894="Iron Ball",0.5,1)))</f>
        <v>189</v>
      </c>
      <c r="AH894" s="84" t="str">
        <f>VLOOKUP(VLOOKUP($C894,DexData,3,0),Aliases!D$2:E$19,2,0)&amp;IFERROR("/"&amp;VLOOKUP(VLOOKUP($C894,DexData,4,0),Aliases!D$2:E$19,2,0),"")</f>
        <v>PSY</v>
      </c>
      <c r="AI894" s="7">
        <v>0.0</v>
      </c>
      <c r="AJ894" s="7">
        <f>IF(VLOOKUP(B894,'Set Odds'!A$2:AN$1067,40,0),1,IF(VLOOKUP(B894,'Set Odds'!A$2:AO$1067,41,0),2,0))</f>
        <v>2</v>
      </c>
      <c r="AK894" s="87" t="s">
        <v>4480</v>
      </c>
      <c r="AL894" s="7" t="str">
        <f t="shared" si="1"/>
        <v/>
      </c>
    </row>
    <row r="895" ht="12.75" customHeight="1">
      <c r="A895" s="86">
        <v>894.0</v>
      </c>
      <c r="B895" s="84" t="s">
        <v>4488</v>
      </c>
      <c r="C895" s="7" t="s">
        <v>3905</v>
      </c>
      <c r="D895" s="7" t="s">
        <v>2635</v>
      </c>
      <c r="E895" s="7" t="s">
        <v>2665</v>
      </c>
      <c r="F895" s="84" t="s">
        <v>3228</v>
      </c>
      <c r="G895" s="84" t="s">
        <v>2823</v>
      </c>
      <c r="H895" s="84" t="s">
        <v>3435</v>
      </c>
      <c r="I895" s="84" t="s">
        <v>3264</v>
      </c>
      <c r="J895" s="7" t="s">
        <v>2837</v>
      </c>
      <c r="K895" s="7">
        <v>31.0</v>
      </c>
      <c r="L895" s="7">
        <v>0.0</v>
      </c>
      <c r="M895" s="7">
        <v>31.0</v>
      </c>
      <c r="N895" s="7">
        <v>31.0</v>
      </c>
      <c r="O895" s="7">
        <v>31.0</v>
      </c>
      <c r="P895" s="7">
        <v>31.0</v>
      </c>
      <c r="Q895" s="7">
        <v>4.0</v>
      </c>
      <c r="R895" s="7">
        <v>0.0</v>
      </c>
      <c r="S895" s="7">
        <v>0.0</v>
      </c>
      <c r="T895" s="7">
        <v>252.0</v>
      </c>
      <c r="U895" s="7">
        <v>0.0</v>
      </c>
      <c r="V895" s="7">
        <v>252.0</v>
      </c>
      <c r="W895" s="7">
        <f>VLOOKUP($D895,NatureChart,2,0)</f>
        <v>0.9</v>
      </c>
      <c r="X895" s="7">
        <f>VLOOKUP($D895,NatureChart,3,0)</f>
        <v>1</v>
      </c>
      <c r="Y895" s="7">
        <f>VLOOKUP($D895,NatureChart,4,0)</f>
        <v>1</v>
      </c>
      <c r="Z895" s="7">
        <f>VLOOKUP($D895,NatureChart,5,0)</f>
        <v>1</v>
      </c>
      <c r="AA895" s="84">
        <f>VLOOKUP($D895,NatureChart,6,0)</f>
        <v>1.1</v>
      </c>
      <c r="AB895" s="84">
        <f>IF($C895="Shedinja",1,(INT((2*VLOOKUP($C895,DexData,5,0)+INT(Q895/4)+K895)/2)+60))</f>
        <v>161</v>
      </c>
      <c r="AC895" s="84">
        <f>INT(INT((INT((2*VLOOKUP($C895,DexData,6,0)+INT(R895/4)+L895)/2)+5)*W895)*IF($E895="Choice Band",1.5,IF(OR($E895="Mawilite",$E895="Medichamite",$E895="Thick Club"),2,1)))</f>
        <v>76</v>
      </c>
      <c r="AD895" s="84">
        <f>INT(INT((INT((2*VLOOKUP($C895,DexData,7,0)+INT(S895/4)+M895)/2)+5)*X895)*IF($E895="Eviolite",1.5,1))</f>
        <v>90</v>
      </c>
      <c r="AE895" s="84">
        <f>INT(INT((INT((2*VLOOKUP($C895,DexData,9,0)+INT(T895/4)+N895)/2)+5)*Y895)*IF($E895="Choice Specs",1.5,1))</f>
        <v>187</v>
      </c>
      <c r="AF895" s="84">
        <f>INT(INT((INT((2*VLOOKUP($C895,DexData,10,0)+INT(U895/4)+O895)/2)+5)*Z895)*IF(OR($E895="Eviolite",$E895="Assault Vest"),1.5,1))</f>
        <v>95</v>
      </c>
      <c r="AG895" s="84">
        <f>INT(INT((INT((2*VLOOKUP($C895,DexData,11,0)+INT(V895/4)+P895)/2)+5)*AA895)*IF($E895="Choice Scarf",1.5,IF($E895="Iron Ball",0.5,1)))</f>
        <v>234</v>
      </c>
      <c r="AH895" s="84" t="str">
        <f>VLOOKUP(VLOOKUP($C895,DexData,3,0),Aliases!D$2:E$19,2,0)&amp;IFERROR("/"&amp;VLOOKUP(VLOOKUP($C895,DexData,4,0),Aliases!D$2:E$19,2,0),"")</f>
        <v>NRM</v>
      </c>
      <c r="AI895" s="7">
        <v>3.0</v>
      </c>
      <c r="AJ895" s="7">
        <f>IF(VLOOKUP(B895,'Set Odds'!A$2:AN$1067,40,0),1,IF(VLOOKUP(B895,'Set Odds'!A$2:AO$1067,41,0),2,0))</f>
        <v>2</v>
      </c>
      <c r="AK895" s="87" t="s">
        <v>4482</v>
      </c>
      <c r="AL895" s="7" t="str">
        <f t="shared" si="1"/>
        <v/>
      </c>
    </row>
    <row r="896" ht="12.75" customHeight="1">
      <c r="A896" s="86">
        <v>895.0</v>
      </c>
      <c r="B896" s="84" t="s">
        <v>4489</v>
      </c>
      <c r="C896" s="7" t="s">
        <v>3848</v>
      </c>
      <c r="D896" s="7" t="s">
        <v>2656</v>
      </c>
      <c r="E896" s="7" t="s">
        <v>2665</v>
      </c>
      <c r="F896" s="84" t="s">
        <v>2659</v>
      </c>
      <c r="G896" s="84" t="s">
        <v>3260</v>
      </c>
      <c r="H896" s="84" t="s">
        <v>3435</v>
      </c>
      <c r="I896" s="84" t="s">
        <v>2785</v>
      </c>
      <c r="J896" s="7" t="s">
        <v>4338</v>
      </c>
      <c r="K896" s="7">
        <v>31.0</v>
      </c>
      <c r="L896" s="7">
        <v>0.0</v>
      </c>
      <c r="M896" s="7">
        <v>31.0</v>
      </c>
      <c r="N896" s="7">
        <v>31.0</v>
      </c>
      <c r="O896" s="7">
        <v>31.0</v>
      </c>
      <c r="P896" s="7">
        <v>31.0</v>
      </c>
      <c r="Q896" s="7">
        <v>4.0</v>
      </c>
      <c r="R896" s="7">
        <v>0.0</v>
      </c>
      <c r="S896" s="7">
        <v>0.0</v>
      </c>
      <c r="T896" s="7">
        <v>252.0</v>
      </c>
      <c r="U896" s="7">
        <v>0.0</v>
      </c>
      <c r="V896" s="7">
        <v>252.0</v>
      </c>
      <c r="W896" s="7">
        <f>VLOOKUP($D896,NatureChart,2,0)</f>
        <v>0.9</v>
      </c>
      <c r="X896" s="7">
        <f>VLOOKUP($D896,NatureChart,3,0)</f>
        <v>1</v>
      </c>
      <c r="Y896" s="7">
        <f>VLOOKUP($D896,NatureChart,4,0)</f>
        <v>1.1</v>
      </c>
      <c r="Z896" s="7">
        <f>VLOOKUP($D896,NatureChart,5,0)</f>
        <v>1</v>
      </c>
      <c r="AA896" s="84">
        <f>VLOOKUP($D896,NatureChart,6,0)</f>
        <v>1</v>
      </c>
      <c r="AB896" s="84">
        <f>IF($C896="Shedinja",1,(INT((2*VLOOKUP($C896,DexData,5,0)+INT(Q896/4)+K896)/2)+60))</f>
        <v>144</v>
      </c>
      <c r="AC896" s="84">
        <f>INT(INT((INT((2*VLOOKUP($C896,DexData,6,0)+INT(R896/4)+L896)/2)+5)*W896)*IF($E896="Choice Band",1.5,IF(OR($E896="Mawilite",$E896="Medichamite",$E896="Thick Club"),2,1)))</f>
        <v>63</v>
      </c>
      <c r="AD896" s="84">
        <f>INT(INT((INT((2*VLOOKUP($C896,DexData,7,0)+INT(S896/4)+M896)/2)+5)*X896)*IF($E896="Eviolite",1.5,1))</f>
        <v>85</v>
      </c>
      <c r="AE896" s="84">
        <f>INT(INT((INT((2*VLOOKUP($C896,DexData,9,0)+INT(T896/4)+N896)/2)+5)*Y896)*IF($E896="Choice Specs",1.5,1))</f>
        <v>194</v>
      </c>
      <c r="AF896" s="84">
        <f>INT(INT((INT((2*VLOOKUP($C896,DexData,10,0)+INT(U896/4)+O896)/2)+5)*Z896)*IF(OR($E896="Eviolite",$E896="Assault Vest"),1.5,1))</f>
        <v>135</v>
      </c>
      <c r="AG896" s="84">
        <f>INT(INT((INT((2*VLOOKUP($C896,DexData,11,0)+INT(V896/4)+P896)/2)+5)*AA896)*IF($E896="Choice Scarf",1.5,IF($E896="Iron Ball",0.5,1)))</f>
        <v>198</v>
      </c>
      <c r="AH896" s="84" t="str">
        <f>VLOOKUP(VLOOKUP($C896,DexData,3,0),Aliases!D$2:E$19,2,0)&amp;IFERROR("/"&amp;VLOOKUP(VLOOKUP($C896,DexData,4,0),Aliases!D$2:E$19,2,0),"")</f>
        <v>PSY/FAI</v>
      </c>
      <c r="AI896" s="7">
        <v>1.0</v>
      </c>
      <c r="AJ896" s="7">
        <f>IF(VLOOKUP(B896,'Set Odds'!A$2:AN$1067,40,0),1,IF(VLOOKUP(B896,'Set Odds'!A$2:AO$1067,41,0),2,0))</f>
        <v>2</v>
      </c>
      <c r="AK896" s="87" t="s">
        <v>4480</v>
      </c>
      <c r="AL896" s="7" t="str">
        <f t="shared" si="1"/>
        <v/>
      </c>
    </row>
    <row r="897" ht="12.75" customHeight="1">
      <c r="A897" s="86">
        <v>896.0</v>
      </c>
      <c r="B897" s="84" t="s">
        <v>4490</v>
      </c>
      <c r="C897" s="7" t="s">
        <v>4232</v>
      </c>
      <c r="D897" s="7" t="s">
        <v>2635</v>
      </c>
      <c r="E897" s="7" t="s">
        <v>3096</v>
      </c>
      <c r="F897" s="84" t="s">
        <v>2967</v>
      </c>
      <c r="G897" s="84" t="s">
        <v>3435</v>
      </c>
      <c r="H897" s="84" t="s">
        <v>2659</v>
      </c>
      <c r="I897" s="84" t="s">
        <v>4016</v>
      </c>
      <c r="J897" s="7" t="s">
        <v>2714</v>
      </c>
      <c r="K897" s="7">
        <v>31.0</v>
      </c>
      <c r="L897" s="7">
        <v>0.0</v>
      </c>
      <c r="M897" s="7">
        <v>31.0</v>
      </c>
      <c r="N897" s="7">
        <v>31.0</v>
      </c>
      <c r="O897" s="7">
        <v>31.0</v>
      </c>
      <c r="P897" s="7">
        <v>31.0</v>
      </c>
      <c r="Q897" s="7">
        <v>4.0</v>
      </c>
      <c r="R897" s="7">
        <v>0.0</v>
      </c>
      <c r="S897" s="7">
        <v>0.0</v>
      </c>
      <c r="T897" s="7">
        <v>252.0</v>
      </c>
      <c r="U897" s="7">
        <v>0.0</v>
      </c>
      <c r="V897" s="7">
        <v>252.0</v>
      </c>
      <c r="W897" s="7">
        <f>VLOOKUP($D897,NatureChart,2,0)</f>
        <v>0.9</v>
      </c>
      <c r="X897" s="7">
        <f>VLOOKUP($D897,NatureChart,3,0)</f>
        <v>1</v>
      </c>
      <c r="Y897" s="7">
        <f>VLOOKUP($D897,NatureChart,4,0)</f>
        <v>1</v>
      </c>
      <c r="Z897" s="7">
        <f>VLOOKUP($D897,NatureChart,5,0)</f>
        <v>1</v>
      </c>
      <c r="AA897" s="84">
        <f>VLOOKUP($D897,NatureChart,6,0)</f>
        <v>1.1</v>
      </c>
      <c r="AB897" s="84">
        <f>IF($C897="Shedinja",1,(INT((2*VLOOKUP($C897,DexData,5,0)+INT(Q897/4)+K897)/2)+60))</f>
        <v>156</v>
      </c>
      <c r="AC897" s="84">
        <f>INT(INT((INT((2*VLOOKUP($C897,DexData,6,0)+INT(R897/4)+L897)/2)+5)*W897)*IF($E897="Choice Band",1.5,IF(OR($E897="Mawilite",$E897="Medichamite",$E897="Thick Club"),2,1)))</f>
        <v>85</v>
      </c>
      <c r="AD897" s="84">
        <f>INT(INT((INT((2*VLOOKUP($C897,DexData,7,0)+INT(S897/4)+M897)/2)+5)*X897)*IF($E897="Eviolite",1.5,1))</f>
        <v>100</v>
      </c>
      <c r="AE897" s="84">
        <f>INT(INT((INT((2*VLOOKUP($C897,DexData,9,0)+INT(T897/4)+N897)/2)+5)*Y897)*IF($E897="Choice Specs",1.5,1))</f>
        <v>182</v>
      </c>
      <c r="AF897" s="84">
        <f>INT(INT((INT((2*VLOOKUP($C897,DexData,10,0)+INT(U897/4)+O897)/2)+5)*Z897)*IF(OR($E897="Eviolite",$E897="Assault Vest"),1.5,1))</f>
        <v>130</v>
      </c>
      <c r="AG897" s="84">
        <f>INT(INT((INT((2*VLOOKUP($C897,DexData,11,0)+INT(V897/4)+P897)/2)+5)*AA897)*IF($E897="Choice Scarf",1.5,IF($E897="Iron Ball",0.5,1)))</f>
        <v>178</v>
      </c>
      <c r="AH897" s="84" t="str">
        <f>VLOOKUP(VLOOKUP($C897,DexData,3,0),Aliases!D$2:E$19,2,0)&amp;IFERROR("/"&amp;VLOOKUP(VLOOKUP($C897,DexData,4,0),Aliases!D$2:E$19,2,0),"")</f>
        <v>DRG/PSY</v>
      </c>
      <c r="AI897" s="7">
        <v>3.0</v>
      </c>
      <c r="AJ897" s="7">
        <f>IF(VLOOKUP(B897,'Set Odds'!A$2:AN$1067,40,0),1,IF(VLOOKUP(B897,'Set Odds'!A$2:AO$1067,41,0),2,0))</f>
        <v>2</v>
      </c>
      <c r="AK897" s="87" t="s">
        <v>4482</v>
      </c>
      <c r="AL897" s="7" t="str">
        <f t="shared" si="1"/>
        <v/>
      </c>
    </row>
    <row r="898" ht="12.75" customHeight="1">
      <c r="A898" s="86">
        <v>897.0</v>
      </c>
      <c r="B898" s="84" t="s">
        <v>4491</v>
      </c>
      <c r="C898" s="7" t="s">
        <v>4212</v>
      </c>
      <c r="D898" s="7" t="s">
        <v>2656</v>
      </c>
      <c r="E898" s="7" t="s">
        <v>2636</v>
      </c>
      <c r="F898" s="84" t="s">
        <v>4109</v>
      </c>
      <c r="G898" s="84" t="s">
        <v>4213</v>
      </c>
      <c r="H898" s="84" t="s">
        <v>3278</v>
      </c>
      <c r="I898" s="84" t="s">
        <v>3435</v>
      </c>
      <c r="J898" s="7" t="s">
        <v>3136</v>
      </c>
      <c r="K898" s="7">
        <v>31.0</v>
      </c>
      <c r="L898" s="7">
        <v>0.0</v>
      </c>
      <c r="M898" s="7">
        <v>31.0</v>
      </c>
      <c r="N898" s="7">
        <v>31.0</v>
      </c>
      <c r="O898" s="7">
        <v>31.0</v>
      </c>
      <c r="P898" s="7">
        <v>31.0</v>
      </c>
      <c r="Q898" s="7">
        <v>4.0</v>
      </c>
      <c r="R898" s="7">
        <v>0.0</v>
      </c>
      <c r="S898" s="7">
        <v>0.0</v>
      </c>
      <c r="T898" s="7">
        <v>252.0</v>
      </c>
      <c r="U898" s="7">
        <v>0.0</v>
      </c>
      <c r="V898" s="7">
        <v>252.0</v>
      </c>
      <c r="W898" s="7">
        <f>VLOOKUP($D898,NatureChart,2,0)</f>
        <v>0.9</v>
      </c>
      <c r="X898" s="7">
        <f>VLOOKUP($D898,NatureChart,3,0)</f>
        <v>1</v>
      </c>
      <c r="Y898" s="7">
        <f>VLOOKUP($D898,NatureChart,4,0)</f>
        <v>1.1</v>
      </c>
      <c r="Z898" s="7">
        <f>VLOOKUP($D898,NatureChart,5,0)</f>
        <v>1</v>
      </c>
      <c r="AA898" s="84">
        <f>VLOOKUP($D898,NatureChart,6,0)</f>
        <v>1</v>
      </c>
      <c r="AB898" s="84">
        <f>IF($C898="Shedinja",1,(INT((2*VLOOKUP($C898,DexData,5,0)+INT(Q898/4)+K898)/2)+60))</f>
        <v>166</v>
      </c>
      <c r="AC898" s="84">
        <f>INT(INT((INT((2*VLOOKUP($C898,DexData,6,0)+INT(R898/4)+L898)/2)+5)*W898)*IF($E898="Choice Band",1.5,IF(OR($E898="Mawilite",$E898="Medichamite",$E898="Thick Club"),2,1)))</f>
        <v>85</v>
      </c>
      <c r="AD898" s="84">
        <f>INT(INT((INT((2*VLOOKUP($C898,DexData,7,0)+INT(S898/4)+M898)/2)+5)*X898)*IF($E898="Eviolite",1.5,1))</f>
        <v>105</v>
      </c>
      <c r="AE898" s="84">
        <f>INT(INT((INT((2*VLOOKUP($C898,DexData,9,0)+INT(T898/4)+N898)/2)+5)*Y898)*IF($E898="Choice Specs",1.5,1))</f>
        <v>194</v>
      </c>
      <c r="AF898" s="84">
        <f>INT(INT((INT((2*VLOOKUP($C898,DexData,10,0)+INT(U898/4)+O898)/2)+5)*Z898)*IF(OR($E898="Eviolite",$E898="Assault Vest"),1.5,1))</f>
        <v>110</v>
      </c>
      <c r="AG898" s="84">
        <f>INT(INT((INT((2*VLOOKUP($C898,DexData,11,0)+INT(V898/4)+P898)/2)+5)*AA898)*IF($E898="Choice Scarf",1.5,IF($E898="Iron Ball",0.5,1)))</f>
        <v>152</v>
      </c>
      <c r="AH898" s="84" t="str">
        <f>VLOOKUP(VLOOKUP($C898,DexData,3,0),Aliases!D$2:E$19,2,0)&amp;IFERROR("/"&amp;VLOOKUP(VLOOKUP($C898,DexData,4,0),Aliases!D$2:E$19,2,0),"")</f>
        <v>ELC/FLY</v>
      </c>
      <c r="AI898" s="7">
        <v>3.0</v>
      </c>
      <c r="AJ898" s="7">
        <f>IF(VLOOKUP(B898,'Set Odds'!A$2:AN$1067,40,0),1,IF(VLOOKUP(B898,'Set Odds'!A$2:AO$1067,41,0),2,0))</f>
        <v>2</v>
      </c>
      <c r="AK898" s="87" t="s">
        <v>4480</v>
      </c>
      <c r="AL898" s="7" t="str">
        <f t="shared" si="1"/>
        <v/>
      </c>
    </row>
    <row r="899" ht="12.75" customHeight="1">
      <c r="A899" s="86">
        <v>898.0</v>
      </c>
      <c r="B899" s="84" t="s">
        <v>4492</v>
      </c>
      <c r="C899" s="7" t="s">
        <v>3905</v>
      </c>
      <c r="D899" s="7" t="s">
        <v>2635</v>
      </c>
      <c r="E899" s="7" t="s">
        <v>3522</v>
      </c>
      <c r="F899" s="84" t="s">
        <v>3278</v>
      </c>
      <c r="G899" s="84" t="s">
        <v>3994</v>
      </c>
      <c r="H899" s="84" t="s">
        <v>2823</v>
      </c>
      <c r="I899" s="84" t="s">
        <v>3264</v>
      </c>
      <c r="J899" s="7" t="s">
        <v>3229</v>
      </c>
      <c r="K899" s="7">
        <v>31.0</v>
      </c>
      <c r="L899" s="7">
        <v>0.0</v>
      </c>
      <c r="M899" s="7">
        <v>31.0</v>
      </c>
      <c r="N899" s="7">
        <v>31.0</v>
      </c>
      <c r="O899" s="7">
        <v>31.0</v>
      </c>
      <c r="P899" s="7">
        <v>31.0</v>
      </c>
      <c r="Q899" s="7">
        <v>4.0</v>
      </c>
      <c r="R899" s="7">
        <v>0.0</v>
      </c>
      <c r="S899" s="7">
        <v>0.0</v>
      </c>
      <c r="T899" s="7">
        <v>252.0</v>
      </c>
      <c r="U899" s="7">
        <v>0.0</v>
      </c>
      <c r="V899" s="7">
        <v>252.0</v>
      </c>
      <c r="W899" s="7">
        <f>VLOOKUP($D899,NatureChart,2,0)</f>
        <v>0.9</v>
      </c>
      <c r="X899" s="7">
        <f>VLOOKUP($D899,NatureChart,3,0)</f>
        <v>1</v>
      </c>
      <c r="Y899" s="7">
        <f>VLOOKUP($D899,NatureChart,4,0)</f>
        <v>1</v>
      </c>
      <c r="Z899" s="7">
        <f>VLOOKUP($D899,NatureChart,5,0)</f>
        <v>1</v>
      </c>
      <c r="AA899" s="84">
        <f>VLOOKUP($D899,NatureChart,6,0)</f>
        <v>1.1</v>
      </c>
      <c r="AB899" s="84">
        <f>IF($C899="Shedinja",1,(INT((2*VLOOKUP($C899,DexData,5,0)+INT(Q899/4)+K899)/2)+60))</f>
        <v>161</v>
      </c>
      <c r="AC899" s="84">
        <f>INT(INT((INT((2*VLOOKUP($C899,DexData,6,0)+INT(R899/4)+L899)/2)+5)*W899)*IF($E899="Choice Band",1.5,IF(OR($E899="Mawilite",$E899="Medichamite",$E899="Thick Club"),2,1)))</f>
        <v>76</v>
      </c>
      <c r="AD899" s="84">
        <f>INT(INT((INT((2*VLOOKUP($C899,DexData,7,0)+INT(S899/4)+M899)/2)+5)*X899)*IF($E899="Eviolite",1.5,1))</f>
        <v>90</v>
      </c>
      <c r="AE899" s="84">
        <f>INT(INT((INT((2*VLOOKUP($C899,DexData,9,0)+INT(T899/4)+N899)/2)+5)*Y899)*IF($E899="Choice Specs",1.5,1))</f>
        <v>280</v>
      </c>
      <c r="AF899" s="84">
        <f>INT(INT((INT((2*VLOOKUP($C899,DexData,10,0)+INT(U899/4)+O899)/2)+5)*Z899)*IF(OR($E899="Eviolite",$E899="Assault Vest"),1.5,1))</f>
        <v>95</v>
      </c>
      <c r="AG899" s="84">
        <f>INT(INT((INT((2*VLOOKUP($C899,DexData,11,0)+INT(V899/4)+P899)/2)+5)*AA899)*IF($E899="Choice Scarf",1.5,IF($E899="Iron Ball",0.5,1)))</f>
        <v>156</v>
      </c>
      <c r="AH899" s="84" t="str">
        <f>VLOOKUP(VLOOKUP($C899,DexData,3,0),Aliases!D$2:E$19,2,0)&amp;IFERROR("/"&amp;VLOOKUP(VLOOKUP($C899,DexData,4,0),Aliases!D$2:E$19,2,0),"")</f>
        <v>NRM</v>
      </c>
      <c r="AI899" s="7">
        <v>3.0</v>
      </c>
      <c r="AJ899" s="7">
        <f>IF(VLOOKUP(B899,'Set Odds'!A$2:AN$1067,40,0),1,IF(VLOOKUP(B899,'Set Odds'!A$2:AO$1067,41,0),2,0))</f>
        <v>2</v>
      </c>
      <c r="AK899" s="87" t="s">
        <v>4482</v>
      </c>
      <c r="AL899" s="7" t="str">
        <f t="shared" si="1"/>
        <v/>
      </c>
    </row>
    <row r="900" ht="12.75" customHeight="1">
      <c r="A900" s="86">
        <v>899.0</v>
      </c>
      <c r="B900" s="84" t="s">
        <v>4493</v>
      </c>
      <c r="C900" s="7" t="s">
        <v>3650</v>
      </c>
      <c r="D900" s="7" t="s">
        <v>2692</v>
      </c>
      <c r="E900" s="7" t="s">
        <v>2515</v>
      </c>
      <c r="F900" s="84" t="s">
        <v>3249</v>
      </c>
      <c r="G900" s="84" t="s">
        <v>3312</v>
      </c>
      <c r="H900" s="84" t="s">
        <v>2594</v>
      </c>
      <c r="I900" s="84" t="s">
        <v>2751</v>
      </c>
      <c r="J900" s="7" t="s">
        <v>3412</v>
      </c>
      <c r="K900" s="7">
        <v>31.0</v>
      </c>
      <c r="L900" s="7">
        <v>31.0</v>
      </c>
      <c r="M900" s="7">
        <v>31.0</v>
      </c>
      <c r="N900" s="7">
        <v>0.0</v>
      </c>
      <c r="O900" s="7">
        <v>31.0</v>
      </c>
      <c r="P900" s="7">
        <v>31.0</v>
      </c>
      <c r="Q900" s="7">
        <v>4.0</v>
      </c>
      <c r="R900" s="7">
        <v>252.0</v>
      </c>
      <c r="S900" s="7">
        <v>0.0</v>
      </c>
      <c r="T900" s="7">
        <v>0.0</v>
      </c>
      <c r="U900" s="7">
        <v>0.0</v>
      </c>
      <c r="V900" s="7">
        <v>252.0</v>
      </c>
      <c r="W900" s="7">
        <f>VLOOKUP($D900,NatureChart,2,0)</f>
        <v>1</v>
      </c>
      <c r="X900" s="7">
        <f>VLOOKUP($D900,NatureChart,3,0)</f>
        <v>1</v>
      </c>
      <c r="Y900" s="7">
        <f>VLOOKUP($D900,NatureChart,4,0)</f>
        <v>0.9</v>
      </c>
      <c r="Z900" s="7">
        <f>VLOOKUP($D900,NatureChart,5,0)</f>
        <v>1</v>
      </c>
      <c r="AA900" s="84">
        <f>VLOOKUP($D900,NatureChart,6,0)</f>
        <v>1.1</v>
      </c>
      <c r="AB900" s="84">
        <f>IF($C900="Shedinja",1,(INT((2*VLOOKUP($C900,DexData,5,0)+INT(Q900/4)+K900)/2)+60))</f>
        <v>136</v>
      </c>
      <c r="AC900" s="84">
        <f>INT(INT((INT((2*VLOOKUP($C900,DexData,6,0)+INT(R900/4)+L900)/2)+5)*W900)*IF($E900="Choice Band",1.5,IF(OR($E900="Mawilite",$E900="Medichamite",$E900="Thick Club"),2,1)))</f>
        <v>182</v>
      </c>
      <c r="AD900" s="84">
        <f>INT(INT((INT((2*VLOOKUP($C900,DexData,7,0)+INT(S900/4)+M900)/2)+5)*X900)*IF($E900="Eviolite",1.5,1))</f>
        <v>100</v>
      </c>
      <c r="AE900" s="84">
        <f>INT(INT((INT((2*VLOOKUP($C900,DexData,9,0)+INT(T900/4)+N900)/2)+5)*Y900)*IF($E900="Choice Specs",1.5,1))</f>
        <v>58</v>
      </c>
      <c r="AF900" s="84">
        <f>INT(INT((INT((2*VLOOKUP($C900,DexData,10,0)+INT(U900/4)+O900)/2)+5)*Z900)*IF(OR($E900="Eviolite",$E900="Assault Vest"),1.5,1))</f>
        <v>80</v>
      </c>
      <c r="AG900" s="84">
        <f>INT(INT((INT((2*VLOOKUP($C900,DexData,11,0)+INT(V900/4)+P900)/2)+5)*AA900)*IF($E900="Choice Scarf",1.5,IF($E900="Iron Ball",0.5,1)))</f>
        <v>134</v>
      </c>
      <c r="AH900" s="84" t="str">
        <f>VLOOKUP(VLOOKUP($C900,DexData,3,0),Aliases!D$2:E$19,2,0)&amp;IFERROR("/"&amp;VLOOKUP(VLOOKUP($C900,DexData,4,0),Aliases!D$2:E$19,2,0),"")</f>
        <v>GRS/FTG</v>
      </c>
      <c r="AI900" s="7">
        <v>1.0</v>
      </c>
      <c r="AJ900" s="7">
        <f>IF(VLOOKUP(B900,'Set Odds'!A$2:AN$1067,40,0),1,IF(VLOOKUP(B900,'Set Odds'!A$2:AO$1067,41,0),2,0))</f>
        <v>2</v>
      </c>
      <c r="AK900" s="87" t="s">
        <v>4494</v>
      </c>
      <c r="AL900" s="7" t="str">
        <f t="shared" si="1"/>
        <v/>
      </c>
    </row>
    <row r="901" ht="12.75" customHeight="1">
      <c r="A901" s="86">
        <v>900.0</v>
      </c>
      <c r="B901" s="84" t="s">
        <v>4495</v>
      </c>
      <c r="C901" s="7" t="s">
        <v>3607</v>
      </c>
      <c r="D901" s="7" t="s">
        <v>2692</v>
      </c>
      <c r="E901" s="7" t="s">
        <v>3548</v>
      </c>
      <c r="F901" s="84" t="s">
        <v>2517</v>
      </c>
      <c r="G901" s="84" t="s">
        <v>3608</v>
      </c>
      <c r="H901" s="84" t="s">
        <v>3483</v>
      </c>
      <c r="I901" s="84" t="s">
        <v>2625</v>
      </c>
      <c r="J901" s="7" t="s">
        <v>3217</v>
      </c>
      <c r="K901" s="7">
        <v>31.0</v>
      </c>
      <c r="L901" s="7">
        <v>31.0</v>
      </c>
      <c r="M901" s="7">
        <v>31.0</v>
      </c>
      <c r="N901" s="7">
        <v>0.0</v>
      </c>
      <c r="O901" s="7">
        <v>31.0</v>
      </c>
      <c r="P901" s="7">
        <v>31.0</v>
      </c>
      <c r="Q901" s="7">
        <v>4.0</v>
      </c>
      <c r="R901" s="7">
        <v>252.0</v>
      </c>
      <c r="S901" s="7">
        <v>0.0</v>
      </c>
      <c r="T901" s="7">
        <v>0.0</v>
      </c>
      <c r="U901" s="7">
        <v>0.0</v>
      </c>
      <c r="V901" s="7">
        <v>252.0</v>
      </c>
      <c r="W901" s="7">
        <f>VLOOKUP($D901,NatureChart,2,0)</f>
        <v>1</v>
      </c>
      <c r="X901" s="7">
        <f>VLOOKUP($D901,NatureChart,3,0)</f>
        <v>1</v>
      </c>
      <c r="Y901" s="7">
        <f>VLOOKUP($D901,NatureChart,4,0)</f>
        <v>0.9</v>
      </c>
      <c r="Z901" s="7">
        <f>VLOOKUP($D901,NatureChart,5,0)</f>
        <v>1</v>
      </c>
      <c r="AA901" s="84">
        <f>VLOOKUP($D901,NatureChart,6,0)</f>
        <v>1.1</v>
      </c>
      <c r="AB901" s="84">
        <f>IF($C901="Shedinja",1,(INT((2*VLOOKUP($C901,DexData,5,0)+INT(Q901/4)+K901)/2)+60))</f>
        <v>156</v>
      </c>
      <c r="AC901" s="84">
        <f>INT(INT((INT((2*VLOOKUP($C901,DexData,6,0)+INT(R901/4)+L901)/2)+5)*W901)*IF($E901="Choice Band",1.5,IF(OR($E901="Mawilite",$E901="Medichamite",$E901="Thick Club"),2,1)))</f>
        <v>172</v>
      </c>
      <c r="AD901" s="84">
        <f>INT(INT((INT((2*VLOOKUP($C901,DexData,7,0)+INT(S901/4)+M901)/2)+5)*X901)*IF($E901="Eviolite",1.5,1))</f>
        <v>90</v>
      </c>
      <c r="AE901" s="84">
        <f>INT(INT((INT((2*VLOOKUP($C901,DexData,9,0)+INT(T901/4)+N901)/2)+5)*Y901)*IF($E901="Choice Specs",1.5,1))</f>
        <v>103</v>
      </c>
      <c r="AF901" s="84">
        <f>INT(INT((INT((2*VLOOKUP($C901,DexData,10,0)+INT(U901/4)+O901)/2)+5)*Z901)*IF(OR($E901="Eviolite",$E901="Assault Vest"),1.5,1))</f>
        <v>90</v>
      </c>
      <c r="AG901" s="84">
        <f>INT(INT((INT((2*VLOOKUP($C901,DexData,11,0)+INT(V901/4)+P901)/2)+5)*AA901)*IF($E901="Choice Scarf",1.5,IF($E901="Iron Ball",0.5,1)))</f>
        <v>145</v>
      </c>
      <c r="AH901" s="84" t="str">
        <f>VLOOKUP(VLOOKUP($C901,DexData,3,0),Aliases!D$2:E$19,2,0)&amp;IFERROR("/"&amp;VLOOKUP(VLOOKUP($C901,DexData,4,0),Aliases!D$2:E$19,2,0),"")</f>
        <v>FIR/FTG</v>
      </c>
      <c r="AI901" s="7">
        <v>0.0</v>
      </c>
      <c r="AJ901" s="7">
        <f>IF(VLOOKUP(B901,'Set Odds'!A$2:AN$1067,40,0),1,IF(VLOOKUP(B901,'Set Odds'!A$2:AO$1067,41,0),2,0))</f>
        <v>2</v>
      </c>
      <c r="AK901" s="87" t="s">
        <v>4494</v>
      </c>
      <c r="AL901" s="7" t="str">
        <f t="shared" si="1"/>
        <v/>
      </c>
    </row>
    <row r="902" ht="12.75" customHeight="1">
      <c r="A902" s="86">
        <v>901.0</v>
      </c>
      <c r="B902" s="84" t="s">
        <v>4496</v>
      </c>
      <c r="C902" s="7" t="s">
        <v>3619</v>
      </c>
      <c r="D902" s="7" t="s">
        <v>2656</v>
      </c>
      <c r="E902" s="7" t="s">
        <v>2665</v>
      </c>
      <c r="F902" s="84" t="s">
        <v>3341</v>
      </c>
      <c r="G902" s="84" t="s">
        <v>3524</v>
      </c>
      <c r="H902" s="84" t="s">
        <v>2823</v>
      </c>
      <c r="I902" s="84" t="s">
        <v>2631</v>
      </c>
      <c r="J902" s="7" t="s">
        <v>2590</v>
      </c>
      <c r="K902" s="7">
        <v>31.0</v>
      </c>
      <c r="L902" s="7">
        <v>0.0</v>
      </c>
      <c r="M902" s="7">
        <v>31.0</v>
      </c>
      <c r="N902" s="7">
        <v>31.0</v>
      </c>
      <c r="O902" s="7">
        <v>31.0</v>
      </c>
      <c r="P902" s="7">
        <v>31.0</v>
      </c>
      <c r="Q902" s="7">
        <v>4.0</v>
      </c>
      <c r="R902" s="7">
        <v>0.0</v>
      </c>
      <c r="S902" s="7">
        <v>0.0</v>
      </c>
      <c r="T902" s="7">
        <v>252.0</v>
      </c>
      <c r="U902" s="7">
        <v>0.0</v>
      </c>
      <c r="V902" s="7">
        <v>252.0</v>
      </c>
      <c r="W902" s="7">
        <f>VLOOKUP($D902,NatureChart,2,0)</f>
        <v>0.9</v>
      </c>
      <c r="X902" s="7">
        <f>VLOOKUP($D902,NatureChart,3,0)</f>
        <v>1</v>
      </c>
      <c r="Y902" s="7">
        <f>VLOOKUP($D902,NatureChart,4,0)</f>
        <v>1.1</v>
      </c>
      <c r="Z902" s="7">
        <f>VLOOKUP($D902,NatureChart,5,0)</f>
        <v>1</v>
      </c>
      <c r="AA902" s="84">
        <f>VLOOKUP($D902,NatureChart,6,0)</f>
        <v>1</v>
      </c>
      <c r="AB902" s="84">
        <f>IF($C902="Shedinja",1,(INT((2*VLOOKUP($C902,DexData,5,0)+INT(Q902/4)+K902)/2)+60))</f>
        <v>160</v>
      </c>
      <c r="AC902" s="84">
        <f>INT(INT((INT((2*VLOOKUP($C902,DexData,6,0)+INT(R902/4)+L902)/2)+5)*W902)*IF($E902="Choice Band",1.5,IF(OR($E902="Mawilite",$E902="Medichamite",$E902="Thick Club"),2,1)))</f>
        <v>81</v>
      </c>
      <c r="AD902" s="84">
        <f>INT(INT((INT((2*VLOOKUP($C902,DexData,7,0)+INT(S902/4)+M902)/2)+5)*X902)*IF($E902="Eviolite",1.5,1))</f>
        <v>108</v>
      </c>
      <c r="AE902" s="84">
        <f>INT(INT((INT((2*VLOOKUP($C902,DexData,9,0)+INT(T902/4)+N902)/2)+5)*Y902)*IF($E902="Choice Specs",1.5,1))</f>
        <v>179</v>
      </c>
      <c r="AF902" s="84">
        <f>INT(INT((INT((2*VLOOKUP($C902,DexData,10,0)+INT(U902/4)+O902)/2)+5)*Z902)*IF(OR($E902="Eviolite",$E902="Assault Vest"),1.5,1))</f>
        <v>121</v>
      </c>
      <c r="AG902" s="84">
        <f>INT(INT((INT((2*VLOOKUP($C902,DexData,11,0)+INT(V902/4)+P902)/2)+5)*AA902)*IF($E902="Choice Scarf",1.5,IF($E902="Iron Ball",0.5,1)))</f>
        <v>168</v>
      </c>
      <c r="AH902" s="84" t="str">
        <f>VLOOKUP(VLOOKUP($C902,DexData,3,0),Aliases!D$2:E$19,2,0)&amp;IFERROR("/"&amp;VLOOKUP(VLOOKUP($C902,DexData,4,0),Aliases!D$2:E$19,2,0),"")</f>
        <v>WTR/STL</v>
      </c>
      <c r="AI902" s="7">
        <v>0.0</v>
      </c>
      <c r="AJ902" s="7">
        <f>IF(VLOOKUP(B902,'Set Odds'!A$2:AN$1067,40,0),1,IF(VLOOKUP(B902,'Set Odds'!A$2:AO$1067,41,0),2,0))</f>
        <v>2</v>
      </c>
      <c r="AK902" s="87" t="s">
        <v>4494</v>
      </c>
      <c r="AL902" s="7" t="str">
        <f t="shared" si="1"/>
        <v/>
      </c>
    </row>
    <row r="903" ht="12.75" customHeight="1">
      <c r="A903" s="86">
        <v>902.0</v>
      </c>
      <c r="B903" s="84" t="s">
        <v>4497</v>
      </c>
      <c r="C903" s="7" t="s">
        <v>3492</v>
      </c>
      <c r="D903" s="7" t="s">
        <v>2571</v>
      </c>
      <c r="E903" s="7" t="s">
        <v>2636</v>
      </c>
      <c r="F903" s="84" t="s">
        <v>3483</v>
      </c>
      <c r="G903" s="84" t="s">
        <v>2756</v>
      </c>
      <c r="H903" s="84" t="s">
        <v>3784</v>
      </c>
      <c r="I903" s="84" t="s">
        <v>2513</v>
      </c>
      <c r="J903" s="7" t="s">
        <v>2696</v>
      </c>
      <c r="K903" s="7">
        <v>31.0</v>
      </c>
      <c r="L903" s="7">
        <v>31.0</v>
      </c>
      <c r="M903" s="7">
        <v>31.0</v>
      </c>
      <c r="N903" s="7">
        <v>0.0</v>
      </c>
      <c r="O903" s="7">
        <v>31.0</v>
      </c>
      <c r="P903" s="7">
        <v>31.0</v>
      </c>
      <c r="Q903" s="7">
        <v>252.0</v>
      </c>
      <c r="R903" s="7">
        <v>252.0</v>
      </c>
      <c r="S903" s="7">
        <v>4.0</v>
      </c>
      <c r="T903" s="7">
        <v>0.0</v>
      </c>
      <c r="U903" s="7">
        <v>0.0</v>
      </c>
      <c r="V903" s="7">
        <v>0.0</v>
      </c>
      <c r="W903" s="7">
        <f>VLOOKUP($D903,NatureChart,2,0)</f>
        <v>1.1</v>
      </c>
      <c r="X903" s="7">
        <f>VLOOKUP($D903,NatureChart,3,0)</f>
        <v>1</v>
      </c>
      <c r="Y903" s="7">
        <f>VLOOKUP($D903,NatureChart,4,0)</f>
        <v>0.9</v>
      </c>
      <c r="Z903" s="7">
        <f>VLOOKUP($D903,NatureChart,5,0)</f>
        <v>1</v>
      </c>
      <c r="AA903" s="84">
        <f>VLOOKUP($D903,NatureChart,6,0)</f>
        <v>1</v>
      </c>
      <c r="AB903" s="84">
        <f>IF($C903="Shedinja",1,(INT((2*VLOOKUP($C903,DexData,5,0)+INT(Q903/4)+K903)/2)+60))</f>
        <v>157</v>
      </c>
      <c r="AC903" s="84">
        <f>INT(INT((INT((2*VLOOKUP($C903,DexData,6,0)+INT(R903/4)+L903)/2)+5)*W903)*IF($E903="Choice Band",1.5,IF(OR($E903="Mawilite",$E903="Medichamite",$E903="Thick Club"),2,1)))</f>
        <v>161</v>
      </c>
      <c r="AD903" s="84">
        <f>INT(INT((INT((2*VLOOKUP($C903,DexData,7,0)+INT(S903/4)+M903)/2)+5)*X903)*IF($E903="Eviolite",1.5,1))</f>
        <v>116</v>
      </c>
      <c r="AE903" s="84">
        <f>INT(INT((INT((2*VLOOKUP($C903,DexData,9,0)+INT(T903/4)+N903)/2)+5)*Y903)*IF($E903="Choice Specs",1.5,1))</f>
        <v>36</v>
      </c>
      <c r="AF903" s="84">
        <f>INT(INT((INT((2*VLOOKUP($C903,DexData,10,0)+INT(U903/4)+O903)/2)+5)*Z903)*IF(OR($E903="Eviolite",$E903="Assault Vest"),1.5,1))</f>
        <v>130</v>
      </c>
      <c r="AG903" s="84">
        <f>INT(INT((INT((2*VLOOKUP($C903,DexData,11,0)+INT(V903/4)+P903)/2)+5)*AA903)*IF($E903="Choice Scarf",1.5,IF($E903="Iron Ball",0.5,1)))</f>
        <v>90</v>
      </c>
      <c r="AH903" s="84" t="str">
        <f>VLOOKUP(VLOOKUP($C903,DexData,3,0),Aliases!D$2:E$19,2,0)&amp;IFERROR("/"&amp;VLOOKUP(VLOOKUP($C903,DexData,4,0),Aliases!D$2:E$19,2,0),"")</f>
        <v>FTG</v>
      </c>
      <c r="AI903" s="7">
        <v>0.0</v>
      </c>
      <c r="AJ903" s="7">
        <f>IF(VLOOKUP(B903,'Set Odds'!A$2:AN$1067,40,0),1,IF(VLOOKUP(B903,'Set Odds'!A$2:AO$1067,41,0),2,0))</f>
        <v>2</v>
      </c>
      <c r="AK903" s="87" t="s">
        <v>4494</v>
      </c>
      <c r="AL903" s="7" t="str">
        <f t="shared" si="1"/>
        <v/>
      </c>
    </row>
    <row r="904" ht="12.75" customHeight="1">
      <c r="A904" s="86">
        <v>903.0</v>
      </c>
      <c r="B904" s="84" t="s">
        <v>4498</v>
      </c>
      <c r="C904" s="7" t="s">
        <v>3438</v>
      </c>
      <c r="D904" s="7" t="s">
        <v>2571</v>
      </c>
      <c r="E904" s="7" t="s">
        <v>3726</v>
      </c>
      <c r="F904" s="84" t="s">
        <v>2762</v>
      </c>
      <c r="G904" s="84" t="s">
        <v>3454</v>
      </c>
      <c r="H904" s="84" t="s">
        <v>3160</v>
      </c>
      <c r="I904" s="84" t="s">
        <v>2764</v>
      </c>
      <c r="J904" s="7" t="s">
        <v>3442</v>
      </c>
      <c r="K904" s="7">
        <v>31.0</v>
      </c>
      <c r="L904" s="7">
        <v>31.0</v>
      </c>
      <c r="M904" s="7">
        <v>31.0</v>
      </c>
      <c r="N904" s="7">
        <v>0.0</v>
      </c>
      <c r="O904" s="7">
        <v>31.0</v>
      </c>
      <c r="P904" s="7">
        <v>31.0</v>
      </c>
      <c r="Q904" s="7">
        <v>4.0</v>
      </c>
      <c r="R904" s="7">
        <v>252.0</v>
      </c>
      <c r="S904" s="7">
        <v>0.0</v>
      </c>
      <c r="T904" s="7">
        <v>0.0</v>
      </c>
      <c r="U904" s="7">
        <v>0.0</v>
      </c>
      <c r="V904" s="7">
        <v>252.0</v>
      </c>
      <c r="W904" s="7">
        <f>VLOOKUP($D904,NatureChart,2,0)</f>
        <v>1.1</v>
      </c>
      <c r="X904" s="7">
        <f>VLOOKUP($D904,NatureChart,3,0)</f>
        <v>1</v>
      </c>
      <c r="Y904" s="7">
        <f>VLOOKUP($D904,NatureChart,4,0)</f>
        <v>0.9</v>
      </c>
      <c r="Z904" s="7">
        <f>VLOOKUP($D904,NatureChart,5,0)</f>
        <v>1</v>
      </c>
      <c r="AA904" s="84">
        <f>VLOOKUP($D904,NatureChart,6,0)</f>
        <v>1</v>
      </c>
      <c r="AB904" s="84">
        <f>IF($C904="Shedinja",1,(INT((2*VLOOKUP($C904,DexData,5,0)+INT(Q904/4)+K904)/2)+60))</f>
        <v>167</v>
      </c>
      <c r="AC904" s="84">
        <f>INT(INT((INT((2*VLOOKUP($C904,DexData,6,0)+INT(R904/4)+L904)/2)+5)*W904)*IF($E904="Choice Band",1.5,IF(OR($E904="Mawilite",$E904="Medichamite",$E904="Thick Club"),2,1)))</f>
        <v>204</v>
      </c>
      <c r="AD904" s="84">
        <f>INT(INT((INT((2*VLOOKUP($C904,DexData,7,0)+INT(S904/4)+M904)/2)+5)*X904)*IF($E904="Eviolite",1.5,1))</f>
        <v>115</v>
      </c>
      <c r="AE904" s="84">
        <f>INT(INT((INT((2*VLOOKUP($C904,DexData,9,0)+INT(T904/4)+N904)/2)+5)*Y904)*IF($E904="Choice Specs",1.5,1))</f>
        <v>94</v>
      </c>
      <c r="AF904" s="84">
        <f>INT(INT((INT((2*VLOOKUP($C904,DexData,10,0)+INT(U904/4)+O904)/2)+5)*Z904)*IF(OR($E904="Eviolite",$E904="Assault Vest"),1.5,1))</f>
        <v>120</v>
      </c>
      <c r="AG904" s="84">
        <f>INT(INT((INT((2*VLOOKUP($C904,DexData,11,0)+INT(V904/4)+P904)/2)+5)*AA904)*IF($E904="Choice Scarf",1.5,IF($E904="Iron Ball",0.5,1)))</f>
        <v>132</v>
      </c>
      <c r="AH904" s="84" t="str">
        <f>VLOOKUP(VLOOKUP($C904,DexData,3,0),Aliases!D$2:E$19,2,0)&amp;IFERROR("/"&amp;VLOOKUP(VLOOKUP($C904,DexData,4,0),Aliases!D$2:E$19,2,0),"")</f>
        <v>DRG/FLY</v>
      </c>
      <c r="AI904" s="7">
        <v>1.0</v>
      </c>
      <c r="AJ904" s="7">
        <f>IF(VLOOKUP(B904,'Set Odds'!A$2:AN$1067,40,0),1,IF(VLOOKUP(B904,'Set Odds'!A$2:AO$1067,41,0),2,0))</f>
        <v>2</v>
      </c>
      <c r="AK904" s="87" t="s">
        <v>4494</v>
      </c>
      <c r="AL904" s="7" t="str">
        <f t="shared" si="1"/>
        <v/>
      </c>
    </row>
    <row r="905" ht="12.75" customHeight="1">
      <c r="A905" s="86">
        <v>904.0</v>
      </c>
      <c r="B905" s="84" t="s">
        <v>4499</v>
      </c>
      <c r="C905" s="7" t="s">
        <v>3876</v>
      </c>
      <c r="D905" s="7" t="s">
        <v>2635</v>
      </c>
      <c r="E905" s="7" t="s">
        <v>2515</v>
      </c>
      <c r="F905" s="84" t="s">
        <v>3590</v>
      </c>
      <c r="G905" s="84" t="s">
        <v>3524</v>
      </c>
      <c r="H905" s="84" t="s">
        <v>3264</v>
      </c>
      <c r="I905" s="84" t="s">
        <v>4091</v>
      </c>
      <c r="J905" s="7" t="s">
        <v>3233</v>
      </c>
      <c r="K905" s="7">
        <v>31.0</v>
      </c>
      <c r="L905" s="7">
        <v>0.0</v>
      </c>
      <c r="M905" s="7">
        <v>31.0</v>
      </c>
      <c r="N905" s="7">
        <v>31.0</v>
      </c>
      <c r="O905" s="7">
        <v>31.0</v>
      </c>
      <c r="P905" s="7">
        <v>31.0</v>
      </c>
      <c r="Q905" s="7">
        <v>4.0</v>
      </c>
      <c r="R905" s="7">
        <v>0.0</v>
      </c>
      <c r="S905" s="7">
        <v>0.0</v>
      </c>
      <c r="T905" s="7">
        <v>252.0</v>
      </c>
      <c r="U905" s="7">
        <v>0.0</v>
      </c>
      <c r="V905" s="7">
        <v>252.0</v>
      </c>
      <c r="W905" s="7">
        <f>VLOOKUP($D905,NatureChart,2,0)</f>
        <v>0.9</v>
      </c>
      <c r="X905" s="7">
        <f>VLOOKUP($D905,NatureChart,3,0)</f>
        <v>1</v>
      </c>
      <c r="Y905" s="7">
        <f>VLOOKUP($D905,NatureChart,4,0)</f>
        <v>1</v>
      </c>
      <c r="Z905" s="7">
        <f>VLOOKUP($D905,NatureChart,5,0)</f>
        <v>1</v>
      </c>
      <c r="AA905" s="84">
        <f>VLOOKUP($D905,NatureChart,6,0)</f>
        <v>1.1</v>
      </c>
      <c r="AB905" s="84">
        <f>IF($C905="Shedinja",1,(INT((2*VLOOKUP($C905,DexData,5,0)+INT(Q905/4)+K905)/2)+60))</f>
        <v>146</v>
      </c>
      <c r="AC905" s="84">
        <f>INT(INT((INT((2*VLOOKUP($C905,DexData,6,0)+INT(R905/4)+L905)/2)+5)*W905)*IF($E905="Choice Band",1.5,IF(OR($E905="Mawilite",$E905="Medichamite",$E905="Thick Club"),2,1)))</f>
        <v>103</v>
      </c>
      <c r="AD905" s="84">
        <f>INT(INT((INT((2*VLOOKUP($C905,DexData,7,0)+INT(S905/4)+M905)/2)+5)*X905)*IF($E905="Eviolite",1.5,1))</f>
        <v>90</v>
      </c>
      <c r="AE905" s="84">
        <f>INT(INT((INT((2*VLOOKUP($C905,DexData,9,0)+INT(T905/4)+N905)/2)+5)*Y905)*IF($E905="Choice Specs",1.5,1))</f>
        <v>167</v>
      </c>
      <c r="AF905" s="84">
        <f>INT(INT((INT((2*VLOOKUP($C905,DexData,10,0)+INT(U905/4)+O905)/2)+5)*Z905)*IF(OR($E905="Eviolite",$E905="Assault Vest"),1.5,1))</f>
        <v>90</v>
      </c>
      <c r="AG905" s="84">
        <f>INT(INT((INT((2*VLOOKUP($C905,DexData,11,0)+INT(V905/4)+P905)/2)+5)*AA905)*IF($E905="Choice Scarf",1.5,IF($E905="Iron Ball",0.5,1)))</f>
        <v>156</v>
      </c>
      <c r="AH905" s="84" t="str">
        <f>VLOOKUP(VLOOKUP($C905,DexData,3,0),Aliases!D$2:E$19,2,0)&amp;IFERROR("/"&amp;VLOOKUP(VLOOKUP($C905,DexData,4,0),Aliases!D$2:E$19,2,0),"")</f>
        <v>FTG/STL</v>
      </c>
      <c r="AI905" s="7">
        <v>0.0</v>
      </c>
      <c r="AJ905" s="7">
        <f>IF(VLOOKUP(B905,'Set Odds'!A$2:AN$1067,40,0),1,IF(VLOOKUP(B905,'Set Odds'!A$2:AO$1067,41,0),2,0))</f>
        <v>2</v>
      </c>
      <c r="AK905" s="87" t="s">
        <v>4494</v>
      </c>
      <c r="AL905" s="7" t="str">
        <f t="shared" si="1"/>
        <v/>
      </c>
    </row>
    <row r="906" ht="12.75" customHeight="1">
      <c r="A906" s="86">
        <v>905.0</v>
      </c>
      <c r="B906" s="84" t="s">
        <v>4500</v>
      </c>
      <c r="C906" s="7" t="s">
        <v>3616</v>
      </c>
      <c r="D906" s="7" t="s">
        <v>3134</v>
      </c>
      <c r="E906" s="7" t="s">
        <v>2515</v>
      </c>
      <c r="F906" s="84" t="s">
        <v>3617</v>
      </c>
      <c r="G906" s="84" t="s">
        <v>3543</v>
      </c>
      <c r="H906" s="84" t="s">
        <v>2513</v>
      </c>
      <c r="I906" s="84" t="s">
        <v>3483</v>
      </c>
      <c r="J906" s="7" t="s">
        <v>2584</v>
      </c>
      <c r="K906" s="7">
        <v>31.0</v>
      </c>
      <c r="L906" s="7">
        <v>31.0</v>
      </c>
      <c r="M906" s="7">
        <v>31.0</v>
      </c>
      <c r="N906" s="7">
        <v>31.0</v>
      </c>
      <c r="O906" s="7">
        <v>31.0</v>
      </c>
      <c r="P906" s="7">
        <v>31.0</v>
      </c>
      <c r="Q906" s="7">
        <v>0.0</v>
      </c>
      <c r="R906" s="7">
        <v>252.0</v>
      </c>
      <c r="S906" s="7">
        <v>0.0</v>
      </c>
      <c r="T906" s="7">
        <v>4.0</v>
      </c>
      <c r="U906" s="7">
        <v>0.0</v>
      </c>
      <c r="V906" s="7">
        <v>252.0</v>
      </c>
      <c r="W906" s="7">
        <f>VLOOKUP($D906,NatureChart,2,0)</f>
        <v>1</v>
      </c>
      <c r="X906" s="7">
        <f>VLOOKUP($D906,NatureChart,3,0)</f>
        <v>1</v>
      </c>
      <c r="Y906" s="7">
        <f>VLOOKUP($D906,NatureChart,4,0)</f>
        <v>1</v>
      </c>
      <c r="Z906" s="7">
        <f>VLOOKUP($D906,NatureChart,5,0)</f>
        <v>0.9</v>
      </c>
      <c r="AA906" s="84">
        <f>VLOOKUP($D906,NatureChart,6,0)</f>
        <v>1.1</v>
      </c>
      <c r="AB906" s="84">
        <f>IF($C906="Shedinja",1,(INT((2*VLOOKUP($C906,DexData,5,0)+INT(Q906/4)+K906)/2)+60))</f>
        <v>151</v>
      </c>
      <c r="AC906" s="84">
        <f>INT(INT((INT((2*VLOOKUP($C906,DexData,6,0)+INT(R906/4)+L906)/2)+5)*W906)*IF($E906="Choice Band",1.5,IF(OR($E906="Mawilite",$E906="Medichamite",$E906="Thick Club"),2,1)))</f>
        <v>156</v>
      </c>
      <c r="AD906" s="84">
        <f>INT(INT((INT((2*VLOOKUP($C906,DexData,7,0)+INT(S906/4)+M906)/2)+5)*X906)*IF($E906="Eviolite",1.5,1))</f>
        <v>91</v>
      </c>
      <c r="AE906" s="84">
        <f>INT(INT((INT((2*VLOOKUP($C906,DexData,9,0)+INT(T906/4)+N906)/2)+5)*Y906)*IF($E906="Choice Specs",1.5,1))</f>
        <v>125</v>
      </c>
      <c r="AF906" s="84">
        <f>INT(INT((INT((2*VLOOKUP($C906,DexData,10,0)+INT(U906/4)+O906)/2)+5)*Z906)*IF(OR($E906="Eviolite",$E906="Assault Vest"),1.5,1))</f>
        <v>81</v>
      </c>
      <c r="AG906" s="84">
        <f>INT(INT((INT((2*VLOOKUP($C906,DexData,11,0)+INT(V906/4)+P906)/2)+5)*AA906)*IF($E906="Choice Scarf",1.5,IF($E906="Iron Ball",0.5,1)))</f>
        <v>176</v>
      </c>
      <c r="AH906" s="84" t="str">
        <f>VLOOKUP(VLOOKUP($C906,DexData,3,0),Aliases!D$2:E$19,2,0)&amp;IFERROR("/"&amp;VLOOKUP(VLOOKUP($C906,DexData,4,0),Aliases!D$2:E$19,2,0),"")</f>
        <v>FIR/FTG</v>
      </c>
      <c r="AI906" s="7">
        <v>0.0</v>
      </c>
      <c r="AJ906" s="7">
        <f>IF(VLOOKUP(B906,'Set Odds'!A$2:AN$1067,40,0),1,IF(VLOOKUP(B906,'Set Odds'!A$2:AO$1067,41,0),2,0))</f>
        <v>2</v>
      </c>
      <c r="AK906" s="87" t="s">
        <v>4494</v>
      </c>
      <c r="AL906" s="7" t="str">
        <f t="shared" si="1"/>
        <v/>
      </c>
    </row>
    <row r="907" ht="12.75" customHeight="1">
      <c r="A907" s="86">
        <v>906.0</v>
      </c>
      <c r="B907" s="84" t="s">
        <v>4501</v>
      </c>
      <c r="C907" s="7" t="s">
        <v>3851</v>
      </c>
      <c r="D907" s="7" t="s">
        <v>2692</v>
      </c>
      <c r="E907" s="7" t="s">
        <v>2636</v>
      </c>
      <c r="F907" s="84" t="s">
        <v>3852</v>
      </c>
      <c r="G907" s="84" t="s">
        <v>3483</v>
      </c>
      <c r="H907" s="84" t="s">
        <v>2670</v>
      </c>
      <c r="I907" s="84" t="s">
        <v>2734</v>
      </c>
      <c r="J907" s="7" t="s">
        <v>4075</v>
      </c>
      <c r="K907" s="7">
        <v>31.0</v>
      </c>
      <c r="L907" s="7">
        <v>31.0</v>
      </c>
      <c r="M907" s="7">
        <v>31.0</v>
      </c>
      <c r="N907" s="7">
        <v>0.0</v>
      </c>
      <c r="O907" s="7">
        <v>31.0</v>
      </c>
      <c r="P907" s="7">
        <v>31.0</v>
      </c>
      <c r="Q907" s="7">
        <v>4.0</v>
      </c>
      <c r="R907" s="7">
        <v>252.0</v>
      </c>
      <c r="S907" s="7">
        <v>0.0</v>
      </c>
      <c r="T907" s="7">
        <v>0.0</v>
      </c>
      <c r="U907" s="7">
        <v>0.0</v>
      </c>
      <c r="V907" s="7">
        <v>252.0</v>
      </c>
      <c r="W907" s="7">
        <f>VLOOKUP($D907,NatureChart,2,0)</f>
        <v>1</v>
      </c>
      <c r="X907" s="7">
        <f>VLOOKUP($D907,NatureChart,3,0)</f>
        <v>1</v>
      </c>
      <c r="Y907" s="7">
        <f>VLOOKUP($D907,NatureChart,4,0)</f>
        <v>0.9</v>
      </c>
      <c r="Z907" s="7">
        <f>VLOOKUP($D907,NatureChart,5,0)</f>
        <v>1</v>
      </c>
      <c r="AA907" s="84">
        <f>VLOOKUP($D907,NatureChart,6,0)</f>
        <v>1.1</v>
      </c>
      <c r="AB907" s="84">
        <f>IF($C907="Shedinja",1,(INT((2*VLOOKUP($C907,DexData,5,0)+INT(Q907/4)+K907)/2)+60))</f>
        <v>144</v>
      </c>
      <c r="AC907" s="84">
        <f>INT(INT((INT((2*VLOOKUP($C907,DexData,6,0)+INT(R907/4)+L907)/2)+5)*W907)*IF($E907="Choice Band",1.5,IF(OR($E907="Mawilite",$E907="Medichamite",$E907="Thick Club"),2,1)))</f>
        <v>177</v>
      </c>
      <c r="AD907" s="84">
        <f>INT(INT((INT((2*VLOOKUP($C907,DexData,7,0)+INT(S907/4)+M907)/2)+5)*X907)*IF($E907="Eviolite",1.5,1))</f>
        <v>85</v>
      </c>
      <c r="AE907" s="84">
        <f>INT(INT((INT((2*VLOOKUP($C907,DexData,9,0)+INT(T907/4)+N907)/2)+5)*Y907)*IF($E907="Choice Specs",1.5,1))</f>
        <v>63</v>
      </c>
      <c r="AF907" s="84">
        <f>INT(INT((INT((2*VLOOKUP($C907,DexData,10,0)+INT(U907/4)+O907)/2)+5)*Z907)*IF(OR($E907="Eviolite",$E907="Assault Vest"),1.5,1))</f>
        <v>135</v>
      </c>
      <c r="AG907" s="84">
        <f>INT(INT((INT((2*VLOOKUP($C907,DexData,11,0)+INT(V907/4)+P907)/2)+5)*AA907)*IF($E907="Choice Scarf",1.5,IF($E907="Iron Ball",0.5,1)))</f>
        <v>145</v>
      </c>
      <c r="AH907" s="84" t="str">
        <f>VLOOKUP(VLOOKUP($C907,DexData,3,0),Aliases!D$2:E$19,2,0)&amp;IFERROR("/"&amp;VLOOKUP(VLOOKUP($C907,DexData,4,0),Aliases!D$2:E$19,2,0),"")</f>
        <v>PSY/FTG</v>
      </c>
      <c r="AI907" s="7">
        <v>0.0</v>
      </c>
      <c r="AJ907" s="7">
        <f>IF(VLOOKUP(B907,'Set Odds'!A$2:AN$1067,40,0),1,IF(VLOOKUP(B907,'Set Odds'!A$2:AO$1067,41,0),2,0))</f>
        <v>2</v>
      </c>
      <c r="AK907" s="87" t="s">
        <v>4494</v>
      </c>
      <c r="AL907" s="7" t="str">
        <f t="shared" si="1"/>
        <v/>
      </c>
    </row>
    <row r="908" ht="12.75" customHeight="1">
      <c r="A908" s="86">
        <v>907.0</v>
      </c>
      <c r="B908" s="84" t="s">
        <v>4502</v>
      </c>
      <c r="C908" s="7" t="s">
        <v>3876</v>
      </c>
      <c r="D908" s="7" t="s">
        <v>2692</v>
      </c>
      <c r="E908" s="7" t="s">
        <v>2618</v>
      </c>
      <c r="F908" s="84" t="s">
        <v>3483</v>
      </c>
      <c r="G908" s="84" t="s">
        <v>3360</v>
      </c>
      <c r="H908" s="84" t="s">
        <v>3934</v>
      </c>
      <c r="I908" s="84" t="s">
        <v>3390</v>
      </c>
      <c r="J908" s="7" t="s">
        <v>3233</v>
      </c>
      <c r="K908" s="7">
        <v>31.0</v>
      </c>
      <c r="L908" s="7">
        <v>31.0</v>
      </c>
      <c r="M908" s="7">
        <v>31.0</v>
      </c>
      <c r="N908" s="7">
        <v>0.0</v>
      </c>
      <c r="O908" s="7">
        <v>31.0</v>
      </c>
      <c r="P908" s="7">
        <v>31.0</v>
      </c>
      <c r="Q908" s="7">
        <v>4.0</v>
      </c>
      <c r="R908" s="7">
        <v>252.0</v>
      </c>
      <c r="S908" s="7">
        <v>0.0</v>
      </c>
      <c r="T908" s="7">
        <v>0.0</v>
      </c>
      <c r="U908" s="7">
        <v>0.0</v>
      </c>
      <c r="V908" s="7">
        <v>252.0</v>
      </c>
      <c r="W908" s="7">
        <f>VLOOKUP($D908,NatureChart,2,0)</f>
        <v>1</v>
      </c>
      <c r="X908" s="7">
        <f>VLOOKUP($D908,NatureChart,3,0)</f>
        <v>1</v>
      </c>
      <c r="Y908" s="7">
        <f>VLOOKUP($D908,NatureChart,4,0)</f>
        <v>0.9</v>
      </c>
      <c r="Z908" s="7">
        <f>VLOOKUP($D908,NatureChart,5,0)</f>
        <v>1</v>
      </c>
      <c r="AA908" s="84">
        <f>VLOOKUP($D908,NatureChart,6,0)</f>
        <v>1.1</v>
      </c>
      <c r="AB908" s="84">
        <f>IF($C908="Shedinja",1,(INT((2*VLOOKUP($C908,DexData,5,0)+INT(Q908/4)+K908)/2)+60))</f>
        <v>146</v>
      </c>
      <c r="AC908" s="84">
        <f>INT(INT((INT((2*VLOOKUP($C908,DexData,6,0)+INT(R908/4)+L908)/2)+5)*W908)*IF($E908="Choice Band",1.5,IF(OR($E908="Mawilite",$E908="Medichamite",$E908="Thick Club"),2,1)))</f>
        <v>162</v>
      </c>
      <c r="AD908" s="84">
        <f>INT(INT((INT((2*VLOOKUP($C908,DexData,7,0)+INT(S908/4)+M908)/2)+5)*X908)*IF($E908="Eviolite",1.5,1))</f>
        <v>90</v>
      </c>
      <c r="AE908" s="84">
        <f>INT(INT((INT((2*VLOOKUP($C908,DexData,9,0)+INT(T908/4)+N908)/2)+5)*Y908)*IF($E908="Choice Specs",1.5,1))</f>
        <v>108</v>
      </c>
      <c r="AF908" s="84">
        <f>INT(INT((INT((2*VLOOKUP($C908,DexData,10,0)+INT(U908/4)+O908)/2)+5)*Z908)*IF(OR($E908="Eviolite",$E908="Assault Vest"),1.5,1))</f>
        <v>90</v>
      </c>
      <c r="AG908" s="84">
        <f>INT(INT((INT((2*VLOOKUP($C908,DexData,11,0)+INT(V908/4)+P908)/2)+5)*AA908)*IF($E908="Choice Scarf",1.5,IF($E908="Iron Ball",0.5,1)))</f>
        <v>156</v>
      </c>
      <c r="AH908" s="84" t="str">
        <f>VLOOKUP(VLOOKUP($C908,DexData,3,0),Aliases!D$2:E$19,2,0)&amp;IFERROR("/"&amp;VLOOKUP(VLOOKUP($C908,DexData,4,0),Aliases!D$2:E$19,2,0),"")</f>
        <v>FTG/STL</v>
      </c>
      <c r="AI908" s="7">
        <v>0.0</v>
      </c>
      <c r="AJ908" s="7">
        <f>IF(VLOOKUP(B908,'Set Odds'!A$2:AN$1067,40,0),1,IF(VLOOKUP(B908,'Set Odds'!A$2:AO$1067,41,0),2,0))</f>
        <v>2</v>
      </c>
      <c r="AK908" s="87" t="s">
        <v>4494</v>
      </c>
      <c r="AL908" s="7" t="str">
        <f t="shared" si="1"/>
        <v/>
      </c>
    </row>
    <row r="909" ht="12.75" customHeight="1">
      <c r="A909" s="86">
        <v>908.0</v>
      </c>
      <c r="B909" s="84" t="s">
        <v>4503</v>
      </c>
      <c r="C909" s="7" t="s">
        <v>3694</v>
      </c>
      <c r="D909" s="7" t="s">
        <v>3248</v>
      </c>
      <c r="E909" s="7" t="s">
        <v>2515</v>
      </c>
      <c r="F909" s="84" t="s">
        <v>3554</v>
      </c>
      <c r="G909" s="84" t="s">
        <v>3558</v>
      </c>
      <c r="H909" s="84" t="s">
        <v>4213</v>
      </c>
      <c r="I909" s="84" t="s">
        <v>2513</v>
      </c>
      <c r="J909" s="7" t="s">
        <v>2701</v>
      </c>
      <c r="K909" s="7">
        <v>31.0</v>
      </c>
      <c r="L909" s="7">
        <v>31.0</v>
      </c>
      <c r="M909" s="7">
        <v>31.0</v>
      </c>
      <c r="N909" s="7">
        <v>31.0</v>
      </c>
      <c r="O909" s="7">
        <v>31.0</v>
      </c>
      <c r="P909" s="7">
        <v>31.0</v>
      </c>
      <c r="Q909" s="7">
        <v>0.0</v>
      </c>
      <c r="R909" s="7">
        <v>4.0</v>
      </c>
      <c r="S909" s="7">
        <v>0.0</v>
      </c>
      <c r="T909" s="7">
        <v>252.0</v>
      </c>
      <c r="U909" s="7">
        <v>0.0</v>
      </c>
      <c r="V909" s="7">
        <v>252.0</v>
      </c>
      <c r="W909" s="7">
        <f>VLOOKUP($D909,NatureChart,2,0)</f>
        <v>1</v>
      </c>
      <c r="X909" s="7">
        <f>VLOOKUP($D909,NatureChart,3,0)</f>
        <v>1</v>
      </c>
      <c r="Y909" s="7">
        <f>VLOOKUP($D909,NatureChart,4,0)</f>
        <v>1.1</v>
      </c>
      <c r="Z909" s="7">
        <f>VLOOKUP($D909,NatureChart,5,0)</f>
        <v>0.9</v>
      </c>
      <c r="AA909" s="84">
        <f>VLOOKUP($D909,NatureChart,6,0)</f>
        <v>1</v>
      </c>
      <c r="AB909" s="84">
        <f>IF($C909="Shedinja",1,(INT((2*VLOOKUP($C909,DexData,5,0)+INT(Q909/4)+K909)/2)+60))</f>
        <v>165</v>
      </c>
      <c r="AC909" s="84">
        <f>INT(INT((INT((2*VLOOKUP($C909,DexData,6,0)+INT(R909/4)+L909)/2)+5)*W909)*IF($E909="Choice Band",1.5,IF(OR($E909="Mawilite",$E909="Medichamite",$E909="Thick Club"),2,1)))</f>
        <v>121</v>
      </c>
      <c r="AD909" s="84">
        <f>INT(INT((INT((2*VLOOKUP($C909,DexData,7,0)+INT(S909/4)+M909)/2)+5)*X909)*IF($E909="Eviolite",1.5,1))</f>
        <v>80</v>
      </c>
      <c r="AE909" s="84">
        <f>INT(INT((INT((2*VLOOKUP($C909,DexData,9,0)+INT(T909/4)+N909)/2)+5)*Y909)*IF($E909="Choice Specs",1.5,1))</f>
        <v>156</v>
      </c>
      <c r="AF909" s="84">
        <f>INT(INT((INT((2*VLOOKUP($C909,DexData,10,0)+INT(U909/4)+O909)/2)+5)*Z909)*IF(OR($E909="Eviolite",$E909="Assault Vest"),1.5,1))</f>
        <v>72</v>
      </c>
      <c r="AG909" s="84">
        <f>INT(INT((INT((2*VLOOKUP($C909,DexData,11,0)+INT(V909/4)+P909)/2)+5)*AA909)*IF($E909="Choice Scarf",1.5,IF($E909="Iron Ball",0.5,1)))</f>
        <v>132</v>
      </c>
      <c r="AH909" s="84" t="str">
        <f>VLOOKUP(VLOOKUP($C909,DexData,3,0),Aliases!D$2:E$19,2,0)&amp;IFERROR("/"&amp;VLOOKUP(VLOOKUP($C909,DexData,4,0),Aliases!D$2:E$19,2,0),"")</f>
        <v>GRS/DRK</v>
      </c>
      <c r="AI909" s="7">
        <v>1.0</v>
      </c>
      <c r="AJ909" s="7">
        <f>IF(VLOOKUP(B909,'Set Odds'!A$2:AN$1067,40,0),1,IF(VLOOKUP(B909,'Set Odds'!A$2:AO$1067,41,0),2,0))</f>
        <v>2</v>
      </c>
      <c r="AK909" s="87" t="s">
        <v>4504</v>
      </c>
      <c r="AL909" s="7" t="str">
        <f t="shared" si="1"/>
        <v/>
      </c>
    </row>
    <row r="910" ht="12.75" customHeight="1">
      <c r="A910" s="86">
        <v>909.0</v>
      </c>
      <c r="B910" s="84" t="s">
        <v>4505</v>
      </c>
      <c r="C910" s="7" t="s">
        <v>3174</v>
      </c>
      <c r="D910" s="7" t="s">
        <v>2862</v>
      </c>
      <c r="E910" s="7" t="s">
        <v>2636</v>
      </c>
      <c r="F910" s="84" t="s">
        <v>2700</v>
      </c>
      <c r="G910" s="84" t="s">
        <v>2732</v>
      </c>
      <c r="H910" s="84" t="s">
        <v>4085</v>
      </c>
      <c r="I910" s="84" t="s">
        <v>2513</v>
      </c>
      <c r="J910" s="7" t="s">
        <v>2720</v>
      </c>
      <c r="K910" s="7">
        <v>31.0</v>
      </c>
      <c r="L910" s="7">
        <v>0.0</v>
      </c>
      <c r="M910" s="7">
        <v>31.0</v>
      </c>
      <c r="N910" s="7">
        <v>31.0</v>
      </c>
      <c r="O910" s="7">
        <v>31.0</v>
      </c>
      <c r="P910" s="7">
        <v>31.0</v>
      </c>
      <c r="Q910" s="7">
        <v>252.0</v>
      </c>
      <c r="R910" s="7">
        <v>0.0</v>
      </c>
      <c r="S910" s="7">
        <v>252.0</v>
      </c>
      <c r="T910" s="7">
        <v>4.0</v>
      </c>
      <c r="U910" s="7">
        <v>0.0</v>
      </c>
      <c r="V910" s="7">
        <v>0.0</v>
      </c>
      <c r="W910" s="7">
        <f>VLOOKUP($D910,NatureChart,2,0)</f>
        <v>0.9</v>
      </c>
      <c r="X910" s="7">
        <f>VLOOKUP($D910,NatureChart,3,0)</f>
        <v>1.1</v>
      </c>
      <c r="Y910" s="7">
        <f>VLOOKUP($D910,NatureChart,4,0)</f>
        <v>1</v>
      </c>
      <c r="Z910" s="7">
        <f>VLOOKUP($D910,NatureChart,5,0)</f>
        <v>1</v>
      </c>
      <c r="AA910" s="84">
        <f>VLOOKUP($D910,NatureChart,6,0)</f>
        <v>1</v>
      </c>
      <c r="AB910" s="84">
        <f>IF($C910="Shedinja",1,(INT((2*VLOOKUP($C910,DexData,5,0)+INT(Q910/4)+K910)/2)+60))</f>
        <v>157</v>
      </c>
      <c r="AC910" s="84">
        <f>INT(INT((INT((2*VLOOKUP($C910,DexData,6,0)+INT(R910/4)+L910)/2)+5)*W910)*IF($E910="Choice Band",1.5,IF(OR($E910="Mawilite",$E910="Medichamite",$E910="Thick Club"),2,1)))</f>
        <v>72</v>
      </c>
      <c r="AD910" s="84">
        <f>INT(INT((INT((2*VLOOKUP($C910,DexData,7,0)+INT(S910/4)+M910)/2)+5)*X910)*IF($E910="Eviolite",1.5,1))</f>
        <v>139</v>
      </c>
      <c r="AE910" s="84">
        <f>INT(INT((INT((2*VLOOKUP($C910,DexData,9,0)+INT(T910/4)+N910)/2)+5)*Y910)*IF($E910="Choice Specs",1.5,1))</f>
        <v>86</v>
      </c>
      <c r="AF910" s="84">
        <f>INT(INT((INT((2*VLOOKUP($C910,DexData,10,0)+INT(U910/4)+O910)/2)+5)*Z910)*IF(OR($E910="Eviolite",$E910="Assault Vest"),1.5,1))</f>
        <v>85</v>
      </c>
      <c r="AG910" s="84">
        <f>INT(INT((INT((2*VLOOKUP($C910,DexData,11,0)+INT(V910/4)+P910)/2)+5)*AA910)*IF($E910="Choice Scarf",1.5,IF($E910="Iron Ball",0.5,1)))</f>
        <v>70</v>
      </c>
      <c r="AH910" s="84" t="str">
        <f>VLOOKUP(VLOOKUP($C910,DexData,3,0),Aliases!D$2:E$19,2,0)&amp;IFERROR("/"&amp;VLOOKUP(VLOOKUP($C910,DexData,4,0),Aliases!D$2:E$19,2,0),"")</f>
        <v>DRK/GHO</v>
      </c>
      <c r="AI910" s="7">
        <v>1.0</v>
      </c>
      <c r="AJ910" s="7">
        <f>IF(VLOOKUP(B910,'Set Odds'!A$2:AN$1067,40,0),1,IF(VLOOKUP(B910,'Set Odds'!A$2:AO$1067,41,0),2,0))</f>
        <v>2</v>
      </c>
      <c r="AK910" s="87" t="s">
        <v>4506</v>
      </c>
      <c r="AL910" s="7" t="str">
        <f t="shared" si="1"/>
        <v/>
      </c>
    </row>
    <row r="911" ht="12.75" customHeight="1">
      <c r="A911" s="86">
        <v>910.0</v>
      </c>
      <c r="B911" s="84" t="s">
        <v>4507</v>
      </c>
      <c r="C911" s="7" t="s">
        <v>3650</v>
      </c>
      <c r="D911" s="7" t="s">
        <v>2692</v>
      </c>
      <c r="E911" s="7" t="s">
        <v>2889</v>
      </c>
      <c r="F911" s="84" t="s">
        <v>3312</v>
      </c>
      <c r="G911" s="84" t="s">
        <v>2594</v>
      </c>
      <c r="H911" s="84" t="s">
        <v>3249</v>
      </c>
      <c r="I911" s="84" t="s">
        <v>2517</v>
      </c>
      <c r="J911" s="7" t="s">
        <v>3412</v>
      </c>
      <c r="K911" s="7">
        <v>31.0</v>
      </c>
      <c r="L911" s="7">
        <v>31.0</v>
      </c>
      <c r="M911" s="7">
        <v>31.0</v>
      </c>
      <c r="N911" s="7">
        <v>0.0</v>
      </c>
      <c r="O911" s="7">
        <v>31.0</v>
      </c>
      <c r="P911" s="7">
        <v>31.0</v>
      </c>
      <c r="Q911" s="7">
        <v>4.0</v>
      </c>
      <c r="R911" s="7">
        <v>252.0</v>
      </c>
      <c r="S911" s="7">
        <v>0.0</v>
      </c>
      <c r="T911" s="7">
        <v>0.0</v>
      </c>
      <c r="U911" s="7">
        <v>0.0</v>
      </c>
      <c r="V911" s="7">
        <v>252.0</v>
      </c>
      <c r="W911" s="7">
        <f>VLOOKUP($D911,NatureChart,2,0)</f>
        <v>1</v>
      </c>
      <c r="X911" s="7">
        <f>VLOOKUP($D911,NatureChart,3,0)</f>
        <v>1</v>
      </c>
      <c r="Y911" s="7">
        <f>VLOOKUP($D911,NatureChart,4,0)</f>
        <v>0.9</v>
      </c>
      <c r="Z911" s="7">
        <f>VLOOKUP($D911,NatureChart,5,0)</f>
        <v>1</v>
      </c>
      <c r="AA911" s="84">
        <f>VLOOKUP($D911,NatureChart,6,0)</f>
        <v>1.1</v>
      </c>
      <c r="AB911" s="84">
        <f>IF($C911="Shedinja",1,(INT((2*VLOOKUP($C911,DexData,5,0)+INT(Q911/4)+K911)/2)+60))</f>
        <v>136</v>
      </c>
      <c r="AC911" s="84">
        <f>INT(INT((INT((2*VLOOKUP($C911,DexData,6,0)+INT(R911/4)+L911)/2)+5)*W911)*IF($E911="Choice Band",1.5,IF(OR($E911="Mawilite",$E911="Medichamite",$E911="Thick Club"),2,1)))</f>
        <v>182</v>
      </c>
      <c r="AD911" s="84">
        <f>INT(INT((INT((2*VLOOKUP($C911,DexData,7,0)+INT(S911/4)+M911)/2)+5)*X911)*IF($E911="Eviolite",1.5,1))</f>
        <v>100</v>
      </c>
      <c r="AE911" s="84">
        <f>INT(INT((INT((2*VLOOKUP($C911,DexData,9,0)+INT(T911/4)+N911)/2)+5)*Y911)*IF($E911="Choice Specs",1.5,1))</f>
        <v>58</v>
      </c>
      <c r="AF911" s="84">
        <f>INT(INT((INT((2*VLOOKUP($C911,DexData,10,0)+INT(U911/4)+O911)/2)+5)*Z911)*IF(OR($E911="Eviolite",$E911="Assault Vest"),1.5,1))</f>
        <v>80</v>
      </c>
      <c r="AG911" s="84">
        <f>INT(INT((INT((2*VLOOKUP($C911,DexData,11,0)+INT(V911/4)+P911)/2)+5)*AA911)*IF($E911="Choice Scarf",1.5,IF($E911="Iron Ball",0.5,1)))</f>
        <v>134</v>
      </c>
      <c r="AH911" s="84" t="str">
        <f>VLOOKUP(VLOOKUP($C911,DexData,3,0),Aliases!D$2:E$19,2,0)&amp;IFERROR("/"&amp;VLOOKUP(VLOOKUP($C911,DexData,4,0),Aliases!D$2:E$19,2,0),"")</f>
        <v>GRS/FTG</v>
      </c>
      <c r="AI911" s="7">
        <v>1.0</v>
      </c>
      <c r="AJ911" s="7">
        <f>IF(VLOOKUP(B911,'Set Odds'!A$2:AN$1067,40,0),1,IF(VLOOKUP(B911,'Set Odds'!A$2:AO$1067,41,0),2,0))</f>
        <v>2</v>
      </c>
      <c r="AK911" s="87" t="s">
        <v>4504</v>
      </c>
      <c r="AL911" s="7" t="str">
        <f t="shared" si="1"/>
        <v/>
      </c>
    </row>
    <row r="912" ht="12.75" customHeight="1">
      <c r="A912" s="86">
        <v>911.0</v>
      </c>
      <c r="B912" s="84" t="s">
        <v>4508</v>
      </c>
      <c r="C912" s="7" t="s">
        <v>3774</v>
      </c>
      <c r="D912" s="7" t="s">
        <v>2635</v>
      </c>
      <c r="E912" s="7" t="s">
        <v>3548</v>
      </c>
      <c r="F912" s="84" t="s">
        <v>2661</v>
      </c>
      <c r="G912" s="84" t="s">
        <v>3052</v>
      </c>
      <c r="H912" s="84" t="s">
        <v>2785</v>
      </c>
      <c r="I912" s="84" t="s">
        <v>3260</v>
      </c>
      <c r="J912" s="7" t="s">
        <v>3496</v>
      </c>
      <c r="K912" s="7">
        <v>31.0</v>
      </c>
      <c r="L912" s="7">
        <v>0.0</v>
      </c>
      <c r="M912" s="7">
        <v>31.0</v>
      </c>
      <c r="N912" s="7">
        <v>31.0</v>
      </c>
      <c r="O912" s="7">
        <v>31.0</v>
      </c>
      <c r="P912" s="7">
        <v>31.0</v>
      </c>
      <c r="Q912" s="7">
        <v>4.0</v>
      </c>
      <c r="R912" s="7">
        <v>0.0</v>
      </c>
      <c r="S912" s="7">
        <v>0.0</v>
      </c>
      <c r="T912" s="7">
        <v>252.0</v>
      </c>
      <c r="U912" s="7">
        <v>0.0</v>
      </c>
      <c r="V912" s="7">
        <v>252.0</v>
      </c>
      <c r="W912" s="7">
        <f>VLOOKUP($D912,NatureChart,2,0)</f>
        <v>0.9</v>
      </c>
      <c r="X912" s="7">
        <f>VLOOKUP($D912,NatureChart,3,0)</f>
        <v>1</v>
      </c>
      <c r="Y912" s="7">
        <f>VLOOKUP($D912,NatureChart,4,0)</f>
        <v>1</v>
      </c>
      <c r="Z912" s="7">
        <f>VLOOKUP($D912,NatureChart,5,0)</f>
        <v>1</v>
      </c>
      <c r="AA912" s="84">
        <f>VLOOKUP($D912,NatureChart,6,0)</f>
        <v>1.1</v>
      </c>
      <c r="AB912" s="84">
        <f>IF($C912="Shedinja",1,(INT((2*VLOOKUP($C912,DexData,5,0)+INT(Q912/4)+K912)/2)+60))</f>
        <v>136</v>
      </c>
      <c r="AC912" s="84">
        <f>INT(INT((INT((2*VLOOKUP($C912,DexData,6,0)+INT(R912/4)+L912)/2)+5)*W912)*IF($E912="Choice Band",1.5,IF(OR($E912="Mawilite",$E912="Medichamite",$E912="Thick Club"),2,1)))</f>
        <v>63</v>
      </c>
      <c r="AD912" s="84">
        <f>INT(INT((INT((2*VLOOKUP($C912,DexData,7,0)+INT(S912/4)+M912)/2)+5)*X912)*IF($E912="Eviolite",1.5,1))</f>
        <v>80</v>
      </c>
      <c r="AE912" s="84">
        <f>INT(INT((INT((2*VLOOKUP($C912,DexData,9,0)+INT(T912/4)+N912)/2)+5)*Y912)*IF($E912="Choice Specs",1.5,1))</f>
        <v>182</v>
      </c>
      <c r="AF912" s="84">
        <f>INT(INT((INT((2*VLOOKUP($C912,DexData,10,0)+INT(U912/4)+O912)/2)+5)*Z912)*IF(OR($E912="Eviolite",$E912="Assault Vest"),1.5,1))</f>
        <v>95</v>
      </c>
      <c r="AG912" s="84">
        <f>INT(INT((INT((2*VLOOKUP($C912,DexData,11,0)+INT(V912/4)+P912)/2)+5)*AA912)*IF($E912="Choice Scarf",1.5,IF($E912="Iron Ball",0.5,1)))</f>
        <v>178</v>
      </c>
      <c r="AH912" s="84" t="str">
        <f>VLOOKUP(VLOOKUP($C912,DexData,3,0),Aliases!D$2:E$19,2,0)&amp;IFERROR("/"&amp;VLOOKUP(VLOOKUP($C912,DexData,4,0),Aliases!D$2:E$19,2,0),"")</f>
        <v>GHO/PSN</v>
      </c>
      <c r="AI912" s="7">
        <v>1.0</v>
      </c>
      <c r="AJ912" s="7">
        <f>IF(VLOOKUP(B912,'Set Odds'!A$2:AN$1067,40,0),1,IF(VLOOKUP(B912,'Set Odds'!A$2:AO$1067,41,0),2,0))</f>
        <v>2</v>
      </c>
      <c r="AK912" s="87" t="s">
        <v>4506</v>
      </c>
      <c r="AL912" s="7" t="str">
        <f t="shared" si="1"/>
        <v/>
      </c>
    </row>
    <row r="913" ht="12.75" customHeight="1">
      <c r="A913" s="86">
        <v>912.0</v>
      </c>
      <c r="B913" s="84" t="s">
        <v>4509</v>
      </c>
      <c r="C913" s="7" t="s">
        <v>3586</v>
      </c>
      <c r="D913" s="7" t="s">
        <v>2656</v>
      </c>
      <c r="E913" s="7" t="s">
        <v>2806</v>
      </c>
      <c r="F913" s="84" t="s">
        <v>3052</v>
      </c>
      <c r="G913" s="84" t="s">
        <v>3558</v>
      </c>
      <c r="H913" s="84" t="s">
        <v>2832</v>
      </c>
      <c r="I913" s="84" t="s">
        <v>3730</v>
      </c>
      <c r="J913" s="7" t="s">
        <v>2701</v>
      </c>
      <c r="K913" s="7">
        <v>31.0</v>
      </c>
      <c r="L913" s="7">
        <v>0.0</v>
      </c>
      <c r="M913" s="7">
        <v>31.0</v>
      </c>
      <c r="N913" s="7">
        <v>31.0</v>
      </c>
      <c r="O913" s="7">
        <v>31.0</v>
      </c>
      <c r="P913" s="7">
        <v>31.0</v>
      </c>
      <c r="Q913" s="7">
        <v>4.0</v>
      </c>
      <c r="R913" s="7">
        <v>0.0</v>
      </c>
      <c r="S913" s="7">
        <v>0.0</v>
      </c>
      <c r="T913" s="7">
        <v>252.0</v>
      </c>
      <c r="U913" s="7">
        <v>0.0</v>
      </c>
      <c r="V913" s="7">
        <v>252.0</v>
      </c>
      <c r="W913" s="7">
        <f>VLOOKUP($D913,NatureChart,2,0)</f>
        <v>0.9</v>
      </c>
      <c r="X913" s="7">
        <f>VLOOKUP($D913,NatureChart,3,0)</f>
        <v>1</v>
      </c>
      <c r="Y913" s="7">
        <f>VLOOKUP($D913,NatureChart,4,0)</f>
        <v>1.1</v>
      </c>
      <c r="Z913" s="7">
        <f>VLOOKUP($D913,NatureChart,5,0)</f>
        <v>1</v>
      </c>
      <c r="AA913" s="84">
        <f>VLOOKUP($D913,NatureChart,6,0)</f>
        <v>1</v>
      </c>
      <c r="AB913" s="84">
        <f>IF($C913="Shedinja",1,(INT((2*VLOOKUP($C913,DexData,5,0)+INT(Q913/4)+K913)/2)+60))</f>
        <v>156</v>
      </c>
      <c r="AC913" s="84">
        <f>INT(INT((INT((2*VLOOKUP($C913,DexData,6,0)+INT(R913/4)+L913)/2)+5)*W913)*IF($E913="Choice Band",1.5,IF(OR($E913="Mawilite",$E913="Medichamite",$E913="Thick Club"),2,1)))</f>
        <v>78</v>
      </c>
      <c r="AD913" s="84">
        <f>INT(INT((INT((2*VLOOKUP($C913,DexData,7,0)+INT(S913/4)+M913)/2)+5)*X913)*IF($E913="Eviolite",1.5,1))</f>
        <v>103</v>
      </c>
      <c r="AE913" s="84">
        <f>INT(INT((INT((2*VLOOKUP($C913,DexData,9,0)+INT(T913/4)+N913)/2)+5)*Y913)*IF($E913="Choice Specs",1.5,1))</f>
        <v>167</v>
      </c>
      <c r="AF913" s="84">
        <f>INT(INT((INT((2*VLOOKUP($C913,DexData,10,0)+INT(U913/4)+O913)/2)+5)*Z913)*IF(OR($E913="Eviolite",$E913="Assault Vest"),1.5,1))</f>
        <v>120</v>
      </c>
      <c r="AG913" s="84">
        <f>INT(INT((INT((2*VLOOKUP($C913,DexData,11,0)+INT(V913/4)+P913)/2)+5)*AA913)*IF($E913="Choice Scarf",1.5,IF($E913="Iron Ball",0.5,1)))</f>
        <v>132</v>
      </c>
      <c r="AH913" s="84" t="str">
        <f>VLOOKUP(VLOOKUP($C913,DexData,3,0),Aliases!D$2:E$19,2,0)&amp;IFERROR("/"&amp;VLOOKUP(VLOOKUP($C913,DexData,4,0),Aliases!D$2:E$19,2,0),"")</f>
        <v>GRS/PSN</v>
      </c>
      <c r="AI913" s="7">
        <v>1.0</v>
      </c>
      <c r="AJ913" s="7">
        <f>IF(VLOOKUP(B913,'Set Odds'!A$2:AN$1067,40,0),1,IF(VLOOKUP(B913,'Set Odds'!A$2:AO$1067,41,0),2,0))</f>
        <v>2</v>
      </c>
      <c r="AK913" s="87" t="s">
        <v>4504</v>
      </c>
      <c r="AL913" s="7" t="str">
        <f t="shared" si="1"/>
        <v/>
      </c>
    </row>
    <row r="914" ht="12.75" customHeight="1">
      <c r="A914" s="86">
        <v>913.0</v>
      </c>
      <c r="B914" s="84" t="s">
        <v>4510</v>
      </c>
      <c r="C914" s="7" t="s">
        <v>3174</v>
      </c>
      <c r="D914" s="7" t="s">
        <v>2862</v>
      </c>
      <c r="E914" s="7" t="s">
        <v>2636</v>
      </c>
      <c r="F914" s="84" t="s">
        <v>2700</v>
      </c>
      <c r="G914" s="84" t="s">
        <v>2732</v>
      </c>
      <c r="H914" s="84" t="s">
        <v>4085</v>
      </c>
      <c r="I914" s="84" t="s">
        <v>2513</v>
      </c>
      <c r="J914" s="7" t="s">
        <v>2720</v>
      </c>
      <c r="K914" s="7">
        <v>31.0</v>
      </c>
      <c r="L914" s="7">
        <v>0.0</v>
      </c>
      <c r="M914" s="7">
        <v>31.0</v>
      </c>
      <c r="N914" s="7">
        <v>31.0</v>
      </c>
      <c r="O914" s="7">
        <v>31.0</v>
      </c>
      <c r="P914" s="7">
        <v>31.0</v>
      </c>
      <c r="Q914" s="7">
        <v>252.0</v>
      </c>
      <c r="R914" s="7">
        <v>0.0</v>
      </c>
      <c r="S914" s="7">
        <v>252.0</v>
      </c>
      <c r="T914" s="7">
        <v>4.0</v>
      </c>
      <c r="U914" s="7">
        <v>0.0</v>
      </c>
      <c r="V914" s="7">
        <v>0.0</v>
      </c>
      <c r="W914" s="7">
        <f>VLOOKUP($D914,NatureChart,2,0)</f>
        <v>0.9</v>
      </c>
      <c r="X914" s="7">
        <f>VLOOKUP($D914,NatureChart,3,0)</f>
        <v>1.1</v>
      </c>
      <c r="Y914" s="7">
        <f>VLOOKUP($D914,NatureChart,4,0)</f>
        <v>1</v>
      </c>
      <c r="Z914" s="7">
        <f>VLOOKUP($D914,NatureChart,5,0)</f>
        <v>1</v>
      </c>
      <c r="AA914" s="84">
        <f>VLOOKUP($D914,NatureChart,6,0)</f>
        <v>1</v>
      </c>
      <c r="AB914" s="84">
        <f>IF($C914="Shedinja",1,(INT((2*VLOOKUP($C914,DexData,5,0)+INT(Q914/4)+K914)/2)+60))</f>
        <v>157</v>
      </c>
      <c r="AC914" s="84">
        <f>INT(INT((INT((2*VLOOKUP($C914,DexData,6,0)+INT(R914/4)+L914)/2)+5)*W914)*IF($E914="Choice Band",1.5,IF(OR($E914="Mawilite",$E914="Medichamite",$E914="Thick Club"),2,1)))</f>
        <v>72</v>
      </c>
      <c r="AD914" s="84">
        <f>INT(INT((INT((2*VLOOKUP($C914,DexData,7,0)+INT(S914/4)+M914)/2)+5)*X914)*IF($E914="Eviolite",1.5,1))</f>
        <v>139</v>
      </c>
      <c r="AE914" s="84">
        <f>INT(INT((INT((2*VLOOKUP($C914,DexData,9,0)+INT(T914/4)+N914)/2)+5)*Y914)*IF($E914="Choice Specs",1.5,1))</f>
        <v>86</v>
      </c>
      <c r="AF914" s="84">
        <f>INT(INT((INT((2*VLOOKUP($C914,DexData,10,0)+INT(U914/4)+O914)/2)+5)*Z914)*IF(OR($E914="Eviolite",$E914="Assault Vest"),1.5,1))</f>
        <v>85</v>
      </c>
      <c r="AG914" s="84">
        <f>INT(INT((INT((2*VLOOKUP($C914,DexData,11,0)+INT(V914/4)+P914)/2)+5)*AA914)*IF($E914="Choice Scarf",1.5,IF($E914="Iron Ball",0.5,1)))</f>
        <v>70</v>
      </c>
      <c r="AH914" s="84" t="str">
        <f>VLOOKUP(VLOOKUP($C914,DexData,3,0),Aliases!D$2:E$19,2,0)&amp;IFERROR("/"&amp;VLOOKUP(VLOOKUP($C914,DexData,4,0),Aliases!D$2:E$19,2,0),"")</f>
        <v>DRK/GHO</v>
      </c>
      <c r="AI914" s="7">
        <v>1.0</v>
      </c>
      <c r="AJ914" s="7">
        <f>IF(VLOOKUP(B914,'Set Odds'!A$2:AN$1067,40,0),1,IF(VLOOKUP(B914,'Set Odds'!A$2:AO$1067,41,0),2,0))</f>
        <v>2</v>
      </c>
      <c r="AK914" s="87" t="s">
        <v>4506</v>
      </c>
      <c r="AL914" s="7" t="str">
        <f t="shared" si="1"/>
        <v/>
      </c>
    </row>
    <row r="915" ht="12.75" customHeight="1">
      <c r="A915" s="86">
        <v>914.0</v>
      </c>
      <c r="B915" s="84" t="s">
        <v>4511</v>
      </c>
      <c r="C915" s="7" t="s">
        <v>3822</v>
      </c>
      <c r="D915" s="7" t="s">
        <v>2635</v>
      </c>
      <c r="E915" s="7" t="s">
        <v>3548</v>
      </c>
      <c r="F915" s="84" t="s">
        <v>2601</v>
      </c>
      <c r="G915" s="84" t="s">
        <v>3558</v>
      </c>
      <c r="H915" s="84" t="s">
        <v>3730</v>
      </c>
      <c r="I915" s="84" t="s">
        <v>3052</v>
      </c>
      <c r="J915" s="7" t="s">
        <v>3412</v>
      </c>
      <c r="K915" s="7">
        <v>31.0</v>
      </c>
      <c r="L915" s="7">
        <v>0.0</v>
      </c>
      <c r="M915" s="7">
        <v>31.0</v>
      </c>
      <c r="N915" s="7">
        <v>31.0</v>
      </c>
      <c r="O915" s="7">
        <v>31.0</v>
      </c>
      <c r="P915" s="7">
        <v>31.0</v>
      </c>
      <c r="Q915" s="7">
        <v>4.0</v>
      </c>
      <c r="R915" s="7">
        <v>0.0</v>
      </c>
      <c r="S915" s="7">
        <v>0.0</v>
      </c>
      <c r="T915" s="7">
        <v>252.0</v>
      </c>
      <c r="U915" s="7">
        <v>0.0</v>
      </c>
      <c r="V915" s="7">
        <v>252.0</v>
      </c>
      <c r="W915" s="7">
        <f>VLOOKUP($D915,NatureChart,2,0)</f>
        <v>0.9</v>
      </c>
      <c r="X915" s="7">
        <f>VLOOKUP($D915,NatureChart,3,0)</f>
        <v>1</v>
      </c>
      <c r="Y915" s="7">
        <f>VLOOKUP($D915,NatureChart,4,0)</f>
        <v>1</v>
      </c>
      <c r="Z915" s="7">
        <f>VLOOKUP($D915,NatureChart,5,0)</f>
        <v>1</v>
      </c>
      <c r="AA915" s="84">
        <f>VLOOKUP($D915,NatureChart,6,0)</f>
        <v>1.1</v>
      </c>
      <c r="AB915" s="84">
        <f>IF($C915="Shedinja",1,(INT((2*VLOOKUP($C915,DexData,5,0)+INT(Q915/4)+K915)/2)+60))</f>
        <v>136</v>
      </c>
      <c r="AC915" s="84">
        <f>INT(INT((INT((2*VLOOKUP($C915,DexData,6,0)+INT(R915/4)+L915)/2)+5)*W915)*IF($E915="Choice Band",1.5,IF(OR($E915="Mawilite",$E915="Medichamite",$E915="Thick Club"),2,1)))</f>
        <v>67</v>
      </c>
      <c r="AD915" s="84">
        <f>INT(INT((INT((2*VLOOKUP($C915,DexData,7,0)+INT(S915/4)+M915)/2)+5)*X915)*IF($E915="Eviolite",1.5,1))</f>
        <v>85</v>
      </c>
      <c r="AE915" s="84">
        <f>INT(INT((INT((2*VLOOKUP($C915,DexData,9,0)+INT(T915/4)+N915)/2)+5)*Y915)*IF($E915="Choice Specs",1.5,1))</f>
        <v>177</v>
      </c>
      <c r="AF915" s="84">
        <f>INT(INT((INT((2*VLOOKUP($C915,DexData,10,0)+INT(U915/4)+O915)/2)+5)*Z915)*IF(OR($E915="Eviolite",$E915="Assault Vest"),1.5,1))</f>
        <v>125</v>
      </c>
      <c r="AG915" s="84">
        <f>INT(INT((INT((2*VLOOKUP($C915,DexData,11,0)+INT(V915/4)+P915)/2)+5)*AA915)*IF($E915="Choice Scarf",1.5,IF($E915="Iron Ball",0.5,1)))</f>
        <v>156</v>
      </c>
      <c r="AH915" s="84" t="str">
        <f>VLOOKUP(VLOOKUP($C915,DexData,3,0),Aliases!D$2:E$19,2,0)&amp;IFERROR("/"&amp;VLOOKUP(VLOOKUP($C915,DexData,4,0),Aliases!D$2:E$19,2,0),"")</f>
        <v>GRS/PSN</v>
      </c>
      <c r="AI915" s="7">
        <v>1.0</v>
      </c>
      <c r="AJ915" s="7">
        <f>IF(VLOOKUP(B915,'Set Odds'!A$2:AN$1067,40,0),1,IF(VLOOKUP(B915,'Set Odds'!A$2:AO$1067,41,0),2,0))</f>
        <v>2</v>
      </c>
      <c r="AK915" s="87" t="s">
        <v>4504</v>
      </c>
      <c r="AL915" s="7" t="str">
        <f t="shared" si="1"/>
        <v/>
      </c>
    </row>
    <row r="916" ht="12.75" customHeight="1">
      <c r="A916" s="86">
        <v>915.0</v>
      </c>
      <c r="B916" s="84" t="s">
        <v>4512</v>
      </c>
      <c r="C916" s="7" t="s">
        <v>3774</v>
      </c>
      <c r="D916" s="7" t="s">
        <v>2635</v>
      </c>
      <c r="E916" s="7" t="s">
        <v>2515</v>
      </c>
      <c r="F916" s="84" t="s">
        <v>2661</v>
      </c>
      <c r="G916" s="84" t="s">
        <v>3052</v>
      </c>
      <c r="H916" s="84" t="s">
        <v>2785</v>
      </c>
      <c r="I916" s="84" t="s">
        <v>3260</v>
      </c>
      <c r="J916" s="7" t="s">
        <v>3496</v>
      </c>
      <c r="K916" s="7">
        <v>31.0</v>
      </c>
      <c r="L916" s="7">
        <v>0.0</v>
      </c>
      <c r="M916" s="7">
        <v>31.0</v>
      </c>
      <c r="N916" s="7">
        <v>31.0</v>
      </c>
      <c r="O916" s="7">
        <v>31.0</v>
      </c>
      <c r="P916" s="7">
        <v>31.0</v>
      </c>
      <c r="Q916" s="7">
        <v>4.0</v>
      </c>
      <c r="R916" s="7">
        <v>0.0</v>
      </c>
      <c r="S916" s="7">
        <v>0.0</v>
      </c>
      <c r="T916" s="7">
        <v>252.0</v>
      </c>
      <c r="U916" s="7">
        <v>0.0</v>
      </c>
      <c r="V916" s="7">
        <v>252.0</v>
      </c>
      <c r="W916" s="7">
        <f>VLOOKUP($D916,NatureChart,2,0)</f>
        <v>0.9</v>
      </c>
      <c r="X916" s="7">
        <f>VLOOKUP($D916,NatureChart,3,0)</f>
        <v>1</v>
      </c>
      <c r="Y916" s="7">
        <f>VLOOKUP($D916,NatureChart,4,0)</f>
        <v>1</v>
      </c>
      <c r="Z916" s="7">
        <f>VLOOKUP($D916,NatureChart,5,0)</f>
        <v>1</v>
      </c>
      <c r="AA916" s="84">
        <f>VLOOKUP($D916,NatureChart,6,0)</f>
        <v>1.1</v>
      </c>
      <c r="AB916" s="84">
        <f>IF($C916="Shedinja",1,(INT((2*VLOOKUP($C916,DexData,5,0)+INT(Q916/4)+K916)/2)+60))</f>
        <v>136</v>
      </c>
      <c r="AC916" s="84">
        <f>INT(INT((INT((2*VLOOKUP($C916,DexData,6,0)+INT(R916/4)+L916)/2)+5)*W916)*IF($E916="Choice Band",1.5,IF(OR($E916="Mawilite",$E916="Medichamite",$E916="Thick Club"),2,1)))</f>
        <v>63</v>
      </c>
      <c r="AD916" s="84">
        <f>INT(INT((INT((2*VLOOKUP($C916,DexData,7,0)+INT(S916/4)+M916)/2)+5)*X916)*IF($E916="Eviolite",1.5,1))</f>
        <v>80</v>
      </c>
      <c r="AE916" s="84">
        <f>INT(INT((INT((2*VLOOKUP($C916,DexData,9,0)+INT(T916/4)+N916)/2)+5)*Y916)*IF($E916="Choice Specs",1.5,1))</f>
        <v>182</v>
      </c>
      <c r="AF916" s="84">
        <f>INT(INT((INT((2*VLOOKUP($C916,DexData,10,0)+INT(U916/4)+O916)/2)+5)*Z916)*IF(OR($E916="Eviolite",$E916="Assault Vest"),1.5,1))</f>
        <v>95</v>
      </c>
      <c r="AG916" s="84">
        <f>INT(INT((INT((2*VLOOKUP($C916,DexData,11,0)+INT(V916/4)+P916)/2)+5)*AA916)*IF($E916="Choice Scarf",1.5,IF($E916="Iron Ball",0.5,1)))</f>
        <v>178</v>
      </c>
      <c r="AH916" s="84" t="str">
        <f>VLOOKUP(VLOOKUP($C916,DexData,3,0),Aliases!D$2:E$19,2,0)&amp;IFERROR("/"&amp;VLOOKUP(VLOOKUP($C916,DexData,4,0),Aliases!D$2:E$19,2,0),"")</f>
        <v>GHO/PSN</v>
      </c>
      <c r="AI916" s="7">
        <v>1.0</v>
      </c>
      <c r="AJ916" s="7">
        <f>IF(VLOOKUP(B916,'Set Odds'!A$2:AN$1067,40,0),1,IF(VLOOKUP(B916,'Set Odds'!A$2:AO$1067,41,0),2,0))</f>
        <v>2</v>
      </c>
      <c r="AK916" s="87" t="s">
        <v>4506</v>
      </c>
      <c r="AL916" s="7" t="str">
        <f t="shared" si="1"/>
        <v/>
      </c>
    </row>
    <row r="917" ht="12.75" customHeight="1">
      <c r="A917" s="86">
        <v>916.0</v>
      </c>
      <c r="B917" s="84" t="s">
        <v>4513</v>
      </c>
      <c r="C917" s="7" t="s">
        <v>3903</v>
      </c>
      <c r="D917" s="7" t="s">
        <v>2862</v>
      </c>
      <c r="E917" s="7" t="s">
        <v>2630</v>
      </c>
      <c r="F917" s="84" t="s">
        <v>2704</v>
      </c>
      <c r="G917" s="84" t="s">
        <v>3052</v>
      </c>
      <c r="H917" s="84" t="s">
        <v>3590</v>
      </c>
      <c r="I917" s="84" t="s">
        <v>2574</v>
      </c>
      <c r="J917" s="7" t="s">
        <v>3404</v>
      </c>
      <c r="K917" s="7">
        <v>31.0</v>
      </c>
      <c r="L917" s="7">
        <v>0.0</v>
      </c>
      <c r="M917" s="7">
        <v>31.0</v>
      </c>
      <c r="N917" s="7">
        <v>31.0</v>
      </c>
      <c r="O917" s="7">
        <v>31.0</v>
      </c>
      <c r="P917" s="7">
        <v>31.0</v>
      </c>
      <c r="Q917" s="7">
        <v>252.0</v>
      </c>
      <c r="R917" s="7">
        <v>0.0</v>
      </c>
      <c r="S917" s="7">
        <v>252.0</v>
      </c>
      <c r="T917" s="7">
        <v>4.0</v>
      </c>
      <c r="U917" s="7">
        <v>0.0</v>
      </c>
      <c r="V917" s="7">
        <v>0.0</v>
      </c>
      <c r="W917" s="7">
        <f>VLOOKUP($D917,NatureChart,2,0)</f>
        <v>0.9</v>
      </c>
      <c r="X917" s="7">
        <f>VLOOKUP($D917,NatureChart,3,0)</f>
        <v>1.1</v>
      </c>
      <c r="Y917" s="7">
        <f>VLOOKUP($D917,NatureChart,4,0)</f>
        <v>1</v>
      </c>
      <c r="Z917" s="7">
        <f>VLOOKUP($D917,NatureChart,5,0)</f>
        <v>1</v>
      </c>
      <c r="AA917" s="84">
        <f>VLOOKUP($D917,NatureChart,6,0)</f>
        <v>1</v>
      </c>
      <c r="AB917" s="84">
        <f>IF($C917="Shedinja",1,(INT((2*VLOOKUP($C917,DexData,5,0)+INT(Q917/4)+K917)/2)+60))</f>
        <v>207</v>
      </c>
      <c r="AC917" s="84">
        <f>INT(INT((INT((2*VLOOKUP($C917,DexData,6,0)+INT(R917/4)+L917)/2)+5)*W917)*IF($E917="Choice Band",1.5,IF(OR($E917="Mawilite",$E917="Medichamite",$E917="Thick Club"),2,1)))</f>
        <v>94</v>
      </c>
      <c r="AD917" s="84">
        <f>INT(INT((INT((2*VLOOKUP($C917,DexData,7,0)+INT(S917/4)+M917)/2)+5)*X917)*IF($E917="Eviolite",1.5,1))</f>
        <v>194</v>
      </c>
      <c r="AE917" s="84">
        <f>INT(INT((INT((2*VLOOKUP($C917,DexData,9,0)+INT(T917/4)+N917)/2)+5)*Y917)*IF($E917="Choice Specs",1.5,1))</f>
        <v>131</v>
      </c>
      <c r="AF917" s="84">
        <f>INT(INT((INT((2*VLOOKUP($C917,DexData,10,0)+INT(U917/4)+O917)/2)+5)*Z917)*IF(OR($E917="Eviolite",$E917="Assault Vest"),1.5,1))</f>
        <v>70</v>
      </c>
      <c r="AG917" s="84">
        <f>INT(INT((INT((2*VLOOKUP($C917,DexData,11,0)+INT(V917/4)+P917)/2)+5)*AA917)*IF($E917="Choice Scarf",1.5,IF($E917="Iron Ball",0.5,1)))</f>
        <v>70</v>
      </c>
      <c r="AH917" s="84" t="str">
        <f>VLOOKUP(VLOOKUP($C917,DexData,3,0),Aliases!D$2:E$19,2,0)&amp;IFERROR("/"&amp;VLOOKUP(VLOOKUP($C917,DexData,4,0),Aliases!D$2:E$19,2,0),"")</f>
        <v>GRS</v>
      </c>
      <c r="AI917" s="7">
        <v>1.0</v>
      </c>
      <c r="AJ917" s="7">
        <f>IF(VLOOKUP(B917,'Set Odds'!A$2:AN$1067,40,0),1,IF(VLOOKUP(B917,'Set Odds'!A$2:AO$1067,41,0),2,0))</f>
        <v>2</v>
      </c>
      <c r="AK917" s="87" t="s">
        <v>4504</v>
      </c>
      <c r="AL917" s="7" t="str">
        <f t="shared" si="1"/>
        <v/>
      </c>
    </row>
    <row r="918" ht="12.75" customHeight="1">
      <c r="A918" s="86">
        <v>917.0</v>
      </c>
      <c r="B918" s="84" t="s">
        <v>4514</v>
      </c>
      <c r="C918" s="7" t="s">
        <v>3885</v>
      </c>
      <c r="D918" s="7" t="s">
        <v>2811</v>
      </c>
      <c r="E918" s="7" t="s">
        <v>2636</v>
      </c>
      <c r="F918" s="84" t="s">
        <v>3733</v>
      </c>
      <c r="G918" s="84" t="s">
        <v>3160</v>
      </c>
      <c r="H918" s="84" t="s">
        <v>3390</v>
      </c>
      <c r="I918" s="84" t="s">
        <v>2625</v>
      </c>
      <c r="J918" s="7" t="s">
        <v>3499</v>
      </c>
      <c r="K918" s="7">
        <v>31.0</v>
      </c>
      <c r="L918" s="7">
        <v>31.0</v>
      </c>
      <c r="M918" s="7">
        <v>31.0</v>
      </c>
      <c r="N918" s="7">
        <v>31.0</v>
      </c>
      <c r="O918" s="7">
        <v>31.0</v>
      </c>
      <c r="P918" s="7">
        <v>0.0</v>
      </c>
      <c r="Q918" s="7">
        <v>252.0</v>
      </c>
      <c r="R918" s="7">
        <v>0.0</v>
      </c>
      <c r="S918" s="7">
        <v>252.0</v>
      </c>
      <c r="T918" s="7">
        <v>0.0</v>
      </c>
      <c r="U918" s="7">
        <v>4.0</v>
      </c>
      <c r="V918" s="7">
        <v>0.0</v>
      </c>
      <c r="W918" s="7">
        <f>VLOOKUP($D918,NatureChart,2,0)</f>
        <v>1</v>
      </c>
      <c r="X918" s="7">
        <f>VLOOKUP($D918,NatureChart,3,0)</f>
        <v>1.1</v>
      </c>
      <c r="Y918" s="7">
        <f>VLOOKUP($D918,NatureChart,4,0)</f>
        <v>1</v>
      </c>
      <c r="Z918" s="7">
        <f>VLOOKUP($D918,NatureChart,5,0)</f>
        <v>1</v>
      </c>
      <c r="AA918" s="84">
        <f>VLOOKUP($D918,NatureChart,6,0)</f>
        <v>0.9</v>
      </c>
      <c r="AB918" s="84">
        <f>IF($C918="Shedinja",1,(INT((2*VLOOKUP($C918,DexData,5,0)+INT(Q918/4)+K918)/2)+60))</f>
        <v>152</v>
      </c>
      <c r="AC918" s="84">
        <f>INT(INT((INT((2*VLOOKUP($C918,DexData,6,0)+INT(R918/4)+L918)/2)+5)*W918)*IF($E918="Choice Band",1.5,IF(OR($E918="Mawilite",$E918="Medichamite",$E918="Thick Club"),2,1)))</f>
        <v>120</v>
      </c>
      <c r="AD918" s="84">
        <f>INT(INT((INT((2*VLOOKUP($C918,DexData,7,0)+INT(S918/4)+M918)/2)+5)*X918)*IF($E918="Eviolite",1.5,1))</f>
        <v>205</v>
      </c>
      <c r="AE918" s="84">
        <f>INT(INT((INT((2*VLOOKUP($C918,DexData,9,0)+INT(T918/4)+N918)/2)+5)*Y918)*IF($E918="Choice Specs",1.5,1))</f>
        <v>85</v>
      </c>
      <c r="AF918" s="84">
        <f>INT(INT((INT((2*VLOOKUP($C918,DexData,10,0)+INT(U918/4)+O918)/2)+5)*Z918)*IF(OR($E918="Eviolite",$E918="Assault Vest"),1.5,1))</f>
        <v>156</v>
      </c>
      <c r="AG918" s="84">
        <f>INT(INT((INT((2*VLOOKUP($C918,DexData,11,0)+INT(V918/4)+P918)/2)+5)*AA918)*IF($E918="Choice Scarf",1.5,IF($E918="Iron Ball",0.5,1)))</f>
        <v>45</v>
      </c>
      <c r="AH918" s="84" t="str">
        <f>VLOOKUP(VLOOKUP($C918,DexData,3,0),Aliases!D$2:E$19,2,0)&amp;IFERROR("/"&amp;VLOOKUP(VLOOKUP($C918,DexData,4,0),Aliases!D$2:E$19,2,0),"")</f>
        <v>GHO</v>
      </c>
      <c r="AI918" s="7">
        <v>1.0</v>
      </c>
      <c r="AJ918" s="7">
        <f>IF(VLOOKUP(B918,'Set Odds'!A$2:AN$1067,40,0),1,IF(VLOOKUP(B918,'Set Odds'!A$2:AO$1067,41,0),2,0))</f>
        <v>2</v>
      </c>
      <c r="AK918" s="87" t="s">
        <v>4506</v>
      </c>
      <c r="AL918" s="7" t="str">
        <f t="shared" si="1"/>
        <v/>
      </c>
    </row>
    <row r="919" ht="12.75" customHeight="1">
      <c r="A919" s="86">
        <v>918.0</v>
      </c>
      <c r="B919" s="84" t="s">
        <v>4515</v>
      </c>
      <c r="C919" s="7" t="s">
        <v>3613</v>
      </c>
      <c r="D919" s="7" t="s">
        <v>2571</v>
      </c>
      <c r="E919" s="7" t="s">
        <v>3220</v>
      </c>
      <c r="F919" s="84" t="s">
        <v>4019</v>
      </c>
      <c r="G919" s="84" t="s">
        <v>3015</v>
      </c>
      <c r="H919" s="84" t="s">
        <v>3454</v>
      </c>
      <c r="I919" s="84" t="s">
        <v>2625</v>
      </c>
      <c r="J919" s="7" t="s">
        <v>3088</v>
      </c>
      <c r="K919" s="7">
        <v>31.0</v>
      </c>
      <c r="L919" s="7">
        <v>31.0</v>
      </c>
      <c r="M919" s="7">
        <v>31.0</v>
      </c>
      <c r="N919" s="7">
        <v>0.0</v>
      </c>
      <c r="O919" s="7">
        <v>31.0</v>
      </c>
      <c r="P919" s="7">
        <v>31.0</v>
      </c>
      <c r="Q919" s="7">
        <v>252.0</v>
      </c>
      <c r="R919" s="7">
        <v>252.0</v>
      </c>
      <c r="S919" s="7">
        <v>4.0</v>
      </c>
      <c r="T919" s="7">
        <v>0.0</v>
      </c>
      <c r="U919" s="7">
        <v>0.0</v>
      </c>
      <c r="V919" s="7">
        <v>0.0</v>
      </c>
      <c r="W919" s="7">
        <f>VLOOKUP($D919,NatureChart,2,0)</f>
        <v>1.1</v>
      </c>
      <c r="X919" s="7">
        <f>VLOOKUP($D919,NatureChart,3,0)</f>
        <v>1</v>
      </c>
      <c r="Y919" s="7">
        <f>VLOOKUP($D919,NatureChart,4,0)</f>
        <v>0.9</v>
      </c>
      <c r="Z919" s="7">
        <f>VLOOKUP($D919,NatureChart,5,0)</f>
        <v>1</v>
      </c>
      <c r="AA919" s="84">
        <f>VLOOKUP($D919,NatureChart,6,0)</f>
        <v>1</v>
      </c>
      <c r="AB919" s="84">
        <f>IF($C919="Shedinja",1,(INT((2*VLOOKUP($C919,DexData,5,0)+INT(Q919/4)+K919)/2)+60))</f>
        <v>202</v>
      </c>
      <c r="AC919" s="84">
        <f>INT(INT((INT((2*VLOOKUP($C919,DexData,6,0)+INT(R919/4)+L919)/2)+5)*W919)*IF($E919="Choice Band",1.5,IF(OR($E919="Mawilite",$E919="Medichamite",$E919="Thick Club"),2,1)))</f>
        <v>177</v>
      </c>
      <c r="AD919" s="84">
        <f>INT(INT((INT((2*VLOOKUP($C919,DexData,7,0)+INT(S919/4)+M919)/2)+5)*X919)*IF($E919="Eviolite",1.5,1))</f>
        <v>126</v>
      </c>
      <c r="AE919" s="84">
        <f>INT(INT((INT((2*VLOOKUP($C919,DexData,9,0)+INT(T919/4)+N919)/2)+5)*Y919)*IF($E919="Choice Specs",1.5,1))</f>
        <v>72</v>
      </c>
      <c r="AF919" s="84">
        <f>INT(INT((INT((2*VLOOKUP($C919,DexData,10,0)+INT(U919/4)+O919)/2)+5)*Z919)*IF(OR($E919="Eviolite",$E919="Assault Vest"),1.5,1))</f>
        <v>105</v>
      </c>
      <c r="AG919" s="84">
        <f>INT(INT((INT((2*VLOOKUP($C919,DexData,11,0)+INT(V919/4)+P919)/2)+5)*AA919)*IF($E919="Choice Scarf",1.5,IF($E919="Iron Ball",0.5,1)))</f>
        <v>76</v>
      </c>
      <c r="AH919" s="84" t="str">
        <f>VLOOKUP(VLOOKUP($C919,DexData,3,0),Aliases!D$2:E$19,2,0)&amp;IFERROR("/"&amp;VLOOKUP(VLOOKUP($C919,DexData,4,0),Aliases!D$2:E$19,2,0),"")</f>
        <v>GRS/GRD</v>
      </c>
      <c r="AI919" s="7">
        <v>0.0</v>
      </c>
      <c r="AJ919" s="7">
        <f>IF(VLOOKUP(B919,'Set Odds'!A$2:AN$1067,40,0),1,IF(VLOOKUP(B919,'Set Odds'!A$2:AO$1067,41,0),2,0))</f>
        <v>2</v>
      </c>
      <c r="AK919" s="87" t="s">
        <v>4504</v>
      </c>
      <c r="AL919" s="7" t="str">
        <f t="shared" si="1"/>
        <v/>
      </c>
    </row>
    <row r="920" ht="12.75" customHeight="1">
      <c r="A920" s="86">
        <v>919.0</v>
      </c>
      <c r="B920" s="84" t="s">
        <v>4516</v>
      </c>
      <c r="C920" s="7" t="s">
        <v>3495</v>
      </c>
      <c r="D920" s="7" t="s">
        <v>2571</v>
      </c>
      <c r="E920" s="7" t="s">
        <v>2889</v>
      </c>
      <c r="F920" s="84" t="s">
        <v>2670</v>
      </c>
      <c r="G920" s="84" t="s">
        <v>2734</v>
      </c>
      <c r="H920" s="84" t="s">
        <v>4038</v>
      </c>
      <c r="I920" s="84" t="s">
        <v>4031</v>
      </c>
      <c r="J920" s="7" t="s">
        <v>3496</v>
      </c>
      <c r="K920" s="7">
        <v>31.0</v>
      </c>
      <c r="L920" s="7">
        <v>31.0</v>
      </c>
      <c r="M920" s="7">
        <v>31.0</v>
      </c>
      <c r="N920" s="7">
        <v>0.0</v>
      </c>
      <c r="O920" s="7">
        <v>31.0</v>
      </c>
      <c r="P920" s="7">
        <v>31.0</v>
      </c>
      <c r="Q920" s="7">
        <v>252.0</v>
      </c>
      <c r="R920" s="7">
        <v>252.0</v>
      </c>
      <c r="S920" s="7">
        <v>4.0</v>
      </c>
      <c r="T920" s="7">
        <v>0.0</v>
      </c>
      <c r="U920" s="7">
        <v>0.0</v>
      </c>
      <c r="V920" s="7">
        <v>0.0</v>
      </c>
      <c r="W920" s="7">
        <f>VLOOKUP($D920,NatureChart,2,0)</f>
        <v>1.1</v>
      </c>
      <c r="X920" s="7">
        <f>VLOOKUP($D920,NatureChart,3,0)</f>
        <v>1</v>
      </c>
      <c r="Y920" s="7">
        <f>VLOOKUP($D920,NatureChart,4,0)</f>
        <v>0.9</v>
      </c>
      <c r="Z920" s="7">
        <f>VLOOKUP($D920,NatureChart,5,0)</f>
        <v>1</v>
      </c>
      <c r="AA920" s="84">
        <f>VLOOKUP($D920,NatureChart,6,0)</f>
        <v>1</v>
      </c>
      <c r="AB920" s="84">
        <f>IF($C920="Shedinja",1,(INT((2*VLOOKUP($C920,DexData,5,0)+INT(Q920/4)+K920)/2)+60))</f>
        <v>171</v>
      </c>
      <c r="AC920" s="84">
        <f>INT(INT((INT((2*VLOOKUP($C920,DexData,6,0)+INT(R920/4)+L920)/2)+5)*W920)*IF($E920="Choice Band",1.5,IF(OR($E920="Mawilite",$E920="Medichamite",$E920="Thick Club"),2,1)))</f>
        <v>183</v>
      </c>
      <c r="AD920" s="84">
        <f>INT(INT((INT((2*VLOOKUP($C920,DexData,7,0)+INT(S920/4)+M920)/2)+5)*X920)*IF($E920="Eviolite",1.5,1))</f>
        <v>86</v>
      </c>
      <c r="AE920" s="84">
        <f>INT(INT((INT((2*VLOOKUP($C920,DexData,9,0)+INT(T920/4)+N920)/2)+5)*Y920)*IF($E920="Choice Specs",1.5,1))</f>
        <v>79</v>
      </c>
      <c r="AF920" s="84">
        <f>INT(INT((INT((2*VLOOKUP($C920,DexData,10,0)+INT(U920/4)+O920)/2)+5)*Z920)*IF(OR($E920="Eviolite",$E920="Assault Vest"),1.5,1))</f>
        <v>83</v>
      </c>
      <c r="AG920" s="84">
        <f>INT(INT((INT((2*VLOOKUP($C920,DexData,11,0)+INT(V920/4)+P920)/2)+5)*AA920)*IF($E920="Choice Scarf",1.5,IF($E920="Iron Ball",0.5,1)))</f>
        <v>85</v>
      </c>
      <c r="AH920" s="84" t="str">
        <f>VLOOKUP(VLOOKUP($C920,DexData,3,0),Aliases!D$2:E$19,2,0)&amp;IFERROR("/"&amp;VLOOKUP(VLOOKUP($C920,DexData,4,0),Aliases!D$2:E$19,2,0),"")</f>
        <v>GHO</v>
      </c>
      <c r="AI920" s="7">
        <v>1.0</v>
      </c>
      <c r="AJ920" s="7">
        <f>IF(VLOOKUP(B920,'Set Odds'!A$2:AN$1067,40,0),1,IF(VLOOKUP(B920,'Set Odds'!A$2:AO$1067,41,0),2,0))</f>
        <v>2</v>
      </c>
      <c r="AK920" s="87" t="s">
        <v>4506</v>
      </c>
      <c r="AL920" s="7" t="str">
        <f t="shared" si="1"/>
        <v/>
      </c>
    </row>
    <row r="921" ht="12.75" customHeight="1">
      <c r="A921" s="86">
        <v>920.0</v>
      </c>
      <c r="B921" s="84" t="s">
        <v>4517</v>
      </c>
      <c r="C921" s="7" t="s">
        <v>3610</v>
      </c>
      <c r="D921" s="7" t="s">
        <v>2571</v>
      </c>
      <c r="E921" s="7" t="s">
        <v>2623</v>
      </c>
      <c r="F921" s="84" t="s">
        <v>3454</v>
      </c>
      <c r="G921" s="84" t="s">
        <v>2869</v>
      </c>
      <c r="H921" s="84" t="s">
        <v>2751</v>
      </c>
      <c r="I921" s="84" t="s">
        <v>2874</v>
      </c>
      <c r="J921" s="7" t="s">
        <v>2590</v>
      </c>
      <c r="K921" s="7">
        <v>31.0</v>
      </c>
      <c r="L921" s="7">
        <v>31.0</v>
      </c>
      <c r="M921" s="7">
        <v>31.0</v>
      </c>
      <c r="N921" s="7">
        <v>0.0</v>
      </c>
      <c r="O921" s="7">
        <v>31.0</v>
      </c>
      <c r="P921" s="7">
        <v>31.0</v>
      </c>
      <c r="Q921" s="7">
        <v>252.0</v>
      </c>
      <c r="R921" s="7">
        <v>252.0</v>
      </c>
      <c r="S921" s="7">
        <v>4.0</v>
      </c>
      <c r="T921" s="7">
        <v>0.0</v>
      </c>
      <c r="U921" s="7">
        <v>0.0</v>
      </c>
      <c r="V921" s="7">
        <v>0.0</v>
      </c>
      <c r="W921" s="7">
        <f>VLOOKUP($D921,NatureChart,2,0)</f>
        <v>1.1</v>
      </c>
      <c r="X921" s="7">
        <f>VLOOKUP($D921,NatureChart,3,0)</f>
        <v>1</v>
      </c>
      <c r="Y921" s="7">
        <f>VLOOKUP($D921,NatureChart,4,0)</f>
        <v>0.9</v>
      </c>
      <c r="Z921" s="7">
        <f>VLOOKUP($D921,NatureChart,5,0)</f>
        <v>1</v>
      </c>
      <c r="AA921" s="84">
        <f>VLOOKUP($D921,NatureChart,6,0)</f>
        <v>1</v>
      </c>
      <c r="AB921" s="84">
        <f>IF($C921="Shedinja",1,(INT((2*VLOOKUP($C921,DexData,5,0)+INT(Q921/4)+K921)/2)+60))</f>
        <v>207</v>
      </c>
      <c r="AC921" s="84">
        <f>INT(INT((INT((2*VLOOKUP($C921,DexData,6,0)+INT(R921/4)+L921)/2)+5)*W921)*IF($E921="Choice Band",1.5,IF(OR($E921="Mawilite",$E921="Medichamite",$E921="Thick Club"),2,1)))</f>
        <v>178</v>
      </c>
      <c r="AD921" s="84">
        <f>INT(INT((INT((2*VLOOKUP($C921,DexData,7,0)+INT(S921/4)+M921)/2)+5)*X921)*IF($E921="Eviolite",1.5,1))</f>
        <v>111</v>
      </c>
      <c r="AE921" s="84">
        <f>INT(INT((INT((2*VLOOKUP($C921,DexData,9,0)+INT(T921/4)+N921)/2)+5)*Y921)*IF($E921="Choice Specs",1.5,1))</f>
        <v>81</v>
      </c>
      <c r="AF921" s="84">
        <f>INT(INT((INT((2*VLOOKUP($C921,DexData,10,0)+INT(U921/4)+O921)/2)+5)*Z921)*IF(OR($E921="Eviolite",$E921="Assault Vest"),1.5,1))</f>
        <v>110</v>
      </c>
      <c r="AG921" s="84">
        <f>INT(INT((INT((2*VLOOKUP($C921,DexData,11,0)+INT(V921/4)+P921)/2)+5)*AA921)*IF($E921="Choice Scarf",1.5,IF($E921="Iron Ball",0.5,1)))</f>
        <v>80</v>
      </c>
      <c r="AH921" s="84" t="str">
        <f>VLOOKUP(VLOOKUP($C921,DexData,3,0),Aliases!D$2:E$19,2,0)&amp;IFERROR("/"&amp;VLOOKUP(VLOOKUP($C921,DexData,4,0),Aliases!D$2:E$19,2,0),"")</f>
        <v>WTR/GRD</v>
      </c>
      <c r="AI921" s="7">
        <v>0.0</v>
      </c>
      <c r="AJ921" s="7">
        <f>IF(VLOOKUP(B921,'Set Odds'!A$2:AN$1067,40,0),1,IF(VLOOKUP(B921,'Set Odds'!A$2:AO$1067,41,0),2,0))</f>
        <v>2</v>
      </c>
      <c r="AK921" s="87" t="s">
        <v>4518</v>
      </c>
      <c r="AL921" s="7" t="str">
        <f t="shared" si="1"/>
        <v/>
      </c>
    </row>
    <row r="922" ht="12.75" customHeight="1">
      <c r="A922" s="86">
        <v>921.0</v>
      </c>
      <c r="B922" s="84" t="s">
        <v>4519</v>
      </c>
      <c r="C922" s="7" t="s">
        <v>4222</v>
      </c>
      <c r="D922" s="7" t="s">
        <v>2862</v>
      </c>
      <c r="E922" s="7" t="s">
        <v>3003</v>
      </c>
      <c r="F922" s="84" t="s">
        <v>2880</v>
      </c>
      <c r="G922" s="84" t="s">
        <v>2823</v>
      </c>
      <c r="H922" s="84" t="s">
        <v>3718</v>
      </c>
      <c r="I922" s="84" t="s">
        <v>2841</v>
      </c>
      <c r="J922" s="7" t="s">
        <v>3499</v>
      </c>
      <c r="K922" s="7">
        <v>31.0</v>
      </c>
      <c r="L922" s="7">
        <v>0.0</v>
      </c>
      <c r="M922" s="7">
        <v>31.0</v>
      </c>
      <c r="N922" s="7">
        <v>31.0</v>
      </c>
      <c r="O922" s="7">
        <v>31.0</v>
      </c>
      <c r="P922" s="7">
        <v>31.0</v>
      </c>
      <c r="Q922" s="7">
        <v>252.0</v>
      </c>
      <c r="R922" s="7">
        <v>0.0</v>
      </c>
      <c r="S922" s="7">
        <v>252.0</v>
      </c>
      <c r="T922" s="7">
        <v>0.0</v>
      </c>
      <c r="U922" s="7">
        <v>4.0</v>
      </c>
      <c r="V922" s="7">
        <v>0.0</v>
      </c>
      <c r="W922" s="7">
        <f>VLOOKUP($D922,NatureChart,2,0)</f>
        <v>0.9</v>
      </c>
      <c r="X922" s="7">
        <f>VLOOKUP($D922,NatureChart,3,0)</f>
        <v>1.1</v>
      </c>
      <c r="Y922" s="7">
        <f>VLOOKUP($D922,NatureChart,4,0)</f>
        <v>1</v>
      </c>
      <c r="Z922" s="7">
        <f>VLOOKUP($D922,NatureChart,5,0)</f>
        <v>1</v>
      </c>
      <c r="AA922" s="84">
        <f>VLOOKUP($D922,NatureChart,6,0)</f>
        <v>1</v>
      </c>
      <c r="AB922" s="84">
        <f>IF($C922="Shedinja",1,(INT((2*VLOOKUP($C922,DexData,5,0)+INT(Q922/4)+K922)/2)+60))</f>
        <v>207</v>
      </c>
      <c r="AC922" s="84">
        <f>INT(INT((INT((2*VLOOKUP($C922,DexData,6,0)+INT(R922/4)+L922)/2)+5)*W922)*IF($E922="Choice Band",1.5,IF(OR($E922="Mawilite",$E922="Medichamite",$E922="Thick Club"),2,1)))</f>
        <v>72</v>
      </c>
      <c r="AD922" s="84">
        <f>INT(INT((INT((2*VLOOKUP($C922,DexData,7,0)+INT(S922/4)+M922)/2)+5)*X922)*IF($E922="Eviolite",1.5,1))</f>
        <v>183</v>
      </c>
      <c r="AE922" s="84">
        <f>INT(INT((INT((2*VLOOKUP($C922,DexData,9,0)+INT(T922/4)+N922)/2)+5)*Y922)*IF($E922="Choice Specs",1.5,1))</f>
        <v>110</v>
      </c>
      <c r="AF922" s="84">
        <f>INT(INT((INT((2*VLOOKUP($C922,DexData,10,0)+INT(U922/4)+O922)/2)+5)*Z922)*IF(OR($E922="Eviolite",$E922="Assault Vest"),1.5,1))</f>
        <v>136</v>
      </c>
      <c r="AG922" s="84">
        <f>INT(INT((INT((2*VLOOKUP($C922,DexData,11,0)+INT(V922/4)+P922)/2)+5)*AA922)*IF($E922="Choice Scarf",1.5,IF($E922="Iron Ball",0.5,1)))</f>
        <v>105</v>
      </c>
      <c r="AH922" s="84" t="str">
        <f>VLOOKUP(VLOOKUP($C922,DexData,3,0),Aliases!D$2:E$19,2,0)&amp;IFERROR("/"&amp;VLOOKUP(VLOOKUP($C922,DexData,4,0),Aliases!D$2:E$19,2,0),"")</f>
        <v>WTR</v>
      </c>
      <c r="AI922" s="7">
        <v>3.0</v>
      </c>
      <c r="AJ922" s="7">
        <f>IF(VLOOKUP(B922,'Set Odds'!A$2:AN$1067,40,0),1,IF(VLOOKUP(B922,'Set Odds'!A$2:AO$1067,41,0),2,0))</f>
        <v>2</v>
      </c>
      <c r="AK922" s="87" t="s">
        <v>4518</v>
      </c>
      <c r="AL922" s="7" t="str">
        <f t="shared" si="1"/>
        <v/>
      </c>
    </row>
    <row r="923" ht="12.75" customHeight="1">
      <c r="A923" s="86">
        <v>922.0</v>
      </c>
      <c r="B923" s="84" t="s">
        <v>4520</v>
      </c>
      <c r="C923" s="7" t="s">
        <v>3756</v>
      </c>
      <c r="D923" s="7" t="s">
        <v>3134</v>
      </c>
      <c r="E923" s="7" t="s">
        <v>2519</v>
      </c>
      <c r="F923" s="84" t="s">
        <v>3031</v>
      </c>
      <c r="G923" s="84" t="s">
        <v>2869</v>
      </c>
      <c r="H923" s="84" t="s">
        <v>2823</v>
      </c>
      <c r="I923" s="84" t="s">
        <v>3590</v>
      </c>
      <c r="J923" s="7" t="s">
        <v>4521</v>
      </c>
      <c r="K923" s="7">
        <v>31.0</v>
      </c>
      <c r="L923" s="7">
        <v>31.0</v>
      </c>
      <c r="M923" s="7">
        <v>31.0</v>
      </c>
      <c r="N923" s="7">
        <v>31.0</v>
      </c>
      <c r="O923" s="7">
        <v>31.0</v>
      </c>
      <c r="P923" s="7">
        <v>31.0</v>
      </c>
      <c r="Q923" s="7">
        <v>0.0</v>
      </c>
      <c r="R923" s="7">
        <v>4.0</v>
      </c>
      <c r="S923" s="7">
        <v>0.0</v>
      </c>
      <c r="T923" s="7">
        <v>252.0</v>
      </c>
      <c r="U923" s="7">
        <v>0.0</v>
      </c>
      <c r="V923" s="7">
        <v>252.0</v>
      </c>
      <c r="W923" s="7">
        <f>VLOOKUP($D923,NatureChart,2,0)</f>
        <v>1</v>
      </c>
      <c r="X923" s="7">
        <f>VLOOKUP($D923,NatureChart,3,0)</f>
        <v>1</v>
      </c>
      <c r="Y923" s="7">
        <f>VLOOKUP($D923,NatureChart,4,0)</f>
        <v>1</v>
      </c>
      <c r="Z923" s="7">
        <f>VLOOKUP($D923,NatureChart,5,0)</f>
        <v>0.9</v>
      </c>
      <c r="AA923" s="84">
        <f>VLOOKUP($D923,NatureChart,6,0)</f>
        <v>1.1</v>
      </c>
      <c r="AB923" s="84">
        <f>IF($C923="Shedinja",1,(INT((2*VLOOKUP($C923,DexData,5,0)+INT(Q923/4)+K923)/2)+60))</f>
        <v>160</v>
      </c>
      <c r="AC923" s="84">
        <f>INT(INT((INT((2*VLOOKUP($C923,DexData,6,0)+INT(R923/4)+L923)/2)+5)*W923)*IF($E923="Choice Band",1.5,IF(OR($E923="Mawilite",$E923="Medichamite",$E923="Thick Club"),2,1)))</f>
        <v>126</v>
      </c>
      <c r="AD923" s="84">
        <f>INT(INT((INT((2*VLOOKUP($C923,DexData,7,0)+INT(S923/4)+M923)/2)+5)*X923)*IF($E923="Eviolite",1.5,1))</f>
        <v>75</v>
      </c>
      <c r="AE923" s="84">
        <f>INT(INT((INT((2*VLOOKUP($C923,DexData,9,0)+INT(T923/4)+N923)/2)+5)*Y923)*IF($E923="Choice Specs",1.5,1))</f>
        <v>137</v>
      </c>
      <c r="AF923" s="84">
        <f>INT(INT((INT((2*VLOOKUP($C923,DexData,10,0)+INT(U923/4)+O923)/2)+5)*Z923)*IF(OR($E923="Eviolite",$E923="Assault Vest"),1.5,1))</f>
        <v>63</v>
      </c>
      <c r="AG923" s="84">
        <f>INT(INT((INT((2*VLOOKUP($C923,DexData,11,0)+INT(V923/4)+P923)/2)+5)*AA923)*IF($E923="Choice Scarf",1.5,IF($E923="Iron Ball",0.5,1)))</f>
        <v>183</v>
      </c>
      <c r="AH923" s="84" t="str">
        <f>VLOOKUP(VLOOKUP($C923,DexData,3,0),Aliases!D$2:E$19,2,0)&amp;IFERROR("/"&amp;VLOOKUP(VLOOKUP($C923,DexData,4,0),Aliases!D$2:E$19,2,0),"")</f>
        <v>WTR</v>
      </c>
      <c r="AI923" s="7">
        <v>0.0</v>
      </c>
      <c r="AJ923" s="7">
        <f>IF(VLOOKUP(B923,'Set Odds'!A$2:AN$1067,40,0),1,IF(VLOOKUP(B923,'Set Odds'!A$2:AO$1067,41,0),2,0))</f>
        <v>2</v>
      </c>
      <c r="AK923" s="87" t="s">
        <v>4518</v>
      </c>
      <c r="AL923" s="7" t="str">
        <f t="shared" si="1"/>
        <v/>
      </c>
    </row>
    <row r="924" ht="12.75" customHeight="1">
      <c r="A924" s="86">
        <v>923.0</v>
      </c>
      <c r="B924" s="84" t="s">
        <v>4522</v>
      </c>
      <c r="C924" s="7" t="s">
        <v>3779</v>
      </c>
      <c r="D924" s="7" t="s">
        <v>3597</v>
      </c>
      <c r="E924" s="7" t="s">
        <v>4157</v>
      </c>
      <c r="F924" s="84" t="s">
        <v>2880</v>
      </c>
      <c r="G924" s="84" t="s">
        <v>2823</v>
      </c>
      <c r="H924" s="84" t="s">
        <v>2832</v>
      </c>
      <c r="I924" s="84" t="s">
        <v>3640</v>
      </c>
      <c r="J924" s="7" t="s">
        <v>3399</v>
      </c>
      <c r="K924" s="7">
        <v>31.0</v>
      </c>
      <c r="L924" s="7">
        <v>0.0</v>
      </c>
      <c r="M924" s="7">
        <v>31.0</v>
      </c>
      <c r="N924" s="7">
        <v>31.0</v>
      </c>
      <c r="O924" s="7">
        <v>31.0</v>
      </c>
      <c r="P924" s="7">
        <v>31.0</v>
      </c>
      <c r="Q924" s="7">
        <v>252.0</v>
      </c>
      <c r="R924" s="7">
        <v>0.0</v>
      </c>
      <c r="S924" s="7">
        <v>4.0</v>
      </c>
      <c r="T924" s="7">
        <v>0.0</v>
      </c>
      <c r="U924" s="7">
        <v>252.0</v>
      </c>
      <c r="V924" s="7">
        <v>0.0</v>
      </c>
      <c r="W924" s="7">
        <f>VLOOKUP($D924,NatureChart,2,0)</f>
        <v>0.9</v>
      </c>
      <c r="X924" s="7">
        <f>VLOOKUP($D924,NatureChart,3,0)</f>
        <v>1</v>
      </c>
      <c r="Y924" s="7">
        <f>VLOOKUP($D924,NatureChart,4,0)</f>
        <v>1</v>
      </c>
      <c r="Z924" s="7">
        <f>VLOOKUP($D924,NatureChart,5,0)</f>
        <v>1.1</v>
      </c>
      <c r="AA924" s="84">
        <f>VLOOKUP($D924,NatureChart,6,0)</f>
        <v>1</v>
      </c>
      <c r="AB924" s="84">
        <f>IF($C924="Shedinja",1,(INT((2*VLOOKUP($C924,DexData,5,0)+INT(Q924/4)+K924)/2)+60))</f>
        <v>197</v>
      </c>
      <c r="AC924" s="84">
        <f>INT(INT((INT((2*VLOOKUP($C924,DexData,6,0)+INT(R924/4)+L924)/2)+5)*W924)*IF($E924="Choice Band",1.5,IF(OR($E924="Mawilite",$E924="Medichamite",$E924="Thick Club"),2,1)))</f>
        <v>72</v>
      </c>
      <c r="AD924" s="84">
        <f>INT(INT((INT((2*VLOOKUP($C924,DexData,7,0)+INT(S924/4)+M924)/2)+5)*X924)*IF($E924="Eviolite",1.5,1))</f>
        <v>96</v>
      </c>
      <c r="AE924" s="84">
        <f>INT(INT((INT((2*VLOOKUP($C924,DexData,9,0)+INT(T924/4)+N924)/2)+5)*Y924)*IF($E924="Choice Specs",1.5,1))</f>
        <v>110</v>
      </c>
      <c r="AF924" s="84">
        <f>INT(INT((INT((2*VLOOKUP($C924,DexData,10,0)+INT(U924/4)+O924)/2)+5)*Z924)*IF(OR($E924="Eviolite",$E924="Assault Vest"),1.5,1))</f>
        <v>167</v>
      </c>
      <c r="AG924" s="84">
        <f>INT(INT((INT((2*VLOOKUP($C924,DexData,11,0)+INT(V924/4)+P924)/2)+5)*AA924)*IF($E924="Choice Scarf",1.5,IF($E924="Iron Ball",0.5,1)))</f>
        <v>90</v>
      </c>
      <c r="AH924" s="84" t="str">
        <f>VLOOKUP(VLOOKUP($C924,DexData,3,0),Aliases!D$2:E$19,2,0)&amp;IFERROR("/"&amp;VLOOKUP(VLOOKUP($C924,DexData,4,0),Aliases!D$2:E$19,2,0),"")</f>
        <v>WTR</v>
      </c>
      <c r="AI924" s="7">
        <v>0.0</v>
      </c>
      <c r="AJ924" s="7">
        <f>IF(VLOOKUP(B924,'Set Odds'!A$2:AN$1067,40,0),1,IF(VLOOKUP(B924,'Set Odds'!A$2:AO$1067,41,0),2,0))</f>
        <v>2</v>
      </c>
      <c r="AK924" s="87" t="s">
        <v>4518</v>
      </c>
      <c r="AL924" s="7" t="str">
        <f t="shared" si="1"/>
        <v/>
      </c>
    </row>
    <row r="925" ht="12.75" customHeight="1">
      <c r="A925" s="86">
        <v>924.0</v>
      </c>
      <c r="B925" s="84" t="s">
        <v>4523</v>
      </c>
      <c r="C925" s="7" t="s">
        <v>3751</v>
      </c>
      <c r="D925" s="7" t="s">
        <v>2692</v>
      </c>
      <c r="E925" s="7" t="s">
        <v>2515</v>
      </c>
      <c r="F925" s="84" t="s">
        <v>2671</v>
      </c>
      <c r="G925" s="84" t="s">
        <v>3441</v>
      </c>
      <c r="H925" s="84" t="s">
        <v>3454</v>
      </c>
      <c r="I925" s="84" t="s">
        <v>2734</v>
      </c>
      <c r="J925" s="7" t="s">
        <v>3028</v>
      </c>
      <c r="K925" s="7">
        <v>31.0</v>
      </c>
      <c r="L925" s="7">
        <v>31.0</v>
      </c>
      <c r="M925" s="7">
        <v>31.0</v>
      </c>
      <c r="N925" s="7">
        <v>0.0</v>
      </c>
      <c r="O925" s="7">
        <v>31.0</v>
      </c>
      <c r="P925" s="7">
        <v>31.0</v>
      </c>
      <c r="Q925" s="7">
        <v>4.0</v>
      </c>
      <c r="R925" s="7">
        <v>252.0</v>
      </c>
      <c r="S925" s="7">
        <v>0.0</v>
      </c>
      <c r="T925" s="7">
        <v>0.0</v>
      </c>
      <c r="U925" s="7">
        <v>0.0</v>
      </c>
      <c r="V925" s="7">
        <v>252.0</v>
      </c>
      <c r="W925" s="7">
        <f>VLOOKUP($D925,NatureChart,2,0)</f>
        <v>1</v>
      </c>
      <c r="X925" s="7">
        <f>VLOOKUP($D925,NatureChart,3,0)</f>
        <v>1</v>
      </c>
      <c r="Y925" s="7">
        <f>VLOOKUP($D925,NatureChart,4,0)</f>
        <v>0.9</v>
      </c>
      <c r="Z925" s="7">
        <f>VLOOKUP($D925,NatureChart,5,0)</f>
        <v>1</v>
      </c>
      <c r="AA925" s="84">
        <f>VLOOKUP($D925,NatureChart,6,0)</f>
        <v>1.1</v>
      </c>
      <c r="AB925" s="84">
        <f>IF($C925="Shedinja",1,(INT((2*VLOOKUP($C925,DexData,5,0)+INT(Q925/4)+K925)/2)+60))</f>
        <v>151</v>
      </c>
      <c r="AC925" s="84">
        <f>INT(INT((INT((2*VLOOKUP($C925,DexData,6,0)+INT(R925/4)+L925)/2)+5)*W925)*IF($E925="Choice Band",1.5,IF(OR($E925="Mawilite",$E925="Medichamite",$E925="Thick Club"),2,1)))</f>
        <v>177</v>
      </c>
      <c r="AD925" s="84">
        <f>INT(INT((INT((2*VLOOKUP($C925,DexData,7,0)+INT(S925/4)+M925)/2)+5)*X925)*IF($E925="Eviolite",1.5,1))</f>
        <v>120</v>
      </c>
      <c r="AE925" s="84">
        <f>INT(INT((INT((2*VLOOKUP($C925,DexData,9,0)+INT(T925/4)+N925)/2)+5)*Y925)*IF($E925="Choice Specs",1.5,1))</f>
        <v>67</v>
      </c>
      <c r="AF925" s="84">
        <f>INT(INT((INT((2*VLOOKUP($C925,DexData,10,0)+INT(U925/4)+O925)/2)+5)*Z925)*IF(OR($E925="Eviolite",$E925="Assault Vest"),1.5,1))</f>
        <v>100</v>
      </c>
      <c r="AG925" s="84">
        <f>INT(INT((INT((2*VLOOKUP($C925,DexData,11,0)+INT(V925/4)+P925)/2)+5)*AA925)*IF($E925="Choice Scarf",1.5,IF($E925="Iron Ball",0.5,1)))</f>
        <v>106</v>
      </c>
      <c r="AH925" s="84" t="str">
        <f>VLOOKUP(VLOOKUP($C925,DexData,3,0),Aliases!D$2:E$19,2,0)&amp;IFERROR("/"&amp;VLOOKUP(VLOOKUP($C925,DexData,4,0),Aliases!D$2:E$19,2,0),"")</f>
        <v>RCK/BUG</v>
      </c>
      <c r="AI925" s="7">
        <v>0.0</v>
      </c>
      <c r="AJ925" s="7">
        <f>IF(VLOOKUP(B925,'Set Odds'!A$2:AN$1067,40,0),1,IF(VLOOKUP(B925,'Set Odds'!A$2:AO$1067,41,0),2,0))</f>
        <v>2</v>
      </c>
      <c r="AK925" s="87" t="s">
        <v>4518</v>
      </c>
      <c r="AL925" s="7" t="str">
        <f t="shared" si="1"/>
        <v/>
      </c>
    </row>
    <row r="926" ht="12.75" customHeight="1">
      <c r="A926" s="86">
        <v>925.0</v>
      </c>
      <c r="B926" s="84" t="s">
        <v>4524</v>
      </c>
      <c r="C926" s="7" t="s">
        <v>3691</v>
      </c>
      <c r="D926" s="7" t="s">
        <v>2656</v>
      </c>
      <c r="E926" s="7" t="s">
        <v>3548</v>
      </c>
      <c r="F926" s="84" t="s">
        <v>3341</v>
      </c>
      <c r="G926" s="84" t="s">
        <v>3730</v>
      </c>
      <c r="H926" s="84" t="s">
        <v>2823</v>
      </c>
      <c r="I926" s="84" t="s">
        <v>3590</v>
      </c>
      <c r="J926" s="7" t="s">
        <v>3028</v>
      </c>
      <c r="K926" s="7">
        <v>31.0</v>
      </c>
      <c r="L926" s="7">
        <v>0.0</v>
      </c>
      <c r="M926" s="7">
        <v>31.0</v>
      </c>
      <c r="N926" s="7">
        <v>31.0</v>
      </c>
      <c r="O926" s="7">
        <v>31.0</v>
      </c>
      <c r="P926" s="7">
        <v>31.0</v>
      </c>
      <c r="Q926" s="7">
        <v>4.0</v>
      </c>
      <c r="R926" s="7">
        <v>0.0</v>
      </c>
      <c r="S926" s="7">
        <v>0.0</v>
      </c>
      <c r="T926" s="7">
        <v>252.0</v>
      </c>
      <c r="U926" s="7">
        <v>0.0</v>
      </c>
      <c r="V926" s="7">
        <v>252.0</v>
      </c>
      <c r="W926" s="7">
        <f>VLOOKUP($D926,NatureChart,2,0)</f>
        <v>0.9</v>
      </c>
      <c r="X926" s="7">
        <f>VLOOKUP($D926,NatureChart,3,0)</f>
        <v>1</v>
      </c>
      <c r="Y926" s="7">
        <f>VLOOKUP($D926,NatureChart,4,0)</f>
        <v>1.1</v>
      </c>
      <c r="Z926" s="7">
        <f>VLOOKUP($D926,NatureChart,5,0)</f>
        <v>1</v>
      </c>
      <c r="AA926" s="84">
        <f>VLOOKUP($D926,NatureChart,6,0)</f>
        <v>1</v>
      </c>
      <c r="AB926" s="84">
        <f>IF($C926="Shedinja",1,(INT((2*VLOOKUP($C926,DexData,5,0)+INT(Q926/4)+K926)/2)+60))</f>
        <v>156</v>
      </c>
      <c r="AC926" s="84">
        <f>INT(INT((INT((2*VLOOKUP($C926,DexData,6,0)+INT(R926/4)+L926)/2)+5)*W926)*IF($E926="Choice Band",1.5,IF(OR($E926="Mawilite",$E926="Medichamite",$E926="Thick Club"),2,1)))</f>
        <v>67</v>
      </c>
      <c r="AD926" s="84">
        <f>INT(INT((INT((2*VLOOKUP($C926,DexData,7,0)+INT(S926/4)+M926)/2)+5)*X926)*IF($E926="Eviolite",1.5,1))</f>
        <v>90</v>
      </c>
      <c r="AE926" s="84">
        <f>INT(INT((INT((2*VLOOKUP($C926,DexData,9,0)+INT(T926/4)+N926)/2)+5)*Y926)*IF($E926="Choice Specs",1.5,1))</f>
        <v>156</v>
      </c>
      <c r="AF926" s="84">
        <f>INT(INT((INT((2*VLOOKUP($C926,DexData,10,0)+INT(U926/4)+O926)/2)+5)*Z926)*IF(OR($E926="Eviolite",$E926="Assault Vest"),1.5,1))</f>
        <v>120</v>
      </c>
      <c r="AG926" s="84">
        <f>INT(INT((INT((2*VLOOKUP($C926,DexData,11,0)+INT(V926/4)+P926)/2)+5)*AA926)*IF($E926="Choice Scarf",1.5,IF($E926="Iron Ball",0.5,1)))</f>
        <v>122</v>
      </c>
      <c r="AH926" s="84" t="str">
        <f>VLOOKUP(VLOOKUP($C926,DexData,3,0),Aliases!D$2:E$19,2,0)&amp;IFERROR("/"&amp;VLOOKUP(VLOOKUP($C926,DexData,4,0),Aliases!D$2:E$19,2,0),"")</f>
        <v>WTR/GRS</v>
      </c>
      <c r="AI926" s="7">
        <v>0.0</v>
      </c>
      <c r="AJ926" s="7">
        <f>IF(VLOOKUP(B926,'Set Odds'!A$2:AN$1067,40,0),1,IF(VLOOKUP(B926,'Set Odds'!A$2:AO$1067,41,0),2,0))</f>
        <v>2</v>
      </c>
      <c r="AK926" s="87" t="s">
        <v>4518</v>
      </c>
      <c r="AL926" s="7" t="str">
        <f t="shared" si="1"/>
        <v/>
      </c>
    </row>
    <row r="927" ht="12.75" customHeight="1">
      <c r="A927" s="86">
        <v>926.0</v>
      </c>
      <c r="B927" s="84" t="s">
        <v>4525</v>
      </c>
      <c r="C927" s="7" t="s">
        <v>3397</v>
      </c>
      <c r="D927" s="7" t="s">
        <v>2656</v>
      </c>
      <c r="E927" s="7" t="s">
        <v>2665</v>
      </c>
      <c r="F927" s="84" t="s">
        <v>3341</v>
      </c>
      <c r="G927" s="84" t="s">
        <v>4109</v>
      </c>
      <c r="H927" s="84" t="s">
        <v>2823</v>
      </c>
      <c r="I927" s="84" t="s">
        <v>3314</v>
      </c>
      <c r="J927" s="7" t="s">
        <v>3399</v>
      </c>
      <c r="K927" s="7">
        <v>31.0</v>
      </c>
      <c r="L927" s="7">
        <v>0.0</v>
      </c>
      <c r="M927" s="7">
        <v>31.0</v>
      </c>
      <c r="N927" s="7">
        <v>31.0</v>
      </c>
      <c r="O927" s="7">
        <v>31.0</v>
      </c>
      <c r="P927" s="7">
        <v>31.0</v>
      </c>
      <c r="Q927" s="7">
        <v>4.0</v>
      </c>
      <c r="R927" s="7">
        <v>0.0</v>
      </c>
      <c r="S927" s="7">
        <v>0.0</v>
      </c>
      <c r="T927" s="7">
        <v>252.0</v>
      </c>
      <c r="U927" s="7">
        <v>0.0</v>
      </c>
      <c r="V927" s="7">
        <v>252.0</v>
      </c>
      <c r="W927" s="7">
        <f>VLOOKUP($D927,NatureChart,2,0)</f>
        <v>0.9</v>
      </c>
      <c r="X927" s="7">
        <f>VLOOKUP($D927,NatureChart,3,0)</f>
        <v>1</v>
      </c>
      <c r="Y927" s="7">
        <f>VLOOKUP($D927,NatureChart,4,0)</f>
        <v>1.1</v>
      </c>
      <c r="Z927" s="7">
        <f>VLOOKUP($D927,NatureChart,5,0)</f>
        <v>1</v>
      </c>
      <c r="AA927" s="84">
        <f>VLOOKUP($D927,NatureChart,6,0)</f>
        <v>1</v>
      </c>
      <c r="AB927" s="84">
        <f>IF($C927="Shedinja",1,(INT((2*VLOOKUP($C927,DexData,5,0)+INT(Q927/4)+K927)/2)+60))</f>
        <v>136</v>
      </c>
      <c r="AC927" s="84">
        <f>INT(INT((INT((2*VLOOKUP($C927,DexData,6,0)+INT(R927/4)+L927)/2)+5)*W927)*IF($E927="Choice Band",1.5,IF(OR($E927="Mawilite",$E927="Medichamite",$E927="Thick Club"),2,1)))</f>
        <v>49</v>
      </c>
      <c r="AD927" s="84">
        <f>INT(INT((INT((2*VLOOKUP($C927,DexData,7,0)+INT(S927/4)+M927)/2)+5)*X927)*IF($E927="Eviolite",1.5,1))</f>
        <v>120</v>
      </c>
      <c r="AE927" s="84">
        <f>INT(INT((INT((2*VLOOKUP($C927,DexData,9,0)+INT(T927/4)+N927)/2)+5)*Y927)*IF($E927="Choice Specs",1.5,1))</f>
        <v>161</v>
      </c>
      <c r="AF927" s="84">
        <f>INT(INT((INT((2*VLOOKUP($C927,DexData,10,0)+INT(U927/4)+O927)/2)+5)*Z927)*IF(OR($E927="Eviolite",$E927="Assault Vest"),1.5,1))</f>
        <v>90</v>
      </c>
      <c r="AG927" s="84">
        <f>INT(INT((INT((2*VLOOKUP($C927,DexData,11,0)+INT(V927/4)+P927)/2)+5)*AA927)*IF($E927="Choice Scarf",1.5,IF($E927="Iron Ball",0.5,1)))</f>
        <v>175</v>
      </c>
      <c r="AH927" s="84" t="str">
        <f>VLOOKUP(VLOOKUP($C927,DexData,3,0),Aliases!D$2:E$19,2,0)&amp;IFERROR("/"&amp;VLOOKUP(VLOOKUP($C927,DexData,4,0),Aliases!D$2:E$19,2,0),"")</f>
        <v>WTR/FLY</v>
      </c>
      <c r="AI927" s="7">
        <v>0.0</v>
      </c>
      <c r="AJ927" s="7">
        <f>IF(VLOOKUP(B927,'Set Odds'!A$2:AN$1067,40,0),1,IF(VLOOKUP(B927,'Set Odds'!A$2:AO$1067,41,0),2,0))</f>
        <v>2</v>
      </c>
      <c r="AK927" s="87" t="s">
        <v>4518</v>
      </c>
      <c r="AL927" s="7" t="str">
        <f t="shared" si="1"/>
        <v/>
      </c>
    </row>
    <row r="928" ht="12.75" customHeight="1">
      <c r="A928" s="86">
        <v>927.0</v>
      </c>
      <c r="B928" s="84" t="s">
        <v>4526</v>
      </c>
      <c r="C928" s="7" t="s">
        <v>3783</v>
      </c>
      <c r="D928" s="7" t="s">
        <v>2571</v>
      </c>
      <c r="E928" s="7" t="s">
        <v>2885</v>
      </c>
      <c r="F928" s="84" t="s">
        <v>3784</v>
      </c>
      <c r="G928" s="84" t="s">
        <v>2602</v>
      </c>
      <c r="H928" s="84" t="s">
        <v>3535</v>
      </c>
      <c r="I928" s="84" t="s">
        <v>3314</v>
      </c>
      <c r="J928" s="7" t="s">
        <v>3412</v>
      </c>
      <c r="K928" s="7">
        <v>31.0</v>
      </c>
      <c r="L928" s="7">
        <v>31.0</v>
      </c>
      <c r="M928" s="7">
        <v>31.0</v>
      </c>
      <c r="N928" s="7">
        <v>0.0</v>
      </c>
      <c r="O928" s="7">
        <v>31.0</v>
      </c>
      <c r="P928" s="7">
        <v>31.0</v>
      </c>
      <c r="Q928" s="7">
        <v>236.0</v>
      </c>
      <c r="R928" s="7">
        <v>252.0</v>
      </c>
      <c r="S928" s="7">
        <v>20.0</v>
      </c>
      <c r="T928" s="7">
        <v>0.0</v>
      </c>
      <c r="U928" s="7">
        <v>0.0</v>
      </c>
      <c r="V928" s="7">
        <v>0.0</v>
      </c>
      <c r="W928" s="7">
        <f>VLOOKUP($D928,NatureChart,2,0)</f>
        <v>1.1</v>
      </c>
      <c r="X928" s="7">
        <f>VLOOKUP($D928,NatureChart,3,0)</f>
        <v>1</v>
      </c>
      <c r="Y928" s="7">
        <f>VLOOKUP($D928,NatureChart,4,0)</f>
        <v>0.9</v>
      </c>
      <c r="Z928" s="7">
        <f>VLOOKUP($D928,NatureChart,5,0)</f>
        <v>1</v>
      </c>
      <c r="AA928" s="84">
        <f>VLOOKUP($D928,NatureChart,6,0)</f>
        <v>1</v>
      </c>
      <c r="AB928" s="84">
        <f>IF($C928="Shedinja",1,(INT((2*VLOOKUP($C928,DexData,5,0)+INT(Q928/4)+K928)/2)+60))</f>
        <v>175</v>
      </c>
      <c r="AC928" s="84">
        <f>INT(INT((INT((2*VLOOKUP($C928,DexData,6,0)+INT(R928/4)+L928)/2)+5)*W928)*IF($E928="Choice Band",1.5,IF(OR($E928="Mawilite",$E928="Medichamite",$E928="Thick Club"),2,1)))</f>
        <v>300</v>
      </c>
      <c r="AD928" s="84">
        <f>INT(INT((INT((2*VLOOKUP($C928,DexData,7,0)+INT(S928/4)+M928)/2)+5)*X928)*IF($E928="Eviolite",1.5,1))</f>
        <v>123</v>
      </c>
      <c r="AE928" s="84">
        <f>INT(INT((INT((2*VLOOKUP($C928,DexData,9,0)+INT(T928/4)+N928)/2)+5)*Y928)*IF($E928="Choice Specs",1.5,1))</f>
        <v>54</v>
      </c>
      <c r="AF928" s="84">
        <f>INT(INT((INT((2*VLOOKUP($C928,DexData,10,0)+INT(U928/4)+O928)/2)+5)*Z928)*IF(OR($E928="Eviolite",$E928="Assault Vest"),1.5,1))</f>
        <v>100</v>
      </c>
      <c r="AG928" s="84">
        <f>INT(INT((INT((2*VLOOKUP($C928,DexData,11,0)+INT(V928/4)+P928)/2)+5)*AA928)*IF($E928="Choice Scarf",1.5,IF($E928="Iron Ball",0.5,1)))</f>
        <v>85</v>
      </c>
      <c r="AH928" s="84" t="str">
        <f>VLOOKUP(VLOOKUP($C928,DexData,3,0),Aliases!D$2:E$19,2,0)&amp;IFERROR("/"&amp;VLOOKUP(VLOOKUP($C928,DexData,4,0),Aliases!D$2:E$19,2,0),"")</f>
        <v>BUG/STL</v>
      </c>
      <c r="AI928" s="7">
        <v>0.0</v>
      </c>
      <c r="AJ928" s="7">
        <f>IF(VLOOKUP(B928,'Set Odds'!A$2:AN$1067,40,0),1,IF(VLOOKUP(B928,'Set Odds'!A$2:AO$1067,41,0),2,0))</f>
        <v>2</v>
      </c>
      <c r="AK928" s="87" t="s">
        <v>4518</v>
      </c>
      <c r="AL928" s="7" t="str">
        <f t="shared" si="1"/>
        <v/>
      </c>
    </row>
    <row r="929" ht="12.75" customHeight="1">
      <c r="A929" s="86">
        <v>928.0</v>
      </c>
      <c r="B929" s="84" t="s">
        <v>4527</v>
      </c>
      <c r="C929" s="7" t="s">
        <v>3912</v>
      </c>
      <c r="D929" s="7" t="s">
        <v>2656</v>
      </c>
      <c r="E929" s="7" t="s">
        <v>3548</v>
      </c>
      <c r="F929" s="84" t="s">
        <v>3341</v>
      </c>
      <c r="G929" s="84" t="s">
        <v>3427</v>
      </c>
      <c r="H929" s="84" t="s">
        <v>4109</v>
      </c>
      <c r="I929" s="84" t="s">
        <v>3524</v>
      </c>
      <c r="J929" s="7" t="s">
        <v>3028</v>
      </c>
      <c r="K929" s="7">
        <v>31.0</v>
      </c>
      <c r="L929" s="7">
        <v>0.0</v>
      </c>
      <c r="M929" s="7">
        <v>31.0</v>
      </c>
      <c r="N929" s="7">
        <v>31.0</v>
      </c>
      <c r="O929" s="7">
        <v>31.0</v>
      </c>
      <c r="P929" s="7">
        <v>31.0</v>
      </c>
      <c r="Q929" s="7">
        <v>0.0</v>
      </c>
      <c r="R929" s="7">
        <v>4.0</v>
      </c>
      <c r="S929" s="7">
        <v>0.0</v>
      </c>
      <c r="T929" s="7">
        <v>252.0</v>
      </c>
      <c r="U929" s="7">
        <v>0.0</v>
      </c>
      <c r="V929" s="7">
        <v>252.0</v>
      </c>
      <c r="W929" s="7">
        <f>VLOOKUP($D929,NatureChart,2,0)</f>
        <v>0.9</v>
      </c>
      <c r="X929" s="7">
        <f>VLOOKUP($D929,NatureChart,3,0)</f>
        <v>1</v>
      </c>
      <c r="Y929" s="7">
        <f>VLOOKUP($D929,NatureChart,4,0)</f>
        <v>1.1</v>
      </c>
      <c r="Z929" s="7">
        <f>VLOOKUP($D929,NatureChart,5,0)</f>
        <v>1</v>
      </c>
      <c r="AA929" s="84">
        <f>VLOOKUP($D929,NatureChart,6,0)</f>
        <v>1</v>
      </c>
      <c r="AB929" s="84">
        <f>IF($C929="Shedinja",1,(INT((2*VLOOKUP($C929,DexData,5,0)+INT(Q929/4)+K929)/2)+60))</f>
        <v>150</v>
      </c>
      <c r="AC929" s="84">
        <f>INT(INT((INT((2*VLOOKUP($C929,DexData,6,0)+INT(R929/4)+L929)/2)+5)*W929)*IF($E929="Choice Band",1.5,IF(OR($E929="Mawilite",$E929="Medichamite",$E929="Thick Club"),2,1)))</f>
        <v>90</v>
      </c>
      <c r="AD929" s="84">
        <f>INT(INT((INT((2*VLOOKUP($C929,DexData,7,0)+INT(S929/4)+M929)/2)+5)*X929)*IF($E929="Eviolite",1.5,1))</f>
        <v>115</v>
      </c>
      <c r="AE929" s="84">
        <f>INT(INT((INT((2*VLOOKUP($C929,DexData,9,0)+INT(T929/4)+N929)/2)+5)*Y929)*IF($E929="Choice Specs",1.5,1))</f>
        <v>161</v>
      </c>
      <c r="AF929" s="84">
        <f>INT(INT((INT((2*VLOOKUP($C929,DexData,10,0)+INT(U929/4)+O929)/2)+5)*Z929)*IF(OR($E929="Eviolite",$E929="Assault Vest"),1.5,1))</f>
        <v>115</v>
      </c>
      <c r="AG929" s="84">
        <f>INT(INT((INT((2*VLOOKUP($C929,DexData,11,0)+INT(V929/4)+P929)/2)+5)*AA929)*IF($E929="Choice Scarf",1.5,IF($E929="Iron Ball",0.5,1)))</f>
        <v>137</v>
      </c>
      <c r="AH929" s="84" t="str">
        <f>VLOOKUP(VLOOKUP($C929,DexData,3,0),Aliases!D$2:E$19,2,0)&amp;IFERROR("/"&amp;VLOOKUP(VLOOKUP($C929,DexData,4,0),Aliases!D$2:E$19,2,0),"")</f>
        <v>WTR/DRG</v>
      </c>
      <c r="AI929" s="7">
        <v>0.0</v>
      </c>
      <c r="AJ929" s="7">
        <f>IF(VLOOKUP(B929,'Set Odds'!A$2:AN$1067,40,0),1,IF(VLOOKUP(B929,'Set Odds'!A$2:AO$1067,41,0),2,0))</f>
        <v>2</v>
      </c>
      <c r="AK929" s="87" t="s">
        <v>4518</v>
      </c>
      <c r="AL929" s="7" t="str">
        <f t="shared" si="1"/>
        <v/>
      </c>
    </row>
    <row r="930" ht="12.75" customHeight="1">
      <c r="A930" s="86">
        <v>929.0</v>
      </c>
      <c r="B930" s="84" t="s">
        <v>4528</v>
      </c>
      <c r="C930" s="7" t="s">
        <v>3747</v>
      </c>
      <c r="D930" s="7" t="s">
        <v>2656</v>
      </c>
      <c r="E930" s="7" t="s">
        <v>3548</v>
      </c>
      <c r="F930" s="84" t="s">
        <v>3052</v>
      </c>
      <c r="G930" s="84" t="s">
        <v>2832</v>
      </c>
      <c r="H930" s="84" t="s">
        <v>3047</v>
      </c>
      <c r="I930" s="84" t="s">
        <v>3435</v>
      </c>
      <c r="J930" s="7" t="s">
        <v>3745</v>
      </c>
      <c r="K930" s="7">
        <v>31.0</v>
      </c>
      <c r="L930" s="7">
        <v>0.0</v>
      </c>
      <c r="M930" s="7">
        <v>31.0</v>
      </c>
      <c r="N930" s="7">
        <v>31.0</v>
      </c>
      <c r="O930" s="7">
        <v>31.0</v>
      </c>
      <c r="P930" s="7">
        <v>31.0</v>
      </c>
      <c r="Q930" s="7">
        <v>4.0</v>
      </c>
      <c r="R930" s="7">
        <v>0.0</v>
      </c>
      <c r="S930" s="7">
        <v>0.0</v>
      </c>
      <c r="T930" s="7">
        <v>252.0</v>
      </c>
      <c r="U930" s="7">
        <v>0.0</v>
      </c>
      <c r="V930" s="7">
        <v>252.0</v>
      </c>
      <c r="W930" s="7">
        <f>VLOOKUP($D930,NatureChart,2,0)</f>
        <v>0.9</v>
      </c>
      <c r="X930" s="7">
        <f>VLOOKUP($D930,NatureChart,3,0)</f>
        <v>1</v>
      </c>
      <c r="Y930" s="7">
        <f>VLOOKUP($D930,NatureChart,4,0)</f>
        <v>1.1</v>
      </c>
      <c r="Z930" s="7">
        <f>VLOOKUP($D930,NatureChart,5,0)</f>
        <v>1</v>
      </c>
      <c r="AA930" s="84">
        <f>VLOOKUP($D930,NatureChart,6,0)</f>
        <v>1</v>
      </c>
      <c r="AB930" s="84">
        <f>IF($C930="Shedinja",1,(INT((2*VLOOKUP($C930,DexData,5,0)+INT(Q930/4)+K930)/2)+60))</f>
        <v>157</v>
      </c>
      <c r="AC930" s="84">
        <f>INT(INT((INT((2*VLOOKUP($C930,DexData,6,0)+INT(R930/4)+L930)/2)+5)*W930)*IF($E930="Choice Band",1.5,IF(OR($E930="Mawilite",$E930="Medichamite",$E930="Thick Club"),2,1)))</f>
        <v>96</v>
      </c>
      <c r="AD930" s="84">
        <f>INT(INT((INT((2*VLOOKUP($C930,DexData,7,0)+INT(S930/4)+M930)/2)+5)*X930)*IF($E930="Eviolite",1.5,1))</f>
        <v>97</v>
      </c>
      <c r="AE930" s="84">
        <f>INT(INT((INT((2*VLOOKUP($C930,DexData,9,0)+INT(T930/4)+N930)/2)+5)*Y930)*IF($E930="Choice Specs",1.5,1))</f>
        <v>150</v>
      </c>
      <c r="AF930" s="84">
        <f>INT(INT((INT((2*VLOOKUP($C930,DexData,10,0)+INT(U930/4)+O930)/2)+5)*Z930)*IF(OR($E930="Eviolite",$E930="Assault Vest"),1.5,1))</f>
        <v>95</v>
      </c>
      <c r="AG930" s="84">
        <f>INT(INT((INT((2*VLOOKUP($C930,DexData,11,0)+INT(V930/4)+P930)/2)+5)*AA930)*IF($E930="Choice Scarf",1.5,IF($E930="Iron Ball",0.5,1)))</f>
        <v>137</v>
      </c>
      <c r="AH930" s="84" t="str">
        <f>VLOOKUP(VLOOKUP($C930,DexData,3,0),Aliases!D$2:E$19,2,0)&amp;IFERROR("/"&amp;VLOOKUP(VLOOKUP($C930,DexData,4,0),Aliases!D$2:E$19,2,0),"")</f>
        <v>PSN/GRD</v>
      </c>
      <c r="AI930" s="7">
        <v>3.0</v>
      </c>
      <c r="AJ930" s="7">
        <f>IF(VLOOKUP(B930,'Set Odds'!A$2:AN$1067,40,0),1,IF(VLOOKUP(B930,'Set Odds'!A$2:AO$1067,41,0),2,0))</f>
        <v>2</v>
      </c>
      <c r="AK930" s="87" t="s">
        <v>4529</v>
      </c>
      <c r="AL930" s="7" t="str">
        <f t="shared" si="1"/>
        <v/>
      </c>
    </row>
    <row r="931" ht="12.75" customHeight="1">
      <c r="A931" s="86">
        <v>930.0</v>
      </c>
      <c r="B931" s="84" t="s">
        <v>4530</v>
      </c>
      <c r="C931" s="7" t="s">
        <v>3659</v>
      </c>
      <c r="D931" s="7" t="s">
        <v>2571</v>
      </c>
      <c r="E931" s="7" t="s">
        <v>2579</v>
      </c>
      <c r="F931" s="84" t="s">
        <v>3554</v>
      </c>
      <c r="G931" s="84" t="s">
        <v>3578</v>
      </c>
      <c r="H931" s="84" t="s">
        <v>3852</v>
      </c>
      <c r="I931" s="84" t="s">
        <v>3285</v>
      </c>
      <c r="J931" s="7" t="s">
        <v>3826</v>
      </c>
      <c r="K931" s="7">
        <v>31.0</v>
      </c>
      <c r="L931" s="7">
        <v>31.0</v>
      </c>
      <c r="M931" s="7">
        <v>31.0</v>
      </c>
      <c r="N931" s="7">
        <v>0.0</v>
      </c>
      <c r="O931" s="7">
        <v>31.0</v>
      </c>
      <c r="P931" s="7">
        <v>31.0</v>
      </c>
      <c r="Q931" s="7">
        <v>4.0</v>
      </c>
      <c r="R931" s="7">
        <v>252.0</v>
      </c>
      <c r="S931" s="7">
        <v>0.0</v>
      </c>
      <c r="T931" s="7">
        <v>0.0</v>
      </c>
      <c r="U931" s="7">
        <v>0.0</v>
      </c>
      <c r="V931" s="7">
        <v>252.0</v>
      </c>
      <c r="W931" s="7">
        <f>VLOOKUP($D931,NatureChart,2,0)</f>
        <v>1.1</v>
      </c>
      <c r="X931" s="7">
        <f>VLOOKUP($D931,NatureChart,3,0)</f>
        <v>1</v>
      </c>
      <c r="Y931" s="7">
        <f>VLOOKUP($D931,NatureChart,4,0)</f>
        <v>0.9</v>
      </c>
      <c r="Z931" s="7">
        <f>VLOOKUP($D931,NatureChart,5,0)</f>
        <v>1</v>
      </c>
      <c r="AA931" s="84">
        <f>VLOOKUP($D931,NatureChart,6,0)</f>
        <v>1</v>
      </c>
      <c r="AB931" s="84">
        <f>IF($C931="Shedinja",1,(INT((2*VLOOKUP($C931,DexData,5,0)+INT(Q931/4)+K931)/2)+60))</f>
        <v>141</v>
      </c>
      <c r="AC931" s="84">
        <f>INT(INT((INT((2*VLOOKUP($C931,DexData,6,0)+INT(R931/4)+L931)/2)+5)*W931)*IF($E931="Choice Band",1.5,IF(OR($E931="Mawilite",$E931="Medichamite",$E931="Thick Club"),2,1)))</f>
        <v>200</v>
      </c>
      <c r="AD931" s="84">
        <f>INT(INT((INT((2*VLOOKUP($C931,DexData,7,0)+INT(S931/4)+M931)/2)+5)*X931)*IF($E931="Eviolite",1.5,1))</f>
        <v>80</v>
      </c>
      <c r="AE931" s="84">
        <f>INT(INT((INT((2*VLOOKUP($C931,DexData,9,0)+INT(T931/4)+N931)/2)+5)*Y931)*IF($E931="Choice Specs",1.5,1))</f>
        <v>72</v>
      </c>
      <c r="AF931" s="84">
        <f>INT(INT((INT((2*VLOOKUP($C931,DexData,10,0)+INT(U931/4)+O931)/2)+5)*Z931)*IF(OR($E931="Eviolite",$E931="Assault Vest"),1.5,1))</f>
        <v>80</v>
      </c>
      <c r="AG931" s="84">
        <f>INT(INT((INT((2*VLOOKUP($C931,DexData,11,0)+INT(V931/4)+P931)/2)+5)*AA931)*IF($E931="Choice Scarf",1.5,IF($E931="Iron Ball",0.5,1)))</f>
        <v>127</v>
      </c>
      <c r="AH931" s="84" t="str">
        <f>VLOOKUP(VLOOKUP($C931,DexData,3,0),Aliases!D$2:E$19,2,0)&amp;IFERROR("/"&amp;VLOOKUP(VLOOKUP($C931,DexData,4,0),Aliases!D$2:E$19,2,0),"")</f>
        <v>DRK</v>
      </c>
      <c r="AI931" s="7">
        <v>1.0</v>
      </c>
      <c r="AJ931" s="7">
        <f>IF(VLOOKUP(B931,'Set Odds'!A$2:AN$1067,40,0),1,IF(VLOOKUP(B931,'Set Odds'!A$2:AO$1067,41,0),2,0))</f>
        <v>2</v>
      </c>
      <c r="AK931" s="87" t="s">
        <v>4531</v>
      </c>
      <c r="AL931" s="7" t="str">
        <f t="shared" si="1"/>
        <v/>
      </c>
    </row>
    <row r="932" ht="12.75" customHeight="1">
      <c r="A932" s="86">
        <v>931.0</v>
      </c>
      <c r="B932" s="84" t="s">
        <v>4532</v>
      </c>
      <c r="C932" s="7" t="s">
        <v>3680</v>
      </c>
      <c r="D932" s="7" t="s">
        <v>2571</v>
      </c>
      <c r="E932" s="7" t="s">
        <v>3129</v>
      </c>
      <c r="F932" s="84" t="s">
        <v>2539</v>
      </c>
      <c r="G932" s="84" t="s">
        <v>3578</v>
      </c>
      <c r="H932" s="84" t="s">
        <v>2807</v>
      </c>
      <c r="I932" s="84" t="s">
        <v>3285</v>
      </c>
      <c r="J932" s="7" t="s">
        <v>2995</v>
      </c>
      <c r="K932" s="7">
        <v>31.0</v>
      </c>
      <c r="L932" s="7">
        <v>31.0</v>
      </c>
      <c r="M932" s="7">
        <v>31.0</v>
      </c>
      <c r="N932" s="7">
        <v>0.0</v>
      </c>
      <c r="O932" s="7">
        <v>31.0</v>
      </c>
      <c r="P932" s="7">
        <v>31.0</v>
      </c>
      <c r="Q932" s="7">
        <v>4.0</v>
      </c>
      <c r="R932" s="7">
        <v>252.0</v>
      </c>
      <c r="S932" s="7">
        <v>0.0</v>
      </c>
      <c r="T932" s="7">
        <v>0.0</v>
      </c>
      <c r="U932" s="7">
        <v>0.0</v>
      </c>
      <c r="V932" s="7">
        <v>252.0</v>
      </c>
      <c r="W932" s="7">
        <f>VLOOKUP($D932,NatureChart,2,0)</f>
        <v>1.1</v>
      </c>
      <c r="X932" s="7">
        <f>VLOOKUP($D932,NatureChart,3,0)</f>
        <v>1</v>
      </c>
      <c r="Y932" s="7">
        <f>VLOOKUP($D932,NatureChart,4,0)</f>
        <v>0.9</v>
      </c>
      <c r="Z932" s="7">
        <f>VLOOKUP($D932,NatureChart,5,0)</f>
        <v>1</v>
      </c>
      <c r="AA932" s="84">
        <f>VLOOKUP($D932,NatureChart,6,0)</f>
        <v>1</v>
      </c>
      <c r="AB932" s="84">
        <f>IF($C932="Shedinja",1,(INT((2*VLOOKUP($C932,DexData,5,0)+INT(Q932/4)+K932)/2)+60))</f>
        <v>179</v>
      </c>
      <c r="AC932" s="84">
        <f>INT(INT((INT((2*VLOOKUP($C932,DexData,6,0)+INT(R932/4)+L932)/2)+5)*W932)*IF($E932="Choice Band",1.5,IF(OR($E932="Mawilite",$E932="Medichamite",$E932="Thick Club"),2,1)))</f>
        <v>159</v>
      </c>
      <c r="AD932" s="84">
        <f>INT(INT((INT((2*VLOOKUP($C932,DexData,7,0)+INT(S932/4)+M932)/2)+5)*X932)*IF($E932="Eviolite",1.5,1))</f>
        <v>87</v>
      </c>
      <c r="AE932" s="84">
        <f>INT(INT((INT((2*VLOOKUP($C932,DexData,9,0)+INT(T932/4)+N932)/2)+5)*Y932)*IF($E932="Choice Specs",1.5,1))</f>
        <v>68</v>
      </c>
      <c r="AF932" s="84">
        <f>INT(INT((INT((2*VLOOKUP($C932,DexData,10,0)+INT(U932/4)+O932)/2)+5)*Z932)*IF(OR($E932="Eviolite",$E932="Assault Vest"),1.5,1))</f>
        <v>81</v>
      </c>
      <c r="AG932" s="84">
        <f>INT(INT((INT((2*VLOOKUP($C932,DexData,11,0)+INT(V932/4)+P932)/2)+5)*AA932)*IF($E932="Choice Scarf",1.5,IF($E932="Iron Ball",0.5,1)))</f>
        <v>136</v>
      </c>
      <c r="AH932" s="84" t="str">
        <f>VLOOKUP(VLOOKUP($C932,DexData,3,0),Aliases!D$2:E$19,2,0)&amp;IFERROR("/"&amp;VLOOKUP(VLOOKUP($C932,DexData,4,0),Aliases!D$2:E$19,2,0),"")</f>
        <v>PSN/DRK</v>
      </c>
      <c r="AI932" s="7">
        <v>1.0</v>
      </c>
      <c r="AJ932" s="7">
        <f>IF(VLOOKUP(B932,'Set Odds'!A$2:AN$1067,40,0),1,IF(VLOOKUP(B932,'Set Odds'!A$2:AO$1067,41,0),2,0))</f>
        <v>2</v>
      </c>
      <c r="AK932" s="87" t="s">
        <v>4529</v>
      </c>
      <c r="AL932" s="7" t="str">
        <f t="shared" si="1"/>
        <v/>
      </c>
    </row>
    <row r="933" ht="12.75" customHeight="1">
      <c r="A933" s="86">
        <v>932.0</v>
      </c>
      <c r="B933" s="84" t="s">
        <v>4533</v>
      </c>
      <c r="C933" s="7" t="s">
        <v>3174</v>
      </c>
      <c r="D933" s="7" t="s">
        <v>2862</v>
      </c>
      <c r="E933" s="7" t="s">
        <v>2636</v>
      </c>
      <c r="F933" s="84" t="s">
        <v>2951</v>
      </c>
      <c r="G933" s="84" t="s">
        <v>4085</v>
      </c>
      <c r="H933" s="84" t="s">
        <v>2732</v>
      </c>
      <c r="I933" s="84" t="s">
        <v>3428</v>
      </c>
      <c r="J933" s="7" t="s">
        <v>2720</v>
      </c>
      <c r="K933" s="7">
        <v>31.0</v>
      </c>
      <c r="L933" s="7">
        <v>0.0</v>
      </c>
      <c r="M933" s="7">
        <v>31.0</v>
      </c>
      <c r="N933" s="7">
        <v>31.0</v>
      </c>
      <c r="O933" s="7">
        <v>31.0</v>
      </c>
      <c r="P933" s="7">
        <v>31.0</v>
      </c>
      <c r="Q933" s="7">
        <v>252.0</v>
      </c>
      <c r="R933" s="7">
        <v>0.0</v>
      </c>
      <c r="S933" s="7">
        <v>252.0</v>
      </c>
      <c r="T933" s="7">
        <v>4.0</v>
      </c>
      <c r="U933" s="7">
        <v>0.0</v>
      </c>
      <c r="V933" s="7">
        <v>0.0</v>
      </c>
      <c r="W933" s="7">
        <f>VLOOKUP($D933,NatureChart,2,0)</f>
        <v>0.9</v>
      </c>
      <c r="X933" s="7">
        <f>VLOOKUP($D933,NatureChart,3,0)</f>
        <v>1.1</v>
      </c>
      <c r="Y933" s="7">
        <f>VLOOKUP($D933,NatureChart,4,0)</f>
        <v>1</v>
      </c>
      <c r="Z933" s="7">
        <f>VLOOKUP($D933,NatureChart,5,0)</f>
        <v>1</v>
      </c>
      <c r="AA933" s="84">
        <f>VLOOKUP($D933,NatureChart,6,0)</f>
        <v>1</v>
      </c>
      <c r="AB933" s="84">
        <f>IF($C933="Shedinja",1,(INT((2*VLOOKUP($C933,DexData,5,0)+INT(Q933/4)+K933)/2)+60))</f>
        <v>157</v>
      </c>
      <c r="AC933" s="84">
        <f>INT(INT((INT((2*VLOOKUP($C933,DexData,6,0)+INT(R933/4)+L933)/2)+5)*W933)*IF($E933="Choice Band",1.5,IF(OR($E933="Mawilite",$E933="Medichamite",$E933="Thick Club"),2,1)))</f>
        <v>72</v>
      </c>
      <c r="AD933" s="84">
        <f>INT(INT((INT((2*VLOOKUP($C933,DexData,7,0)+INT(S933/4)+M933)/2)+5)*X933)*IF($E933="Eviolite",1.5,1))</f>
        <v>139</v>
      </c>
      <c r="AE933" s="84">
        <f>INT(INT((INT((2*VLOOKUP($C933,DexData,9,0)+INT(T933/4)+N933)/2)+5)*Y933)*IF($E933="Choice Specs",1.5,1))</f>
        <v>86</v>
      </c>
      <c r="AF933" s="84">
        <f>INT(INT((INT((2*VLOOKUP($C933,DexData,10,0)+INT(U933/4)+O933)/2)+5)*Z933)*IF(OR($E933="Eviolite",$E933="Assault Vest"),1.5,1))</f>
        <v>85</v>
      </c>
      <c r="AG933" s="84">
        <f>INT(INT((INT((2*VLOOKUP($C933,DexData,11,0)+INT(V933/4)+P933)/2)+5)*AA933)*IF($E933="Choice Scarf",1.5,IF($E933="Iron Ball",0.5,1)))</f>
        <v>70</v>
      </c>
      <c r="AH933" s="84" t="str">
        <f>VLOOKUP(VLOOKUP($C933,DexData,3,0),Aliases!D$2:E$19,2,0)&amp;IFERROR("/"&amp;VLOOKUP(VLOOKUP($C933,DexData,4,0),Aliases!D$2:E$19,2,0),"")</f>
        <v>DRK/GHO</v>
      </c>
      <c r="AI933" s="7">
        <v>1.0</v>
      </c>
      <c r="AJ933" s="7">
        <f>IF(VLOOKUP(B933,'Set Odds'!A$2:AN$1067,40,0),1,IF(VLOOKUP(B933,'Set Odds'!A$2:AO$1067,41,0),2,0))</f>
        <v>2</v>
      </c>
      <c r="AK933" s="87" t="s">
        <v>4531</v>
      </c>
      <c r="AL933" s="7" t="str">
        <f t="shared" si="1"/>
        <v/>
      </c>
    </row>
    <row r="934" ht="12.75" customHeight="1">
      <c r="A934" s="86">
        <v>933.0</v>
      </c>
      <c r="B934" s="84" t="s">
        <v>4534</v>
      </c>
      <c r="C934" s="7" t="s">
        <v>3774</v>
      </c>
      <c r="D934" s="7" t="s">
        <v>2635</v>
      </c>
      <c r="E934" s="7" t="s">
        <v>2515</v>
      </c>
      <c r="F934" s="84" t="s">
        <v>2661</v>
      </c>
      <c r="G934" s="84" t="s">
        <v>3052</v>
      </c>
      <c r="H934" s="84" t="s">
        <v>2785</v>
      </c>
      <c r="I934" s="84" t="s">
        <v>3260</v>
      </c>
      <c r="J934" s="7" t="s">
        <v>3496</v>
      </c>
      <c r="K934" s="7">
        <v>31.0</v>
      </c>
      <c r="L934" s="7">
        <v>0.0</v>
      </c>
      <c r="M934" s="7">
        <v>31.0</v>
      </c>
      <c r="N934" s="7">
        <v>31.0</v>
      </c>
      <c r="O934" s="7">
        <v>31.0</v>
      </c>
      <c r="P934" s="7">
        <v>31.0</v>
      </c>
      <c r="Q934" s="7">
        <v>4.0</v>
      </c>
      <c r="R934" s="7">
        <v>0.0</v>
      </c>
      <c r="S934" s="7">
        <v>0.0</v>
      </c>
      <c r="T934" s="7">
        <v>252.0</v>
      </c>
      <c r="U934" s="7">
        <v>0.0</v>
      </c>
      <c r="V934" s="7">
        <v>252.0</v>
      </c>
      <c r="W934" s="7">
        <f>VLOOKUP($D934,NatureChart,2,0)</f>
        <v>0.9</v>
      </c>
      <c r="X934" s="7">
        <f>VLOOKUP($D934,NatureChart,3,0)</f>
        <v>1</v>
      </c>
      <c r="Y934" s="7">
        <f>VLOOKUP($D934,NatureChart,4,0)</f>
        <v>1</v>
      </c>
      <c r="Z934" s="7">
        <f>VLOOKUP($D934,NatureChart,5,0)</f>
        <v>1</v>
      </c>
      <c r="AA934" s="84">
        <f>VLOOKUP($D934,NatureChart,6,0)</f>
        <v>1.1</v>
      </c>
      <c r="AB934" s="84">
        <f>IF($C934="Shedinja",1,(INT((2*VLOOKUP($C934,DexData,5,0)+INT(Q934/4)+K934)/2)+60))</f>
        <v>136</v>
      </c>
      <c r="AC934" s="84">
        <f>INT(INT((INT((2*VLOOKUP($C934,DexData,6,0)+INT(R934/4)+L934)/2)+5)*W934)*IF($E934="Choice Band",1.5,IF(OR($E934="Mawilite",$E934="Medichamite",$E934="Thick Club"),2,1)))</f>
        <v>63</v>
      </c>
      <c r="AD934" s="84">
        <f>INT(INT((INT((2*VLOOKUP($C934,DexData,7,0)+INT(S934/4)+M934)/2)+5)*X934)*IF($E934="Eviolite",1.5,1))</f>
        <v>80</v>
      </c>
      <c r="AE934" s="84">
        <f>INT(INT((INT((2*VLOOKUP($C934,DexData,9,0)+INT(T934/4)+N934)/2)+5)*Y934)*IF($E934="Choice Specs",1.5,1))</f>
        <v>182</v>
      </c>
      <c r="AF934" s="84">
        <f>INT(INT((INT((2*VLOOKUP($C934,DexData,10,0)+INT(U934/4)+O934)/2)+5)*Z934)*IF(OR($E934="Eviolite",$E934="Assault Vest"),1.5,1))</f>
        <v>95</v>
      </c>
      <c r="AG934" s="84">
        <f>INT(INT((INT((2*VLOOKUP($C934,DexData,11,0)+INT(V934/4)+P934)/2)+5)*AA934)*IF($E934="Choice Scarf",1.5,IF($E934="Iron Ball",0.5,1)))</f>
        <v>178</v>
      </c>
      <c r="AH934" s="84" t="str">
        <f>VLOOKUP(VLOOKUP($C934,DexData,3,0),Aliases!D$2:E$19,2,0)&amp;IFERROR("/"&amp;VLOOKUP(VLOOKUP($C934,DexData,4,0),Aliases!D$2:E$19,2,0),"")</f>
        <v>GHO/PSN</v>
      </c>
      <c r="AI934" s="7">
        <v>0.0</v>
      </c>
      <c r="AJ934" s="7">
        <f>IF(VLOOKUP(B934,'Set Odds'!A$2:AN$1067,40,0),1,IF(VLOOKUP(B934,'Set Odds'!A$2:AO$1067,41,0),2,0))</f>
        <v>2</v>
      </c>
      <c r="AK934" s="87" t="s">
        <v>4529</v>
      </c>
      <c r="AL934" s="7" t="str">
        <f t="shared" si="1"/>
        <v/>
      </c>
    </row>
    <row r="935" ht="12.75" customHeight="1">
      <c r="A935" s="86">
        <v>934.0</v>
      </c>
      <c r="B935" s="84" t="s">
        <v>4535</v>
      </c>
      <c r="C935" s="7" t="s">
        <v>3680</v>
      </c>
      <c r="D935" s="7" t="s">
        <v>2571</v>
      </c>
      <c r="E935" s="7" t="s">
        <v>3129</v>
      </c>
      <c r="F935" s="84" t="s">
        <v>2539</v>
      </c>
      <c r="G935" s="84" t="s">
        <v>3578</v>
      </c>
      <c r="H935" s="84" t="s">
        <v>2807</v>
      </c>
      <c r="I935" s="84" t="s">
        <v>3285</v>
      </c>
      <c r="J935" s="7" t="s">
        <v>2995</v>
      </c>
      <c r="K935" s="7">
        <v>31.0</v>
      </c>
      <c r="L935" s="7">
        <v>31.0</v>
      </c>
      <c r="M935" s="7">
        <v>31.0</v>
      </c>
      <c r="N935" s="7">
        <v>0.0</v>
      </c>
      <c r="O935" s="7">
        <v>31.0</v>
      </c>
      <c r="P935" s="7">
        <v>31.0</v>
      </c>
      <c r="Q935" s="7">
        <v>4.0</v>
      </c>
      <c r="R935" s="7">
        <v>252.0</v>
      </c>
      <c r="S935" s="7">
        <v>0.0</v>
      </c>
      <c r="T935" s="7">
        <v>0.0</v>
      </c>
      <c r="U935" s="7">
        <v>0.0</v>
      </c>
      <c r="V935" s="7">
        <v>252.0</v>
      </c>
      <c r="W935" s="7">
        <f>VLOOKUP($D935,NatureChart,2,0)</f>
        <v>1.1</v>
      </c>
      <c r="X935" s="7">
        <f>VLOOKUP($D935,NatureChart,3,0)</f>
        <v>1</v>
      </c>
      <c r="Y935" s="7">
        <f>VLOOKUP($D935,NatureChart,4,0)</f>
        <v>0.9</v>
      </c>
      <c r="Z935" s="7">
        <f>VLOOKUP($D935,NatureChart,5,0)</f>
        <v>1</v>
      </c>
      <c r="AA935" s="84">
        <f>VLOOKUP($D935,NatureChart,6,0)</f>
        <v>1</v>
      </c>
      <c r="AB935" s="84">
        <f>IF($C935="Shedinja",1,(INT((2*VLOOKUP($C935,DexData,5,0)+INT(Q935/4)+K935)/2)+60))</f>
        <v>179</v>
      </c>
      <c r="AC935" s="84">
        <f>INT(INT((INT((2*VLOOKUP($C935,DexData,6,0)+INT(R935/4)+L935)/2)+5)*W935)*IF($E935="Choice Band",1.5,IF(OR($E935="Mawilite",$E935="Medichamite",$E935="Thick Club"),2,1)))</f>
        <v>159</v>
      </c>
      <c r="AD935" s="84">
        <f>INT(INT((INT((2*VLOOKUP($C935,DexData,7,0)+INT(S935/4)+M935)/2)+5)*X935)*IF($E935="Eviolite",1.5,1))</f>
        <v>87</v>
      </c>
      <c r="AE935" s="84">
        <f>INT(INT((INT((2*VLOOKUP($C935,DexData,9,0)+INT(T935/4)+N935)/2)+5)*Y935)*IF($E935="Choice Specs",1.5,1))</f>
        <v>68</v>
      </c>
      <c r="AF935" s="84">
        <f>INT(INT((INT((2*VLOOKUP($C935,DexData,10,0)+INT(U935/4)+O935)/2)+5)*Z935)*IF(OR($E935="Eviolite",$E935="Assault Vest"),1.5,1))</f>
        <v>81</v>
      </c>
      <c r="AG935" s="84">
        <f>INT(INT((INT((2*VLOOKUP($C935,DexData,11,0)+INT(V935/4)+P935)/2)+5)*AA935)*IF($E935="Choice Scarf",1.5,IF($E935="Iron Ball",0.5,1)))</f>
        <v>136</v>
      </c>
      <c r="AH935" s="84" t="str">
        <f>VLOOKUP(VLOOKUP($C935,DexData,3,0),Aliases!D$2:E$19,2,0)&amp;IFERROR("/"&amp;VLOOKUP(VLOOKUP($C935,DexData,4,0),Aliases!D$2:E$19,2,0),"")</f>
        <v>PSN/DRK</v>
      </c>
      <c r="AI935" s="7">
        <v>1.0</v>
      </c>
      <c r="AJ935" s="7">
        <f>IF(VLOOKUP(B935,'Set Odds'!A$2:AN$1067,40,0),1,IF(VLOOKUP(B935,'Set Odds'!A$2:AO$1067,41,0),2,0))</f>
        <v>2</v>
      </c>
      <c r="AK935" s="87" t="s">
        <v>4531</v>
      </c>
      <c r="AL935" s="7" t="str">
        <f t="shared" si="1"/>
        <v/>
      </c>
    </row>
    <row r="936" ht="12.75" customHeight="1">
      <c r="A936" s="86">
        <v>935.0</v>
      </c>
      <c r="B936" s="84" t="s">
        <v>4536</v>
      </c>
      <c r="C936" s="7" t="s">
        <v>3740</v>
      </c>
      <c r="D936" s="7" t="s">
        <v>2571</v>
      </c>
      <c r="E936" s="7" t="s">
        <v>2889</v>
      </c>
      <c r="F936" s="84" t="s">
        <v>2807</v>
      </c>
      <c r="G936" s="84" t="s">
        <v>3478</v>
      </c>
      <c r="H936" s="84" t="s">
        <v>2513</v>
      </c>
      <c r="I936" s="84" t="s">
        <v>3784</v>
      </c>
      <c r="J936" s="7" t="s">
        <v>2808</v>
      </c>
      <c r="K936" s="7">
        <v>31.0</v>
      </c>
      <c r="L936" s="7">
        <v>31.0</v>
      </c>
      <c r="M936" s="7">
        <v>31.0</v>
      </c>
      <c r="N936" s="7">
        <v>0.0</v>
      </c>
      <c r="O936" s="7">
        <v>31.0</v>
      </c>
      <c r="P936" s="7">
        <v>31.0</v>
      </c>
      <c r="Q936" s="7">
        <v>4.0</v>
      </c>
      <c r="R936" s="7">
        <v>252.0</v>
      </c>
      <c r="S936" s="7">
        <v>0.0</v>
      </c>
      <c r="T936" s="7">
        <v>0.0</v>
      </c>
      <c r="U936" s="7">
        <v>0.0</v>
      </c>
      <c r="V936" s="7">
        <v>252.0</v>
      </c>
      <c r="W936" s="7">
        <f>VLOOKUP($D936,NatureChart,2,0)</f>
        <v>1.1</v>
      </c>
      <c r="X936" s="7">
        <f>VLOOKUP($D936,NatureChart,3,0)</f>
        <v>1</v>
      </c>
      <c r="Y936" s="7">
        <f>VLOOKUP($D936,NatureChart,4,0)</f>
        <v>0.9</v>
      </c>
      <c r="Z936" s="7">
        <f>VLOOKUP($D936,NatureChart,5,0)</f>
        <v>1</v>
      </c>
      <c r="AA936" s="84">
        <f>VLOOKUP($D936,NatureChart,6,0)</f>
        <v>1</v>
      </c>
      <c r="AB936" s="84">
        <f>IF($C936="Shedinja",1,(INT((2*VLOOKUP($C936,DexData,5,0)+INT(Q936/4)+K936)/2)+60))</f>
        <v>159</v>
      </c>
      <c r="AC936" s="84">
        <f>INT(INT((INT((2*VLOOKUP($C936,DexData,6,0)+INT(R936/4)+L936)/2)+5)*W936)*IF($E936="Choice Band",1.5,IF(OR($E936="Mawilite",$E936="Medichamite",$E936="Thick Club"),2,1)))</f>
        <v>173</v>
      </c>
      <c r="AD936" s="84">
        <f>INT(INT((INT((2*VLOOKUP($C936,DexData,7,0)+INT(S936/4)+M936)/2)+5)*X936)*IF($E936="Eviolite",1.5,1))</f>
        <v>85</v>
      </c>
      <c r="AE936" s="84">
        <f>INT(INT((INT((2*VLOOKUP($C936,DexData,9,0)+INT(T936/4)+N936)/2)+5)*Y936)*IF($E936="Choice Specs",1.5,1))</f>
        <v>81</v>
      </c>
      <c r="AF936" s="84">
        <f>INT(INT((INT((2*VLOOKUP($C936,DexData,10,0)+INT(U936/4)+O936)/2)+5)*Z936)*IF(OR($E936="Eviolite",$E936="Assault Vest"),1.5,1))</f>
        <v>85</v>
      </c>
      <c r="AG936" s="84">
        <f>INT(INT((INT((2*VLOOKUP($C936,DexData,11,0)+INT(V936/4)+P936)/2)+5)*AA936)*IF($E936="Choice Scarf",1.5,IF($E936="Iron Ball",0.5,1)))</f>
        <v>137</v>
      </c>
      <c r="AH936" s="84" t="str">
        <f>VLOOKUP(VLOOKUP($C936,DexData,3,0),Aliases!D$2:E$19,2,0)&amp;IFERROR("/"&amp;VLOOKUP(VLOOKUP($C936,DexData,4,0),Aliases!D$2:E$19,2,0),"")</f>
        <v>PSN/FTG</v>
      </c>
      <c r="AI936" s="7">
        <v>1.0</v>
      </c>
      <c r="AJ936" s="7">
        <f>IF(VLOOKUP(B936,'Set Odds'!A$2:AN$1067,40,0),1,IF(VLOOKUP(B936,'Set Odds'!A$2:AO$1067,41,0),2,0))</f>
        <v>2</v>
      </c>
      <c r="AK936" s="87" t="s">
        <v>4529</v>
      </c>
      <c r="AL936" s="7" t="str">
        <f t="shared" si="1"/>
        <v/>
      </c>
    </row>
    <row r="937" ht="12.75" customHeight="1">
      <c r="A937" s="86">
        <v>936.0</v>
      </c>
      <c r="B937" s="84" t="s">
        <v>4537</v>
      </c>
      <c r="C937" s="7" t="s">
        <v>3512</v>
      </c>
      <c r="D937" s="7" t="s">
        <v>2571</v>
      </c>
      <c r="E937" s="7" t="s">
        <v>2835</v>
      </c>
      <c r="F937" s="84" t="s">
        <v>2869</v>
      </c>
      <c r="G937" s="84" t="s">
        <v>3015</v>
      </c>
      <c r="H937" s="84" t="s">
        <v>3603</v>
      </c>
      <c r="I937" s="84" t="s">
        <v>2517</v>
      </c>
      <c r="J937" s="7" t="s">
        <v>3217</v>
      </c>
      <c r="K937" s="7">
        <v>31.0</v>
      </c>
      <c r="L937" s="7">
        <v>31.0</v>
      </c>
      <c r="M937" s="7">
        <v>31.0</v>
      </c>
      <c r="N937" s="7">
        <v>0.0</v>
      </c>
      <c r="O937" s="7">
        <v>31.0</v>
      </c>
      <c r="P937" s="7">
        <v>31.0</v>
      </c>
      <c r="Q937" s="7">
        <v>4.0</v>
      </c>
      <c r="R937" s="7">
        <v>252.0</v>
      </c>
      <c r="S937" s="7">
        <v>0.0</v>
      </c>
      <c r="T937" s="7">
        <v>0.0</v>
      </c>
      <c r="U937" s="7">
        <v>0.0</v>
      </c>
      <c r="V937" s="7">
        <v>252.0</v>
      </c>
      <c r="W937" s="7">
        <f>VLOOKUP($D937,NatureChart,2,0)</f>
        <v>1.1</v>
      </c>
      <c r="X937" s="7">
        <f>VLOOKUP($D937,NatureChart,3,0)</f>
        <v>1</v>
      </c>
      <c r="Y937" s="7">
        <f>VLOOKUP($D937,NatureChart,4,0)</f>
        <v>0.9</v>
      </c>
      <c r="Z937" s="7">
        <f>VLOOKUP($D937,NatureChart,5,0)</f>
        <v>1</v>
      </c>
      <c r="AA937" s="84">
        <f>VLOOKUP($D937,NatureChart,6,0)</f>
        <v>1</v>
      </c>
      <c r="AB937" s="84">
        <f>IF($C937="Shedinja",1,(INT((2*VLOOKUP($C937,DexData,5,0)+INT(Q937/4)+K937)/2)+60))</f>
        <v>146</v>
      </c>
      <c r="AC937" s="84">
        <f>INT(INT((INT((2*VLOOKUP($C937,DexData,6,0)+INT(R937/4)+L937)/2)+5)*W937)*IF($E937="Choice Band",1.5,IF(OR($E937="Mawilite",$E937="Medichamite",$E937="Thick Club"),2,1)))</f>
        <v>189</v>
      </c>
      <c r="AD937" s="84">
        <f>INT(INT((INT((2*VLOOKUP($C937,DexData,7,0)+INT(S937/4)+M937)/2)+5)*X937)*IF($E937="Eviolite",1.5,1))</f>
        <v>60</v>
      </c>
      <c r="AE937" s="84">
        <f>INT(INT((INT((2*VLOOKUP($C937,DexData,9,0)+INT(T937/4)+N937)/2)+5)*Y937)*IF($E937="Choice Specs",1.5,1))</f>
        <v>90</v>
      </c>
      <c r="AF937" s="84">
        <f>INT(INT((INT((2*VLOOKUP($C937,DexData,10,0)+INT(U937/4)+O937)/2)+5)*Z937)*IF(OR($E937="Eviolite",$E937="Assault Vest"),1.5,1))</f>
        <v>60</v>
      </c>
      <c r="AG937" s="84">
        <f>INT(INT((INT((2*VLOOKUP($C937,DexData,11,0)+INT(V937/4)+P937)/2)+5)*AA937)*IF($E937="Choice Scarf",1.5,IF($E937="Iron Ball",0.5,1)))</f>
        <v>147</v>
      </c>
      <c r="AH937" s="84" t="str">
        <f>VLOOKUP(VLOOKUP($C937,DexData,3,0),Aliases!D$2:E$19,2,0)&amp;IFERROR("/"&amp;VLOOKUP(VLOOKUP($C937,DexData,4,0),Aliases!D$2:E$19,2,0),"")</f>
        <v>WTR/DRK</v>
      </c>
      <c r="AI937" s="7">
        <v>1.0</v>
      </c>
      <c r="AJ937" s="7">
        <f>IF(VLOOKUP(B937,'Set Odds'!A$2:AN$1067,40,0),1,IF(VLOOKUP(B937,'Set Odds'!A$2:AO$1067,41,0),2,0))</f>
        <v>2</v>
      </c>
      <c r="AK937" s="87" t="s">
        <v>4531</v>
      </c>
      <c r="AL937" s="7" t="str">
        <f t="shared" si="1"/>
        <v/>
      </c>
    </row>
    <row r="938" ht="12.75" customHeight="1">
      <c r="A938" s="86">
        <v>937.0</v>
      </c>
      <c r="B938" s="84" t="s">
        <v>4538</v>
      </c>
      <c r="C938" s="7" t="s">
        <v>3898</v>
      </c>
      <c r="D938" s="7" t="s">
        <v>2692</v>
      </c>
      <c r="E938" s="7" t="s">
        <v>2885</v>
      </c>
      <c r="F938" s="84" t="s">
        <v>3809</v>
      </c>
      <c r="G938" s="84" t="s">
        <v>3538</v>
      </c>
      <c r="H938" s="84" t="s">
        <v>3314</v>
      </c>
      <c r="I938" s="84" t="s">
        <v>3710</v>
      </c>
      <c r="J938" s="7" t="s">
        <v>3233</v>
      </c>
      <c r="K938" s="7">
        <v>31.0</v>
      </c>
      <c r="L938" s="7">
        <v>31.0</v>
      </c>
      <c r="M938" s="7">
        <v>31.0</v>
      </c>
      <c r="N938" s="7">
        <v>0.0</v>
      </c>
      <c r="O938" s="7">
        <v>31.0</v>
      </c>
      <c r="P938" s="7">
        <v>31.0</v>
      </c>
      <c r="Q938" s="7">
        <v>4.0</v>
      </c>
      <c r="R938" s="7">
        <v>252.0</v>
      </c>
      <c r="S938" s="7">
        <v>0.0</v>
      </c>
      <c r="T938" s="7">
        <v>0.0</v>
      </c>
      <c r="U938" s="7">
        <v>0.0</v>
      </c>
      <c r="V938" s="7">
        <v>252.0</v>
      </c>
      <c r="W938" s="7">
        <f>VLOOKUP($D938,NatureChart,2,0)</f>
        <v>1</v>
      </c>
      <c r="X938" s="7">
        <f>VLOOKUP($D938,NatureChart,3,0)</f>
        <v>1</v>
      </c>
      <c r="Y938" s="7">
        <f>VLOOKUP($D938,NatureChart,4,0)</f>
        <v>0.9</v>
      </c>
      <c r="Z938" s="7">
        <f>VLOOKUP($D938,NatureChart,5,0)</f>
        <v>1</v>
      </c>
      <c r="AA938" s="84">
        <f>VLOOKUP($D938,NatureChart,6,0)</f>
        <v>1.1</v>
      </c>
      <c r="AB938" s="84">
        <f>IF($C938="Shedinja",1,(INT((2*VLOOKUP($C938,DexData,5,0)+INT(Q938/4)+K938)/2)+60))</f>
        <v>161</v>
      </c>
      <c r="AC938" s="84">
        <f>INT(INT((INT((2*VLOOKUP($C938,DexData,6,0)+INT(R938/4)+L938)/2)+5)*W938)*IF($E938="Choice Band",1.5,IF(OR($E938="Mawilite",$E938="Medichamite",$E938="Thick Club"),2,1)))</f>
        <v>213</v>
      </c>
      <c r="AD938" s="84">
        <f>INT(INT((INT((2*VLOOKUP($C938,DexData,7,0)+INT(S938/4)+M938)/2)+5)*X938)*IF($E938="Eviolite",1.5,1))</f>
        <v>100</v>
      </c>
      <c r="AE938" s="84">
        <f>INT(INT((INT((2*VLOOKUP($C938,DexData,9,0)+INT(T938/4)+N938)/2)+5)*Y938)*IF($E938="Choice Specs",1.5,1))</f>
        <v>67</v>
      </c>
      <c r="AF938" s="84">
        <f>INT(INT((INT((2*VLOOKUP($C938,DexData,10,0)+INT(U938/4)+O938)/2)+5)*Z938)*IF(OR($E938="Eviolite",$E938="Assault Vest"),1.5,1))</f>
        <v>100</v>
      </c>
      <c r="AG938" s="84">
        <f>INT(INT((INT((2*VLOOKUP($C938,DexData,11,0)+INT(V938/4)+P938)/2)+5)*AA938)*IF($E938="Choice Scarf",1.5,IF($E938="Iron Ball",0.5,1)))</f>
        <v>200</v>
      </c>
      <c r="AH938" s="84" t="str">
        <f>VLOOKUP(VLOOKUP($C938,DexData,3,0),Aliases!D$2:E$19,2,0)&amp;IFERROR("/"&amp;VLOOKUP(VLOOKUP($C938,DexData,4,0),Aliases!D$2:E$19,2,0),"")</f>
        <v>PSN/FLY</v>
      </c>
      <c r="AI938" s="7">
        <v>1.0</v>
      </c>
      <c r="AJ938" s="7">
        <f>IF(VLOOKUP(B938,'Set Odds'!A$2:AN$1067,40,0),1,IF(VLOOKUP(B938,'Set Odds'!A$2:AO$1067,41,0),2,0))</f>
        <v>2</v>
      </c>
      <c r="AK938" s="87" t="s">
        <v>4529</v>
      </c>
      <c r="AL938" s="7" t="str">
        <f t="shared" si="1"/>
        <v/>
      </c>
    </row>
    <row r="939" ht="12.75" customHeight="1">
      <c r="A939" s="86">
        <v>938.0</v>
      </c>
      <c r="B939" s="84" t="s">
        <v>4539</v>
      </c>
      <c r="C939" s="7" t="s">
        <v>3512</v>
      </c>
      <c r="D939" s="7" t="s">
        <v>2571</v>
      </c>
      <c r="E939" s="7" t="s">
        <v>2835</v>
      </c>
      <c r="F939" s="84" t="s">
        <v>2869</v>
      </c>
      <c r="G939" s="84" t="s">
        <v>3015</v>
      </c>
      <c r="H939" s="84" t="s">
        <v>3603</v>
      </c>
      <c r="I939" s="84" t="s">
        <v>2517</v>
      </c>
      <c r="J939" s="7" t="s">
        <v>3217</v>
      </c>
      <c r="K939" s="7">
        <v>31.0</v>
      </c>
      <c r="L939" s="7">
        <v>31.0</v>
      </c>
      <c r="M939" s="7">
        <v>31.0</v>
      </c>
      <c r="N939" s="7">
        <v>0.0</v>
      </c>
      <c r="O939" s="7">
        <v>31.0</v>
      </c>
      <c r="P939" s="7">
        <v>31.0</v>
      </c>
      <c r="Q939" s="7">
        <v>4.0</v>
      </c>
      <c r="R939" s="7">
        <v>252.0</v>
      </c>
      <c r="S939" s="7">
        <v>0.0</v>
      </c>
      <c r="T939" s="7">
        <v>0.0</v>
      </c>
      <c r="U939" s="7">
        <v>0.0</v>
      </c>
      <c r="V939" s="7">
        <v>252.0</v>
      </c>
      <c r="W939" s="7">
        <f>VLOOKUP($D939,NatureChart,2,0)</f>
        <v>1.1</v>
      </c>
      <c r="X939" s="7">
        <f>VLOOKUP($D939,NatureChart,3,0)</f>
        <v>1</v>
      </c>
      <c r="Y939" s="7">
        <f>VLOOKUP($D939,NatureChart,4,0)</f>
        <v>0.9</v>
      </c>
      <c r="Z939" s="7">
        <f>VLOOKUP($D939,NatureChart,5,0)</f>
        <v>1</v>
      </c>
      <c r="AA939" s="84">
        <f>VLOOKUP($D939,NatureChart,6,0)</f>
        <v>1</v>
      </c>
      <c r="AB939" s="84">
        <f>IF($C939="Shedinja",1,(INT((2*VLOOKUP($C939,DexData,5,0)+INT(Q939/4)+K939)/2)+60))</f>
        <v>146</v>
      </c>
      <c r="AC939" s="84">
        <f>INT(INT((INT((2*VLOOKUP($C939,DexData,6,0)+INT(R939/4)+L939)/2)+5)*W939)*IF($E939="Choice Band",1.5,IF(OR($E939="Mawilite",$E939="Medichamite",$E939="Thick Club"),2,1)))</f>
        <v>189</v>
      </c>
      <c r="AD939" s="84">
        <f>INT(INT((INT((2*VLOOKUP($C939,DexData,7,0)+INT(S939/4)+M939)/2)+5)*X939)*IF($E939="Eviolite",1.5,1))</f>
        <v>60</v>
      </c>
      <c r="AE939" s="84">
        <f>INT(INT((INT((2*VLOOKUP($C939,DexData,9,0)+INT(T939/4)+N939)/2)+5)*Y939)*IF($E939="Choice Specs",1.5,1))</f>
        <v>90</v>
      </c>
      <c r="AF939" s="84">
        <f>INT(INT((INT((2*VLOOKUP($C939,DexData,10,0)+INT(U939/4)+O939)/2)+5)*Z939)*IF(OR($E939="Eviolite",$E939="Assault Vest"),1.5,1))</f>
        <v>60</v>
      </c>
      <c r="AG939" s="84">
        <f>INT(INT((INT((2*VLOOKUP($C939,DexData,11,0)+INT(V939/4)+P939)/2)+5)*AA939)*IF($E939="Choice Scarf",1.5,IF($E939="Iron Ball",0.5,1)))</f>
        <v>147</v>
      </c>
      <c r="AH939" s="84" t="str">
        <f>VLOOKUP(VLOOKUP($C939,DexData,3,0),Aliases!D$2:E$19,2,0)&amp;IFERROR("/"&amp;VLOOKUP(VLOOKUP($C939,DexData,4,0),Aliases!D$2:E$19,2,0),"")</f>
        <v>WTR/DRK</v>
      </c>
      <c r="AI939" s="7">
        <v>1.0</v>
      </c>
      <c r="AJ939" s="7">
        <f>IF(VLOOKUP(B939,'Set Odds'!A$2:AN$1067,40,0),1,IF(VLOOKUP(B939,'Set Odds'!A$2:AO$1067,41,0),2,0))</f>
        <v>2</v>
      </c>
      <c r="AK939" s="87" t="s">
        <v>4531</v>
      </c>
      <c r="AL939" s="7" t="str">
        <f t="shared" si="1"/>
        <v/>
      </c>
    </row>
    <row r="940" ht="12.75" customHeight="1">
      <c r="A940" s="86">
        <v>939.0</v>
      </c>
      <c r="B940" s="84" t="s">
        <v>4540</v>
      </c>
      <c r="C940" s="7" t="s">
        <v>3740</v>
      </c>
      <c r="D940" s="7" t="s">
        <v>2571</v>
      </c>
      <c r="E940" s="7" t="s">
        <v>2889</v>
      </c>
      <c r="F940" s="84" t="s">
        <v>2807</v>
      </c>
      <c r="G940" s="84" t="s">
        <v>3478</v>
      </c>
      <c r="H940" s="84" t="s">
        <v>2513</v>
      </c>
      <c r="I940" s="84" t="s">
        <v>3784</v>
      </c>
      <c r="J940" s="7" t="s">
        <v>2808</v>
      </c>
      <c r="K940" s="7">
        <v>31.0</v>
      </c>
      <c r="L940" s="7">
        <v>31.0</v>
      </c>
      <c r="M940" s="7">
        <v>31.0</v>
      </c>
      <c r="N940" s="7">
        <v>0.0</v>
      </c>
      <c r="O940" s="7">
        <v>31.0</v>
      </c>
      <c r="P940" s="7">
        <v>31.0</v>
      </c>
      <c r="Q940" s="7">
        <v>4.0</v>
      </c>
      <c r="R940" s="7">
        <v>252.0</v>
      </c>
      <c r="S940" s="7">
        <v>0.0</v>
      </c>
      <c r="T940" s="7">
        <v>0.0</v>
      </c>
      <c r="U940" s="7">
        <v>0.0</v>
      </c>
      <c r="V940" s="7">
        <v>252.0</v>
      </c>
      <c r="W940" s="7">
        <f>VLOOKUP($D940,NatureChart,2,0)</f>
        <v>1.1</v>
      </c>
      <c r="X940" s="7">
        <f>VLOOKUP($D940,NatureChart,3,0)</f>
        <v>1</v>
      </c>
      <c r="Y940" s="7">
        <f>VLOOKUP($D940,NatureChart,4,0)</f>
        <v>0.9</v>
      </c>
      <c r="Z940" s="7">
        <f>VLOOKUP($D940,NatureChart,5,0)</f>
        <v>1</v>
      </c>
      <c r="AA940" s="84">
        <f>VLOOKUP($D940,NatureChart,6,0)</f>
        <v>1</v>
      </c>
      <c r="AB940" s="84">
        <f>IF($C940="Shedinja",1,(INT((2*VLOOKUP($C940,DexData,5,0)+INT(Q940/4)+K940)/2)+60))</f>
        <v>159</v>
      </c>
      <c r="AC940" s="84">
        <f>INT(INT((INT((2*VLOOKUP($C940,DexData,6,0)+INT(R940/4)+L940)/2)+5)*W940)*IF($E940="Choice Band",1.5,IF(OR($E940="Mawilite",$E940="Medichamite",$E940="Thick Club"),2,1)))</f>
        <v>173</v>
      </c>
      <c r="AD940" s="84">
        <f>INT(INT((INT((2*VLOOKUP($C940,DexData,7,0)+INT(S940/4)+M940)/2)+5)*X940)*IF($E940="Eviolite",1.5,1))</f>
        <v>85</v>
      </c>
      <c r="AE940" s="84">
        <f>INT(INT((INT((2*VLOOKUP($C940,DexData,9,0)+INT(T940/4)+N940)/2)+5)*Y940)*IF($E940="Choice Specs",1.5,1))</f>
        <v>81</v>
      </c>
      <c r="AF940" s="84">
        <f>INT(INT((INT((2*VLOOKUP($C940,DexData,10,0)+INT(U940/4)+O940)/2)+5)*Z940)*IF(OR($E940="Eviolite",$E940="Assault Vest"),1.5,1))</f>
        <v>85</v>
      </c>
      <c r="AG940" s="84">
        <f>INT(INT((INT((2*VLOOKUP($C940,DexData,11,0)+INT(V940/4)+P940)/2)+5)*AA940)*IF($E940="Choice Scarf",1.5,IF($E940="Iron Ball",0.5,1)))</f>
        <v>137</v>
      </c>
      <c r="AH940" s="84" t="str">
        <f>VLOOKUP(VLOOKUP($C940,DexData,3,0),Aliases!D$2:E$19,2,0)&amp;IFERROR("/"&amp;VLOOKUP(VLOOKUP($C940,DexData,4,0),Aliases!D$2:E$19,2,0),"")</f>
        <v>PSN/FTG</v>
      </c>
      <c r="AI940" s="7">
        <v>1.0</v>
      </c>
      <c r="AJ940" s="7">
        <f>IF(VLOOKUP(B940,'Set Odds'!A$2:AN$1067,40,0),1,IF(VLOOKUP(B940,'Set Odds'!A$2:AO$1067,41,0),2,0))</f>
        <v>2</v>
      </c>
      <c r="AK940" s="87" t="s">
        <v>4529</v>
      </c>
      <c r="AL940" s="7" t="str">
        <f t="shared" si="1"/>
        <v/>
      </c>
    </row>
    <row r="941" ht="12.75" customHeight="1">
      <c r="A941" s="86">
        <v>940.0</v>
      </c>
      <c r="B941" s="84" t="s">
        <v>4541</v>
      </c>
      <c r="C941" s="7" t="s">
        <v>3929</v>
      </c>
      <c r="D941" s="7" t="s">
        <v>2692</v>
      </c>
      <c r="E941" s="7" t="s">
        <v>2665</v>
      </c>
      <c r="F941" s="84" t="s">
        <v>3390</v>
      </c>
      <c r="G941" s="84" t="s">
        <v>2625</v>
      </c>
      <c r="H941" s="84" t="s">
        <v>3160</v>
      </c>
      <c r="I941" s="84" t="s">
        <v>3454</v>
      </c>
      <c r="J941" s="7" t="s">
        <v>3034</v>
      </c>
      <c r="K941" s="7">
        <v>31.0</v>
      </c>
      <c r="L941" s="7">
        <v>31.0</v>
      </c>
      <c r="M941" s="7">
        <v>31.0</v>
      </c>
      <c r="N941" s="7">
        <v>0.0</v>
      </c>
      <c r="O941" s="7">
        <v>31.0</v>
      </c>
      <c r="P941" s="7">
        <v>31.0</v>
      </c>
      <c r="Q941" s="7">
        <v>4.0</v>
      </c>
      <c r="R941" s="7">
        <v>252.0</v>
      </c>
      <c r="S941" s="7">
        <v>0.0</v>
      </c>
      <c r="T941" s="7">
        <v>0.0</v>
      </c>
      <c r="U941" s="7">
        <v>0.0</v>
      </c>
      <c r="V941" s="7">
        <v>252.0</v>
      </c>
      <c r="W941" s="7">
        <f>VLOOKUP($D941,NatureChart,2,0)</f>
        <v>1</v>
      </c>
      <c r="X941" s="7">
        <f>VLOOKUP($D941,NatureChart,3,0)</f>
        <v>1</v>
      </c>
      <c r="Y941" s="7">
        <f>VLOOKUP($D941,NatureChart,4,0)</f>
        <v>0.9</v>
      </c>
      <c r="Z941" s="7">
        <f>VLOOKUP($D941,NatureChart,5,0)</f>
        <v>1</v>
      </c>
      <c r="AA941" s="84">
        <f>VLOOKUP($D941,NatureChart,6,0)</f>
        <v>1.1</v>
      </c>
      <c r="AB941" s="84">
        <f>IF($C941="Shedinja",1,(INT((2*VLOOKUP($C941,DexData,5,0)+INT(Q941/4)+K941)/2)+60))</f>
        <v>176</v>
      </c>
      <c r="AC941" s="84">
        <f>INT(INT((INT((2*VLOOKUP($C941,DexData,6,0)+INT(R941/4)+L941)/2)+5)*W941)*IF($E941="Choice Band",1.5,IF(OR($E941="Mawilite",$E941="Medichamite",$E941="Thick Club"),2,1)))</f>
        <v>186</v>
      </c>
      <c r="AD941" s="84">
        <f>INT(INT((INT((2*VLOOKUP($C941,DexData,7,0)+INT(S941/4)+M941)/2)+5)*X941)*IF($E941="Eviolite",1.5,1))</f>
        <v>130</v>
      </c>
      <c r="AE941" s="84">
        <f>INT(INT((INT((2*VLOOKUP($C941,DexData,9,0)+INT(T941/4)+N941)/2)+5)*Y941)*IF($E941="Choice Specs",1.5,1))</f>
        <v>90</v>
      </c>
      <c r="AF941" s="84">
        <f>INT(INT((INT((2*VLOOKUP($C941,DexData,10,0)+INT(U941/4)+O941)/2)+5)*Z941)*IF(OR($E941="Eviolite",$E941="Assault Vest"),1.5,1))</f>
        <v>120</v>
      </c>
      <c r="AG941" s="84">
        <f>INT(INT((INT((2*VLOOKUP($C941,DexData,11,0)+INT(V941/4)+P941)/2)+5)*AA941)*IF($E941="Choice Scarf",1.5,IF($E941="Iron Ball",0.5,1)))</f>
        <v>186</v>
      </c>
      <c r="AH941" s="84" t="str">
        <f>VLOOKUP(VLOOKUP($C941,DexData,3,0),Aliases!D$2:E$19,2,0)&amp;IFERROR("/"&amp;VLOOKUP(VLOOKUP($C941,DexData,4,0),Aliases!D$2:E$19,2,0),"")</f>
        <v>RCK/DRK</v>
      </c>
      <c r="AI941" s="7">
        <v>1.0</v>
      </c>
      <c r="AJ941" s="7">
        <f>IF(VLOOKUP(B941,'Set Odds'!A$2:AN$1067,40,0),1,IF(VLOOKUP(B941,'Set Odds'!A$2:AO$1067,41,0),2,0))</f>
        <v>2</v>
      </c>
      <c r="AK941" s="87" t="s">
        <v>4531</v>
      </c>
      <c r="AL941" s="7" t="str">
        <f t="shared" si="1"/>
        <v/>
      </c>
    </row>
    <row r="942" ht="12.75" customHeight="1">
      <c r="A942" s="86">
        <v>941.0</v>
      </c>
      <c r="B942" s="84" t="s">
        <v>4542</v>
      </c>
      <c r="C942" s="7" t="s">
        <v>2669</v>
      </c>
      <c r="D942" s="7" t="s">
        <v>2571</v>
      </c>
      <c r="E942" s="7" t="s">
        <v>2515</v>
      </c>
      <c r="F942" s="84" t="s">
        <v>2886</v>
      </c>
      <c r="G942" s="84" t="s">
        <v>3686</v>
      </c>
      <c r="H942" s="84" t="s">
        <v>2670</v>
      </c>
      <c r="I942" s="84" t="s">
        <v>3578</v>
      </c>
      <c r="J942" s="7" t="s">
        <v>2672</v>
      </c>
      <c r="K942" s="7">
        <v>31.0</v>
      </c>
      <c r="L942" s="7">
        <v>31.0</v>
      </c>
      <c r="M942" s="7">
        <v>31.0</v>
      </c>
      <c r="N942" s="7">
        <v>0.0</v>
      </c>
      <c r="O942" s="7">
        <v>31.0</v>
      </c>
      <c r="P942" s="7">
        <v>31.0</v>
      </c>
      <c r="Q942" s="7">
        <v>0.0</v>
      </c>
      <c r="R942" s="7">
        <v>252.0</v>
      </c>
      <c r="S942" s="7">
        <v>4.0</v>
      </c>
      <c r="T942" s="7">
        <v>0.0</v>
      </c>
      <c r="U942" s="7">
        <v>0.0</v>
      </c>
      <c r="V942" s="7">
        <v>252.0</v>
      </c>
      <c r="W942" s="7">
        <f>VLOOKUP($D942,NatureChart,2,0)</f>
        <v>1.1</v>
      </c>
      <c r="X942" s="7">
        <f>VLOOKUP($D942,NatureChart,3,0)</f>
        <v>1</v>
      </c>
      <c r="Y942" s="7">
        <f>VLOOKUP($D942,NatureChart,4,0)</f>
        <v>0.9</v>
      </c>
      <c r="Z942" s="7">
        <f>VLOOKUP($D942,NatureChart,5,0)</f>
        <v>1</v>
      </c>
      <c r="AA942" s="84">
        <f>VLOOKUP($D942,NatureChart,6,0)</f>
        <v>1</v>
      </c>
      <c r="AB942" s="84">
        <f>IF($C942="Shedinja",1,(INT((2*VLOOKUP($C942,DexData,5,0)+INT(Q942/4)+K942)/2)+60))</f>
        <v>1</v>
      </c>
      <c r="AC942" s="84">
        <f>INT(INT((INT((2*VLOOKUP($C942,DexData,6,0)+INT(R942/4)+L942)/2)+5)*W942)*IF($E942="Choice Band",1.5,IF(OR($E942="Mawilite",$E942="Medichamite",$E942="Thick Club"),2,1)))</f>
        <v>156</v>
      </c>
      <c r="AD942" s="84">
        <f>INT(INT((INT((2*VLOOKUP($C942,DexData,7,0)+INT(S942/4)+M942)/2)+5)*X942)*IF($E942="Eviolite",1.5,1))</f>
        <v>66</v>
      </c>
      <c r="AE942" s="84">
        <f>INT(INT((INT((2*VLOOKUP($C942,DexData,9,0)+INT(T942/4)+N942)/2)+5)*Y942)*IF($E942="Choice Specs",1.5,1))</f>
        <v>31</v>
      </c>
      <c r="AF942" s="84">
        <f>INT(INT((INT((2*VLOOKUP($C942,DexData,10,0)+INT(U942/4)+O942)/2)+5)*Z942)*IF(OR($E942="Eviolite",$E942="Assault Vest"),1.5,1))</f>
        <v>50</v>
      </c>
      <c r="AG942" s="84">
        <f>INT(INT((INT((2*VLOOKUP($C942,DexData,11,0)+INT(V942/4)+P942)/2)+5)*AA942)*IF($E942="Choice Scarf",1.5,IF($E942="Iron Ball",0.5,1)))</f>
        <v>92</v>
      </c>
      <c r="AH942" s="84" t="str">
        <f>VLOOKUP(VLOOKUP($C942,DexData,3,0),Aliases!D$2:E$19,2,0)&amp;IFERROR("/"&amp;VLOOKUP(VLOOKUP($C942,DexData,4,0),Aliases!D$2:E$19,2,0),"")</f>
        <v>BUG/GHO</v>
      </c>
      <c r="AI942" s="7">
        <v>3.0</v>
      </c>
      <c r="AJ942" s="7">
        <f>IF(VLOOKUP(B942,'Set Odds'!A$2:AN$1067,40,0),1,IF(VLOOKUP(B942,'Set Odds'!A$2:AO$1067,41,0),2,0))</f>
        <v>2</v>
      </c>
      <c r="AK942" s="87" t="s">
        <v>4543</v>
      </c>
      <c r="AL942" s="7" t="str">
        <f t="shared" si="1"/>
        <v/>
      </c>
    </row>
    <row r="943" ht="12.75" customHeight="1">
      <c r="A943" s="86">
        <v>942.0</v>
      </c>
      <c r="B943" s="84" t="s">
        <v>4544</v>
      </c>
      <c r="C943" s="7" t="s">
        <v>3885</v>
      </c>
      <c r="D943" s="7" t="s">
        <v>2723</v>
      </c>
      <c r="E943" s="7" t="s">
        <v>4545</v>
      </c>
      <c r="F943" s="84" t="s">
        <v>3407</v>
      </c>
      <c r="G943" s="84" t="s">
        <v>2632</v>
      </c>
      <c r="H943" s="84" t="s">
        <v>2732</v>
      </c>
      <c r="I943" s="84" t="s">
        <v>2951</v>
      </c>
      <c r="J943" s="7" t="s">
        <v>3499</v>
      </c>
      <c r="K943" s="7">
        <v>31.0</v>
      </c>
      <c r="L943" s="7">
        <v>31.0</v>
      </c>
      <c r="M943" s="7">
        <v>31.0</v>
      </c>
      <c r="N943" s="7">
        <v>0.0</v>
      </c>
      <c r="O943" s="7">
        <v>31.0</v>
      </c>
      <c r="P943" s="7">
        <v>31.0</v>
      </c>
      <c r="Q943" s="7">
        <v>252.0</v>
      </c>
      <c r="R943" s="7">
        <v>0.0</v>
      </c>
      <c r="S943" s="7">
        <v>4.0</v>
      </c>
      <c r="T943" s="7">
        <v>0.0</v>
      </c>
      <c r="U943" s="7">
        <v>252.0</v>
      </c>
      <c r="V943" s="7">
        <v>0.0</v>
      </c>
      <c r="W943" s="7">
        <f>VLOOKUP($D943,NatureChart,2,0)</f>
        <v>1</v>
      </c>
      <c r="X943" s="7">
        <f>VLOOKUP($D943,NatureChart,3,0)</f>
        <v>1</v>
      </c>
      <c r="Y943" s="7">
        <f>VLOOKUP($D943,NatureChart,4,0)</f>
        <v>0.9</v>
      </c>
      <c r="Z943" s="7">
        <f>VLOOKUP($D943,NatureChart,5,0)</f>
        <v>1.1</v>
      </c>
      <c r="AA943" s="84">
        <f>VLOOKUP($D943,NatureChart,6,0)</f>
        <v>1</v>
      </c>
      <c r="AB943" s="84">
        <f>IF($C943="Shedinja",1,(INT((2*VLOOKUP($C943,DexData,5,0)+INT(Q943/4)+K943)/2)+60))</f>
        <v>152</v>
      </c>
      <c r="AC943" s="84">
        <f>INT(INT((INT((2*VLOOKUP($C943,DexData,6,0)+INT(R943/4)+L943)/2)+5)*W943)*IF($E943="Choice Band",1.5,IF(OR($E943="Mawilite",$E943="Medichamite",$E943="Thick Club"),2,1)))</f>
        <v>120</v>
      </c>
      <c r="AD943" s="84">
        <f>INT(INT((INT((2*VLOOKUP($C943,DexData,7,0)+INT(S943/4)+M943)/2)+5)*X943)*IF($E943="Eviolite",1.5,1))</f>
        <v>156</v>
      </c>
      <c r="AE943" s="84">
        <f>INT(INT((INT((2*VLOOKUP($C943,DexData,9,0)+INT(T943/4)+N943)/2)+5)*Y943)*IF($E943="Choice Specs",1.5,1))</f>
        <v>63</v>
      </c>
      <c r="AF943" s="84">
        <f>INT(INT((INT((2*VLOOKUP($C943,DexData,10,0)+INT(U943/4)+O943)/2)+5)*Z943)*IF(OR($E943="Eviolite",$E943="Assault Vest"),1.5,1))</f>
        <v>205</v>
      </c>
      <c r="AG943" s="84">
        <f>INT(INT((INT((2*VLOOKUP($C943,DexData,11,0)+INT(V943/4)+P943)/2)+5)*AA943)*IF($E943="Choice Scarf",1.5,IF($E943="Iron Ball",0.5,1)))</f>
        <v>65</v>
      </c>
      <c r="AH943" s="84" t="str">
        <f>VLOOKUP(VLOOKUP($C943,DexData,3,0),Aliases!D$2:E$19,2,0)&amp;IFERROR("/"&amp;VLOOKUP(VLOOKUP($C943,DexData,4,0),Aliases!D$2:E$19,2,0),"")</f>
        <v>GHO</v>
      </c>
      <c r="AI943" s="7">
        <v>1.0</v>
      </c>
      <c r="AJ943" s="7">
        <f>IF(VLOOKUP(B943,'Set Odds'!A$2:AN$1067,40,0),1,IF(VLOOKUP(B943,'Set Odds'!A$2:AO$1067,41,0),2,0))</f>
        <v>2</v>
      </c>
      <c r="AK943" s="87" t="s">
        <v>4543</v>
      </c>
      <c r="AL943" s="7" t="str">
        <f t="shared" si="1"/>
        <v/>
      </c>
    </row>
    <row r="944" ht="12.75" customHeight="1">
      <c r="A944" s="86">
        <v>943.0</v>
      </c>
      <c r="B944" s="84" t="s">
        <v>4546</v>
      </c>
      <c r="C944" s="7" t="s">
        <v>3758</v>
      </c>
      <c r="D944" s="7" t="s">
        <v>2635</v>
      </c>
      <c r="E944" s="7" t="s">
        <v>2524</v>
      </c>
      <c r="F944" s="84" t="s">
        <v>2661</v>
      </c>
      <c r="G944" s="84" t="s">
        <v>4072</v>
      </c>
      <c r="H944" s="84" t="s">
        <v>3435</v>
      </c>
      <c r="I944" s="84" t="s">
        <v>2638</v>
      </c>
      <c r="J944" s="7" t="s">
        <v>2714</v>
      </c>
      <c r="K944" s="7">
        <v>31.0</v>
      </c>
      <c r="L944" s="7">
        <v>0.0</v>
      </c>
      <c r="M944" s="7">
        <v>31.0</v>
      </c>
      <c r="N944" s="7">
        <v>31.0</v>
      </c>
      <c r="O944" s="7">
        <v>31.0</v>
      </c>
      <c r="P944" s="7">
        <v>31.0</v>
      </c>
      <c r="Q944" s="7">
        <v>4.0</v>
      </c>
      <c r="R944" s="7">
        <v>0.0</v>
      </c>
      <c r="S944" s="7">
        <v>0.0</v>
      </c>
      <c r="T944" s="7">
        <v>252.0</v>
      </c>
      <c r="U944" s="7">
        <v>0.0</v>
      </c>
      <c r="V944" s="7">
        <v>252.0</v>
      </c>
      <c r="W944" s="7">
        <f>VLOOKUP($D944,NatureChart,2,0)</f>
        <v>0.9</v>
      </c>
      <c r="X944" s="7">
        <f>VLOOKUP($D944,NatureChart,3,0)</f>
        <v>1</v>
      </c>
      <c r="Y944" s="7">
        <f>VLOOKUP($D944,NatureChart,4,0)</f>
        <v>1</v>
      </c>
      <c r="Z944" s="7">
        <f>VLOOKUP($D944,NatureChart,5,0)</f>
        <v>1</v>
      </c>
      <c r="AA944" s="84">
        <f>VLOOKUP($D944,NatureChart,6,0)</f>
        <v>1.1</v>
      </c>
      <c r="AB944" s="84">
        <f>IF($C944="Shedinja",1,(INT((2*VLOOKUP($C944,DexData,5,0)+INT(Q944/4)+K944)/2)+60))</f>
        <v>136</v>
      </c>
      <c r="AC944" s="84">
        <f>INT(INT((INT((2*VLOOKUP($C944,DexData,6,0)+INT(R944/4)+L944)/2)+5)*W944)*IF($E944="Choice Band",1.5,IF(OR($E944="Mawilite",$E944="Medichamite",$E944="Thick Club"),2,1)))</f>
        <v>58</v>
      </c>
      <c r="AD944" s="84">
        <f>INT(INT((INT((2*VLOOKUP($C944,DexData,7,0)+INT(S944/4)+M944)/2)+5)*X944)*IF($E944="Eviolite",1.5,1))</f>
        <v>80</v>
      </c>
      <c r="AE944" s="84">
        <f>INT(INT((INT((2*VLOOKUP($C944,DexData,9,0)+INT(T944/4)+N944)/2)+5)*Y944)*IF($E944="Choice Specs",1.5,1))</f>
        <v>157</v>
      </c>
      <c r="AF944" s="84">
        <f>INT(INT((INT((2*VLOOKUP($C944,DexData,10,0)+INT(U944/4)+O944)/2)+5)*Z944)*IF(OR($E944="Eviolite",$E944="Assault Vest"),1.5,1))</f>
        <v>125</v>
      </c>
      <c r="AG944" s="84">
        <f>INT(INT((INT((2*VLOOKUP($C944,DexData,11,0)+INT(V944/4)+P944)/2)+5)*AA944)*IF($E944="Choice Scarf",1.5,IF($E944="Iron Ball",0.5,1)))</f>
        <v>172</v>
      </c>
      <c r="AH944" s="84" t="str">
        <f>VLOOKUP(VLOOKUP($C944,DexData,3,0),Aliases!D$2:E$19,2,0)&amp;IFERROR("/"&amp;VLOOKUP(VLOOKUP($C944,DexData,4,0),Aliases!D$2:E$19,2,0),"")</f>
        <v>GHO</v>
      </c>
      <c r="AI944" s="7">
        <v>1.0</v>
      </c>
      <c r="AJ944" s="7">
        <f>IF(VLOOKUP(B944,'Set Odds'!A$2:AN$1067,40,0),1,IF(VLOOKUP(B944,'Set Odds'!A$2:AO$1067,41,0),2,0))</f>
        <v>2</v>
      </c>
      <c r="AK944" s="87" t="s">
        <v>4543</v>
      </c>
      <c r="AL944" s="7" t="str">
        <f t="shared" si="1"/>
        <v/>
      </c>
    </row>
    <row r="945" ht="12.75" customHeight="1">
      <c r="A945" s="86">
        <v>944.0</v>
      </c>
      <c r="B945" s="84" t="s">
        <v>4547</v>
      </c>
      <c r="C945" s="7" t="s">
        <v>3885</v>
      </c>
      <c r="D945" s="7" t="s">
        <v>2723</v>
      </c>
      <c r="E945" s="7" t="s">
        <v>4545</v>
      </c>
      <c r="F945" s="84" t="s">
        <v>3407</v>
      </c>
      <c r="G945" s="84" t="s">
        <v>2632</v>
      </c>
      <c r="H945" s="84" t="s">
        <v>2732</v>
      </c>
      <c r="I945" s="84" t="s">
        <v>2951</v>
      </c>
      <c r="J945" s="7" t="s">
        <v>3499</v>
      </c>
      <c r="K945" s="7">
        <v>31.0</v>
      </c>
      <c r="L945" s="7">
        <v>31.0</v>
      </c>
      <c r="M945" s="7">
        <v>31.0</v>
      </c>
      <c r="N945" s="7">
        <v>0.0</v>
      </c>
      <c r="O945" s="7">
        <v>31.0</v>
      </c>
      <c r="P945" s="7">
        <v>31.0</v>
      </c>
      <c r="Q945" s="7">
        <v>252.0</v>
      </c>
      <c r="R945" s="7">
        <v>0.0</v>
      </c>
      <c r="S945" s="7">
        <v>4.0</v>
      </c>
      <c r="T945" s="7">
        <v>0.0</v>
      </c>
      <c r="U945" s="7">
        <v>252.0</v>
      </c>
      <c r="V945" s="7">
        <v>0.0</v>
      </c>
      <c r="W945" s="7">
        <f>VLOOKUP($D945,NatureChart,2,0)</f>
        <v>1</v>
      </c>
      <c r="X945" s="7">
        <f>VLOOKUP($D945,NatureChart,3,0)</f>
        <v>1</v>
      </c>
      <c r="Y945" s="7">
        <f>VLOOKUP($D945,NatureChart,4,0)</f>
        <v>0.9</v>
      </c>
      <c r="Z945" s="7">
        <f>VLOOKUP($D945,NatureChart,5,0)</f>
        <v>1.1</v>
      </c>
      <c r="AA945" s="84">
        <f>VLOOKUP($D945,NatureChart,6,0)</f>
        <v>1</v>
      </c>
      <c r="AB945" s="84">
        <f>IF($C945="Shedinja",1,(INT((2*VLOOKUP($C945,DexData,5,0)+INT(Q945/4)+K945)/2)+60))</f>
        <v>152</v>
      </c>
      <c r="AC945" s="84">
        <f>INT(INT((INT((2*VLOOKUP($C945,DexData,6,0)+INT(R945/4)+L945)/2)+5)*W945)*IF($E945="Choice Band",1.5,IF(OR($E945="Mawilite",$E945="Medichamite",$E945="Thick Club"),2,1)))</f>
        <v>120</v>
      </c>
      <c r="AD945" s="84">
        <f>INT(INT((INT((2*VLOOKUP($C945,DexData,7,0)+INT(S945/4)+M945)/2)+5)*X945)*IF($E945="Eviolite",1.5,1))</f>
        <v>156</v>
      </c>
      <c r="AE945" s="84">
        <f>INT(INT((INT((2*VLOOKUP($C945,DexData,9,0)+INT(T945/4)+N945)/2)+5)*Y945)*IF($E945="Choice Specs",1.5,1))</f>
        <v>63</v>
      </c>
      <c r="AF945" s="84">
        <f>INT(INT((INT((2*VLOOKUP($C945,DexData,10,0)+INT(U945/4)+O945)/2)+5)*Z945)*IF(OR($E945="Eviolite",$E945="Assault Vest"),1.5,1))</f>
        <v>205</v>
      </c>
      <c r="AG945" s="84">
        <f>INT(INT((INT((2*VLOOKUP($C945,DexData,11,0)+INT(V945/4)+P945)/2)+5)*AA945)*IF($E945="Choice Scarf",1.5,IF($E945="Iron Ball",0.5,1)))</f>
        <v>65</v>
      </c>
      <c r="AH945" s="84" t="str">
        <f>VLOOKUP(VLOOKUP($C945,DexData,3,0),Aliases!D$2:E$19,2,0)&amp;IFERROR("/"&amp;VLOOKUP(VLOOKUP($C945,DexData,4,0),Aliases!D$2:E$19,2,0),"")</f>
        <v>GHO</v>
      </c>
      <c r="AI945" s="7">
        <v>1.0</v>
      </c>
      <c r="AJ945" s="7">
        <f>IF(VLOOKUP(B945,'Set Odds'!A$2:AN$1067,40,0),1,IF(VLOOKUP(B945,'Set Odds'!A$2:AO$1067,41,0),2,0))</f>
        <v>2</v>
      </c>
      <c r="AK945" s="87" t="s">
        <v>4543</v>
      </c>
      <c r="AL945" s="7" t="str">
        <f t="shared" si="1"/>
        <v/>
      </c>
    </row>
    <row r="946" ht="12.75" customHeight="1">
      <c r="A946" s="86">
        <v>945.0</v>
      </c>
      <c r="B946" s="84" t="s">
        <v>4548</v>
      </c>
      <c r="C946" s="7" t="s">
        <v>3534</v>
      </c>
      <c r="D946" s="7" t="s">
        <v>2571</v>
      </c>
      <c r="E946" s="7" t="s">
        <v>2636</v>
      </c>
      <c r="F946" s="84" t="s">
        <v>2734</v>
      </c>
      <c r="G946" s="84" t="s">
        <v>2836</v>
      </c>
      <c r="H946" s="84" t="s">
        <v>3113</v>
      </c>
      <c r="I946" s="84" t="s">
        <v>3031</v>
      </c>
      <c r="J946" s="7" t="s">
        <v>2837</v>
      </c>
      <c r="K946" s="7">
        <v>31.0</v>
      </c>
      <c r="L946" s="7">
        <v>31.0</v>
      </c>
      <c r="M946" s="7">
        <v>31.0</v>
      </c>
      <c r="N946" s="7">
        <v>0.0</v>
      </c>
      <c r="O946" s="7">
        <v>31.0</v>
      </c>
      <c r="P946" s="7">
        <v>31.0</v>
      </c>
      <c r="Q946" s="7">
        <v>252.0</v>
      </c>
      <c r="R946" s="7">
        <v>252.0</v>
      </c>
      <c r="S946" s="7">
        <v>4.0</v>
      </c>
      <c r="T946" s="7">
        <v>0.0</v>
      </c>
      <c r="U946" s="7">
        <v>0.0</v>
      </c>
      <c r="V946" s="7">
        <v>0.0</v>
      </c>
      <c r="W946" s="7">
        <f>VLOOKUP($D946,NatureChart,2,0)</f>
        <v>1.1</v>
      </c>
      <c r="X946" s="7">
        <f>VLOOKUP($D946,NatureChart,3,0)</f>
        <v>1</v>
      </c>
      <c r="Y946" s="7">
        <f>VLOOKUP($D946,NatureChart,4,0)</f>
        <v>0.9</v>
      </c>
      <c r="Z946" s="7">
        <f>VLOOKUP($D946,NatureChart,5,0)</f>
        <v>1</v>
      </c>
      <c r="AA946" s="84">
        <f>VLOOKUP($D946,NatureChart,6,0)</f>
        <v>1</v>
      </c>
      <c r="AB946" s="84">
        <f>IF($C946="Shedinja",1,(INT((2*VLOOKUP($C946,DexData,5,0)+INT(Q946/4)+K946)/2)+60))</f>
        <v>170</v>
      </c>
      <c r="AC946" s="84">
        <f>INT(INT((INT((2*VLOOKUP($C946,DexData,6,0)+INT(R946/4)+L946)/2)+5)*W946)*IF($E946="Choice Band",1.5,IF(OR($E946="Mawilite",$E946="Medichamite",$E946="Thick Club"),2,1)))</f>
        <v>189</v>
      </c>
      <c r="AD946" s="84">
        <f>INT(INT((INT((2*VLOOKUP($C946,DexData,7,0)+INT(S946/4)+M946)/2)+5)*X946)*IF($E946="Eviolite",1.5,1))</f>
        <v>106</v>
      </c>
      <c r="AE946" s="84">
        <f>INT(INT((INT((2*VLOOKUP($C946,DexData,9,0)+INT(T946/4)+N946)/2)+5)*Y946)*IF($E946="Choice Specs",1.5,1))</f>
        <v>85</v>
      </c>
      <c r="AF946" s="84">
        <f>INT(INT((INT((2*VLOOKUP($C946,DexData,10,0)+INT(U946/4)+O946)/2)+5)*Z946)*IF(OR($E946="Eviolite",$E946="Assault Vest"),1.5,1))</f>
        <v>75</v>
      </c>
      <c r="AG946" s="84">
        <f>INT(INT((INT((2*VLOOKUP($C946,DexData,11,0)+INT(V946/4)+P946)/2)+5)*AA946)*IF($E946="Choice Scarf",1.5,IF($E946="Iron Ball",0.5,1)))</f>
        <v>75</v>
      </c>
      <c r="AH946" s="84" t="str">
        <f>VLOOKUP(VLOOKUP($C946,DexData,3,0),Aliases!D$2:E$19,2,0)&amp;IFERROR("/"&amp;VLOOKUP(VLOOKUP($C946,DexData,4,0),Aliases!D$2:E$19,2,0),"")</f>
        <v>WTR/DRK</v>
      </c>
      <c r="AI946" s="7">
        <v>1.0</v>
      </c>
      <c r="AJ946" s="7">
        <f>IF(VLOOKUP(B946,'Set Odds'!A$2:AN$1067,40,0),1,IF(VLOOKUP(B946,'Set Odds'!A$2:AO$1067,41,0),2,0))</f>
        <v>2</v>
      </c>
      <c r="AK946" s="87" t="s">
        <v>4543</v>
      </c>
      <c r="AL946" s="7" t="str">
        <f t="shared" si="1"/>
        <v/>
      </c>
    </row>
    <row r="947" ht="12.75" customHeight="1">
      <c r="A947" s="86">
        <v>946.0</v>
      </c>
      <c r="B947" s="84" t="s">
        <v>4549</v>
      </c>
      <c r="C947" s="7" t="s">
        <v>3774</v>
      </c>
      <c r="D947" s="7" t="s">
        <v>2635</v>
      </c>
      <c r="E947" s="7" t="s">
        <v>2515</v>
      </c>
      <c r="F947" s="84" t="s">
        <v>2661</v>
      </c>
      <c r="G947" s="84" t="s">
        <v>3052</v>
      </c>
      <c r="H947" s="84" t="s">
        <v>2785</v>
      </c>
      <c r="I947" s="84" t="s">
        <v>4033</v>
      </c>
      <c r="J947" s="7" t="s">
        <v>3496</v>
      </c>
      <c r="K947" s="7">
        <v>31.0</v>
      </c>
      <c r="L947" s="7">
        <v>0.0</v>
      </c>
      <c r="M947" s="7">
        <v>31.0</v>
      </c>
      <c r="N947" s="7">
        <v>31.0</v>
      </c>
      <c r="O947" s="7">
        <v>31.0</v>
      </c>
      <c r="P947" s="7">
        <v>31.0</v>
      </c>
      <c r="Q947" s="7">
        <v>4.0</v>
      </c>
      <c r="R947" s="7">
        <v>0.0</v>
      </c>
      <c r="S947" s="7">
        <v>0.0</v>
      </c>
      <c r="T947" s="7">
        <v>252.0</v>
      </c>
      <c r="U947" s="7">
        <v>0.0</v>
      </c>
      <c r="V947" s="7">
        <v>252.0</v>
      </c>
      <c r="W947" s="7">
        <f>VLOOKUP($D947,NatureChart,2,0)</f>
        <v>0.9</v>
      </c>
      <c r="X947" s="7">
        <f>VLOOKUP($D947,NatureChart,3,0)</f>
        <v>1</v>
      </c>
      <c r="Y947" s="7">
        <f>VLOOKUP($D947,NatureChart,4,0)</f>
        <v>1</v>
      </c>
      <c r="Z947" s="7">
        <f>VLOOKUP($D947,NatureChart,5,0)</f>
        <v>1</v>
      </c>
      <c r="AA947" s="84">
        <f>VLOOKUP($D947,NatureChart,6,0)</f>
        <v>1.1</v>
      </c>
      <c r="AB947" s="84">
        <f>IF($C947="Shedinja",1,(INT((2*VLOOKUP($C947,DexData,5,0)+INT(Q947/4)+K947)/2)+60))</f>
        <v>136</v>
      </c>
      <c r="AC947" s="84">
        <f>INT(INT((INT((2*VLOOKUP($C947,DexData,6,0)+INT(R947/4)+L947)/2)+5)*W947)*IF($E947="Choice Band",1.5,IF(OR($E947="Mawilite",$E947="Medichamite",$E947="Thick Club"),2,1)))</f>
        <v>63</v>
      </c>
      <c r="AD947" s="84">
        <f>INT(INT((INT((2*VLOOKUP($C947,DexData,7,0)+INT(S947/4)+M947)/2)+5)*X947)*IF($E947="Eviolite",1.5,1))</f>
        <v>80</v>
      </c>
      <c r="AE947" s="84">
        <f>INT(INT((INT((2*VLOOKUP($C947,DexData,9,0)+INT(T947/4)+N947)/2)+5)*Y947)*IF($E947="Choice Specs",1.5,1))</f>
        <v>182</v>
      </c>
      <c r="AF947" s="84">
        <f>INT(INT((INT((2*VLOOKUP($C947,DexData,10,0)+INT(U947/4)+O947)/2)+5)*Z947)*IF(OR($E947="Eviolite",$E947="Assault Vest"),1.5,1))</f>
        <v>95</v>
      </c>
      <c r="AG947" s="84">
        <f>INT(INT((INT((2*VLOOKUP($C947,DexData,11,0)+INT(V947/4)+P947)/2)+5)*AA947)*IF($E947="Choice Scarf",1.5,IF($E947="Iron Ball",0.5,1)))</f>
        <v>178</v>
      </c>
      <c r="AH947" s="84" t="str">
        <f>VLOOKUP(VLOOKUP($C947,DexData,3,0),Aliases!D$2:E$19,2,0)&amp;IFERROR("/"&amp;VLOOKUP(VLOOKUP($C947,DexData,4,0),Aliases!D$2:E$19,2,0),"")</f>
        <v>GHO/PSN</v>
      </c>
      <c r="AI947" s="7">
        <v>1.0</v>
      </c>
      <c r="AJ947" s="7">
        <f>IF(VLOOKUP(B947,'Set Odds'!A$2:AN$1067,40,0),1,IF(VLOOKUP(B947,'Set Odds'!A$2:AO$1067,41,0),2,0))</f>
        <v>2</v>
      </c>
      <c r="AK947" s="87" t="s">
        <v>4543</v>
      </c>
      <c r="AL947" s="7" t="str">
        <f t="shared" si="1"/>
        <v/>
      </c>
    </row>
    <row r="948" ht="12.75" customHeight="1">
      <c r="A948" s="86">
        <v>947.0</v>
      </c>
      <c r="B948" s="84" t="s">
        <v>4550</v>
      </c>
      <c r="C948" s="7" t="s">
        <v>3174</v>
      </c>
      <c r="D948" s="7" t="s">
        <v>2862</v>
      </c>
      <c r="E948" s="7" t="s">
        <v>2636</v>
      </c>
      <c r="F948" s="84" t="s">
        <v>2732</v>
      </c>
      <c r="G948" s="84" t="s">
        <v>3428</v>
      </c>
      <c r="H948" s="84" t="s">
        <v>2951</v>
      </c>
      <c r="I948" s="84" t="s">
        <v>4085</v>
      </c>
      <c r="J948" s="7" t="s">
        <v>2720</v>
      </c>
      <c r="K948" s="7">
        <v>31.0</v>
      </c>
      <c r="L948" s="7">
        <v>0.0</v>
      </c>
      <c r="M948" s="7">
        <v>31.0</v>
      </c>
      <c r="N948" s="7">
        <v>31.0</v>
      </c>
      <c r="O948" s="7">
        <v>31.0</v>
      </c>
      <c r="P948" s="7">
        <v>31.0</v>
      </c>
      <c r="Q948" s="7">
        <v>252.0</v>
      </c>
      <c r="R948" s="7">
        <v>0.0</v>
      </c>
      <c r="S948" s="7">
        <v>252.0</v>
      </c>
      <c r="T948" s="7">
        <v>0.0</v>
      </c>
      <c r="U948" s="7">
        <v>4.0</v>
      </c>
      <c r="V948" s="7">
        <v>0.0</v>
      </c>
      <c r="W948" s="7">
        <f>VLOOKUP($D948,NatureChart,2,0)</f>
        <v>0.9</v>
      </c>
      <c r="X948" s="7">
        <f>VLOOKUP($D948,NatureChart,3,0)</f>
        <v>1.1</v>
      </c>
      <c r="Y948" s="7">
        <f>VLOOKUP($D948,NatureChart,4,0)</f>
        <v>1</v>
      </c>
      <c r="Z948" s="7">
        <f>VLOOKUP($D948,NatureChart,5,0)</f>
        <v>1</v>
      </c>
      <c r="AA948" s="84">
        <f>VLOOKUP($D948,NatureChart,6,0)</f>
        <v>1</v>
      </c>
      <c r="AB948" s="84">
        <f>IF($C948="Shedinja",1,(INT((2*VLOOKUP($C948,DexData,5,0)+INT(Q948/4)+K948)/2)+60))</f>
        <v>157</v>
      </c>
      <c r="AC948" s="84">
        <f>INT(INT((INT((2*VLOOKUP($C948,DexData,6,0)+INT(R948/4)+L948)/2)+5)*W948)*IF($E948="Choice Band",1.5,IF(OR($E948="Mawilite",$E948="Medichamite",$E948="Thick Club"),2,1)))</f>
        <v>72</v>
      </c>
      <c r="AD948" s="84">
        <f>INT(INT((INT((2*VLOOKUP($C948,DexData,7,0)+INT(S948/4)+M948)/2)+5)*X948)*IF($E948="Eviolite",1.5,1))</f>
        <v>139</v>
      </c>
      <c r="AE948" s="84">
        <f>INT(INT((INT((2*VLOOKUP($C948,DexData,9,0)+INT(T948/4)+N948)/2)+5)*Y948)*IF($E948="Choice Specs",1.5,1))</f>
        <v>85</v>
      </c>
      <c r="AF948" s="84">
        <f>INT(INT((INT((2*VLOOKUP($C948,DexData,10,0)+INT(U948/4)+O948)/2)+5)*Z948)*IF(OR($E948="Eviolite",$E948="Assault Vest"),1.5,1))</f>
        <v>86</v>
      </c>
      <c r="AG948" s="84">
        <f>INT(INT((INT((2*VLOOKUP($C948,DexData,11,0)+INT(V948/4)+P948)/2)+5)*AA948)*IF($E948="Choice Scarf",1.5,IF($E948="Iron Ball",0.5,1)))</f>
        <v>70</v>
      </c>
      <c r="AH948" s="84" t="str">
        <f>VLOOKUP(VLOOKUP($C948,DexData,3,0),Aliases!D$2:E$19,2,0)&amp;IFERROR("/"&amp;VLOOKUP(VLOOKUP($C948,DexData,4,0),Aliases!D$2:E$19,2,0),"")</f>
        <v>DRK/GHO</v>
      </c>
      <c r="AI948" s="7">
        <v>1.0</v>
      </c>
      <c r="AJ948" s="7">
        <f>IF(VLOOKUP(B948,'Set Odds'!A$2:AN$1067,40,0),1,IF(VLOOKUP(B948,'Set Odds'!A$2:AO$1067,41,0),2,0))</f>
        <v>2</v>
      </c>
      <c r="AK948" s="87" t="s">
        <v>4543</v>
      </c>
      <c r="AL948" s="7" t="str">
        <f t="shared" si="1"/>
        <v/>
      </c>
    </row>
    <row r="949" ht="12.75" customHeight="1">
      <c r="A949" s="86">
        <v>948.0</v>
      </c>
      <c r="B949" s="84" t="s">
        <v>4551</v>
      </c>
      <c r="C949" s="7" t="s">
        <v>4552</v>
      </c>
      <c r="D949" s="7" t="s">
        <v>3597</v>
      </c>
      <c r="E949" s="7" t="s">
        <v>2516</v>
      </c>
      <c r="F949" s="84" t="s">
        <v>4032</v>
      </c>
      <c r="G949" s="84" t="s">
        <v>2951</v>
      </c>
      <c r="H949" s="84" t="s">
        <v>2670</v>
      </c>
      <c r="I949" s="84" t="s">
        <v>2797</v>
      </c>
      <c r="J949" s="7" t="s">
        <v>4553</v>
      </c>
      <c r="K949" s="7">
        <v>31.0</v>
      </c>
      <c r="L949" s="7">
        <v>0.0</v>
      </c>
      <c r="M949" s="7">
        <v>31.0</v>
      </c>
      <c r="N949" s="7">
        <v>31.0</v>
      </c>
      <c r="O949" s="7">
        <v>31.0</v>
      </c>
      <c r="P949" s="7">
        <v>31.0</v>
      </c>
      <c r="Q949" s="7">
        <v>252.0</v>
      </c>
      <c r="R949" s="7">
        <v>0.0</v>
      </c>
      <c r="S949" s="7">
        <v>4.0</v>
      </c>
      <c r="T949" s="7">
        <v>0.0</v>
      </c>
      <c r="U949" s="7">
        <v>252.0</v>
      </c>
      <c r="V949" s="7">
        <v>0.0</v>
      </c>
      <c r="W949" s="7">
        <f>VLOOKUP($D949,NatureChart,2,0)</f>
        <v>0.9</v>
      </c>
      <c r="X949" s="7">
        <f>VLOOKUP($D949,NatureChart,3,0)</f>
        <v>1</v>
      </c>
      <c r="Y949" s="7">
        <f>VLOOKUP($D949,NatureChart,4,0)</f>
        <v>1</v>
      </c>
      <c r="Z949" s="7">
        <f>VLOOKUP($D949,NatureChart,5,0)</f>
        <v>1.1</v>
      </c>
      <c r="AA949" s="84">
        <f>VLOOKUP($D949,NatureChart,6,0)</f>
        <v>1</v>
      </c>
      <c r="AB949" s="84">
        <f>IF($C949="Shedinja",1,(INT((2*VLOOKUP($C949,DexData,5,0)+INT(Q949/4)+K949)/2)+60))</f>
        <v>157</v>
      </c>
      <c r="AC949" s="84">
        <f>INT(INT((INT((2*VLOOKUP($C949,DexData,6,0)+INT(R949/4)+L949)/2)+5)*W949)*IF($E949="Choice Band",1.5,IF(OR($E949="Mawilite",$E949="Medichamite",$E949="Thick Club"),2,1)))</f>
        <v>87</v>
      </c>
      <c r="AD949" s="84">
        <f>INT(INT((INT((2*VLOOKUP($C949,DexData,7,0)+INT(S949/4)+M949)/2)+5)*X949)*IF($E949="Eviolite",1.5,1))</f>
        <v>129</v>
      </c>
      <c r="AE949" s="84">
        <f>INT(INT((INT((2*VLOOKUP($C949,DexData,9,0)+INT(T949/4)+N949)/2)+5)*Y949)*IF($E949="Choice Specs",1.5,1))</f>
        <v>112</v>
      </c>
      <c r="AF949" s="84">
        <f>INT(INT((INT((2*VLOOKUP($C949,DexData,10,0)+INT(U949/4)+O949)/2)+5)*Z949)*IF(OR($E949="Eviolite",$E949="Assault Vest"),1.5,1))</f>
        <v>176</v>
      </c>
      <c r="AG949" s="84">
        <f>INT(INT((INT((2*VLOOKUP($C949,DexData,11,0)+INT(V949/4)+P949)/2)+5)*AA949)*IF($E949="Choice Scarf",1.5,IF($E949="Iron Ball",0.5,1)))</f>
        <v>55</v>
      </c>
      <c r="AH949" s="84" t="str">
        <f>VLOOKUP(VLOOKUP($C949,DexData,3,0),Aliases!D$2:E$19,2,0)&amp;IFERROR("/"&amp;VLOOKUP(VLOOKUP($C949,DexData,4,0),Aliases!D$2:E$19,2,0),"")</f>
        <v>GHO/DRK</v>
      </c>
      <c r="AI949" s="7">
        <v>1.0</v>
      </c>
      <c r="AJ949" s="7">
        <f>IF(VLOOKUP(B949,'Set Odds'!A$2:AN$1067,40,0),1,IF(VLOOKUP(B949,'Set Odds'!A$2:AO$1067,41,0),2,0))</f>
        <v>2</v>
      </c>
      <c r="AK949" s="87" t="s">
        <v>4543</v>
      </c>
      <c r="AL949" s="7" t="str">
        <f t="shared" si="1"/>
        <v/>
      </c>
    </row>
    <row r="950" ht="12.75" customHeight="1">
      <c r="A950" s="86">
        <v>949.0</v>
      </c>
      <c r="B950" s="84" t="s">
        <v>4554</v>
      </c>
      <c r="C950" s="7" t="s">
        <v>3438</v>
      </c>
      <c r="D950" s="7" t="s">
        <v>2692</v>
      </c>
      <c r="E950" s="7" t="s">
        <v>3726</v>
      </c>
      <c r="F950" s="84" t="s">
        <v>2764</v>
      </c>
      <c r="G950" s="84" t="s">
        <v>2762</v>
      </c>
      <c r="H950" s="84" t="s">
        <v>3454</v>
      </c>
      <c r="I950" s="84" t="s">
        <v>3135</v>
      </c>
      <c r="J950" s="7" t="s">
        <v>3442</v>
      </c>
      <c r="K950" s="7">
        <v>31.0</v>
      </c>
      <c r="L950" s="7">
        <v>31.0</v>
      </c>
      <c r="M950" s="7">
        <v>31.0</v>
      </c>
      <c r="N950" s="7">
        <v>0.0</v>
      </c>
      <c r="O950" s="7">
        <v>31.0</v>
      </c>
      <c r="P950" s="7">
        <v>31.0</v>
      </c>
      <c r="Q950" s="7">
        <v>4.0</v>
      </c>
      <c r="R950" s="7">
        <v>252.0</v>
      </c>
      <c r="S950" s="7">
        <v>0.0</v>
      </c>
      <c r="T950" s="7">
        <v>0.0</v>
      </c>
      <c r="U950" s="7">
        <v>0.0</v>
      </c>
      <c r="V950" s="7">
        <v>252.0</v>
      </c>
      <c r="W950" s="7">
        <f>VLOOKUP($D950,NatureChart,2,0)</f>
        <v>1</v>
      </c>
      <c r="X950" s="7">
        <f>VLOOKUP($D950,NatureChart,3,0)</f>
        <v>1</v>
      </c>
      <c r="Y950" s="7">
        <f>VLOOKUP($D950,NatureChart,4,0)</f>
        <v>0.9</v>
      </c>
      <c r="Z950" s="7">
        <f>VLOOKUP($D950,NatureChart,5,0)</f>
        <v>1</v>
      </c>
      <c r="AA950" s="84">
        <f>VLOOKUP($D950,NatureChart,6,0)</f>
        <v>1.1</v>
      </c>
      <c r="AB950" s="84">
        <f>IF($C950="Shedinja",1,(INT((2*VLOOKUP($C950,DexData,5,0)+INT(Q950/4)+K950)/2)+60))</f>
        <v>167</v>
      </c>
      <c r="AC950" s="84">
        <f>INT(INT((INT((2*VLOOKUP($C950,DexData,6,0)+INT(R950/4)+L950)/2)+5)*W950)*IF($E950="Choice Band",1.5,IF(OR($E950="Mawilite",$E950="Medichamite",$E950="Thick Club"),2,1)))</f>
        <v>186</v>
      </c>
      <c r="AD950" s="84">
        <f>INT(INT((INT((2*VLOOKUP($C950,DexData,7,0)+INT(S950/4)+M950)/2)+5)*X950)*IF($E950="Eviolite",1.5,1))</f>
        <v>115</v>
      </c>
      <c r="AE950" s="84">
        <f>INT(INT((INT((2*VLOOKUP($C950,DexData,9,0)+INT(T950/4)+N950)/2)+5)*Y950)*IF($E950="Choice Specs",1.5,1))</f>
        <v>94</v>
      </c>
      <c r="AF950" s="84">
        <f>INT(INT((INT((2*VLOOKUP($C950,DexData,10,0)+INT(U950/4)+O950)/2)+5)*Z950)*IF(OR($E950="Eviolite",$E950="Assault Vest"),1.5,1))</f>
        <v>120</v>
      </c>
      <c r="AG950" s="84">
        <f>INT(INT((INT((2*VLOOKUP($C950,DexData,11,0)+INT(V950/4)+P950)/2)+5)*AA950)*IF($E950="Choice Scarf",1.5,IF($E950="Iron Ball",0.5,1)))</f>
        <v>145</v>
      </c>
      <c r="AH950" s="84" t="str">
        <f>VLOOKUP(VLOOKUP($C950,DexData,3,0),Aliases!D$2:E$19,2,0)&amp;IFERROR("/"&amp;VLOOKUP(VLOOKUP($C950,DexData,4,0),Aliases!D$2:E$19,2,0),"")</f>
        <v>DRG/FLY</v>
      </c>
      <c r="AI950" s="7">
        <v>1.0</v>
      </c>
      <c r="AJ950" s="7">
        <f>IF(VLOOKUP(B950,'Set Odds'!A$2:AN$1067,40,0),1,IF(VLOOKUP(B950,'Set Odds'!A$2:AO$1067,41,0),2,0))</f>
        <v>2</v>
      </c>
      <c r="AK950" s="87" t="s">
        <v>4543</v>
      </c>
      <c r="AL950" s="7" t="str">
        <f t="shared" si="1"/>
        <v/>
      </c>
    </row>
    <row r="951" ht="12.75" customHeight="1">
      <c r="A951" s="86">
        <v>950.0</v>
      </c>
      <c r="B951" s="84" t="s">
        <v>4555</v>
      </c>
      <c r="C951" s="7" t="s">
        <v>3492</v>
      </c>
      <c r="D951" s="7" t="s">
        <v>2571</v>
      </c>
      <c r="E951" s="7" t="s">
        <v>2636</v>
      </c>
      <c r="F951" s="84" t="s">
        <v>3483</v>
      </c>
      <c r="G951" s="84" t="s">
        <v>2513</v>
      </c>
      <c r="H951" s="84" t="s">
        <v>4334</v>
      </c>
      <c r="I951" s="84" t="s">
        <v>4335</v>
      </c>
      <c r="J951" s="7" t="s">
        <v>2696</v>
      </c>
      <c r="K951" s="7">
        <v>31.0</v>
      </c>
      <c r="L951" s="7">
        <v>31.0</v>
      </c>
      <c r="M951" s="7">
        <v>31.0</v>
      </c>
      <c r="N951" s="7">
        <v>0.0</v>
      </c>
      <c r="O951" s="7">
        <v>31.0</v>
      </c>
      <c r="P951" s="7">
        <v>31.0</v>
      </c>
      <c r="Q951" s="7">
        <v>252.0</v>
      </c>
      <c r="R951" s="7">
        <v>252.0</v>
      </c>
      <c r="S951" s="7">
        <v>4.0</v>
      </c>
      <c r="T951" s="7">
        <v>0.0</v>
      </c>
      <c r="U951" s="7">
        <v>0.0</v>
      </c>
      <c r="V951" s="7">
        <v>0.0</v>
      </c>
      <c r="W951" s="7">
        <f>VLOOKUP($D951,NatureChart,2,0)</f>
        <v>1.1</v>
      </c>
      <c r="X951" s="7">
        <f>VLOOKUP($D951,NatureChart,3,0)</f>
        <v>1</v>
      </c>
      <c r="Y951" s="7">
        <f>VLOOKUP($D951,NatureChart,4,0)</f>
        <v>0.9</v>
      </c>
      <c r="Z951" s="7">
        <f>VLOOKUP($D951,NatureChart,5,0)</f>
        <v>1</v>
      </c>
      <c r="AA951" s="84">
        <f>VLOOKUP($D951,NatureChart,6,0)</f>
        <v>1</v>
      </c>
      <c r="AB951" s="84">
        <f>IF($C951="Shedinja",1,(INT((2*VLOOKUP($C951,DexData,5,0)+INT(Q951/4)+K951)/2)+60))</f>
        <v>157</v>
      </c>
      <c r="AC951" s="84">
        <f>INT(INT((INT((2*VLOOKUP($C951,DexData,6,0)+INT(R951/4)+L951)/2)+5)*W951)*IF($E951="Choice Band",1.5,IF(OR($E951="Mawilite",$E951="Medichamite",$E951="Thick Club"),2,1)))</f>
        <v>161</v>
      </c>
      <c r="AD951" s="84">
        <f>INT(INT((INT((2*VLOOKUP($C951,DexData,7,0)+INT(S951/4)+M951)/2)+5)*X951)*IF($E951="Eviolite",1.5,1))</f>
        <v>116</v>
      </c>
      <c r="AE951" s="84">
        <f>INT(INT((INT((2*VLOOKUP($C951,DexData,9,0)+INT(T951/4)+N951)/2)+5)*Y951)*IF($E951="Choice Specs",1.5,1))</f>
        <v>36</v>
      </c>
      <c r="AF951" s="84">
        <f>INT(INT((INT((2*VLOOKUP($C951,DexData,10,0)+INT(U951/4)+O951)/2)+5)*Z951)*IF(OR($E951="Eviolite",$E951="Assault Vest"),1.5,1))</f>
        <v>130</v>
      </c>
      <c r="AG951" s="84">
        <f>INT(INT((INT((2*VLOOKUP($C951,DexData,11,0)+INT(V951/4)+P951)/2)+5)*AA951)*IF($E951="Choice Scarf",1.5,IF($E951="Iron Ball",0.5,1)))</f>
        <v>90</v>
      </c>
      <c r="AH951" s="84" t="str">
        <f>VLOOKUP(VLOOKUP($C951,DexData,3,0),Aliases!D$2:E$19,2,0)&amp;IFERROR("/"&amp;VLOOKUP(VLOOKUP($C951,DexData,4,0),Aliases!D$2:E$19,2,0),"")</f>
        <v>FTG</v>
      </c>
      <c r="AI951" s="7">
        <v>0.0</v>
      </c>
      <c r="AJ951" s="7">
        <f>IF(VLOOKUP(B951,'Set Odds'!A$2:AN$1067,40,0),1,IF(VLOOKUP(B951,'Set Odds'!A$2:AO$1067,41,0),2,0))</f>
        <v>2</v>
      </c>
      <c r="AK951" s="87" t="s">
        <v>4556</v>
      </c>
      <c r="AL951" s="7" t="str">
        <f t="shared" si="1"/>
        <v/>
      </c>
    </row>
    <row r="952" ht="12.75" customHeight="1">
      <c r="A952" s="86">
        <v>951.0</v>
      </c>
      <c r="B952" s="84" t="s">
        <v>4557</v>
      </c>
      <c r="C952" s="7" t="s">
        <v>3742</v>
      </c>
      <c r="D952" s="7" t="s">
        <v>2635</v>
      </c>
      <c r="E952" s="7" t="s">
        <v>2665</v>
      </c>
      <c r="F952" s="84" t="s">
        <v>3047</v>
      </c>
      <c r="G952" s="84" t="s">
        <v>3730</v>
      </c>
      <c r="H952" s="84" t="s">
        <v>2832</v>
      </c>
      <c r="I952" s="84" t="s">
        <v>3590</v>
      </c>
      <c r="J952" s="7" t="s">
        <v>3049</v>
      </c>
      <c r="K952" s="7">
        <v>31.0</v>
      </c>
      <c r="L952" s="7">
        <v>0.0</v>
      </c>
      <c r="M952" s="7">
        <v>31.0</v>
      </c>
      <c r="N952" s="7">
        <v>31.0</v>
      </c>
      <c r="O952" s="7">
        <v>31.0</v>
      </c>
      <c r="P952" s="7">
        <v>31.0</v>
      </c>
      <c r="Q952" s="7">
        <v>4.0</v>
      </c>
      <c r="R952" s="7">
        <v>0.0</v>
      </c>
      <c r="S952" s="7">
        <v>0.0</v>
      </c>
      <c r="T952" s="7">
        <v>252.0</v>
      </c>
      <c r="U952" s="7">
        <v>0.0</v>
      </c>
      <c r="V952" s="7">
        <v>252.0</v>
      </c>
      <c r="W952" s="7">
        <f>VLOOKUP($D952,NatureChart,2,0)</f>
        <v>0.9</v>
      </c>
      <c r="X952" s="7">
        <f>VLOOKUP($D952,NatureChart,3,0)</f>
        <v>1</v>
      </c>
      <c r="Y952" s="7">
        <f>VLOOKUP($D952,NatureChart,4,0)</f>
        <v>1</v>
      </c>
      <c r="Z952" s="7">
        <f>VLOOKUP($D952,NatureChart,5,0)</f>
        <v>1</v>
      </c>
      <c r="AA952" s="84">
        <f>VLOOKUP($D952,NatureChart,6,0)</f>
        <v>1.1</v>
      </c>
      <c r="AB952" s="84">
        <f>IF($C952="Shedinja",1,(INT((2*VLOOKUP($C952,DexData,5,0)+INT(Q952/4)+K952)/2)+60))</f>
        <v>166</v>
      </c>
      <c r="AC952" s="84">
        <f>INT(INT((INT((2*VLOOKUP($C952,DexData,6,0)+INT(R952/4)+L952)/2)+5)*W952)*IF($E952="Choice Band",1.5,IF(OR($E952="Mawilite",$E952="Medichamite",$E952="Thick Club"),2,1)))</f>
        <v>87</v>
      </c>
      <c r="AD952" s="84">
        <f>INT(INT((INT((2*VLOOKUP($C952,DexData,7,0)+INT(S952/4)+M952)/2)+5)*X952)*IF($E952="Eviolite",1.5,1))</f>
        <v>95</v>
      </c>
      <c r="AE952" s="84">
        <f>INT(INT((INT((2*VLOOKUP($C952,DexData,9,0)+INT(T952/4)+N952)/2)+5)*Y952)*IF($E952="Choice Specs",1.5,1))</f>
        <v>144</v>
      </c>
      <c r="AF952" s="84">
        <f>INT(INT((INT((2*VLOOKUP($C952,DexData,10,0)+INT(U952/4)+O952)/2)+5)*Z952)*IF(OR($E952="Eviolite",$E952="Assault Vest"),1.5,1))</f>
        <v>105</v>
      </c>
      <c r="AG952" s="84">
        <f>INT(INT((INT((2*VLOOKUP($C952,DexData,11,0)+INT(V952/4)+P952)/2)+5)*AA952)*IF($E952="Choice Scarf",1.5,IF($E952="Iron Ball",0.5,1)))</f>
        <v>184</v>
      </c>
      <c r="AH952" s="84" t="str">
        <f>VLOOKUP(VLOOKUP($C952,DexData,3,0),Aliases!D$2:E$19,2,0)&amp;IFERROR("/"&amp;VLOOKUP(VLOOKUP($C952,DexData,4,0),Aliases!D$2:E$19,2,0),"")</f>
        <v>GRS/ICE</v>
      </c>
      <c r="AI952" s="7">
        <v>1.0</v>
      </c>
      <c r="AJ952" s="7">
        <f>IF(VLOOKUP(B952,'Set Odds'!A$2:AN$1067,40,0),1,IF(VLOOKUP(B952,'Set Odds'!A$2:AO$1067,41,0),2,0))</f>
        <v>2</v>
      </c>
      <c r="AK952" s="87" t="s">
        <v>4558</v>
      </c>
      <c r="AL952" s="7" t="str">
        <f t="shared" si="1"/>
        <v/>
      </c>
    </row>
    <row r="953" ht="12.75" customHeight="1">
      <c r="A953" s="86">
        <v>952.0</v>
      </c>
      <c r="B953" s="84" t="s">
        <v>4559</v>
      </c>
      <c r="C953" s="7" t="s">
        <v>3876</v>
      </c>
      <c r="D953" s="7" t="s">
        <v>2692</v>
      </c>
      <c r="E953" s="7" t="s">
        <v>2889</v>
      </c>
      <c r="F953" s="84" t="s">
        <v>3483</v>
      </c>
      <c r="G953" s="84" t="s">
        <v>3360</v>
      </c>
      <c r="H953" s="84" t="s">
        <v>3934</v>
      </c>
      <c r="I953" s="84" t="s">
        <v>2517</v>
      </c>
      <c r="J953" s="7" t="s">
        <v>3233</v>
      </c>
      <c r="K953" s="7">
        <v>31.0</v>
      </c>
      <c r="L953" s="7">
        <v>31.0</v>
      </c>
      <c r="M953" s="7">
        <v>31.0</v>
      </c>
      <c r="N953" s="7">
        <v>0.0</v>
      </c>
      <c r="O953" s="7">
        <v>31.0</v>
      </c>
      <c r="P953" s="7">
        <v>31.0</v>
      </c>
      <c r="Q953" s="7">
        <v>4.0</v>
      </c>
      <c r="R953" s="7">
        <v>252.0</v>
      </c>
      <c r="S953" s="7">
        <v>0.0</v>
      </c>
      <c r="T953" s="7">
        <v>0.0</v>
      </c>
      <c r="U953" s="7">
        <v>0.0</v>
      </c>
      <c r="V953" s="7">
        <v>252.0</v>
      </c>
      <c r="W953" s="7">
        <f>VLOOKUP($D953,NatureChart,2,0)</f>
        <v>1</v>
      </c>
      <c r="X953" s="7">
        <f>VLOOKUP($D953,NatureChart,3,0)</f>
        <v>1</v>
      </c>
      <c r="Y953" s="7">
        <f>VLOOKUP($D953,NatureChart,4,0)</f>
        <v>0.9</v>
      </c>
      <c r="Z953" s="7">
        <f>VLOOKUP($D953,NatureChart,5,0)</f>
        <v>1</v>
      </c>
      <c r="AA953" s="84">
        <f>VLOOKUP($D953,NatureChart,6,0)</f>
        <v>1.1</v>
      </c>
      <c r="AB953" s="84">
        <f>IF($C953="Shedinja",1,(INT((2*VLOOKUP($C953,DexData,5,0)+INT(Q953/4)+K953)/2)+60))</f>
        <v>146</v>
      </c>
      <c r="AC953" s="84">
        <f>INT(INT((INT((2*VLOOKUP($C953,DexData,6,0)+INT(R953/4)+L953)/2)+5)*W953)*IF($E953="Choice Band",1.5,IF(OR($E953="Mawilite",$E953="Medichamite",$E953="Thick Club"),2,1)))</f>
        <v>162</v>
      </c>
      <c r="AD953" s="84">
        <f>INT(INT((INT((2*VLOOKUP($C953,DexData,7,0)+INT(S953/4)+M953)/2)+5)*X953)*IF($E953="Eviolite",1.5,1))</f>
        <v>90</v>
      </c>
      <c r="AE953" s="84">
        <f>INT(INT((INT((2*VLOOKUP($C953,DexData,9,0)+INT(T953/4)+N953)/2)+5)*Y953)*IF($E953="Choice Specs",1.5,1))</f>
        <v>108</v>
      </c>
      <c r="AF953" s="84">
        <f>INT(INT((INT((2*VLOOKUP($C953,DexData,10,0)+INT(U953/4)+O953)/2)+5)*Z953)*IF(OR($E953="Eviolite",$E953="Assault Vest"),1.5,1))</f>
        <v>90</v>
      </c>
      <c r="AG953" s="84">
        <f>INT(INT((INT((2*VLOOKUP($C953,DexData,11,0)+INT(V953/4)+P953)/2)+5)*AA953)*IF($E953="Choice Scarf",1.5,IF($E953="Iron Ball",0.5,1)))</f>
        <v>156</v>
      </c>
      <c r="AH953" s="84" t="str">
        <f>VLOOKUP(VLOOKUP($C953,DexData,3,0),Aliases!D$2:E$19,2,0)&amp;IFERROR("/"&amp;VLOOKUP(VLOOKUP($C953,DexData,4,0),Aliases!D$2:E$19,2,0),"")</f>
        <v>FTG/STL</v>
      </c>
      <c r="AI953" s="7">
        <v>0.0</v>
      </c>
      <c r="AJ953" s="7">
        <f>IF(VLOOKUP(B953,'Set Odds'!A$2:AN$1067,40,0),1,IF(VLOOKUP(B953,'Set Odds'!A$2:AO$1067,41,0),2,0))</f>
        <v>2</v>
      </c>
      <c r="AK953" s="87" t="s">
        <v>4556</v>
      </c>
      <c r="AL953" s="7" t="str">
        <f t="shared" si="1"/>
        <v/>
      </c>
    </row>
    <row r="954" ht="12.75" customHeight="1">
      <c r="A954" s="86">
        <v>953.0</v>
      </c>
      <c r="B954" s="84" t="s">
        <v>4560</v>
      </c>
      <c r="C954" s="7" t="s">
        <v>3704</v>
      </c>
      <c r="D954" s="7" t="s">
        <v>2635</v>
      </c>
      <c r="E954" s="7" t="s">
        <v>2524</v>
      </c>
      <c r="F954" s="84" t="s">
        <v>3047</v>
      </c>
      <c r="G954" s="84" t="s">
        <v>2661</v>
      </c>
      <c r="H954" s="84" t="s">
        <v>3435</v>
      </c>
      <c r="I954" s="84" t="s">
        <v>2517</v>
      </c>
      <c r="J954" s="7" t="s">
        <v>3894</v>
      </c>
      <c r="K954" s="7">
        <v>31.0</v>
      </c>
      <c r="L954" s="7">
        <v>0.0</v>
      </c>
      <c r="M954" s="7">
        <v>31.0</v>
      </c>
      <c r="N954" s="7">
        <v>31.0</v>
      </c>
      <c r="O954" s="7">
        <v>31.0</v>
      </c>
      <c r="P954" s="7">
        <v>31.0</v>
      </c>
      <c r="Q954" s="7">
        <v>4.0</v>
      </c>
      <c r="R954" s="7">
        <v>0.0</v>
      </c>
      <c r="S954" s="7">
        <v>0.0</v>
      </c>
      <c r="T954" s="7">
        <v>252.0</v>
      </c>
      <c r="U954" s="7">
        <v>0.0</v>
      </c>
      <c r="V954" s="7">
        <v>252.0</v>
      </c>
      <c r="W954" s="7">
        <f>VLOOKUP($D954,NatureChart,2,0)</f>
        <v>0.9</v>
      </c>
      <c r="X954" s="7">
        <f>VLOOKUP($D954,NatureChart,3,0)</f>
        <v>1</v>
      </c>
      <c r="Y954" s="7">
        <f>VLOOKUP($D954,NatureChart,4,0)</f>
        <v>1</v>
      </c>
      <c r="Z954" s="7">
        <f>VLOOKUP($D954,NatureChart,5,0)</f>
        <v>1</v>
      </c>
      <c r="AA954" s="84">
        <f>VLOOKUP($D954,NatureChart,6,0)</f>
        <v>1.1</v>
      </c>
      <c r="AB954" s="84">
        <f>IF($C954="Shedinja",1,(INT((2*VLOOKUP($C954,DexData,5,0)+INT(Q954/4)+K954)/2)+60))</f>
        <v>146</v>
      </c>
      <c r="AC954" s="84">
        <f>INT(INT((INT((2*VLOOKUP($C954,DexData,6,0)+INT(R954/4)+L954)/2)+5)*W954)*IF($E954="Choice Band",1.5,IF(OR($E954="Mawilite",$E954="Medichamite",$E954="Thick Club"),2,1)))</f>
        <v>76</v>
      </c>
      <c r="AD954" s="84">
        <f>INT(INT((INT((2*VLOOKUP($C954,DexData,7,0)+INT(S954/4)+M954)/2)+5)*X954)*IF($E954="Eviolite",1.5,1))</f>
        <v>90</v>
      </c>
      <c r="AE954" s="84">
        <f>INT(INT((INT((2*VLOOKUP($C954,DexData,9,0)+INT(T954/4)+N954)/2)+5)*Y954)*IF($E954="Choice Specs",1.5,1))</f>
        <v>132</v>
      </c>
      <c r="AF954" s="84">
        <f>INT(INT((INT((2*VLOOKUP($C954,DexData,10,0)+INT(U954/4)+O954)/2)+5)*Z954)*IF(OR($E954="Eviolite",$E954="Assault Vest"),1.5,1))</f>
        <v>90</v>
      </c>
      <c r="AG954" s="84">
        <f>INT(INT((INT((2*VLOOKUP($C954,DexData,11,0)+INT(V954/4)+P954)/2)+5)*AA954)*IF($E954="Choice Scarf",1.5,IF($E954="Iron Ball",0.5,1)))</f>
        <v>178</v>
      </c>
      <c r="AH954" s="84" t="str">
        <f>VLOOKUP(VLOOKUP($C954,DexData,3,0),Aliases!D$2:E$19,2,0)&amp;IFERROR("/"&amp;VLOOKUP(VLOOKUP($C954,DexData,4,0),Aliases!D$2:E$19,2,0),"")</f>
        <v>ICE/GHO</v>
      </c>
      <c r="AI954" s="7">
        <v>1.0</v>
      </c>
      <c r="AJ954" s="7">
        <f>IF(VLOOKUP(B954,'Set Odds'!A$2:AN$1067,40,0),1,IF(VLOOKUP(B954,'Set Odds'!A$2:AO$1067,41,0),2,0))</f>
        <v>2</v>
      </c>
      <c r="AK954" s="87" t="s">
        <v>4558</v>
      </c>
      <c r="AL954" s="7" t="str">
        <f t="shared" si="1"/>
        <v/>
      </c>
    </row>
    <row r="955" ht="12.75" customHeight="1">
      <c r="A955" s="86">
        <v>954.0</v>
      </c>
      <c r="B955" s="84" t="s">
        <v>4561</v>
      </c>
      <c r="C955" s="7" t="s">
        <v>3492</v>
      </c>
      <c r="D955" s="7" t="s">
        <v>2571</v>
      </c>
      <c r="E955" s="7" t="s">
        <v>2636</v>
      </c>
      <c r="F955" s="84" t="s">
        <v>3483</v>
      </c>
      <c r="G955" s="84" t="s">
        <v>2513</v>
      </c>
      <c r="H955" s="84" t="s">
        <v>4334</v>
      </c>
      <c r="I955" s="84" t="s">
        <v>4335</v>
      </c>
      <c r="J955" s="7" t="s">
        <v>2696</v>
      </c>
      <c r="K955" s="7">
        <v>31.0</v>
      </c>
      <c r="L955" s="7">
        <v>31.0</v>
      </c>
      <c r="M955" s="7">
        <v>31.0</v>
      </c>
      <c r="N955" s="7">
        <v>0.0</v>
      </c>
      <c r="O955" s="7">
        <v>31.0</v>
      </c>
      <c r="P955" s="7">
        <v>31.0</v>
      </c>
      <c r="Q955" s="7">
        <v>4.0</v>
      </c>
      <c r="R955" s="7">
        <v>252.0</v>
      </c>
      <c r="S955" s="7">
        <v>0.0</v>
      </c>
      <c r="T955" s="7">
        <v>0.0</v>
      </c>
      <c r="U955" s="7">
        <v>0.0</v>
      </c>
      <c r="V955" s="7">
        <v>252.0</v>
      </c>
      <c r="W955" s="7">
        <f>VLOOKUP($D955,NatureChart,2,0)</f>
        <v>1.1</v>
      </c>
      <c r="X955" s="7">
        <f>VLOOKUP($D955,NatureChart,3,0)</f>
        <v>1</v>
      </c>
      <c r="Y955" s="7">
        <f>VLOOKUP($D955,NatureChart,4,0)</f>
        <v>0.9</v>
      </c>
      <c r="Z955" s="7">
        <f>VLOOKUP($D955,NatureChart,5,0)</f>
        <v>1</v>
      </c>
      <c r="AA955" s="84">
        <f>VLOOKUP($D955,NatureChart,6,0)</f>
        <v>1</v>
      </c>
      <c r="AB955" s="84">
        <f>IF($C955="Shedinja",1,(INT((2*VLOOKUP($C955,DexData,5,0)+INT(Q955/4)+K955)/2)+60))</f>
        <v>126</v>
      </c>
      <c r="AC955" s="84">
        <f>INT(INT((INT((2*VLOOKUP($C955,DexData,6,0)+INT(R955/4)+L955)/2)+5)*W955)*IF($E955="Choice Band",1.5,IF(OR($E955="Mawilite",$E955="Medichamite",$E955="Thick Club"),2,1)))</f>
        <v>161</v>
      </c>
      <c r="AD955" s="84">
        <f>INT(INT((INT((2*VLOOKUP($C955,DexData,7,0)+INT(S955/4)+M955)/2)+5)*X955)*IF($E955="Eviolite",1.5,1))</f>
        <v>115</v>
      </c>
      <c r="AE955" s="84">
        <f>INT(INT((INT((2*VLOOKUP($C955,DexData,9,0)+INT(T955/4)+N955)/2)+5)*Y955)*IF($E955="Choice Specs",1.5,1))</f>
        <v>36</v>
      </c>
      <c r="AF955" s="84">
        <f>INT(INT((INT((2*VLOOKUP($C955,DexData,10,0)+INT(U955/4)+O955)/2)+5)*Z955)*IF(OR($E955="Eviolite",$E955="Assault Vest"),1.5,1))</f>
        <v>130</v>
      </c>
      <c r="AG955" s="84">
        <f>INT(INT((INT((2*VLOOKUP($C955,DexData,11,0)+INT(V955/4)+P955)/2)+5)*AA955)*IF($E955="Choice Scarf",1.5,IF($E955="Iron Ball",0.5,1)))</f>
        <v>122</v>
      </c>
      <c r="AH955" s="84" t="str">
        <f>VLOOKUP(VLOOKUP($C955,DexData,3,0),Aliases!D$2:E$19,2,0)&amp;IFERROR("/"&amp;VLOOKUP(VLOOKUP($C955,DexData,4,0),Aliases!D$2:E$19,2,0),"")</f>
        <v>FTG</v>
      </c>
      <c r="AI955" s="7">
        <v>0.0</v>
      </c>
      <c r="AJ955" s="7">
        <f>IF(VLOOKUP(B955,'Set Odds'!A$2:AN$1067,40,0),1,IF(VLOOKUP(B955,'Set Odds'!A$2:AO$1067,41,0),2,0))</f>
        <v>2</v>
      </c>
      <c r="AK955" s="87" t="s">
        <v>4556</v>
      </c>
      <c r="AL955" s="7" t="str">
        <f t="shared" si="1"/>
        <v/>
      </c>
    </row>
    <row r="956" ht="12.75" customHeight="1">
      <c r="A956" s="86">
        <v>955.0</v>
      </c>
      <c r="B956" s="84" t="s">
        <v>4562</v>
      </c>
      <c r="C956" s="7" t="s">
        <v>3742</v>
      </c>
      <c r="D956" s="7" t="s">
        <v>2635</v>
      </c>
      <c r="E956" s="7" t="s">
        <v>2665</v>
      </c>
      <c r="F956" s="84" t="s">
        <v>3047</v>
      </c>
      <c r="G956" s="84" t="s">
        <v>3730</v>
      </c>
      <c r="H956" s="84" t="s">
        <v>2832</v>
      </c>
      <c r="I956" s="84" t="s">
        <v>3590</v>
      </c>
      <c r="J956" s="7" t="s">
        <v>3049</v>
      </c>
      <c r="K956" s="7">
        <v>31.0</v>
      </c>
      <c r="L956" s="7">
        <v>0.0</v>
      </c>
      <c r="M956" s="7">
        <v>31.0</v>
      </c>
      <c r="N956" s="7">
        <v>31.0</v>
      </c>
      <c r="O956" s="7">
        <v>31.0</v>
      </c>
      <c r="P956" s="7">
        <v>31.0</v>
      </c>
      <c r="Q956" s="7">
        <v>4.0</v>
      </c>
      <c r="R956" s="7">
        <v>0.0</v>
      </c>
      <c r="S956" s="7">
        <v>0.0</v>
      </c>
      <c r="T956" s="7">
        <v>252.0</v>
      </c>
      <c r="U956" s="7">
        <v>0.0</v>
      </c>
      <c r="V956" s="7">
        <v>252.0</v>
      </c>
      <c r="W956" s="7">
        <f>VLOOKUP($D956,NatureChart,2,0)</f>
        <v>0.9</v>
      </c>
      <c r="X956" s="7">
        <f>VLOOKUP($D956,NatureChart,3,0)</f>
        <v>1</v>
      </c>
      <c r="Y956" s="7">
        <f>VLOOKUP($D956,NatureChart,4,0)</f>
        <v>1</v>
      </c>
      <c r="Z956" s="7">
        <f>VLOOKUP($D956,NatureChart,5,0)</f>
        <v>1</v>
      </c>
      <c r="AA956" s="84">
        <f>VLOOKUP($D956,NatureChart,6,0)</f>
        <v>1.1</v>
      </c>
      <c r="AB956" s="84">
        <f>IF($C956="Shedinja",1,(INT((2*VLOOKUP($C956,DexData,5,0)+INT(Q956/4)+K956)/2)+60))</f>
        <v>166</v>
      </c>
      <c r="AC956" s="84">
        <f>INT(INT((INT((2*VLOOKUP($C956,DexData,6,0)+INT(R956/4)+L956)/2)+5)*W956)*IF($E956="Choice Band",1.5,IF(OR($E956="Mawilite",$E956="Medichamite",$E956="Thick Club"),2,1)))</f>
        <v>87</v>
      </c>
      <c r="AD956" s="84">
        <f>INT(INT((INT((2*VLOOKUP($C956,DexData,7,0)+INT(S956/4)+M956)/2)+5)*X956)*IF($E956="Eviolite",1.5,1))</f>
        <v>95</v>
      </c>
      <c r="AE956" s="84">
        <f>INT(INT((INT((2*VLOOKUP($C956,DexData,9,0)+INT(T956/4)+N956)/2)+5)*Y956)*IF($E956="Choice Specs",1.5,1))</f>
        <v>144</v>
      </c>
      <c r="AF956" s="84">
        <f>INT(INT((INT((2*VLOOKUP($C956,DexData,10,0)+INT(U956/4)+O956)/2)+5)*Z956)*IF(OR($E956="Eviolite",$E956="Assault Vest"),1.5,1))</f>
        <v>105</v>
      </c>
      <c r="AG956" s="84">
        <f>INT(INT((INT((2*VLOOKUP($C956,DexData,11,0)+INT(V956/4)+P956)/2)+5)*AA956)*IF($E956="Choice Scarf",1.5,IF($E956="Iron Ball",0.5,1)))</f>
        <v>184</v>
      </c>
      <c r="AH956" s="84" t="str">
        <f>VLOOKUP(VLOOKUP($C956,DexData,3,0),Aliases!D$2:E$19,2,0)&amp;IFERROR("/"&amp;VLOOKUP(VLOOKUP($C956,DexData,4,0),Aliases!D$2:E$19,2,0),"")</f>
        <v>GRS/ICE</v>
      </c>
      <c r="AI956" s="7">
        <v>1.0</v>
      </c>
      <c r="AJ956" s="7">
        <f>IF(VLOOKUP(B956,'Set Odds'!A$2:AN$1067,40,0),1,IF(VLOOKUP(B956,'Set Odds'!A$2:AO$1067,41,0),2,0))</f>
        <v>2</v>
      </c>
      <c r="AK956" s="87" t="s">
        <v>4558</v>
      </c>
      <c r="AL956" s="7" t="str">
        <f t="shared" si="1"/>
        <v/>
      </c>
    </row>
    <row r="957" ht="12.75" customHeight="1">
      <c r="A957" s="86">
        <v>956.0</v>
      </c>
      <c r="B957" s="84" t="s">
        <v>4563</v>
      </c>
      <c r="C957" s="7" t="s">
        <v>3876</v>
      </c>
      <c r="D957" s="7" t="s">
        <v>2692</v>
      </c>
      <c r="E957" s="7" t="s">
        <v>2889</v>
      </c>
      <c r="F957" s="84" t="s">
        <v>3483</v>
      </c>
      <c r="G957" s="84" t="s">
        <v>3360</v>
      </c>
      <c r="H957" s="84" t="s">
        <v>3934</v>
      </c>
      <c r="I957" s="84" t="s">
        <v>2517</v>
      </c>
      <c r="J957" s="7" t="s">
        <v>3233</v>
      </c>
      <c r="K957" s="7">
        <v>31.0</v>
      </c>
      <c r="L957" s="7">
        <v>31.0</v>
      </c>
      <c r="M957" s="7">
        <v>31.0</v>
      </c>
      <c r="N957" s="7">
        <v>0.0</v>
      </c>
      <c r="O957" s="7">
        <v>31.0</v>
      </c>
      <c r="P957" s="7">
        <v>31.0</v>
      </c>
      <c r="Q957" s="7">
        <v>4.0</v>
      </c>
      <c r="R957" s="7">
        <v>252.0</v>
      </c>
      <c r="S957" s="7">
        <v>0.0</v>
      </c>
      <c r="T957" s="7">
        <v>0.0</v>
      </c>
      <c r="U957" s="7">
        <v>0.0</v>
      </c>
      <c r="V957" s="7">
        <v>252.0</v>
      </c>
      <c r="W957" s="7">
        <f>VLOOKUP($D957,NatureChart,2,0)</f>
        <v>1</v>
      </c>
      <c r="X957" s="7">
        <f>VLOOKUP($D957,NatureChart,3,0)</f>
        <v>1</v>
      </c>
      <c r="Y957" s="7">
        <f>VLOOKUP($D957,NatureChart,4,0)</f>
        <v>0.9</v>
      </c>
      <c r="Z957" s="7">
        <f>VLOOKUP($D957,NatureChart,5,0)</f>
        <v>1</v>
      </c>
      <c r="AA957" s="84">
        <f>VLOOKUP($D957,NatureChart,6,0)</f>
        <v>1.1</v>
      </c>
      <c r="AB957" s="84">
        <f>IF($C957="Shedinja",1,(INT((2*VLOOKUP($C957,DexData,5,0)+INT(Q957/4)+K957)/2)+60))</f>
        <v>146</v>
      </c>
      <c r="AC957" s="84">
        <f>INT(INT((INT((2*VLOOKUP($C957,DexData,6,0)+INT(R957/4)+L957)/2)+5)*W957)*IF($E957="Choice Band",1.5,IF(OR($E957="Mawilite",$E957="Medichamite",$E957="Thick Club"),2,1)))</f>
        <v>162</v>
      </c>
      <c r="AD957" s="84">
        <f>INT(INT((INT((2*VLOOKUP($C957,DexData,7,0)+INT(S957/4)+M957)/2)+5)*X957)*IF($E957="Eviolite",1.5,1))</f>
        <v>90</v>
      </c>
      <c r="AE957" s="84">
        <f>INT(INT((INT((2*VLOOKUP($C957,DexData,9,0)+INT(T957/4)+N957)/2)+5)*Y957)*IF($E957="Choice Specs",1.5,1))</f>
        <v>108</v>
      </c>
      <c r="AF957" s="84">
        <f>INT(INT((INT((2*VLOOKUP($C957,DexData,10,0)+INT(U957/4)+O957)/2)+5)*Z957)*IF(OR($E957="Eviolite",$E957="Assault Vest"),1.5,1))</f>
        <v>90</v>
      </c>
      <c r="AG957" s="84">
        <f>INT(INT((INT((2*VLOOKUP($C957,DexData,11,0)+INT(V957/4)+P957)/2)+5)*AA957)*IF($E957="Choice Scarf",1.5,IF($E957="Iron Ball",0.5,1)))</f>
        <v>156</v>
      </c>
      <c r="AH957" s="84" t="str">
        <f>VLOOKUP(VLOOKUP($C957,DexData,3,0),Aliases!D$2:E$19,2,0)&amp;IFERROR("/"&amp;VLOOKUP(VLOOKUP($C957,DexData,4,0),Aliases!D$2:E$19,2,0),"")</f>
        <v>FTG/STL</v>
      </c>
      <c r="AI957" s="7">
        <v>0.0</v>
      </c>
      <c r="AJ957" s="7">
        <f>IF(VLOOKUP(B957,'Set Odds'!A$2:AN$1067,40,0),1,IF(VLOOKUP(B957,'Set Odds'!A$2:AO$1067,41,0),2,0))</f>
        <v>2</v>
      </c>
      <c r="AK957" s="87" t="s">
        <v>4556</v>
      </c>
      <c r="AL957" s="7" t="str">
        <f t="shared" si="1"/>
        <v/>
      </c>
    </row>
    <row r="958" ht="12.75" customHeight="1">
      <c r="A958" s="86">
        <v>957.0</v>
      </c>
      <c r="B958" s="84" t="s">
        <v>4564</v>
      </c>
      <c r="C958" s="7" t="s">
        <v>4210</v>
      </c>
      <c r="D958" s="7" t="s">
        <v>2635</v>
      </c>
      <c r="E958" s="7" t="s">
        <v>3522</v>
      </c>
      <c r="F958" s="84" t="s">
        <v>3047</v>
      </c>
      <c r="G958" s="84" t="s">
        <v>4109</v>
      </c>
      <c r="H958" s="84" t="s">
        <v>4089</v>
      </c>
      <c r="I958" s="84" t="s">
        <v>2781</v>
      </c>
      <c r="J958" s="7" t="s">
        <v>3894</v>
      </c>
      <c r="K958" s="7">
        <v>31.0</v>
      </c>
      <c r="L958" s="7">
        <v>0.0</v>
      </c>
      <c r="M958" s="7">
        <v>31.0</v>
      </c>
      <c r="N958" s="7">
        <v>31.0</v>
      </c>
      <c r="O958" s="7">
        <v>31.0</v>
      </c>
      <c r="P958" s="7">
        <v>31.0</v>
      </c>
      <c r="Q958" s="7">
        <v>4.0</v>
      </c>
      <c r="R958" s="7">
        <v>0.0</v>
      </c>
      <c r="S958" s="7">
        <v>0.0</v>
      </c>
      <c r="T958" s="7">
        <v>252.0</v>
      </c>
      <c r="U958" s="7">
        <v>0.0</v>
      </c>
      <c r="V958" s="7">
        <v>252.0</v>
      </c>
      <c r="W958" s="7">
        <f>VLOOKUP($D958,NatureChart,2,0)</f>
        <v>0.9</v>
      </c>
      <c r="X958" s="7">
        <f>VLOOKUP($D958,NatureChart,3,0)</f>
        <v>1</v>
      </c>
      <c r="Y958" s="7">
        <f>VLOOKUP($D958,NatureChart,4,0)</f>
        <v>1</v>
      </c>
      <c r="Z958" s="7">
        <f>VLOOKUP($D958,NatureChart,5,0)</f>
        <v>1</v>
      </c>
      <c r="AA958" s="84">
        <f>VLOOKUP($D958,NatureChart,6,0)</f>
        <v>1.1</v>
      </c>
      <c r="AB958" s="84">
        <f>IF($C958="Shedinja",1,(INT((2*VLOOKUP($C958,DexData,5,0)+INT(Q958/4)+K958)/2)+60))</f>
        <v>166</v>
      </c>
      <c r="AC958" s="84">
        <f>INT(INT((INT((2*VLOOKUP($C958,DexData,6,0)+INT(R958/4)+L958)/2)+5)*W958)*IF($E958="Choice Band",1.5,IF(OR($E958="Mawilite",$E958="Medichamite",$E958="Thick Club"),2,1)))</f>
        <v>81</v>
      </c>
      <c r="AD958" s="84">
        <f>INT(INT((INT((2*VLOOKUP($C958,DexData,7,0)+INT(S958/4)+M958)/2)+5)*X958)*IF($E958="Eviolite",1.5,1))</f>
        <v>120</v>
      </c>
      <c r="AE958" s="84">
        <f>INT(INT((INT((2*VLOOKUP($C958,DexData,9,0)+INT(T958/4)+N958)/2)+5)*Y958)*IF($E958="Choice Specs",1.5,1))</f>
        <v>220</v>
      </c>
      <c r="AF958" s="84">
        <f>INT(INT((INT((2*VLOOKUP($C958,DexData,10,0)+INT(U958/4)+O958)/2)+5)*Z958)*IF(OR($E958="Eviolite",$E958="Assault Vest"),1.5,1))</f>
        <v>145</v>
      </c>
      <c r="AG958" s="84">
        <f>INT(INT((INT((2*VLOOKUP($C958,DexData,11,0)+INT(V958/4)+P958)/2)+5)*AA958)*IF($E958="Choice Scarf",1.5,IF($E958="Iron Ball",0.5,1)))</f>
        <v>150</v>
      </c>
      <c r="AH958" s="84" t="str">
        <f>VLOOKUP(VLOOKUP($C958,DexData,3,0),Aliases!D$2:E$19,2,0)&amp;IFERROR("/"&amp;VLOOKUP(VLOOKUP($C958,DexData,4,0),Aliases!D$2:E$19,2,0),"")</f>
        <v>ICE/FLY</v>
      </c>
      <c r="AI958" s="7">
        <v>3.0</v>
      </c>
      <c r="AJ958" s="7">
        <f>IF(VLOOKUP(B958,'Set Odds'!A$2:AN$1067,40,0),1,IF(VLOOKUP(B958,'Set Odds'!A$2:AO$1067,41,0),2,0))</f>
        <v>2</v>
      </c>
      <c r="AK958" s="87" t="s">
        <v>4558</v>
      </c>
      <c r="AL958" s="7" t="str">
        <f t="shared" si="1"/>
        <v/>
      </c>
    </row>
    <row r="959" ht="12.75" customHeight="1">
      <c r="A959" s="86">
        <v>958.0</v>
      </c>
      <c r="B959" s="84" t="s">
        <v>4565</v>
      </c>
      <c r="C959" s="7" t="s">
        <v>3492</v>
      </c>
      <c r="D959" s="7" t="s">
        <v>2571</v>
      </c>
      <c r="E959" s="7" t="s">
        <v>2636</v>
      </c>
      <c r="F959" s="84" t="s">
        <v>3483</v>
      </c>
      <c r="G959" s="84" t="s">
        <v>2513</v>
      </c>
      <c r="H959" s="84" t="s">
        <v>4334</v>
      </c>
      <c r="I959" s="84" t="s">
        <v>4335</v>
      </c>
      <c r="J959" s="7" t="s">
        <v>2696</v>
      </c>
      <c r="K959" s="7">
        <v>31.0</v>
      </c>
      <c r="L959" s="7">
        <v>31.0</v>
      </c>
      <c r="M959" s="7">
        <v>31.0</v>
      </c>
      <c r="N959" s="7">
        <v>0.0</v>
      </c>
      <c r="O959" s="7">
        <v>31.0</v>
      </c>
      <c r="P959" s="7">
        <v>31.0</v>
      </c>
      <c r="Q959" s="7">
        <v>252.0</v>
      </c>
      <c r="R959" s="7">
        <v>252.0</v>
      </c>
      <c r="S959" s="7">
        <v>4.0</v>
      </c>
      <c r="T959" s="7">
        <v>0.0</v>
      </c>
      <c r="U959" s="7">
        <v>0.0</v>
      </c>
      <c r="V959" s="7">
        <v>0.0</v>
      </c>
      <c r="W959" s="7">
        <f>VLOOKUP($D959,NatureChart,2,0)</f>
        <v>1.1</v>
      </c>
      <c r="X959" s="7">
        <f>VLOOKUP($D959,NatureChart,3,0)</f>
        <v>1</v>
      </c>
      <c r="Y959" s="7">
        <f>VLOOKUP($D959,NatureChart,4,0)</f>
        <v>0.9</v>
      </c>
      <c r="Z959" s="7">
        <f>VLOOKUP($D959,NatureChart,5,0)</f>
        <v>1</v>
      </c>
      <c r="AA959" s="84">
        <f>VLOOKUP($D959,NatureChart,6,0)</f>
        <v>1</v>
      </c>
      <c r="AB959" s="84">
        <f>IF($C959="Shedinja",1,(INT((2*VLOOKUP($C959,DexData,5,0)+INT(Q959/4)+K959)/2)+60))</f>
        <v>157</v>
      </c>
      <c r="AC959" s="84">
        <f>INT(INT((INT((2*VLOOKUP($C959,DexData,6,0)+INT(R959/4)+L959)/2)+5)*W959)*IF($E959="Choice Band",1.5,IF(OR($E959="Mawilite",$E959="Medichamite",$E959="Thick Club"),2,1)))</f>
        <v>161</v>
      </c>
      <c r="AD959" s="84">
        <f>INT(INT((INT((2*VLOOKUP($C959,DexData,7,0)+INT(S959/4)+M959)/2)+5)*X959)*IF($E959="Eviolite",1.5,1))</f>
        <v>116</v>
      </c>
      <c r="AE959" s="84">
        <f>INT(INT((INT((2*VLOOKUP($C959,DexData,9,0)+INT(T959/4)+N959)/2)+5)*Y959)*IF($E959="Choice Specs",1.5,1))</f>
        <v>36</v>
      </c>
      <c r="AF959" s="84">
        <f>INT(INT((INT((2*VLOOKUP($C959,DexData,10,0)+INT(U959/4)+O959)/2)+5)*Z959)*IF(OR($E959="Eviolite",$E959="Assault Vest"),1.5,1))</f>
        <v>130</v>
      </c>
      <c r="AG959" s="84">
        <f>INT(INT((INT((2*VLOOKUP($C959,DexData,11,0)+INT(V959/4)+P959)/2)+5)*AA959)*IF($E959="Choice Scarf",1.5,IF($E959="Iron Ball",0.5,1)))</f>
        <v>90</v>
      </c>
      <c r="AH959" s="84" t="str">
        <f>VLOOKUP(VLOOKUP($C959,DexData,3,0),Aliases!D$2:E$19,2,0)&amp;IFERROR("/"&amp;VLOOKUP(VLOOKUP($C959,DexData,4,0),Aliases!D$2:E$19,2,0),"")</f>
        <v>FTG</v>
      </c>
      <c r="AI959" s="7">
        <v>0.0</v>
      </c>
      <c r="AJ959" s="7">
        <f>IF(VLOOKUP(B959,'Set Odds'!A$2:AN$1067,40,0),1,IF(VLOOKUP(B959,'Set Odds'!A$2:AO$1067,41,0),2,0))</f>
        <v>2</v>
      </c>
      <c r="AK959" s="87" t="s">
        <v>4556</v>
      </c>
      <c r="AL959" s="7" t="str">
        <f t="shared" si="1"/>
        <v/>
      </c>
    </row>
    <row r="960" ht="12.75" customHeight="1">
      <c r="A960" s="86">
        <v>959.0</v>
      </c>
      <c r="B960" s="84" t="s">
        <v>4566</v>
      </c>
      <c r="C960" s="7" t="s">
        <v>3830</v>
      </c>
      <c r="D960" s="7" t="s">
        <v>2692</v>
      </c>
      <c r="E960" s="7" t="s">
        <v>2515</v>
      </c>
      <c r="F960" s="84" t="s">
        <v>3048</v>
      </c>
      <c r="G960" s="84" t="s">
        <v>2513</v>
      </c>
      <c r="H960" s="84" t="s">
        <v>3578</v>
      </c>
      <c r="I960" s="84" t="s">
        <v>3390</v>
      </c>
      <c r="J960" s="7" t="s">
        <v>3392</v>
      </c>
      <c r="K960" s="7">
        <v>31.0</v>
      </c>
      <c r="L960" s="7">
        <v>31.0</v>
      </c>
      <c r="M960" s="7">
        <v>31.0</v>
      </c>
      <c r="N960" s="7">
        <v>0.0</v>
      </c>
      <c r="O960" s="7">
        <v>31.0</v>
      </c>
      <c r="P960" s="7">
        <v>31.0</v>
      </c>
      <c r="Q960" s="7">
        <v>4.0</v>
      </c>
      <c r="R960" s="7">
        <v>252.0</v>
      </c>
      <c r="S960" s="7">
        <v>0.0</v>
      </c>
      <c r="T960" s="7">
        <v>0.0</v>
      </c>
      <c r="U960" s="7">
        <v>0.0</v>
      </c>
      <c r="V960" s="7">
        <v>252.0</v>
      </c>
      <c r="W960" s="7">
        <f>VLOOKUP($D960,NatureChart,2,0)</f>
        <v>1</v>
      </c>
      <c r="X960" s="7">
        <f>VLOOKUP($D960,NatureChart,3,0)</f>
        <v>1</v>
      </c>
      <c r="Y960" s="7">
        <f>VLOOKUP($D960,NatureChart,4,0)</f>
        <v>0.9</v>
      </c>
      <c r="Z960" s="7">
        <f>VLOOKUP($D960,NatureChart,5,0)</f>
        <v>1</v>
      </c>
      <c r="AA960" s="84">
        <f>VLOOKUP($D960,NatureChart,6,0)</f>
        <v>1.1</v>
      </c>
      <c r="AB960" s="84">
        <f>IF($C960="Shedinja",1,(INT((2*VLOOKUP($C960,DexData,5,0)+INT(Q960/4)+K960)/2)+60))</f>
        <v>146</v>
      </c>
      <c r="AC960" s="84">
        <f>INT(INT((INT((2*VLOOKUP($C960,DexData,6,0)+INT(R960/4)+L960)/2)+5)*W960)*IF($E960="Choice Band",1.5,IF(OR($E960="Mawilite",$E960="Medichamite",$E960="Thick Club"),2,1)))</f>
        <v>172</v>
      </c>
      <c r="AD960" s="84">
        <f>INT(INT((INT((2*VLOOKUP($C960,DexData,7,0)+INT(S960/4)+M960)/2)+5)*X960)*IF($E960="Eviolite",1.5,1))</f>
        <v>85</v>
      </c>
      <c r="AE960" s="84">
        <f>INT(INT((INT((2*VLOOKUP($C960,DexData,9,0)+INT(T960/4)+N960)/2)+5)*Y960)*IF($E960="Choice Specs",1.5,1))</f>
        <v>45</v>
      </c>
      <c r="AF960" s="84">
        <f>INT(INT((INT((2*VLOOKUP($C960,DexData,10,0)+INT(U960/4)+O960)/2)+5)*Z960)*IF(OR($E960="Eviolite",$E960="Assault Vest"),1.5,1))</f>
        <v>105</v>
      </c>
      <c r="AG960" s="84">
        <f>INT(INT((INT((2*VLOOKUP($C960,DexData,11,0)+INT(V960/4)+P960)/2)+5)*AA960)*IF($E960="Choice Scarf",1.5,IF($E960="Iron Ball",0.5,1)))</f>
        <v>194</v>
      </c>
      <c r="AH960" s="84" t="str">
        <f>VLOOKUP(VLOOKUP($C960,DexData,3,0),Aliases!D$2:E$19,2,0)&amp;IFERROR("/"&amp;VLOOKUP(VLOOKUP($C960,DexData,4,0),Aliases!D$2:E$19,2,0),"")</f>
        <v>DRK/ICE</v>
      </c>
      <c r="AI960" s="7">
        <v>1.0</v>
      </c>
      <c r="AJ960" s="7">
        <f>IF(VLOOKUP(B960,'Set Odds'!A$2:AN$1067,40,0),1,IF(VLOOKUP(B960,'Set Odds'!A$2:AO$1067,41,0),2,0))</f>
        <v>2</v>
      </c>
      <c r="AK960" s="87" t="s">
        <v>4558</v>
      </c>
      <c r="AL960" s="7" t="str">
        <f t="shared" si="1"/>
        <v/>
      </c>
    </row>
    <row r="961" ht="12.75" customHeight="1">
      <c r="A961" s="86">
        <v>960.0</v>
      </c>
      <c r="B961" s="84" t="s">
        <v>4567</v>
      </c>
      <c r="C961" s="7" t="s">
        <v>3607</v>
      </c>
      <c r="D961" s="7" t="s">
        <v>2571</v>
      </c>
      <c r="E961" s="7" t="s">
        <v>2889</v>
      </c>
      <c r="F961" s="84" t="s">
        <v>3608</v>
      </c>
      <c r="G961" s="84" t="s">
        <v>3483</v>
      </c>
      <c r="H961" s="84" t="s">
        <v>3454</v>
      </c>
      <c r="I961" s="84" t="s">
        <v>2517</v>
      </c>
      <c r="J961" s="7" t="s">
        <v>3217</v>
      </c>
      <c r="K961" s="7">
        <v>31.0</v>
      </c>
      <c r="L961" s="7">
        <v>31.0</v>
      </c>
      <c r="M961" s="7">
        <v>31.0</v>
      </c>
      <c r="N961" s="7">
        <v>0.0</v>
      </c>
      <c r="O961" s="7">
        <v>31.0</v>
      </c>
      <c r="P961" s="7">
        <v>31.0</v>
      </c>
      <c r="Q961" s="7">
        <v>4.0</v>
      </c>
      <c r="R961" s="7">
        <v>252.0</v>
      </c>
      <c r="S961" s="7">
        <v>0.0</v>
      </c>
      <c r="T961" s="7">
        <v>0.0</v>
      </c>
      <c r="U961" s="7">
        <v>0.0</v>
      </c>
      <c r="V961" s="7">
        <v>252.0</v>
      </c>
      <c r="W961" s="7">
        <f>VLOOKUP($D961,NatureChart,2,0)</f>
        <v>1.1</v>
      </c>
      <c r="X961" s="7">
        <f>VLOOKUP($D961,NatureChart,3,0)</f>
        <v>1</v>
      </c>
      <c r="Y961" s="7">
        <f>VLOOKUP($D961,NatureChart,4,0)</f>
        <v>0.9</v>
      </c>
      <c r="Z961" s="7">
        <f>VLOOKUP($D961,NatureChart,5,0)</f>
        <v>1</v>
      </c>
      <c r="AA961" s="84">
        <f>VLOOKUP($D961,NatureChart,6,0)</f>
        <v>1</v>
      </c>
      <c r="AB961" s="84">
        <f>IF($C961="Shedinja",1,(INT((2*VLOOKUP($C961,DexData,5,0)+INT(Q961/4)+K961)/2)+60))</f>
        <v>156</v>
      </c>
      <c r="AC961" s="84">
        <f>INT(INT((INT((2*VLOOKUP($C961,DexData,6,0)+INT(R961/4)+L961)/2)+5)*W961)*IF($E961="Choice Band",1.5,IF(OR($E961="Mawilite",$E961="Medichamite",$E961="Thick Club"),2,1)))</f>
        <v>189</v>
      </c>
      <c r="AD961" s="84">
        <f>INT(INT((INT((2*VLOOKUP($C961,DexData,7,0)+INT(S961/4)+M961)/2)+5)*X961)*IF($E961="Eviolite",1.5,1))</f>
        <v>90</v>
      </c>
      <c r="AE961" s="84">
        <f>INT(INT((INT((2*VLOOKUP($C961,DexData,9,0)+INT(T961/4)+N961)/2)+5)*Y961)*IF($E961="Choice Specs",1.5,1))</f>
        <v>103</v>
      </c>
      <c r="AF961" s="84">
        <f>INT(INT((INT((2*VLOOKUP($C961,DexData,10,0)+INT(U961/4)+O961)/2)+5)*Z961)*IF(OR($E961="Eviolite",$E961="Assault Vest"),1.5,1))</f>
        <v>90</v>
      </c>
      <c r="AG961" s="84">
        <f>INT(INT((INT((2*VLOOKUP($C961,DexData,11,0)+INT(V961/4)+P961)/2)+5)*AA961)*IF($E961="Choice Scarf",1.5,IF($E961="Iron Ball",0.5,1)))</f>
        <v>132</v>
      </c>
      <c r="AH961" s="84" t="str">
        <f>VLOOKUP(VLOOKUP($C961,DexData,3,0),Aliases!D$2:E$19,2,0)&amp;IFERROR("/"&amp;VLOOKUP(VLOOKUP($C961,DexData,4,0),Aliases!D$2:E$19,2,0),"")</f>
        <v>FIR/FTG</v>
      </c>
      <c r="AI961" s="7">
        <v>0.0</v>
      </c>
      <c r="AJ961" s="7">
        <f>IF(VLOOKUP(B961,'Set Odds'!A$2:AN$1067,40,0),1,IF(VLOOKUP(B961,'Set Odds'!A$2:AO$1067,41,0),2,0))</f>
        <v>2</v>
      </c>
      <c r="AK961" s="87" t="s">
        <v>4556</v>
      </c>
      <c r="AL961" s="7" t="str">
        <f t="shared" si="1"/>
        <v/>
      </c>
    </row>
    <row r="962" ht="12.75" customHeight="1">
      <c r="A962" s="86">
        <v>961.0</v>
      </c>
      <c r="B962" s="84" t="s">
        <v>4568</v>
      </c>
      <c r="C962" s="7" t="s">
        <v>3742</v>
      </c>
      <c r="D962" s="7" t="s">
        <v>2635</v>
      </c>
      <c r="E962" s="7" t="s">
        <v>2665</v>
      </c>
      <c r="F962" s="84" t="s">
        <v>3047</v>
      </c>
      <c r="G962" s="84" t="s">
        <v>3730</v>
      </c>
      <c r="H962" s="84" t="s">
        <v>2832</v>
      </c>
      <c r="I962" s="84" t="s">
        <v>3590</v>
      </c>
      <c r="J962" s="7" t="s">
        <v>3049</v>
      </c>
      <c r="K962" s="7">
        <v>31.0</v>
      </c>
      <c r="L962" s="7">
        <v>0.0</v>
      </c>
      <c r="M962" s="7">
        <v>31.0</v>
      </c>
      <c r="N962" s="7">
        <v>31.0</v>
      </c>
      <c r="O962" s="7">
        <v>31.0</v>
      </c>
      <c r="P962" s="7">
        <v>31.0</v>
      </c>
      <c r="Q962" s="7">
        <v>4.0</v>
      </c>
      <c r="R962" s="7">
        <v>0.0</v>
      </c>
      <c r="S962" s="7">
        <v>0.0</v>
      </c>
      <c r="T962" s="7">
        <v>252.0</v>
      </c>
      <c r="U962" s="7">
        <v>0.0</v>
      </c>
      <c r="V962" s="7">
        <v>252.0</v>
      </c>
      <c r="W962" s="7">
        <f>VLOOKUP($D962,NatureChart,2,0)</f>
        <v>0.9</v>
      </c>
      <c r="X962" s="7">
        <f>VLOOKUP($D962,NatureChart,3,0)</f>
        <v>1</v>
      </c>
      <c r="Y962" s="7">
        <f>VLOOKUP($D962,NatureChart,4,0)</f>
        <v>1</v>
      </c>
      <c r="Z962" s="7">
        <f>VLOOKUP($D962,NatureChart,5,0)</f>
        <v>1</v>
      </c>
      <c r="AA962" s="84">
        <f>VLOOKUP($D962,NatureChart,6,0)</f>
        <v>1.1</v>
      </c>
      <c r="AB962" s="84">
        <f>IF($C962="Shedinja",1,(INT((2*VLOOKUP($C962,DexData,5,0)+INT(Q962/4)+K962)/2)+60))</f>
        <v>166</v>
      </c>
      <c r="AC962" s="84">
        <f>INT(INT((INT((2*VLOOKUP($C962,DexData,6,0)+INT(R962/4)+L962)/2)+5)*W962)*IF($E962="Choice Band",1.5,IF(OR($E962="Mawilite",$E962="Medichamite",$E962="Thick Club"),2,1)))</f>
        <v>87</v>
      </c>
      <c r="AD962" s="84">
        <f>INT(INT((INT((2*VLOOKUP($C962,DexData,7,0)+INT(S962/4)+M962)/2)+5)*X962)*IF($E962="Eviolite",1.5,1))</f>
        <v>95</v>
      </c>
      <c r="AE962" s="84">
        <f>INT(INT((INT((2*VLOOKUP($C962,DexData,9,0)+INT(T962/4)+N962)/2)+5)*Y962)*IF($E962="Choice Specs",1.5,1))</f>
        <v>144</v>
      </c>
      <c r="AF962" s="84">
        <f>INT(INT((INT((2*VLOOKUP($C962,DexData,10,0)+INT(U962/4)+O962)/2)+5)*Z962)*IF(OR($E962="Eviolite",$E962="Assault Vest"),1.5,1))</f>
        <v>105</v>
      </c>
      <c r="AG962" s="84">
        <f>INT(INT((INT((2*VLOOKUP($C962,DexData,11,0)+INT(V962/4)+P962)/2)+5)*AA962)*IF($E962="Choice Scarf",1.5,IF($E962="Iron Ball",0.5,1)))</f>
        <v>184</v>
      </c>
      <c r="AH962" s="84" t="str">
        <f>VLOOKUP(VLOOKUP($C962,DexData,3,0),Aliases!D$2:E$19,2,0)&amp;IFERROR("/"&amp;VLOOKUP(VLOOKUP($C962,DexData,4,0),Aliases!D$2:E$19,2,0),"")</f>
        <v>GRS/ICE</v>
      </c>
      <c r="AI962" s="7">
        <v>1.0</v>
      </c>
      <c r="AJ962" s="7">
        <f>IF(VLOOKUP(B962,'Set Odds'!A$2:AN$1067,40,0),1,IF(VLOOKUP(B962,'Set Odds'!A$2:AO$1067,41,0),2,0))</f>
        <v>2</v>
      </c>
      <c r="AK962" s="87" t="s">
        <v>4558</v>
      </c>
      <c r="AL962" s="7" t="str">
        <f t="shared" si="1"/>
        <v/>
      </c>
    </row>
    <row r="963" ht="12.75" customHeight="1">
      <c r="A963" s="86">
        <v>962.0</v>
      </c>
      <c r="B963" s="84" t="s">
        <v>4569</v>
      </c>
      <c r="C963" s="7" t="s">
        <v>4215</v>
      </c>
      <c r="D963" s="7" t="s">
        <v>2862</v>
      </c>
      <c r="E963" s="7" t="s">
        <v>2528</v>
      </c>
      <c r="F963" s="84" t="s">
        <v>4072</v>
      </c>
      <c r="G963" s="84" t="s">
        <v>4109</v>
      </c>
      <c r="H963" s="84" t="s">
        <v>2732</v>
      </c>
      <c r="I963" s="84" t="s">
        <v>3448</v>
      </c>
      <c r="J963" s="7" t="s">
        <v>3162</v>
      </c>
      <c r="K963" s="7">
        <v>31.0</v>
      </c>
      <c r="L963" s="7">
        <v>0.0</v>
      </c>
      <c r="M963" s="7">
        <v>31.0</v>
      </c>
      <c r="N963" s="7">
        <v>31.0</v>
      </c>
      <c r="O963" s="7">
        <v>31.0</v>
      </c>
      <c r="P963" s="7">
        <v>31.0</v>
      </c>
      <c r="Q963" s="7">
        <v>252.0</v>
      </c>
      <c r="R963" s="7">
        <v>0.0</v>
      </c>
      <c r="S963" s="7">
        <v>252.0</v>
      </c>
      <c r="T963" s="7">
        <v>4.0</v>
      </c>
      <c r="U963" s="7">
        <v>0.0</v>
      </c>
      <c r="V963" s="7">
        <v>0.0</v>
      </c>
      <c r="W963" s="7">
        <f>VLOOKUP($D963,NatureChart,2,0)</f>
        <v>0.9</v>
      </c>
      <c r="X963" s="7">
        <f>VLOOKUP($D963,NatureChart,3,0)</f>
        <v>1.1</v>
      </c>
      <c r="Y963" s="7">
        <f>VLOOKUP($D963,NatureChart,4,0)</f>
        <v>1</v>
      </c>
      <c r="Z963" s="7">
        <f>VLOOKUP($D963,NatureChart,5,0)</f>
        <v>1</v>
      </c>
      <c r="AA963" s="84">
        <f>VLOOKUP($D963,NatureChart,6,0)</f>
        <v>1</v>
      </c>
      <c r="AB963" s="84">
        <f>IF($C963="Shedinja",1,(INT((2*VLOOKUP($C963,DexData,5,0)+INT(Q963/4)+K963)/2)+60))</f>
        <v>197</v>
      </c>
      <c r="AC963" s="84">
        <f>INT(INT((INT((2*VLOOKUP($C963,DexData,6,0)+INT(R963/4)+L963)/2)+5)*W963)*IF($E963="Choice Band",1.5,IF(OR($E963="Mawilite",$E963="Medichamite",$E963="Thick Club"),2,1)))</f>
        <v>94</v>
      </c>
      <c r="AD963" s="84">
        <f>INT(INT((INT((2*VLOOKUP($C963,DexData,7,0)+INT(S963/4)+M963)/2)+5)*X963)*IF($E963="Eviolite",1.5,1))</f>
        <v>156</v>
      </c>
      <c r="AE963" s="84">
        <f>INT(INT((INT((2*VLOOKUP($C963,DexData,9,0)+INT(T963/4)+N963)/2)+5)*Y963)*IF($E963="Choice Specs",1.5,1))</f>
        <v>146</v>
      </c>
      <c r="AF963" s="84">
        <f>INT(INT((INT((2*VLOOKUP($C963,DexData,10,0)+INT(U963/4)+O963)/2)+5)*Z963)*IF(OR($E963="Eviolite",$E963="Assault Vest"),1.5,1))</f>
        <v>105</v>
      </c>
      <c r="AG963" s="84">
        <f>INT(INT((INT((2*VLOOKUP($C963,DexData,11,0)+INT(V963/4)+P963)/2)+5)*AA963)*IF($E963="Choice Scarf",1.5,IF($E963="Iron Ball",0.5,1)))</f>
        <v>110</v>
      </c>
      <c r="AH963" s="84" t="str">
        <f>VLOOKUP(VLOOKUP($C963,DexData,3,0),Aliases!D$2:E$19,2,0)&amp;IFERROR("/"&amp;VLOOKUP(VLOOKUP($C963,DexData,4,0),Aliases!D$2:E$19,2,0),"")</f>
        <v>FIR/FLY</v>
      </c>
      <c r="AI963" s="7">
        <v>3.0</v>
      </c>
      <c r="AJ963" s="7">
        <f>IF(VLOOKUP(B963,'Set Odds'!A$2:AN$1067,40,0),1,IF(VLOOKUP(B963,'Set Odds'!A$2:AO$1067,41,0),2,0))</f>
        <v>2</v>
      </c>
      <c r="AK963" s="87" t="s">
        <v>4570</v>
      </c>
      <c r="AL963" s="7" t="str">
        <f t="shared" si="1"/>
        <v/>
      </c>
    </row>
    <row r="964" ht="12.75" customHeight="1">
      <c r="A964" s="86">
        <v>963.0</v>
      </c>
      <c r="B964" s="84" t="s">
        <v>4571</v>
      </c>
      <c r="C964" s="7" t="s">
        <v>3933</v>
      </c>
      <c r="D964" s="7" t="s">
        <v>2571</v>
      </c>
      <c r="E964" s="7" t="s">
        <v>2636</v>
      </c>
      <c r="F964" s="84" t="s">
        <v>3934</v>
      </c>
      <c r="G964" s="84" t="s">
        <v>3710</v>
      </c>
      <c r="H964" s="84" t="s">
        <v>3454</v>
      </c>
      <c r="I964" s="84" t="s">
        <v>2948</v>
      </c>
      <c r="J964" s="7" t="s">
        <v>3370</v>
      </c>
      <c r="K964" s="7">
        <v>31.0</v>
      </c>
      <c r="L964" s="7">
        <v>31.0</v>
      </c>
      <c r="M964" s="7">
        <v>31.0</v>
      </c>
      <c r="N964" s="7">
        <v>0.0</v>
      </c>
      <c r="O964" s="7">
        <v>31.0</v>
      </c>
      <c r="P964" s="7">
        <v>31.0</v>
      </c>
      <c r="Q964" s="7">
        <v>52.0</v>
      </c>
      <c r="R964" s="7">
        <v>252.0</v>
      </c>
      <c r="S964" s="7">
        <v>0.0</v>
      </c>
      <c r="T964" s="7">
        <v>0.0</v>
      </c>
      <c r="U964" s="7">
        <v>0.0</v>
      </c>
      <c r="V964" s="7">
        <v>204.0</v>
      </c>
      <c r="W964" s="7">
        <f>VLOOKUP($D964,NatureChart,2,0)</f>
        <v>1.1</v>
      </c>
      <c r="X964" s="7">
        <f>VLOOKUP($D964,NatureChart,3,0)</f>
        <v>1</v>
      </c>
      <c r="Y964" s="7">
        <f>VLOOKUP($D964,NatureChart,4,0)</f>
        <v>0.9</v>
      </c>
      <c r="Z964" s="7">
        <f>VLOOKUP($D964,NatureChart,5,0)</f>
        <v>1</v>
      </c>
      <c r="AA964" s="84">
        <f>VLOOKUP($D964,NatureChart,6,0)</f>
        <v>1</v>
      </c>
      <c r="AB964" s="84">
        <f>IF($C964="Shedinja",1,(INT((2*VLOOKUP($C964,DexData,5,0)+INT(Q964/4)+K964)/2)+60))</f>
        <v>162</v>
      </c>
      <c r="AC964" s="84">
        <f>INT(INT((INT((2*VLOOKUP($C964,DexData,6,0)+INT(R964/4)+L964)/2)+5)*W964)*IF($E964="Choice Band",1.5,IF(OR($E964="Mawilite",$E964="Medichamite",$E964="Thick Club"),2,1)))</f>
        <v>205</v>
      </c>
      <c r="AD964" s="84">
        <f>INT(INT((INT((2*VLOOKUP($C964,DexData,7,0)+INT(S964/4)+M964)/2)+5)*X964)*IF($E964="Eviolite",1.5,1))</f>
        <v>150</v>
      </c>
      <c r="AE964" s="84">
        <f>INT(INT((INT((2*VLOOKUP($C964,DexData,9,0)+INT(T964/4)+N964)/2)+5)*Y964)*IF($E964="Choice Specs",1.5,1))</f>
        <v>90</v>
      </c>
      <c r="AF964" s="84">
        <f>INT(INT((INT((2*VLOOKUP($C964,DexData,10,0)+INT(U964/4)+O964)/2)+5)*Z964)*IF(OR($E964="Eviolite",$E964="Assault Vest"),1.5,1))</f>
        <v>110</v>
      </c>
      <c r="AG964" s="84">
        <f>INT(INT((INT((2*VLOOKUP($C964,DexData,11,0)+INT(V964/4)+P964)/2)+5)*AA964)*IF($E964="Choice Scarf",1.5,IF($E964="Iron Ball",0.5,1)))</f>
        <v>116</v>
      </c>
      <c r="AH964" s="84" t="str">
        <f>VLOOKUP(VLOOKUP($C964,DexData,3,0),Aliases!D$2:E$19,2,0)&amp;IFERROR("/"&amp;VLOOKUP(VLOOKUP($C964,DexData,4,0),Aliases!D$2:E$19,2,0),"")</f>
        <v>STL/PSY</v>
      </c>
      <c r="AI964" s="7">
        <v>3.0</v>
      </c>
      <c r="AJ964" s="7">
        <f>IF(VLOOKUP(B964,'Set Odds'!A$2:AN$1067,40,0),1,IF(VLOOKUP(B964,'Set Odds'!A$2:AO$1067,41,0),2,0))</f>
        <v>2</v>
      </c>
      <c r="AK964" s="87" t="s">
        <v>4570</v>
      </c>
      <c r="AL964" s="7" t="str">
        <f t="shared" si="1"/>
        <v/>
      </c>
    </row>
    <row r="965" ht="12.75" customHeight="1">
      <c r="A965" s="86">
        <v>964.0</v>
      </c>
      <c r="B965" s="84" t="s">
        <v>4572</v>
      </c>
      <c r="C965" s="7" t="s">
        <v>3753</v>
      </c>
      <c r="D965" s="7" t="s">
        <v>2571</v>
      </c>
      <c r="E965" s="7" t="s">
        <v>4545</v>
      </c>
      <c r="F965" s="84" t="s">
        <v>3754</v>
      </c>
      <c r="G965" s="84" t="s">
        <v>4107</v>
      </c>
      <c r="H965" s="84" t="s">
        <v>3454</v>
      </c>
      <c r="I965" s="84" t="s">
        <v>3441</v>
      </c>
      <c r="J965" s="7" t="s">
        <v>2728</v>
      </c>
      <c r="K965" s="7">
        <v>31.0</v>
      </c>
      <c r="L965" s="7">
        <v>31.0</v>
      </c>
      <c r="M965" s="7">
        <v>31.0</v>
      </c>
      <c r="N965" s="7">
        <v>0.0</v>
      </c>
      <c r="O965" s="7">
        <v>31.0</v>
      </c>
      <c r="P965" s="7">
        <v>31.0</v>
      </c>
      <c r="Q965" s="7">
        <v>0.0</v>
      </c>
      <c r="R965" s="7">
        <v>252.0</v>
      </c>
      <c r="S965" s="7">
        <v>4.0</v>
      </c>
      <c r="T965" s="7">
        <v>0.0</v>
      </c>
      <c r="U965" s="7">
        <v>0.0</v>
      </c>
      <c r="V965" s="7">
        <v>252.0</v>
      </c>
      <c r="W965" s="7">
        <f>VLOOKUP($D965,NatureChart,2,0)</f>
        <v>1.1</v>
      </c>
      <c r="X965" s="7">
        <f>VLOOKUP($D965,NatureChart,3,0)</f>
        <v>1</v>
      </c>
      <c r="Y965" s="7">
        <f>VLOOKUP($D965,NatureChart,4,0)</f>
        <v>0.9</v>
      </c>
      <c r="Z965" s="7">
        <f>VLOOKUP($D965,NatureChart,5,0)</f>
        <v>1</v>
      </c>
      <c r="AA965" s="84">
        <f>VLOOKUP($D965,NatureChart,6,0)</f>
        <v>1</v>
      </c>
      <c r="AB965" s="84">
        <f>IF($C965="Shedinja",1,(INT((2*VLOOKUP($C965,DexData,5,0)+INT(Q965/4)+K965)/2)+60))</f>
        <v>135</v>
      </c>
      <c r="AC965" s="84">
        <f>INT(INT((INT((2*VLOOKUP($C965,DexData,6,0)+INT(R965/4)+L965)/2)+5)*W965)*IF($E965="Choice Band",1.5,IF(OR($E965="Mawilite",$E965="Medichamite",$E965="Thick Club"),2,1)))</f>
        <v>114</v>
      </c>
      <c r="AD965" s="84">
        <f>INT(INT((INT((2*VLOOKUP($C965,DexData,7,0)+INT(S965/4)+M965)/2)+5)*X965)*IF($E965="Eviolite",1.5,1))</f>
        <v>189</v>
      </c>
      <c r="AE965" s="84">
        <f>INT(INT((INT((2*VLOOKUP($C965,DexData,9,0)+INT(T965/4)+N965)/2)+5)*Y965)*IF($E965="Choice Specs",1.5,1))</f>
        <v>46</v>
      </c>
      <c r="AF965" s="84">
        <f>INT(INT((INT((2*VLOOKUP($C965,DexData,10,0)+INT(U965/4)+O965)/2)+5)*Z965)*IF(OR($E965="Eviolite",$E965="Assault Vest"),1.5,1))</f>
        <v>158</v>
      </c>
      <c r="AG965" s="84">
        <f>INT(INT((INT((2*VLOOKUP($C965,DexData,11,0)+INT(V965/4)+P965)/2)+5)*AA965)*IF($E965="Choice Scarf",1.5,IF($E965="Iron Ball",0.5,1)))</f>
        <v>82</v>
      </c>
      <c r="AH965" s="84" t="str">
        <f>VLOOKUP(VLOOKUP($C965,DexData,3,0),Aliases!D$2:E$19,2,0)&amp;IFERROR("/"&amp;VLOOKUP(VLOOKUP($C965,DexData,4,0),Aliases!D$2:E$19,2,0),"")</f>
        <v>RCK/STL</v>
      </c>
      <c r="AI965" s="7">
        <v>0.0</v>
      </c>
      <c r="AJ965" s="7">
        <f>IF(VLOOKUP(B965,'Set Odds'!A$2:AN$1067,40,0),1,IF(VLOOKUP(B965,'Set Odds'!A$2:AO$1067,41,0),2,0))</f>
        <v>2</v>
      </c>
      <c r="AK965" s="87" t="s">
        <v>4570</v>
      </c>
      <c r="AL965" s="7" t="str">
        <f t="shared" si="1"/>
        <v/>
      </c>
    </row>
    <row r="966" ht="12.75" customHeight="1">
      <c r="A966" s="86">
        <v>965.0</v>
      </c>
      <c r="B966" s="84" t="s">
        <v>4573</v>
      </c>
      <c r="C966" s="7" t="s">
        <v>3783</v>
      </c>
      <c r="D966" s="7" t="s">
        <v>2571</v>
      </c>
      <c r="E966" s="7" t="s">
        <v>2885</v>
      </c>
      <c r="F966" s="84" t="s">
        <v>3784</v>
      </c>
      <c r="G966" s="84" t="s">
        <v>3314</v>
      </c>
      <c r="H966" s="84" t="s">
        <v>2602</v>
      </c>
      <c r="I966" s="84" t="s">
        <v>2890</v>
      </c>
      <c r="J966" s="7" t="s">
        <v>3412</v>
      </c>
      <c r="K966" s="7">
        <v>31.0</v>
      </c>
      <c r="L966" s="7">
        <v>31.0</v>
      </c>
      <c r="M966" s="7">
        <v>31.0</v>
      </c>
      <c r="N966" s="7">
        <v>0.0</v>
      </c>
      <c r="O966" s="7">
        <v>31.0</v>
      </c>
      <c r="P966" s="7">
        <v>31.0</v>
      </c>
      <c r="Q966" s="7">
        <v>236.0</v>
      </c>
      <c r="R966" s="7">
        <v>252.0</v>
      </c>
      <c r="S966" s="7">
        <v>20.0</v>
      </c>
      <c r="T966" s="7">
        <v>0.0</v>
      </c>
      <c r="U966" s="7">
        <v>0.0</v>
      </c>
      <c r="V966" s="7">
        <v>0.0</v>
      </c>
      <c r="W966" s="7">
        <f>VLOOKUP($D966,NatureChart,2,0)</f>
        <v>1.1</v>
      </c>
      <c r="X966" s="7">
        <f>VLOOKUP($D966,NatureChart,3,0)</f>
        <v>1</v>
      </c>
      <c r="Y966" s="7">
        <f>VLOOKUP($D966,NatureChart,4,0)</f>
        <v>0.9</v>
      </c>
      <c r="Z966" s="7">
        <f>VLOOKUP($D966,NatureChart,5,0)</f>
        <v>1</v>
      </c>
      <c r="AA966" s="84">
        <f>VLOOKUP($D966,NatureChart,6,0)</f>
        <v>1</v>
      </c>
      <c r="AB966" s="84">
        <f>IF($C966="Shedinja",1,(INT((2*VLOOKUP($C966,DexData,5,0)+INT(Q966/4)+K966)/2)+60))</f>
        <v>175</v>
      </c>
      <c r="AC966" s="84">
        <f>INT(INT((INT((2*VLOOKUP($C966,DexData,6,0)+INT(R966/4)+L966)/2)+5)*W966)*IF($E966="Choice Band",1.5,IF(OR($E966="Mawilite",$E966="Medichamite",$E966="Thick Club"),2,1)))</f>
        <v>300</v>
      </c>
      <c r="AD966" s="84">
        <f>INT(INT((INT((2*VLOOKUP($C966,DexData,7,0)+INT(S966/4)+M966)/2)+5)*X966)*IF($E966="Eviolite",1.5,1))</f>
        <v>123</v>
      </c>
      <c r="AE966" s="84">
        <f>INT(INT((INT((2*VLOOKUP($C966,DexData,9,0)+INT(T966/4)+N966)/2)+5)*Y966)*IF($E966="Choice Specs",1.5,1))</f>
        <v>54</v>
      </c>
      <c r="AF966" s="84">
        <f>INT(INT((INT((2*VLOOKUP($C966,DexData,10,0)+INT(U966/4)+O966)/2)+5)*Z966)*IF(OR($E966="Eviolite",$E966="Assault Vest"),1.5,1))</f>
        <v>100</v>
      </c>
      <c r="AG966" s="84">
        <f>INT(INT((INT((2*VLOOKUP($C966,DexData,11,0)+INT(V966/4)+P966)/2)+5)*AA966)*IF($E966="Choice Scarf",1.5,IF($E966="Iron Ball",0.5,1)))</f>
        <v>85</v>
      </c>
      <c r="AH966" s="84" t="str">
        <f>VLOOKUP(VLOOKUP($C966,DexData,3,0),Aliases!D$2:E$19,2,0)&amp;IFERROR("/"&amp;VLOOKUP(VLOOKUP($C966,DexData,4,0),Aliases!D$2:E$19,2,0),"")</f>
        <v>BUG/STL</v>
      </c>
      <c r="AI966" s="7">
        <v>0.0</v>
      </c>
      <c r="AJ966" s="7">
        <f>IF(VLOOKUP(B966,'Set Odds'!A$2:AN$1067,40,0),1,IF(VLOOKUP(B966,'Set Odds'!A$2:AO$1067,41,0),2,0))</f>
        <v>2</v>
      </c>
      <c r="AK966" s="87" t="s">
        <v>4570</v>
      </c>
      <c r="AL966" s="7" t="str">
        <f t="shared" si="1"/>
        <v/>
      </c>
    </row>
    <row r="967" ht="12.75" customHeight="1">
      <c r="A967" s="86">
        <v>966.0</v>
      </c>
      <c r="B967" s="84" t="s">
        <v>4574</v>
      </c>
      <c r="C967" s="7" t="s">
        <v>3397</v>
      </c>
      <c r="D967" s="7" t="s">
        <v>2656</v>
      </c>
      <c r="E967" s="7" t="s">
        <v>2665</v>
      </c>
      <c r="F967" s="84" t="s">
        <v>2967</v>
      </c>
      <c r="G967" s="84" t="s">
        <v>2823</v>
      </c>
      <c r="H967" s="84" t="s">
        <v>4109</v>
      </c>
      <c r="I967" s="84" t="s">
        <v>3314</v>
      </c>
      <c r="J967" s="7" t="s">
        <v>3399</v>
      </c>
      <c r="K967" s="7">
        <v>31.0</v>
      </c>
      <c r="L967" s="7">
        <v>0.0</v>
      </c>
      <c r="M967" s="7">
        <v>31.0</v>
      </c>
      <c r="N967" s="7">
        <v>31.0</v>
      </c>
      <c r="O967" s="7">
        <v>31.0</v>
      </c>
      <c r="P967" s="7">
        <v>31.0</v>
      </c>
      <c r="Q967" s="7">
        <v>4.0</v>
      </c>
      <c r="R967" s="7">
        <v>0.0</v>
      </c>
      <c r="S967" s="7">
        <v>0.0</v>
      </c>
      <c r="T967" s="7">
        <v>252.0</v>
      </c>
      <c r="U967" s="7">
        <v>0.0</v>
      </c>
      <c r="V967" s="7">
        <v>252.0</v>
      </c>
      <c r="W967" s="7">
        <f>VLOOKUP($D967,NatureChart,2,0)</f>
        <v>0.9</v>
      </c>
      <c r="X967" s="7">
        <f>VLOOKUP($D967,NatureChart,3,0)</f>
        <v>1</v>
      </c>
      <c r="Y967" s="7">
        <f>VLOOKUP($D967,NatureChart,4,0)</f>
        <v>1.1</v>
      </c>
      <c r="Z967" s="7">
        <f>VLOOKUP($D967,NatureChart,5,0)</f>
        <v>1</v>
      </c>
      <c r="AA967" s="84">
        <f>VLOOKUP($D967,NatureChart,6,0)</f>
        <v>1</v>
      </c>
      <c r="AB967" s="84">
        <f>IF($C967="Shedinja",1,(INT((2*VLOOKUP($C967,DexData,5,0)+INT(Q967/4)+K967)/2)+60))</f>
        <v>136</v>
      </c>
      <c r="AC967" s="84">
        <f>INT(INT((INT((2*VLOOKUP($C967,DexData,6,0)+INT(R967/4)+L967)/2)+5)*W967)*IF($E967="Choice Band",1.5,IF(OR($E967="Mawilite",$E967="Medichamite",$E967="Thick Club"),2,1)))</f>
        <v>49</v>
      </c>
      <c r="AD967" s="84">
        <f>INT(INT((INT((2*VLOOKUP($C967,DexData,7,0)+INT(S967/4)+M967)/2)+5)*X967)*IF($E967="Eviolite",1.5,1))</f>
        <v>120</v>
      </c>
      <c r="AE967" s="84">
        <f>INT(INT((INT((2*VLOOKUP($C967,DexData,9,0)+INT(T967/4)+N967)/2)+5)*Y967)*IF($E967="Choice Specs",1.5,1))</f>
        <v>161</v>
      </c>
      <c r="AF967" s="84">
        <f>INT(INT((INT((2*VLOOKUP($C967,DexData,10,0)+INT(U967/4)+O967)/2)+5)*Z967)*IF(OR($E967="Eviolite",$E967="Assault Vest"),1.5,1))</f>
        <v>90</v>
      </c>
      <c r="AG967" s="84">
        <f>INT(INT((INT((2*VLOOKUP($C967,DexData,11,0)+INT(V967/4)+P967)/2)+5)*AA967)*IF($E967="Choice Scarf",1.5,IF($E967="Iron Ball",0.5,1)))</f>
        <v>175</v>
      </c>
      <c r="AH967" s="84" t="str">
        <f>VLOOKUP(VLOOKUP($C967,DexData,3,0),Aliases!D$2:E$19,2,0)&amp;IFERROR("/"&amp;VLOOKUP(VLOOKUP($C967,DexData,4,0),Aliases!D$2:E$19,2,0),"")</f>
        <v>WTR/FLY</v>
      </c>
      <c r="AI967" s="7">
        <v>0.0</v>
      </c>
      <c r="AJ967" s="7">
        <f>IF(VLOOKUP(B967,'Set Odds'!A$2:AN$1067,40,0),1,IF(VLOOKUP(B967,'Set Odds'!A$2:AO$1067,41,0),2,0))</f>
        <v>2</v>
      </c>
      <c r="AK967" s="87" t="s">
        <v>4570</v>
      </c>
      <c r="AL967" s="7" t="str">
        <f t="shared" si="1"/>
        <v/>
      </c>
    </row>
    <row r="968" ht="12.75" customHeight="1">
      <c r="A968" s="86">
        <v>967.0</v>
      </c>
      <c r="B968" s="84" t="s">
        <v>4575</v>
      </c>
      <c r="C968" s="7" t="s">
        <v>3888</v>
      </c>
      <c r="D968" s="7" t="s">
        <v>2571</v>
      </c>
      <c r="E968" s="7" t="s">
        <v>4545</v>
      </c>
      <c r="F968" s="84" t="s">
        <v>3754</v>
      </c>
      <c r="G968" s="84" t="s">
        <v>4107</v>
      </c>
      <c r="H968" s="84" t="s">
        <v>3454</v>
      </c>
      <c r="I968" s="84" t="s">
        <v>3441</v>
      </c>
      <c r="J968" s="7" t="s">
        <v>2728</v>
      </c>
      <c r="K968" s="7">
        <v>31.0</v>
      </c>
      <c r="L968" s="7">
        <v>31.0</v>
      </c>
      <c r="M968" s="7">
        <v>31.0</v>
      </c>
      <c r="N968" s="7">
        <v>0.0</v>
      </c>
      <c r="O968" s="7">
        <v>31.0</v>
      </c>
      <c r="P968" s="7">
        <v>31.0</v>
      </c>
      <c r="Q968" s="7">
        <v>4.0</v>
      </c>
      <c r="R968" s="7">
        <v>252.0</v>
      </c>
      <c r="S968" s="7">
        <v>0.0</v>
      </c>
      <c r="T968" s="7">
        <v>0.0</v>
      </c>
      <c r="U968" s="7">
        <v>0.0</v>
      </c>
      <c r="V968" s="7">
        <v>252.0</v>
      </c>
      <c r="W968" s="7">
        <f>VLOOKUP($D968,NatureChart,2,0)</f>
        <v>1.1</v>
      </c>
      <c r="X968" s="7">
        <f>VLOOKUP($D968,NatureChart,3,0)</f>
        <v>1</v>
      </c>
      <c r="Y968" s="7">
        <f>VLOOKUP($D968,NatureChart,4,0)</f>
        <v>0.9</v>
      </c>
      <c r="Z968" s="7">
        <f>VLOOKUP($D968,NatureChart,5,0)</f>
        <v>1</v>
      </c>
      <c r="AA968" s="84">
        <f>VLOOKUP($D968,NatureChart,6,0)</f>
        <v>1</v>
      </c>
      <c r="AB968" s="84">
        <f>IF($C968="Shedinja",1,(INT((2*VLOOKUP($C968,DexData,5,0)+INT(Q968/4)+K968)/2)+60))</f>
        <v>146</v>
      </c>
      <c r="AC968" s="84">
        <f>INT(INT((INT((2*VLOOKUP($C968,DexData,6,0)+INT(R968/4)+L968)/2)+5)*W968)*IF($E968="Choice Band",1.5,IF(OR($E968="Mawilite",$E968="Medichamite",$E968="Thick Club"),2,1)))</f>
        <v>178</v>
      </c>
      <c r="AD968" s="84">
        <f>INT(INT((INT((2*VLOOKUP($C968,DexData,7,0)+INT(S968/4)+M968)/2)+5)*X968)*IF($E968="Eviolite",1.5,1))</f>
        <v>200</v>
      </c>
      <c r="AE968" s="84">
        <f>INT(INT((INT((2*VLOOKUP($C968,DexData,9,0)+INT(T968/4)+N968)/2)+5)*Y968)*IF($E968="Choice Specs",1.5,1))</f>
        <v>58</v>
      </c>
      <c r="AF968" s="84">
        <f>INT(INT((INT((2*VLOOKUP($C968,DexData,10,0)+INT(U968/4)+O968)/2)+5)*Z968)*IF(OR($E968="Eviolite",$E968="Assault Vest"),1.5,1))</f>
        <v>80</v>
      </c>
      <c r="AG968" s="84">
        <f>INT(INT((INT((2*VLOOKUP($C968,DexData,11,0)+INT(V968/4)+P968)/2)+5)*AA968)*IF($E968="Choice Scarf",1.5,IF($E968="Iron Ball",0.5,1)))</f>
        <v>102</v>
      </c>
      <c r="AH968" s="84" t="str">
        <f>VLOOKUP(VLOOKUP($C968,DexData,3,0),Aliases!D$2:E$19,2,0)&amp;IFERROR("/"&amp;VLOOKUP(VLOOKUP($C968,DexData,4,0),Aliases!D$2:E$19,2,0),"")</f>
        <v>STL/RCK</v>
      </c>
      <c r="AI968" s="7">
        <v>0.0</v>
      </c>
      <c r="AJ968" s="7">
        <f>IF(VLOOKUP(B968,'Set Odds'!A$2:AN$1067,40,0),1,IF(VLOOKUP(B968,'Set Odds'!A$2:AO$1067,41,0),2,0))</f>
        <v>2</v>
      </c>
      <c r="AK968" s="87" t="s">
        <v>4570</v>
      </c>
      <c r="AL968" s="7" t="str">
        <f t="shared" si="1"/>
        <v/>
      </c>
    </row>
    <row r="969" ht="12.75" customHeight="1">
      <c r="A969" s="86">
        <v>968.0</v>
      </c>
      <c r="B969" s="84" t="s">
        <v>4576</v>
      </c>
      <c r="C969" s="7" t="s">
        <v>3933</v>
      </c>
      <c r="D969" s="7" t="s">
        <v>2692</v>
      </c>
      <c r="E969" s="7" t="s">
        <v>3726</v>
      </c>
      <c r="F969" s="84" t="s">
        <v>3934</v>
      </c>
      <c r="G969" s="84" t="s">
        <v>3710</v>
      </c>
      <c r="H969" s="84" t="s">
        <v>3390</v>
      </c>
      <c r="I969" s="84" t="s">
        <v>3784</v>
      </c>
      <c r="J969" s="7" t="s">
        <v>3370</v>
      </c>
      <c r="K969" s="7">
        <v>31.0</v>
      </c>
      <c r="L969" s="7">
        <v>31.0</v>
      </c>
      <c r="M969" s="7">
        <v>31.0</v>
      </c>
      <c r="N969" s="7">
        <v>0.0</v>
      </c>
      <c r="O969" s="7">
        <v>31.0</v>
      </c>
      <c r="P969" s="7">
        <v>31.0</v>
      </c>
      <c r="Q969" s="7">
        <v>4.0</v>
      </c>
      <c r="R969" s="7">
        <v>252.0</v>
      </c>
      <c r="S969" s="7">
        <v>0.0</v>
      </c>
      <c r="T969" s="7">
        <v>0.0</v>
      </c>
      <c r="U969" s="7">
        <v>0.0</v>
      </c>
      <c r="V969" s="7">
        <v>252.0</v>
      </c>
      <c r="W969" s="7">
        <f>VLOOKUP($D969,NatureChart,2,0)</f>
        <v>1</v>
      </c>
      <c r="X969" s="7">
        <f>VLOOKUP($D969,NatureChart,3,0)</f>
        <v>1</v>
      </c>
      <c r="Y969" s="7">
        <f>VLOOKUP($D969,NatureChart,4,0)</f>
        <v>0.9</v>
      </c>
      <c r="Z969" s="7">
        <f>VLOOKUP($D969,NatureChart,5,0)</f>
        <v>1</v>
      </c>
      <c r="AA969" s="84">
        <f>VLOOKUP($D969,NatureChart,6,0)</f>
        <v>1.1</v>
      </c>
      <c r="AB969" s="84">
        <f>IF($C969="Shedinja",1,(INT((2*VLOOKUP($C969,DexData,5,0)+INT(Q969/4)+K969)/2)+60))</f>
        <v>156</v>
      </c>
      <c r="AC969" s="84">
        <f>INT(INT((INT((2*VLOOKUP($C969,DexData,6,0)+INT(R969/4)+L969)/2)+5)*W969)*IF($E969="Choice Band",1.5,IF(OR($E969="Mawilite",$E969="Medichamite",$E969="Thick Club"),2,1)))</f>
        <v>187</v>
      </c>
      <c r="AD969" s="84">
        <f>INT(INT((INT((2*VLOOKUP($C969,DexData,7,0)+INT(S969/4)+M969)/2)+5)*X969)*IF($E969="Eviolite",1.5,1))</f>
        <v>150</v>
      </c>
      <c r="AE969" s="84">
        <f>INT(INT((INT((2*VLOOKUP($C969,DexData,9,0)+INT(T969/4)+N969)/2)+5)*Y969)*IF($E969="Choice Specs",1.5,1))</f>
        <v>90</v>
      </c>
      <c r="AF969" s="84">
        <f>INT(INT((INT((2*VLOOKUP($C969,DexData,10,0)+INT(U969/4)+O969)/2)+5)*Z969)*IF(OR($E969="Eviolite",$E969="Assault Vest"),1.5,1))</f>
        <v>110</v>
      </c>
      <c r="AG969" s="84">
        <f>INT(INT((INT((2*VLOOKUP($C969,DexData,11,0)+INT(V969/4)+P969)/2)+5)*AA969)*IF($E969="Choice Scarf",1.5,IF($E969="Iron Ball",0.5,1)))</f>
        <v>134</v>
      </c>
      <c r="AH969" s="84" t="str">
        <f>VLOOKUP(VLOOKUP($C969,DexData,3,0),Aliases!D$2:E$19,2,0)&amp;IFERROR("/"&amp;VLOOKUP(VLOOKUP($C969,DexData,4,0),Aliases!D$2:E$19,2,0),"")</f>
        <v>STL/PSY</v>
      </c>
      <c r="AI969" s="7">
        <v>3.0</v>
      </c>
      <c r="AJ969" s="7">
        <f>IF(VLOOKUP(B969,'Set Odds'!A$2:AN$1067,40,0),1,IF(VLOOKUP(B969,'Set Odds'!A$2:AO$1067,41,0),2,0))</f>
        <v>2</v>
      </c>
      <c r="AK969" s="87" t="s">
        <v>4570</v>
      </c>
      <c r="AL969" s="7" t="str">
        <f t="shared" si="1"/>
        <v/>
      </c>
    </row>
    <row r="970" ht="12.75" customHeight="1">
      <c r="A970" s="86">
        <v>969.0</v>
      </c>
      <c r="B970" s="84" t="s">
        <v>4577</v>
      </c>
      <c r="C970" s="7" t="s">
        <v>3783</v>
      </c>
      <c r="D970" s="7" t="s">
        <v>2571</v>
      </c>
      <c r="E970" s="7" t="s">
        <v>2636</v>
      </c>
      <c r="F970" s="84" t="s">
        <v>3784</v>
      </c>
      <c r="G970" s="84" t="s">
        <v>2671</v>
      </c>
      <c r="H970" s="84" t="s">
        <v>3448</v>
      </c>
      <c r="I970" s="84" t="s">
        <v>3113</v>
      </c>
      <c r="J970" s="7" t="s">
        <v>3412</v>
      </c>
      <c r="K970" s="7">
        <v>31.0</v>
      </c>
      <c r="L970" s="7">
        <v>31.0</v>
      </c>
      <c r="M970" s="7">
        <v>31.0</v>
      </c>
      <c r="N970" s="7">
        <v>0.0</v>
      </c>
      <c r="O970" s="7">
        <v>31.0</v>
      </c>
      <c r="P970" s="7">
        <v>31.0</v>
      </c>
      <c r="Q970" s="7">
        <v>236.0</v>
      </c>
      <c r="R970" s="7">
        <v>252.0</v>
      </c>
      <c r="S970" s="7">
        <v>20.0</v>
      </c>
      <c r="T970" s="7">
        <v>0.0</v>
      </c>
      <c r="U970" s="7">
        <v>0.0</v>
      </c>
      <c r="V970" s="7">
        <v>0.0</v>
      </c>
      <c r="W970" s="7">
        <f>VLOOKUP($D970,NatureChart,2,0)</f>
        <v>1.1</v>
      </c>
      <c r="X970" s="7">
        <f>VLOOKUP($D970,NatureChart,3,0)</f>
        <v>1</v>
      </c>
      <c r="Y970" s="7">
        <f>VLOOKUP($D970,NatureChart,4,0)</f>
        <v>0.9</v>
      </c>
      <c r="Z970" s="7">
        <f>VLOOKUP($D970,NatureChart,5,0)</f>
        <v>1</v>
      </c>
      <c r="AA970" s="84">
        <f>VLOOKUP($D970,NatureChart,6,0)</f>
        <v>1</v>
      </c>
      <c r="AB970" s="84">
        <f>IF($C970="Shedinja",1,(INT((2*VLOOKUP($C970,DexData,5,0)+INT(Q970/4)+K970)/2)+60))</f>
        <v>175</v>
      </c>
      <c r="AC970" s="84">
        <f>INT(INT((INT((2*VLOOKUP($C970,DexData,6,0)+INT(R970/4)+L970)/2)+5)*W970)*IF($E970="Choice Band",1.5,IF(OR($E970="Mawilite",$E970="Medichamite",$E970="Thick Club"),2,1)))</f>
        <v>200</v>
      </c>
      <c r="AD970" s="84">
        <f>INT(INT((INT((2*VLOOKUP($C970,DexData,7,0)+INT(S970/4)+M970)/2)+5)*X970)*IF($E970="Eviolite",1.5,1))</f>
        <v>123</v>
      </c>
      <c r="AE970" s="84">
        <f>INT(INT((INT((2*VLOOKUP($C970,DexData,9,0)+INT(T970/4)+N970)/2)+5)*Y970)*IF($E970="Choice Specs",1.5,1))</f>
        <v>54</v>
      </c>
      <c r="AF970" s="84">
        <f>INT(INT((INT((2*VLOOKUP($C970,DexData,10,0)+INT(U970/4)+O970)/2)+5)*Z970)*IF(OR($E970="Eviolite",$E970="Assault Vest"),1.5,1))</f>
        <v>100</v>
      </c>
      <c r="AG970" s="84">
        <f>INT(INT((INT((2*VLOOKUP($C970,DexData,11,0)+INT(V970/4)+P970)/2)+5)*AA970)*IF($E970="Choice Scarf",1.5,IF($E970="Iron Ball",0.5,1)))</f>
        <v>85</v>
      </c>
      <c r="AH970" s="84" t="str">
        <f>VLOOKUP(VLOOKUP($C970,DexData,3,0),Aliases!D$2:E$19,2,0)&amp;IFERROR("/"&amp;VLOOKUP(VLOOKUP($C970,DexData,4,0),Aliases!D$2:E$19,2,0),"")</f>
        <v>BUG/STL</v>
      </c>
      <c r="AI970" s="7">
        <v>0.0</v>
      </c>
      <c r="AJ970" s="7">
        <f>IF(VLOOKUP(B970,'Set Odds'!A$2:AN$1067,40,0),1,IF(VLOOKUP(B970,'Set Odds'!A$2:AO$1067,41,0),2,0))</f>
        <v>2</v>
      </c>
      <c r="AK970" s="87" t="s">
        <v>4570</v>
      </c>
      <c r="AL970" s="7" t="str">
        <f t="shared" si="1"/>
        <v/>
      </c>
    </row>
    <row r="971" ht="12.75" customHeight="1">
      <c r="A971" s="86">
        <v>970.0</v>
      </c>
      <c r="B971" s="84" t="s">
        <v>4578</v>
      </c>
      <c r="C971" s="7" t="s">
        <v>3958</v>
      </c>
      <c r="D971" s="7" t="s">
        <v>2635</v>
      </c>
      <c r="E971" s="7" t="s">
        <v>2515</v>
      </c>
      <c r="F971" s="84" t="s">
        <v>3959</v>
      </c>
      <c r="G971" s="84" t="s">
        <v>3524</v>
      </c>
      <c r="H971" s="84" t="s">
        <v>2832</v>
      </c>
      <c r="I971" s="84" t="s">
        <v>3427</v>
      </c>
      <c r="J971" s="7" t="s">
        <v>3016</v>
      </c>
      <c r="K971" s="7">
        <v>31.0</v>
      </c>
      <c r="L971" s="7">
        <v>0.0</v>
      </c>
      <c r="M971" s="7">
        <v>31.0</v>
      </c>
      <c r="N971" s="7">
        <v>31.0</v>
      </c>
      <c r="O971" s="7">
        <v>31.0</v>
      </c>
      <c r="P971" s="7">
        <v>31.0</v>
      </c>
      <c r="Q971" s="7">
        <v>4.0</v>
      </c>
      <c r="R971" s="7">
        <v>0.0</v>
      </c>
      <c r="S971" s="7">
        <v>0.0</v>
      </c>
      <c r="T971" s="7">
        <v>252.0</v>
      </c>
      <c r="U971" s="7">
        <v>0.0</v>
      </c>
      <c r="V971" s="7">
        <v>252.0</v>
      </c>
      <c r="W971" s="7">
        <f>VLOOKUP($D971,NatureChart,2,0)</f>
        <v>0.9</v>
      </c>
      <c r="X971" s="7">
        <f>VLOOKUP($D971,NatureChart,3,0)</f>
        <v>1</v>
      </c>
      <c r="Y971" s="7">
        <f>VLOOKUP($D971,NatureChart,4,0)</f>
        <v>1</v>
      </c>
      <c r="Z971" s="7">
        <f>VLOOKUP($D971,NatureChart,5,0)</f>
        <v>1</v>
      </c>
      <c r="AA971" s="84">
        <f>VLOOKUP($D971,NatureChart,6,0)</f>
        <v>1.1</v>
      </c>
      <c r="AB971" s="84">
        <f>IF($C971="Shedinja",1,(INT((2*VLOOKUP($C971,DexData,5,0)+INT(Q971/4)+K971)/2)+60))</f>
        <v>167</v>
      </c>
      <c r="AC971" s="84">
        <f>INT(INT((INT((2*VLOOKUP($C971,DexData,6,0)+INT(R971/4)+L971)/2)+5)*W971)*IF($E971="Choice Band",1.5,IF(OR($E971="Mawilite",$E971="Medichamite",$E971="Thick Club"),2,1)))</f>
        <v>85</v>
      </c>
      <c r="AD971" s="84">
        <f>INT(INT((INT((2*VLOOKUP($C971,DexData,7,0)+INT(S971/4)+M971)/2)+5)*X971)*IF($E971="Eviolite",1.5,1))</f>
        <v>126</v>
      </c>
      <c r="AE971" s="84">
        <f>INT(INT((INT((2*VLOOKUP($C971,DexData,9,0)+INT(T971/4)+N971)/2)+5)*Y971)*IF($E971="Choice Specs",1.5,1))</f>
        <v>182</v>
      </c>
      <c r="AF971" s="84">
        <f>INT(INT((INT((2*VLOOKUP($C971,DexData,10,0)+INT(U971/4)+O971)/2)+5)*Z971)*IF(OR($E971="Eviolite",$E971="Assault Vest"),1.5,1))</f>
        <v>126</v>
      </c>
      <c r="AG971" s="84">
        <f>INT(INT((INT((2*VLOOKUP($C971,DexData,11,0)+INT(V971/4)+P971)/2)+5)*AA971)*IF($E971="Choice Scarf",1.5,IF($E971="Iron Ball",0.5,1)))</f>
        <v>141</v>
      </c>
      <c r="AH971" s="84" t="str">
        <f>VLOOKUP(VLOOKUP($C971,DexData,3,0),Aliases!D$2:E$19,2,0)&amp;IFERROR("/"&amp;VLOOKUP(VLOOKUP($C971,DexData,4,0),Aliases!D$2:E$19,2,0),"")</f>
        <v>FIR/STL</v>
      </c>
      <c r="AI971" s="7">
        <v>0.0</v>
      </c>
      <c r="AJ971" s="7">
        <f>IF(VLOOKUP(B971,'Set Odds'!A$2:AN$1067,40,0),1,IF(VLOOKUP(B971,'Set Odds'!A$2:AO$1067,41,0),2,0))</f>
        <v>2</v>
      </c>
      <c r="AK971" s="87" t="s">
        <v>4570</v>
      </c>
      <c r="AL971" s="7">
        <f t="shared" si="1"/>
        <v>1</v>
      </c>
    </row>
    <row r="972" ht="12.75" customHeight="1">
      <c r="A972" s="86">
        <v>971.0</v>
      </c>
      <c r="B972" s="84" t="s">
        <v>4579</v>
      </c>
      <c r="C972" s="7" t="s">
        <v>3931</v>
      </c>
      <c r="D972" s="7" t="s">
        <v>2635</v>
      </c>
      <c r="E972" s="7" t="s">
        <v>3071</v>
      </c>
      <c r="F972" s="84" t="s">
        <v>4213</v>
      </c>
      <c r="G972" s="84" t="s">
        <v>4016</v>
      </c>
      <c r="H972" s="84" t="s">
        <v>4109</v>
      </c>
      <c r="I972" s="84" t="s">
        <v>2517</v>
      </c>
      <c r="J972" s="7" t="s">
        <v>2696</v>
      </c>
      <c r="K972" s="7">
        <v>31.0</v>
      </c>
      <c r="L972" s="7">
        <v>0.0</v>
      </c>
      <c r="M972" s="7">
        <v>31.0</v>
      </c>
      <c r="N972" s="7">
        <v>31.0</v>
      </c>
      <c r="O972" s="7">
        <v>31.0</v>
      </c>
      <c r="P972" s="7">
        <v>31.0</v>
      </c>
      <c r="Q972" s="7">
        <v>4.0</v>
      </c>
      <c r="R972" s="7">
        <v>0.0</v>
      </c>
      <c r="S972" s="7">
        <v>0.0</v>
      </c>
      <c r="T972" s="7">
        <v>252.0</v>
      </c>
      <c r="U972" s="7">
        <v>0.0</v>
      </c>
      <c r="V972" s="7">
        <v>252.0</v>
      </c>
      <c r="W972" s="7">
        <f>VLOOKUP($D972,NatureChart,2,0)</f>
        <v>0.9</v>
      </c>
      <c r="X972" s="7">
        <f>VLOOKUP($D972,NatureChart,3,0)</f>
        <v>1</v>
      </c>
      <c r="Y972" s="7">
        <f>VLOOKUP($D972,NatureChart,4,0)</f>
        <v>1</v>
      </c>
      <c r="Z972" s="7">
        <f>VLOOKUP($D972,NatureChart,5,0)</f>
        <v>1</v>
      </c>
      <c r="AA972" s="84">
        <f>VLOOKUP($D972,NatureChart,6,0)</f>
        <v>1.1</v>
      </c>
      <c r="AB972" s="84">
        <f>IF($C972="Shedinja",1,(INT((2*VLOOKUP($C972,DexData,5,0)+INT(Q972/4)+K972)/2)+60))</f>
        <v>171</v>
      </c>
      <c r="AC972" s="84">
        <f>INT(INT((INT((2*VLOOKUP($C972,DexData,6,0)+INT(R972/4)+L972)/2)+5)*W972)*IF($E972="Choice Band",1.5,IF(OR($E972="Mawilite",$E972="Medichamite",$E972="Thick Club"),2,1)))</f>
        <v>126</v>
      </c>
      <c r="AD972" s="84">
        <f>INT(INT((INT((2*VLOOKUP($C972,DexData,7,0)+INT(S972/4)+M972)/2)+5)*X972)*IF($E972="Eviolite",1.5,1))</f>
        <v>100</v>
      </c>
      <c r="AE972" s="84">
        <f>INT(INT((INT((2*VLOOKUP($C972,DexData,9,0)+INT(T972/4)+N972)/2)+5)*Y972)*IF($E972="Choice Specs",1.5,1))</f>
        <v>162</v>
      </c>
      <c r="AF972" s="84">
        <f>INT(INT((INT((2*VLOOKUP($C972,DexData,10,0)+INT(U972/4)+O972)/2)+5)*Z972)*IF(OR($E972="Eviolite",$E972="Assault Vest"),1.5,1))</f>
        <v>100</v>
      </c>
      <c r="AG972" s="84">
        <f>INT(INT((INT((2*VLOOKUP($C972,DexData,11,0)+INT(V972/4)+P972)/2)+5)*AA972)*IF($E972="Choice Scarf",1.5,IF($E972="Iron Ball",0.5,1)))</f>
        <v>167</v>
      </c>
      <c r="AH972" s="84" t="str">
        <f>VLOOKUP(VLOOKUP($C972,DexData,3,0),Aliases!D$2:E$19,2,0)&amp;IFERROR("/"&amp;VLOOKUP(VLOOKUP($C972,DexData,4,0),Aliases!D$2:E$19,2,0),"")</f>
        <v>DRG/FLY</v>
      </c>
      <c r="AI972" s="7">
        <v>0.0</v>
      </c>
      <c r="AJ972" s="7">
        <f>IF(VLOOKUP(B972,'Set Odds'!A$2:AN$1067,40,0),1,IF(VLOOKUP(B972,'Set Odds'!A$2:AO$1067,41,0),2,0))</f>
        <v>2</v>
      </c>
      <c r="AK972" s="87" t="s">
        <v>4580</v>
      </c>
      <c r="AL972" s="7" t="str">
        <f t="shared" si="1"/>
        <v/>
      </c>
    </row>
    <row r="973" ht="12.75" customHeight="1">
      <c r="A973" s="86">
        <v>972.0</v>
      </c>
      <c r="B973" s="84" t="s">
        <v>4581</v>
      </c>
      <c r="C973" s="7" t="s">
        <v>3926</v>
      </c>
      <c r="D973" s="7" t="s">
        <v>2571</v>
      </c>
      <c r="E973" s="7" t="s">
        <v>2636</v>
      </c>
      <c r="F973" s="84" t="s">
        <v>3608</v>
      </c>
      <c r="G973" s="84" t="s">
        <v>4056</v>
      </c>
      <c r="H973" s="84" t="s">
        <v>3285</v>
      </c>
      <c r="I973" s="84" t="s">
        <v>2732</v>
      </c>
      <c r="J973" s="7" t="s">
        <v>2696</v>
      </c>
      <c r="K973" s="7">
        <v>31.0</v>
      </c>
      <c r="L973" s="7">
        <v>31.0</v>
      </c>
      <c r="M973" s="7">
        <v>31.0</v>
      </c>
      <c r="N973" s="7">
        <v>0.0</v>
      </c>
      <c r="O973" s="7">
        <v>31.0</v>
      </c>
      <c r="P973" s="7">
        <v>31.0</v>
      </c>
      <c r="Q973" s="7">
        <v>4.0</v>
      </c>
      <c r="R973" s="7">
        <v>252.0</v>
      </c>
      <c r="S973" s="7">
        <v>0.0</v>
      </c>
      <c r="T973" s="7">
        <v>0.0</v>
      </c>
      <c r="U973" s="7">
        <v>0.0</v>
      </c>
      <c r="V973" s="7">
        <v>252.0</v>
      </c>
      <c r="W973" s="7">
        <f>VLOOKUP($D973,NatureChart,2,0)</f>
        <v>1.1</v>
      </c>
      <c r="X973" s="7">
        <f>VLOOKUP($D973,NatureChart,3,0)</f>
        <v>1</v>
      </c>
      <c r="Y973" s="7">
        <f>VLOOKUP($D973,NatureChart,4,0)</f>
        <v>0.9</v>
      </c>
      <c r="Z973" s="7">
        <f>VLOOKUP($D973,NatureChart,5,0)</f>
        <v>1</v>
      </c>
      <c r="AA973" s="84">
        <f>VLOOKUP($D973,NatureChart,6,0)</f>
        <v>1</v>
      </c>
      <c r="AB973" s="84">
        <f>IF($C973="Shedinja",1,(INT((2*VLOOKUP($C973,DexData,5,0)+INT(Q973/4)+K973)/2)+60))</f>
        <v>166</v>
      </c>
      <c r="AC973" s="84">
        <f>INT(INT((INT((2*VLOOKUP($C973,DexData,6,0)+INT(R973/4)+L973)/2)+5)*W973)*IF($E973="Choice Band",1.5,IF(OR($E973="Mawilite",$E973="Medichamite",$E973="Thick Club"),2,1)))</f>
        <v>178</v>
      </c>
      <c r="AD973" s="84">
        <f>INT(INT((INT((2*VLOOKUP($C973,DexData,7,0)+INT(S973/4)+M973)/2)+5)*X973)*IF($E973="Eviolite",1.5,1))</f>
        <v>100</v>
      </c>
      <c r="AE973" s="84">
        <f>INT(INT((INT((2*VLOOKUP($C973,DexData,9,0)+INT(T973/4)+N973)/2)+5)*Y973)*IF($E973="Choice Specs",1.5,1))</f>
        <v>94</v>
      </c>
      <c r="AF973" s="84">
        <f>INT(INT((INT((2*VLOOKUP($C973,DexData,10,0)+INT(U973/4)+O973)/2)+5)*Z973)*IF(OR($E973="Eviolite",$E973="Assault Vest"),1.5,1))</f>
        <v>100</v>
      </c>
      <c r="AG973" s="84">
        <f>INT(INT((INT((2*VLOOKUP($C973,DexData,11,0)+INT(V973/4)+P973)/2)+5)*AA973)*IF($E973="Choice Scarf",1.5,IF($E973="Iron Ball",0.5,1)))</f>
        <v>147</v>
      </c>
      <c r="AH973" s="84" t="str">
        <f>VLOOKUP(VLOOKUP($C973,DexData,3,0),Aliases!D$2:E$19,2,0)&amp;IFERROR("/"&amp;VLOOKUP(VLOOKUP($C973,DexData,4,0),Aliases!D$2:E$19,2,0),"")</f>
        <v>FIR</v>
      </c>
      <c r="AI973" s="7">
        <v>0.0</v>
      </c>
      <c r="AJ973" s="7">
        <f>IF(VLOOKUP(B973,'Set Odds'!A$2:AN$1067,40,0),1,IF(VLOOKUP(B973,'Set Odds'!A$2:AO$1067,41,0),2,0))</f>
        <v>2</v>
      </c>
      <c r="AK973" s="87" t="s">
        <v>4582</v>
      </c>
      <c r="AL973" s="7" t="str">
        <f t="shared" si="1"/>
        <v/>
      </c>
    </row>
    <row r="974" ht="12.75" customHeight="1">
      <c r="A974" s="86">
        <v>973.0</v>
      </c>
      <c r="B974" s="84" t="s">
        <v>4583</v>
      </c>
      <c r="C974" s="7" t="s">
        <v>3876</v>
      </c>
      <c r="D974" s="7" t="s">
        <v>2692</v>
      </c>
      <c r="E974" s="7" t="s">
        <v>2515</v>
      </c>
      <c r="F974" s="84" t="s">
        <v>3483</v>
      </c>
      <c r="G974" s="84" t="s">
        <v>3934</v>
      </c>
      <c r="H974" s="84" t="s">
        <v>3454</v>
      </c>
      <c r="I974" s="84" t="s">
        <v>2625</v>
      </c>
      <c r="J974" s="7" t="s">
        <v>3233</v>
      </c>
      <c r="K974" s="7">
        <v>31.0</v>
      </c>
      <c r="L974" s="7">
        <v>31.0</v>
      </c>
      <c r="M974" s="7">
        <v>31.0</v>
      </c>
      <c r="N974" s="7">
        <v>0.0</v>
      </c>
      <c r="O974" s="7">
        <v>31.0</v>
      </c>
      <c r="P974" s="7">
        <v>31.0</v>
      </c>
      <c r="Q974" s="7">
        <v>4.0</v>
      </c>
      <c r="R974" s="7">
        <v>252.0</v>
      </c>
      <c r="S974" s="7">
        <v>0.0</v>
      </c>
      <c r="T974" s="7">
        <v>0.0</v>
      </c>
      <c r="U974" s="7">
        <v>0.0</v>
      </c>
      <c r="V974" s="7">
        <v>252.0</v>
      </c>
      <c r="W974" s="7">
        <f>VLOOKUP($D974,NatureChart,2,0)</f>
        <v>1</v>
      </c>
      <c r="X974" s="7">
        <f>VLOOKUP($D974,NatureChart,3,0)</f>
        <v>1</v>
      </c>
      <c r="Y974" s="7">
        <f>VLOOKUP($D974,NatureChart,4,0)</f>
        <v>0.9</v>
      </c>
      <c r="Z974" s="7">
        <f>VLOOKUP($D974,NatureChart,5,0)</f>
        <v>1</v>
      </c>
      <c r="AA974" s="84">
        <f>VLOOKUP($D974,NatureChart,6,0)</f>
        <v>1.1</v>
      </c>
      <c r="AB974" s="84">
        <f>IF($C974="Shedinja",1,(INT((2*VLOOKUP($C974,DexData,5,0)+INT(Q974/4)+K974)/2)+60))</f>
        <v>146</v>
      </c>
      <c r="AC974" s="84">
        <f>INT(INT((INT((2*VLOOKUP($C974,DexData,6,0)+INT(R974/4)+L974)/2)+5)*W974)*IF($E974="Choice Band",1.5,IF(OR($E974="Mawilite",$E974="Medichamite",$E974="Thick Club"),2,1)))</f>
        <v>162</v>
      </c>
      <c r="AD974" s="84">
        <f>INT(INT((INT((2*VLOOKUP($C974,DexData,7,0)+INT(S974/4)+M974)/2)+5)*X974)*IF($E974="Eviolite",1.5,1))</f>
        <v>90</v>
      </c>
      <c r="AE974" s="84">
        <f>INT(INT((INT((2*VLOOKUP($C974,DexData,9,0)+INT(T974/4)+N974)/2)+5)*Y974)*IF($E974="Choice Specs",1.5,1))</f>
        <v>108</v>
      </c>
      <c r="AF974" s="84">
        <f>INT(INT((INT((2*VLOOKUP($C974,DexData,10,0)+INT(U974/4)+O974)/2)+5)*Z974)*IF(OR($E974="Eviolite",$E974="Assault Vest"),1.5,1))</f>
        <v>90</v>
      </c>
      <c r="AG974" s="84">
        <f>INT(INT((INT((2*VLOOKUP($C974,DexData,11,0)+INT(V974/4)+P974)/2)+5)*AA974)*IF($E974="Choice Scarf",1.5,IF($E974="Iron Ball",0.5,1)))</f>
        <v>156</v>
      </c>
      <c r="AH974" s="84" t="str">
        <f>VLOOKUP(VLOOKUP($C974,DexData,3,0),Aliases!D$2:E$19,2,0)&amp;IFERROR("/"&amp;VLOOKUP(VLOOKUP($C974,DexData,4,0),Aliases!D$2:E$19,2,0),"")</f>
        <v>FTG/STL</v>
      </c>
      <c r="AI974" s="7">
        <v>0.0</v>
      </c>
      <c r="AJ974" s="7">
        <f>IF(VLOOKUP(B974,'Set Odds'!A$2:AN$1067,40,0),1,IF(VLOOKUP(B974,'Set Odds'!A$2:AO$1067,41,0),2,0))</f>
        <v>2</v>
      </c>
      <c r="AK974" s="87" t="s">
        <v>4580</v>
      </c>
      <c r="AL974" s="7" t="str">
        <f t="shared" si="1"/>
        <v/>
      </c>
    </row>
    <row r="975" ht="12.75" customHeight="1">
      <c r="A975" s="86">
        <v>974.0</v>
      </c>
      <c r="B975" s="84" t="s">
        <v>4584</v>
      </c>
      <c r="C975" s="7" t="s">
        <v>3836</v>
      </c>
      <c r="D975" s="7" t="s">
        <v>2692</v>
      </c>
      <c r="E975" s="7" t="s">
        <v>2889</v>
      </c>
      <c r="F975" s="84" t="s">
        <v>2625</v>
      </c>
      <c r="G975" s="84" t="s">
        <v>3454</v>
      </c>
      <c r="H975" s="84" t="s">
        <v>3603</v>
      </c>
      <c r="I975" s="84" t="s">
        <v>3626</v>
      </c>
      <c r="J975" s="7" t="s">
        <v>3499</v>
      </c>
      <c r="K975" s="7">
        <v>31.0</v>
      </c>
      <c r="L975" s="7">
        <v>31.0</v>
      </c>
      <c r="M975" s="7">
        <v>31.0</v>
      </c>
      <c r="N975" s="7">
        <v>0.0</v>
      </c>
      <c r="O975" s="7">
        <v>31.0</v>
      </c>
      <c r="P975" s="7">
        <v>31.0</v>
      </c>
      <c r="Q975" s="7">
        <v>4.0</v>
      </c>
      <c r="R975" s="7">
        <v>252.0</v>
      </c>
      <c r="S975" s="7">
        <v>0.0</v>
      </c>
      <c r="T975" s="7">
        <v>0.0</v>
      </c>
      <c r="U975" s="7">
        <v>0.0</v>
      </c>
      <c r="V975" s="7">
        <v>252.0</v>
      </c>
      <c r="W975" s="7">
        <f>VLOOKUP($D975,NatureChart,2,0)</f>
        <v>1</v>
      </c>
      <c r="X975" s="7">
        <f>VLOOKUP($D975,NatureChart,3,0)</f>
        <v>1</v>
      </c>
      <c r="Y975" s="7">
        <f>VLOOKUP($D975,NatureChart,4,0)</f>
        <v>0.9</v>
      </c>
      <c r="Z975" s="7">
        <f>VLOOKUP($D975,NatureChart,5,0)</f>
        <v>1</v>
      </c>
      <c r="AA975" s="84">
        <f>VLOOKUP($D975,NatureChart,6,0)</f>
        <v>1.1</v>
      </c>
      <c r="AB975" s="84">
        <f>IF($C975="Shedinja",1,(INT((2*VLOOKUP($C975,DexData,5,0)+INT(Q975/4)+K975)/2)+60))</f>
        <v>156</v>
      </c>
      <c r="AC975" s="84">
        <f>INT(INT((INT((2*VLOOKUP($C975,DexData,6,0)+INT(R975/4)+L975)/2)+5)*W975)*IF($E975="Choice Band",1.5,IF(OR($E975="Mawilite",$E975="Medichamite",$E975="Thick Club"),2,1)))</f>
        <v>157</v>
      </c>
      <c r="AD975" s="84">
        <f>INT(INT((INT((2*VLOOKUP($C975,DexData,7,0)+INT(S975/4)+M975)/2)+5)*X975)*IF($E975="Eviolite",1.5,1))</f>
        <v>85</v>
      </c>
      <c r="AE975" s="84">
        <f>INT(INT((INT((2*VLOOKUP($C975,DexData,9,0)+INT(T975/4)+N975)/2)+5)*Y975)*IF($E975="Choice Specs",1.5,1))</f>
        <v>58</v>
      </c>
      <c r="AF975" s="84">
        <f>INT(INT((INT((2*VLOOKUP($C975,DexData,10,0)+INT(U975/4)+O975)/2)+5)*Z975)*IF(OR($E975="Eviolite",$E975="Assault Vest"),1.5,1))</f>
        <v>95</v>
      </c>
      <c r="AG975" s="84">
        <f>INT(INT((INT((2*VLOOKUP($C975,DexData,11,0)+INT(V975/4)+P975)/2)+5)*AA975)*IF($E975="Choice Scarf",1.5,IF($E975="Iron Ball",0.5,1)))</f>
        <v>200</v>
      </c>
      <c r="AH975" s="84" t="str">
        <f>VLOOKUP(VLOOKUP($C975,DexData,3,0),Aliases!D$2:E$19,2,0)&amp;IFERROR("/"&amp;VLOOKUP(VLOOKUP($C975,DexData,4,0),Aliases!D$2:E$19,2,0),"")</f>
        <v>RCK/FLY</v>
      </c>
      <c r="AI975" s="7">
        <v>0.0</v>
      </c>
      <c r="AJ975" s="7">
        <f>IF(VLOOKUP(B975,'Set Odds'!A$2:AN$1067,40,0),1,IF(VLOOKUP(B975,'Set Odds'!A$2:AO$1067,41,0),2,0))</f>
        <v>2</v>
      </c>
      <c r="AK975" s="87" t="s">
        <v>4582</v>
      </c>
      <c r="AL975" s="7" t="str">
        <f t="shared" si="1"/>
        <v/>
      </c>
    </row>
    <row r="976" ht="12.75" customHeight="1">
      <c r="A976" s="86">
        <v>975.0</v>
      </c>
      <c r="B976" s="84" t="s">
        <v>4585</v>
      </c>
      <c r="C976" s="7" t="s">
        <v>3931</v>
      </c>
      <c r="D976" s="7" t="s">
        <v>2692</v>
      </c>
      <c r="E976" s="7" t="s">
        <v>3071</v>
      </c>
      <c r="F976" s="84" t="s">
        <v>2625</v>
      </c>
      <c r="G976" s="84" t="s">
        <v>2801</v>
      </c>
      <c r="H976" s="84" t="s">
        <v>3710</v>
      </c>
      <c r="I976" s="84" t="s">
        <v>2517</v>
      </c>
      <c r="J976" s="7" t="s">
        <v>2696</v>
      </c>
      <c r="K976" s="7">
        <v>31.0</v>
      </c>
      <c r="L976" s="7">
        <v>31.0</v>
      </c>
      <c r="M976" s="7">
        <v>31.0</v>
      </c>
      <c r="N976" s="7">
        <v>0.0</v>
      </c>
      <c r="O976" s="7">
        <v>31.0</v>
      </c>
      <c r="P976" s="7">
        <v>31.0</v>
      </c>
      <c r="Q976" s="7">
        <v>4.0</v>
      </c>
      <c r="R976" s="7">
        <v>252.0</v>
      </c>
      <c r="S976" s="7">
        <v>0.0</v>
      </c>
      <c r="T976" s="7">
        <v>0.0</v>
      </c>
      <c r="U976" s="7">
        <v>0.0</v>
      </c>
      <c r="V976" s="7">
        <v>252.0</v>
      </c>
      <c r="W976" s="7">
        <f>VLOOKUP($D976,NatureChart,2,0)</f>
        <v>1</v>
      </c>
      <c r="X976" s="7">
        <f>VLOOKUP($D976,NatureChart,3,0)</f>
        <v>1</v>
      </c>
      <c r="Y976" s="7">
        <f>VLOOKUP($D976,NatureChart,4,0)</f>
        <v>0.9</v>
      </c>
      <c r="Z976" s="7">
        <f>VLOOKUP($D976,NatureChart,5,0)</f>
        <v>1</v>
      </c>
      <c r="AA976" s="84">
        <f>VLOOKUP($D976,NatureChart,6,0)</f>
        <v>1.1</v>
      </c>
      <c r="AB976" s="84">
        <f>IF($C976="Shedinja",1,(INT((2*VLOOKUP($C976,DexData,5,0)+INT(Q976/4)+K976)/2)+60))</f>
        <v>171</v>
      </c>
      <c r="AC976" s="84">
        <f>INT(INT((INT((2*VLOOKUP($C976,DexData,6,0)+INT(R976/4)+L976)/2)+5)*W976)*IF($E976="Choice Band",1.5,IF(OR($E976="Mawilite",$E976="Medichamite",$E976="Thick Club"),2,1)))</f>
        <v>187</v>
      </c>
      <c r="AD976" s="84">
        <f>INT(INT((INT((2*VLOOKUP($C976,DexData,7,0)+INT(S976/4)+M976)/2)+5)*X976)*IF($E976="Eviolite",1.5,1))</f>
        <v>100</v>
      </c>
      <c r="AE976" s="84">
        <f>INT(INT((INT((2*VLOOKUP($C976,DexData,9,0)+INT(T976/4)+N976)/2)+5)*Y976)*IF($E976="Choice Specs",1.5,1))</f>
        <v>103</v>
      </c>
      <c r="AF976" s="84">
        <f>INT(INT((INT((2*VLOOKUP($C976,DexData,10,0)+INT(U976/4)+O976)/2)+5)*Z976)*IF(OR($E976="Eviolite",$E976="Assault Vest"),1.5,1))</f>
        <v>100</v>
      </c>
      <c r="AG976" s="84">
        <f>INT(INT((INT((2*VLOOKUP($C976,DexData,11,0)+INT(V976/4)+P976)/2)+5)*AA976)*IF($E976="Choice Scarf",1.5,IF($E976="Iron Ball",0.5,1)))</f>
        <v>167</v>
      </c>
      <c r="AH976" s="84" t="str">
        <f>VLOOKUP(VLOOKUP($C976,DexData,3,0),Aliases!D$2:E$19,2,0)&amp;IFERROR("/"&amp;VLOOKUP(VLOOKUP($C976,DexData,4,0),Aliases!D$2:E$19,2,0),"")</f>
        <v>DRG/FLY</v>
      </c>
      <c r="AI976" s="7">
        <v>0.0</v>
      </c>
      <c r="AJ976" s="7">
        <f>IF(VLOOKUP(B976,'Set Odds'!A$2:AN$1067,40,0),1,IF(VLOOKUP(B976,'Set Odds'!A$2:AO$1067,41,0),2,0))</f>
        <v>2</v>
      </c>
      <c r="AK976" s="87" t="s">
        <v>4580</v>
      </c>
      <c r="AL976" s="7" t="str">
        <f t="shared" si="1"/>
        <v/>
      </c>
    </row>
    <row r="977" ht="12.75" customHeight="1">
      <c r="A977" s="86">
        <v>976.0</v>
      </c>
      <c r="B977" s="84" t="s">
        <v>4586</v>
      </c>
      <c r="C977" s="7" t="s">
        <v>3926</v>
      </c>
      <c r="D977" s="7" t="s">
        <v>2635</v>
      </c>
      <c r="E977" s="7" t="s">
        <v>4114</v>
      </c>
      <c r="F977" s="84" t="s">
        <v>4213</v>
      </c>
      <c r="G977" s="84" t="s">
        <v>4220</v>
      </c>
      <c r="H977" s="84" t="s">
        <v>2732</v>
      </c>
      <c r="I977" s="84" t="s">
        <v>2660</v>
      </c>
      <c r="J977" s="7" t="s">
        <v>2696</v>
      </c>
      <c r="K977" s="7">
        <v>31.0</v>
      </c>
      <c r="L977" s="7">
        <v>0.0</v>
      </c>
      <c r="M977" s="7">
        <v>31.0</v>
      </c>
      <c r="N977" s="7">
        <v>31.0</v>
      </c>
      <c r="O977" s="7">
        <v>31.0</v>
      </c>
      <c r="P977" s="7">
        <v>31.0</v>
      </c>
      <c r="Q977" s="7">
        <v>252.0</v>
      </c>
      <c r="R977" s="7">
        <v>0.0</v>
      </c>
      <c r="S977" s="7">
        <v>0.0</v>
      </c>
      <c r="T977" s="7">
        <v>0.0</v>
      </c>
      <c r="U977" s="7">
        <v>36.0</v>
      </c>
      <c r="V977" s="7">
        <v>220.0</v>
      </c>
      <c r="W977" s="7">
        <f>VLOOKUP($D977,NatureChart,2,0)</f>
        <v>0.9</v>
      </c>
      <c r="X977" s="7">
        <f>VLOOKUP($D977,NatureChart,3,0)</f>
        <v>1</v>
      </c>
      <c r="Y977" s="7">
        <f>VLOOKUP($D977,NatureChart,4,0)</f>
        <v>1</v>
      </c>
      <c r="Z977" s="7">
        <f>VLOOKUP($D977,NatureChart,5,0)</f>
        <v>1</v>
      </c>
      <c r="AA977" s="84">
        <f>VLOOKUP($D977,NatureChart,6,0)</f>
        <v>1.1</v>
      </c>
      <c r="AB977" s="84">
        <f>IF($C977="Shedinja",1,(INT((2*VLOOKUP($C977,DexData,5,0)+INT(Q977/4)+K977)/2)+60))</f>
        <v>197</v>
      </c>
      <c r="AC977" s="84">
        <f>INT(INT((INT((2*VLOOKUP($C977,DexData,6,0)+INT(R977/4)+L977)/2)+5)*W977)*IF($E977="Choice Band",1.5,IF(OR($E977="Mawilite",$E977="Medichamite",$E977="Thick Club"),2,1)))</f>
        <v>103</v>
      </c>
      <c r="AD977" s="84">
        <f>INT(INT((INT((2*VLOOKUP($C977,DexData,7,0)+INT(S977/4)+M977)/2)+5)*X977)*IF($E977="Eviolite",1.5,1))</f>
        <v>100</v>
      </c>
      <c r="AE977" s="84">
        <f>INT(INT((INT((2*VLOOKUP($C977,DexData,9,0)+INT(T977/4)+N977)/2)+5)*Y977)*IF($E977="Choice Specs",1.5,1))</f>
        <v>120</v>
      </c>
      <c r="AF977" s="84">
        <f>INT(INT((INT((2*VLOOKUP($C977,DexData,10,0)+INT(U977/4)+O977)/2)+5)*Z977)*IF(OR($E977="Eviolite",$E977="Assault Vest"),1.5,1))</f>
        <v>105</v>
      </c>
      <c r="AG977" s="84">
        <f>INT(INT((INT((2*VLOOKUP($C977,DexData,11,0)+INT(V977/4)+P977)/2)+5)*AA977)*IF($E977="Choice Scarf",1.5,IF($E977="Iron Ball",0.5,1)))</f>
        <v>157</v>
      </c>
      <c r="AH977" s="84" t="str">
        <f>VLOOKUP(VLOOKUP($C977,DexData,3,0),Aliases!D$2:E$19,2,0)&amp;IFERROR("/"&amp;VLOOKUP(VLOOKUP($C977,DexData,4,0),Aliases!D$2:E$19,2,0),"")</f>
        <v>FIR</v>
      </c>
      <c r="AI977" s="7">
        <v>0.0</v>
      </c>
      <c r="AJ977" s="7">
        <f>IF(VLOOKUP(B977,'Set Odds'!A$2:AN$1067,40,0),1,IF(VLOOKUP(B977,'Set Odds'!A$2:AO$1067,41,0),2,0))</f>
        <v>2</v>
      </c>
      <c r="AK977" s="87" t="s">
        <v>4582</v>
      </c>
      <c r="AL977" s="7" t="str">
        <f t="shared" si="1"/>
        <v/>
      </c>
    </row>
    <row r="978" ht="12.75" customHeight="1">
      <c r="A978" s="86">
        <v>977.0</v>
      </c>
      <c r="B978" s="84" t="s">
        <v>4587</v>
      </c>
      <c r="C978" s="7" t="s">
        <v>3933</v>
      </c>
      <c r="D978" s="7" t="s">
        <v>2571</v>
      </c>
      <c r="E978" s="7" t="s">
        <v>2636</v>
      </c>
      <c r="F978" s="84" t="s">
        <v>3390</v>
      </c>
      <c r="G978" s="84" t="s">
        <v>3784</v>
      </c>
      <c r="H978" s="84" t="s">
        <v>3710</v>
      </c>
      <c r="I978" s="84" t="s">
        <v>3934</v>
      </c>
      <c r="J978" s="7" t="s">
        <v>3370</v>
      </c>
      <c r="K978" s="7">
        <v>31.0</v>
      </c>
      <c r="L978" s="7">
        <v>31.0</v>
      </c>
      <c r="M978" s="7">
        <v>31.0</v>
      </c>
      <c r="N978" s="7">
        <v>0.0</v>
      </c>
      <c r="O978" s="7">
        <v>31.0</v>
      </c>
      <c r="P978" s="7">
        <v>31.0</v>
      </c>
      <c r="Q978" s="7">
        <v>4.0</v>
      </c>
      <c r="R978" s="7">
        <v>252.0</v>
      </c>
      <c r="S978" s="7">
        <v>0.0</v>
      </c>
      <c r="T978" s="7">
        <v>0.0</v>
      </c>
      <c r="U978" s="7">
        <v>0.0</v>
      </c>
      <c r="V978" s="7">
        <v>252.0</v>
      </c>
      <c r="W978" s="7">
        <f>VLOOKUP($D978,NatureChart,2,0)</f>
        <v>1.1</v>
      </c>
      <c r="X978" s="7">
        <f>VLOOKUP($D978,NatureChart,3,0)</f>
        <v>1</v>
      </c>
      <c r="Y978" s="7">
        <f>VLOOKUP($D978,NatureChart,4,0)</f>
        <v>0.9</v>
      </c>
      <c r="Z978" s="7">
        <f>VLOOKUP($D978,NatureChart,5,0)</f>
        <v>1</v>
      </c>
      <c r="AA978" s="84">
        <f>VLOOKUP($D978,NatureChart,6,0)</f>
        <v>1</v>
      </c>
      <c r="AB978" s="84">
        <f>IF($C978="Shedinja",1,(INT((2*VLOOKUP($C978,DexData,5,0)+INT(Q978/4)+K978)/2)+60))</f>
        <v>156</v>
      </c>
      <c r="AC978" s="84">
        <f>INT(INT((INT((2*VLOOKUP($C978,DexData,6,0)+INT(R978/4)+L978)/2)+5)*W978)*IF($E978="Choice Band",1.5,IF(OR($E978="Mawilite",$E978="Medichamite",$E978="Thick Club"),2,1)))</f>
        <v>205</v>
      </c>
      <c r="AD978" s="84">
        <f>INT(INT((INT((2*VLOOKUP($C978,DexData,7,0)+INT(S978/4)+M978)/2)+5)*X978)*IF($E978="Eviolite",1.5,1))</f>
        <v>150</v>
      </c>
      <c r="AE978" s="84">
        <f>INT(INT((INT((2*VLOOKUP($C978,DexData,9,0)+INT(T978/4)+N978)/2)+5)*Y978)*IF($E978="Choice Specs",1.5,1))</f>
        <v>90</v>
      </c>
      <c r="AF978" s="84">
        <f>INT(INT((INT((2*VLOOKUP($C978,DexData,10,0)+INT(U978/4)+O978)/2)+5)*Z978)*IF(OR($E978="Eviolite",$E978="Assault Vest"),1.5,1))</f>
        <v>110</v>
      </c>
      <c r="AG978" s="84">
        <f>INT(INT((INT((2*VLOOKUP($C978,DexData,11,0)+INT(V978/4)+P978)/2)+5)*AA978)*IF($E978="Choice Scarf",1.5,IF($E978="Iron Ball",0.5,1)))</f>
        <v>122</v>
      </c>
      <c r="AH978" s="84" t="str">
        <f>VLOOKUP(VLOOKUP($C978,DexData,3,0),Aliases!D$2:E$19,2,0)&amp;IFERROR("/"&amp;VLOOKUP(VLOOKUP($C978,DexData,4,0),Aliases!D$2:E$19,2,0),"")</f>
        <v>STL/PSY</v>
      </c>
      <c r="AI978" s="7">
        <v>3.0</v>
      </c>
      <c r="AJ978" s="7">
        <f>IF(VLOOKUP(B978,'Set Odds'!A$2:AN$1067,40,0),1,IF(VLOOKUP(B978,'Set Odds'!A$2:AO$1067,41,0),2,0))</f>
        <v>2</v>
      </c>
      <c r="AK978" s="87" t="s">
        <v>4580</v>
      </c>
      <c r="AL978" s="7" t="str">
        <f t="shared" si="1"/>
        <v/>
      </c>
    </row>
    <row r="979" ht="12.75" customHeight="1">
      <c r="A979" s="86">
        <v>978.0</v>
      </c>
      <c r="B979" s="84" t="s">
        <v>4588</v>
      </c>
      <c r="C979" s="7" t="s">
        <v>3857</v>
      </c>
      <c r="D979" s="7" t="s">
        <v>2635</v>
      </c>
      <c r="E979" s="7" t="s">
        <v>2515</v>
      </c>
      <c r="F979" s="84" t="s">
        <v>3047</v>
      </c>
      <c r="G979" s="84" t="s">
        <v>3260</v>
      </c>
      <c r="H979" s="84" t="s">
        <v>3341</v>
      </c>
      <c r="I979" s="84" t="s">
        <v>2863</v>
      </c>
      <c r="J979" s="7" t="s">
        <v>3841</v>
      </c>
      <c r="K979" s="7">
        <v>31.0</v>
      </c>
      <c r="L979" s="7">
        <v>0.0</v>
      </c>
      <c r="M979" s="7">
        <v>31.0</v>
      </c>
      <c r="N979" s="7">
        <v>31.0</v>
      </c>
      <c r="O979" s="7">
        <v>31.0</v>
      </c>
      <c r="P979" s="7">
        <v>31.0</v>
      </c>
      <c r="Q979" s="7">
        <v>4.0</v>
      </c>
      <c r="R979" s="7">
        <v>0.0</v>
      </c>
      <c r="S979" s="7">
        <v>0.0</v>
      </c>
      <c r="T979" s="7">
        <v>252.0</v>
      </c>
      <c r="U979" s="7">
        <v>0.0</v>
      </c>
      <c r="V979" s="7">
        <v>252.0</v>
      </c>
      <c r="W979" s="7">
        <f>VLOOKUP($D979,NatureChart,2,0)</f>
        <v>0.9</v>
      </c>
      <c r="X979" s="7">
        <f>VLOOKUP($D979,NatureChart,3,0)</f>
        <v>1</v>
      </c>
      <c r="Y979" s="7">
        <f>VLOOKUP($D979,NatureChart,4,0)</f>
        <v>1</v>
      </c>
      <c r="Z979" s="7">
        <f>VLOOKUP($D979,NatureChart,5,0)</f>
        <v>1</v>
      </c>
      <c r="AA979" s="84">
        <f>VLOOKUP($D979,NatureChart,6,0)</f>
        <v>1.1</v>
      </c>
      <c r="AB979" s="84">
        <f>IF($C979="Shedinja",1,(INT((2*VLOOKUP($C979,DexData,5,0)+INT(Q979/4)+K979)/2)+60))</f>
        <v>136</v>
      </c>
      <c r="AC979" s="84">
        <f>INT(INT((INT((2*VLOOKUP($C979,DexData,6,0)+INT(R979/4)+L979)/2)+5)*W979)*IF($E979="Choice Band",1.5,IF(OR($E979="Mawilite",$E979="Medichamite",$E979="Thick Club"),2,1)))</f>
        <v>72</v>
      </c>
      <c r="AD979" s="84">
        <f>INT(INT((INT((2*VLOOKUP($C979,DexData,7,0)+INT(S979/4)+M979)/2)+5)*X979)*IF($E979="Eviolite",1.5,1))</f>
        <v>105</v>
      </c>
      <c r="AE979" s="84">
        <f>INT(INT((INT((2*VLOOKUP($C979,DexData,9,0)+INT(T979/4)+N979)/2)+5)*Y979)*IF($E979="Choice Specs",1.5,1))</f>
        <v>152</v>
      </c>
      <c r="AF979" s="84">
        <f>INT(INT((INT((2*VLOOKUP($C979,DexData,10,0)+INT(U979/4)+O979)/2)+5)*Z979)*IF(OR($E979="Eviolite",$E979="Assault Vest"),1.5,1))</f>
        <v>105</v>
      </c>
      <c r="AG979" s="84">
        <f>INT(INT((INT((2*VLOOKUP($C979,DexData,11,0)+INT(V979/4)+P979)/2)+5)*AA979)*IF($E979="Choice Scarf",1.5,IF($E979="Iron Ball",0.5,1)))</f>
        <v>183</v>
      </c>
      <c r="AH979" s="84" t="str">
        <f>VLOOKUP(VLOOKUP($C979,DexData,3,0),Aliases!D$2:E$19,2,0)&amp;IFERROR("/"&amp;VLOOKUP(VLOOKUP($C979,DexData,4,0),Aliases!D$2:E$19,2,0),"")</f>
        <v>WTR/PSY</v>
      </c>
      <c r="AI979" s="7">
        <v>3.0</v>
      </c>
      <c r="AJ979" s="7">
        <f>IF(VLOOKUP(B979,'Set Odds'!A$2:AN$1067,40,0),1,IF(VLOOKUP(B979,'Set Odds'!A$2:AO$1067,41,0),2,0))</f>
        <v>2</v>
      </c>
      <c r="AK979" s="87" t="s">
        <v>4582</v>
      </c>
      <c r="AL979" s="7" t="str">
        <f t="shared" si="1"/>
        <v/>
      </c>
    </row>
    <row r="980" ht="12.75" customHeight="1">
      <c r="A980" s="86">
        <v>979.0</v>
      </c>
      <c r="B980" s="84" t="s">
        <v>4589</v>
      </c>
      <c r="C980" s="7" t="s">
        <v>3876</v>
      </c>
      <c r="D980" s="7" t="s">
        <v>2692</v>
      </c>
      <c r="E980" s="7" t="s">
        <v>2515</v>
      </c>
      <c r="F980" s="84" t="s">
        <v>3483</v>
      </c>
      <c r="G980" s="84" t="s">
        <v>3934</v>
      </c>
      <c r="H980" s="84" t="s">
        <v>3454</v>
      </c>
      <c r="I980" s="84" t="s">
        <v>2625</v>
      </c>
      <c r="J980" s="7" t="s">
        <v>3233</v>
      </c>
      <c r="K980" s="7">
        <v>31.0</v>
      </c>
      <c r="L980" s="7">
        <v>31.0</v>
      </c>
      <c r="M980" s="7">
        <v>31.0</v>
      </c>
      <c r="N980" s="7">
        <v>0.0</v>
      </c>
      <c r="O980" s="7">
        <v>31.0</v>
      </c>
      <c r="P980" s="7">
        <v>31.0</v>
      </c>
      <c r="Q980" s="7">
        <v>4.0</v>
      </c>
      <c r="R980" s="7">
        <v>252.0</v>
      </c>
      <c r="S980" s="7">
        <v>0.0</v>
      </c>
      <c r="T980" s="7">
        <v>0.0</v>
      </c>
      <c r="U980" s="7">
        <v>0.0</v>
      </c>
      <c r="V980" s="7">
        <v>252.0</v>
      </c>
      <c r="W980" s="7">
        <f>VLOOKUP($D980,NatureChart,2,0)</f>
        <v>1</v>
      </c>
      <c r="X980" s="7">
        <f>VLOOKUP($D980,NatureChart,3,0)</f>
        <v>1</v>
      </c>
      <c r="Y980" s="7">
        <f>VLOOKUP($D980,NatureChart,4,0)</f>
        <v>0.9</v>
      </c>
      <c r="Z980" s="7">
        <f>VLOOKUP($D980,NatureChart,5,0)</f>
        <v>1</v>
      </c>
      <c r="AA980" s="84">
        <f>VLOOKUP($D980,NatureChart,6,0)</f>
        <v>1.1</v>
      </c>
      <c r="AB980" s="84">
        <f>IF($C980="Shedinja",1,(INT((2*VLOOKUP($C980,DexData,5,0)+INT(Q980/4)+K980)/2)+60))</f>
        <v>146</v>
      </c>
      <c r="AC980" s="84">
        <f>INT(INT((INT((2*VLOOKUP($C980,DexData,6,0)+INT(R980/4)+L980)/2)+5)*W980)*IF($E980="Choice Band",1.5,IF(OR($E980="Mawilite",$E980="Medichamite",$E980="Thick Club"),2,1)))</f>
        <v>162</v>
      </c>
      <c r="AD980" s="84">
        <f>INT(INT((INT((2*VLOOKUP($C980,DexData,7,0)+INT(S980/4)+M980)/2)+5)*X980)*IF($E980="Eviolite",1.5,1))</f>
        <v>90</v>
      </c>
      <c r="AE980" s="84">
        <f>INT(INT((INT((2*VLOOKUP($C980,DexData,9,0)+INT(T980/4)+N980)/2)+5)*Y980)*IF($E980="Choice Specs",1.5,1))</f>
        <v>108</v>
      </c>
      <c r="AF980" s="84">
        <f>INT(INT((INT((2*VLOOKUP($C980,DexData,10,0)+INT(U980/4)+O980)/2)+5)*Z980)*IF(OR($E980="Eviolite",$E980="Assault Vest"),1.5,1))</f>
        <v>90</v>
      </c>
      <c r="AG980" s="84">
        <f>INT(INT((INT((2*VLOOKUP($C980,DexData,11,0)+INT(V980/4)+P980)/2)+5)*AA980)*IF($E980="Choice Scarf",1.5,IF($E980="Iron Ball",0.5,1)))</f>
        <v>156</v>
      </c>
      <c r="AH980" s="84" t="str">
        <f>VLOOKUP(VLOOKUP($C980,DexData,3,0),Aliases!D$2:E$19,2,0)&amp;IFERROR("/"&amp;VLOOKUP(VLOOKUP($C980,DexData,4,0),Aliases!D$2:E$19,2,0),"")</f>
        <v>FTG/STL</v>
      </c>
      <c r="AI980" s="7">
        <v>0.0</v>
      </c>
      <c r="AJ980" s="7">
        <f>IF(VLOOKUP(B980,'Set Odds'!A$2:AN$1067,40,0),1,IF(VLOOKUP(B980,'Set Odds'!A$2:AO$1067,41,0),2,0))</f>
        <v>2</v>
      </c>
      <c r="AK980" s="87" t="s">
        <v>4580</v>
      </c>
      <c r="AL980" s="7" t="str">
        <f t="shared" si="1"/>
        <v/>
      </c>
    </row>
    <row r="981" ht="12.75" customHeight="1">
      <c r="A981" s="86">
        <v>980.0</v>
      </c>
      <c r="B981" s="84" t="s">
        <v>4590</v>
      </c>
      <c r="C981" s="7" t="s">
        <v>3926</v>
      </c>
      <c r="D981" s="7" t="s">
        <v>2635</v>
      </c>
      <c r="E981" s="7" t="s">
        <v>4114</v>
      </c>
      <c r="F981" s="84" t="s">
        <v>4213</v>
      </c>
      <c r="G981" s="84" t="s">
        <v>4220</v>
      </c>
      <c r="H981" s="84" t="s">
        <v>2732</v>
      </c>
      <c r="I981" s="84" t="s">
        <v>2660</v>
      </c>
      <c r="J981" s="7" t="s">
        <v>2696</v>
      </c>
      <c r="K981" s="7">
        <v>31.0</v>
      </c>
      <c r="L981" s="7">
        <v>0.0</v>
      </c>
      <c r="M981" s="7">
        <v>31.0</v>
      </c>
      <c r="N981" s="7">
        <v>31.0</v>
      </c>
      <c r="O981" s="7">
        <v>31.0</v>
      </c>
      <c r="P981" s="7">
        <v>31.0</v>
      </c>
      <c r="Q981" s="7">
        <v>4.0</v>
      </c>
      <c r="R981" s="7">
        <v>0.0</v>
      </c>
      <c r="S981" s="7">
        <v>0.0</v>
      </c>
      <c r="T981" s="7">
        <v>252.0</v>
      </c>
      <c r="U981" s="7">
        <v>0.0</v>
      </c>
      <c r="V981" s="7">
        <v>252.0</v>
      </c>
      <c r="W981" s="7">
        <f>VLOOKUP($D981,NatureChart,2,0)</f>
        <v>0.9</v>
      </c>
      <c r="X981" s="7">
        <f>VLOOKUP($D981,NatureChart,3,0)</f>
        <v>1</v>
      </c>
      <c r="Y981" s="7">
        <f>VLOOKUP($D981,NatureChart,4,0)</f>
        <v>1</v>
      </c>
      <c r="Z981" s="7">
        <f>VLOOKUP($D981,NatureChart,5,0)</f>
        <v>1</v>
      </c>
      <c r="AA981" s="84">
        <f>VLOOKUP($D981,NatureChart,6,0)</f>
        <v>1.1</v>
      </c>
      <c r="AB981" s="84">
        <f>IF($C981="Shedinja",1,(INT((2*VLOOKUP($C981,DexData,5,0)+INT(Q981/4)+K981)/2)+60))</f>
        <v>166</v>
      </c>
      <c r="AC981" s="84">
        <f>INT(INT((INT((2*VLOOKUP($C981,DexData,6,0)+INT(R981/4)+L981)/2)+5)*W981)*IF($E981="Choice Band",1.5,IF(OR($E981="Mawilite",$E981="Medichamite",$E981="Thick Club"),2,1)))</f>
        <v>103</v>
      </c>
      <c r="AD981" s="84">
        <f>INT(INT((INT((2*VLOOKUP($C981,DexData,7,0)+INT(S981/4)+M981)/2)+5)*X981)*IF($E981="Eviolite",1.5,1))</f>
        <v>100</v>
      </c>
      <c r="AE981" s="84">
        <f>INT(INT((INT((2*VLOOKUP($C981,DexData,9,0)+INT(T981/4)+N981)/2)+5)*Y981)*IF($E981="Choice Specs",1.5,1))</f>
        <v>152</v>
      </c>
      <c r="AF981" s="84">
        <f>INT(INT((INT((2*VLOOKUP($C981,DexData,10,0)+INT(U981/4)+O981)/2)+5)*Z981)*IF(OR($E981="Eviolite",$E981="Assault Vest"),1.5,1))</f>
        <v>100</v>
      </c>
      <c r="AG981" s="84">
        <f>INT(INT((INT((2*VLOOKUP($C981,DexData,11,0)+INT(V981/4)+P981)/2)+5)*AA981)*IF($E981="Choice Scarf",1.5,IF($E981="Iron Ball",0.5,1)))</f>
        <v>161</v>
      </c>
      <c r="AH981" s="84" t="str">
        <f>VLOOKUP(VLOOKUP($C981,DexData,3,0),Aliases!D$2:E$19,2,0)&amp;IFERROR("/"&amp;VLOOKUP(VLOOKUP($C981,DexData,4,0),Aliases!D$2:E$19,2,0),"")</f>
        <v>FIR</v>
      </c>
      <c r="AI981" s="7">
        <v>0.0</v>
      </c>
      <c r="AJ981" s="7">
        <f>IF(VLOOKUP(B981,'Set Odds'!A$2:AN$1067,40,0),1,IF(VLOOKUP(B981,'Set Odds'!A$2:AO$1067,41,0),2,0))</f>
        <v>2</v>
      </c>
      <c r="AK981" s="87" t="s">
        <v>4582</v>
      </c>
      <c r="AL981" s="7" t="str">
        <f t="shared" si="1"/>
        <v/>
      </c>
    </row>
    <row r="982" ht="12.75" customHeight="1">
      <c r="A982" s="86">
        <v>981.0</v>
      </c>
      <c r="B982" s="84" t="s">
        <v>4591</v>
      </c>
      <c r="C982" s="7" t="s">
        <v>3936</v>
      </c>
      <c r="D982" s="7" t="s">
        <v>2692</v>
      </c>
      <c r="E982" s="7" t="s">
        <v>3071</v>
      </c>
      <c r="F982" s="84" t="s">
        <v>3454</v>
      </c>
      <c r="G982" s="84" t="s">
        <v>2625</v>
      </c>
      <c r="H982" s="84" t="s">
        <v>2801</v>
      </c>
      <c r="I982" s="84" t="s">
        <v>3015</v>
      </c>
      <c r="J982" s="7" t="s">
        <v>2803</v>
      </c>
      <c r="K982" s="7">
        <v>31.0</v>
      </c>
      <c r="L982" s="7">
        <v>31.0</v>
      </c>
      <c r="M982" s="7">
        <v>31.0</v>
      </c>
      <c r="N982" s="7">
        <v>0.0</v>
      </c>
      <c r="O982" s="7">
        <v>31.0</v>
      </c>
      <c r="P982" s="7">
        <v>31.0</v>
      </c>
      <c r="Q982" s="7">
        <v>4.0</v>
      </c>
      <c r="R982" s="7">
        <v>252.0</v>
      </c>
      <c r="S982" s="7">
        <v>0.0</v>
      </c>
      <c r="T982" s="7">
        <v>0.0</v>
      </c>
      <c r="U982" s="7">
        <v>0.0</v>
      </c>
      <c r="V982" s="7">
        <v>252.0</v>
      </c>
      <c r="W982" s="7">
        <f>VLOOKUP($D982,NatureChart,2,0)</f>
        <v>1</v>
      </c>
      <c r="X982" s="7">
        <f>VLOOKUP($D982,NatureChart,3,0)</f>
        <v>1</v>
      </c>
      <c r="Y982" s="7">
        <f>VLOOKUP($D982,NatureChart,4,0)</f>
        <v>0.9</v>
      </c>
      <c r="Z982" s="7">
        <f>VLOOKUP($D982,NatureChart,5,0)</f>
        <v>1</v>
      </c>
      <c r="AA982" s="84">
        <f>VLOOKUP($D982,NatureChart,6,0)</f>
        <v>1.1</v>
      </c>
      <c r="AB982" s="84">
        <f>IF($C982="Shedinja",1,(INT((2*VLOOKUP($C982,DexData,5,0)+INT(Q982/4)+K982)/2)+60))</f>
        <v>184</v>
      </c>
      <c r="AC982" s="84">
        <f>INT(INT((INT((2*VLOOKUP($C982,DexData,6,0)+INT(R982/4)+L982)/2)+5)*W982)*IF($E982="Choice Band",1.5,IF(OR($E982="Mawilite",$E982="Medichamite",$E982="Thick Club"),2,1)))</f>
        <v>182</v>
      </c>
      <c r="AD982" s="84">
        <f>INT(INT((INT((2*VLOOKUP($C982,DexData,7,0)+INT(S982/4)+M982)/2)+5)*X982)*IF($E982="Eviolite",1.5,1))</f>
        <v>115</v>
      </c>
      <c r="AE982" s="84">
        <f>INT(INT((INT((2*VLOOKUP($C982,DexData,9,0)+INT(T982/4)+N982)/2)+5)*Y982)*IF($E982="Choice Specs",1.5,1))</f>
        <v>76</v>
      </c>
      <c r="AF982" s="84">
        <f>INT(INT((INT((2*VLOOKUP($C982,DexData,10,0)+INT(U982/4)+O982)/2)+5)*Z982)*IF(OR($E982="Eviolite",$E982="Assault Vest"),1.5,1))</f>
        <v>105</v>
      </c>
      <c r="AG982" s="84">
        <f>INT(INT((INT((2*VLOOKUP($C982,DexData,11,0)+INT(V982/4)+P982)/2)+5)*AA982)*IF($E982="Choice Scarf",1.5,IF($E982="Iron Ball",0.5,1)))</f>
        <v>169</v>
      </c>
      <c r="AH982" s="84" t="str">
        <f>VLOOKUP(VLOOKUP($C982,DexData,3,0),Aliases!D$2:E$19,2,0)&amp;IFERROR("/"&amp;VLOOKUP(VLOOKUP($C982,DexData,4,0),Aliases!D$2:E$19,2,0),"")</f>
        <v>DRG/GRD</v>
      </c>
      <c r="AI982" s="7">
        <v>0.0</v>
      </c>
      <c r="AJ982" s="7">
        <f>IF(VLOOKUP(B982,'Set Odds'!A$2:AN$1067,40,0),1,IF(VLOOKUP(B982,'Set Odds'!A$2:AO$1067,41,0),2,0))</f>
        <v>2</v>
      </c>
      <c r="AK982" s="87" t="s">
        <v>4580</v>
      </c>
      <c r="AL982" s="7" t="str">
        <f t="shared" si="1"/>
        <v/>
      </c>
    </row>
    <row r="983" ht="12.75" customHeight="1">
      <c r="A983" s="86">
        <v>982.0</v>
      </c>
      <c r="B983" s="84" t="s">
        <v>4592</v>
      </c>
      <c r="C983" s="7" t="s">
        <v>3836</v>
      </c>
      <c r="D983" s="7" t="s">
        <v>2692</v>
      </c>
      <c r="E983" s="7" t="s">
        <v>2889</v>
      </c>
      <c r="F983" s="84" t="s">
        <v>2625</v>
      </c>
      <c r="G983" s="84" t="s">
        <v>3454</v>
      </c>
      <c r="H983" s="84" t="s">
        <v>3603</v>
      </c>
      <c r="I983" s="84" t="s">
        <v>3626</v>
      </c>
      <c r="J983" s="7" t="s">
        <v>3499</v>
      </c>
      <c r="K983" s="7">
        <v>31.0</v>
      </c>
      <c r="L983" s="7">
        <v>31.0</v>
      </c>
      <c r="M983" s="7">
        <v>31.0</v>
      </c>
      <c r="N983" s="7">
        <v>0.0</v>
      </c>
      <c r="O983" s="7">
        <v>31.0</v>
      </c>
      <c r="P983" s="7">
        <v>31.0</v>
      </c>
      <c r="Q983" s="7">
        <v>4.0</v>
      </c>
      <c r="R983" s="7">
        <v>252.0</v>
      </c>
      <c r="S983" s="7">
        <v>0.0</v>
      </c>
      <c r="T983" s="7">
        <v>0.0</v>
      </c>
      <c r="U983" s="7">
        <v>0.0</v>
      </c>
      <c r="V983" s="7">
        <v>252.0</v>
      </c>
      <c r="W983" s="7">
        <f>VLOOKUP($D983,NatureChart,2,0)</f>
        <v>1</v>
      </c>
      <c r="X983" s="7">
        <f>VLOOKUP($D983,NatureChart,3,0)</f>
        <v>1</v>
      </c>
      <c r="Y983" s="7">
        <f>VLOOKUP($D983,NatureChart,4,0)</f>
        <v>0.9</v>
      </c>
      <c r="Z983" s="7">
        <f>VLOOKUP($D983,NatureChart,5,0)</f>
        <v>1</v>
      </c>
      <c r="AA983" s="84">
        <f>VLOOKUP($D983,NatureChart,6,0)</f>
        <v>1.1</v>
      </c>
      <c r="AB983" s="84">
        <f>IF($C983="Shedinja",1,(INT((2*VLOOKUP($C983,DexData,5,0)+INT(Q983/4)+K983)/2)+60))</f>
        <v>156</v>
      </c>
      <c r="AC983" s="84">
        <f>INT(INT((INT((2*VLOOKUP($C983,DexData,6,0)+INT(R983/4)+L983)/2)+5)*W983)*IF($E983="Choice Band",1.5,IF(OR($E983="Mawilite",$E983="Medichamite",$E983="Thick Club"),2,1)))</f>
        <v>157</v>
      </c>
      <c r="AD983" s="84">
        <f>INT(INT((INT((2*VLOOKUP($C983,DexData,7,0)+INT(S983/4)+M983)/2)+5)*X983)*IF($E983="Eviolite",1.5,1))</f>
        <v>85</v>
      </c>
      <c r="AE983" s="84">
        <f>INT(INT((INT((2*VLOOKUP($C983,DexData,9,0)+INT(T983/4)+N983)/2)+5)*Y983)*IF($E983="Choice Specs",1.5,1))</f>
        <v>58</v>
      </c>
      <c r="AF983" s="84">
        <f>INT(INT((INT((2*VLOOKUP($C983,DexData,10,0)+INT(U983/4)+O983)/2)+5)*Z983)*IF(OR($E983="Eviolite",$E983="Assault Vest"),1.5,1))</f>
        <v>95</v>
      </c>
      <c r="AG983" s="84">
        <f>INT(INT((INT((2*VLOOKUP($C983,DexData,11,0)+INT(V983/4)+P983)/2)+5)*AA983)*IF($E983="Choice Scarf",1.5,IF($E983="Iron Ball",0.5,1)))</f>
        <v>200</v>
      </c>
      <c r="AH983" s="84" t="str">
        <f>VLOOKUP(VLOOKUP($C983,DexData,3,0),Aliases!D$2:E$19,2,0)&amp;IFERROR("/"&amp;VLOOKUP(VLOOKUP($C983,DexData,4,0),Aliases!D$2:E$19,2,0),"")</f>
        <v>RCK/FLY</v>
      </c>
      <c r="AI983" s="7">
        <v>0.0</v>
      </c>
      <c r="AJ983" s="7">
        <f>IF(VLOOKUP(B983,'Set Odds'!A$2:AN$1067,40,0),1,IF(VLOOKUP(B983,'Set Odds'!A$2:AO$1067,41,0),2,0))</f>
        <v>2</v>
      </c>
      <c r="AK983" s="87" t="s">
        <v>4582</v>
      </c>
      <c r="AL983" s="7" t="str">
        <f t="shared" si="1"/>
        <v/>
      </c>
    </row>
    <row r="984" ht="12.75" customHeight="1">
      <c r="A984" s="86">
        <v>983.0</v>
      </c>
      <c r="B984" s="84" t="s">
        <v>4593</v>
      </c>
      <c r="C984" s="7" t="s">
        <v>3742</v>
      </c>
      <c r="D984" s="7" t="s">
        <v>2656</v>
      </c>
      <c r="E984" s="7" t="s">
        <v>3046</v>
      </c>
      <c r="F984" s="84" t="s">
        <v>3047</v>
      </c>
      <c r="G984" s="84" t="s">
        <v>2704</v>
      </c>
      <c r="H984" s="84" t="s">
        <v>2832</v>
      </c>
      <c r="I984" s="84" t="s">
        <v>3048</v>
      </c>
      <c r="J984" s="7" t="s">
        <v>3049</v>
      </c>
      <c r="K984" s="7">
        <v>31.0</v>
      </c>
      <c r="L984" s="7">
        <v>0.0</v>
      </c>
      <c r="M984" s="7">
        <v>31.0</v>
      </c>
      <c r="N984" s="7">
        <v>31.0</v>
      </c>
      <c r="O984" s="7">
        <v>31.0</v>
      </c>
      <c r="P984" s="7">
        <v>31.0</v>
      </c>
      <c r="Q984" s="7">
        <v>252.0</v>
      </c>
      <c r="R984" s="7">
        <v>4.0</v>
      </c>
      <c r="S984" s="7">
        <v>0.0</v>
      </c>
      <c r="T984" s="7">
        <v>252.0</v>
      </c>
      <c r="U984" s="7">
        <v>0.0</v>
      </c>
      <c r="V984" s="7">
        <v>0.0</v>
      </c>
      <c r="W984" s="7">
        <f>VLOOKUP($D984,NatureChart,2,0)</f>
        <v>0.9</v>
      </c>
      <c r="X984" s="7">
        <f>VLOOKUP($D984,NatureChart,3,0)</f>
        <v>1</v>
      </c>
      <c r="Y984" s="7">
        <f>VLOOKUP($D984,NatureChart,4,0)</f>
        <v>1.1</v>
      </c>
      <c r="Z984" s="7">
        <f>VLOOKUP($D984,NatureChart,5,0)</f>
        <v>1</v>
      </c>
      <c r="AA984" s="84">
        <f>VLOOKUP($D984,NatureChart,6,0)</f>
        <v>1</v>
      </c>
      <c r="AB984" s="84">
        <f>IF($C984="Shedinja",1,(INT((2*VLOOKUP($C984,DexData,5,0)+INT(Q984/4)+K984)/2)+60))</f>
        <v>197</v>
      </c>
      <c r="AC984" s="84">
        <f>INT(INT((INT((2*VLOOKUP($C984,DexData,6,0)+INT(R984/4)+L984)/2)+5)*W984)*IF($E984="Choice Band",1.5,IF(OR($E984="Mawilite",$E984="Medichamite",$E984="Thick Club"),2,1)))</f>
        <v>87</v>
      </c>
      <c r="AD984" s="84">
        <f>INT(INT((INT((2*VLOOKUP($C984,DexData,7,0)+INT(S984/4)+M984)/2)+5)*X984)*IF($E984="Eviolite",1.5,1))</f>
        <v>95</v>
      </c>
      <c r="AE984" s="84">
        <f>INT(INT((INT((2*VLOOKUP($C984,DexData,9,0)+INT(T984/4)+N984)/2)+5)*Y984)*IF($E984="Choice Specs",1.5,1))</f>
        <v>158</v>
      </c>
      <c r="AF984" s="84">
        <f>INT(INT((INT((2*VLOOKUP($C984,DexData,10,0)+INT(U984/4)+O984)/2)+5)*Z984)*IF(OR($E984="Eviolite",$E984="Assault Vest"),1.5,1))</f>
        <v>105</v>
      </c>
      <c r="AG984" s="84">
        <f>INT(INT((INT((2*VLOOKUP($C984,DexData,11,0)+INT(V984/4)+P984)/2)+5)*AA984)*IF($E984="Choice Scarf",1.5,IF($E984="Iron Ball",0.5,1)))</f>
        <v>80</v>
      </c>
      <c r="AH984" s="84" t="str">
        <f>VLOOKUP(VLOOKUP($C984,DexData,3,0),Aliases!D$2:E$19,2,0)&amp;IFERROR("/"&amp;VLOOKUP(VLOOKUP($C984,DexData,4,0),Aliases!D$2:E$19,2,0),"")</f>
        <v>GRS/ICE</v>
      </c>
      <c r="AI984" s="7">
        <v>1.0</v>
      </c>
      <c r="AJ984" s="7">
        <f>IF(VLOOKUP(B984,'Set Odds'!A$2:AN$1067,40,0),1,IF(VLOOKUP(B984,'Set Odds'!A$2:AO$1067,41,0),2,0))</f>
        <v>2</v>
      </c>
      <c r="AK984" s="87" t="s">
        <v>4594</v>
      </c>
      <c r="AL984" s="7" t="str">
        <f t="shared" si="1"/>
        <v/>
      </c>
    </row>
    <row r="985" ht="12.75" customHeight="1">
      <c r="A985" s="86">
        <v>984.0</v>
      </c>
      <c r="B985" s="84" t="s">
        <v>4595</v>
      </c>
      <c r="C985" s="7" t="s">
        <v>4226</v>
      </c>
      <c r="D985" s="7" t="s">
        <v>2862</v>
      </c>
      <c r="E985" s="7" t="s">
        <v>2685</v>
      </c>
      <c r="F985" s="84" t="s">
        <v>3047</v>
      </c>
      <c r="G985" s="84" t="s">
        <v>3435</v>
      </c>
      <c r="H985" s="84" t="s">
        <v>3569</v>
      </c>
      <c r="I985" s="84" t="s">
        <v>2841</v>
      </c>
      <c r="J985" s="7" t="s">
        <v>3328</v>
      </c>
      <c r="K985" s="7">
        <v>31.0</v>
      </c>
      <c r="L985" s="7">
        <v>0.0</v>
      </c>
      <c r="M985" s="7">
        <v>31.0</v>
      </c>
      <c r="N985" s="7">
        <v>31.0</v>
      </c>
      <c r="O985" s="7">
        <v>31.0</v>
      </c>
      <c r="P985" s="7">
        <v>31.0</v>
      </c>
      <c r="Q985" s="7">
        <v>172.0</v>
      </c>
      <c r="R985" s="7">
        <v>0.0</v>
      </c>
      <c r="S985" s="7">
        <v>252.0</v>
      </c>
      <c r="T985" s="7">
        <v>84.0</v>
      </c>
      <c r="U985" s="7">
        <v>0.0</v>
      </c>
      <c r="V985" s="7">
        <v>0.0</v>
      </c>
      <c r="W985" s="7">
        <f>VLOOKUP($D985,NatureChart,2,0)</f>
        <v>0.9</v>
      </c>
      <c r="X985" s="7">
        <f>VLOOKUP($D985,NatureChart,3,0)</f>
        <v>1.1</v>
      </c>
      <c r="Y985" s="7">
        <f>VLOOKUP($D985,NatureChart,4,0)</f>
        <v>1</v>
      </c>
      <c r="Z985" s="7">
        <f>VLOOKUP($D985,NatureChart,5,0)</f>
        <v>1</v>
      </c>
      <c r="AA985" s="84">
        <f>VLOOKUP($D985,NatureChart,6,0)</f>
        <v>1</v>
      </c>
      <c r="AB985" s="84">
        <f>IF($C985="Shedinja",1,(INT((2*VLOOKUP($C985,DexData,5,0)+INT(Q985/4)+K985)/2)+60))</f>
        <v>177</v>
      </c>
      <c r="AC985" s="84">
        <f>INT(INT((INT((2*VLOOKUP($C985,DexData,6,0)+INT(R985/4)+L985)/2)+5)*W985)*IF($E985="Choice Band",1.5,IF(OR($E985="Mawilite",$E985="Medichamite",$E985="Thick Club"),2,1)))</f>
        <v>49</v>
      </c>
      <c r="AD985" s="84">
        <f>INT(INT((INT((2*VLOOKUP($C985,DexData,7,0)+INT(S985/4)+M985)/2)+5)*X985)*IF($E985="Eviolite",1.5,1))</f>
        <v>167</v>
      </c>
      <c r="AE985" s="84">
        <f>INT(INT((INT((2*VLOOKUP($C985,DexData,9,0)+INT(T985/4)+N985)/2)+5)*Y985)*IF($E985="Choice Specs",1.5,1))</f>
        <v>131</v>
      </c>
      <c r="AF985" s="84">
        <f>INT(INT((INT((2*VLOOKUP($C985,DexData,10,0)+INT(U985/4)+O985)/2)+5)*Z985)*IF(OR($E985="Eviolite",$E985="Assault Vest"),1.5,1))</f>
        <v>220</v>
      </c>
      <c r="AG985" s="84">
        <f>INT(INT((INT((2*VLOOKUP($C985,DexData,11,0)+INT(V985/4)+P985)/2)+5)*AA985)*IF($E985="Choice Scarf",1.5,IF($E985="Iron Ball",0.5,1)))</f>
        <v>70</v>
      </c>
      <c r="AH985" s="84" t="str">
        <f>VLOOKUP(VLOOKUP($C985,DexData,3,0),Aliases!D$2:E$19,2,0)&amp;IFERROR("/"&amp;VLOOKUP(VLOOKUP($C985,DexData,4,0),Aliases!D$2:E$19,2,0),"")</f>
        <v>ICE</v>
      </c>
      <c r="AI985" s="7">
        <v>3.0</v>
      </c>
      <c r="AJ985" s="7">
        <f>IF(VLOOKUP(B985,'Set Odds'!A$2:AN$1067,40,0),1,IF(VLOOKUP(B985,'Set Odds'!A$2:AO$1067,41,0),2,0))</f>
        <v>2</v>
      </c>
      <c r="AK985" s="87" t="s">
        <v>4594</v>
      </c>
      <c r="AL985" s="7" t="str">
        <f t="shared" si="1"/>
        <v/>
      </c>
    </row>
    <row r="986" ht="12.75" customHeight="1">
      <c r="A986" s="86">
        <v>985.0</v>
      </c>
      <c r="B986" s="84" t="s">
        <v>4596</v>
      </c>
      <c r="C986" s="7" t="s">
        <v>3582</v>
      </c>
      <c r="D986" s="7" t="s">
        <v>2571</v>
      </c>
      <c r="E986" s="7" t="s">
        <v>2515</v>
      </c>
      <c r="F986" s="84" t="s">
        <v>3566</v>
      </c>
      <c r="G986" s="84" t="s">
        <v>3584</v>
      </c>
      <c r="H986" s="84" t="s">
        <v>3583</v>
      </c>
      <c r="I986" s="84" t="s">
        <v>2757</v>
      </c>
      <c r="J986" s="7" t="s">
        <v>3131</v>
      </c>
      <c r="K986" s="7">
        <v>31.0</v>
      </c>
      <c r="L986" s="7">
        <v>31.0</v>
      </c>
      <c r="M986" s="7">
        <v>31.0</v>
      </c>
      <c r="N986" s="7">
        <v>0.0</v>
      </c>
      <c r="O986" s="7">
        <v>31.0</v>
      </c>
      <c r="P986" s="7">
        <v>31.0</v>
      </c>
      <c r="Q986" s="7">
        <v>4.0</v>
      </c>
      <c r="R986" s="7">
        <v>252.0</v>
      </c>
      <c r="S986" s="7">
        <v>0.0</v>
      </c>
      <c r="T986" s="7">
        <v>0.0</v>
      </c>
      <c r="U986" s="7">
        <v>0.0</v>
      </c>
      <c r="V986" s="7">
        <v>252.0</v>
      </c>
      <c r="W986" s="7">
        <f>VLOOKUP($D986,NatureChart,2,0)</f>
        <v>1.1</v>
      </c>
      <c r="X986" s="7">
        <f>VLOOKUP($D986,NatureChart,3,0)</f>
        <v>1</v>
      </c>
      <c r="Y986" s="7">
        <f>VLOOKUP($D986,NatureChart,4,0)</f>
        <v>0.9</v>
      </c>
      <c r="Z986" s="7">
        <f>VLOOKUP($D986,NatureChart,5,0)</f>
        <v>1</v>
      </c>
      <c r="AA986" s="84">
        <f>VLOOKUP($D986,NatureChart,6,0)</f>
        <v>1</v>
      </c>
      <c r="AB986" s="84">
        <f>IF($C986="Shedinja",1,(INT((2*VLOOKUP($C986,DexData,5,0)+INT(Q986/4)+K986)/2)+60))</f>
        <v>126</v>
      </c>
      <c r="AC986" s="84">
        <f>INT(INT((INT((2*VLOOKUP($C986,DexData,6,0)+INT(R986/4)+L986)/2)+5)*W986)*IF($E986="Choice Band",1.5,IF(OR($E986="Mawilite",$E986="Medichamite",$E986="Thick Club"),2,1)))</f>
        <v>161</v>
      </c>
      <c r="AD986" s="84">
        <f>INT(INT((INT((2*VLOOKUP($C986,DexData,7,0)+INT(S986/4)+M986)/2)+5)*X986)*IF($E986="Eviolite",1.5,1))</f>
        <v>200</v>
      </c>
      <c r="AE986" s="84">
        <f>INT(INT((INT((2*VLOOKUP($C986,DexData,9,0)+INT(T986/4)+N986)/2)+5)*Y986)*IF($E986="Choice Specs",1.5,1))</f>
        <v>81</v>
      </c>
      <c r="AF986" s="84">
        <f>INT(INT((INT((2*VLOOKUP($C986,DexData,10,0)+INT(U986/4)+O986)/2)+5)*Z986)*IF(OR($E986="Eviolite",$E986="Assault Vest"),1.5,1))</f>
        <v>65</v>
      </c>
      <c r="AG986" s="84">
        <f>INT(INT((INT((2*VLOOKUP($C986,DexData,11,0)+INT(V986/4)+P986)/2)+5)*AA986)*IF($E986="Choice Scarf",1.5,IF($E986="Iron Ball",0.5,1)))</f>
        <v>122</v>
      </c>
      <c r="AH986" s="84" t="str">
        <f>VLOOKUP(VLOOKUP($C986,DexData,3,0),Aliases!D$2:E$19,2,0)&amp;IFERROR("/"&amp;VLOOKUP(VLOOKUP($C986,DexData,4,0),Aliases!D$2:E$19,2,0),"")</f>
        <v>WTR/ICE</v>
      </c>
      <c r="AI986" s="7">
        <v>1.0</v>
      </c>
      <c r="AJ986" s="7">
        <f>IF(VLOOKUP(B986,'Set Odds'!A$2:AN$1067,40,0),1,IF(VLOOKUP(B986,'Set Odds'!A$2:AO$1067,41,0),2,0))</f>
        <v>2</v>
      </c>
      <c r="AK986" s="87" t="s">
        <v>4594</v>
      </c>
      <c r="AL986" s="7" t="str">
        <f t="shared" si="1"/>
        <v/>
      </c>
    </row>
    <row r="987" ht="12.75" customHeight="1">
      <c r="A987" s="86">
        <v>986.0</v>
      </c>
      <c r="B987" s="84" t="s">
        <v>4597</v>
      </c>
      <c r="C987" s="7" t="s">
        <v>3958</v>
      </c>
      <c r="D987" s="7" t="s">
        <v>2629</v>
      </c>
      <c r="E987" s="7" t="s">
        <v>2665</v>
      </c>
      <c r="F987" s="84" t="s">
        <v>3959</v>
      </c>
      <c r="G987" s="84" t="s">
        <v>3524</v>
      </c>
      <c r="H987" s="84" t="s">
        <v>2832</v>
      </c>
      <c r="I987" s="84" t="s">
        <v>3264</v>
      </c>
      <c r="J987" s="7" t="s">
        <v>3016</v>
      </c>
      <c r="K987" s="7">
        <v>31.0</v>
      </c>
      <c r="L987" s="7">
        <v>31.0</v>
      </c>
      <c r="M987" s="7">
        <v>31.0</v>
      </c>
      <c r="N987" s="7">
        <v>31.0</v>
      </c>
      <c r="O987" s="7">
        <v>31.0</v>
      </c>
      <c r="P987" s="7">
        <v>0.0</v>
      </c>
      <c r="Q987" s="7">
        <v>4.0</v>
      </c>
      <c r="R987" s="7">
        <v>0.0</v>
      </c>
      <c r="S987" s="7">
        <v>0.0</v>
      </c>
      <c r="T987" s="7">
        <v>252.0</v>
      </c>
      <c r="U987" s="7">
        <v>0.0</v>
      </c>
      <c r="V987" s="7">
        <v>252.0</v>
      </c>
      <c r="W987" s="7">
        <f>VLOOKUP($D987,NatureChart,2,0)</f>
        <v>1.1</v>
      </c>
      <c r="X987" s="7">
        <f>VLOOKUP($D987,NatureChart,3,0)</f>
        <v>1</v>
      </c>
      <c r="Y987" s="7">
        <f>VLOOKUP($D987,NatureChart,4,0)</f>
        <v>1</v>
      </c>
      <c r="Z987" s="7">
        <f>VLOOKUP($D987,NatureChart,5,0)</f>
        <v>1</v>
      </c>
      <c r="AA987" s="84">
        <f>VLOOKUP($D987,NatureChart,6,0)</f>
        <v>0.9</v>
      </c>
      <c r="AB987" s="84">
        <f>IF($C987="Shedinja",1,(INT((2*VLOOKUP($C987,DexData,5,0)+INT(Q987/4)+K987)/2)+60))</f>
        <v>167</v>
      </c>
      <c r="AC987" s="84">
        <f>INT(INT((INT((2*VLOOKUP($C987,DexData,6,0)+INT(R987/4)+L987)/2)+5)*W987)*IF($E987="Choice Band",1.5,IF(OR($E987="Mawilite",$E987="Medichamite",$E987="Thick Club"),2,1)))</f>
        <v>121</v>
      </c>
      <c r="AD987" s="84">
        <f>INT(INT((INT((2*VLOOKUP($C987,DexData,7,0)+INT(S987/4)+M987)/2)+5)*X987)*IF($E987="Eviolite",1.5,1))</f>
        <v>126</v>
      </c>
      <c r="AE987" s="84">
        <f>INT(INT((INT((2*VLOOKUP($C987,DexData,9,0)+INT(T987/4)+N987)/2)+5)*Y987)*IF($E987="Choice Specs",1.5,1))</f>
        <v>182</v>
      </c>
      <c r="AF987" s="84">
        <f>INT(INT((INT((2*VLOOKUP($C987,DexData,10,0)+INT(U987/4)+O987)/2)+5)*Z987)*IF(OR($E987="Eviolite",$E987="Assault Vest"),1.5,1))</f>
        <v>126</v>
      </c>
      <c r="AG987" s="84">
        <f>INT(INT((INT((2*VLOOKUP($C987,DexData,11,0)+INT(V987/4)+P987)/2)+5)*AA987)*IF($E987="Choice Scarf",1.5,IF($E987="Iron Ball",0.5,1)))</f>
        <v>151</v>
      </c>
      <c r="AH987" s="84" t="str">
        <f>VLOOKUP(VLOOKUP($C987,DexData,3,0),Aliases!D$2:E$19,2,0)&amp;IFERROR("/"&amp;VLOOKUP(VLOOKUP($C987,DexData,4,0),Aliases!D$2:E$19,2,0),"")</f>
        <v>FIR/STL</v>
      </c>
      <c r="AI987" s="7">
        <v>1.0</v>
      </c>
      <c r="AJ987" s="7">
        <f>IF(VLOOKUP(B987,'Set Odds'!A$2:AN$1067,40,0),1,IF(VLOOKUP(B987,'Set Odds'!A$2:AO$1067,41,0),2,0))</f>
        <v>2</v>
      </c>
      <c r="AK987" s="87" t="s">
        <v>4594</v>
      </c>
      <c r="AL987" s="7">
        <f t="shared" si="1"/>
        <v>1</v>
      </c>
    </row>
    <row r="988" ht="12.75" customHeight="1">
      <c r="A988" s="86">
        <v>987.0</v>
      </c>
      <c r="B988" s="84" t="s">
        <v>4598</v>
      </c>
      <c r="C988" s="7" t="s">
        <v>3893</v>
      </c>
      <c r="D988" s="7" t="s">
        <v>2692</v>
      </c>
      <c r="E988" s="7" t="s">
        <v>2515</v>
      </c>
      <c r="F988" s="84" t="s">
        <v>3454</v>
      </c>
      <c r="G988" s="84" t="s">
        <v>3583</v>
      </c>
      <c r="H988" s="84" t="s">
        <v>2751</v>
      </c>
      <c r="I988" s="84" t="s">
        <v>3048</v>
      </c>
      <c r="J988" s="7" t="s">
        <v>2968</v>
      </c>
      <c r="K988" s="7">
        <v>31.0</v>
      </c>
      <c r="L988" s="7">
        <v>31.0</v>
      </c>
      <c r="M988" s="7">
        <v>31.0</v>
      </c>
      <c r="N988" s="7">
        <v>0.0</v>
      </c>
      <c r="O988" s="7">
        <v>31.0</v>
      </c>
      <c r="P988" s="7">
        <v>31.0</v>
      </c>
      <c r="Q988" s="7">
        <v>4.0</v>
      </c>
      <c r="R988" s="7">
        <v>252.0</v>
      </c>
      <c r="S988" s="7">
        <v>0.0</v>
      </c>
      <c r="T988" s="7">
        <v>0.0</v>
      </c>
      <c r="U988" s="7">
        <v>0.0</v>
      </c>
      <c r="V988" s="7">
        <v>252.0</v>
      </c>
      <c r="W988" s="7">
        <f>VLOOKUP($D988,NatureChart,2,0)</f>
        <v>1</v>
      </c>
      <c r="X988" s="7">
        <f>VLOOKUP($D988,NatureChart,3,0)</f>
        <v>1</v>
      </c>
      <c r="Y988" s="7">
        <f>VLOOKUP($D988,NatureChart,4,0)</f>
        <v>0.9</v>
      </c>
      <c r="Z988" s="7">
        <f>VLOOKUP($D988,NatureChart,5,0)</f>
        <v>1</v>
      </c>
      <c r="AA988" s="84">
        <f>VLOOKUP($D988,NatureChart,6,0)</f>
        <v>1.1</v>
      </c>
      <c r="AB988" s="84">
        <f>IF($C988="Shedinja",1,(INT((2*VLOOKUP($C988,DexData,5,0)+INT(Q988/4)+K988)/2)+60))</f>
        <v>186</v>
      </c>
      <c r="AC988" s="84">
        <f>INT(INT((INT((2*VLOOKUP($C988,DexData,6,0)+INT(R988/4)+L988)/2)+5)*W988)*IF($E988="Choice Band",1.5,IF(OR($E988="Mawilite",$E988="Medichamite",$E988="Thick Club"),2,1)))</f>
        <v>182</v>
      </c>
      <c r="AD988" s="84">
        <f>INT(INT((INT((2*VLOOKUP($C988,DexData,7,0)+INT(S988/4)+M988)/2)+5)*X988)*IF($E988="Eviolite",1.5,1))</f>
        <v>100</v>
      </c>
      <c r="AE988" s="84">
        <f>INT(INT((INT((2*VLOOKUP($C988,DexData,9,0)+INT(T988/4)+N988)/2)+5)*Y988)*IF($E988="Choice Specs",1.5,1))</f>
        <v>67</v>
      </c>
      <c r="AF988" s="84">
        <f>INT(INT((INT((2*VLOOKUP($C988,DexData,10,0)+INT(U988/4)+O988)/2)+5)*Z988)*IF(OR($E988="Eviolite",$E988="Assault Vest"),1.5,1))</f>
        <v>80</v>
      </c>
      <c r="AG988" s="84">
        <f>INT(INT((INT((2*VLOOKUP($C988,DexData,11,0)+INT(V988/4)+P988)/2)+5)*AA988)*IF($E988="Choice Scarf",1.5,IF($E988="Iron Ball",0.5,1)))</f>
        <v>145</v>
      </c>
      <c r="AH988" s="84" t="str">
        <f>VLOOKUP(VLOOKUP($C988,DexData,3,0),Aliases!D$2:E$19,2,0)&amp;IFERROR("/"&amp;VLOOKUP(VLOOKUP($C988,DexData,4,0),Aliases!D$2:E$19,2,0),"")</f>
        <v>ICE/GRD</v>
      </c>
      <c r="AI988" s="7">
        <v>1.0</v>
      </c>
      <c r="AJ988" s="7">
        <f>IF(VLOOKUP(B988,'Set Odds'!A$2:AN$1067,40,0),1,IF(VLOOKUP(B988,'Set Odds'!A$2:AO$1067,41,0),2,0))</f>
        <v>2</v>
      </c>
      <c r="AK988" s="87" t="s">
        <v>4594</v>
      </c>
      <c r="AL988" s="7" t="str">
        <f t="shared" si="1"/>
        <v/>
      </c>
    </row>
    <row r="989" ht="12.75" customHeight="1">
      <c r="A989" s="86">
        <v>988.0</v>
      </c>
      <c r="B989" s="84" t="s">
        <v>4599</v>
      </c>
      <c r="C989" s="7" t="s">
        <v>3873</v>
      </c>
      <c r="D989" s="7" t="s">
        <v>2656</v>
      </c>
      <c r="E989" s="7" t="s">
        <v>3008</v>
      </c>
      <c r="F989" s="84" t="s">
        <v>4089</v>
      </c>
      <c r="G989" s="84" t="s">
        <v>2661</v>
      </c>
      <c r="H989" s="84" t="s">
        <v>3048</v>
      </c>
      <c r="I989" s="84" t="s">
        <v>3168</v>
      </c>
      <c r="J989" s="7" t="s">
        <v>3328</v>
      </c>
      <c r="K989" s="7">
        <v>31.0</v>
      </c>
      <c r="L989" s="7">
        <v>31.0</v>
      </c>
      <c r="M989" s="7">
        <v>31.0</v>
      </c>
      <c r="N989" s="7">
        <v>31.0</v>
      </c>
      <c r="O989" s="7">
        <v>31.0</v>
      </c>
      <c r="P989" s="7">
        <v>31.0</v>
      </c>
      <c r="Q989" s="7">
        <v>252.0</v>
      </c>
      <c r="R989" s="7">
        <v>0.0</v>
      </c>
      <c r="S989" s="7">
        <v>0.0</v>
      </c>
      <c r="T989" s="7">
        <v>252.0</v>
      </c>
      <c r="U989" s="7">
        <v>0.0</v>
      </c>
      <c r="V989" s="7">
        <v>4.0</v>
      </c>
      <c r="W989" s="7">
        <f>VLOOKUP($D989,NatureChart,2,0)</f>
        <v>0.9</v>
      </c>
      <c r="X989" s="7">
        <f>VLOOKUP($D989,NatureChart,3,0)</f>
        <v>1</v>
      </c>
      <c r="Y989" s="7">
        <f>VLOOKUP($D989,NatureChart,4,0)</f>
        <v>1.1</v>
      </c>
      <c r="Z989" s="7">
        <f>VLOOKUP($D989,NatureChart,5,0)</f>
        <v>1</v>
      </c>
      <c r="AA989" s="84">
        <f>VLOOKUP($D989,NatureChart,6,0)</f>
        <v>1</v>
      </c>
      <c r="AB989" s="84">
        <f>IF($C989="Shedinja",1,(INT((2*VLOOKUP($C989,DexData,5,0)+INT(Q989/4)+K989)/2)+60))</f>
        <v>172</v>
      </c>
      <c r="AC989" s="84">
        <f>INT(INT((INT((2*VLOOKUP($C989,DexData,6,0)+INT(R989/4)+L989)/2)+5)*W989)*IF($E989="Choice Band",1.5,IF(OR($E989="Mawilite",$E989="Medichamite",$E989="Thick Club"),2,1)))</f>
        <v>72</v>
      </c>
      <c r="AD989" s="84">
        <f>INT(INT((INT((2*VLOOKUP($C989,DexData,7,0)+INT(S989/4)+M989)/2)+5)*X989)*IF($E989="Eviolite",1.5,1))</f>
        <v>130</v>
      </c>
      <c r="AE989" s="84">
        <f>INT(INT((INT((2*VLOOKUP($C989,DexData,9,0)+INT(T989/4)+N989)/2)+5)*Y989)*IF($E989="Choice Specs",1.5,1))</f>
        <v>200</v>
      </c>
      <c r="AF989" s="84">
        <f>INT(INT((INT((2*VLOOKUP($C989,DexData,10,0)+INT(U989/4)+O989)/2)+5)*Z989)*IF(OR($E989="Eviolite",$E989="Assault Vest"),1.5,1))</f>
        <v>115</v>
      </c>
      <c r="AG989" s="84">
        <f>INT(INT((INT((2*VLOOKUP($C989,DexData,11,0)+INT(V989/4)+P989)/2)+5)*AA989)*IF($E989="Choice Scarf",1.5,IF($E989="Iron Ball",0.5,1)))</f>
        <v>86</v>
      </c>
      <c r="AH989" s="84" t="str">
        <f>VLOOKUP(VLOOKUP($C989,DexData,3,0),Aliases!D$2:E$19,2,0)&amp;IFERROR("/"&amp;VLOOKUP(VLOOKUP($C989,DexData,4,0),Aliases!D$2:E$19,2,0),"")</f>
        <v>ICE</v>
      </c>
      <c r="AI989" s="7">
        <v>1.0</v>
      </c>
      <c r="AJ989" s="7">
        <f>IF(VLOOKUP(B989,'Set Odds'!A$2:AN$1067,40,0),1,IF(VLOOKUP(B989,'Set Odds'!A$2:AO$1067,41,0),2,0))</f>
        <v>2</v>
      </c>
      <c r="AK989" s="87" t="s">
        <v>4594</v>
      </c>
      <c r="AL989" s="7" t="str">
        <f t="shared" si="1"/>
        <v/>
      </c>
    </row>
    <row r="990" ht="12.75" customHeight="1">
      <c r="A990" s="86">
        <v>989.0</v>
      </c>
      <c r="B990" s="84" t="s">
        <v>4600</v>
      </c>
      <c r="C990" s="7" t="s">
        <v>3896</v>
      </c>
      <c r="D990" s="7" t="s">
        <v>2827</v>
      </c>
      <c r="E990" s="7" t="s">
        <v>2636</v>
      </c>
      <c r="F990" s="84" t="s">
        <v>2967</v>
      </c>
      <c r="G990" s="84" t="s">
        <v>4089</v>
      </c>
      <c r="H990" s="84" t="s">
        <v>3435</v>
      </c>
      <c r="I990" s="84" t="s">
        <v>2526</v>
      </c>
      <c r="J990" s="7" t="s">
        <v>3059</v>
      </c>
      <c r="K990" s="7">
        <v>31.0</v>
      </c>
      <c r="L990" s="7">
        <v>31.0</v>
      </c>
      <c r="M990" s="7">
        <v>31.0</v>
      </c>
      <c r="N990" s="7">
        <v>31.0</v>
      </c>
      <c r="O990" s="7">
        <v>31.0</v>
      </c>
      <c r="P990" s="7">
        <v>31.0</v>
      </c>
      <c r="Q990" s="7">
        <v>252.0</v>
      </c>
      <c r="R990" s="7">
        <v>4.0</v>
      </c>
      <c r="S990" s="7">
        <v>0.0</v>
      </c>
      <c r="T990" s="7">
        <v>252.0</v>
      </c>
      <c r="U990" s="7">
        <v>0.0</v>
      </c>
      <c r="V990" s="7">
        <v>0.0</v>
      </c>
      <c r="W990" s="7">
        <f>VLOOKUP($D990,NatureChart,2,0)</f>
        <v>1</v>
      </c>
      <c r="X990" s="7">
        <f>VLOOKUP($D990,NatureChart,3,0)</f>
        <v>1</v>
      </c>
      <c r="Y990" s="7">
        <f>VLOOKUP($D990,NatureChart,4,0)</f>
        <v>1.1</v>
      </c>
      <c r="Z990" s="7">
        <f>VLOOKUP($D990,NatureChart,5,0)</f>
        <v>1</v>
      </c>
      <c r="AA990" s="84">
        <f>VLOOKUP($D990,NatureChart,6,0)</f>
        <v>0.9</v>
      </c>
      <c r="AB990" s="84">
        <f>IF($C990="Shedinja",1,(INT((2*VLOOKUP($C990,DexData,5,0)+INT(Q990/4)+K990)/2)+60))</f>
        <v>237</v>
      </c>
      <c r="AC990" s="84">
        <f>INT(INT((INT((2*VLOOKUP($C990,DexData,6,0)+INT(R990/4)+L990)/2)+5)*W990)*IF($E990="Choice Band",1.5,IF(OR($E990="Mawilite",$E990="Medichamite",$E990="Thick Club"),2,1)))</f>
        <v>106</v>
      </c>
      <c r="AD990" s="84">
        <f>INT(INT((INT((2*VLOOKUP($C990,DexData,7,0)+INT(S990/4)+M990)/2)+5)*X990)*IF($E990="Eviolite",1.5,1))</f>
        <v>100</v>
      </c>
      <c r="AE990" s="84">
        <f>INT(INT((INT((2*VLOOKUP($C990,DexData,9,0)+INT(T990/4)+N990)/2)+5)*Y990)*IF($E990="Choice Specs",1.5,1))</f>
        <v>150</v>
      </c>
      <c r="AF990" s="84">
        <f>INT(INT((INT((2*VLOOKUP($C990,DexData,10,0)+INT(U990/4)+O990)/2)+5)*Z990)*IF(OR($E990="Eviolite",$E990="Assault Vest"),1.5,1))</f>
        <v>115</v>
      </c>
      <c r="AG990" s="84">
        <f>INT(INT((INT((2*VLOOKUP($C990,DexData,11,0)+INT(V990/4)+P990)/2)+5)*AA990)*IF($E990="Choice Scarf",1.5,IF($E990="Iron Ball",0.5,1)))</f>
        <v>72</v>
      </c>
      <c r="AH990" s="84" t="str">
        <f>VLOOKUP(VLOOKUP($C990,DexData,3,0),Aliases!D$2:E$19,2,0)&amp;IFERROR("/"&amp;VLOOKUP(VLOOKUP($C990,DexData,4,0),Aliases!D$2:E$19,2,0),"")</f>
        <v>WTR/ICE</v>
      </c>
      <c r="AI990" s="7">
        <v>1.0</v>
      </c>
      <c r="AJ990" s="7">
        <f>IF(VLOOKUP(B990,'Set Odds'!A$2:AN$1067,40,0),1,IF(VLOOKUP(B990,'Set Odds'!A$2:AO$1067,41,0),2,0))</f>
        <v>2</v>
      </c>
      <c r="AK990" s="87" t="s">
        <v>4594</v>
      </c>
      <c r="AL990" s="7" t="str">
        <f t="shared" si="1"/>
        <v/>
      </c>
    </row>
    <row r="991" ht="12.75" customHeight="1">
      <c r="A991" s="86">
        <v>990.0</v>
      </c>
      <c r="B991" s="84" t="s">
        <v>4601</v>
      </c>
      <c r="C991" s="7" t="s">
        <v>3893</v>
      </c>
      <c r="D991" s="7" t="s">
        <v>2692</v>
      </c>
      <c r="E991" s="7" t="s">
        <v>2515</v>
      </c>
      <c r="F991" s="84" t="s">
        <v>3454</v>
      </c>
      <c r="G991" s="84" t="s">
        <v>3583</v>
      </c>
      <c r="H991" s="84" t="s">
        <v>2751</v>
      </c>
      <c r="I991" s="84" t="s">
        <v>3048</v>
      </c>
      <c r="J991" s="7" t="s">
        <v>2968</v>
      </c>
      <c r="K991" s="7">
        <v>31.0</v>
      </c>
      <c r="L991" s="7">
        <v>31.0</v>
      </c>
      <c r="M991" s="7">
        <v>31.0</v>
      </c>
      <c r="N991" s="7">
        <v>0.0</v>
      </c>
      <c r="O991" s="7">
        <v>31.0</v>
      </c>
      <c r="P991" s="7">
        <v>31.0</v>
      </c>
      <c r="Q991" s="7">
        <v>4.0</v>
      </c>
      <c r="R991" s="7">
        <v>252.0</v>
      </c>
      <c r="S991" s="7">
        <v>0.0</v>
      </c>
      <c r="T991" s="7">
        <v>0.0</v>
      </c>
      <c r="U991" s="7">
        <v>0.0</v>
      </c>
      <c r="V991" s="7">
        <v>252.0</v>
      </c>
      <c r="W991" s="7">
        <f>VLOOKUP($D991,NatureChart,2,0)</f>
        <v>1</v>
      </c>
      <c r="X991" s="7">
        <f>VLOOKUP($D991,NatureChart,3,0)</f>
        <v>1</v>
      </c>
      <c r="Y991" s="7">
        <f>VLOOKUP($D991,NatureChart,4,0)</f>
        <v>0.9</v>
      </c>
      <c r="Z991" s="7">
        <f>VLOOKUP($D991,NatureChart,5,0)</f>
        <v>1</v>
      </c>
      <c r="AA991" s="84">
        <f>VLOOKUP($D991,NatureChart,6,0)</f>
        <v>1.1</v>
      </c>
      <c r="AB991" s="84">
        <f>IF($C991="Shedinja",1,(INT((2*VLOOKUP($C991,DexData,5,0)+INT(Q991/4)+K991)/2)+60))</f>
        <v>186</v>
      </c>
      <c r="AC991" s="84">
        <f>INT(INT((INT((2*VLOOKUP($C991,DexData,6,0)+INT(R991/4)+L991)/2)+5)*W991)*IF($E991="Choice Band",1.5,IF(OR($E991="Mawilite",$E991="Medichamite",$E991="Thick Club"),2,1)))</f>
        <v>182</v>
      </c>
      <c r="AD991" s="84">
        <f>INT(INT((INT((2*VLOOKUP($C991,DexData,7,0)+INT(S991/4)+M991)/2)+5)*X991)*IF($E991="Eviolite",1.5,1))</f>
        <v>100</v>
      </c>
      <c r="AE991" s="84">
        <f>INT(INT((INT((2*VLOOKUP($C991,DexData,9,0)+INT(T991/4)+N991)/2)+5)*Y991)*IF($E991="Choice Specs",1.5,1))</f>
        <v>67</v>
      </c>
      <c r="AF991" s="84">
        <f>INT(INT((INT((2*VLOOKUP($C991,DexData,10,0)+INT(U991/4)+O991)/2)+5)*Z991)*IF(OR($E991="Eviolite",$E991="Assault Vest"),1.5,1))</f>
        <v>80</v>
      </c>
      <c r="AG991" s="84">
        <f>INT(INT((INT((2*VLOOKUP($C991,DexData,11,0)+INT(V991/4)+P991)/2)+5)*AA991)*IF($E991="Choice Scarf",1.5,IF($E991="Iron Ball",0.5,1)))</f>
        <v>145</v>
      </c>
      <c r="AH991" s="84" t="str">
        <f>VLOOKUP(VLOOKUP($C991,DexData,3,0),Aliases!D$2:E$19,2,0)&amp;IFERROR("/"&amp;VLOOKUP(VLOOKUP($C991,DexData,4,0),Aliases!D$2:E$19,2,0),"")</f>
        <v>ICE/GRD</v>
      </c>
      <c r="AI991" s="7">
        <v>1.0</v>
      </c>
      <c r="AJ991" s="7">
        <f>IF(VLOOKUP(B991,'Set Odds'!A$2:AN$1067,40,0),1,IF(VLOOKUP(B991,'Set Odds'!A$2:AO$1067,41,0),2,0))</f>
        <v>2</v>
      </c>
      <c r="AK991" s="87" t="s">
        <v>4594</v>
      </c>
      <c r="AL991" s="7" t="str">
        <f t="shared" si="1"/>
        <v/>
      </c>
    </row>
    <row r="992" ht="12.75" customHeight="1">
      <c r="A992" s="86">
        <v>991.0</v>
      </c>
      <c r="B992" s="84" t="s">
        <v>4602</v>
      </c>
      <c r="C992" s="7" t="s">
        <v>3586</v>
      </c>
      <c r="D992" s="7" t="s">
        <v>2862</v>
      </c>
      <c r="E992" s="7" t="s">
        <v>2806</v>
      </c>
      <c r="F992" s="84" t="s">
        <v>2704</v>
      </c>
      <c r="G992" s="84" t="s">
        <v>3052</v>
      </c>
      <c r="H992" s="84" t="s">
        <v>2574</v>
      </c>
      <c r="I992" s="84" t="s">
        <v>2856</v>
      </c>
      <c r="J992" s="7" t="s">
        <v>2576</v>
      </c>
      <c r="K992" s="7">
        <v>31.0</v>
      </c>
      <c r="L992" s="7">
        <v>0.0</v>
      </c>
      <c r="M992" s="7">
        <v>31.0</v>
      </c>
      <c r="N992" s="7">
        <v>31.0</v>
      </c>
      <c r="O992" s="7">
        <v>31.0</v>
      </c>
      <c r="P992" s="7">
        <v>31.0</v>
      </c>
      <c r="Q992" s="7">
        <v>252.0</v>
      </c>
      <c r="R992" s="7">
        <v>0.0</v>
      </c>
      <c r="S992" s="7">
        <v>252.0</v>
      </c>
      <c r="T992" s="7">
        <v>4.0</v>
      </c>
      <c r="U992" s="7">
        <v>0.0</v>
      </c>
      <c r="V992" s="7">
        <v>0.0</v>
      </c>
      <c r="W992" s="7">
        <f>VLOOKUP($D992,NatureChart,2,0)</f>
        <v>0.9</v>
      </c>
      <c r="X992" s="7">
        <f>VLOOKUP($D992,NatureChart,3,0)</f>
        <v>1.1</v>
      </c>
      <c r="Y992" s="7">
        <f>VLOOKUP($D992,NatureChart,4,0)</f>
        <v>1</v>
      </c>
      <c r="Z992" s="7">
        <f>VLOOKUP($D992,NatureChart,5,0)</f>
        <v>1</v>
      </c>
      <c r="AA992" s="84">
        <f>VLOOKUP($D992,NatureChart,6,0)</f>
        <v>1</v>
      </c>
      <c r="AB992" s="84">
        <f>IF($C992="Shedinja",1,(INT((2*VLOOKUP($C992,DexData,5,0)+INT(Q992/4)+K992)/2)+60))</f>
        <v>187</v>
      </c>
      <c r="AC992" s="84">
        <f>INT(INT((INT((2*VLOOKUP($C992,DexData,6,0)+INT(R992/4)+L992)/2)+5)*W992)*IF($E992="Choice Band",1.5,IF(OR($E992="Mawilite",$E992="Medichamite",$E992="Thick Club"),2,1)))</f>
        <v>78</v>
      </c>
      <c r="AD992" s="84">
        <f>INT(INT((INT((2*VLOOKUP($C992,DexData,7,0)+INT(S992/4)+M992)/2)+5)*X992)*IF($E992="Eviolite",1.5,1))</f>
        <v>148</v>
      </c>
      <c r="AE992" s="84">
        <f>INT(INT((INT((2*VLOOKUP($C992,DexData,9,0)+INT(T992/4)+N992)/2)+5)*Y992)*IF($E992="Choice Specs",1.5,1))</f>
        <v>121</v>
      </c>
      <c r="AF992" s="84">
        <f>INT(INT((INT((2*VLOOKUP($C992,DexData,10,0)+INT(U992/4)+O992)/2)+5)*Z992)*IF(OR($E992="Eviolite",$E992="Assault Vest"),1.5,1))</f>
        <v>120</v>
      </c>
      <c r="AG992" s="84">
        <f>INT(INT((INT((2*VLOOKUP($C992,DexData,11,0)+INT(V992/4)+P992)/2)+5)*AA992)*IF($E992="Choice Scarf",1.5,IF($E992="Iron Ball",0.5,1)))</f>
        <v>100</v>
      </c>
      <c r="AH992" s="84" t="str">
        <f>VLOOKUP(VLOOKUP($C992,DexData,3,0),Aliases!D$2:E$19,2,0)&amp;IFERROR("/"&amp;VLOOKUP(VLOOKUP($C992,DexData,4,0),Aliases!D$2:E$19,2,0),"")</f>
        <v>GRS/PSN</v>
      </c>
      <c r="AI992" s="7">
        <v>1.0</v>
      </c>
      <c r="AJ992" s="7">
        <f>IF(VLOOKUP(B992,'Set Odds'!A$2:AN$1067,40,0),1,IF(VLOOKUP(B992,'Set Odds'!A$2:AO$1067,41,0),2,0))</f>
        <v>2</v>
      </c>
      <c r="AK992" s="87" t="s">
        <v>4594</v>
      </c>
      <c r="AL992" s="7" t="str">
        <f t="shared" si="1"/>
        <v/>
      </c>
    </row>
    <row r="993" ht="12.75" customHeight="1">
      <c r="A993" s="86">
        <v>992.0</v>
      </c>
      <c r="B993" s="84" t="s">
        <v>4603</v>
      </c>
      <c r="C993" s="7" t="s">
        <v>3962</v>
      </c>
      <c r="D993" s="7" t="s">
        <v>2862</v>
      </c>
      <c r="E993" s="7" t="s">
        <v>2846</v>
      </c>
      <c r="F993" s="84" t="s">
        <v>3733</v>
      </c>
      <c r="G993" s="84" t="s">
        <v>2785</v>
      </c>
      <c r="H993" s="84" t="s">
        <v>3718</v>
      </c>
      <c r="I993" s="84" t="s">
        <v>3729</v>
      </c>
      <c r="J993" s="7" t="s">
        <v>2714</v>
      </c>
      <c r="K993" s="7">
        <v>31.0</v>
      </c>
      <c r="L993" s="7">
        <v>0.0</v>
      </c>
      <c r="M993" s="7">
        <v>31.0</v>
      </c>
      <c r="N993" s="7">
        <v>31.0</v>
      </c>
      <c r="O993" s="7">
        <v>31.0</v>
      </c>
      <c r="P993" s="7">
        <v>31.0</v>
      </c>
      <c r="Q993" s="7">
        <v>252.0</v>
      </c>
      <c r="R993" s="7">
        <v>0.0</v>
      </c>
      <c r="S993" s="7">
        <v>252.0</v>
      </c>
      <c r="T993" s="7">
        <v>0.0</v>
      </c>
      <c r="U993" s="7">
        <v>4.0</v>
      </c>
      <c r="V993" s="7">
        <v>0.0</v>
      </c>
      <c r="W993" s="7">
        <f>VLOOKUP($D993,NatureChart,2,0)</f>
        <v>0.9</v>
      </c>
      <c r="X993" s="7">
        <f>VLOOKUP($D993,NatureChart,3,0)</f>
        <v>1.1</v>
      </c>
      <c r="Y993" s="7">
        <f>VLOOKUP($D993,NatureChart,4,0)</f>
        <v>1</v>
      </c>
      <c r="Z993" s="7">
        <f>VLOOKUP($D993,NatureChart,5,0)</f>
        <v>1</v>
      </c>
      <c r="AA993" s="84">
        <f>VLOOKUP($D993,NatureChart,6,0)</f>
        <v>1</v>
      </c>
      <c r="AB993" s="84">
        <f>IF($C993="Shedinja",1,(INT((2*VLOOKUP($C993,DexData,5,0)+INT(Q993/4)+K993)/2)+60))</f>
        <v>227</v>
      </c>
      <c r="AC993" s="84">
        <f>INT(INT((INT((2*VLOOKUP($C993,DexData,6,0)+INT(R993/4)+L993)/2)+5)*W993)*IF($E993="Choice Band",1.5,IF(OR($E993="Mawilite",$E993="Medichamite",$E993="Thick Club"),2,1)))</f>
        <v>67</v>
      </c>
      <c r="AD993" s="84">
        <f>INT(INT((INT((2*VLOOKUP($C993,DexData,7,0)+INT(S993/4)+M993)/2)+5)*X993)*IF($E993="Eviolite",1.5,1))</f>
        <v>189</v>
      </c>
      <c r="AE993" s="84">
        <f>INT(INT((INT((2*VLOOKUP($C993,DexData,9,0)+INT(T993/4)+N993)/2)+5)*Y993)*IF($E993="Choice Specs",1.5,1))</f>
        <v>95</v>
      </c>
      <c r="AF993" s="84">
        <f>INT(INT((INT((2*VLOOKUP($C993,DexData,10,0)+INT(U993/4)+O993)/2)+5)*Z993)*IF(OR($E993="Eviolite",$E993="Assault Vest"),1.5,1))</f>
        <v>151</v>
      </c>
      <c r="AG993" s="84">
        <f>INT(INT((INT((2*VLOOKUP($C993,DexData,11,0)+INT(V993/4)+P993)/2)+5)*AA993)*IF($E993="Choice Scarf",1.5,IF($E993="Iron Ball",0.5,1)))</f>
        <v>105</v>
      </c>
      <c r="AH993" s="84" t="str">
        <f>VLOOKUP(VLOOKUP($C993,DexData,3,0),Aliases!D$2:E$19,2,0)&amp;IFERROR("/"&amp;VLOOKUP(VLOOKUP($C993,DexData,4,0),Aliases!D$2:E$19,2,0),"")</f>
        <v>PSY</v>
      </c>
      <c r="AI993" s="7">
        <v>3.0</v>
      </c>
      <c r="AJ993" s="7">
        <f>IF(VLOOKUP(B993,'Set Odds'!A$2:AN$1067,40,0),1,IF(VLOOKUP(B993,'Set Odds'!A$2:AO$1067,41,0),2,0))</f>
        <v>2</v>
      </c>
      <c r="AK993" s="87" t="s">
        <v>4604</v>
      </c>
      <c r="AL993" s="7" t="str">
        <f t="shared" si="1"/>
        <v/>
      </c>
    </row>
    <row r="994" ht="12.75" customHeight="1">
      <c r="A994" s="86">
        <v>993.0</v>
      </c>
      <c r="B994" s="84" t="s">
        <v>4605</v>
      </c>
      <c r="C994" s="7" t="s">
        <v>3432</v>
      </c>
      <c r="D994" s="7" t="s">
        <v>2571</v>
      </c>
      <c r="E994" s="7" t="s">
        <v>2636</v>
      </c>
      <c r="F994" s="84" t="s">
        <v>2625</v>
      </c>
      <c r="G994" s="84" t="s">
        <v>3454</v>
      </c>
      <c r="H994" s="84" t="s">
        <v>3390</v>
      </c>
      <c r="I994" s="84" t="s">
        <v>2517</v>
      </c>
      <c r="J994" s="7" t="s">
        <v>3436</v>
      </c>
      <c r="K994" s="7">
        <v>31.0</v>
      </c>
      <c r="L994" s="7">
        <v>31.0</v>
      </c>
      <c r="M994" s="7">
        <v>31.0</v>
      </c>
      <c r="N994" s="7">
        <v>0.0</v>
      </c>
      <c r="O994" s="7">
        <v>31.0</v>
      </c>
      <c r="P994" s="7">
        <v>31.0</v>
      </c>
      <c r="Q994" s="7">
        <v>252.0</v>
      </c>
      <c r="R994" s="7">
        <v>252.0</v>
      </c>
      <c r="S994" s="7">
        <v>4.0</v>
      </c>
      <c r="T994" s="7">
        <v>0.0</v>
      </c>
      <c r="U994" s="7">
        <v>0.0</v>
      </c>
      <c r="V994" s="7">
        <v>0.0</v>
      </c>
      <c r="W994" s="7">
        <f>VLOOKUP($D994,NatureChart,2,0)</f>
        <v>1.1</v>
      </c>
      <c r="X994" s="7">
        <f>VLOOKUP($D994,NatureChart,3,0)</f>
        <v>1</v>
      </c>
      <c r="Y994" s="7">
        <f>VLOOKUP($D994,NatureChart,4,0)</f>
        <v>0.9</v>
      </c>
      <c r="Z994" s="7">
        <f>VLOOKUP($D994,NatureChart,5,0)</f>
        <v>1</v>
      </c>
      <c r="AA994" s="84">
        <f>VLOOKUP($D994,NatureChart,6,0)</f>
        <v>1</v>
      </c>
      <c r="AB994" s="84">
        <f>IF($C994="Shedinja",1,(INT((2*VLOOKUP($C994,DexData,5,0)+INT(Q994/4)+K994)/2)+60))</f>
        <v>222</v>
      </c>
      <c r="AC994" s="84">
        <f>INT(INT((INT((2*VLOOKUP($C994,DexData,6,0)+INT(R994/4)+L994)/2)+5)*W994)*IF($E994="Choice Band",1.5,IF(OR($E994="Mawilite",$E994="Medichamite",$E994="Thick Club"),2,1)))</f>
        <v>211</v>
      </c>
      <c r="AD994" s="84">
        <f>INT(INT((INT((2*VLOOKUP($C994,DexData,7,0)+INT(S994/4)+M994)/2)+5)*X994)*IF($E994="Eviolite",1.5,1))</f>
        <v>151</v>
      </c>
      <c r="AE994" s="84">
        <f>INT(INT((INT((2*VLOOKUP($C994,DexData,9,0)+INT(T994/4)+N994)/2)+5)*Y994)*IF($E994="Choice Specs",1.5,1))</f>
        <v>54</v>
      </c>
      <c r="AF994" s="84">
        <f>INT(INT((INT((2*VLOOKUP($C994,DexData,10,0)+INT(U994/4)+O994)/2)+5)*Z994)*IF(OR($E994="Eviolite",$E994="Assault Vest"),1.5,1))</f>
        <v>75</v>
      </c>
      <c r="AG994" s="84">
        <f>INT(INT((INT((2*VLOOKUP($C994,DexData,11,0)+INT(V994/4)+P994)/2)+5)*AA994)*IF($E994="Choice Scarf",1.5,IF($E994="Iron Ball",0.5,1)))</f>
        <v>60</v>
      </c>
      <c r="AH994" s="84" t="str">
        <f>VLOOKUP(VLOOKUP($C994,DexData,3,0),Aliases!D$2:E$19,2,0)&amp;IFERROR("/"&amp;VLOOKUP(VLOOKUP($C994,DexData,4,0),Aliases!D$2:E$19,2,0),"")</f>
        <v>GRD/RCK</v>
      </c>
      <c r="AI994" s="7">
        <v>1.0</v>
      </c>
      <c r="AJ994" s="7">
        <f>IF(VLOOKUP(B994,'Set Odds'!A$2:AN$1067,40,0),1,IF(VLOOKUP(B994,'Set Odds'!A$2:AO$1067,41,0),2,0))</f>
        <v>2</v>
      </c>
      <c r="AK994" s="87" t="s">
        <v>4606</v>
      </c>
      <c r="AL994" s="7" t="str">
        <f t="shared" si="1"/>
        <v/>
      </c>
    </row>
    <row r="995" ht="12.75" customHeight="1">
      <c r="A995" s="86">
        <v>994.0</v>
      </c>
      <c r="B995" s="84" t="s">
        <v>4607</v>
      </c>
      <c r="C995" s="7" t="s">
        <v>3799</v>
      </c>
      <c r="D995" s="7" t="s">
        <v>2656</v>
      </c>
      <c r="E995" s="7" t="s">
        <v>3433</v>
      </c>
      <c r="F995" s="84" t="s">
        <v>2659</v>
      </c>
      <c r="G995" s="84" t="s">
        <v>2832</v>
      </c>
      <c r="H995" s="84" t="s">
        <v>2823</v>
      </c>
      <c r="I995" s="84" t="s">
        <v>3260</v>
      </c>
      <c r="J995" s="7" t="s">
        <v>2714</v>
      </c>
      <c r="K995" s="7">
        <v>31.0</v>
      </c>
      <c r="L995" s="7">
        <v>0.0</v>
      </c>
      <c r="M995" s="7">
        <v>31.0</v>
      </c>
      <c r="N995" s="7">
        <v>31.0</v>
      </c>
      <c r="O995" s="7">
        <v>31.0</v>
      </c>
      <c r="P995" s="7">
        <v>31.0</v>
      </c>
      <c r="Q995" s="7">
        <v>252.0</v>
      </c>
      <c r="R995" s="7">
        <v>0.0</v>
      </c>
      <c r="S995" s="7">
        <v>4.0</v>
      </c>
      <c r="T995" s="7">
        <v>252.0</v>
      </c>
      <c r="U995" s="7">
        <v>0.0</v>
      </c>
      <c r="V995" s="7">
        <v>0.0</v>
      </c>
      <c r="W995" s="7">
        <f>VLOOKUP($D995,NatureChart,2,0)</f>
        <v>0.9</v>
      </c>
      <c r="X995" s="7">
        <f>VLOOKUP($D995,NatureChart,3,0)</f>
        <v>1</v>
      </c>
      <c r="Y995" s="7">
        <f>VLOOKUP($D995,NatureChart,4,0)</f>
        <v>1.1</v>
      </c>
      <c r="Z995" s="7">
        <f>VLOOKUP($D995,NatureChart,5,0)</f>
        <v>1</v>
      </c>
      <c r="AA995" s="84">
        <f>VLOOKUP($D995,NatureChart,6,0)</f>
        <v>1</v>
      </c>
      <c r="AB995" s="84">
        <f>IF($C995="Shedinja",1,(INT((2*VLOOKUP($C995,DexData,5,0)+INT(Q995/4)+K995)/2)+60))</f>
        <v>167</v>
      </c>
      <c r="AC995" s="84">
        <f>INT(INT((INT((2*VLOOKUP($C995,DexData,6,0)+INT(R995/4)+L995)/2)+5)*W995)*IF($E995="Choice Band",1.5,IF(OR($E995="Mawilite",$E995="Medichamite",$E995="Thick Club"),2,1)))</f>
        <v>67</v>
      </c>
      <c r="AD995" s="84">
        <f>INT(INT((INT((2*VLOOKUP($C995,DexData,7,0)+INT(S995/4)+M995)/2)+5)*X995)*IF($E995="Eviolite",1.5,1))</f>
        <v>126</v>
      </c>
      <c r="AE995" s="84">
        <f>INT(INT((INT((2*VLOOKUP($C995,DexData,9,0)+INT(T995/4)+N995)/2)+5)*Y995)*IF($E995="Choice Specs",1.5,1))</f>
        <v>134</v>
      </c>
      <c r="AF995" s="84">
        <f>INT(INT((INT((2*VLOOKUP($C995,DexData,10,0)+INT(U995/4)+O995)/2)+5)*Z995)*IF(OR($E995="Eviolite",$E995="Assault Vest"),1.5,1))</f>
        <v>140</v>
      </c>
      <c r="AG995" s="84">
        <f>INT(INT((INT((2*VLOOKUP($C995,DexData,11,0)+INT(V995/4)+P995)/2)+5)*AA995)*IF($E995="Choice Scarf",1.5,IF($E995="Iron Ball",0.5,1)))</f>
        <v>95</v>
      </c>
      <c r="AH995" s="84" t="str">
        <f>VLOOKUP(VLOOKUP($C995,DexData,3,0),Aliases!D$2:E$19,2,0)&amp;IFERROR("/"&amp;VLOOKUP(VLOOKUP($C995,DexData,4,0),Aliases!D$2:E$19,2,0),"")</f>
        <v>GRD/PSY</v>
      </c>
      <c r="AI995" s="7">
        <v>3.0</v>
      </c>
      <c r="AJ995" s="7">
        <f>IF(VLOOKUP(B995,'Set Odds'!A$2:AN$1067,40,0),1,IF(VLOOKUP(B995,'Set Odds'!A$2:AO$1067,41,0),2,0))</f>
        <v>2</v>
      </c>
      <c r="AK995" s="87" t="s">
        <v>4604</v>
      </c>
      <c r="AL995" s="7" t="str">
        <f t="shared" si="1"/>
        <v/>
      </c>
    </row>
    <row r="996" ht="12.75" customHeight="1">
      <c r="A996" s="86">
        <v>995.0</v>
      </c>
      <c r="B996" s="84" t="s">
        <v>4608</v>
      </c>
      <c r="C996" s="7" t="s">
        <v>3828</v>
      </c>
      <c r="D996" s="7" t="s">
        <v>2629</v>
      </c>
      <c r="E996" s="7" t="s">
        <v>2889</v>
      </c>
      <c r="F996" s="84" t="s">
        <v>2798</v>
      </c>
      <c r="G996" s="84" t="s">
        <v>3454</v>
      </c>
      <c r="H996" s="84" t="s">
        <v>2625</v>
      </c>
      <c r="I996" s="84" t="s">
        <v>3793</v>
      </c>
      <c r="J996" s="7" t="s">
        <v>2728</v>
      </c>
      <c r="K996" s="7">
        <v>31.0</v>
      </c>
      <c r="L996" s="7">
        <v>31.0</v>
      </c>
      <c r="M996" s="7">
        <v>31.0</v>
      </c>
      <c r="N996" s="7">
        <v>0.0</v>
      </c>
      <c r="O996" s="7">
        <v>31.0</v>
      </c>
      <c r="P996" s="7">
        <v>0.0</v>
      </c>
      <c r="Q996" s="7">
        <v>252.0</v>
      </c>
      <c r="R996" s="7">
        <v>252.0</v>
      </c>
      <c r="S996" s="7">
        <v>4.0</v>
      </c>
      <c r="T996" s="7">
        <v>0.0</v>
      </c>
      <c r="U996" s="7">
        <v>0.0</v>
      </c>
      <c r="V996" s="7">
        <v>0.0</v>
      </c>
      <c r="W996" s="7">
        <f>VLOOKUP($D996,NatureChart,2,0)</f>
        <v>1.1</v>
      </c>
      <c r="X996" s="7">
        <f>VLOOKUP($D996,NatureChart,3,0)</f>
        <v>1</v>
      </c>
      <c r="Y996" s="7">
        <f>VLOOKUP($D996,NatureChart,4,0)</f>
        <v>1</v>
      </c>
      <c r="Z996" s="7">
        <f>VLOOKUP($D996,NatureChart,5,0)</f>
        <v>1</v>
      </c>
      <c r="AA996" s="84">
        <f>VLOOKUP($D996,NatureChart,6,0)</f>
        <v>0.9</v>
      </c>
      <c r="AB996" s="84">
        <f>IF($C996="Shedinja",1,(INT((2*VLOOKUP($C996,DexData,5,0)+INT(Q996/4)+K996)/2)+60))</f>
        <v>182</v>
      </c>
      <c r="AC996" s="84">
        <f>INT(INT((INT((2*VLOOKUP($C996,DexData,6,0)+INT(R996/4)+L996)/2)+5)*W996)*IF($E996="Choice Band",1.5,IF(OR($E996="Mawilite",$E996="Medichamite",$E996="Thick Club"),2,1)))</f>
        <v>150</v>
      </c>
      <c r="AD996" s="84">
        <f>INT(INT((INT((2*VLOOKUP($C996,DexData,7,0)+INT(S996/4)+M996)/2)+5)*X996)*IF($E996="Eviolite",1.5,1))</f>
        <v>221</v>
      </c>
      <c r="AE996" s="84">
        <f>INT(INT((INT((2*VLOOKUP($C996,DexData,9,0)+INT(T996/4)+N996)/2)+5)*Y996)*IF($E996="Choice Specs",1.5,1))</f>
        <v>60</v>
      </c>
      <c r="AF996" s="84">
        <f>INT(INT((INT((2*VLOOKUP($C996,DexData,10,0)+INT(U996/4)+O996)/2)+5)*Z996)*IF(OR($E996="Eviolite",$E996="Assault Vest"),1.5,1))</f>
        <v>85</v>
      </c>
      <c r="AG996" s="84">
        <f>INT(INT((INT((2*VLOOKUP($C996,DexData,11,0)+INT(V996/4)+P996)/2)+5)*AA996)*IF($E996="Choice Scarf",1.5,IF($E996="Iron Ball",0.5,1)))</f>
        <v>31</v>
      </c>
      <c r="AH996" s="84" t="str">
        <f>VLOOKUP(VLOOKUP($C996,DexData,3,0),Aliases!D$2:E$19,2,0)&amp;IFERROR("/"&amp;VLOOKUP(VLOOKUP($C996,DexData,4,0),Aliases!D$2:E$19,2,0),"")</f>
        <v>STL/GRD</v>
      </c>
      <c r="AI996" s="7">
        <v>1.0</v>
      </c>
      <c r="AJ996" s="7">
        <f>IF(VLOOKUP(B996,'Set Odds'!A$2:AN$1067,40,0),1,IF(VLOOKUP(B996,'Set Odds'!A$2:AO$1067,41,0),2,0))</f>
        <v>2</v>
      </c>
      <c r="AK996" s="87" t="s">
        <v>4606</v>
      </c>
      <c r="AL996" s="7" t="str">
        <f t="shared" si="1"/>
        <v/>
      </c>
    </row>
    <row r="997" ht="12.75" customHeight="1">
      <c r="A997" s="86">
        <v>996.0</v>
      </c>
      <c r="B997" s="84" t="s">
        <v>4609</v>
      </c>
      <c r="C997" s="7" t="s">
        <v>4224</v>
      </c>
      <c r="D997" s="7" t="s">
        <v>2571</v>
      </c>
      <c r="E997" s="7" t="s">
        <v>2527</v>
      </c>
      <c r="F997" s="84" t="s">
        <v>2625</v>
      </c>
      <c r="G997" s="84" t="s">
        <v>2517</v>
      </c>
      <c r="H997" s="84" t="s">
        <v>3390</v>
      </c>
      <c r="I997" s="84" t="s">
        <v>3135</v>
      </c>
      <c r="J997" s="7" t="s">
        <v>2728</v>
      </c>
      <c r="K997" s="7">
        <v>31.0</v>
      </c>
      <c r="L997" s="7">
        <v>31.0</v>
      </c>
      <c r="M997" s="7">
        <v>31.0</v>
      </c>
      <c r="N997" s="7">
        <v>0.0</v>
      </c>
      <c r="O997" s="7">
        <v>31.0</v>
      </c>
      <c r="P997" s="7">
        <v>31.0</v>
      </c>
      <c r="Q997" s="7">
        <v>4.0</v>
      </c>
      <c r="R997" s="7">
        <v>252.0</v>
      </c>
      <c r="S997" s="7">
        <v>0.0</v>
      </c>
      <c r="T997" s="7">
        <v>0.0</v>
      </c>
      <c r="U997" s="7">
        <v>0.0</v>
      </c>
      <c r="V997" s="7">
        <v>252.0</v>
      </c>
      <c r="W997" s="7">
        <f>VLOOKUP($D997,NatureChart,2,0)</f>
        <v>1.1</v>
      </c>
      <c r="X997" s="7">
        <f>VLOOKUP($D997,NatureChart,3,0)</f>
        <v>1</v>
      </c>
      <c r="Y997" s="7">
        <f>VLOOKUP($D997,NatureChart,4,0)</f>
        <v>0.9</v>
      </c>
      <c r="Z997" s="7">
        <f>VLOOKUP($D997,NatureChart,5,0)</f>
        <v>1</v>
      </c>
      <c r="AA997" s="84">
        <f>VLOOKUP($D997,NatureChart,6,0)</f>
        <v>1</v>
      </c>
      <c r="AB997" s="84">
        <f>IF($C997="Shedinja",1,(INT((2*VLOOKUP($C997,DexData,5,0)+INT(Q997/4)+K997)/2)+60))</f>
        <v>156</v>
      </c>
      <c r="AC997" s="84">
        <f>INT(INT((INT((2*VLOOKUP($C997,DexData,6,0)+INT(R997/4)+L997)/2)+5)*W997)*IF($E997="Choice Band",1.5,IF(OR($E997="Mawilite",$E997="Medichamite",$E997="Thick Club"),2,1)))</f>
        <v>167</v>
      </c>
      <c r="AD997" s="84">
        <f>INT(INT((INT((2*VLOOKUP($C997,DexData,7,0)+INT(S997/4)+M997)/2)+5)*X997)*IF($E997="Eviolite",1.5,1))</f>
        <v>220</v>
      </c>
      <c r="AE997" s="84">
        <f>INT(INT((INT((2*VLOOKUP($C997,DexData,9,0)+INT(T997/4)+N997)/2)+5)*Y997)*IF($E997="Choice Specs",1.5,1))</f>
        <v>49</v>
      </c>
      <c r="AF997" s="84">
        <f>INT(INT((INT((2*VLOOKUP($C997,DexData,10,0)+INT(U997/4)+O997)/2)+5)*Z997)*IF(OR($E997="Eviolite",$E997="Assault Vest"),1.5,1))</f>
        <v>120</v>
      </c>
      <c r="AG997" s="84">
        <f>INT(INT((INT((2*VLOOKUP($C997,DexData,11,0)+INT(V997/4)+P997)/2)+5)*AA997)*IF($E997="Choice Scarf",1.5,IF($E997="Iron Ball",0.5,1)))</f>
        <v>102</v>
      </c>
      <c r="AH997" s="84" t="str">
        <f>VLOOKUP(VLOOKUP($C997,DexData,3,0),Aliases!D$2:E$19,2,0)&amp;IFERROR("/"&amp;VLOOKUP(VLOOKUP($C997,DexData,4,0),Aliases!D$2:E$19,2,0),"")</f>
        <v>RCK</v>
      </c>
      <c r="AI997" s="7">
        <v>3.0</v>
      </c>
      <c r="AJ997" s="7">
        <f>IF(VLOOKUP(B997,'Set Odds'!A$2:AN$1067,40,0),1,IF(VLOOKUP(B997,'Set Odds'!A$2:AO$1067,41,0),2,0))</f>
        <v>2</v>
      </c>
      <c r="AK997" s="87" t="s">
        <v>4604</v>
      </c>
      <c r="AL997" s="7" t="str">
        <f t="shared" si="1"/>
        <v/>
      </c>
    </row>
    <row r="998" ht="12.75" customHeight="1">
      <c r="A998" s="86">
        <v>997.0</v>
      </c>
      <c r="B998" s="84" t="s">
        <v>4610</v>
      </c>
      <c r="C998" s="7" t="s">
        <v>3879</v>
      </c>
      <c r="D998" s="7" t="s">
        <v>2648</v>
      </c>
      <c r="E998" s="7" t="s">
        <v>4611</v>
      </c>
      <c r="F998" s="84" t="s">
        <v>3603</v>
      </c>
      <c r="G998" s="84" t="s">
        <v>3454</v>
      </c>
      <c r="H998" s="84" t="s">
        <v>4053</v>
      </c>
      <c r="I998" s="84" t="s">
        <v>3719</v>
      </c>
      <c r="J998" s="7" t="s">
        <v>3034</v>
      </c>
      <c r="K998" s="7">
        <v>31.0</v>
      </c>
      <c r="L998" s="7">
        <v>31.0</v>
      </c>
      <c r="M998" s="7">
        <v>31.0</v>
      </c>
      <c r="N998" s="7">
        <v>0.0</v>
      </c>
      <c r="O998" s="7">
        <v>31.0</v>
      </c>
      <c r="P998" s="7">
        <v>31.0</v>
      </c>
      <c r="Q998" s="7">
        <v>252.0</v>
      </c>
      <c r="R998" s="7">
        <v>4.0</v>
      </c>
      <c r="S998" s="7">
        <v>252.0</v>
      </c>
      <c r="T998" s="7">
        <v>0.0</v>
      </c>
      <c r="U998" s="7">
        <v>0.0</v>
      </c>
      <c r="V998" s="7">
        <v>0.0</v>
      </c>
      <c r="W998" s="7">
        <f>VLOOKUP($D998,NatureChart,2,0)</f>
        <v>1</v>
      </c>
      <c r="X998" s="7">
        <f>VLOOKUP($D998,NatureChart,3,0)</f>
        <v>1.1</v>
      </c>
      <c r="Y998" s="7">
        <f>VLOOKUP($D998,NatureChart,4,0)</f>
        <v>0.9</v>
      </c>
      <c r="Z998" s="7">
        <f>VLOOKUP($D998,NatureChart,5,0)</f>
        <v>1</v>
      </c>
      <c r="AA998" s="84">
        <f>VLOOKUP($D998,NatureChart,6,0)</f>
        <v>1</v>
      </c>
      <c r="AB998" s="84">
        <f>IF($C998="Shedinja",1,(INT((2*VLOOKUP($C998,DexData,5,0)+INT(Q998/4)+K998)/2)+60))</f>
        <v>215</v>
      </c>
      <c r="AC998" s="84">
        <f>INT(INT((INT((2*VLOOKUP($C998,DexData,6,0)+INT(R998/4)+L998)/2)+5)*W998)*IF($E998="Choice Band",1.5,IF(OR($E998="Mawilite",$E998="Medichamite",$E998="Thick Club"),2,1)))</f>
        <v>133</v>
      </c>
      <c r="AD998" s="84">
        <f>INT(INT((INT((2*VLOOKUP($C998,DexData,7,0)+INT(S998/4)+M998)/2)+5)*X998)*IF($E998="Eviolite",1.5,1))</f>
        <v>187</v>
      </c>
      <c r="AE998" s="84">
        <f>INT(INT((INT((2*VLOOKUP($C998,DexData,9,0)+INT(T998/4)+N998)/2)+5)*Y998)*IF($E998="Choice Specs",1.5,1))</f>
        <v>65</v>
      </c>
      <c r="AF998" s="84">
        <f>INT(INT((INT((2*VLOOKUP($C998,DexData,10,0)+INT(U998/4)+O998)/2)+5)*Z998)*IF(OR($E998="Eviolite",$E998="Assault Vest"),1.5,1))</f>
        <v>92</v>
      </c>
      <c r="AG998" s="84">
        <f>INT(INT((INT((2*VLOOKUP($C998,DexData,11,0)+INT(V998/4)+P998)/2)+5)*AA998)*IF($E998="Choice Scarf",1.5,IF($E998="Iron Ball",0.5,1)))</f>
        <v>67</v>
      </c>
      <c r="AH998" s="84" t="str">
        <f>VLOOKUP(VLOOKUP($C998,DexData,3,0),Aliases!D$2:E$19,2,0)&amp;IFERROR("/"&amp;VLOOKUP(VLOOKUP($C998,DexData,4,0),Aliases!D$2:E$19,2,0),"")</f>
        <v>GRD</v>
      </c>
      <c r="AI998" s="7">
        <v>1.0</v>
      </c>
      <c r="AJ998" s="7">
        <f>IF(VLOOKUP(B998,'Set Odds'!A$2:AN$1067,40,0),1,IF(VLOOKUP(B998,'Set Odds'!A$2:AO$1067,41,0),2,0))</f>
        <v>2</v>
      </c>
      <c r="AK998" s="87" t="s">
        <v>4606</v>
      </c>
      <c r="AL998" s="7" t="str">
        <f t="shared" si="1"/>
        <v/>
      </c>
    </row>
    <row r="999" ht="12.75" customHeight="1">
      <c r="A999" s="86">
        <v>998.0</v>
      </c>
      <c r="B999" s="84" t="s">
        <v>4612</v>
      </c>
      <c r="C999" s="7" t="s">
        <v>3799</v>
      </c>
      <c r="D999" s="7" t="s">
        <v>3597</v>
      </c>
      <c r="E999" s="7" t="s">
        <v>2636</v>
      </c>
      <c r="F999" s="84" t="s">
        <v>3733</v>
      </c>
      <c r="G999" s="84" t="s">
        <v>2659</v>
      </c>
      <c r="H999" s="84" t="s">
        <v>2823</v>
      </c>
      <c r="I999" s="84" t="s">
        <v>3260</v>
      </c>
      <c r="J999" s="7" t="s">
        <v>2714</v>
      </c>
      <c r="K999" s="7">
        <v>31.0</v>
      </c>
      <c r="L999" s="7">
        <v>0.0</v>
      </c>
      <c r="M999" s="7">
        <v>31.0</v>
      </c>
      <c r="N999" s="7">
        <v>31.0</v>
      </c>
      <c r="O999" s="7">
        <v>31.0</v>
      </c>
      <c r="P999" s="7">
        <v>31.0</v>
      </c>
      <c r="Q999" s="7">
        <v>252.0</v>
      </c>
      <c r="R999" s="7">
        <v>0.0</v>
      </c>
      <c r="S999" s="7">
        <v>0.0</v>
      </c>
      <c r="T999" s="7">
        <v>4.0</v>
      </c>
      <c r="U999" s="7">
        <v>252.0</v>
      </c>
      <c r="V999" s="7">
        <v>0.0</v>
      </c>
      <c r="W999" s="7">
        <f>VLOOKUP($D999,NatureChart,2,0)</f>
        <v>0.9</v>
      </c>
      <c r="X999" s="7">
        <f>VLOOKUP($D999,NatureChart,3,0)</f>
        <v>1</v>
      </c>
      <c r="Y999" s="7">
        <f>VLOOKUP($D999,NatureChart,4,0)</f>
        <v>1</v>
      </c>
      <c r="Z999" s="7">
        <f>VLOOKUP($D999,NatureChart,5,0)</f>
        <v>1.1</v>
      </c>
      <c r="AA999" s="84">
        <f>VLOOKUP($D999,NatureChart,6,0)</f>
        <v>1</v>
      </c>
      <c r="AB999" s="84">
        <f>IF($C999="Shedinja",1,(INT((2*VLOOKUP($C999,DexData,5,0)+INT(Q999/4)+K999)/2)+60))</f>
        <v>167</v>
      </c>
      <c r="AC999" s="84">
        <f>INT(INT((INT((2*VLOOKUP($C999,DexData,6,0)+INT(R999/4)+L999)/2)+5)*W999)*IF($E999="Choice Band",1.5,IF(OR($E999="Mawilite",$E999="Medichamite",$E999="Thick Club"),2,1)))</f>
        <v>67</v>
      </c>
      <c r="AD999" s="84">
        <f>INT(INT((INT((2*VLOOKUP($C999,DexData,7,0)+INT(S999/4)+M999)/2)+5)*X999)*IF($E999="Eviolite",1.5,1))</f>
        <v>125</v>
      </c>
      <c r="AE999" s="84">
        <f>INT(INT((INT((2*VLOOKUP($C999,DexData,9,0)+INT(T999/4)+N999)/2)+5)*Y999)*IF($E999="Choice Specs",1.5,1))</f>
        <v>91</v>
      </c>
      <c r="AF999" s="84">
        <f>INT(INT((INT((2*VLOOKUP($C999,DexData,10,0)+INT(U999/4)+O999)/2)+5)*Z999)*IF(OR($E999="Eviolite",$E999="Assault Vest"),1.5,1))</f>
        <v>189</v>
      </c>
      <c r="AG999" s="84">
        <f>INT(INT((INT((2*VLOOKUP($C999,DexData,11,0)+INT(V999/4)+P999)/2)+5)*AA999)*IF($E999="Choice Scarf",1.5,IF($E999="Iron Ball",0.5,1)))</f>
        <v>95</v>
      </c>
      <c r="AH999" s="84" t="str">
        <f>VLOOKUP(VLOOKUP($C999,DexData,3,0),Aliases!D$2:E$19,2,0)&amp;IFERROR("/"&amp;VLOOKUP(VLOOKUP($C999,DexData,4,0),Aliases!D$2:E$19,2,0),"")</f>
        <v>GRD/PSY</v>
      </c>
      <c r="AI999" s="7">
        <v>3.0</v>
      </c>
      <c r="AJ999" s="7">
        <f>IF(VLOOKUP(B999,'Set Odds'!A$2:AN$1067,40,0),1,IF(VLOOKUP(B999,'Set Odds'!A$2:AO$1067,41,0),2,0))</f>
        <v>2</v>
      </c>
      <c r="AK999" s="87" t="s">
        <v>4604</v>
      </c>
      <c r="AL999" s="7" t="str">
        <f t="shared" si="1"/>
        <v/>
      </c>
    </row>
    <row r="1000" ht="12.75" customHeight="1">
      <c r="A1000" s="86">
        <v>999.0</v>
      </c>
      <c r="B1000" s="84" t="s">
        <v>4613</v>
      </c>
      <c r="C1000" s="7" t="s">
        <v>3432</v>
      </c>
      <c r="D1000" s="7" t="s">
        <v>2571</v>
      </c>
      <c r="E1000" s="7" t="s">
        <v>2889</v>
      </c>
      <c r="F1000" s="84" t="s">
        <v>2625</v>
      </c>
      <c r="G1000" s="84" t="s">
        <v>3454</v>
      </c>
      <c r="H1000" s="84" t="s">
        <v>3390</v>
      </c>
      <c r="I1000" s="84" t="s">
        <v>2517</v>
      </c>
      <c r="J1000" s="7" t="s">
        <v>3436</v>
      </c>
      <c r="K1000" s="7">
        <v>31.0</v>
      </c>
      <c r="L1000" s="7">
        <v>31.0</v>
      </c>
      <c r="M1000" s="7">
        <v>31.0</v>
      </c>
      <c r="N1000" s="7">
        <v>0.0</v>
      </c>
      <c r="O1000" s="7">
        <v>31.0</v>
      </c>
      <c r="P1000" s="7">
        <v>31.0</v>
      </c>
      <c r="Q1000" s="7">
        <v>252.0</v>
      </c>
      <c r="R1000" s="7">
        <v>252.0</v>
      </c>
      <c r="S1000" s="7">
        <v>4.0</v>
      </c>
      <c r="T1000" s="7">
        <v>0.0</v>
      </c>
      <c r="U1000" s="7">
        <v>0.0</v>
      </c>
      <c r="V1000" s="7">
        <v>0.0</v>
      </c>
      <c r="W1000" s="7">
        <f>VLOOKUP($D1000,NatureChart,2,0)</f>
        <v>1.1</v>
      </c>
      <c r="X1000" s="7">
        <f>VLOOKUP($D1000,NatureChart,3,0)</f>
        <v>1</v>
      </c>
      <c r="Y1000" s="7">
        <f>VLOOKUP($D1000,NatureChart,4,0)</f>
        <v>0.9</v>
      </c>
      <c r="Z1000" s="7">
        <f>VLOOKUP($D1000,NatureChart,5,0)</f>
        <v>1</v>
      </c>
      <c r="AA1000" s="84">
        <f>VLOOKUP($D1000,NatureChart,6,0)</f>
        <v>1</v>
      </c>
      <c r="AB1000" s="84">
        <f>IF($C1000="Shedinja",1,(INT((2*VLOOKUP($C1000,DexData,5,0)+INT(Q1000/4)+K1000)/2)+60))</f>
        <v>222</v>
      </c>
      <c r="AC1000" s="84">
        <f>INT(INT((INT((2*VLOOKUP($C1000,DexData,6,0)+INT(R1000/4)+L1000)/2)+5)*W1000)*IF($E1000="Choice Band",1.5,IF(OR($E1000="Mawilite",$E1000="Medichamite",$E1000="Thick Club"),2,1)))</f>
        <v>211</v>
      </c>
      <c r="AD1000" s="84">
        <f>INT(INT((INT((2*VLOOKUP($C1000,DexData,7,0)+INT(S1000/4)+M1000)/2)+5)*X1000)*IF($E1000="Eviolite",1.5,1))</f>
        <v>151</v>
      </c>
      <c r="AE1000" s="84">
        <f>INT(INT((INT((2*VLOOKUP($C1000,DexData,9,0)+INT(T1000/4)+N1000)/2)+5)*Y1000)*IF($E1000="Choice Specs",1.5,1))</f>
        <v>54</v>
      </c>
      <c r="AF1000" s="84">
        <f>INT(INT((INT((2*VLOOKUP($C1000,DexData,10,0)+INT(U1000/4)+O1000)/2)+5)*Z1000)*IF(OR($E1000="Eviolite",$E1000="Assault Vest"),1.5,1))</f>
        <v>75</v>
      </c>
      <c r="AG1000" s="84">
        <f>INT(INT((INT((2*VLOOKUP($C1000,DexData,11,0)+INT(V1000/4)+P1000)/2)+5)*AA1000)*IF($E1000="Choice Scarf",1.5,IF($E1000="Iron Ball",0.5,1)))</f>
        <v>60</v>
      </c>
      <c r="AH1000" s="84" t="str">
        <f>VLOOKUP(VLOOKUP($C1000,DexData,3,0),Aliases!D$2:E$19,2,0)&amp;IFERROR("/"&amp;VLOOKUP(VLOOKUP($C1000,DexData,4,0),Aliases!D$2:E$19,2,0),"")</f>
        <v>GRD/RCK</v>
      </c>
      <c r="AI1000" s="7">
        <v>1.0</v>
      </c>
      <c r="AJ1000" s="7">
        <f>IF(VLOOKUP(B1000,'Set Odds'!A$2:AN$1067,40,0),1,IF(VLOOKUP(B1000,'Set Odds'!A$2:AO$1067,41,0),2,0))</f>
        <v>2</v>
      </c>
      <c r="AK1000" s="87" t="s">
        <v>4606</v>
      </c>
      <c r="AL1000" s="7" t="str">
        <f t="shared" si="1"/>
        <v/>
      </c>
    </row>
    <row r="1001" ht="12.75" customHeight="1">
      <c r="A1001" s="86">
        <v>1000.0</v>
      </c>
      <c r="B1001" s="84" t="s">
        <v>4614</v>
      </c>
      <c r="C1001" s="7" t="s">
        <v>3799</v>
      </c>
      <c r="D1001" s="7" t="s">
        <v>3597</v>
      </c>
      <c r="E1001" s="7" t="s">
        <v>2636</v>
      </c>
      <c r="F1001" s="84" t="s">
        <v>3733</v>
      </c>
      <c r="G1001" s="84" t="s">
        <v>2659</v>
      </c>
      <c r="H1001" s="84" t="s">
        <v>2823</v>
      </c>
      <c r="I1001" s="84" t="s">
        <v>3260</v>
      </c>
      <c r="J1001" s="7" t="s">
        <v>2714</v>
      </c>
      <c r="K1001" s="7">
        <v>31.0</v>
      </c>
      <c r="L1001" s="7">
        <v>0.0</v>
      </c>
      <c r="M1001" s="7">
        <v>31.0</v>
      </c>
      <c r="N1001" s="7">
        <v>31.0</v>
      </c>
      <c r="O1001" s="7">
        <v>31.0</v>
      </c>
      <c r="P1001" s="7">
        <v>31.0</v>
      </c>
      <c r="Q1001" s="7">
        <v>252.0</v>
      </c>
      <c r="R1001" s="7">
        <v>0.0</v>
      </c>
      <c r="S1001" s="7">
        <v>0.0</v>
      </c>
      <c r="T1001" s="7">
        <v>4.0</v>
      </c>
      <c r="U1001" s="7">
        <v>252.0</v>
      </c>
      <c r="V1001" s="7">
        <v>0.0</v>
      </c>
      <c r="W1001" s="7">
        <f>VLOOKUP($D1001,NatureChart,2,0)</f>
        <v>0.9</v>
      </c>
      <c r="X1001" s="7">
        <f>VLOOKUP($D1001,NatureChart,3,0)</f>
        <v>1</v>
      </c>
      <c r="Y1001" s="7">
        <f>VLOOKUP($D1001,NatureChart,4,0)</f>
        <v>1</v>
      </c>
      <c r="Z1001" s="7">
        <f>VLOOKUP($D1001,NatureChart,5,0)</f>
        <v>1.1</v>
      </c>
      <c r="AA1001" s="84">
        <f>VLOOKUP($D1001,NatureChart,6,0)</f>
        <v>1</v>
      </c>
      <c r="AB1001" s="84">
        <f>IF($C1001="Shedinja",1,(INT((2*VLOOKUP($C1001,DexData,5,0)+INT(Q1001/4)+K1001)/2)+60))</f>
        <v>167</v>
      </c>
      <c r="AC1001" s="84">
        <f>INT(INT((INT((2*VLOOKUP($C1001,DexData,6,0)+INT(R1001/4)+L1001)/2)+5)*W1001)*IF($E1001="Choice Band",1.5,IF(OR($E1001="Mawilite",$E1001="Medichamite",$E1001="Thick Club"),2,1)))</f>
        <v>67</v>
      </c>
      <c r="AD1001" s="84">
        <f>INT(INT((INT((2*VLOOKUP($C1001,DexData,7,0)+INT(S1001/4)+M1001)/2)+5)*X1001)*IF($E1001="Eviolite",1.5,1))</f>
        <v>125</v>
      </c>
      <c r="AE1001" s="84">
        <f>INT(INT((INT((2*VLOOKUP($C1001,DexData,9,0)+INT(T1001/4)+N1001)/2)+5)*Y1001)*IF($E1001="Choice Specs",1.5,1))</f>
        <v>91</v>
      </c>
      <c r="AF1001" s="84">
        <f>INT(INT((INT((2*VLOOKUP($C1001,DexData,10,0)+INT(U1001/4)+O1001)/2)+5)*Z1001)*IF(OR($E1001="Eviolite",$E1001="Assault Vest"),1.5,1))</f>
        <v>189</v>
      </c>
      <c r="AG1001" s="84">
        <f>INT(INT((INT((2*VLOOKUP($C1001,DexData,11,0)+INT(V1001/4)+P1001)/2)+5)*AA1001)*IF($E1001="Choice Scarf",1.5,IF($E1001="Iron Ball",0.5,1)))</f>
        <v>95</v>
      </c>
      <c r="AH1001" s="84" t="str">
        <f>VLOOKUP(VLOOKUP($C1001,DexData,3,0),Aliases!D$2:E$19,2,0)&amp;IFERROR("/"&amp;VLOOKUP(VLOOKUP($C1001,DexData,4,0),Aliases!D$2:E$19,2,0),"")</f>
        <v>GRD/PSY</v>
      </c>
      <c r="AI1001" s="7">
        <v>3.0</v>
      </c>
      <c r="AJ1001" s="7">
        <f>IF(VLOOKUP(B1001,'Set Odds'!A$2:AN$1067,40,0),1,IF(VLOOKUP(B1001,'Set Odds'!A$2:AO$1067,41,0),2,0))</f>
        <v>2</v>
      </c>
      <c r="AK1001" s="87" t="s">
        <v>4604</v>
      </c>
      <c r="AL1001" s="7" t="str">
        <f t="shared" si="1"/>
        <v/>
      </c>
    </row>
    <row r="1002" ht="12.75" customHeight="1">
      <c r="A1002" s="86">
        <v>1001.0</v>
      </c>
      <c r="B1002" s="84" t="s">
        <v>4615</v>
      </c>
      <c r="C1002" s="7" t="s">
        <v>3795</v>
      </c>
      <c r="D1002" s="7" t="s">
        <v>2571</v>
      </c>
      <c r="E1002" s="7" t="s">
        <v>3433</v>
      </c>
      <c r="F1002" s="84" t="s">
        <v>3454</v>
      </c>
      <c r="G1002" s="84" t="s">
        <v>3048</v>
      </c>
      <c r="H1002" s="84" t="s">
        <v>3285</v>
      </c>
      <c r="I1002" s="84" t="s">
        <v>2625</v>
      </c>
      <c r="J1002" s="7" t="s">
        <v>2728</v>
      </c>
      <c r="K1002" s="7">
        <v>31.0</v>
      </c>
      <c r="L1002" s="7">
        <v>31.0</v>
      </c>
      <c r="M1002" s="7">
        <v>31.0</v>
      </c>
      <c r="N1002" s="7">
        <v>0.0</v>
      </c>
      <c r="O1002" s="7">
        <v>31.0</v>
      </c>
      <c r="P1002" s="7">
        <v>31.0</v>
      </c>
      <c r="Q1002" s="7">
        <v>4.0</v>
      </c>
      <c r="R1002" s="7">
        <v>252.0</v>
      </c>
      <c r="S1002" s="7">
        <v>0.0</v>
      </c>
      <c r="T1002" s="7">
        <v>0.0</v>
      </c>
      <c r="U1002" s="7">
        <v>0.0</v>
      </c>
      <c r="V1002" s="7">
        <v>252.0</v>
      </c>
      <c r="W1002" s="7">
        <f>VLOOKUP($D1002,NatureChart,2,0)</f>
        <v>1.1</v>
      </c>
      <c r="X1002" s="7">
        <f>VLOOKUP($D1002,NatureChart,3,0)</f>
        <v>1</v>
      </c>
      <c r="Y1002" s="7">
        <f>VLOOKUP($D1002,NatureChart,4,0)</f>
        <v>0.9</v>
      </c>
      <c r="Z1002" s="7">
        <f>VLOOKUP($D1002,NatureChart,5,0)</f>
        <v>1</v>
      </c>
      <c r="AA1002" s="84">
        <f>VLOOKUP($D1002,NatureChart,6,0)</f>
        <v>1</v>
      </c>
      <c r="AB1002" s="84">
        <f>IF($C1002="Shedinja",1,(INT((2*VLOOKUP($C1002,DexData,5,0)+INT(Q1002/4)+K1002)/2)+60))</f>
        <v>166</v>
      </c>
      <c r="AC1002" s="84">
        <f>INT(INT((INT((2*VLOOKUP($C1002,DexData,6,0)+INT(R1002/4)+L1002)/2)+5)*W1002)*IF($E1002="Choice Band",1.5,IF(OR($E1002="Mawilite",$E1002="Medichamite",$E1002="Thick Club"),2,1)))</f>
        <v>189</v>
      </c>
      <c r="AD1002" s="84">
        <f>INT(INT((INT((2*VLOOKUP($C1002,DexData,7,0)+INT(S1002/4)+M1002)/2)+5)*X1002)*IF($E1002="Eviolite",1.5,1))</f>
        <v>140</v>
      </c>
      <c r="AE1002" s="84">
        <f>INT(INT((INT((2*VLOOKUP($C1002,DexData,9,0)+INT(T1002/4)+N1002)/2)+5)*Y1002)*IF($E1002="Choice Specs",1.5,1))</f>
        <v>58</v>
      </c>
      <c r="AF1002" s="84">
        <f>INT(INT((INT((2*VLOOKUP($C1002,DexData,10,0)+INT(U1002/4)+O1002)/2)+5)*Z1002)*IF(OR($E1002="Eviolite",$E1002="Assault Vest"),1.5,1))</f>
        <v>80</v>
      </c>
      <c r="AG1002" s="84">
        <f>INT(INT((INT((2*VLOOKUP($C1002,DexData,11,0)+INT(V1002/4)+P1002)/2)+5)*AA1002)*IF($E1002="Choice Scarf",1.5,IF($E1002="Iron Ball",0.5,1)))</f>
        <v>102</v>
      </c>
      <c r="AH1002" s="84" t="str">
        <f>VLOOKUP(VLOOKUP($C1002,DexData,3,0),Aliases!D$2:E$19,2,0)&amp;IFERROR("/"&amp;VLOOKUP(VLOOKUP($C1002,DexData,4,0),Aliases!D$2:E$19,2,0),"")</f>
        <v>GRD</v>
      </c>
      <c r="AI1002" s="7">
        <v>1.0</v>
      </c>
      <c r="AJ1002" s="7">
        <f>IF(VLOOKUP(B1002,'Set Odds'!A$2:AN$1067,40,0),1,IF(VLOOKUP(B1002,'Set Odds'!A$2:AO$1067,41,0),2,0))</f>
        <v>2</v>
      </c>
      <c r="AK1002" s="87" t="s">
        <v>4606</v>
      </c>
      <c r="AL1002" s="7" t="str">
        <f t="shared" si="1"/>
        <v/>
      </c>
    </row>
    <row r="1003" ht="12.75" customHeight="1">
      <c r="A1003" s="86">
        <v>1002.0</v>
      </c>
      <c r="B1003" s="84" t="s">
        <v>4616</v>
      </c>
      <c r="C1003" s="7" t="s">
        <v>3962</v>
      </c>
      <c r="D1003" s="7" t="s">
        <v>2862</v>
      </c>
      <c r="E1003" s="7" t="s">
        <v>2846</v>
      </c>
      <c r="F1003" s="84" t="s">
        <v>3733</v>
      </c>
      <c r="G1003" s="84" t="s">
        <v>2785</v>
      </c>
      <c r="H1003" s="84" t="s">
        <v>3718</v>
      </c>
      <c r="I1003" s="84" t="s">
        <v>3729</v>
      </c>
      <c r="J1003" s="7" t="s">
        <v>2714</v>
      </c>
      <c r="K1003" s="7">
        <v>31.0</v>
      </c>
      <c r="L1003" s="7">
        <v>0.0</v>
      </c>
      <c r="M1003" s="7">
        <v>31.0</v>
      </c>
      <c r="N1003" s="7">
        <v>31.0</v>
      </c>
      <c r="O1003" s="7">
        <v>31.0</v>
      </c>
      <c r="P1003" s="7">
        <v>31.0</v>
      </c>
      <c r="Q1003" s="7">
        <v>252.0</v>
      </c>
      <c r="R1003" s="7">
        <v>0.0</v>
      </c>
      <c r="S1003" s="7">
        <v>252.0</v>
      </c>
      <c r="T1003" s="7">
        <v>0.0</v>
      </c>
      <c r="U1003" s="7">
        <v>0.0</v>
      </c>
      <c r="V1003" s="7">
        <v>4.0</v>
      </c>
      <c r="W1003" s="7">
        <f>VLOOKUP($D1003,NatureChart,2,0)</f>
        <v>0.9</v>
      </c>
      <c r="X1003" s="7">
        <f>VLOOKUP($D1003,NatureChart,3,0)</f>
        <v>1.1</v>
      </c>
      <c r="Y1003" s="7">
        <f>VLOOKUP($D1003,NatureChart,4,0)</f>
        <v>1</v>
      </c>
      <c r="Z1003" s="7">
        <f>VLOOKUP($D1003,NatureChart,5,0)</f>
        <v>1</v>
      </c>
      <c r="AA1003" s="84">
        <f>VLOOKUP($D1003,NatureChart,6,0)</f>
        <v>1</v>
      </c>
      <c r="AB1003" s="84">
        <f>IF($C1003="Shedinja",1,(INT((2*VLOOKUP($C1003,DexData,5,0)+INT(Q1003/4)+K1003)/2)+60))</f>
        <v>227</v>
      </c>
      <c r="AC1003" s="84">
        <f>INT(INT((INT((2*VLOOKUP($C1003,DexData,6,0)+INT(R1003/4)+L1003)/2)+5)*W1003)*IF($E1003="Choice Band",1.5,IF(OR($E1003="Mawilite",$E1003="Medichamite",$E1003="Thick Club"),2,1)))</f>
        <v>67</v>
      </c>
      <c r="AD1003" s="84">
        <f>INT(INT((INT((2*VLOOKUP($C1003,DexData,7,0)+INT(S1003/4)+M1003)/2)+5)*X1003)*IF($E1003="Eviolite",1.5,1))</f>
        <v>189</v>
      </c>
      <c r="AE1003" s="84">
        <f>INT(INT((INT((2*VLOOKUP($C1003,DexData,9,0)+INT(T1003/4)+N1003)/2)+5)*Y1003)*IF($E1003="Choice Specs",1.5,1))</f>
        <v>95</v>
      </c>
      <c r="AF1003" s="84">
        <f>INT(INT((INT((2*VLOOKUP($C1003,DexData,10,0)+INT(U1003/4)+O1003)/2)+5)*Z1003)*IF(OR($E1003="Eviolite",$E1003="Assault Vest"),1.5,1))</f>
        <v>150</v>
      </c>
      <c r="AG1003" s="84">
        <f>INT(INT((INT((2*VLOOKUP($C1003,DexData,11,0)+INT(V1003/4)+P1003)/2)+5)*AA1003)*IF($E1003="Choice Scarf",1.5,IF($E1003="Iron Ball",0.5,1)))</f>
        <v>106</v>
      </c>
      <c r="AH1003" s="84" t="str">
        <f>VLOOKUP(VLOOKUP($C1003,DexData,3,0),Aliases!D$2:E$19,2,0)&amp;IFERROR("/"&amp;VLOOKUP(VLOOKUP($C1003,DexData,4,0),Aliases!D$2:E$19,2,0),"")</f>
        <v>PSY</v>
      </c>
      <c r="AI1003" s="7">
        <v>3.0</v>
      </c>
      <c r="AJ1003" s="7">
        <f>IF(VLOOKUP(B1003,'Set Odds'!A$2:AN$1067,40,0),1,IF(VLOOKUP(B1003,'Set Odds'!A$2:AO$1067,41,0),2,0))</f>
        <v>2</v>
      </c>
      <c r="AK1003" s="87" t="s">
        <v>4604</v>
      </c>
      <c r="AL1003" s="7" t="str">
        <f t="shared" si="1"/>
        <v/>
      </c>
    </row>
    <row r="1004" ht="12.75" customHeight="1">
      <c r="A1004" s="86">
        <v>1003.0</v>
      </c>
      <c r="B1004" s="84" t="s">
        <v>4617</v>
      </c>
      <c r="C1004" s="7" t="s">
        <v>3432</v>
      </c>
      <c r="D1004" s="7" t="s">
        <v>2571</v>
      </c>
      <c r="E1004" s="7" t="s">
        <v>2889</v>
      </c>
      <c r="F1004" s="84" t="s">
        <v>2625</v>
      </c>
      <c r="G1004" s="84" t="s">
        <v>3454</v>
      </c>
      <c r="H1004" s="84" t="s">
        <v>3390</v>
      </c>
      <c r="I1004" s="84" t="s">
        <v>3135</v>
      </c>
      <c r="J1004" s="7" t="s">
        <v>3436</v>
      </c>
      <c r="K1004" s="7">
        <v>31.0</v>
      </c>
      <c r="L1004" s="7">
        <v>31.0</v>
      </c>
      <c r="M1004" s="7">
        <v>31.0</v>
      </c>
      <c r="N1004" s="7">
        <v>0.0</v>
      </c>
      <c r="O1004" s="7">
        <v>31.0</v>
      </c>
      <c r="P1004" s="7">
        <v>31.0</v>
      </c>
      <c r="Q1004" s="7">
        <v>252.0</v>
      </c>
      <c r="R1004" s="7">
        <v>252.0</v>
      </c>
      <c r="S1004" s="7">
        <v>4.0</v>
      </c>
      <c r="T1004" s="7">
        <v>0.0</v>
      </c>
      <c r="U1004" s="7">
        <v>0.0</v>
      </c>
      <c r="V1004" s="7">
        <v>0.0</v>
      </c>
      <c r="W1004" s="7">
        <f>VLOOKUP($D1004,NatureChart,2,0)</f>
        <v>1.1</v>
      </c>
      <c r="X1004" s="7">
        <f>VLOOKUP($D1004,NatureChart,3,0)</f>
        <v>1</v>
      </c>
      <c r="Y1004" s="7">
        <f>VLOOKUP($D1004,NatureChart,4,0)</f>
        <v>0.9</v>
      </c>
      <c r="Z1004" s="7">
        <f>VLOOKUP($D1004,NatureChart,5,0)</f>
        <v>1</v>
      </c>
      <c r="AA1004" s="84">
        <f>VLOOKUP($D1004,NatureChart,6,0)</f>
        <v>1</v>
      </c>
      <c r="AB1004" s="84">
        <f>IF($C1004="Shedinja",1,(INT((2*VLOOKUP($C1004,DexData,5,0)+INT(Q1004/4)+K1004)/2)+60))</f>
        <v>222</v>
      </c>
      <c r="AC1004" s="84">
        <f>INT(INT((INT((2*VLOOKUP($C1004,DexData,6,0)+INT(R1004/4)+L1004)/2)+5)*W1004)*IF($E1004="Choice Band",1.5,IF(OR($E1004="Mawilite",$E1004="Medichamite",$E1004="Thick Club"),2,1)))</f>
        <v>211</v>
      </c>
      <c r="AD1004" s="84">
        <f>INT(INT((INT((2*VLOOKUP($C1004,DexData,7,0)+INT(S1004/4)+M1004)/2)+5)*X1004)*IF($E1004="Eviolite",1.5,1))</f>
        <v>151</v>
      </c>
      <c r="AE1004" s="84">
        <f>INT(INT((INT((2*VLOOKUP($C1004,DexData,9,0)+INT(T1004/4)+N1004)/2)+5)*Y1004)*IF($E1004="Choice Specs",1.5,1))</f>
        <v>54</v>
      </c>
      <c r="AF1004" s="84">
        <f>INT(INT((INT((2*VLOOKUP($C1004,DexData,10,0)+INT(U1004/4)+O1004)/2)+5)*Z1004)*IF(OR($E1004="Eviolite",$E1004="Assault Vest"),1.5,1))</f>
        <v>75</v>
      </c>
      <c r="AG1004" s="84">
        <f>INT(INT((INT((2*VLOOKUP($C1004,DexData,11,0)+INT(V1004/4)+P1004)/2)+5)*AA1004)*IF($E1004="Choice Scarf",1.5,IF($E1004="Iron Ball",0.5,1)))</f>
        <v>60</v>
      </c>
      <c r="AH1004" s="84" t="str">
        <f>VLOOKUP(VLOOKUP($C1004,DexData,3,0),Aliases!D$2:E$19,2,0)&amp;IFERROR("/"&amp;VLOOKUP(VLOOKUP($C1004,DexData,4,0),Aliases!D$2:E$19,2,0),"")</f>
        <v>GRD/RCK</v>
      </c>
      <c r="AI1004" s="7">
        <v>1.0</v>
      </c>
      <c r="AJ1004" s="7">
        <f>IF(VLOOKUP(B1004,'Set Odds'!A$2:AN$1067,40,0),1,IF(VLOOKUP(B1004,'Set Odds'!A$2:AO$1067,41,0),2,0))</f>
        <v>2</v>
      </c>
      <c r="AK1004" s="87" t="s">
        <v>4606</v>
      </c>
      <c r="AL1004" s="7" t="str">
        <f t="shared" si="1"/>
        <v/>
      </c>
    </row>
    <row r="1005" ht="12.75" customHeight="1">
      <c r="A1005" s="86">
        <v>1004.0</v>
      </c>
      <c r="B1005" s="84" t="s">
        <v>4618</v>
      </c>
      <c r="C1005" s="7" t="s">
        <v>4292</v>
      </c>
      <c r="D1005" s="7" t="s">
        <v>2862</v>
      </c>
      <c r="E1005" s="7" t="s">
        <v>4164</v>
      </c>
      <c r="F1005" s="84" t="s">
        <v>3341</v>
      </c>
      <c r="G1005" s="84" t="s">
        <v>3435</v>
      </c>
      <c r="H1005" s="84" t="s">
        <v>3523</v>
      </c>
      <c r="I1005" s="84" t="s">
        <v>2732</v>
      </c>
      <c r="J1005" s="7" t="s">
        <v>2714</v>
      </c>
      <c r="K1005" s="7">
        <v>31.0</v>
      </c>
      <c r="L1005" s="7">
        <v>0.0</v>
      </c>
      <c r="M1005" s="7">
        <v>31.0</v>
      </c>
      <c r="N1005" s="7">
        <v>31.0</v>
      </c>
      <c r="O1005" s="7">
        <v>31.0</v>
      </c>
      <c r="P1005" s="7">
        <v>31.0</v>
      </c>
      <c r="Q1005" s="7">
        <v>252.0</v>
      </c>
      <c r="R1005" s="7">
        <v>0.0</v>
      </c>
      <c r="S1005" s="7">
        <v>252.0</v>
      </c>
      <c r="T1005" s="7">
        <v>4.0</v>
      </c>
      <c r="U1005" s="7">
        <v>0.0</v>
      </c>
      <c r="V1005" s="7">
        <v>0.0</v>
      </c>
      <c r="W1005" s="7">
        <f>VLOOKUP($D1005,NatureChart,2,0)</f>
        <v>0.9</v>
      </c>
      <c r="X1005" s="7">
        <f>VLOOKUP($D1005,NatureChart,3,0)</f>
        <v>1.1</v>
      </c>
      <c r="Y1005" s="7">
        <f>VLOOKUP($D1005,NatureChart,4,0)</f>
        <v>1</v>
      </c>
      <c r="Z1005" s="7">
        <f>VLOOKUP($D1005,NatureChart,5,0)</f>
        <v>1</v>
      </c>
      <c r="AA1005" s="84">
        <f>VLOOKUP($D1005,NatureChart,6,0)</f>
        <v>1</v>
      </c>
      <c r="AB1005" s="84">
        <f>IF($C1005="Shedinja",1,(INT((2*VLOOKUP($C1005,DexData,5,0)+INT(Q1005/4)+K1005)/2)+60))</f>
        <v>157</v>
      </c>
      <c r="AC1005" s="84">
        <f>INT(INT((INT((2*VLOOKUP($C1005,DexData,6,0)+INT(R1005/4)+L1005)/2)+5)*W1005)*IF($E1005="Choice Band",1.5,IF(OR($E1005="Mawilite",$E1005="Medichamite",$E1005="Thick Club"),2,1)))</f>
        <v>63</v>
      </c>
      <c r="AD1005" s="84">
        <f>INT(INT((INT((2*VLOOKUP($C1005,DexData,7,0)+INT(S1005/4)+M1005)/2)+5)*X1005)*IF($E1005="Eviolite",1.5,1))</f>
        <v>174</v>
      </c>
      <c r="AE1005" s="84">
        <f>INT(INT((INT((2*VLOOKUP($C1005,DexData,9,0)+INT(T1005/4)+N1005)/2)+5)*Y1005)*IF($E1005="Choice Specs",1.5,1))</f>
        <v>126</v>
      </c>
      <c r="AF1005" s="84">
        <f>INT(INT((INT((2*VLOOKUP($C1005,DexData,10,0)+INT(U1005/4)+O1005)/2)+5)*Z1005)*IF(OR($E1005="Eviolite",$E1005="Assault Vest"),1.5,1))</f>
        <v>127</v>
      </c>
      <c r="AG1005" s="84">
        <f>INT(INT((INT((2*VLOOKUP($C1005,DexData,11,0)+INT(V1005/4)+P1005)/2)+5)*AA1005)*IF($E1005="Choice Scarf",1.5,IF($E1005="Iron Ball",0.5,1)))</f>
        <v>106</v>
      </c>
      <c r="AH1005" s="84" t="str">
        <f>VLOOKUP(VLOOKUP($C1005,DexData,3,0),Aliases!D$2:E$19,2,0)&amp;IFERROR("/"&amp;VLOOKUP(VLOOKUP($C1005,DexData,4,0),Aliases!D$2:E$19,2,0),"")</f>
        <v>ELC/WTR</v>
      </c>
      <c r="AI1005" s="7">
        <v>3.0</v>
      </c>
      <c r="AJ1005" s="7">
        <f>IF(VLOOKUP(B1005,'Set Odds'!A$2:AN$1067,40,0),1,IF(VLOOKUP(B1005,'Set Odds'!A$2:AO$1067,41,0),2,0))</f>
        <v>2</v>
      </c>
      <c r="AK1005" s="87" t="s">
        <v>4619</v>
      </c>
      <c r="AL1005" s="7" t="str">
        <f t="shared" si="1"/>
        <v/>
      </c>
    </row>
    <row r="1006" ht="12.75" customHeight="1">
      <c r="A1006" s="86">
        <v>1005.0</v>
      </c>
      <c r="B1006" s="84" t="s">
        <v>4620</v>
      </c>
      <c r="C1006" s="7" t="s">
        <v>3900</v>
      </c>
      <c r="D1006" s="7" t="s">
        <v>2656</v>
      </c>
      <c r="E1006" s="7" t="s">
        <v>2527</v>
      </c>
      <c r="F1006" s="84" t="s">
        <v>3435</v>
      </c>
      <c r="G1006" s="84" t="s">
        <v>3523</v>
      </c>
      <c r="H1006" s="84" t="s">
        <v>3524</v>
      </c>
      <c r="I1006" s="84" t="s">
        <v>4053</v>
      </c>
      <c r="J1006" s="7" t="s">
        <v>2728</v>
      </c>
      <c r="K1006" s="7">
        <v>31.0</v>
      </c>
      <c r="L1006" s="7">
        <v>0.0</v>
      </c>
      <c r="M1006" s="7">
        <v>31.0</v>
      </c>
      <c r="N1006" s="7">
        <v>31.0</v>
      </c>
      <c r="O1006" s="7">
        <v>31.0</v>
      </c>
      <c r="P1006" s="7">
        <v>31.0</v>
      </c>
      <c r="Q1006" s="7">
        <v>4.0</v>
      </c>
      <c r="R1006" s="7">
        <v>0.0</v>
      </c>
      <c r="S1006" s="7">
        <v>0.0</v>
      </c>
      <c r="T1006" s="7">
        <v>252.0</v>
      </c>
      <c r="U1006" s="7">
        <v>0.0</v>
      </c>
      <c r="V1006" s="7">
        <v>252.0</v>
      </c>
      <c r="W1006" s="7">
        <f>VLOOKUP($D1006,NatureChart,2,0)</f>
        <v>0.9</v>
      </c>
      <c r="X1006" s="7">
        <f>VLOOKUP($D1006,NatureChart,3,0)</f>
        <v>1</v>
      </c>
      <c r="Y1006" s="7">
        <f>VLOOKUP($D1006,NatureChart,4,0)</f>
        <v>1.1</v>
      </c>
      <c r="Z1006" s="7">
        <f>VLOOKUP($D1006,NatureChart,5,0)</f>
        <v>1</v>
      </c>
      <c r="AA1006" s="84">
        <f>VLOOKUP($D1006,NatureChart,6,0)</f>
        <v>1</v>
      </c>
      <c r="AB1006" s="84">
        <f>IF($C1006="Shedinja",1,(INT((2*VLOOKUP($C1006,DexData,5,0)+INT(Q1006/4)+K1006)/2)+60))</f>
        <v>146</v>
      </c>
      <c r="AC1006" s="84">
        <f>INT(INT((INT((2*VLOOKUP($C1006,DexData,6,0)+INT(R1006/4)+L1006)/2)+5)*W1006)*IF($E1006="Choice Band",1.5,IF(OR($E1006="Mawilite",$E1006="Medichamite",$E1006="Thick Club"),2,1)))</f>
        <v>67</v>
      </c>
      <c r="AD1006" s="84">
        <f>INT(INT((INT((2*VLOOKUP($C1006,DexData,7,0)+INT(S1006/4)+M1006)/2)+5)*X1006)*IF($E1006="Eviolite",1.5,1))</f>
        <v>135</v>
      </c>
      <c r="AE1006" s="84">
        <f>INT(INT((INT((2*VLOOKUP($C1006,DexData,9,0)+INT(T1006/4)+N1006)/2)+5)*Y1006)*IF($E1006="Choice Specs",1.5,1))</f>
        <v>200</v>
      </c>
      <c r="AF1006" s="84">
        <f>INT(INT((INT((2*VLOOKUP($C1006,DexData,10,0)+INT(U1006/4)+O1006)/2)+5)*Z1006)*IF(OR($E1006="Eviolite",$E1006="Assault Vest"),1.5,1))</f>
        <v>110</v>
      </c>
      <c r="AG1006" s="84">
        <f>INT(INT((INT((2*VLOOKUP($C1006,DexData,11,0)+INT(V1006/4)+P1006)/2)+5)*AA1006)*IF($E1006="Choice Scarf",1.5,IF($E1006="Iron Ball",0.5,1)))</f>
        <v>112</v>
      </c>
      <c r="AH1006" s="84" t="str">
        <f>VLOOKUP(VLOOKUP($C1006,DexData,3,0),Aliases!D$2:E$19,2,0)&amp;IFERROR("/"&amp;VLOOKUP(VLOOKUP($C1006,DexData,4,0),Aliases!D$2:E$19,2,0),"")</f>
        <v>ELC/STL</v>
      </c>
      <c r="AI1006" s="7">
        <v>3.0</v>
      </c>
      <c r="AJ1006" s="7">
        <f>IF(VLOOKUP(B1006,'Set Odds'!A$2:AN$1067,40,0),1,IF(VLOOKUP(B1006,'Set Odds'!A$2:AO$1067,41,0),2,0))</f>
        <v>2</v>
      </c>
      <c r="AK1006" s="87" t="s">
        <v>4619</v>
      </c>
      <c r="AL1006" s="7" t="str">
        <f t="shared" si="1"/>
        <v/>
      </c>
    </row>
    <row r="1007" ht="12.75" customHeight="1">
      <c r="A1007" s="86">
        <v>1006.0</v>
      </c>
      <c r="B1007" s="84" t="s">
        <v>4621</v>
      </c>
      <c r="C1007" s="7" t="s">
        <v>3811</v>
      </c>
      <c r="D1007" s="7" t="s">
        <v>2692</v>
      </c>
      <c r="E1007" s="7" t="s">
        <v>2636</v>
      </c>
      <c r="F1007" s="84" t="s">
        <v>3523</v>
      </c>
      <c r="G1007" s="84" t="s">
        <v>2763</v>
      </c>
      <c r="H1007" s="84" t="s">
        <v>3603</v>
      </c>
      <c r="I1007" s="84" t="s">
        <v>4056</v>
      </c>
      <c r="J1007" s="7" t="s">
        <v>2696</v>
      </c>
      <c r="K1007" s="7">
        <v>31.0</v>
      </c>
      <c r="L1007" s="7">
        <v>31.0</v>
      </c>
      <c r="M1007" s="7">
        <v>31.0</v>
      </c>
      <c r="N1007" s="7">
        <v>0.0</v>
      </c>
      <c r="O1007" s="7">
        <v>31.0</v>
      </c>
      <c r="P1007" s="7">
        <v>31.0</v>
      </c>
      <c r="Q1007" s="7">
        <v>4.0</v>
      </c>
      <c r="R1007" s="7">
        <v>252.0</v>
      </c>
      <c r="S1007" s="7">
        <v>0.0</v>
      </c>
      <c r="T1007" s="7">
        <v>0.0</v>
      </c>
      <c r="U1007" s="7">
        <v>0.0</v>
      </c>
      <c r="V1007" s="7">
        <v>252.0</v>
      </c>
      <c r="W1007" s="7">
        <f>VLOOKUP($D1007,NatureChart,2,0)</f>
        <v>1</v>
      </c>
      <c r="X1007" s="7">
        <f>VLOOKUP($D1007,NatureChart,3,0)</f>
        <v>1</v>
      </c>
      <c r="Y1007" s="7">
        <f>VLOOKUP($D1007,NatureChart,4,0)</f>
        <v>0.9</v>
      </c>
      <c r="Z1007" s="7">
        <f>VLOOKUP($D1007,NatureChart,5,0)</f>
        <v>1</v>
      </c>
      <c r="AA1007" s="84">
        <f>VLOOKUP($D1007,NatureChart,6,0)</f>
        <v>1.1</v>
      </c>
      <c r="AB1007" s="84">
        <f>IF($C1007="Shedinja",1,(INT((2*VLOOKUP($C1007,DexData,5,0)+INT(Q1007/4)+K1007)/2)+60))</f>
        <v>156</v>
      </c>
      <c r="AC1007" s="84">
        <f>INT(INT((INT((2*VLOOKUP($C1007,DexData,6,0)+INT(R1007/4)+L1007)/2)+5)*W1007)*IF($E1007="Choice Band",1.5,IF(OR($E1007="Mawilite",$E1007="Medichamite",$E1007="Thick Club"),2,1)))</f>
        <v>172</v>
      </c>
      <c r="AD1007" s="84">
        <f>INT(INT((INT((2*VLOOKUP($C1007,DexData,7,0)+INT(S1007/4)+M1007)/2)+5)*X1007)*IF($E1007="Eviolite",1.5,1))</f>
        <v>99</v>
      </c>
      <c r="AE1007" s="84">
        <f>INT(INT((INT((2*VLOOKUP($C1007,DexData,9,0)+INT(T1007/4)+N1007)/2)+5)*Y1007)*IF($E1007="Choice Specs",1.5,1))</f>
        <v>90</v>
      </c>
      <c r="AF1007" s="84">
        <f>INT(INT((INT((2*VLOOKUP($C1007,DexData,10,0)+INT(U1007/4)+O1007)/2)+5)*Z1007)*IF(OR($E1007="Eviolite",$E1007="Assault Vest"),1.5,1))</f>
        <v>99</v>
      </c>
      <c r="AG1007" s="84">
        <f>INT(INT((INT((2*VLOOKUP($C1007,DexData,11,0)+INT(V1007/4)+P1007)/2)+5)*AA1007)*IF($E1007="Choice Scarf",1.5,IF($E1007="Iron Ball",0.5,1)))</f>
        <v>134</v>
      </c>
      <c r="AH1007" s="84" t="str">
        <f>VLOOKUP(VLOOKUP($C1007,DexData,3,0),Aliases!D$2:E$19,2,0)&amp;IFERROR("/"&amp;VLOOKUP(VLOOKUP($C1007,DexData,4,0),Aliases!D$2:E$19,2,0),"")</f>
        <v>ELC</v>
      </c>
      <c r="AI1007" s="7">
        <v>0.0</v>
      </c>
      <c r="AJ1007" s="7">
        <f>IF(VLOOKUP(B1007,'Set Odds'!A$2:AN$1067,40,0),1,IF(VLOOKUP(B1007,'Set Odds'!A$2:AO$1067,41,0),2,0))</f>
        <v>2</v>
      </c>
      <c r="AK1007" s="87" t="s">
        <v>4619</v>
      </c>
      <c r="AL1007" s="7" t="str">
        <f t="shared" si="1"/>
        <v/>
      </c>
    </row>
    <row r="1008" ht="12.75" customHeight="1">
      <c r="A1008" s="86">
        <v>1007.0</v>
      </c>
      <c r="B1008" s="84" t="s">
        <v>4622</v>
      </c>
      <c r="C1008" s="7" t="s">
        <v>4212</v>
      </c>
      <c r="D1008" s="7" t="s">
        <v>2862</v>
      </c>
      <c r="E1008" s="7" t="s">
        <v>2636</v>
      </c>
      <c r="F1008" s="84" t="s">
        <v>3435</v>
      </c>
      <c r="G1008" s="84" t="s">
        <v>3523</v>
      </c>
      <c r="H1008" s="84" t="s">
        <v>4213</v>
      </c>
      <c r="I1008" s="84" t="s">
        <v>4109</v>
      </c>
      <c r="J1008" s="7" t="s">
        <v>3136</v>
      </c>
      <c r="K1008" s="7">
        <v>31.0</v>
      </c>
      <c r="L1008" s="7">
        <v>0.0</v>
      </c>
      <c r="M1008" s="7">
        <v>31.0</v>
      </c>
      <c r="N1008" s="7">
        <v>31.0</v>
      </c>
      <c r="O1008" s="7">
        <v>31.0</v>
      </c>
      <c r="P1008" s="7">
        <v>31.0</v>
      </c>
      <c r="Q1008" s="7">
        <v>252.0</v>
      </c>
      <c r="R1008" s="7">
        <v>0.0</v>
      </c>
      <c r="S1008" s="7">
        <v>252.0</v>
      </c>
      <c r="T1008" s="7">
        <v>4.0</v>
      </c>
      <c r="U1008" s="7">
        <v>0.0</v>
      </c>
      <c r="V1008" s="7">
        <v>0.0</v>
      </c>
      <c r="W1008" s="7">
        <f>VLOOKUP($D1008,NatureChart,2,0)</f>
        <v>0.9</v>
      </c>
      <c r="X1008" s="7">
        <f>VLOOKUP($D1008,NatureChart,3,0)</f>
        <v>1.1</v>
      </c>
      <c r="Y1008" s="7">
        <f>VLOOKUP($D1008,NatureChart,4,0)</f>
        <v>1</v>
      </c>
      <c r="Z1008" s="7">
        <f>VLOOKUP($D1008,NatureChart,5,0)</f>
        <v>1</v>
      </c>
      <c r="AA1008" s="84">
        <f>VLOOKUP($D1008,NatureChart,6,0)</f>
        <v>1</v>
      </c>
      <c r="AB1008" s="84">
        <f>IF($C1008="Shedinja",1,(INT((2*VLOOKUP($C1008,DexData,5,0)+INT(Q1008/4)+K1008)/2)+60))</f>
        <v>197</v>
      </c>
      <c r="AC1008" s="84">
        <f>INT(INT((INT((2*VLOOKUP($C1008,DexData,6,0)+INT(R1008/4)+L1008)/2)+5)*W1008)*IF($E1008="Choice Band",1.5,IF(OR($E1008="Mawilite",$E1008="Medichamite",$E1008="Thick Club"),2,1)))</f>
        <v>85</v>
      </c>
      <c r="AD1008" s="84">
        <f>INT(INT((INT((2*VLOOKUP($C1008,DexData,7,0)+INT(S1008/4)+M1008)/2)+5)*X1008)*IF($E1008="Eviolite",1.5,1))</f>
        <v>150</v>
      </c>
      <c r="AE1008" s="84">
        <f>INT(INT((INT((2*VLOOKUP($C1008,DexData,9,0)+INT(T1008/4)+N1008)/2)+5)*Y1008)*IF($E1008="Choice Specs",1.5,1))</f>
        <v>146</v>
      </c>
      <c r="AF1008" s="84">
        <f>INT(INT((INT((2*VLOOKUP($C1008,DexData,10,0)+INT(U1008/4)+O1008)/2)+5)*Z1008)*IF(OR($E1008="Eviolite",$E1008="Assault Vest"),1.5,1))</f>
        <v>110</v>
      </c>
      <c r="AG1008" s="84">
        <f>INT(INT((INT((2*VLOOKUP($C1008,DexData,11,0)+INT(V1008/4)+P1008)/2)+5)*AA1008)*IF($E1008="Choice Scarf",1.5,IF($E1008="Iron Ball",0.5,1)))</f>
        <v>120</v>
      </c>
      <c r="AH1008" s="84" t="str">
        <f>VLOOKUP(VLOOKUP($C1008,DexData,3,0),Aliases!D$2:E$19,2,0)&amp;IFERROR("/"&amp;VLOOKUP(VLOOKUP($C1008,DexData,4,0),Aliases!D$2:E$19,2,0),"")</f>
        <v>ELC/FLY</v>
      </c>
      <c r="AI1008" s="7">
        <v>3.0</v>
      </c>
      <c r="AJ1008" s="7">
        <f>IF(VLOOKUP(B1008,'Set Odds'!A$2:AN$1067,40,0),1,IF(VLOOKUP(B1008,'Set Odds'!A$2:AO$1067,41,0),2,0))</f>
        <v>2</v>
      </c>
      <c r="AK1008" s="87" t="s">
        <v>4619</v>
      </c>
      <c r="AL1008" s="7" t="str">
        <f t="shared" si="1"/>
        <v/>
      </c>
    </row>
    <row r="1009" ht="12.75" customHeight="1">
      <c r="A1009" s="86">
        <v>1008.0</v>
      </c>
      <c r="B1009" s="84" t="s">
        <v>4623</v>
      </c>
      <c r="C1009" s="7" t="s">
        <v>3907</v>
      </c>
      <c r="D1009" s="7" t="s">
        <v>2571</v>
      </c>
      <c r="E1009" s="7" t="s">
        <v>3726</v>
      </c>
      <c r="F1009" s="84" t="s">
        <v>2869</v>
      </c>
      <c r="G1009" s="84" t="s">
        <v>3454</v>
      </c>
      <c r="H1009" s="84" t="s">
        <v>3603</v>
      </c>
      <c r="I1009" s="84" t="s">
        <v>2764</v>
      </c>
      <c r="J1009" s="7" t="s">
        <v>2696</v>
      </c>
      <c r="K1009" s="7">
        <v>31.0</v>
      </c>
      <c r="L1009" s="7">
        <v>0.0</v>
      </c>
      <c r="M1009" s="7">
        <v>31.0</v>
      </c>
      <c r="N1009" s="7">
        <v>31.0</v>
      </c>
      <c r="O1009" s="7">
        <v>31.0</v>
      </c>
      <c r="P1009" s="7">
        <v>31.0</v>
      </c>
      <c r="Q1009" s="7">
        <v>4.0</v>
      </c>
      <c r="R1009" s="7">
        <v>0.0</v>
      </c>
      <c r="S1009" s="7">
        <v>0.0</v>
      </c>
      <c r="T1009" s="7">
        <v>252.0</v>
      </c>
      <c r="U1009" s="7">
        <v>0.0</v>
      </c>
      <c r="V1009" s="7">
        <v>252.0</v>
      </c>
      <c r="W1009" s="7">
        <f>VLOOKUP($D1009,NatureChart,2,0)</f>
        <v>1.1</v>
      </c>
      <c r="X1009" s="7">
        <f>VLOOKUP($D1009,NatureChart,3,0)</f>
        <v>1</v>
      </c>
      <c r="Y1009" s="7">
        <f>VLOOKUP($D1009,NatureChart,4,0)</f>
        <v>0.9</v>
      </c>
      <c r="Z1009" s="7">
        <f>VLOOKUP($D1009,NatureChart,5,0)</f>
        <v>1</v>
      </c>
      <c r="AA1009" s="84">
        <f>VLOOKUP($D1009,NatureChart,6,0)</f>
        <v>1</v>
      </c>
      <c r="AB1009" s="84">
        <f>IF($C1009="Shedinja",1,(INT((2*VLOOKUP($C1009,DexData,5,0)+INT(Q1009/4)+K1009)/2)+60))</f>
        <v>171</v>
      </c>
      <c r="AC1009" s="84">
        <f>INT(INT((INT((2*VLOOKUP($C1009,DexData,6,0)+INT(R1009/4)+L1009)/2)+5)*W1009)*IF($E1009="Choice Band",1.5,IF(OR($E1009="Mawilite",$E1009="Medichamite",$E1009="Thick Club"),2,1)))</f>
        <v>143</v>
      </c>
      <c r="AD1009" s="84">
        <f>INT(INT((INT((2*VLOOKUP($C1009,DexData,7,0)+INT(S1009/4)+M1009)/2)+5)*X1009)*IF($E1009="Eviolite",1.5,1))</f>
        <v>99</v>
      </c>
      <c r="AE1009" s="84">
        <f>INT(INT((INT((2*VLOOKUP($C1009,DexData,9,0)+INT(T1009/4)+N1009)/2)+5)*Y1009)*IF($E1009="Choice Specs",1.5,1))</f>
        <v>100</v>
      </c>
      <c r="AF1009" s="84">
        <f>INT(INT((INT((2*VLOOKUP($C1009,DexData,10,0)+INT(U1009/4)+O1009)/2)+5)*Z1009)*IF(OR($E1009="Eviolite",$E1009="Assault Vest"),1.5,1))</f>
        <v>120</v>
      </c>
      <c r="AG1009" s="84">
        <f>INT(INT((INT((2*VLOOKUP($C1009,DexData,11,0)+INT(V1009/4)+P1009)/2)+5)*AA1009)*IF($E1009="Choice Scarf",1.5,IF($E1009="Iron Ball",0.5,1)))</f>
        <v>133</v>
      </c>
      <c r="AH1009" s="84" t="str">
        <f>VLOOKUP(VLOOKUP($C1009,DexData,3,0),Aliases!D$2:E$19,2,0)&amp;IFERROR("/"&amp;VLOOKUP(VLOOKUP($C1009,DexData,4,0),Aliases!D$2:E$19,2,0),"")</f>
        <v>WTR/FLY</v>
      </c>
      <c r="AI1009" s="7">
        <v>0.0</v>
      </c>
      <c r="AJ1009" s="7">
        <f>IF(VLOOKUP(B1009,'Set Odds'!A$2:AN$1067,40,0),1,IF(VLOOKUP(B1009,'Set Odds'!A$2:AO$1067,41,0),2,0))</f>
        <v>2</v>
      </c>
      <c r="AK1009" s="87" t="s">
        <v>4619</v>
      </c>
      <c r="AL1009" s="7" t="str">
        <f t="shared" si="1"/>
        <v/>
      </c>
    </row>
    <row r="1010" ht="12.75" customHeight="1">
      <c r="A1010" s="86">
        <v>1009.0</v>
      </c>
      <c r="B1010" s="84" t="s">
        <v>4624</v>
      </c>
      <c r="C1010" s="7" t="s">
        <v>3917</v>
      </c>
      <c r="D1010" s="7" t="s">
        <v>2571</v>
      </c>
      <c r="E1010" s="7" t="s">
        <v>3148</v>
      </c>
      <c r="F1010" s="84" t="s">
        <v>3160</v>
      </c>
      <c r="G1010" s="84" t="s">
        <v>3390</v>
      </c>
      <c r="H1010" s="84" t="s">
        <v>3523</v>
      </c>
      <c r="I1010" s="84" t="s">
        <v>4056</v>
      </c>
      <c r="J1010" s="7" t="s">
        <v>3918</v>
      </c>
      <c r="K1010" s="7">
        <v>31.0</v>
      </c>
      <c r="L1010" s="7">
        <v>31.0</v>
      </c>
      <c r="M1010" s="7">
        <v>31.0</v>
      </c>
      <c r="N1010" s="7">
        <v>0.0</v>
      </c>
      <c r="O1010" s="7">
        <v>31.0</v>
      </c>
      <c r="P1010" s="7">
        <v>31.0</v>
      </c>
      <c r="Q1010" s="7">
        <v>4.0</v>
      </c>
      <c r="R1010" s="7">
        <v>252.0</v>
      </c>
      <c r="S1010" s="7">
        <v>0.0</v>
      </c>
      <c r="T1010" s="7">
        <v>0.0</v>
      </c>
      <c r="U1010" s="7">
        <v>0.0</v>
      </c>
      <c r="V1010" s="7">
        <v>252.0</v>
      </c>
      <c r="W1010" s="7">
        <f>VLOOKUP($D1010,NatureChart,2,0)</f>
        <v>1.1</v>
      </c>
      <c r="X1010" s="7">
        <f>VLOOKUP($D1010,NatureChart,3,0)</f>
        <v>1</v>
      </c>
      <c r="Y1010" s="7">
        <f>VLOOKUP($D1010,NatureChart,4,0)</f>
        <v>0.9</v>
      </c>
      <c r="Z1010" s="7">
        <f>VLOOKUP($D1010,NatureChart,5,0)</f>
        <v>1</v>
      </c>
      <c r="AA1010" s="84">
        <f>VLOOKUP($D1010,NatureChart,6,0)</f>
        <v>1</v>
      </c>
      <c r="AB1010" s="84">
        <f>IF($C1010="Shedinja",1,(INT((2*VLOOKUP($C1010,DexData,5,0)+INT(Q1010/4)+K1010)/2)+60))</f>
        <v>151</v>
      </c>
      <c r="AC1010" s="84">
        <f>INT(INT((INT((2*VLOOKUP($C1010,DexData,6,0)+INT(R1010/4)+L1010)/2)+5)*W1010)*IF($E1010="Choice Band",1.5,IF(OR($E1010="Mawilite",$E1010="Medichamite",$E1010="Thick Club"),2,1)))</f>
        <v>192</v>
      </c>
      <c r="AD1010" s="84">
        <f>INT(INT((INT((2*VLOOKUP($C1010,DexData,7,0)+INT(S1010/4)+M1010)/2)+5)*X1010)*IF($E1010="Eviolite",1.5,1))</f>
        <v>87</v>
      </c>
      <c r="AE1010" s="84">
        <f>INT(INT((INT((2*VLOOKUP($C1010,DexData,9,0)+INT(T1010/4)+N1010)/2)+5)*Y1010)*IF($E1010="Choice Specs",1.5,1))</f>
        <v>90</v>
      </c>
      <c r="AF1010" s="84">
        <f>INT(INT((INT((2*VLOOKUP($C1010,DexData,10,0)+INT(U1010/4)+O1010)/2)+5)*Z1010)*IF(OR($E1010="Eviolite",$E1010="Assault Vest"),1.5,1))</f>
        <v>105</v>
      </c>
      <c r="AG1010" s="84">
        <f>INT(INT((INT((2*VLOOKUP($C1010,DexData,11,0)+INT(V1010/4)+P1010)/2)+5)*AA1010)*IF($E1010="Choice Scarf",1.5,IF($E1010="Iron Ball",0.5,1)))</f>
        <v>147</v>
      </c>
      <c r="AH1010" s="84" t="str">
        <f>VLOOKUP(VLOOKUP($C1010,DexData,3,0),Aliases!D$2:E$19,2,0)&amp;IFERROR("/"&amp;VLOOKUP(VLOOKUP($C1010,DexData,4,0),Aliases!D$2:E$19,2,0),"")</f>
        <v>ELC</v>
      </c>
      <c r="AI1010" s="7">
        <v>0.0</v>
      </c>
      <c r="AJ1010" s="7">
        <f>IF(VLOOKUP(B1010,'Set Odds'!A$2:AN$1067,40,0),1,IF(VLOOKUP(B1010,'Set Odds'!A$2:AO$1067,41,0),2,0))</f>
        <v>2</v>
      </c>
      <c r="AK1010" s="87" t="s">
        <v>4619</v>
      </c>
      <c r="AL1010" s="7" t="str">
        <f t="shared" si="1"/>
        <v/>
      </c>
    </row>
    <row r="1011" ht="12.75" customHeight="1">
      <c r="A1011" s="86">
        <v>1010.0</v>
      </c>
      <c r="B1011" s="84" t="s">
        <v>4625</v>
      </c>
      <c r="C1011" s="7" t="s">
        <v>4212</v>
      </c>
      <c r="D1011" s="7" t="s">
        <v>2656</v>
      </c>
      <c r="E1011" s="7" t="s">
        <v>2665</v>
      </c>
      <c r="F1011" s="84" t="s">
        <v>3435</v>
      </c>
      <c r="G1011" s="84" t="s">
        <v>3523</v>
      </c>
      <c r="H1011" s="84" t="s">
        <v>4213</v>
      </c>
      <c r="I1011" s="84" t="s">
        <v>4109</v>
      </c>
      <c r="J1011" s="7" t="s">
        <v>3136</v>
      </c>
      <c r="K1011" s="7">
        <v>31.0</v>
      </c>
      <c r="L1011" s="7">
        <v>0.0</v>
      </c>
      <c r="M1011" s="7">
        <v>31.0</v>
      </c>
      <c r="N1011" s="7">
        <v>31.0</v>
      </c>
      <c r="O1011" s="7">
        <v>31.0</v>
      </c>
      <c r="P1011" s="7">
        <v>31.0</v>
      </c>
      <c r="Q1011" s="7">
        <v>4.0</v>
      </c>
      <c r="R1011" s="7">
        <v>0.0</v>
      </c>
      <c r="S1011" s="7">
        <v>0.0</v>
      </c>
      <c r="T1011" s="7">
        <v>252.0</v>
      </c>
      <c r="U1011" s="7">
        <v>0.0</v>
      </c>
      <c r="V1011" s="7">
        <v>252.0</v>
      </c>
      <c r="W1011" s="7">
        <f>VLOOKUP($D1011,NatureChart,2,0)</f>
        <v>0.9</v>
      </c>
      <c r="X1011" s="7">
        <f>VLOOKUP($D1011,NatureChart,3,0)</f>
        <v>1</v>
      </c>
      <c r="Y1011" s="7">
        <f>VLOOKUP($D1011,NatureChart,4,0)</f>
        <v>1.1</v>
      </c>
      <c r="Z1011" s="7">
        <f>VLOOKUP($D1011,NatureChart,5,0)</f>
        <v>1</v>
      </c>
      <c r="AA1011" s="84">
        <f>VLOOKUP($D1011,NatureChart,6,0)</f>
        <v>1</v>
      </c>
      <c r="AB1011" s="84">
        <f>IF($C1011="Shedinja",1,(INT((2*VLOOKUP($C1011,DexData,5,0)+INT(Q1011/4)+K1011)/2)+60))</f>
        <v>166</v>
      </c>
      <c r="AC1011" s="84">
        <f>INT(INT((INT((2*VLOOKUP($C1011,DexData,6,0)+INT(R1011/4)+L1011)/2)+5)*W1011)*IF($E1011="Choice Band",1.5,IF(OR($E1011="Mawilite",$E1011="Medichamite",$E1011="Thick Club"),2,1)))</f>
        <v>85</v>
      </c>
      <c r="AD1011" s="84">
        <f>INT(INT((INT((2*VLOOKUP($C1011,DexData,7,0)+INT(S1011/4)+M1011)/2)+5)*X1011)*IF($E1011="Eviolite",1.5,1))</f>
        <v>105</v>
      </c>
      <c r="AE1011" s="84">
        <f>INT(INT((INT((2*VLOOKUP($C1011,DexData,9,0)+INT(T1011/4)+N1011)/2)+5)*Y1011)*IF($E1011="Choice Specs",1.5,1))</f>
        <v>194</v>
      </c>
      <c r="AF1011" s="84">
        <f>INT(INT((INT((2*VLOOKUP($C1011,DexData,10,0)+INT(U1011/4)+O1011)/2)+5)*Z1011)*IF(OR($E1011="Eviolite",$E1011="Assault Vest"),1.5,1))</f>
        <v>110</v>
      </c>
      <c r="AG1011" s="84">
        <f>INT(INT((INT((2*VLOOKUP($C1011,DexData,11,0)+INT(V1011/4)+P1011)/2)+5)*AA1011)*IF($E1011="Choice Scarf",1.5,IF($E1011="Iron Ball",0.5,1)))</f>
        <v>228</v>
      </c>
      <c r="AH1011" s="84" t="str">
        <f>VLOOKUP(VLOOKUP($C1011,DexData,3,0),Aliases!D$2:E$19,2,0)&amp;IFERROR("/"&amp;VLOOKUP(VLOOKUP($C1011,DexData,4,0),Aliases!D$2:E$19,2,0),"")</f>
        <v>ELC/FLY</v>
      </c>
      <c r="AI1011" s="7">
        <v>3.0</v>
      </c>
      <c r="AJ1011" s="7">
        <f>IF(VLOOKUP(B1011,'Set Odds'!A$2:AN$1067,40,0),1,IF(VLOOKUP(B1011,'Set Odds'!A$2:AO$1067,41,0),2,0))</f>
        <v>2</v>
      </c>
      <c r="AK1011" s="87" t="s">
        <v>4619</v>
      </c>
      <c r="AL1011" s="7" t="str">
        <f t="shared" si="1"/>
        <v/>
      </c>
    </row>
    <row r="1012" ht="12.75" customHeight="1">
      <c r="A1012" s="86">
        <v>1011.0</v>
      </c>
      <c r="B1012" s="84" t="s">
        <v>4626</v>
      </c>
      <c r="C1012" s="7" t="s">
        <v>4627</v>
      </c>
      <c r="D1012" s="7" t="s">
        <v>2862</v>
      </c>
      <c r="E1012" s="7" t="s">
        <v>2636</v>
      </c>
      <c r="F1012" s="84" t="s">
        <v>3617</v>
      </c>
      <c r="G1012" s="84" t="s">
        <v>3435</v>
      </c>
      <c r="H1012" s="84" t="s">
        <v>3523</v>
      </c>
      <c r="I1012" s="84" t="s">
        <v>2732</v>
      </c>
      <c r="J1012" s="7" t="s">
        <v>2714</v>
      </c>
      <c r="K1012" s="7">
        <v>31.0</v>
      </c>
      <c r="L1012" s="7">
        <v>0.0</v>
      </c>
      <c r="M1012" s="7">
        <v>31.0</v>
      </c>
      <c r="N1012" s="7">
        <v>31.0</v>
      </c>
      <c r="O1012" s="7">
        <v>31.0</v>
      </c>
      <c r="P1012" s="7">
        <v>31.0</v>
      </c>
      <c r="Q1012" s="7">
        <v>252.0</v>
      </c>
      <c r="R1012" s="7">
        <v>0.0</v>
      </c>
      <c r="S1012" s="7">
        <v>252.0</v>
      </c>
      <c r="T1012" s="7">
        <v>4.0</v>
      </c>
      <c r="U1012" s="7">
        <v>0.0</v>
      </c>
      <c r="V1012" s="7">
        <v>0.0</v>
      </c>
      <c r="W1012" s="7">
        <f>VLOOKUP($D1012,NatureChart,2,0)</f>
        <v>0.9</v>
      </c>
      <c r="X1012" s="7">
        <f>VLOOKUP($D1012,NatureChart,3,0)</f>
        <v>1.1</v>
      </c>
      <c r="Y1012" s="7">
        <f>VLOOKUP($D1012,NatureChart,4,0)</f>
        <v>1</v>
      </c>
      <c r="Z1012" s="7">
        <f>VLOOKUP($D1012,NatureChart,5,0)</f>
        <v>1</v>
      </c>
      <c r="AA1012" s="84">
        <f>VLOOKUP($D1012,NatureChart,6,0)</f>
        <v>1</v>
      </c>
      <c r="AB1012" s="84">
        <f>IF($C1012="Shedinja",1,(INT((2*VLOOKUP($C1012,DexData,5,0)+INT(Q1012/4)+K1012)/2)+60))</f>
        <v>157</v>
      </c>
      <c r="AC1012" s="84">
        <f>INT(INT((INT((2*VLOOKUP($C1012,DexData,6,0)+INT(R1012/4)+L1012)/2)+5)*W1012)*IF($E1012="Choice Band",1.5,IF(OR($E1012="Mawilite",$E1012="Medichamite",$E1012="Thick Club"),2,1)))</f>
        <v>63</v>
      </c>
      <c r="AD1012" s="84">
        <f>INT(INT((INT((2*VLOOKUP($C1012,DexData,7,0)+INT(S1012/4)+M1012)/2)+5)*X1012)*IF($E1012="Eviolite",1.5,1))</f>
        <v>174</v>
      </c>
      <c r="AE1012" s="84">
        <f>INT(INT((INT((2*VLOOKUP($C1012,DexData,9,0)+INT(T1012/4)+N1012)/2)+5)*Y1012)*IF($E1012="Choice Specs",1.5,1))</f>
        <v>126</v>
      </c>
      <c r="AF1012" s="84">
        <f>INT(INT((INT((2*VLOOKUP($C1012,DexData,10,0)+INT(U1012/4)+O1012)/2)+5)*Z1012)*IF(OR($E1012="Eviolite",$E1012="Assault Vest"),1.5,1))</f>
        <v>127</v>
      </c>
      <c r="AG1012" s="84">
        <f>INT(INT((INT((2*VLOOKUP($C1012,DexData,11,0)+INT(V1012/4)+P1012)/2)+5)*AA1012)*IF($E1012="Choice Scarf",1.5,IF($E1012="Iron Ball",0.5,1)))</f>
        <v>106</v>
      </c>
      <c r="AH1012" s="84" t="str">
        <f>VLOOKUP(VLOOKUP($C1012,DexData,3,0),Aliases!D$2:E$19,2,0)&amp;IFERROR("/"&amp;VLOOKUP(VLOOKUP($C1012,DexData,4,0),Aliases!D$2:E$19,2,0),"")</f>
        <v>ELC/FIR</v>
      </c>
      <c r="AI1012" s="7">
        <v>3.0</v>
      </c>
      <c r="AJ1012" s="7">
        <f>IF(VLOOKUP(B1012,'Set Odds'!A$2:AN$1067,40,0),1,IF(VLOOKUP(B1012,'Set Odds'!A$2:AO$1067,41,0),2,0))</f>
        <v>2</v>
      </c>
      <c r="AK1012" s="87" t="s">
        <v>4619</v>
      </c>
      <c r="AL1012" s="7" t="str">
        <f t="shared" si="1"/>
        <v/>
      </c>
    </row>
    <row r="1013" ht="12.75" customHeight="1">
      <c r="A1013" s="86">
        <v>1012.0</v>
      </c>
      <c r="B1013" s="84" t="s">
        <v>4628</v>
      </c>
      <c r="C1013" s="7" t="s">
        <v>3610</v>
      </c>
      <c r="D1013" s="7" t="s">
        <v>2571</v>
      </c>
      <c r="E1013" s="7" t="s">
        <v>3548</v>
      </c>
      <c r="F1013" s="84" t="s">
        <v>3454</v>
      </c>
      <c r="G1013" s="84" t="s">
        <v>2869</v>
      </c>
      <c r="H1013" s="84" t="s">
        <v>3390</v>
      </c>
      <c r="I1013" s="84" t="s">
        <v>2718</v>
      </c>
      <c r="J1013" s="7" t="s">
        <v>2590</v>
      </c>
      <c r="K1013" s="7">
        <v>31.0</v>
      </c>
      <c r="L1013" s="7">
        <v>31.0</v>
      </c>
      <c r="M1013" s="7">
        <v>31.0</v>
      </c>
      <c r="N1013" s="7">
        <v>0.0</v>
      </c>
      <c r="O1013" s="7">
        <v>31.0</v>
      </c>
      <c r="P1013" s="7">
        <v>31.0</v>
      </c>
      <c r="Q1013" s="7">
        <v>252.0</v>
      </c>
      <c r="R1013" s="7">
        <v>252.0</v>
      </c>
      <c r="S1013" s="7">
        <v>4.0</v>
      </c>
      <c r="T1013" s="7">
        <v>0.0</v>
      </c>
      <c r="U1013" s="7">
        <v>0.0</v>
      </c>
      <c r="V1013" s="7">
        <v>0.0</v>
      </c>
      <c r="W1013" s="7">
        <f>VLOOKUP($D1013,NatureChart,2,0)</f>
        <v>1.1</v>
      </c>
      <c r="X1013" s="7">
        <f>VLOOKUP($D1013,NatureChart,3,0)</f>
        <v>1</v>
      </c>
      <c r="Y1013" s="7">
        <f>VLOOKUP($D1013,NatureChart,4,0)</f>
        <v>0.9</v>
      </c>
      <c r="Z1013" s="7">
        <f>VLOOKUP($D1013,NatureChart,5,0)</f>
        <v>1</v>
      </c>
      <c r="AA1013" s="84">
        <f>VLOOKUP($D1013,NatureChart,6,0)</f>
        <v>1</v>
      </c>
      <c r="AB1013" s="84">
        <f>IF($C1013="Shedinja",1,(INT((2*VLOOKUP($C1013,DexData,5,0)+INT(Q1013/4)+K1013)/2)+60))</f>
        <v>207</v>
      </c>
      <c r="AC1013" s="84">
        <f>INT(INT((INT((2*VLOOKUP($C1013,DexData,6,0)+INT(R1013/4)+L1013)/2)+5)*W1013)*IF($E1013="Choice Band",1.5,IF(OR($E1013="Mawilite",$E1013="Medichamite",$E1013="Thick Club"),2,1)))</f>
        <v>178</v>
      </c>
      <c r="AD1013" s="84">
        <f>INT(INT((INT((2*VLOOKUP($C1013,DexData,7,0)+INT(S1013/4)+M1013)/2)+5)*X1013)*IF($E1013="Eviolite",1.5,1))</f>
        <v>111</v>
      </c>
      <c r="AE1013" s="84">
        <f>INT(INT((INT((2*VLOOKUP($C1013,DexData,9,0)+INT(T1013/4)+N1013)/2)+5)*Y1013)*IF($E1013="Choice Specs",1.5,1))</f>
        <v>81</v>
      </c>
      <c r="AF1013" s="84">
        <f>INT(INT((INT((2*VLOOKUP($C1013,DexData,10,0)+INT(U1013/4)+O1013)/2)+5)*Z1013)*IF(OR($E1013="Eviolite",$E1013="Assault Vest"),1.5,1))</f>
        <v>110</v>
      </c>
      <c r="AG1013" s="84">
        <f>INT(INT((INT((2*VLOOKUP($C1013,DexData,11,0)+INT(V1013/4)+P1013)/2)+5)*AA1013)*IF($E1013="Choice Scarf",1.5,IF($E1013="Iron Ball",0.5,1)))</f>
        <v>80</v>
      </c>
      <c r="AH1013" s="84" t="str">
        <f>VLOOKUP(VLOOKUP($C1013,DexData,3,0),Aliases!D$2:E$19,2,0)&amp;IFERROR("/"&amp;VLOOKUP(VLOOKUP($C1013,DexData,4,0),Aliases!D$2:E$19,2,0),"")</f>
        <v>WTR/GRD</v>
      </c>
      <c r="AI1013" s="7">
        <v>0.0</v>
      </c>
      <c r="AJ1013" s="7">
        <f>IF(VLOOKUP(B1013,'Set Odds'!A$2:AN$1067,40,0),1,IF(VLOOKUP(B1013,'Set Odds'!A$2:AO$1067,41,0),2,0))</f>
        <v>2</v>
      </c>
      <c r="AK1013" s="87" t="s">
        <v>4619</v>
      </c>
      <c r="AL1013" s="7" t="str">
        <f t="shared" si="1"/>
        <v/>
      </c>
    </row>
    <row r="1014" ht="12.75" customHeight="1">
      <c r="A1014" s="86">
        <v>1013.0</v>
      </c>
      <c r="B1014" s="84" t="s">
        <v>4629</v>
      </c>
      <c r="C1014" s="7" t="s">
        <v>3607</v>
      </c>
      <c r="D1014" s="7" t="s">
        <v>2571</v>
      </c>
      <c r="E1014" s="7" t="s">
        <v>2636</v>
      </c>
      <c r="F1014" s="84" t="s">
        <v>2517</v>
      </c>
      <c r="G1014" s="84" t="s">
        <v>3483</v>
      </c>
      <c r="H1014" s="84" t="s">
        <v>3608</v>
      </c>
      <c r="I1014" s="84" t="s">
        <v>2625</v>
      </c>
      <c r="J1014" s="7" t="s">
        <v>3217</v>
      </c>
      <c r="K1014" s="7">
        <v>31.0</v>
      </c>
      <c r="L1014" s="7">
        <v>31.0</v>
      </c>
      <c r="M1014" s="7">
        <v>31.0</v>
      </c>
      <c r="N1014" s="7">
        <v>0.0</v>
      </c>
      <c r="O1014" s="7">
        <v>31.0</v>
      </c>
      <c r="P1014" s="7">
        <v>31.0</v>
      </c>
      <c r="Q1014" s="7">
        <v>4.0</v>
      </c>
      <c r="R1014" s="7">
        <v>252.0</v>
      </c>
      <c r="S1014" s="7">
        <v>0.0</v>
      </c>
      <c r="T1014" s="7">
        <v>0.0</v>
      </c>
      <c r="U1014" s="7">
        <v>0.0</v>
      </c>
      <c r="V1014" s="7">
        <v>252.0</v>
      </c>
      <c r="W1014" s="7">
        <f>VLOOKUP($D1014,NatureChart,2,0)</f>
        <v>1.1</v>
      </c>
      <c r="X1014" s="7">
        <f>VLOOKUP($D1014,NatureChart,3,0)</f>
        <v>1</v>
      </c>
      <c r="Y1014" s="7">
        <f>VLOOKUP($D1014,NatureChart,4,0)</f>
        <v>0.9</v>
      </c>
      <c r="Z1014" s="7">
        <f>VLOOKUP($D1014,NatureChart,5,0)</f>
        <v>1</v>
      </c>
      <c r="AA1014" s="84">
        <f>VLOOKUP($D1014,NatureChart,6,0)</f>
        <v>1</v>
      </c>
      <c r="AB1014" s="84">
        <f>IF($C1014="Shedinja",1,(INT((2*VLOOKUP($C1014,DexData,5,0)+INT(Q1014/4)+K1014)/2)+60))</f>
        <v>156</v>
      </c>
      <c r="AC1014" s="84">
        <f>INT(INT((INT((2*VLOOKUP($C1014,DexData,6,0)+INT(R1014/4)+L1014)/2)+5)*W1014)*IF($E1014="Choice Band",1.5,IF(OR($E1014="Mawilite",$E1014="Medichamite",$E1014="Thick Club"),2,1)))</f>
        <v>189</v>
      </c>
      <c r="AD1014" s="84">
        <f>INT(INT((INT((2*VLOOKUP($C1014,DexData,7,0)+INT(S1014/4)+M1014)/2)+5)*X1014)*IF($E1014="Eviolite",1.5,1))</f>
        <v>90</v>
      </c>
      <c r="AE1014" s="84">
        <f>INT(INT((INT((2*VLOOKUP($C1014,DexData,9,0)+INT(T1014/4)+N1014)/2)+5)*Y1014)*IF($E1014="Choice Specs",1.5,1))</f>
        <v>103</v>
      </c>
      <c r="AF1014" s="84">
        <f>INT(INT((INT((2*VLOOKUP($C1014,DexData,10,0)+INT(U1014/4)+O1014)/2)+5)*Z1014)*IF(OR($E1014="Eviolite",$E1014="Assault Vest"),1.5,1))</f>
        <v>90</v>
      </c>
      <c r="AG1014" s="84">
        <f>INT(INT((INT((2*VLOOKUP($C1014,DexData,11,0)+INT(V1014/4)+P1014)/2)+5)*AA1014)*IF($E1014="Choice Scarf",1.5,IF($E1014="Iron Ball",0.5,1)))</f>
        <v>132</v>
      </c>
      <c r="AH1014" s="84" t="str">
        <f>VLOOKUP(VLOOKUP($C1014,DexData,3,0),Aliases!D$2:E$19,2,0)&amp;IFERROR("/"&amp;VLOOKUP(VLOOKUP($C1014,DexData,4,0),Aliases!D$2:E$19,2,0),"")</f>
        <v>FIR/FTG</v>
      </c>
      <c r="AI1014" s="7">
        <v>0.0</v>
      </c>
      <c r="AJ1014" s="7">
        <f>IF(VLOOKUP(B1014,'Set Odds'!A$2:AN$1067,40,0),1,IF(VLOOKUP(B1014,'Set Odds'!A$2:AO$1067,41,0),2,0))</f>
        <v>2</v>
      </c>
      <c r="AK1014" s="87" t="s">
        <v>4630</v>
      </c>
      <c r="AL1014" s="7" t="str">
        <f t="shared" si="1"/>
        <v/>
      </c>
    </row>
    <row r="1015" ht="12.75" customHeight="1">
      <c r="A1015" s="86">
        <v>1014.0</v>
      </c>
      <c r="B1015" s="84" t="s">
        <v>4631</v>
      </c>
      <c r="C1015" s="7" t="s">
        <v>4292</v>
      </c>
      <c r="D1015" s="7" t="s">
        <v>2656</v>
      </c>
      <c r="E1015" s="7" t="s">
        <v>2665</v>
      </c>
      <c r="F1015" s="84" t="s">
        <v>3341</v>
      </c>
      <c r="G1015" s="84" t="s">
        <v>3435</v>
      </c>
      <c r="H1015" s="84" t="s">
        <v>3523</v>
      </c>
      <c r="I1015" s="84" t="s">
        <v>3278</v>
      </c>
      <c r="J1015" s="7" t="s">
        <v>2714</v>
      </c>
      <c r="K1015" s="7">
        <v>31.0</v>
      </c>
      <c r="L1015" s="7">
        <v>0.0</v>
      </c>
      <c r="M1015" s="7">
        <v>31.0</v>
      </c>
      <c r="N1015" s="7">
        <v>31.0</v>
      </c>
      <c r="O1015" s="7">
        <v>31.0</v>
      </c>
      <c r="P1015" s="7">
        <v>31.0</v>
      </c>
      <c r="Q1015" s="7">
        <v>4.0</v>
      </c>
      <c r="R1015" s="7">
        <v>0.0</v>
      </c>
      <c r="S1015" s="7">
        <v>0.0</v>
      </c>
      <c r="T1015" s="7">
        <v>252.0</v>
      </c>
      <c r="U1015" s="7">
        <v>0.0</v>
      </c>
      <c r="V1015" s="7">
        <v>252.0</v>
      </c>
      <c r="W1015" s="7">
        <f>VLOOKUP($D1015,NatureChart,2,0)</f>
        <v>0.9</v>
      </c>
      <c r="X1015" s="7">
        <f>VLOOKUP($D1015,NatureChart,3,0)</f>
        <v>1</v>
      </c>
      <c r="Y1015" s="7">
        <f>VLOOKUP($D1015,NatureChart,4,0)</f>
        <v>1.1</v>
      </c>
      <c r="Z1015" s="7">
        <f>VLOOKUP($D1015,NatureChart,5,0)</f>
        <v>1</v>
      </c>
      <c r="AA1015" s="84">
        <f>VLOOKUP($D1015,NatureChart,6,0)</f>
        <v>1</v>
      </c>
      <c r="AB1015" s="84">
        <f>IF($C1015="Shedinja",1,(INT((2*VLOOKUP($C1015,DexData,5,0)+INT(Q1015/4)+K1015)/2)+60))</f>
        <v>126</v>
      </c>
      <c r="AC1015" s="84">
        <f>INT(INT((INT((2*VLOOKUP($C1015,DexData,6,0)+INT(R1015/4)+L1015)/2)+5)*W1015)*IF($E1015="Choice Band",1.5,IF(OR($E1015="Mawilite",$E1015="Medichamite",$E1015="Thick Club"),2,1)))</f>
        <v>63</v>
      </c>
      <c r="AD1015" s="84">
        <f>INT(INT((INT((2*VLOOKUP($C1015,DexData,7,0)+INT(S1015/4)+M1015)/2)+5)*X1015)*IF($E1015="Eviolite",1.5,1))</f>
        <v>127</v>
      </c>
      <c r="AE1015" s="84">
        <f>INT(INT((INT((2*VLOOKUP($C1015,DexData,9,0)+INT(T1015/4)+N1015)/2)+5)*Y1015)*IF($E1015="Choice Specs",1.5,1))</f>
        <v>172</v>
      </c>
      <c r="AF1015" s="84">
        <f>INT(INT((INT((2*VLOOKUP($C1015,DexData,10,0)+INT(U1015/4)+O1015)/2)+5)*Z1015)*IF(OR($E1015="Eviolite",$E1015="Assault Vest"),1.5,1))</f>
        <v>127</v>
      </c>
      <c r="AG1015" s="84">
        <f>INT(INT((INT((2*VLOOKUP($C1015,DexData,11,0)+INT(V1015/4)+P1015)/2)+5)*AA1015)*IF($E1015="Choice Scarf",1.5,IF($E1015="Iron Ball",0.5,1)))</f>
        <v>207</v>
      </c>
      <c r="AH1015" s="84" t="str">
        <f>VLOOKUP(VLOOKUP($C1015,DexData,3,0),Aliases!D$2:E$19,2,0)&amp;IFERROR("/"&amp;VLOOKUP(VLOOKUP($C1015,DexData,4,0),Aliases!D$2:E$19,2,0),"")</f>
        <v>ELC/WTR</v>
      </c>
      <c r="AI1015" s="7">
        <v>3.0</v>
      </c>
      <c r="AJ1015" s="7">
        <f>IF(VLOOKUP(B1015,'Set Odds'!A$2:AN$1067,40,0),1,IF(VLOOKUP(B1015,'Set Odds'!A$2:AO$1067,41,0),2,0))</f>
        <v>2</v>
      </c>
      <c r="AK1015" s="87" t="s">
        <v>4632</v>
      </c>
      <c r="AL1015" s="7" t="str">
        <f t="shared" si="1"/>
        <v/>
      </c>
    </row>
    <row r="1016" ht="12.75" customHeight="1">
      <c r="A1016" s="86">
        <v>1015.0</v>
      </c>
      <c r="B1016" s="84" t="s">
        <v>4633</v>
      </c>
      <c r="C1016" s="7" t="s">
        <v>3920</v>
      </c>
      <c r="D1016" s="7" t="s">
        <v>2656</v>
      </c>
      <c r="E1016" s="7" t="s">
        <v>3522</v>
      </c>
      <c r="F1016" s="84" t="s">
        <v>4213</v>
      </c>
      <c r="G1016" s="84" t="s">
        <v>2659</v>
      </c>
      <c r="H1016" s="84" t="s">
        <v>3590</v>
      </c>
      <c r="I1016" s="84" t="s">
        <v>3600</v>
      </c>
      <c r="J1016" s="7" t="s">
        <v>3162</v>
      </c>
      <c r="K1016" s="7">
        <v>31.0</v>
      </c>
      <c r="L1016" s="7">
        <v>0.0</v>
      </c>
      <c r="M1016" s="7">
        <v>31.0</v>
      </c>
      <c r="N1016" s="7">
        <v>31.0</v>
      </c>
      <c r="O1016" s="7">
        <v>31.0</v>
      </c>
      <c r="P1016" s="7">
        <v>31.0</v>
      </c>
      <c r="Q1016" s="7">
        <v>4.0</v>
      </c>
      <c r="R1016" s="7">
        <v>0.0</v>
      </c>
      <c r="S1016" s="7">
        <v>0.0</v>
      </c>
      <c r="T1016" s="7">
        <v>252.0</v>
      </c>
      <c r="U1016" s="7">
        <v>0.0</v>
      </c>
      <c r="V1016" s="7">
        <v>252.0</v>
      </c>
      <c r="W1016" s="7">
        <f>VLOOKUP($D1016,NatureChart,2,0)</f>
        <v>0.9</v>
      </c>
      <c r="X1016" s="7">
        <f>VLOOKUP($D1016,NatureChart,3,0)</f>
        <v>1</v>
      </c>
      <c r="Y1016" s="7">
        <f>VLOOKUP($D1016,NatureChart,4,0)</f>
        <v>1.1</v>
      </c>
      <c r="Z1016" s="7">
        <f>VLOOKUP($D1016,NatureChart,5,0)</f>
        <v>1</v>
      </c>
      <c r="AA1016" s="84">
        <f>VLOOKUP($D1016,NatureChart,6,0)</f>
        <v>1</v>
      </c>
      <c r="AB1016" s="84">
        <f>IF($C1016="Shedinja",1,(INT((2*VLOOKUP($C1016,DexData,5,0)+INT(Q1016/4)+K1016)/2)+60))</f>
        <v>151</v>
      </c>
      <c r="AC1016" s="84">
        <f>INT(INT((INT((2*VLOOKUP($C1016,DexData,6,0)+INT(R1016/4)+L1016)/2)+5)*W1016)*IF($E1016="Choice Band",1.5,IF(OR($E1016="Mawilite",$E1016="Medichamite",$E1016="Thick Club"),2,1)))</f>
        <v>90</v>
      </c>
      <c r="AD1016" s="84">
        <f>INT(INT((INT((2*VLOOKUP($C1016,DexData,7,0)+INT(S1016/4)+M1016)/2)+5)*X1016)*IF($E1016="Eviolite",1.5,1))</f>
        <v>87</v>
      </c>
      <c r="AE1016" s="84">
        <f>INT(INT((INT((2*VLOOKUP($C1016,DexData,9,0)+INT(T1016/4)+N1016)/2)+5)*Y1016)*IF($E1016="Choice Specs",1.5,1))</f>
        <v>291</v>
      </c>
      <c r="AF1016" s="84">
        <f>INT(INT((INT((2*VLOOKUP($C1016,DexData,10,0)+INT(U1016/4)+O1016)/2)+5)*Z1016)*IF(OR($E1016="Eviolite",$E1016="Assault Vest"),1.5,1))</f>
        <v>115</v>
      </c>
      <c r="AG1016" s="84">
        <f>INT(INT((INT((2*VLOOKUP($C1016,DexData,11,0)+INT(V1016/4)+P1016)/2)+5)*AA1016)*IF($E1016="Choice Scarf",1.5,IF($E1016="Iron Ball",0.5,1)))</f>
        <v>135</v>
      </c>
      <c r="AH1016" s="84" t="str">
        <f>VLOOKUP(VLOOKUP($C1016,DexData,3,0),Aliases!D$2:E$19,2,0)&amp;IFERROR("/"&amp;VLOOKUP(VLOOKUP($C1016,DexData,4,0),Aliases!D$2:E$19,2,0),"")</f>
        <v>FIR</v>
      </c>
      <c r="AI1016" s="7">
        <v>0.0</v>
      </c>
      <c r="AJ1016" s="7">
        <f>IF(VLOOKUP(B1016,'Set Odds'!A$2:AN$1067,40,0),1,IF(VLOOKUP(B1016,'Set Odds'!A$2:AO$1067,41,0),2,0))</f>
        <v>2</v>
      </c>
      <c r="AK1016" s="87" t="s">
        <v>4630</v>
      </c>
      <c r="AL1016" s="7" t="str">
        <f t="shared" si="1"/>
        <v/>
      </c>
    </row>
    <row r="1017" ht="12.75" customHeight="1">
      <c r="A1017" s="86">
        <v>1016.0</v>
      </c>
      <c r="B1017" s="84" t="s">
        <v>4634</v>
      </c>
      <c r="C1017" s="7" t="s">
        <v>3917</v>
      </c>
      <c r="D1017" s="7" t="s">
        <v>2692</v>
      </c>
      <c r="E1017" s="7" t="s">
        <v>2618</v>
      </c>
      <c r="F1017" s="84" t="s">
        <v>4056</v>
      </c>
      <c r="G1017" s="84" t="s">
        <v>3390</v>
      </c>
      <c r="H1017" s="84" t="s">
        <v>2517</v>
      </c>
      <c r="I1017" s="84" t="s">
        <v>2625</v>
      </c>
      <c r="J1017" s="7" t="s">
        <v>3918</v>
      </c>
      <c r="K1017" s="7">
        <v>31.0</v>
      </c>
      <c r="L1017" s="7">
        <v>31.0</v>
      </c>
      <c r="M1017" s="7">
        <v>31.0</v>
      </c>
      <c r="N1017" s="7">
        <v>0.0</v>
      </c>
      <c r="O1017" s="7">
        <v>31.0</v>
      </c>
      <c r="P1017" s="7">
        <v>31.0</v>
      </c>
      <c r="Q1017" s="7">
        <v>4.0</v>
      </c>
      <c r="R1017" s="7">
        <v>252.0</v>
      </c>
      <c r="S1017" s="7">
        <v>0.0</v>
      </c>
      <c r="T1017" s="7">
        <v>0.0</v>
      </c>
      <c r="U1017" s="7">
        <v>0.0</v>
      </c>
      <c r="V1017" s="7">
        <v>252.0</v>
      </c>
      <c r="W1017" s="7">
        <f>VLOOKUP($D1017,NatureChart,2,0)</f>
        <v>1</v>
      </c>
      <c r="X1017" s="7">
        <f>VLOOKUP($D1017,NatureChart,3,0)</f>
        <v>1</v>
      </c>
      <c r="Y1017" s="7">
        <f>VLOOKUP($D1017,NatureChart,4,0)</f>
        <v>0.9</v>
      </c>
      <c r="Z1017" s="7">
        <f>VLOOKUP($D1017,NatureChart,5,0)</f>
        <v>1</v>
      </c>
      <c r="AA1017" s="84">
        <f>VLOOKUP($D1017,NatureChart,6,0)</f>
        <v>1.1</v>
      </c>
      <c r="AB1017" s="84">
        <f>IF($C1017="Shedinja",1,(INT((2*VLOOKUP($C1017,DexData,5,0)+INT(Q1017/4)+K1017)/2)+60))</f>
        <v>151</v>
      </c>
      <c r="AC1017" s="84">
        <f>INT(INT((INT((2*VLOOKUP($C1017,DexData,6,0)+INT(R1017/4)+L1017)/2)+5)*W1017)*IF($E1017="Choice Band",1.5,IF(OR($E1017="Mawilite",$E1017="Medichamite",$E1017="Thick Club"),2,1)))</f>
        <v>175</v>
      </c>
      <c r="AD1017" s="84">
        <f>INT(INT((INT((2*VLOOKUP($C1017,DexData,7,0)+INT(S1017/4)+M1017)/2)+5)*X1017)*IF($E1017="Eviolite",1.5,1))</f>
        <v>87</v>
      </c>
      <c r="AE1017" s="84">
        <f>INT(INT((INT((2*VLOOKUP($C1017,DexData,9,0)+INT(T1017/4)+N1017)/2)+5)*Y1017)*IF($E1017="Choice Specs",1.5,1))</f>
        <v>90</v>
      </c>
      <c r="AF1017" s="84">
        <f>INT(INT((INT((2*VLOOKUP($C1017,DexData,10,0)+INT(U1017/4)+O1017)/2)+5)*Z1017)*IF(OR($E1017="Eviolite",$E1017="Assault Vest"),1.5,1))</f>
        <v>105</v>
      </c>
      <c r="AG1017" s="84">
        <f>INT(INT((INT((2*VLOOKUP($C1017,DexData,11,0)+INT(V1017/4)+P1017)/2)+5)*AA1017)*IF($E1017="Choice Scarf",1.5,IF($E1017="Iron Ball",0.5,1)))</f>
        <v>161</v>
      </c>
      <c r="AH1017" s="84" t="str">
        <f>VLOOKUP(VLOOKUP($C1017,DexData,3,0),Aliases!D$2:E$19,2,0)&amp;IFERROR("/"&amp;VLOOKUP(VLOOKUP($C1017,DexData,4,0),Aliases!D$2:E$19,2,0),"")</f>
        <v>ELC</v>
      </c>
      <c r="AI1017" s="7">
        <v>0.0</v>
      </c>
      <c r="AJ1017" s="7">
        <f>IF(VLOOKUP(B1017,'Set Odds'!A$2:AN$1067,40,0),1,IF(VLOOKUP(B1017,'Set Odds'!A$2:AO$1067,41,0),2,0))</f>
        <v>2</v>
      </c>
      <c r="AK1017" s="87" t="s">
        <v>4632</v>
      </c>
      <c r="AL1017" s="7" t="str">
        <f t="shared" si="1"/>
        <v/>
      </c>
    </row>
    <row r="1018" ht="12.75" customHeight="1">
      <c r="A1018" s="86">
        <v>1017.0</v>
      </c>
      <c r="B1018" s="84" t="s">
        <v>4635</v>
      </c>
      <c r="C1018" s="7" t="s">
        <v>4627</v>
      </c>
      <c r="D1018" s="7" t="s">
        <v>2656</v>
      </c>
      <c r="E1018" s="7" t="s">
        <v>2665</v>
      </c>
      <c r="F1018" s="84" t="s">
        <v>3617</v>
      </c>
      <c r="G1018" s="84" t="s">
        <v>3278</v>
      </c>
      <c r="H1018" s="84" t="s">
        <v>3523</v>
      </c>
      <c r="I1018" s="84" t="s">
        <v>2661</v>
      </c>
      <c r="J1018" s="7" t="s">
        <v>2714</v>
      </c>
      <c r="K1018" s="7">
        <v>31.0</v>
      </c>
      <c r="L1018" s="7">
        <v>0.0</v>
      </c>
      <c r="M1018" s="7">
        <v>31.0</v>
      </c>
      <c r="N1018" s="7">
        <v>31.0</v>
      </c>
      <c r="O1018" s="7">
        <v>31.0</v>
      </c>
      <c r="P1018" s="7">
        <v>31.0</v>
      </c>
      <c r="Q1018" s="7">
        <v>4.0</v>
      </c>
      <c r="R1018" s="7">
        <v>0.0</v>
      </c>
      <c r="S1018" s="7">
        <v>0.0</v>
      </c>
      <c r="T1018" s="7">
        <v>252.0</v>
      </c>
      <c r="U1018" s="7">
        <v>0.0</v>
      </c>
      <c r="V1018" s="7">
        <v>252.0</v>
      </c>
      <c r="W1018" s="7">
        <f>VLOOKUP($D1018,NatureChart,2,0)</f>
        <v>0.9</v>
      </c>
      <c r="X1018" s="7">
        <f>VLOOKUP($D1018,NatureChart,3,0)</f>
        <v>1</v>
      </c>
      <c r="Y1018" s="7">
        <f>VLOOKUP($D1018,NatureChart,4,0)</f>
        <v>1.1</v>
      </c>
      <c r="Z1018" s="7">
        <f>VLOOKUP($D1018,NatureChart,5,0)</f>
        <v>1</v>
      </c>
      <c r="AA1018" s="84">
        <f>VLOOKUP($D1018,NatureChart,6,0)</f>
        <v>1</v>
      </c>
      <c r="AB1018" s="84">
        <f>IF($C1018="Shedinja",1,(INT((2*VLOOKUP($C1018,DexData,5,0)+INT(Q1018/4)+K1018)/2)+60))</f>
        <v>126</v>
      </c>
      <c r="AC1018" s="84">
        <f>INT(INT((INT((2*VLOOKUP($C1018,DexData,6,0)+INT(R1018/4)+L1018)/2)+5)*W1018)*IF($E1018="Choice Band",1.5,IF(OR($E1018="Mawilite",$E1018="Medichamite",$E1018="Thick Club"),2,1)))</f>
        <v>63</v>
      </c>
      <c r="AD1018" s="84">
        <f>INT(INT((INT((2*VLOOKUP($C1018,DexData,7,0)+INT(S1018/4)+M1018)/2)+5)*X1018)*IF($E1018="Eviolite",1.5,1))</f>
        <v>127</v>
      </c>
      <c r="AE1018" s="84">
        <f>INT(INT((INT((2*VLOOKUP($C1018,DexData,9,0)+INT(T1018/4)+N1018)/2)+5)*Y1018)*IF($E1018="Choice Specs",1.5,1))</f>
        <v>172</v>
      </c>
      <c r="AF1018" s="84">
        <f>INT(INT((INT((2*VLOOKUP($C1018,DexData,10,0)+INT(U1018/4)+O1018)/2)+5)*Z1018)*IF(OR($E1018="Eviolite",$E1018="Assault Vest"),1.5,1))</f>
        <v>127</v>
      </c>
      <c r="AG1018" s="84">
        <f>INT(INT((INT((2*VLOOKUP($C1018,DexData,11,0)+INT(V1018/4)+P1018)/2)+5)*AA1018)*IF($E1018="Choice Scarf",1.5,IF($E1018="Iron Ball",0.5,1)))</f>
        <v>207</v>
      </c>
      <c r="AH1018" s="84" t="str">
        <f>VLOOKUP(VLOOKUP($C1018,DexData,3,0),Aliases!D$2:E$19,2,0)&amp;IFERROR("/"&amp;VLOOKUP(VLOOKUP($C1018,DexData,4,0),Aliases!D$2:E$19,2,0),"")</f>
        <v>ELC/FIR</v>
      </c>
      <c r="AI1018" s="7">
        <v>3.0</v>
      </c>
      <c r="AJ1018" s="7">
        <f>IF(VLOOKUP(B1018,'Set Odds'!A$2:AN$1067,40,0),1,IF(VLOOKUP(B1018,'Set Odds'!A$2:AO$1067,41,0),2,0))</f>
        <v>2</v>
      </c>
      <c r="AK1018" s="87" t="s">
        <v>4630</v>
      </c>
      <c r="AL1018" s="7" t="str">
        <f t="shared" si="1"/>
        <v/>
      </c>
    </row>
    <row r="1019" ht="12.75" customHeight="1">
      <c r="A1019" s="86">
        <v>1018.0</v>
      </c>
      <c r="B1019" s="84" t="s">
        <v>4636</v>
      </c>
      <c r="C1019" s="7" t="s">
        <v>3917</v>
      </c>
      <c r="D1019" s="7" t="s">
        <v>2692</v>
      </c>
      <c r="E1019" s="7" t="s">
        <v>2618</v>
      </c>
      <c r="F1019" s="84" t="s">
        <v>3135</v>
      </c>
      <c r="G1019" s="84" t="s">
        <v>3390</v>
      </c>
      <c r="H1019" s="84" t="s">
        <v>3454</v>
      </c>
      <c r="I1019" s="84" t="s">
        <v>2625</v>
      </c>
      <c r="J1019" s="7" t="s">
        <v>3918</v>
      </c>
      <c r="K1019" s="7">
        <v>31.0</v>
      </c>
      <c r="L1019" s="7">
        <v>31.0</v>
      </c>
      <c r="M1019" s="7">
        <v>31.0</v>
      </c>
      <c r="N1019" s="7">
        <v>0.0</v>
      </c>
      <c r="O1019" s="7">
        <v>31.0</v>
      </c>
      <c r="P1019" s="7">
        <v>31.0</v>
      </c>
      <c r="Q1019" s="7">
        <v>4.0</v>
      </c>
      <c r="R1019" s="7">
        <v>252.0</v>
      </c>
      <c r="S1019" s="7">
        <v>0.0</v>
      </c>
      <c r="T1019" s="7">
        <v>0.0</v>
      </c>
      <c r="U1019" s="7">
        <v>0.0</v>
      </c>
      <c r="V1019" s="7">
        <v>252.0</v>
      </c>
      <c r="W1019" s="7">
        <f>VLOOKUP($D1019,NatureChart,2,0)</f>
        <v>1</v>
      </c>
      <c r="X1019" s="7">
        <f>VLOOKUP($D1019,NatureChart,3,0)</f>
        <v>1</v>
      </c>
      <c r="Y1019" s="7">
        <f>VLOOKUP($D1019,NatureChart,4,0)</f>
        <v>0.9</v>
      </c>
      <c r="Z1019" s="7">
        <f>VLOOKUP($D1019,NatureChart,5,0)</f>
        <v>1</v>
      </c>
      <c r="AA1019" s="84">
        <f>VLOOKUP($D1019,NatureChart,6,0)</f>
        <v>1.1</v>
      </c>
      <c r="AB1019" s="84">
        <f>IF($C1019="Shedinja",1,(INT((2*VLOOKUP($C1019,DexData,5,0)+INT(Q1019/4)+K1019)/2)+60))</f>
        <v>151</v>
      </c>
      <c r="AC1019" s="84">
        <f>INT(INT((INT((2*VLOOKUP($C1019,DexData,6,0)+INT(R1019/4)+L1019)/2)+5)*W1019)*IF($E1019="Choice Band",1.5,IF(OR($E1019="Mawilite",$E1019="Medichamite",$E1019="Thick Club"),2,1)))</f>
        <v>175</v>
      </c>
      <c r="AD1019" s="84">
        <f>INT(INT((INT((2*VLOOKUP($C1019,DexData,7,0)+INT(S1019/4)+M1019)/2)+5)*X1019)*IF($E1019="Eviolite",1.5,1))</f>
        <v>87</v>
      </c>
      <c r="AE1019" s="84">
        <f>INT(INT((INT((2*VLOOKUP($C1019,DexData,9,0)+INT(T1019/4)+N1019)/2)+5)*Y1019)*IF($E1019="Choice Specs",1.5,1))</f>
        <v>90</v>
      </c>
      <c r="AF1019" s="84">
        <f>INT(INT((INT((2*VLOOKUP($C1019,DexData,10,0)+INT(U1019/4)+O1019)/2)+5)*Z1019)*IF(OR($E1019="Eviolite",$E1019="Assault Vest"),1.5,1))</f>
        <v>105</v>
      </c>
      <c r="AG1019" s="84">
        <f>INT(INT((INT((2*VLOOKUP($C1019,DexData,11,0)+INT(V1019/4)+P1019)/2)+5)*AA1019)*IF($E1019="Choice Scarf",1.5,IF($E1019="Iron Ball",0.5,1)))</f>
        <v>161</v>
      </c>
      <c r="AH1019" s="84" t="str">
        <f>VLOOKUP(VLOOKUP($C1019,DexData,3,0),Aliases!D$2:E$19,2,0)&amp;IFERROR("/"&amp;VLOOKUP(VLOOKUP($C1019,DexData,4,0),Aliases!D$2:E$19,2,0),"")</f>
        <v>ELC</v>
      </c>
      <c r="AI1019" s="7">
        <v>0.0</v>
      </c>
      <c r="AJ1019" s="7">
        <f>IF(VLOOKUP(B1019,'Set Odds'!A$2:AN$1067,40,0),1,IF(VLOOKUP(B1019,'Set Odds'!A$2:AO$1067,41,0),2,0))</f>
        <v>2</v>
      </c>
      <c r="AK1019" s="87" t="s">
        <v>4632</v>
      </c>
      <c r="AL1019" s="7" t="str">
        <f t="shared" si="1"/>
        <v/>
      </c>
    </row>
    <row r="1020" ht="12.75" customHeight="1">
      <c r="A1020" s="86">
        <v>1019.0</v>
      </c>
      <c r="B1020" s="84" t="s">
        <v>4637</v>
      </c>
      <c r="C1020" s="7" t="s">
        <v>3920</v>
      </c>
      <c r="D1020" s="7" t="s">
        <v>2656</v>
      </c>
      <c r="E1020" s="7" t="s">
        <v>2636</v>
      </c>
      <c r="F1020" s="84" t="s">
        <v>4213</v>
      </c>
      <c r="G1020" s="84" t="s">
        <v>2659</v>
      </c>
      <c r="H1020" s="84" t="s">
        <v>3590</v>
      </c>
      <c r="I1020" s="84" t="s">
        <v>3600</v>
      </c>
      <c r="J1020" s="7" t="s">
        <v>3162</v>
      </c>
      <c r="K1020" s="7">
        <v>31.0</v>
      </c>
      <c r="L1020" s="7">
        <v>0.0</v>
      </c>
      <c r="M1020" s="7">
        <v>31.0</v>
      </c>
      <c r="N1020" s="7">
        <v>31.0</v>
      </c>
      <c r="O1020" s="7">
        <v>31.0</v>
      </c>
      <c r="P1020" s="7">
        <v>31.0</v>
      </c>
      <c r="Q1020" s="7">
        <v>4.0</v>
      </c>
      <c r="R1020" s="7">
        <v>0.0</v>
      </c>
      <c r="S1020" s="7">
        <v>0.0</v>
      </c>
      <c r="T1020" s="7">
        <v>252.0</v>
      </c>
      <c r="U1020" s="7">
        <v>0.0</v>
      </c>
      <c r="V1020" s="7">
        <v>252.0</v>
      </c>
      <c r="W1020" s="7">
        <f>VLOOKUP($D1020,NatureChart,2,0)</f>
        <v>0.9</v>
      </c>
      <c r="X1020" s="7">
        <f>VLOOKUP($D1020,NatureChart,3,0)</f>
        <v>1</v>
      </c>
      <c r="Y1020" s="7">
        <f>VLOOKUP($D1020,NatureChart,4,0)</f>
        <v>1.1</v>
      </c>
      <c r="Z1020" s="7">
        <f>VLOOKUP($D1020,NatureChart,5,0)</f>
        <v>1</v>
      </c>
      <c r="AA1020" s="84">
        <f>VLOOKUP($D1020,NatureChart,6,0)</f>
        <v>1</v>
      </c>
      <c r="AB1020" s="84">
        <f>IF($C1020="Shedinja",1,(INT((2*VLOOKUP($C1020,DexData,5,0)+INT(Q1020/4)+K1020)/2)+60))</f>
        <v>151</v>
      </c>
      <c r="AC1020" s="84">
        <f>INT(INT((INT((2*VLOOKUP($C1020,DexData,6,0)+INT(R1020/4)+L1020)/2)+5)*W1020)*IF($E1020="Choice Band",1.5,IF(OR($E1020="Mawilite",$E1020="Medichamite",$E1020="Thick Club"),2,1)))</f>
        <v>90</v>
      </c>
      <c r="AD1020" s="84">
        <f>INT(INT((INT((2*VLOOKUP($C1020,DexData,7,0)+INT(S1020/4)+M1020)/2)+5)*X1020)*IF($E1020="Eviolite",1.5,1))</f>
        <v>87</v>
      </c>
      <c r="AE1020" s="84">
        <f>INT(INT((INT((2*VLOOKUP($C1020,DexData,9,0)+INT(T1020/4)+N1020)/2)+5)*Y1020)*IF($E1020="Choice Specs",1.5,1))</f>
        <v>194</v>
      </c>
      <c r="AF1020" s="84">
        <f>INT(INT((INT((2*VLOOKUP($C1020,DexData,10,0)+INT(U1020/4)+O1020)/2)+5)*Z1020)*IF(OR($E1020="Eviolite",$E1020="Assault Vest"),1.5,1))</f>
        <v>115</v>
      </c>
      <c r="AG1020" s="84">
        <f>INT(INT((INT((2*VLOOKUP($C1020,DexData,11,0)+INT(V1020/4)+P1020)/2)+5)*AA1020)*IF($E1020="Choice Scarf",1.5,IF($E1020="Iron Ball",0.5,1)))</f>
        <v>135</v>
      </c>
      <c r="AH1020" s="84" t="str">
        <f>VLOOKUP(VLOOKUP($C1020,DexData,3,0),Aliases!D$2:E$19,2,0)&amp;IFERROR("/"&amp;VLOOKUP(VLOOKUP($C1020,DexData,4,0),Aliases!D$2:E$19,2,0),"")</f>
        <v>FIR</v>
      </c>
      <c r="AI1020" s="7">
        <v>0.0</v>
      </c>
      <c r="AJ1020" s="7">
        <f>IF(VLOOKUP(B1020,'Set Odds'!A$2:AN$1067,40,0),1,IF(VLOOKUP(B1020,'Set Odds'!A$2:AO$1067,41,0),2,0))</f>
        <v>2</v>
      </c>
      <c r="AK1020" s="87" t="s">
        <v>4630</v>
      </c>
      <c r="AL1020" s="7" t="str">
        <f t="shared" si="1"/>
        <v/>
      </c>
    </row>
    <row r="1021" ht="12.75" customHeight="1">
      <c r="A1021" s="86">
        <v>1020.0</v>
      </c>
      <c r="B1021" s="84" t="s">
        <v>4638</v>
      </c>
      <c r="C1021" s="7" t="s">
        <v>4212</v>
      </c>
      <c r="D1021" s="7" t="s">
        <v>2635</v>
      </c>
      <c r="E1021" s="7" t="s">
        <v>3548</v>
      </c>
      <c r="F1021" s="84" t="s">
        <v>4213</v>
      </c>
      <c r="G1021" s="84" t="s">
        <v>3435</v>
      </c>
      <c r="H1021" s="84" t="s">
        <v>4109</v>
      </c>
      <c r="I1021" s="84" t="s">
        <v>2781</v>
      </c>
      <c r="J1021" s="7" t="s">
        <v>3136</v>
      </c>
      <c r="K1021" s="7">
        <v>31.0</v>
      </c>
      <c r="L1021" s="7">
        <v>0.0</v>
      </c>
      <c r="M1021" s="7">
        <v>31.0</v>
      </c>
      <c r="N1021" s="7">
        <v>31.0</v>
      </c>
      <c r="O1021" s="7">
        <v>31.0</v>
      </c>
      <c r="P1021" s="7">
        <v>31.0</v>
      </c>
      <c r="Q1021" s="7">
        <v>4.0</v>
      </c>
      <c r="R1021" s="7">
        <v>0.0</v>
      </c>
      <c r="S1021" s="7">
        <v>0.0</v>
      </c>
      <c r="T1021" s="7">
        <v>252.0</v>
      </c>
      <c r="U1021" s="7">
        <v>0.0</v>
      </c>
      <c r="V1021" s="7">
        <v>252.0</v>
      </c>
      <c r="W1021" s="7">
        <f>VLOOKUP($D1021,NatureChart,2,0)</f>
        <v>0.9</v>
      </c>
      <c r="X1021" s="7">
        <f>VLOOKUP($D1021,NatureChart,3,0)</f>
        <v>1</v>
      </c>
      <c r="Y1021" s="7">
        <f>VLOOKUP($D1021,NatureChart,4,0)</f>
        <v>1</v>
      </c>
      <c r="Z1021" s="7">
        <f>VLOOKUP($D1021,NatureChart,5,0)</f>
        <v>1</v>
      </c>
      <c r="AA1021" s="84">
        <f>VLOOKUP($D1021,NatureChart,6,0)</f>
        <v>1.1</v>
      </c>
      <c r="AB1021" s="84">
        <f>IF($C1021="Shedinja",1,(INT((2*VLOOKUP($C1021,DexData,5,0)+INT(Q1021/4)+K1021)/2)+60))</f>
        <v>166</v>
      </c>
      <c r="AC1021" s="84">
        <f>INT(INT((INT((2*VLOOKUP($C1021,DexData,6,0)+INT(R1021/4)+L1021)/2)+5)*W1021)*IF($E1021="Choice Band",1.5,IF(OR($E1021="Mawilite",$E1021="Medichamite",$E1021="Thick Club"),2,1)))</f>
        <v>85</v>
      </c>
      <c r="AD1021" s="84">
        <f>INT(INT((INT((2*VLOOKUP($C1021,DexData,7,0)+INT(S1021/4)+M1021)/2)+5)*X1021)*IF($E1021="Eviolite",1.5,1))</f>
        <v>105</v>
      </c>
      <c r="AE1021" s="84">
        <f>INT(INT((INT((2*VLOOKUP($C1021,DexData,9,0)+INT(T1021/4)+N1021)/2)+5)*Y1021)*IF($E1021="Choice Specs",1.5,1))</f>
        <v>177</v>
      </c>
      <c r="AF1021" s="84">
        <f>INT(INT((INT((2*VLOOKUP($C1021,DexData,10,0)+INT(U1021/4)+O1021)/2)+5)*Z1021)*IF(OR($E1021="Eviolite",$E1021="Assault Vest"),1.5,1))</f>
        <v>110</v>
      </c>
      <c r="AG1021" s="84">
        <f>INT(INT((INT((2*VLOOKUP($C1021,DexData,11,0)+INT(V1021/4)+P1021)/2)+5)*AA1021)*IF($E1021="Choice Scarf",1.5,IF($E1021="Iron Ball",0.5,1)))</f>
        <v>167</v>
      </c>
      <c r="AH1021" s="84" t="str">
        <f>VLOOKUP(VLOOKUP($C1021,DexData,3,0),Aliases!D$2:E$19,2,0)&amp;IFERROR("/"&amp;VLOOKUP(VLOOKUP($C1021,DexData,4,0),Aliases!D$2:E$19,2,0),"")</f>
        <v>ELC/FLY</v>
      </c>
      <c r="AI1021" s="7">
        <v>3.0</v>
      </c>
      <c r="AJ1021" s="7">
        <f>IF(VLOOKUP(B1021,'Set Odds'!A$2:AN$1067,40,0),1,IF(VLOOKUP(B1021,'Set Odds'!A$2:AO$1067,41,0),2,0))</f>
        <v>2</v>
      </c>
      <c r="AK1021" s="87" t="s">
        <v>4632</v>
      </c>
      <c r="AL1021" s="7" t="str">
        <f t="shared" si="1"/>
        <v/>
      </c>
    </row>
    <row r="1022" ht="12.75" customHeight="1">
      <c r="A1022" s="86">
        <v>1021.0</v>
      </c>
      <c r="B1022" s="84" t="s">
        <v>4639</v>
      </c>
      <c r="C1022" s="7" t="s">
        <v>3616</v>
      </c>
      <c r="D1022" s="7" t="s">
        <v>2692</v>
      </c>
      <c r="E1022" s="7" t="s">
        <v>2515</v>
      </c>
      <c r="F1022" s="84" t="s">
        <v>2513</v>
      </c>
      <c r="G1022" s="84" t="s">
        <v>3160</v>
      </c>
      <c r="H1022" s="84" t="s">
        <v>3135</v>
      </c>
      <c r="I1022" s="84" t="s">
        <v>3483</v>
      </c>
      <c r="J1022" s="7" t="s">
        <v>3487</v>
      </c>
      <c r="K1022" s="7">
        <v>31.0</v>
      </c>
      <c r="L1022" s="7">
        <v>31.0</v>
      </c>
      <c r="M1022" s="7">
        <v>31.0</v>
      </c>
      <c r="N1022" s="7">
        <v>0.0</v>
      </c>
      <c r="O1022" s="7">
        <v>31.0</v>
      </c>
      <c r="P1022" s="7">
        <v>31.0</v>
      </c>
      <c r="Q1022" s="7">
        <v>4.0</v>
      </c>
      <c r="R1022" s="7">
        <v>252.0</v>
      </c>
      <c r="S1022" s="7">
        <v>0.0</v>
      </c>
      <c r="T1022" s="7">
        <v>0.0</v>
      </c>
      <c r="U1022" s="7">
        <v>0.0</v>
      </c>
      <c r="V1022" s="7">
        <v>252.0</v>
      </c>
      <c r="W1022" s="7">
        <f>VLOOKUP($D1022,NatureChart,2,0)</f>
        <v>1</v>
      </c>
      <c r="X1022" s="7">
        <f>VLOOKUP($D1022,NatureChart,3,0)</f>
        <v>1</v>
      </c>
      <c r="Y1022" s="7">
        <f>VLOOKUP($D1022,NatureChart,4,0)</f>
        <v>0.9</v>
      </c>
      <c r="Z1022" s="7">
        <f>VLOOKUP($D1022,NatureChart,5,0)</f>
        <v>1</v>
      </c>
      <c r="AA1022" s="84">
        <f>VLOOKUP($D1022,NatureChart,6,0)</f>
        <v>1.1</v>
      </c>
      <c r="AB1022" s="84">
        <f>IF($C1022="Shedinja",1,(INT((2*VLOOKUP($C1022,DexData,5,0)+INT(Q1022/4)+K1022)/2)+60))</f>
        <v>152</v>
      </c>
      <c r="AC1022" s="84">
        <f>INT(INT((INT((2*VLOOKUP($C1022,DexData,6,0)+INT(R1022/4)+L1022)/2)+5)*W1022)*IF($E1022="Choice Band",1.5,IF(OR($E1022="Mawilite",$E1022="Medichamite",$E1022="Thick Club"),2,1)))</f>
        <v>156</v>
      </c>
      <c r="AD1022" s="84">
        <f>INT(INT((INT((2*VLOOKUP($C1022,DexData,7,0)+INT(S1022/4)+M1022)/2)+5)*X1022)*IF($E1022="Eviolite",1.5,1))</f>
        <v>91</v>
      </c>
      <c r="AE1022" s="84">
        <f>INT(INT((INT((2*VLOOKUP($C1022,DexData,9,0)+INT(T1022/4)+N1022)/2)+5)*Y1022)*IF($E1022="Choice Specs",1.5,1))</f>
        <v>98</v>
      </c>
      <c r="AF1022" s="84">
        <f>INT(INT((INT((2*VLOOKUP($C1022,DexData,10,0)+INT(U1022/4)+O1022)/2)+5)*Z1022)*IF(OR($E1022="Eviolite",$E1022="Assault Vest"),1.5,1))</f>
        <v>91</v>
      </c>
      <c r="AG1022" s="84">
        <f>INT(INT((INT((2*VLOOKUP($C1022,DexData,11,0)+INT(V1022/4)+P1022)/2)+5)*AA1022)*IF($E1022="Choice Scarf",1.5,IF($E1022="Iron Ball",0.5,1)))</f>
        <v>176</v>
      </c>
      <c r="AH1022" s="84" t="str">
        <f>VLOOKUP(VLOOKUP($C1022,DexData,3,0),Aliases!D$2:E$19,2,0)&amp;IFERROR("/"&amp;VLOOKUP(VLOOKUP($C1022,DexData,4,0),Aliases!D$2:E$19,2,0),"")</f>
        <v>FIR/FTG</v>
      </c>
      <c r="AI1022" s="7">
        <v>0.0</v>
      </c>
      <c r="AJ1022" s="7">
        <f>IF(VLOOKUP(B1022,'Set Odds'!A$2:AN$1067,40,0),1,IF(VLOOKUP(B1022,'Set Odds'!A$2:AO$1067,41,0),2,0))</f>
        <v>2</v>
      </c>
      <c r="AK1022" s="87" t="s">
        <v>4630</v>
      </c>
      <c r="AL1022" s="7" t="str">
        <f t="shared" si="1"/>
        <v/>
      </c>
    </row>
    <row r="1023" ht="12.75" customHeight="1">
      <c r="A1023" s="86">
        <v>1022.0</v>
      </c>
      <c r="B1023" s="84" t="s">
        <v>4640</v>
      </c>
      <c r="C1023" s="7" t="s">
        <v>3811</v>
      </c>
      <c r="D1023" s="7" t="s">
        <v>2635</v>
      </c>
      <c r="E1023" s="7" t="s">
        <v>2636</v>
      </c>
      <c r="F1023" s="84" t="s">
        <v>4220</v>
      </c>
      <c r="G1023" s="84" t="s">
        <v>3435</v>
      </c>
      <c r="H1023" s="84" t="s">
        <v>4641</v>
      </c>
      <c r="I1023" s="84" t="s">
        <v>2517</v>
      </c>
      <c r="J1023" s="7" t="s">
        <v>2696</v>
      </c>
      <c r="K1023" s="7">
        <v>31.0</v>
      </c>
      <c r="L1023" s="7">
        <v>0.0</v>
      </c>
      <c r="M1023" s="7">
        <v>31.0</v>
      </c>
      <c r="N1023" s="7">
        <v>31.0</v>
      </c>
      <c r="O1023" s="7">
        <v>31.0</v>
      </c>
      <c r="P1023" s="7">
        <v>31.0</v>
      </c>
      <c r="Q1023" s="7">
        <v>4.0</v>
      </c>
      <c r="R1023" s="7">
        <v>0.0</v>
      </c>
      <c r="S1023" s="7">
        <v>0.0</v>
      </c>
      <c r="T1023" s="7">
        <v>252.0</v>
      </c>
      <c r="U1023" s="7">
        <v>0.0</v>
      </c>
      <c r="V1023" s="7">
        <v>252.0</v>
      </c>
      <c r="W1023" s="7">
        <f>VLOOKUP($D1023,NatureChart,2,0)</f>
        <v>0.9</v>
      </c>
      <c r="X1023" s="7">
        <f>VLOOKUP($D1023,NatureChart,3,0)</f>
        <v>1</v>
      </c>
      <c r="Y1023" s="7">
        <f>VLOOKUP($D1023,NatureChart,4,0)</f>
        <v>1</v>
      </c>
      <c r="Z1023" s="7">
        <f>VLOOKUP($D1023,NatureChart,5,0)</f>
        <v>1</v>
      </c>
      <c r="AA1023" s="84">
        <f>VLOOKUP($D1023,NatureChart,6,0)</f>
        <v>1.1</v>
      </c>
      <c r="AB1023" s="84">
        <f>IF($C1023="Shedinja",1,(INT((2*VLOOKUP($C1023,DexData,5,0)+INT(Q1023/4)+K1023)/2)+60))</f>
        <v>156</v>
      </c>
      <c r="AC1023" s="84">
        <f>INT(INT((INT((2*VLOOKUP($C1023,DexData,6,0)+INT(R1023/4)+L1023)/2)+5)*W1023)*IF($E1023="Choice Band",1.5,IF(OR($E1023="Mawilite",$E1023="Medichamite",$E1023="Thick Club"),2,1)))</f>
        <v>112</v>
      </c>
      <c r="AD1023" s="84">
        <f>INT(INT((INT((2*VLOOKUP($C1023,DexData,7,0)+INT(S1023/4)+M1023)/2)+5)*X1023)*IF($E1023="Eviolite",1.5,1))</f>
        <v>99</v>
      </c>
      <c r="AE1023" s="84">
        <f>INT(INT((INT((2*VLOOKUP($C1023,DexData,9,0)+INT(T1023/4)+N1023)/2)+5)*Y1023)*IF($E1023="Choice Specs",1.5,1))</f>
        <v>147</v>
      </c>
      <c r="AF1023" s="84">
        <f>INT(INT((INT((2*VLOOKUP($C1023,DexData,10,0)+INT(U1023/4)+O1023)/2)+5)*Z1023)*IF(OR($E1023="Eviolite",$E1023="Assault Vest"),1.5,1))</f>
        <v>99</v>
      </c>
      <c r="AG1023" s="84">
        <f>INT(INT((INT((2*VLOOKUP($C1023,DexData,11,0)+INT(V1023/4)+P1023)/2)+5)*AA1023)*IF($E1023="Choice Scarf",1.5,IF($E1023="Iron Ball",0.5,1)))</f>
        <v>134</v>
      </c>
      <c r="AH1023" s="84" t="str">
        <f>VLOOKUP(VLOOKUP($C1023,DexData,3,0),Aliases!D$2:E$19,2,0)&amp;IFERROR("/"&amp;VLOOKUP(VLOOKUP($C1023,DexData,4,0),Aliases!D$2:E$19,2,0),"")</f>
        <v>ELC</v>
      </c>
      <c r="AI1023" s="7">
        <v>0.0</v>
      </c>
      <c r="AJ1023" s="7">
        <f>IF(VLOOKUP(B1023,'Set Odds'!A$2:AN$1067,40,0),1,IF(VLOOKUP(B1023,'Set Odds'!A$2:AO$1067,41,0),2,0))</f>
        <v>2</v>
      </c>
      <c r="AK1023" s="87" t="s">
        <v>4632</v>
      </c>
      <c r="AL1023" s="7" t="str">
        <f t="shared" si="1"/>
        <v/>
      </c>
    </row>
    <row r="1024" ht="12.75" customHeight="1">
      <c r="A1024" s="86">
        <v>1023.0</v>
      </c>
      <c r="B1024" s="84" t="s">
        <v>4642</v>
      </c>
      <c r="C1024" s="7" t="s">
        <v>4219</v>
      </c>
      <c r="D1024" s="7" t="s">
        <v>2692</v>
      </c>
      <c r="E1024" s="7" t="s">
        <v>2889</v>
      </c>
      <c r="F1024" s="84" t="s">
        <v>4429</v>
      </c>
      <c r="G1024" s="84" t="s">
        <v>3360</v>
      </c>
      <c r="H1024" s="84" t="s">
        <v>2756</v>
      </c>
      <c r="I1024" s="84" t="s">
        <v>3626</v>
      </c>
      <c r="J1024" s="7" t="s">
        <v>3233</v>
      </c>
      <c r="K1024" s="7">
        <v>31.0</v>
      </c>
      <c r="L1024" s="7">
        <v>31.0</v>
      </c>
      <c r="M1024" s="7">
        <v>31.0</v>
      </c>
      <c r="N1024" s="7">
        <v>0.0</v>
      </c>
      <c r="O1024" s="7">
        <v>31.0</v>
      </c>
      <c r="P1024" s="7">
        <v>31.0</v>
      </c>
      <c r="Q1024" s="7">
        <v>4.0</v>
      </c>
      <c r="R1024" s="7">
        <v>252.0</v>
      </c>
      <c r="S1024" s="7">
        <v>0.0</v>
      </c>
      <c r="T1024" s="7">
        <v>0.0</v>
      </c>
      <c r="U1024" s="7">
        <v>0.0</v>
      </c>
      <c r="V1024" s="7">
        <v>252.0</v>
      </c>
      <c r="W1024" s="7">
        <f>VLOOKUP($D1024,NatureChart,2,0)</f>
        <v>1</v>
      </c>
      <c r="X1024" s="7">
        <f>VLOOKUP($D1024,NatureChart,3,0)</f>
        <v>1</v>
      </c>
      <c r="Y1024" s="7">
        <f>VLOOKUP($D1024,NatureChart,4,0)</f>
        <v>0.9</v>
      </c>
      <c r="Z1024" s="7">
        <f>VLOOKUP($D1024,NatureChart,5,0)</f>
        <v>1</v>
      </c>
      <c r="AA1024" s="84">
        <f>VLOOKUP($D1024,NatureChart,6,0)</f>
        <v>1.1</v>
      </c>
      <c r="AB1024" s="84">
        <f>IF($C1024="Shedinja",1,(INT((2*VLOOKUP($C1024,DexData,5,0)+INT(Q1024/4)+K1024)/2)+60))</f>
        <v>191</v>
      </c>
      <c r="AC1024" s="84">
        <f>INT(INT((INT((2*VLOOKUP($C1024,DexData,6,0)+INT(R1024/4)+L1024)/2)+5)*W1024)*IF($E1024="Choice Band",1.5,IF(OR($E1024="Mawilite",$E1024="Medichamite",$E1024="Thick Club"),2,1)))</f>
        <v>167</v>
      </c>
      <c r="AD1024" s="84">
        <f>INT(INT((INT((2*VLOOKUP($C1024,DexData,7,0)+INT(S1024/4)+M1024)/2)+5)*X1024)*IF($E1024="Eviolite",1.5,1))</f>
        <v>105</v>
      </c>
      <c r="AE1024" s="84">
        <f>INT(INT((INT((2*VLOOKUP($C1024,DexData,9,0)+INT(T1024/4)+N1024)/2)+5)*Y1024)*IF($E1024="Choice Specs",1.5,1))</f>
        <v>85</v>
      </c>
      <c r="AF1024" s="84">
        <f>INT(INT((INT((2*VLOOKUP($C1024,DexData,10,0)+INT(U1024/4)+O1024)/2)+5)*Z1024)*IF(OR($E1024="Eviolite",$E1024="Assault Vest"),1.5,1))</f>
        <v>95</v>
      </c>
      <c r="AG1024" s="84">
        <f>INT(INT((INT((2*VLOOKUP($C1024,DexData,11,0)+INT(V1024/4)+P1024)/2)+5)*AA1024)*IF($E1024="Choice Scarf",1.5,IF($E1024="Iron Ball",0.5,1)))</f>
        <v>167</v>
      </c>
      <c r="AH1024" s="84" t="str">
        <f>VLOOKUP(VLOOKUP($C1024,DexData,3,0),Aliases!D$2:E$19,2,0)&amp;IFERROR("/"&amp;VLOOKUP(VLOOKUP($C1024,DexData,4,0),Aliases!D$2:E$19,2,0),"")</f>
        <v>FIR</v>
      </c>
      <c r="AI1024" s="7">
        <v>3.0</v>
      </c>
      <c r="AJ1024" s="7">
        <f>IF(VLOOKUP(B1024,'Set Odds'!A$2:AN$1067,40,0),1,IF(VLOOKUP(B1024,'Set Odds'!A$2:AO$1067,41,0),2,0))</f>
        <v>2</v>
      </c>
      <c r="AK1024" s="87" t="s">
        <v>4630</v>
      </c>
      <c r="AL1024" s="7" t="str">
        <f t="shared" si="1"/>
        <v/>
      </c>
    </row>
    <row r="1025" ht="12.75" customHeight="1">
      <c r="A1025" s="86">
        <v>1024.0</v>
      </c>
      <c r="B1025" s="84" t="s">
        <v>4643</v>
      </c>
      <c r="C1025" s="7" t="s">
        <v>4212</v>
      </c>
      <c r="D1025" s="7" t="s">
        <v>2635</v>
      </c>
      <c r="E1025" s="7" t="s">
        <v>3548</v>
      </c>
      <c r="F1025" s="84" t="s">
        <v>4213</v>
      </c>
      <c r="G1025" s="84" t="s">
        <v>3435</v>
      </c>
      <c r="H1025" s="84" t="s">
        <v>4109</v>
      </c>
      <c r="I1025" s="84" t="s">
        <v>2781</v>
      </c>
      <c r="J1025" s="7" t="s">
        <v>3136</v>
      </c>
      <c r="K1025" s="7">
        <v>31.0</v>
      </c>
      <c r="L1025" s="7">
        <v>0.0</v>
      </c>
      <c r="M1025" s="7">
        <v>31.0</v>
      </c>
      <c r="N1025" s="7">
        <v>31.0</v>
      </c>
      <c r="O1025" s="7">
        <v>31.0</v>
      </c>
      <c r="P1025" s="7">
        <v>31.0</v>
      </c>
      <c r="Q1025" s="7">
        <v>4.0</v>
      </c>
      <c r="R1025" s="7">
        <v>0.0</v>
      </c>
      <c r="S1025" s="7">
        <v>0.0</v>
      </c>
      <c r="T1025" s="7">
        <v>252.0</v>
      </c>
      <c r="U1025" s="7">
        <v>0.0</v>
      </c>
      <c r="V1025" s="7">
        <v>252.0</v>
      </c>
      <c r="W1025" s="7">
        <f>VLOOKUP($D1025,NatureChart,2,0)</f>
        <v>0.9</v>
      </c>
      <c r="X1025" s="7">
        <f>VLOOKUP($D1025,NatureChart,3,0)</f>
        <v>1</v>
      </c>
      <c r="Y1025" s="7">
        <f>VLOOKUP($D1025,NatureChart,4,0)</f>
        <v>1</v>
      </c>
      <c r="Z1025" s="7">
        <f>VLOOKUP($D1025,NatureChart,5,0)</f>
        <v>1</v>
      </c>
      <c r="AA1025" s="84">
        <f>VLOOKUP($D1025,NatureChart,6,0)</f>
        <v>1.1</v>
      </c>
      <c r="AB1025" s="84">
        <f>IF($C1025="Shedinja",1,(INT((2*VLOOKUP($C1025,DexData,5,0)+INT(Q1025/4)+K1025)/2)+60))</f>
        <v>166</v>
      </c>
      <c r="AC1025" s="84">
        <f>INT(INT((INT((2*VLOOKUP($C1025,DexData,6,0)+INT(R1025/4)+L1025)/2)+5)*W1025)*IF($E1025="Choice Band",1.5,IF(OR($E1025="Mawilite",$E1025="Medichamite",$E1025="Thick Club"),2,1)))</f>
        <v>85</v>
      </c>
      <c r="AD1025" s="84">
        <f>INT(INT((INT((2*VLOOKUP($C1025,DexData,7,0)+INT(S1025/4)+M1025)/2)+5)*X1025)*IF($E1025="Eviolite",1.5,1))</f>
        <v>105</v>
      </c>
      <c r="AE1025" s="84">
        <f>INT(INT((INT((2*VLOOKUP($C1025,DexData,9,0)+INT(T1025/4)+N1025)/2)+5)*Y1025)*IF($E1025="Choice Specs",1.5,1))</f>
        <v>177</v>
      </c>
      <c r="AF1025" s="84">
        <f>INT(INT((INT((2*VLOOKUP($C1025,DexData,10,0)+INT(U1025/4)+O1025)/2)+5)*Z1025)*IF(OR($E1025="Eviolite",$E1025="Assault Vest"),1.5,1))</f>
        <v>110</v>
      </c>
      <c r="AG1025" s="84">
        <f>INT(INT((INT((2*VLOOKUP($C1025,DexData,11,0)+INT(V1025/4)+P1025)/2)+5)*AA1025)*IF($E1025="Choice Scarf",1.5,IF($E1025="Iron Ball",0.5,1)))</f>
        <v>167</v>
      </c>
      <c r="AH1025" s="84" t="str">
        <f>VLOOKUP(VLOOKUP($C1025,DexData,3,0),Aliases!D$2:E$19,2,0)&amp;IFERROR("/"&amp;VLOOKUP(VLOOKUP($C1025,DexData,4,0),Aliases!D$2:E$19,2,0),"")</f>
        <v>ELC/FLY</v>
      </c>
      <c r="AI1025" s="7">
        <v>3.0</v>
      </c>
      <c r="AJ1025" s="7">
        <f>IF(VLOOKUP(B1025,'Set Odds'!A$2:AN$1067,40,0),1,IF(VLOOKUP(B1025,'Set Odds'!A$2:AO$1067,41,0),2,0))</f>
        <v>2</v>
      </c>
      <c r="AK1025" s="87" t="s">
        <v>4632</v>
      </c>
      <c r="AL1025" s="7" t="str">
        <f t="shared" si="1"/>
        <v/>
      </c>
    </row>
    <row r="1026" ht="12.75" customHeight="1">
      <c r="A1026" s="86">
        <v>1025.0</v>
      </c>
      <c r="B1026" s="84" t="s">
        <v>4644</v>
      </c>
      <c r="C1026" s="7" t="s">
        <v>3876</v>
      </c>
      <c r="D1026" s="7" t="s">
        <v>2692</v>
      </c>
      <c r="E1026" s="7" t="s">
        <v>3726</v>
      </c>
      <c r="F1026" s="84" t="s">
        <v>3483</v>
      </c>
      <c r="G1026" s="84" t="s">
        <v>3934</v>
      </c>
      <c r="H1026" s="84" t="s">
        <v>3390</v>
      </c>
      <c r="I1026" s="84" t="s">
        <v>3784</v>
      </c>
      <c r="J1026" s="7" t="s">
        <v>3233</v>
      </c>
      <c r="K1026" s="7">
        <v>31.0</v>
      </c>
      <c r="L1026" s="7">
        <v>31.0</v>
      </c>
      <c r="M1026" s="7">
        <v>31.0</v>
      </c>
      <c r="N1026" s="7">
        <v>0.0</v>
      </c>
      <c r="O1026" s="7">
        <v>31.0</v>
      </c>
      <c r="P1026" s="7">
        <v>31.0</v>
      </c>
      <c r="Q1026" s="7">
        <v>4.0</v>
      </c>
      <c r="R1026" s="7">
        <v>252.0</v>
      </c>
      <c r="S1026" s="7">
        <v>0.0</v>
      </c>
      <c r="T1026" s="7">
        <v>0.0</v>
      </c>
      <c r="U1026" s="7">
        <v>0.0</v>
      </c>
      <c r="V1026" s="7">
        <v>252.0</v>
      </c>
      <c r="W1026" s="7">
        <f>VLOOKUP($D1026,NatureChart,2,0)</f>
        <v>1</v>
      </c>
      <c r="X1026" s="7">
        <f>VLOOKUP($D1026,NatureChart,3,0)</f>
        <v>1</v>
      </c>
      <c r="Y1026" s="7">
        <f>VLOOKUP($D1026,NatureChart,4,0)</f>
        <v>0.9</v>
      </c>
      <c r="Z1026" s="7">
        <f>VLOOKUP($D1026,NatureChart,5,0)</f>
        <v>1</v>
      </c>
      <c r="AA1026" s="84">
        <f>VLOOKUP($D1026,NatureChart,6,0)</f>
        <v>1.1</v>
      </c>
      <c r="AB1026" s="84">
        <f>IF($C1026="Shedinja",1,(INT((2*VLOOKUP($C1026,DexData,5,0)+INT(Q1026/4)+K1026)/2)+60))</f>
        <v>146</v>
      </c>
      <c r="AC1026" s="84">
        <f>INT(INT((INT((2*VLOOKUP($C1026,DexData,6,0)+INT(R1026/4)+L1026)/2)+5)*W1026)*IF($E1026="Choice Band",1.5,IF(OR($E1026="Mawilite",$E1026="Medichamite",$E1026="Thick Club"),2,1)))</f>
        <v>162</v>
      </c>
      <c r="AD1026" s="84">
        <f>INT(INT((INT((2*VLOOKUP($C1026,DexData,7,0)+INT(S1026/4)+M1026)/2)+5)*X1026)*IF($E1026="Eviolite",1.5,1))</f>
        <v>90</v>
      </c>
      <c r="AE1026" s="84">
        <f>INT(INT((INT((2*VLOOKUP($C1026,DexData,9,0)+INT(T1026/4)+N1026)/2)+5)*Y1026)*IF($E1026="Choice Specs",1.5,1))</f>
        <v>108</v>
      </c>
      <c r="AF1026" s="84">
        <f>INT(INT((INT((2*VLOOKUP($C1026,DexData,10,0)+INT(U1026/4)+O1026)/2)+5)*Z1026)*IF(OR($E1026="Eviolite",$E1026="Assault Vest"),1.5,1))</f>
        <v>90</v>
      </c>
      <c r="AG1026" s="84">
        <f>INT(INT((INT((2*VLOOKUP($C1026,DexData,11,0)+INT(V1026/4)+P1026)/2)+5)*AA1026)*IF($E1026="Choice Scarf",1.5,IF($E1026="Iron Ball",0.5,1)))</f>
        <v>156</v>
      </c>
      <c r="AH1026" s="84" t="str">
        <f>VLOOKUP(VLOOKUP($C1026,DexData,3,0),Aliases!D$2:E$19,2,0)&amp;IFERROR("/"&amp;VLOOKUP(VLOOKUP($C1026,DexData,4,0),Aliases!D$2:E$19,2,0),"")</f>
        <v>FTG/STL</v>
      </c>
      <c r="AI1026" s="7">
        <v>0.0</v>
      </c>
      <c r="AJ1026" s="7">
        <f>IF(VLOOKUP(B1026,'Set Odds'!A$2:AN$1067,40,0),1,IF(VLOOKUP(B1026,'Set Odds'!A$2:AO$1067,41,0),2,0))</f>
        <v>2</v>
      </c>
      <c r="AK1026" s="87" t="s">
        <v>4645</v>
      </c>
      <c r="AL1026" s="7" t="str">
        <f t="shared" si="1"/>
        <v/>
      </c>
    </row>
    <row r="1027" ht="12.75" customHeight="1">
      <c r="A1027" s="86">
        <v>1026.0</v>
      </c>
      <c r="B1027" s="84" t="s">
        <v>4646</v>
      </c>
      <c r="C1027" s="7" t="s">
        <v>3923</v>
      </c>
      <c r="D1027" s="7" t="s">
        <v>2656</v>
      </c>
      <c r="E1027" s="7" t="s">
        <v>2665</v>
      </c>
      <c r="F1027" s="84" t="s">
        <v>3091</v>
      </c>
      <c r="G1027" s="84" t="s">
        <v>3260</v>
      </c>
      <c r="H1027" s="84" t="s">
        <v>3600</v>
      </c>
      <c r="I1027" s="84" t="s">
        <v>2631</v>
      </c>
      <c r="J1027" s="7" t="s">
        <v>2662</v>
      </c>
      <c r="K1027" s="7">
        <v>31.0</v>
      </c>
      <c r="L1027" s="7">
        <v>0.0</v>
      </c>
      <c r="M1027" s="7">
        <v>31.0</v>
      </c>
      <c r="N1027" s="7">
        <v>31.0</v>
      </c>
      <c r="O1027" s="7">
        <v>31.0</v>
      </c>
      <c r="P1027" s="7">
        <v>31.0</v>
      </c>
      <c r="Q1027" s="7">
        <v>4.0</v>
      </c>
      <c r="R1027" s="7">
        <v>0.0</v>
      </c>
      <c r="S1027" s="7">
        <v>0.0</v>
      </c>
      <c r="T1027" s="7">
        <v>252.0</v>
      </c>
      <c r="U1027" s="7">
        <v>0.0</v>
      </c>
      <c r="V1027" s="7">
        <v>252.0</v>
      </c>
      <c r="W1027" s="7">
        <f>VLOOKUP($D1027,NatureChart,2,0)</f>
        <v>0.9</v>
      </c>
      <c r="X1027" s="7">
        <f>VLOOKUP($D1027,NatureChart,3,0)</f>
        <v>1</v>
      </c>
      <c r="Y1027" s="7">
        <f>VLOOKUP($D1027,NatureChart,4,0)</f>
        <v>1.1</v>
      </c>
      <c r="Z1027" s="7">
        <f>VLOOKUP($D1027,NatureChart,5,0)</f>
        <v>1</v>
      </c>
      <c r="AA1027" s="84">
        <f>VLOOKUP($D1027,NatureChart,6,0)</f>
        <v>1</v>
      </c>
      <c r="AB1027" s="84">
        <f>IF($C1027="Shedinja",1,(INT((2*VLOOKUP($C1027,DexData,5,0)+INT(Q1027/4)+K1027)/2)+60))</f>
        <v>161</v>
      </c>
      <c r="AC1027" s="84">
        <f>INT(INT((INT((2*VLOOKUP($C1027,DexData,6,0)+INT(R1027/4)+L1027)/2)+5)*W1027)*IF($E1027="Choice Band",1.5,IF(OR($E1027="Mawilite",$E1027="Medichamite",$E1027="Thick Club"),2,1)))</f>
        <v>49</v>
      </c>
      <c r="AD1027" s="84">
        <f>INT(INT((INT((2*VLOOKUP($C1027,DexData,7,0)+INT(S1027/4)+M1027)/2)+5)*X1027)*IF($E1027="Eviolite",1.5,1))</f>
        <v>115</v>
      </c>
      <c r="AE1027" s="84">
        <f>INT(INT((INT((2*VLOOKUP($C1027,DexData,9,0)+INT(T1027/4)+N1027)/2)+5)*Y1027)*IF($E1027="Choice Specs",1.5,1))</f>
        <v>189</v>
      </c>
      <c r="AF1027" s="84">
        <f>INT(INT((INT((2*VLOOKUP($C1027,DexData,10,0)+INT(U1027/4)+O1027)/2)+5)*Z1027)*IF(OR($E1027="Eviolite",$E1027="Assault Vest"),1.5,1))</f>
        <v>135</v>
      </c>
      <c r="AG1027" s="84">
        <f>INT(INT((INT((2*VLOOKUP($C1027,DexData,11,0)+INT(V1027/4)+P1027)/2)+5)*AA1027)*IF($E1027="Choice Scarf",1.5,IF($E1027="Iron Ball",0.5,1)))</f>
        <v>198</v>
      </c>
      <c r="AH1027" s="84" t="str">
        <f>VLOOKUP(VLOOKUP($C1027,DexData,3,0),Aliases!D$2:E$19,2,0)&amp;IFERROR("/"&amp;VLOOKUP(VLOOKUP($C1027,DexData,4,0),Aliases!D$2:E$19,2,0),"")</f>
        <v>FAI/FLY</v>
      </c>
      <c r="AI1027" s="7">
        <v>0.0</v>
      </c>
      <c r="AJ1027" s="7">
        <f>IF(VLOOKUP(B1027,'Set Odds'!A$2:AN$1067,40,0),1,IF(VLOOKUP(B1027,'Set Odds'!A$2:AO$1067,41,0),2,0))</f>
        <v>2</v>
      </c>
      <c r="AK1027" s="87" t="s">
        <v>4645</v>
      </c>
      <c r="AL1027" s="7" t="str">
        <f t="shared" si="1"/>
        <v/>
      </c>
    </row>
    <row r="1028" ht="12.75" customHeight="1">
      <c r="A1028" s="86">
        <v>1027.0</v>
      </c>
      <c r="B1028" s="84" t="s">
        <v>4647</v>
      </c>
      <c r="C1028" s="7" t="s">
        <v>3936</v>
      </c>
      <c r="D1028" s="7" t="s">
        <v>2692</v>
      </c>
      <c r="E1028" s="7" t="s">
        <v>2515</v>
      </c>
      <c r="F1028" s="84" t="s">
        <v>3454</v>
      </c>
      <c r="G1028" s="84" t="s">
        <v>2762</v>
      </c>
      <c r="H1028" s="84" t="s">
        <v>3441</v>
      </c>
      <c r="I1028" s="84" t="s">
        <v>3113</v>
      </c>
      <c r="J1028" s="7" t="s">
        <v>2803</v>
      </c>
      <c r="K1028" s="7">
        <v>31.0</v>
      </c>
      <c r="L1028" s="7">
        <v>31.0</v>
      </c>
      <c r="M1028" s="7">
        <v>31.0</v>
      </c>
      <c r="N1028" s="7">
        <v>0.0</v>
      </c>
      <c r="O1028" s="7">
        <v>31.0</v>
      </c>
      <c r="P1028" s="7">
        <v>31.0</v>
      </c>
      <c r="Q1028" s="7">
        <v>4.0</v>
      </c>
      <c r="R1028" s="7">
        <v>252.0</v>
      </c>
      <c r="S1028" s="7">
        <v>0.0</v>
      </c>
      <c r="T1028" s="7">
        <v>0.0</v>
      </c>
      <c r="U1028" s="7">
        <v>0.0</v>
      </c>
      <c r="V1028" s="7">
        <v>252.0</v>
      </c>
      <c r="W1028" s="7">
        <f>VLOOKUP($D1028,NatureChart,2,0)</f>
        <v>1</v>
      </c>
      <c r="X1028" s="7">
        <f>VLOOKUP($D1028,NatureChart,3,0)</f>
        <v>1</v>
      </c>
      <c r="Y1028" s="7">
        <f>VLOOKUP($D1028,NatureChart,4,0)</f>
        <v>0.9</v>
      </c>
      <c r="Z1028" s="7">
        <f>VLOOKUP($D1028,NatureChart,5,0)</f>
        <v>1</v>
      </c>
      <c r="AA1028" s="84">
        <f>VLOOKUP($D1028,NatureChart,6,0)</f>
        <v>1.1</v>
      </c>
      <c r="AB1028" s="84">
        <f>IF($C1028="Shedinja",1,(INT((2*VLOOKUP($C1028,DexData,5,0)+INT(Q1028/4)+K1028)/2)+60))</f>
        <v>184</v>
      </c>
      <c r="AC1028" s="84">
        <f>INT(INT((INT((2*VLOOKUP($C1028,DexData,6,0)+INT(R1028/4)+L1028)/2)+5)*W1028)*IF($E1028="Choice Band",1.5,IF(OR($E1028="Mawilite",$E1028="Medichamite",$E1028="Thick Club"),2,1)))</f>
        <v>182</v>
      </c>
      <c r="AD1028" s="84">
        <f>INT(INT((INT((2*VLOOKUP($C1028,DexData,7,0)+INT(S1028/4)+M1028)/2)+5)*X1028)*IF($E1028="Eviolite",1.5,1))</f>
        <v>115</v>
      </c>
      <c r="AE1028" s="84">
        <f>INT(INT((INT((2*VLOOKUP($C1028,DexData,9,0)+INT(T1028/4)+N1028)/2)+5)*Y1028)*IF($E1028="Choice Specs",1.5,1))</f>
        <v>76</v>
      </c>
      <c r="AF1028" s="84">
        <f>INT(INT((INT((2*VLOOKUP($C1028,DexData,10,0)+INT(U1028/4)+O1028)/2)+5)*Z1028)*IF(OR($E1028="Eviolite",$E1028="Assault Vest"),1.5,1))</f>
        <v>105</v>
      </c>
      <c r="AG1028" s="84">
        <f>INT(INT((INT((2*VLOOKUP($C1028,DexData,11,0)+INT(V1028/4)+P1028)/2)+5)*AA1028)*IF($E1028="Choice Scarf",1.5,IF($E1028="Iron Ball",0.5,1)))</f>
        <v>169</v>
      </c>
      <c r="AH1028" s="84" t="str">
        <f>VLOOKUP(VLOOKUP($C1028,DexData,3,0),Aliases!D$2:E$19,2,0)&amp;IFERROR("/"&amp;VLOOKUP(VLOOKUP($C1028,DexData,4,0),Aliases!D$2:E$19,2,0),"")</f>
        <v>DRG/GRD</v>
      </c>
      <c r="AI1028" s="7">
        <v>1.0</v>
      </c>
      <c r="AJ1028" s="7">
        <f>IF(VLOOKUP(B1028,'Set Odds'!A$2:AN$1067,40,0),1,IF(VLOOKUP(B1028,'Set Odds'!A$2:AO$1067,41,0),2,0))</f>
        <v>2</v>
      </c>
      <c r="AK1028" s="87" t="s">
        <v>4645</v>
      </c>
      <c r="AL1028" s="7" t="str">
        <f t="shared" si="1"/>
        <v/>
      </c>
    </row>
    <row r="1029" ht="12.75" customHeight="1">
      <c r="A1029" s="86">
        <v>1028.0</v>
      </c>
      <c r="B1029" s="84" t="s">
        <v>4648</v>
      </c>
      <c r="C1029" s="7" t="s">
        <v>3923</v>
      </c>
      <c r="D1029" s="7" t="s">
        <v>2862</v>
      </c>
      <c r="E1029" s="7" t="s">
        <v>2685</v>
      </c>
      <c r="F1029" s="84" t="s">
        <v>2763</v>
      </c>
      <c r="G1029" s="84" t="s">
        <v>3091</v>
      </c>
      <c r="H1029" s="84" t="s">
        <v>3448</v>
      </c>
      <c r="I1029" s="84" t="s">
        <v>4072</v>
      </c>
      <c r="J1029" s="7" t="s">
        <v>2662</v>
      </c>
      <c r="K1029" s="7">
        <v>31.0</v>
      </c>
      <c r="L1029" s="7">
        <v>0.0</v>
      </c>
      <c r="M1029" s="7">
        <v>31.0</v>
      </c>
      <c r="N1029" s="7">
        <v>31.0</v>
      </c>
      <c r="O1029" s="7">
        <v>31.0</v>
      </c>
      <c r="P1029" s="7">
        <v>31.0</v>
      </c>
      <c r="Q1029" s="7">
        <v>252.0</v>
      </c>
      <c r="R1029" s="7">
        <v>0.0</v>
      </c>
      <c r="S1029" s="7">
        <v>252.0</v>
      </c>
      <c r="T1029" s="7">
        <v>0.0</v>
      </c>
      <c r="U1029" s="7">
        <v>0.0</v>
      </c>
      <c r="V1029" s="7">
        <v>4.0</v>
      </c>
      <c r="W1029" s="7">
        <f>VLOOKUP($D1029,NatureChart,2,0)</f>
        <v>0.9</v>
      </c>
      <c r="X1029" s="7">
        <f>VLOOKUP($D1029,NatureChart,3,0)</f>
        <v>1.1</v>
      </c>
      <c r="Y1029" s="7">
        <f>VLOOKUP($D1029,NatureChart,4,0)</f>
        <v>1</v>
      </c>
      <c r="Z1029" s="7">
        <f>VLOOKUP($D1029,NatureChart,5,0)</f>
        <v>1</v>
      </c>
      <c r="AA1029" s="84">
        <f>VLOOKUP($D1029,NatureChart,6,0)</f>
        <v>1</v>
      </c>
      <c r="AB1029" s="84">
        <f>IF($C1029="Shedinja",1,(INT((2*VLOOKUP($C1029,DexData,5,0)+INT(Q1029/4)+K1029)/2)+60))</f>
        <v>192</v>
      </c>
      <c r="AC1029" s="84">
        <f>INT(INT((INT((2*VLOOKUP($C1029,DexData,6,0)+INT(R1029/4)+L1029)/2)+5)*W1029)*IF($E1029="Choice Band",1.5,IF(OR($E1029="Mawilite",$E1029="Medichamite",$E1029="Thick Club"),2,1)))</f>
        <v>49</v>
      </c>
      <c r="AD1029" s="84">
        <f>INT(INT((INT((2*VLOOKUP($C1029,DexData,7,0)+INT(S1029/4)+M1029)/2)+5)*X1029)*IF($E1029="Eviolite",1.5,1))</f>
        <v>161</v>
      </c>
      <c r="AE1029" s="84">
        <f>INT(INT((INT((2*VLOOKUP($C1029,DexData,9,0)+INT(T1029/4)+N1029)/2)+5)*Y1029)*IF($E1029="Choice Specs",1.5,1))</f>
        <v>140</v>
      </c>
      <c r="AF1029" s="84">
        <f>INT(INT((INT((2*VLOOKUP($C1029,DexData,10,0)+INT(U1029/4)+O1029)/2)+5)*Z1029)*IF(OR($E1029="Eviolite",$E1029="Assault Vest"),1.5,1))</f>
        <v>135</v>
      </c>
      <c r="AG1029" s="84">
        <f>INT(INT((INT((2*VLOOKUP($C1029,DexData,11,0)+INT(V1029/4)+P1029)/2)+5)*AA1029)*IF($E1029="Choice Scarf",1.5,IF($E1029="Iron Ball",0.5,1)))</f>
        <v>101</v>
      </c>
      <c r="AH1029" s="84" t="str">
        <f>VLOOKUP(VLOOKUP($C1029,DexData,3,0),Aliases!D$2:E$19,2,0)&amp;IFERROR("/"&amp;VLOOKUP(VLOOKUP($C1029,DexData,4,0),Aliases!D$2:E$19,2,0),"")</f>
        <v>FAI/FLY</v>
      </c>
      <c r="AI1029" s="7">
        <v>0.0</v>
      </c>
      <c r="AJ1029" s="7">
        <f>IF(VLOOKUP(B1029,'Set Odds'!A$2:AN$1067,40,0),1,IF(VLOOKUP(B1029,'Set Odds'!A$2:AO$1067,41,0),2,0))</f>
        <v>2</v>
      </c>
      <c r="AK1029" s="87" t="s">
        <v>4645</v>
      </c>
      <c r="AL1029" s="7" t="str">
        <f t="shared" si="1"/>
        <v/>
      </c>
    </row>
    <row r="1030" ht="12.75" customHeight="1">
      <c r="A1030" s="86">
        <v>1029.0</v>
      </c>
      <c r="B1030" s="84" t="s">
        <v>4649</v>
      </c>
      <c r="C1030" s="7" t="s">
        <v>3426</v>
      </c>
      <c r="D1030" s="7" t="s">
        <v>2862</v>
      </c>
      <c r="E1030" s="7" t="s">
        <v>3395</v>
      </c>
      <c r="F1030" s="84" t="s">
        <v>2880</v>
      </c>
      <c r="G1030" s="84" t="s">
        <v>2785</v>
      </c>
      <c r="H1030" s="84" t="s">
        <v>3168</v>
      </c>
      <c r="I1030" s="84" t="s">
        <v>3428</v>
      </c>
      <c r="J1030" s="7" t="s">
        <v>3429</v>
      </c>
      <c r="K1030" s="7">
        <v>31.0</v>
      </c>
      <c r="L1030" s="7">
        <v>0.0</v>
      </c>
      <c r="M1030" s="7">
        <v>31.0</v>
      </c>
      <c r="N1030" s="7">
        <v>31.0</v>
      </c>
      <c r="O1030" s="7">
        <v>31.0</v>
      </c>
      <c r="P1030" s="7">
        <v>31.0</v>
      </c>
      <c r="Q1030" s="7">
        <v>252.0</v>
      </c>
      <c r="R1030" s="7">
        <v>0.0</v>
      </c>
      <c r="S1030" s="7">
        <v>252.0</v>
      </c>
      <c r="T1030" s="7">
        <v>0.0</v>
      </c>
      <c r="U1030" s="7">
        <v>4.0</v>
      </c>
      <c r="V1030" s="7">
        <v>0.0</v>
      </c>
      <c r="W1030" s="7">
        <f>VLOOKUP($D1030,NatureChart,2,0)</f>
        <v>0.9</v>
      </c>
      <c r="X1030" s="7">
        <f>VLOOKUP($D1030,NatureChart,3,0)</f>
        <v>1.1</v>
      </c>
      <c r="Y1030" s="7">
        <f>VLOOKUP($D1030,NatureChart,4,0)</f>
        <v>1</v>
      </c>
      <c r="Z1030" s="7">
        <f>VLOOKUP($D1030,NatureChart,5,0)</f>
        <v>1</v>
      </c>
      <c r="AA1030" s="84">
        <f>VLOOKUP($D1030,NatureChart,6,0)</f>
        <v>1</v>
      </c>
      <c r="AB1030" s="84">
        <f>IF($C1030="Shedinja",1,(INT((2*VLOOKUP($C1030,DexData,5,0)+INT(Q1030/4)+K1030)/2)+60))</f>
        <v>202</v>
      </c>
      <c r="AC1030" s="84">
        <f>INT(INT((INT((2*VLOOKUP($C1030,DexData,6,0)+INT(R1030/4)+L1030)/2)+5)*W1030)*IF($E1030="Choice Band",1.5,IF(OR($E1030="Mawilite",$E1030="Medichamite",$E1030="Thick Club"),2,1)))</f>
        <v>58</v>
      </c>
      <c r="AD1030" s="84">
        <f>INT(INT((INT((2*VLOOKUP($C1030,DexData,7,0)+INT(S1030/4)+M1030)/2)+5)*X1030)*IF($E1030="Eviolite",1.5,1))</f>
        <v>144</v>
      </c>
      <c r="AE1030" s="84">
        <f>INT(INT((INT((2*VLOOKUP($C1030,DexData,9,0)+INT(T1030/4)+N1030)/2)+5)*Y1030)*IF($E1030="Choice Specs",1.5,1))</f>
        <v>120</v>
      </c>
      <c r="AF1030" s="84">
        <f>INT(INT((INT((2*VLOOKUP($C1030,DexData,10,0)+INT(U1030/4)+O1030)/2)+5)*Z1030)*IF(OR($E1030="Eviolite",$E1030="Assault Vest"),1.5,1))</f>
        <v>146</v>
      </c>
      <c r="AG1030" s="84">
        <f>INT(INT((INT((2*VLOOKUP($C1030,DexData,11,0)+INT(V1030/4)+P1030)/2)+5)*AA1030)*IF($E1030="Choice Scarf",1.5,IF($E1030="Iron Ball",0.5,1)))</f>
        <v>101</v>
      </c>
      <c r="AH1030" s="84" t="str">
        <f>VLOOKUP(VLOOKUP($C1030,DexData,3,0),Aliases!D$2:E$19,2,0)&amp;IFERROR("/"&amp;VLOOKUP(VLOOKUP($C1030,DexData,4,0),Aliases!D$2:E$19,2,0),"")</f>
        <v>WTR</v>
      </c>
      <c r="AI1030" s="7">
        <v>1.0</v>
      </c>
      <c r="AJ1030" s="7">
        <f>IF(VLOOKUP(B1030,'Set Odds'!A$2:AN$1067,40,0),1,IF(VLOOKUP(B1030,'Set Odds'!A$2:AO$1067,41,0),2,0))</f>
        <v>2</v>
      </c>
      <c r="AK1030" s="87" t="s">
        <v>4645</v>
      </c>
      <c r="AL1030" s="7" t="str">
        <f t="shared" si="1"/>
        <v/>
      </c>
    </row>
    <row r="1031" ht="12.75" customHeight="1">
      <c r="A1031" s="86">
        <v>1030.0</v>
      </c>
      <c r="B1031" s="84" t="s">
        <v>4650</v>
      </c>
      <c r="C1031" s="7" t="s">
        <v>3936</v>
      </c>
      <c r="D1031" s="7" t="s">
        <v>2692</v>
      </c>
      <c r="E1031" s="7" t="s">
        <v>2885</v>
      </c>
      <c r="F1031" s="84" t="s">
        <v>2762</v>
      </c>
      <c r="G1031" s="84" t="s">
        <v>3454</v>
      </c>
      <c r="H1031" s="84" t="s">
        <v>3441</v>
      </c>
      <c r="I1031" s="84" t="s">
        <v>2807</v>
      </c>
      <c r="J1031" s="7" t="s">
        <v>2803</v>
      </c>
      <c r="K1031" s="7">
        <v>31.0</v>
      </c>
      <c r="L1031" s="7">
        <v>31.0</v>
      </c>
      <c r="M1031" s="7">
        <v>31.0</v>
      </c>
      <c r="N1031" s="7">
        <v>0.0</v>
      </c>
      <c r="O1031" s="7">
        <v>31.0</v>
      </c>
      <c r="P1031" s="7">
        <v>31.0</v>
      </c>
      <c r="Q1031" s="7">
        <v>4.0</v>
      </c>
      <c r="R1031" s="7">
        <v>252.0</v>
      </c>
      <c r="S1031" s="7">
        <v>0.0</v>
      </c>
      <c r="T1031" s="7">
        <v>0.0</v>
      </c>
      <c r="U1031" s="7">
        <v>0.0</v>
      </c>
      <c r="V1031" s="7">
        <v>252.0</v>
      </c>
      <c r="W1031" s="7">
        <f>VLOOKUP($D1031,NatureChart,2,0)</f>
        <v>1</v>
      </c>
      <c r="X1031" s="7">
        <f>VLOOKUP($D1031,NatureChart,3,0)</f>
        <v>1</v>
      </c>
      <c r="Y1031" s="7">
        <f>VLOOKUP($D1031,NatureChart,4,0)</f>
        <v>0.9</v>
      </c>
      <c r="Z1031" s="7">
        <f>VLOOKUP($D1031,NatureChart,5,0)</f>
        <v>1</v>
      </c>
      <c r="AA1031" s="84">
        <f>VLOOKUP($D1031,NatureChart,6,0)</f>
        <v>1.1</v>
      </c>
      <c r="AB1031" s="84">
        <f>IF($C1031="Shedinja",1,(INT((2*VLOOKUP($C1031,DexData,5,0)+INT(Q1031/4)+K1031)/2)+60))</f>
        <v>184</v>
      </c>
      <c r="AC1031" s="84">
        <f>INT(INT((INT((2*VLOOKUP($C1031,DexData,6,0)+INT(R1031/4)+L1031)/2)+5)*W1031)*IF($E1031="Choice Band",1.5,IF(OR($E1031="Mawilite",$E1031="Medichamite",$E1031="Thick Club"),2,1)))</f>
        <v>273</v>
      </c>
      <c r="AD1031" s="84">
        <f>INT(INT((INT((2*VLOOKUP($C1031,DexData,7,0)+INT(S1031/4)+M1031)/2)+5)*X1031)*IF($E1031="Eviolite",1.5,1))</f>
        <v>115</v>
      </c>
      <c r="AE1031" s="84">
        <f>INT(INT((INT((2*VLOOKUP($C1031,DexData,9,0)+INT(T1031/4)+N1031)/2)+5)*Y1031)*IF($E1031="Choice Specs",1.5,1))</f>
        <v>76</v>
      </c>
      <c r="AF1031" s="84">
        <f>INT(INT((INT((2*VLOOKUP($C1031,DexData,10,0)+INT(U1031/4)+O1031)/2)+5)*Z1031)*IF(OR($E1031="Eviolite",$E1031="Assault Vest"),1.5,1))</f>
        <v>105</v>
      </c>
      <c r="AG1031" s="84">
        <f>INT(INT((INT((2*VLOOKUP($C1031,DexData,11,0)+INT(V1031/4)+P1031)/2)+5)*AA1031)*IF($E1031="Choice Scarf",1.5,IF($E1031="Iron Ball",0.5,1)))</f>
        <v>169</v>
      </c>
      <c r="AH1031" s="84" t="str">
        <f>VLOOKUP(VLOOKUP($C1031,DexData,3,0),Aliases!D$2:E$19,2,0)&amp;IFERROR("/"&amp;VLOOKUP(VLOOKUP($C1031,DexData,4,0),Aliases!D$2:E$19,2,0),"")</f>
        <v>DRG/GRD</v>
      </c>
      <c r="AI1031" s="7">
        <v>1.0</v>
      </c>
      <c r="AJ1031" s="7">
        <f>IF(VLOOKUP(B1031,'Set Odds'!A$2:AN$1067,40,0),1,IF(VLOOKUP(B1031,'Set Odds'!A$2:AO$1067,41,0),2,0))</f>
        <v>2</v>
      </c>
      <c r="AK1031" s="87" t="s">
        <v>4645</v>
      </c>
      <c r="AL1031" s="7" t="str">
        <f t="shared" si="1"/>
        <v/>
      </c>
    </row>
    <row r="1032" ht="12.75" customHeight="1">
      <c r="A1032" s="86">
        <v>1031.0</v>
      </c>
      <c r="B1032" s="84" t="s">
        <v>4651</v>
      </c>
      <c r="C1032" s="7" t="s">
        <v>3678</v>
      </c>
      <c r="D1032" s="7" t="s">
        <v>3597</v>
      </c>
      <c r="E1032" s="7" t="s">
        <v>2685</v>
      </c>
      <c r="F1032" s="84" t="s">
        <v>2880</v>
      </c>
      <c r="G1032" s="84" t="s">
        <v>2832</v>
      </c>
      <c r="H1032" s="84" t="s">
        <v>3168</v>
      </c>
      <c r="I1032" s="84" t="s">
        <v>3428</v>
      </c>
      <c r="J1032" s="7" t="s">
        <v>2988</v>
      </c>
      <c r="K1032" s="7">
        <v>31.0</v>
      </c>
      <c r="L1032" s="7">
        <v>0.0</v>
      </c>
      <c r="M1032" s="7">
        <v>31.0</v>
      </c>
      <c r="N1032" s="7">
        <v>31.0</v>
      </c>
      <c r="O1032" s="7">
        <v>31.0</v>
      </c>
      <c r="P1032" s="7">
        <v>31.0</v>
      </c>
      <c r="Q1032" s="7">
        <v>252.0</v>
      </c>
      <c r="R1032" s="7">
        <v>0.0</v>
      </c>
      <c r="S1032" s="7">
        <v>4.0</v>
      </c>
      <c r="T1032" s="7">
        <v>0.0</v>
      </c>
      <c r="U1032" s="7">
        <v>252.0</v>
      </c>
      <c r="V1032" s="7">
        <v>0.0</v>
      </c>
      <c r="W1032" s="7">
        <f>VLOOKUP($D1032,NatureChart,2,0)</f>
        <v>0.9</v>
      </c>
      <c r="X1032" s="7">
        <f>VLOOKUP($D1032,NatureChart,3,0)</f>
        <v>1</v>
      </c>
      <c r="Y1032" s="7">
        <f>VLOOKUP($D1032,NatureChart,4,0)</f>
        <v>1</v>
      </c>
      <c r="Z1032" s="7">
        <f>VLOOKUP($D1032,NatureChart,5,0)</f>
        <v>1.1</v>
      </c>
      <c r="AA1032" s="84">
        <f>VLOOKUP($D1032,NatureChart,6,0)</f>
        <v>1</v>
      </c>
      <c r="AB1032" s="84">
        <f>IF($C1032="Shedinja",1,(INT((2*VLOOKUP($C1032,DexData,5,0)+INT(Q1032/4)+K1032)/2)+60))</f>
        <v>218</v>
      </c>
      <c r="AC1032" s="84">
        <f>INT(INT((INT((2*VLOOKUP($C1032,DexData,6,0)+INT(R1032/4)+L1032)/2)+5)*W1032)*IF($E1032="Choice Band",1.5,IF(OR($E1032="Mawilite",$E1032="Medichamite",$E1032="Thick Club"),2,1)))</f>
        <v>79</v>
      </c>
      <c r="AD1032" s="84">
        <f>INT(INT((INT((2*VLOOKUP($C1032,DexData,7,0)+INT(S1032/4)+M1032)/2)+5)*X1032)*IF($E1032="Eviolite",1.5,1))</f>
        <v>89</v>
      </c>
      <c r="AE1032" s="84">
        <f>INT(INT((INT((2*VLOOKUP($C1032,DexData,9,0)+INT(T1032/4)+N1032)/2)+5)*Y1032)*IF($E1032="Choice Specs",1.5,1))</f>
        <v>112</v>
      </c>
      <c r="AF1032" s="84">
        <f>INT(INT((INT((2*VLOOKUP($C1032,DexData,10,0)+INT(U1032/4)+O1032)/2)+5)*Z1032)*IF(OR($E1032="Eviolite",$E1032="Assault Vest"),1.5,1))</f>
        <v>147</v>
      </c>
      <c r="AG1032" s="84">
        <f>INT(INT((INT((2*VLOOKUP($C1032,DexData,11,0)+INT(V1032/4)+P1032)/2)+5)*AA1032)*IF($E1032="Choice Scarf",1.5,IF($E1032="Iron Ball",0.5,1)))</f>
        <v>59</v>
      </c>
      <c r="AH1032" s="84" t="str">
        <f>VLOOKUP(VLOOKUP($C1032,DexData,3,0),Aliases!D$2:E$19,2,0)&amp;IFERROR("/"&amp;VLOOKUP(VLOOKUP($C1032,DexData,4,0),Aliases!D$2:E$19,2,0),"")</f>
        <v>WTR/GRD</v>
      </c>
      <c r="AI1032" s="7">
        <v>1.0</v>
      </c>
      <c r="AJ1032" s="7">
        <f>IF(VLOOKUP(B1032,'Set Odds'!A$2:AN$1067,40,0),1,IF(VLOOKUP(B1032,'Set Odds'!A$2:AO$1067,41,0),2,0))</f>
        <v>2</v>
      </c>
      <c r="AK1032" s="87" t="s">
        <v>4645</v>
      </c>
      <c r="AL1032" s="7" t="str">
        <f t="shared" si="1"/>
        <v/>
      </c>
    </row>
    <row r="1033" ht="12.75" customHeight="1">
      <c r="A1033" s="86">
        <v>1032.0</v>
      </c>
      <c r="B1033" s="84" t="s">
        <v>4652</v>
      </c>
      <c r="C1033" s="7" t="s">
        <v>3876</v>
      </c>
      <c r="D1033" s="7" t="s">
        <v>2635</v>
      </c>
      <c r="E1033" s="7" t="s">
        <v>2515</v>
      </c>
      <c r="F1033" s="84" t="s">
        <v>3590</v>
      </c>
      <c r="G1033" s="84" t="s">
        <v>3524</v>
      </c>
      <c r="H1033" s="84" t="s">
        <v>3427</v>
      </c>
      <c r="I1033" s="84" t="s">
        <v>3264</v>
      </c>
      <c r="J1033" s="7" t="s">
        <v>3233</v>
      </c>
      <c r="K1033" s="7">
        <v>31.0</v>
      </c>
      <c r="L1033" s="7">
        <v>0.0</v>
      </c>
      <c r="M1033" s="7">
        <v>31.0</v>
      </c>
      <c r="N1033" s="7">
        <v>31.0</v>
      </c>
      <c r="O1033" s="7">
        <v>31.0</v>
      </c>
      <c r="P1033" s="7">
        <v>31.0</v>
      </c>
      <c r="Q1033" s="7">
        <v>4.0</v>
      </c>
      <c r="R1033" s="7">
        <v>0.0</v>
      </c>
      <c r="S1033" s="7">
        <v>0.0</v>
      </c>
      <c r="T1033" s="7">
        <v>252.0</v>
      </c>
      <c r="U1033" s="7">
        <v>0.0</v>
      </c>
      <c r="V1033" s="7">
        <v>252.0</v>
      </c>
      <c r="W1033" s="7">
        <f>VLOOKUP($D1033,NatureChart,2,0)</f>
        <v>0.9</v>
      </c>
      <c r="X1033" s="7">
        <f>VLOOKUP($D1033,NatureChart,3,0)</f>
        <v>1</v>
      </c>
      <c r="Y1033" s="7">
        <f>VLOOKUP($D1033,NatureChart,4,0)</f>
        <v>1</v>
      </c>
      <c r="Z1033" s="7">
        <f>VLOOKUP($D1033,NatureChart,5,0)</f>
        <v>1</v>
      </c>
      <c r="AA1033" s="84">
        <f>VLOOKUP($D1033,NatureChart,6,0)</f>
        <v>1.1</v>
      </c>
      <c r="AB1033" s="84">
        <f>IF($C1033="Shedinja",1,(INT((2*VLOOKUP($C1033,DexData,5,0)+INT(Q1033/4)+K1033)/2)+60))</f>
        <v>146</v>
      </c>
      <c r="AC1033" s="84">
        <f>INT(INT((INT((2*VLOOKUP($C1033,DexData,6,0)+INT(R1033/4)+L1033)/2)+5)*W1033)*IF($E1033="Choice Band",1.5,IF(OR($E1033="Mawilite",$E1033="Medichamite",$E1033="Thick Club"),2,1)))</f>
        <v>103</v>
      </c>
      <c r="AD1033" s="84">
        <f>INT(INT((INT((2*VLOOKUP($C1033,DexData,7,0)+INT(S1033/4)+M1033)/2)+5)*X1033)*IF($E1033="Eviolite",1.5,1))</f>
        <v>90</v>
      </c>
      <c r="AE1033" s="84">
        <f>INT(INT((INT((2*VLOOKUP($C1033,DexData,9,0)+INT(T1033/4)+N1033)/2)+5)*Y1033)*IF($E1033="Choice Specs",1.5,1))</f>
        <v>167</v>
      </c>
      <c r="AF1033" s="84">
        <f>INT(INT((INT((2*VLOOKUP($C1033,DexData,10,0)+INT(U1033/4)+O1033)/2)+5)*Z1033)*IF(OR($E1033="Eviolite",$E1033="Assault Vest"),1.5,1))</f>
        <v>90</v>
      </c>
      <c r="AG1033" s="84">
        <f>INT(INT((INT((2*VLOOKUP($C1033,DexData,11,0)+INT(V1033/4)+P1033)/2)+5)*AA1033)*IF($E1033="Choice Scarf",1.5,IF($E1033="Iron Ball",0.5,1)))</f>
        <v>156</v>
      </c>
      <c r="AH1033" s="84" t="str">
        <f>VLOOKUP(VLOOKUP($C1033,DexData,3,0),Aliases!D$2:E$19,2,0)&amp;IFERROR("/"&amp;VLOOKUP(VLOOKUP($C1033,DexData,4,0),Aliases!D$2:E$19,2,0),"")</f>
        <v>FTG/STL</v>
      </c>
      <c r="AI1033" s="7">
        <v>0.0</v>
      </c>
      <c r="AJ1033" s="7">
        <f>IF(VLOOKUP(B1033,'Set Odds'!A$2:AN$1067,40,0),1,IF(VLOOKUP(B1033,'Set Odds'!A$2:AO$1067,41,0),2,0))</f>
        <v>2</v>
      </c>
      <c r="AK1033" s="87" t="s">
        <v>4645</v>
      </c>
      <c r="AL1033" s="7" t="str">
        <f t="shared" si="1"/>
        <v/>
      </c>
    </row>
    <row r="1034" ht="12.75" customHeight="1">
      <c r="A1034" s="86">
        <v>1033.0</v>
      </c>
      <c r="B1034" s="84" t="s">
        <v>4653</v>
      </c>
      <c r="C1034" s="7" t="s">
        <v>3936</v>
      </c>
      <c r="D1034" s="7" t="s">
        <v>2571</v>
      </c>
      <c r="E1034" s="7" t="s">
        <v>2665</v>
      </c>
      <c r="F1034" s="84" t="s">
        <v>2762</v>
      </c>
      <c r="G1034" s="84" t="s">
        <v>3454</v>
      </c>
      <c r="H1034" s="84" t="s">
        <v>3441</v>
      </c>
      <c r="I1034" s="84" t="s">
        <v>2807</v>
      </c>
      <c r="J1034" s="7" t="s">
        <v>2803</v>
      </c>
      <c r="K1034" s="7">
        <v>31.0</v>
      </c>
      <c r="L1034" s="7">
        <v>31.0</v>
      </c>
      <c r="M1034" s="7">
        <v>31.0</v>
      </c>
      <c r="N1034" s="7">
        <v>0.0</v>
      </c>
      <c r="O1034" s="7">
        <v>31.0</v>
      </c>
      <c r="P1034" s="7">
        <v>31.0</v>
      </c>
      <c r="Q1034" s="7">
        <v>4.0</v>
      </c>
      <c r="R1034" s="7">
        <v>252.0</v>
      </c>
      <c r="S1034" s="7">
        <v>0.0</v>
      </c>
      <c r="T1034" s="7">
        <v>0.0</v>
      </c>
      <c r="U1034" s="7">
        <v>0.0</v>
      </c>
      <c r="V1034" s="7">
        <v>252.0</v>
      </c>
      <c r="W1034" s="7">
        <f>VLOOKUP($D1034,NatureChart,2,0)</f>
        <v>1.1</v>
      </c>
      <c r="X1034" s="7">
        <f>VLOOKUP($D1034,NatureChart,3,0)</f>
        <v>1</v>
      </c>
      <c r="Y1034" s="7">
        <f>VLOOKUP($D1034,NatureChart,4,0)</f>
        <v>0.9</v>
      </c>
      <c r="Z1034" s="7">
        <f>VLOOKUP($D1034,NatureChart,5,0)</f>
        <v>1</v>
      </c>
      <c r="AA1034" s="84">
        <f>VLOOKUP($D1034,NatureChart,6,0)</f>
        <v>1</v>
      </c>
      <c r="AB1034" s="84">
        <f>IF($C1034="Shedinja",1,(INT((2*VLOOKUP($C1034,DexData,5,0)+INT(Q1034/4)+K1034)/2)+60))</f>
        <v>184</v>
      </c>
      <c r="AC1034" s="84">
        <f>INT(INT((INT((2*VLOOKUP($C1034,DexData,6,0)+INT(R1034/4)+L1034)/2)+5)*W1034)*IF($E1034="Choice Band",1.5,IF(OR($E1034="Mawilite",$E1034="Medichamite",$E1034="Thick Club"),2,1)))</f>
        <v>200</v>
      </c>
      <c r="AD1034" s="84">
        <f>INT(INT((INT((2*VLOOKUP($C1034,DexData,7,0)+INT(S1034/4)+M1034)/2)+5)*X1034)*IF($E1034="Eviolite",1.5,1))</f>
        <v>115</v>
      </c>
      <c r="AE1034" s="84">
        <f>INT(INT((INT((2*VLOOKUP($C1034,DexData,9,0)+INT(T1034/4)+N1034)/2)+5)*Y1034)*IF($E1034="Choice Specs",1.5,1))</f>
        <v>76</v>
      </c>
      <c r="AF1034" s="84">
        <f>INT(INT((INT((2*VLOOKUP($C1034,DexData,10,0)+INT(U1034/4)+O1034)/2)+5)*Z1034)*IF(OR($E1034="Eviolite",$E1034="Assault Vest"),1.5,1))</f>
        <v>105</v>
      </c>
      <c r="AG1034" s="84">
        <f>INT(INT((INT((2*VLOOKUP($C1034,DexData,11,0)+INT(V1034/4)+P1034)/2)+5)*AA1034)*IF($E1034="Choice Scarf",1.5,IF($E1034="Iron Ball",0.5,1)))</f>
        <v>231</v>
      </c>
      <c r="AH1034" s="84" t="str">
        <f>VLOOKUP(VLOOKUP($C1034,DexData,3,0),Aliases!D$2:E$19,2,0)&amp;IFERROR("/"&amp;VLOOKUP(VLOOKUP($C1034,DexData,4,0),Aliases!D$2:E$19,2,0),"")</f>
        <v>DRG/GRD</v>
      </c>
      <c r="AI1034" s="7">
        <v>1.0</v>
      </c>
      <c r="AJ1034" s="7">
        <f>IF(VLOOKUP(B1034,'Set Odds'!A$2:AN$1067,40,0),1,IF(VLOOKUP(B1034,'Set Odds'!A$2:AO$1067,41,0),2,0))</f>
        <v>2</v>
      </c>
      <c r="AK1034" s="87" t="s">
        <v>4645</v>
      </c>
      <c r="AL1034" s="7" t="str">
        <f t="shared" si="1"/>
        <v/>
      </c>
    </row>
    <row r="1035" ht="12.75" customHeight="1">
      <c r="A1035" s="86">
        <v>1034.0</v>
      </c>
      <c r="B1035" s="84" t="s">
        <v>4654</v>
      </c>
      <c r="C1035" s="7" t="s">
        <v>3670</v>
      </c>
      <c r="D1035" s="7" t="s">
        <v>2635</v>
      </c>
      <c r="E1035" s="7" t="s">
        <v>3976</v>
      </c>
      <c r="F1035" s="84" t="s">
        <v>3435</v>
      </c>
      <c r="G1035" s="84" t="s">
        <v>2863</v>
      </c>
      <c r="H1035" s="84" t="s">
        <v>2596</v>
      </c>
      <c r="I1035" s="84" t="s">
        <v>2631</v>
      </c>
      <c r="J1035" s="7" t="s">
        <v>2747</v>
      </c>
      <c r="K1035" s="7">
        <v>31.0</v>
      </c>
      <c r="L1035" s="7">
        <v>0.0</v>
      </c>
      <c r="M1035" s="7">
        <v>31.0</v>
      </c>
      <c r="N1035" s="7">
        <v>31.0</v>
      </c>
      <c r="O1035" s="7">
        <v>31.0</v>
      </c>
      <c r="P1035" s="7">
        <v>31.0</v>
      </c>
      <c r="Q1035" s="7">
        <v>4.0</v>
      </c>
      <c r="R1035" s="7">
        <v>0.0</v>
      </c>
      <c r="S1035" s="7">
        <v>0.0</v>
      </c>
      <c r="T1035" s="7">
        <v>252.0</v>
      </c>
      <c r="U1035" s="7">
        <v>0.0</v>
      </c>
      <c r="V1035" s="7">
        <v>252.0</v>
      </c>
      <c r="W1035" s="7">
        <f>VLOOKUP($D1035,NatureChart,2,0)</f>
        <v>0.9</v>
      </c>
      <c r="X1035" s="7">
        <f>VLOOKUP($D1035,NatureChart,3,0)</f>
        <v>1</v>
      </c>
      <c r="Y1035" s="7">
        <f>VLOOKUP($D1035,NatureChart,4,0)</f>
        <v>1</v>
      </c>
      <c r="Z1035" s="7">
        <f>VLOOKUP($D1035,NatureChart,5,0)</f>
        <v>1</v>
      </c>
      <c r="AA1035" s="84">
        <f>VLOOKUP($D1035,NatureChart,6,0)</f>
        <v>1.1</v>
      </c>
      <c r="AB1035" s="84">
        <f>IF($C1035="Shedinja",1,(INT((2*VLOOKUP($C1035,DexData,5,0)+INT(Q1035/4)+K1035)/2)+60))</f>
        <v>136</v>
      </c>
      <c r="AC1035" s="84">
        <f>INT(INT((INT((2*VLOOKUP($C1035,DexData,6,0)+INT(R1035/4)+L1035)/2)+5)*W1035)*IF($E1035="Choice Band",1.5,IF(OR($E1035="Mawilite",$E1035="Medichamite",$E1035="Thick Club"),2,1)))</f>
        <v>85</v>
      </c>
      <c r="AD1035" s="84">
        <f>INT(INT((INT((2*VLOOKUP($C1035,DexData,7,0)+INT(S1035/4)+M1035)/2)+5)*X1035)*IF($E1035="Eviolite",1.5,1))</f>
        <v>75</v>
      </c>
      <c r="AE1035" s="84">
        <f>INT(INT((INT((2*VLOOKUP($C1035,DexData,9,0)+INT(T1035/4)+N1035)/2)+5)*Y1035)*IF($E1035="Choice Specs",1.5,1))</f>
        <v>142</v>
      </c>
      <c r="AF1035" s="84">
        <f>INT(INT((INT((2*VLOOKUP($C1035,DexData,10,0)+INT(U1035/4)+O1035)/2)+5)*Z1035)*IF(OR($E1035="Eviolite",$E1035="Assault Vest"),1.5,1))</f>
        <v>100</v>
      </c>
      <c r="AG1035" s="84">
        <f>INT(INT((INT((2*VLOOKUP($C1035,DexData,11,0)+INT(V1035/4)+P1035)/2)+5)*AA1035)*IF($E1035="Choice Scarf",1.5,IF($E1035="Iron Ball",0.5,1)))</f>
        <v>178</v>
      </c>
      <c r="AH1035" s="84" t="str">
        <f>VLOOKUP(VLOOKUP($C1035,DexData,3,0),Aliases!D$2:E$19,2,0)&amp;IFERROR("/"&amp;VLOOKUP(VLOOKUP($C1035,DexData,4,0),Aliases!D$2:E$19,2,0),"")</f>
        <v>ELC</v>
      </c>
      <c r="AI1035" s="7">
        <v>1.0</v>
      </c>
      <c r="AJ1035" s="7">
        <f>IF(VLOOKUP(B1035,'Set Odds'!A$2:AN$1067,40,0),1,IF(VLOOKUP(B1035,'Set Odds'!A$2:AO$1067,41,0),2,0))</f>
        <v>2</v>
      </c>
      <c r="AK1035" s="87" t="s">
        <v>4655</v>
      </c>
      <c r="AL1035" s="7" t="str">
        <f t="shared" si="1"/>
        <v/>
      </c>
    </row>
    <row r="1036" ht="12.75" customHeight="1">
      <c r="A1036" s="86">
        <v>1035.0</v>
      </c>
      <c r="B1036" s="84" t="s">
        <v>4656</v>
      </c>
      <c r="C1036" s="7" t="s">
        <v>3907</v>
      </c>
      <c r="D1036" s="7" t="s">
        <v>2571</v>
      </c>
      <c r="E1036" s="7" t="s">
        <v>2636</v>
      </c>
      <c r="F1036" s="84" t="s">
        <v>2764</v>
      </c>
      <c r="G1036" s="84" t="s">
        <v>2869</v>
      </c>
      <c r="H1036" s="84" t="s">
        <v>3603</v>
      </c>
      <c r="I1036" s="84" t="s">
        <v>3472</v>
      </c>
      <c r="J1036" s="7" t="s">
        <v>2696</v>
      </c>
      <c r="K1036" s="7">
        <v>31.0</v>
      </c>
      <c r="L1036" s="7">
        <v>31.0</v>
      </c>
      <c r="M1036" s="7">
        <v>31.0</v>
      </c>
      <c r="N1036" s="7">
        <v>0.0</v>
      </c>
      <c r="O1036" s="7">
        <v>31.0</v>
      </c>
      <c r="P1036" s="7">
        <v>31.0</v>
      </c>
      <c r="Q1036" s="7">
        <v>4.0</v>
      </c>
      <c r="R1036" s="7">
        <v>252.0</v>
      </c>
      <c r="S1036" s="7">
        <v>0.0</v>
      </c>
      <c r="T1036" s="7">
        <v>0.0</v>
      </c>
      <c r="U1036" s="7">
        <v>0.0</v>
      </c>
      <c r="V1036" s="7">
        <v>252.0</v>
      </c>
      <c r="W1036" s="7">
        <f>VLOOKUP($D1036,NatureChart,2,0)</f>
        <v>1.1</v>
      </c>
      <c r="X1036" s="7">
        <f>VLOOKUP($D1036,NatureChart,3,0)</f>
        <v>1</v>
      </c>
      <c r="Y1036" s="7">
        <f>VLOOKUP($D1036,NatureChart,4,0)</f>
        <v>0.9</v>
      </c>
      <c r="Z1036" s="7">
        <f>VLOOKUP($D1036,NatureChart,5,0)</f>
        <v>1</v>
      </c>
      <c r="AA1036" s="84">
        <f>VLOOKUP($D1036,NatureChart,6,0)</f>
        <v>1</v>
      </c>
      <c r="AB1036" s="84">
        <f>IF($C1036="Shedinja",1,(INT((2*VLOOKUP($C1036,DexData,5,0)+INT(Q1036/4)+K1036)/2)+60))</f>
        <v>171</v>
      </c>
      <c r="AC1036" s="84">
        <f>INT(INT((INT((2*VLOOKUP($C1036,DexData,6,0)+INT(R1036/4)+L1036)/2)+5)*W1036)*IF($E1036="Choice Band",1.5,IF(OR($E1036="Mawilite",$E1036="Medichamite",$E1036="Thick Club"),2,1)))</f>
        <v>194</v>
      </c>
      <c r="AD1036" s="84">
        <f>INT(INT((INT((2*VLOOKUP($C1036,DexData,7,0)+INT(S1036/4)+M1036)/2)+5)*X1036)*IF($E1036="Eviolite",1.5,1))</f>
        <v>99</v>
      </c>
      <c r="AE1036" s="84">
        <f>INT(INT((INT((2*VLOOKUP($C1036,DexData,9,0)+INT(T1036/4)+N1036)/2)+5)*Y1036)*IF($E1036="Choice Specs",1.5,1))</f>
        <v>58</v>
      </c>
      <c r="AF1036" s="84">
        <f>INT(INT((INT((2*VLOOKUP($C1036,DexData,10,0)+INT(U1036/4)+O1036)/2)+5)*Z1036)*IF(OR($E1036="Eviolite",$E1036="Assault Vest"),1.5,1))</f>
        <v>120</v>
      </c>
      <c r="AG1036" s="84">
        <f>INT(INT((INT((2*VLOOKUP($C1036,DexData,11,0)+INT(V1036/4)+P1036)/2)+5)*AA1036)*IF($E1036="Choice Scarf",1.5,IF($E1036="Iron Ball",0.5,1)))</f>
        <v>133</v>
      </c>
      <c r="AH1036" s="84" t="str">
        <f>VLOOKUP(VLOOKUP($C1036,DexData,3,0),Aliases!D$2:E$19,2,0)&amp;IFERROR("/"&amp;VLOOKUP(VLOOKUP($C1036,DexData,4,0),Aliases!D$2:E$19,2,0),"")</f>
        <v>WTR/FLY</v>
      </c>
      <c r="AI1036" s="7">
        <v>0.0</v>
      </c>
      <c r="AJ1036" s="7">
        <f>IF(VLOOKUP(B1036,'Set Odds'!A$2:AN$1067,40,0),1,IF(VLOOKUP(B1036,'Set Odds'!A$2:AO$1067,41,0),2,0))</f>
        <v>2</v>
      </c>
      <c r="AK1036" s="87" t="s">
        <v>4657</v>
      </c>
      <c r="AL1036" s="7" t="str">
        <f t="shared" si="1"/>
        <v/>
      </c>
    </row>
    <row r="1037" ht="12.75" customHeight="1">
      <c r="A1037" s="86">
        <v>1036.0</v>
      </c>
      <c r="B1037" s="84" t="s">
        <v>4658</v>
      </c>
      <c r="C1037" s="7" t="s">
        <v>3805</v>
      </c>
      <c r="D1037" s="7" t="s">
        <v>2629</v>
      </c>
      <c r="E1037" s="7" t="s">
        <v>2889</v>
      </c>
      <c r="F1037" s="84" t="s">
        <v>2798</v>
      </c>
      <c r="G1037" s="84" t="s">
        <v>2539</v>
      </c>
      <c r="H1037" s="84" t="s">
        <v>3710</v>
      </c>
      <c r="I1037" s="84" t="s">
        <v>3454</v>
      </c>
      <c r="J1037" s="7" t="s">
        <v>2714</v>
      </c>
      <c r="K1037" s="7">
        <v>31.0</v>
      </c>
      <c r="L1037" s="7">
        <v>31.0</v>
      </c>
      <c r="M1037" s="7">
        <v>31.0</v>
      </c>
      <c r="N1037" s="7">
        <v>0.0</v>
      </c>
      <c r="O1037" s="7">
        <v>31.0</v>
      </c>
      <c r="P1037" s="7">
        <v>0.0</v>
      </c>
      <c r="Q1037" s="7">
        <v>252.0</v>
      </c>
      <c r="R1037" s="7">
        <v>252.0</v>
      </c>
      <c r="S1037" s="7">
        <v>4.0</v>
      </c>
      <c r="T1037" s="7">
        <v>0.0</v>
      </c>
      <c r="U1037" s="7">
        <v>0.0</v>
      </c>
      <c r="V1037" s="7">
        <v>0.0</v>
      </c>
      <c r="W1037" s="7">
        <f>VLOOKUP($D1037,NatureChart,2,0)</f>
        <v>1.1</v>
      </c>
      <c r="X1037" s="7">
        <f>VLOOKUP($D1037,NatureChart,3,0)</f>
        <v>1</v>
      </c>
      <c r="Y1037" s="7">
        <f>VLOOKUP($D1037,NatureChart,4,0)</f>
        <v>1</v>
      </c>
      <c r="Z1037" s="7">
        <f>VLOOKUP($D1037,NatureChart,5,0)</f>
        <v>1</v>
      </c>
      <c r="AA1037" s="84">
        <f>VLOOKUP($D1037,NatureChart,6,0)</f>
        <v>0.9</v>
      </c>
      <c r="AB1037" s="84">
        <f>IF($C1037="Shedinja",1,(INT((2*VLOOKUP($C1037,DexData,5,0)+INT(Q1037/4)+K1037)/2)+60))</f>
        <v>174</v>
      </c>
      <c r="AC1037" s="84">
        <f>INT(INT((INT((2*VLOOKUP($C1037,DexData,6,0)+INT(R1037/4)+L1037)/2)+5)*W1037)*IF($E1037="Choice Band",1.5,IF(OR($E1037="Mawilite",$E1037="Medichamite",$E1037="Thick Club"),2,1)))</f>
        <v>155</v>
      </c>
      <c r="AD1037" s="84">
        <f>INT(INT((INT((2*VLOOKUP($C1037,DexData,7,0)+INT(S1037/4)+M1037)/2)+5)*X1037)*IF($E1037="Eviolite",1.5,1))</f>
        <v>137</v>
      </c>
      <c r="AE1037" s="84">
        <f>INT(INT((INT((2*VLOOKUP($C1037,DexData,9,0)+INT(T1037/4)+N1037)/2)+5)*Y1037)*IF($E1037="Choice Specs",1.5,1))</f>
        <v>84</v>
      </c>
      <c r="AF1037" s="84">
        <f>INT(INT((INT((2*VLOOKUP($C1037,DexData,10,0)+INT(U1037/4)+O1037)/2)+5)*Z1037)*IF(OR($E1037="Eviolite",$E1037="Assault Vest"),1.5,1))</f>
        <v>136</v>
      </c>
      <c r="AG1037" s="84">
        <f>INT(INT((INT((2*VLOOKUP($C1037,DexData,11,0)+INT(V1037/4)+P1037)/2)+5)*AA1037)*IF($E1037="Choice Scarf",1.5,IF($E1037="Iron Ball",0.5,1)))</f>
        <v>34</v>
      </c>
      <c r="AH1037" s="84" t="str">
        <f>VLOOKUP(VLOOKUP($C1037,DexData,3,0),Aliases!D$2:E$19,2,0)&amp;IFERROR("/"&amp;VLOOKUP(VLOOKUP($C1037,DexData,4,0),Aliases!D$2:E$19,2,0),"")</f>
        <v>STL/PSY</v>
      </c>
      <c r="AI1037" s="7">
        <v>3.0</v>
      </c>
      <c r="AJ1037" s="7">
        <f>IF(VLOOKUP(B1037,'Set Odds'!A$2:AN$1067,40,0),1,IF(VLOOKUP(B1037,'Set Odds'!A$2:AO$1067,41,0),2,0))</f>
        <v>2</v>
      </c>
      <c r="AK1037" s="87" t="s">
        <v>4655</v>
      </c>
      <c r="AL1037" s="7" t="str">
        <f t="shared" si="1"/>
        <v/>
      </c>
    </row>
    <row r="1038" ht="12.75" customHeight="1">
      <c r="A1038" s="86">
        <v>1037.0</v>
      </c>
      <c r="B1038" s="84" t="s">
        <v>4659</v>
      </c>
      <c r="C1038" s="7" t="s">
        <v>3931</v>
      </c>
      <c r="D1038" s="7" t="s">
        <v>2635</v>
      </c>
      <c r="E1038" s="7" t="s">
        <v>3096</v>
      </c>
      <c r="F1038" s="84" t="s">
        <v>4213</v>
      </c>
      <c r="G1038" s="84" t="s">
        <v>4016</v>
      </c>
      <c r="H1038" s="84" t="s">
        <v>4109</v>
      </c>
      <c r="I1038" s="84" t="s">
        <v>2517</v>
      </c>
      <c r="J1038" s="7" t="s">
        <v>2696</v>
      </c>
      <c r="K1038" s="7">
        <v>31.0</v>
      </c>
      <c r="L1038" s="7">
        <v>0.0</v>
      </c>
      <c r="M1038" s="7">
        <v>31.0</v>
      </c>
      <c r="N1038" s="7">
        <v>31.0</v>
      </c>
      <c r="O1038" s="7">
        <v>31.0</v>
      </c>
      <c r="P1038" s="7">
        <v>31.0</v>
      </c>
      <c r="Q1038" s="7">
        <v>4.0</v>
      </c>
      <c r="R1038" s="7">
        <v>0.0</v>
      </c>
      <c r="S1038" s="7">
        <v>0.0</v>
      </c>
      <c r="T1038" s="7">
        <v>252.0</v>
      </c>
      <c r="U1038" s="7">
        <v>0.0</v>
      </c>
      <c r="V1038" s="7">
        <v>252.0</v>
      </c>
      <c r="W1038" s="7">
        <f>VLOOKUP($D1038,NatureChart,2,0)</f>
        <v>0.9</v>
      </c>
      <c r="X1038" s="7">
        <f>VLOOKUP($D1038,NatureChart,3,0)</f>
        <v>1</v>
      </c>
      <c r="Y1038" s="7">
        <f>VLOOKUP($D1038,NatureChart,4,0)</f>
        <v>1</v>
      </c>
      <c r="Z1038" s="7">
        <f>VLOOKUP($D1038,NatureChart,5,0)</f>
        <v>1</v>
      </c>
      <c r="AA1038" s="84">
        <f>VLOOKUP($D1038,NatureChart,6,0)</f>
        <v>1.1</v>
      </c>
      <c r="AB1038" s="84">
        <f>IF($C1038="Shedinja",1,(INT((2*VLOOKUP($C1038,DexData,5,0)+INT(Q1038/4)+K1038)/2)+60))</f>
        <v>171</v>
      </c>
      <c r="AC1038" s="84">
        <f>INT(INT((INT((2*VLOOKUP($C1038,DexData,6,0)+INT(R1038/4)+L1038)/2)+5)*W1038)*IF($E1038="Choice Band",1.5,IF(OR($E1038="Mawilite",$E1038="Medichamite",$E1038="Thick Club"),2,1)))</f>
        <v>126</v>
      </c>
      <c r="AD1038" s="84">
        <f>INT(INT((INT((2*VLOOKUP($C1038,DexData,7,0)+INT(S1038/4)+M1038)/2)+5)*X1038)*IF($E1038="Eviolite",1.5,1))</f>
        <v>100</v>
      </c>
      <c r="AE1038" s="84">
        <f>INT(INT((INT((2*VLOOKUP($C1038,DexData,9,0)+INT(T1038/4)+N1038)/2)+5)*Y1038)*IF($E1038="Choice Specs",1.5,1))</f>
        <v>162</v>
      </c>
      <c r="AF1038" s="84">
        <f>INT(INT((INT((2*VLOOKUP($C1038,DexData,10,0)+INT(U1038/4)+O1038)/2)+5)*Z1038)*IF(OR($E1038="Eviolite",$E1038="Assault Vest"),1.5,1))</f>
        <v>100</v>
      </c>
      <c r="AG1038" s="84">
        <f>INT(INT((INT((2*VLOOKUP($C1038,DexData,11,0)+INT(V1038/4)+P1038)/2)+5)*AA1038)*IF($E1038="Choice Scarf",1.5,IF($E1038="Iron Ball",0.5,1)))</f>
        <v>167</v>
      </c>
      <c r="AH1038" s="84" t="str">
        <f>VLOOKUP(VLOOKUP($C1038,DexData,3,0),Aliases!D$2:E$19,2,0)&amp;IFERROR("/"&amp;VLOOKUP(VLOOKUP($C1038,DexData,4,0),Aliases!D$2:E$19,2,0),"")</f>
        <v>DRG/FLY</v>
      </c>
      <c r="AI1038" s="7">
        <v>0.0</v>
      </c>
      <c r="AJ1038" s="7">
        <f>IF(VLOOKUP(B1038,'Set Odds'!A$2:AN$1067,40,0),1,IF(VLOOKUP(B1038,'Set Odds'!A$2:AO$1067,41,0),2,0))</f>
        <v>2</v>
      </c>
      <c r="AK1038" s="87" t="s">
        <v>4657</v>
      </c>
      <c r="AL1038" s="7" t="str">
        <f t="shared" si="1"/>
        <v/>
      </c>
    </row>
    <row r="1039" ht="12.75" customHeight="1">
      <c r="A1039" s="86">
        <v>1038.0</v>
      </c>
      <c r="B1039" s="84" t="s">
        <v>4660</v>
      </c>
      <c r="C1039" s="7" t="s">
        <v>3867</v>
      </c>
      <c r="D1039" s="7" t="s">
        <v>2635</v>
      </c>
      <c r="E1039" s="7" t="s">
        <v>3976</v>
      </c>
      <c r="F1039" s="84" t="s">
        <v>2659</v>
      </c>
      <c r="G1039" s="84" t="s">
        <v>3260</v>
      </c>
      <c r="H1039" s="84" t="s">
        <v>2863</v>
      </c>
      <c r="I1039" s="84" t="s">
        <v>2596</v>
      </c>
      <c r="J1039" s="7" t="s">
        <v>2953</v>
      </c>
      <c r="K1039" s="7">
        <v>31.0</v>
      </c>
      <c r="L1039" s="7">
        <v>0.0</v>
      </c>
      <c r="M1039" s="7">
        <v>31.0</v>
      </c>
      <c r="N1039" s="7">
        <v>31.0</v>
      </c>
      <c r="O1039" s="7">
        <v>31.0</v>
      </c>
      <c r="P1039" s="7">
        <v>31.0</v>
      </c>
      <c r="Q1039" s="7">
        <v>4.0</v>
      </c>
      <c r="R1039" s="7">
        <v>0.0</v>
      </c>
      <c r="S1039" s="7">
        <v>0.0</v>
      </c>
      <c r="T1039" s="7">
        <v>252.0</v>
      </c>
      <c r="U1039" s="7">
        <v>0.0</v>
      </c>
      <c r="V1039" s="7">
        <v>252.0</v>
      </c>
      <c r="W1039" s="7">
        <f>VLOOKUP($D1039,NatureChart,2,0)</f>
        <v>0.9</v>
      </c>
      <c r="X1039" s="7">
        <f>VLOOKUP($D1039,NatureChart,3,0)</f>
        <v>1</v>
      </c>
      <c r="Y1039" s="7">
        <f>VLOOKUP($D1039,NatureChart,4,0)</f>
        <v>1</v>
      </c>
      <c r="Z1039" s="7">
        <f>VLOOKUP($D1039,NatureChart,5,0)</f>
        <v>1</v>
      </c>
      <c r="AA1039" s="84">
        <f>VLOOKUP($D1039,NatureChart,6,0)</f>
        <v>1.1</v>
      </c>
      <c r="AB1039" s="84">
        <f>IF($C1039="Shedinja",1,(INT((2*VLOOKUP($C1039,DexData,5,0)+INT(Q1039/4)+K1039)/2)+60))</f>
        <v>141</v>
      </c>
      <c r="AC1039" s="84">
        <f>INT(INT((INT((2*VLOOKUP($C1039,DexData,6,0)+INT(R1039/4)+L1039)/2)+5)*W1039)*IF($E1039="Choice Band",1.5,IF(OR($E1039="Mawilite",$E1039="Medichamite",$E1039="Thick Club"),2,1)))</f>
        <v>63</v>
      </c>
      <c r="AD1039" s="84">
        <f>INT(INT((INT((2*VLOOKUP($C1039,DexData,7,0)+INT(S1039/4)+M1039)/2)+5)*X1039)*IF($E1039="Eviolite",1.5,1))</f>
        <v>80</v>
      </c>
      <c r="AE1039" s="84">
        <f>INT(INT((INT((2*VLOOKUP($C1039,DexData,9,0)+INT(T1039/4)+N1039)/2)+5)*Y1039)*IF($E1039="Choice Specs",1.5,1))</f>
        <v>182</v>
      </c>
      <c r="AF1039" s="84">
        <f>INT(INT((INT((2*VLOOKUP($C1039,DexData,10,0)+INT(U1039/4)+O1039)/2)+5)*Z1039)*IF(OR($E1039="Eviolite",$E1039="Assault Vest"),1.5,1))</f>
        <v>115</v>
      </c>
      <c r="AG1039" s="84">
        <f>INT(INT((INT((2*VLOOKUP($C1039,DexData,11,0)+INT(V1039/4)+P1039)/2)+5)*AA1039)*IF($E1039="Choice Scarf",1.5,IF($E1039="Iron Ball",0.5,1)))</f>
        <v>178</v>
      </c>
      <c r="AH1039" s="84" t="str">
        <f>VLOOKUP(VLOOKUP($C1039,DexData,3,0),Aliases!D$2:E$19,2,0)&amp;IFERROR("/"&amp;VLOOKUP(VLOOKUP($C1039,DexData,4,0),Aliases!D$2:E$19,2,0),"")</f>
        <v>PSY</v>
      </c>
      <c r="AI1039" s="7">
        <v>1.0</v>
      </c>
      <c r="AJ1039" s="7">
        <f>IF(VLOOKUP(B1039,'Set Odds'!A$2:AN$1067,40,0),1,IF(VLOOKUP(B1039,'Set Odds'!A$2:AO$1067,41,0),2,0))</f>
        <v>2</v>
      </c>
      <c r="AK1039" s="87" t="s">
        <v>4655</v>
      </c>
      <c r="AL1039" s="7" t="str">
        <f t="shared" si="1"/>
        <v/>
      </c>
    </row>
    <row r="1040" ht="12.75" customHeight="1">
      <c r="A1040" s="86">
        <v>1039.0</v>
      </c>
      <c r="B1040" s="84" t="s">
        <v>4661</v>
      </c>
      <c r="C1040" s="7" t="s">
        <v>3830</v>
      </c>
      <c r="D1040" s="7" t="s">
        <v>2692</v>
      </c>
      <c r="E1040" s="7" t="s">
        <v>2515</v>
      </c>
      <c r="F1040" s="84" t="s">
        <v>2513</v>
      </c>
      <c r="G1040" s="84" t="s">
        <v>3390</v>
      </c>
      <c r="H1040" s="84" t="s">
        <v>3578</v>
      </c>
      <c r="I1040" s="84" t="s">
        <v>3048</v>
      </c>
      <c r="J1040" s="7" t="s">
        <v>3392</v>
      </c>
      <c r="K1040" s="7">
        <v>31.0</v>
      </c>
      <c r="L1040" s="7">
        <v>31.0</v>
      </c>
      <c r="M1040" s="7">
        <v>31.0</v>
      </c>
      <c r="N1040" s="7">
        <v>0.0</v>
      </c>
      <c r="O1040" s="7">
        <v>31.0</v>
      </c>
      <c r="P1040" s="7">
        <v>31.0</v>
      </c>
      <c r="Q1040" s="7">
        <v>4.0</v>
      </c>
      <c r="R1040" s="7">
        <v>252.0</v>
      </c>
      <c r="S1040" s="7">
        <v>0.0</v>
      </c>
      <c r="T1040" s="7">
        <v>0.0</v>
      </c>
      <c r="U1040" s="7">
        <v>0.0</v>
      </c>
      <c r="V1040" s="7">
        <v>252.0</v>
      </c>
      <c r="W1040" s="7">
        <f>VLOOKUP($D1040,NatureChart,2,0)</f>
        <v>1</v>
      </c>
      <c r="X1040" s="7">
        <f>VLOOKUP($D1040,NatureChart,3,0)</f>
        <v>1</v>
      </c>
      <c r="Y1040" s="7">
        <f>VLOOKUP($D1040,NatureChart,4,0)</f>
        <v>0.9</v>
      </c>
      <c r="Z1040" s="7">
        <f>VLOOKUP($D1040,NatureChart,5,0)</f>
        <v>1</v>
      </c>
      <c r="AA1040" s="84">
        <f>VLOOKUP($D1040,NatureChart,6,0)</f>
        <v>1.1</v>
      </c>
      <c r="AB1040" s="84">
        <f>IF($C1040="Shedinja",1,(INT((2*VLOOKUP($C1040,DexData,5,0)+INT(Q1040/4)+K1040)/2)+60))</f>
        <v>146</v>
      </c>
      <c r="AC1040" s="84">
        <f>INT(INT((INT((2*VLOOKUP($C1040,DexData,6,0)+INT(R1040/4)+L1040)/2)+5)*W1040)*IF($E1040="Choice Band",1.5,IF(OR($E1040="Mawilite",$E1040="Medichamite",$E1040="Thick Club"),2,1)))</f>
        <v>172</v>
      </c>
      <c r="AD1040" s="84">
        <f>INT(INT((INT((2*VLOOKUP($C1040,DexData,7,0)+INT(S1040/4)+M1040)/2)+5)*X1040)*IF($E1040="Eviolite",1.5,1))</f>
        <v>85</v>
      </c>
      <c r="AE1040" s="84">
        <f>INT(INT((INT((2*VLOOKUP($C1040,DexData,9,0)+INT(T1040/4)+N1040)/2)+5)*Y1040)*IF($E1040="Choice Specs",1.5,1))</f>
        <v>45</v>
      </c>
      <c r="AF1040" s="84">
        <f>INT(INT((INT((2*VLOOKUP($C1040,DexData,10,0)+INT(U1040/4)+O1040)/2)+5)*Z1040)*IF(OR($E1040="Eviolite",$E1040="Assault Vest"),1.5,1))</f>
        <v>105</v>
      </c>
      <c r="AG1040" s="84">
        <f>INT(INT((INT((2*VLOOKUP($C1040,DexData,11,0)+INT(V1040/4)+P1040)/2)+5)*AA1040)*IF($E1040="Choice Scarf",1.5,IF($E1040="Iron Ball",0.5,1)))</f>
        <v>194</v>
      </c>
      <c r="AH1040" s="84" t="str">
        <f>VLOOKUP(VLOOKUP($C1040,DexData,3,0),Aliases!D$2:E$19,2,0)&amp;IFERROR("/"&amp;VLOOKUP(VLOOKUP($C1040,DexData,4,0),Aliases!D$2:E$19,2,0),"")</f>
        <v>DRK/ICE</v>
      </c>
      <c r="AI1040" s="7">
        <v>0.0</v>
      </c>
      <c r="AJ1040" s="7">
        <f>IF(VLOOKUP(B1040,'Set Odds'!A$2:AN$1067,40,0),1,IF(VLOOKUP(B1040,'Set Odds'!A$2:AO$1067,41,0),2,0))</f>
        <v>2</v>
      </c>
      <c r="AK1040" s="87" t="s">
        <v>4657</v>
      </c>
      <c r="AL1040" s="7" t="str">
        <f t="shared" si="1"/>
        <v/>
      </c>
    </row>
    <row r="1041" ht="12.75" customHeight="1">
      <c r="A1041" s="86">
        <v>1040.0</v>
      </c>
      <c r="B1041" s="84" t="s">
        <v>4662</v>
      </c>
      <c r="C1041" s="7" t="s">
        <v>3923</v>
      </c>
      <c r="D1041" s="7" t="s">
        <v>2656</v>
      </c>
      <c r="E1041" s="7" t="s">
        <v>2665</v>
      </c>
      <c r="F1041" s="84" t="s">
        <v>3091</v>
      </c>
      <c r="G1041" s="84" t="s">
        <v>2660</v>
      </c>
      <c r="H1041" s="84" t="s">
        <v>3877</v>
      </c>
      <c r="I1041" s="84" t="s">
        <v>2631</v>
      </c>
      <c r="J1041" s="7" t="s">
        <v>2662</v>
      </c>
      <c r="K1041" s="7">
        <v>31.0</v>
      </c>
      <c r="L1041" s="7">
        <v>0.0</v>
      </c>
      <c r="M1041" s="7">
        <v>31.0</v>
      </c>
      <c r="N1041" s="7">
        <v>31.0</v>
      </c>
      <c r="O1041" s="7">
        <v>31.0</v>
      </c>
      <c r="P1041" s="7">
        <v>31.0</v>
      </c>
      <c r="Q1041" s="7">
        <v>4.0</v>
      </c>
      <c r="R1041" s="7">
        <v>0.0</v>
      </c>
      <c r="S1041" s="7">
        <v>0.0</v>
      </c>
      <c r="T1041" s="7">
        <v>252.0</v>
      </c>
      <c r="U1041" s="7">
        <v>0.0</v>
      </c>
      <c r="V1041" s="7">
        <v>252.0</v>
      </c>
      <c r="W1041" s="7">
        <f>VLOOKUP($D1041,NatureChart,2,0)</f>
        <v>0.9</v>
      </c>
      <c r="X1041" s="7">
        <f>VLOOKUP($D1041,NatureChart,3,0)</f>
        <v>1</v>
      </c>
      <c r="Y1041" s="7">
        <f>VLOOKUP($D1041,NatureChart,4,0)</f>
        <v>1.1</v>
      </c>
      <c r="Z1041" s="7">
        <f>VLOOKUP($D1041,NatureChart,5,0)</f>
        <v>1</v>
      </c>
      <c r="AA1041" s="84">
        <f>VLOOKUP($D1041,NatureChart,6,0)</f>
        <v>1</v>
      </c>
      <c r="AB1041" s="84">
        <f>IF($C1041="Shedinja",1,(INT((2*VLOOKUP($C1041,DexData,5,0)+INT(Q1041/4)+K1041)/2)+60))</f>
        <v>161</v>
      </c>
      <c r="AC1041" s="84">
        <f>INT(INT((INT((2*VLOOKUP($C1041,DexData,6,0)+INT(R1041/4)+L1041)/2)+5)*W1041)*IF($E1041="Choice Band",1.5,IF(OR($E1041="Mawilite",$E1041="Medichamite",$E1041="Thick Club"),2,1)))</f>
        <v>49</v>
      </c>
      <c r="AD1041" s="84">
        <f>INT(INT((INT((2*VLOOKUP($C1041,DexData,7,0)+INT(S1041/4)+M1041)/2)+5)*X1041)*IF($E1041="Eviolite",1.5,1))</f>
        <v>115</v>
      </c>
      <c r="AE1041" s="84">
        <f>INT(INT((INT((2*VLOOKUP($C1041,DexData,9,0)+INT(T1041/4)+N1041)/2)+5)*Y1041)*IF($E1041="Choice Specs",1.5,1))</f>
        <v>189</v>
      </c>
      <c r="AF1041" s="84">
        <f>INT(INT((INT((2*VLOOKUP($C1041,DexData,10,0)+INT(U1041/4)+O1041)/2)+5)*Z1041)*IF(OR($E1041="Eviolite",$E1041="Assault Vest"),1.5,1))</f>
        <v>135</v>
      </c>
      <c r="AG1041" s="84">
        <f>INT(INT((INT((2*VLOOKUP($C1041,DexData,11,0)+INT(V1041/4)+P1041)/2)+5)*AA1041)*IF($E1041="Choice Scarf",1.5,IF($E1041="Iron Ball",0.5,1)))</f>
        <v>198</v>
      </c>
      <c r="AH1041" s="84" t="str">
        <f>VLOOKUP(VLOOKUP($C1041,DexData,3,0),Aliases!D$2:E$19,2,0)&amp;IFERROR("/"&amp;VLOOKUP(VLOOKUP($C1041,DexData,4,0),Aliases!D$2:E$19,2,0),"")</f>
        <v>FAI/FLY</v>
      </c>
      <c r="AI1041" s="7">
        <v>1.0</v>
      </c>
      <c r="AJ1041" s="7">
        <f>IF(VLOOKUP(B1041,'Set Odds'!A$2:AN$1067,40,0),1,IF(VLOOKUP(B1041,'Set Odds'!A$2:AO$1067,41,0),2,0))</f>
        <v>2</v>
      </c>
      <c r="AK1041" s="87" t="s">
        <v>4655</v>
      </c>
      <c r="AL1041" s="7" t="str">
        <f t="shared" si="1"/>
        <v/>
      </c>
    </row>
    <row r="1042" ht="12.75" customHeight="1">
      <c r="A1042" s="86">
        <v>1041.0</v>
      </c>
      <c r="B1042" s="84" t="s">
        <v>4663</v>
      </c>
      <c r="C1042" s="7" t="s">
        <v>4219</v>
      </c>
      <c r="D1042" s="7" t="s">
        <v>2692</v>
      </c>
      <c r="E1042" s="7" t="s">
        <v>2889</v>
      </c>
      <c r="F1042" s="84" t="s">
        <v>4429</v>
      </c>
      <c r="G1042" s="84" t="s">
        <v>3360</v>
      </c>
      <c r="H1042" s="84" t="s">
        <v>2756</v>
      </c>
      <c r="I1042" s="84" t="s">
        <v>3626</v>
      </c>
      <c r="J1042" s="7" t="s">
        <v>3233</v>
      </c>
      <c r="K1042" s="7">
        <v>31.0</v>
      </c>
      <c r="L1042" s="7">
        <v>31.0</v>
      </c>
      <c r="M1042" s="7">
        <v>31.0</v>
      </c>
      <c r="N1042" s="7">
        <v>0.0</v>
      </c>
      <c r="O1042" s="7">
        <v>31.0</v>
      </c>
      <c r="P1042" s="7">
        <v>31.0</v>
      </c>
      <c r="Q1042" s="7">
        <v>4.0</v>
      </c>
      <c r="R1042" s="7">
        <v>252.0</v>
      </c>
      <c r="S1042" s="7">
        <v>0.0</v>
      </c>
      <c r="T1042" s="7">
        <v>0.0</v>
      </c>
      <c r="U1042" s="7">
        <v>0.0</v>
      </c>
      <c r="V1042" s="7">
        <v>252.0</v>
      </c>
      <c r="W1042" s="7">
        <f>VLOOKUP($D1042,NatureChart,2,0)</f>
        <v>1</v>
      </c>
      <c r="X1042" s="7">
        <f>VLOOKUP($D1042,NatureChart,3,0)</f>
        <v>1</v>
      </c>
      <c r="Y1042" s="7">
        <f>VLOOKUP($D1042,NatureChart,4,0)</f>
        <v>0.9</v>
      </c>
      <c r="Z1042" s="7">
        <f>VLOOKUP($D1042,NatureChart,5,0)</f>
        <v>1</v>
      </c>
      <c r="AA1042" s="84">
        <f>VLOOKUP($D1042,NatureChart,6,0)</f>
        <v>1.1</v>
      </c>
      <c r="AB1042" s="84">
        <f>IF($C1042="Shedinja",1,(INT((2*VLOOKUP($C1042,DexData,5,0)+INT(Q1042/4)+K1042)/2)+60))</f>
        <v>191</v>
      </c>
      <c r="AC1042" s="84">
        <f>INT(INT((INT((2*VLOOKUP($C1042,DexData,6,0)+INT(R1042/4)+L1042)/2)+5)*W1042)*IF($E1042="Choice Band",1.5,IF(OR($E1042="Mawilite",$E1042="Medichamite",$E1042="Thick Club"),2,1)))</f>
        <v>167</v>
      </c>
      <c r="AD1042" s="84">
        <f>INT(INT((INT((2*VLOOKUP($C1042,DexData,7,0)+INT(S1042/4)+M1042)/2)+5)*X1042)*IF($E1042="Eviolite",1.5,1))</f>
        <v>105</v>
      </c>
      <c r="AE1042" s="84">
        <f>INT(INT((INT((2*VLOOKUP($C1042,DexData,9,0)+INT(T1042/4)+N1042)/2)+5)*Y1042)*IF($E1042="Choice Specs",1.5,1))</f>
        <v>85</v>
      </c>
      <c r="AF1042" s="84">
        <f>INT(INT((INT((2*VLOOKUP($C1042,DexData,10,0)+INT(U1042/4)+O1042)/2)+5)*Z1042)*IF(OR($E1042="Eviolite",$E1042="Assault Vest"),1.5,1))</f>
        <v>95</v>
      </c>
      <c r="AG1042" s="84">
        <f>INT(INT((INT((2*VLOOKUP($C1042,DexData,11,0)+INT(V1042/4)+P1042)/2)+5)*AA1042)*IF($E1042="Choice Scarf",1.5,IF($E1042="Iron Ball",0.5,1)))</f>
        <v>167</v>
      </c>
      <c r="AH1042" s="84" t="str">
        <f>VLOOKUP(VLOOKUP($C1042,DexData,3,0),Aliases!D$2:E$19,2,0)&amp;IFERROR("/"&amp;VLOOKUP(VLOOKUP($C1042,DexData,4,0),Aliases!D$2:E$19,2,0),"")</f>
        <v>FIR</v>
      </c>
      <c r="AI1042" s="7">
        <v>3.0</v>
      </c>
      <c r="AJ1042" s="7">
        <f>IF(VLOOKUP(B1042,'Set Odds'!A$2:AN$1067,40,0),1,IF(VLOOKUP(B1042,'Set Odds'!A$2:AO$1067,41,0),2,0))</f>
        <v>2</v>
      </c>
      <c r="AK1042" s="87" t="s">
        <v>4657</v>
      </c>
      <c r="AL1042" s="7" t="str">
        <f t="shared" si="1"/>
        <v/>
      </c>
    </row>
    <row r="1043" ht="12.75" customHeight="1">
      <c r="A1043" s="86">
        <v>1042.0</v>
      </c>
      <c r="B1043" s="84" t="s">
        <v>4664</v>
      </c>
      <c r="C1043" s="7" t="s">
        <v>3898</v>
      </c>
      <c r="D1043" s="7" t="s">
        <v>2692</v>
      </c>
      <c r="E1043" s="7" t="s">
        <v>2885</v>
      </c>
      <c r="F1043" s="84" t="s">
        <v>3809</v>
      </c>
      <c r="G1043" s="84" t="s">
        <v>3538</v>
      </c>
      <c r="H1043" s="84" t="s">
        <v>3314</v>
      </c>
      <c r="I1043" s="84" t="s">
        <v>3710</v>
      </c>
      <c r="J1043" s="7" t="s">
        <v>3233</v>
      </c>
      <c r="K1043" s="7">
        <v>31.0</v>
      </c>
      <c r="L1043" s="7">
        <v>31.0</v>
      </c>
      <c r="M1043" s="7">
        <v>31.0</v>
      </c>
      <c r="N1043" s="7">
        <v>0.0</v>
      </c>
      <c r="O1043" s="7">
        <v>31.0</v>
      </c>
      <c r="P1043" s="7">
        <v>31.0</v>
      </c>
      <c r="Q1043" s="7">
        <v>4.0</v>
      </c>
      <c r="R1043" s="7">
        <v>252.0</v>
      </c>
      <c r="S1043" s="7">
        <v>0.0</v>
      </c>
      <c r="T1043" s="7">
        <v>0.0</v>
      </c>
      <c r="U1043" s="7">
        <v>0.0</v>
      </c>
      <c r="V1043" s="7">
        <v>252.0</v>
      </c>
      <c r="W1043" s="7">
        <f>VLOOKUP($D1043,NatureChart,2,0)</f>
        <v>1</v>
      </c>
      <c r="X1043" s="7">
        <f>VLOOKUP($D1043,NatureChart,3,0)</f>
        <v>1</v>
      </c>
      <c r="Y1043" s="7">
        <f>VLOOKUP($D1043,NatureChart,4,0)</f>
        <v>0.9</v>
      </c>
      <c r="Z1043" s="7">
        <f>VLOOKUP($D1043,NatureChart,5,0)</f>
        <v>1</v>
      </c>
      <c r="AA1043" s="84">
        <f>VLOOKUP($D1043,NatureChart,6,0)</f>
        <v>1.1</v>
      </c>
      <c r="AB1043" s="84">
        <f>IF($C1043="Shedinja",1,(INT((2*VLOOKUP($C1043,DexData,5,0)+INT(Q1043/4)+K1043)/2)+60))</f>
        <v>161</v>
      </c>
      <c r="AC1043" s="84">
        <f>INT(INT((INT((2*VLOOKUP($C1043,DexData,6,0)+INT(R1043/4)+L1043)/2)+5)*W1043)*IF($E1043="Choice Band",1.5,IF(OR($E1043="Mawilite",$E1043="Medichamite",$E1043="Thick Club"),2,1)))</f>
        <v>213</v>
      </c>
      <c r="AD1043" s="84">
        <f>INT(INT((INT((2*VLOOKUP($C1043,DexData,7,0)+INT(S1043/4)+M1043)/2)+5)*X1043)*IF($E1043="Eviolite",1.5,1))</f>
        <v>100</v>
      </c>
      <c r="AE1043" s="84">
        <f>INT(INT((INT((2*VLOOKUP($C1043,DexData,9,0)+INT(T1043/4)+N1043)/2)+5)*Y1043)*IF($E1043="Choice Specs",1.5,1))</f>
        <v>67</v>
      </c>
      <c r="AF1043" s="84">
        <f>INT(INT((INT((2*VLOOKUP($C1043,DexData,10,0)+INT(U1043/4)+O1043)/2)+5)*Z1043)*IF(OR($E1043="Eviolite",$E1043="Assault Vest"),1.5,1))</f>
        <v>100</v>
      </c>
      <c r="AG1043" s="84">
        <f>INT(INT((INT((2*VLOOKUP($C1043,DexData,11,0)+INT(V1043/4)+P1043)/2)+5)*AA1043)*IF($E1043="Choice Scarf",1.5,IF($E1043="Iron Ball",0.5,1)))</f>
        <v>200</v>
      </c>
      <c r="AH1043" s="84" t="str">
        <f>VLOOKUP(VLOOKUP($C1043,DexData,3,0),Aliases!D$2:E$19,2,0)&amp;IFERROR("/"&amp;VLOOKUP(VLOOKUP($C1043,DexData,4,0),Aliases!D$2:E$19,2,0),"")</f>
        <v>PSN/FLY</v>
      </c>
      <c r="AI1043" s="7">
        <v>1.0</v>
      </c>
      <c r="AJ1043" s="7">
        <f>IF(VLOOKUP(B1043,'Set Odds'!A$2:AN$1067,40,0),1,IF(VLOOKUP(B1043,'Set Odds'!A$2:AO$1067,41,0),2,0))</f>
        <v>2</v>
      </c>
      <c r="AK1043" s="87" t="s">
        <v>4655</v>
      </c>
      <c r="AL1043" s="7" t="str">
        <f t="shared" si="1"/>
        <v/>
      </c>
    </row>
    <row r="1044" ht="12.75" customHeight="1">
      <c r="A1044" s="86">
        <v>1043.0</v>
      </c>
      <c r="B1044" s="84" t="s">
        <v>4665</v>
      </c>
      <c r="C1044" s="7" t="s">
        <v>4627</v>
      </c>
      <c r="D1044" s="7" t="s">
        <v>2656</v>
      </c>
      <c r="E1044" s="7" t="s">
        <v>2665</v>
      </c>
      <c r="F1044" s="84" t="s">
        <v>3617</v>
      </c>
      <c r="G1044" s="84" t="s">
        <v>3278</v>
      </c>
      <c r="H1044" s="84" t="s">
        <v>3523</v>
      </c>
      <c r="I1044" s="84" t="s">
        <v>2661</v>
      </c>
      <c r="J1044" s="7" t="s">
        <v>2714</v>
      </c>
      <c r="K1044" s="7">
        <v>31.0</v>
      </c>
      <c r="L1044" s="7">
        <v>0.0</v>
      </c>
      <c r="M1044" s="7">
        <v>31.0</v>
      </c>
      <c r="N1044" s="7">
        <v>31.0</v>
      </c>
      <c r="O1044" s="7">
        <v>31.0</v>
      </c>
      <c r="P1044" s="7">
        <v>31.0</v>
      </c>
      <c r="Q1044" s="7">
        <v>4.0</v>
      </c>
      <c r="R1044" s="7">
        <v>0.0</v>
      </c>
      <c r="S1044" s="7">
        <v>0.0</v>
      </c>
      <c r="T1044" s="7">
        <v>252.0</v>
      </c>
      <c r="U1044" s="7">
        <v>0.0</v>
      </c>
      <c r="V1044" s="7">
        <v>252.0</v>
      </c>
      <c r="W1044" s="7">
        <f>VLOOKUP($D1044,NatureChart,2,0)</f>
        <v>0.9</v>
      </c>
      <c r="X1044" s="7">
        <f>VLOOKUP($D1044,NatureChart,3,0)</f>
        <v>1</v>
      </c>
      <c r="Y1044" s="7">
        <f>VLOOKUP($D1044,NatureChart,4,0)</f>
        <v>1.1</v>
      </c>
      <c r="Z1044" s="7">
        <f>VLOOKUP($D1044,NatureChart,5,0)</f>
        <v>1</v>
      </c>
      <c r="AA1044" s="84">
        <f>VLOOKUP($D1044,NatureChart,6,0)</f>
        <v>1</v>
      </c>
      <c r="AB1044" s="84">
        <f>IF($C1044="Shedinja",1,(INT((2*VLOOKUP($C1044,DexData,5,0)+INT(Q1044/4)+K1044)/2)+60))</f>
        <v>126</v>
      </c>
      <c r="AC1044" s="84">
        <f>INT(INT((INT((2*VLOOKUP($C1044,DexData,6,0)+INT(R1044/4)+L1044)/2)+5)*W1044)*IF($E1044="Choice Band",1.5,IF(OR($E1044="Mawilite",$E1044="Medichamite",$E1044="Thick Club"),2,1)))</f>
        <v>63</v>
      </c>
      <c r="AD1044" s="84">
        <f>INT(INT((INT((2*VLOOKUP($C1044,DexData,7,0)+INT(S1044/4)+M1044)/2)+5)*X1044)*IF($E1044="Eviolite",1.5,1))</f>
        <v>127</v>
      </c>
      <c r="AE1044" s="84">
        <f>INT(INT((INT((2*VLOOKUP($C1044,DexData,9,0)+INT(T1044/4)+N1044)/2)+5)*Y1044)*IF($E1044="Choice Specs",1.5,1))</f>
        <v>172</v>
      </c>
      <c r="AF1044" s="84">
        <f>INT(INT((INT((2*VLOOKUP($C1044,DexData,10,0)+INT(U1044/4)+O1044)/2)+5)*Z1044)*IF(OR($E1044="Eviolite",$E1044="Assault Vest"),1.5,1))</f>
        <v>127</v>
      </c>
      <c r="AG1044" s="84">
        <f>INT(INT((INT((2*VLOOKUP($C1044,DexData,11,0)+INT(V1044/4)+P1044)/2)+5)*AA1044)*IF($E1044="Choice Scarf",1.5,IF($E1044="Iron Ball",0.5,1)))</f>
        <v>207</v>
      </c>
      <c r="AH1044" s="84" t="str">
        <f>VLOOKUP(VLOOKUP($C1044,DexData,3,0),Aliases!D$2:E$19,2,0)&amp;IFERROR("/"&amp;VLOOKUP(VLOOKUP($C1044,DexData,4,0),Aliases!D$2:E$19,2,0),"")</f>
        <v>ELC/FIR</v>
      </c>
      <c r="AI1044" s="7">
        <v>3.0</v>
      </c>
      <c r="AJ1044" s="7">
        <f>IF(VLOOKUP(B1044,'Set Odds'!A$2:AN$1067,40,0),1,IF(VLOOKUP(B1044,'Set Odds'!A$2:AO$1067,41,0),2,0))</f>
        <v>2</v>
      </c>
      <c r="AK1044" s="87" t="s">
        <v>4657</v>
      </c>
      <c r="AL1044" s="7" t="str">
        <f t="shared" si="1"/>
        <v/>
      </c>
    </row>
    <row r="1045" ht="12.75" customHeight="1">
      <c r="A1045" s="86">
        <v>1044.0</v>
      </c>
      <c r="B1045" s="84" t="s">
        <v>4666</v>
      </c>
      <c r="C1045" s="7" t="s">
        <v>3468</v>
      </c>
      <c r="D1045" s="7" t="s">
        <v>2571</v>
      </c>
      <c r="E1045" s="7" t="s">
        <v>2636</v>
      </c>
      <c r="F1045" s="84" t="s">
        <v>3314</v>
      </c>
      <c r="G1045" s="84" t="s">
        <v>2513</v>
      </c>
      <c r="H1045" s="84" t="s">
        <v>2756</v>
      </c>
      <c r="I1045" s="84" t="s">
        <v>2593</v>
      </c>
      <c r="J1045" s="7" t="s">
        <v>2968</v>
      </c>
      <c r="K1045" s="7">
        <v>31.0</v>
      </c>
      <c r="L1045" s="7">
        <v>31.0</v>
      </c>
      <c r="M1045" s="7">
        <v>31.0</v>
      </c>
      <c r="N1045" s="7">
        <v>0.0</v>
      </c>
      <c r="O1045" s="7">
        <v>31.0</v>
      </c>
      <c r="P1045" s="7">
        <v>31.0</v>
      </c>
      <c r="Q1045" s="7">
        <v>252.0</v>
      </c>
      <c r="R1045" s="7">
        <v>252.0</v>
      </c>
      <c r="S1045" s="7">
        <v>4.0</v>
      </c>
      <c r="T1045" s="7">
        <v>0.0</v>
      </c>
      <c r="U1045" s="7">
        <v>0.0</v>
      </c>
      <c r="V1045" s="7">
        <v>0.0</v>
      </c>
      <c r="W1045" s="7">
        <f>VLOOKUP($D1045,NatureChart,2,0)</f>
        <v>1.1</v>
      </c>
      <c r="X1045" s="7">
        <f>VLOOKUP($D1045,NatureChart,3,0)</f>
        <v>1</v>
      </c>
      <c r="Y1045" s="7">
        <f>VLOOKUP($D1045,NatureChart,4,0)</f>
        <v>0.9</v>
      </c>
      <c r="Z1045" s="7">
        <f>VLOOKUP($D1045,NatureChart,5,0)</f>
        <v>1</v>
      </c>
      <c r="AA1045" s="84">
        <f>VLOOKUP($D1045,NatureChart,6,0)</f>
        <v>1</v>
      </c>
      <c r="AB1045" s="84">
        <f>IF($C1045="Shedinja",1,(INT((2*VLOOKUP($C1045,DexData,5,0)+INT(Q1045/4)+K1045)/2)+60))</f>
        <v>178</v>
      </c>
      <c r="AC1045" s="84">
        <f>INT(INT((INT((2*VLOOKUP($C1045,DexData,6,0)+INT(R1045/4)+L1045)/2)+5)*W1045)*IF($E1045="Choice Band",1.5,IF(OR($E1045="Mawilite",$E1045="Medichamite",$E1045="Thick Club"),2,1)))</f>
        <v>147</v>
      </c>
      <c r="AD1045" s="84">
        <f>INT(INT((INT((2*VLOOKUP($C1045,DexData,7,0)+INT(S1045/4)+M1045)/2)+5)*X1045)*IF($E1045="Eviolite",1.5,1))</f>
        <v>85</v>
      </c>
      <c r="AE1045" s="84">
        <f>INT(INT((INT((2*VLOOKUP($C1045,DexData,9,0)+INT(T1045/4)+N1045)/2)+5)*Y1045)*IF($E1045="Choice Specs",1.5,1))</f>
        <v>62</v>
      </c>
      <c r="AF1045" s="84">
        <f>INT(INT((INT((2*VLOOKUP($C1045,DexData,10,0)+INT(U1045/4)+O1045)/2)+5)*Z1045)*IF(OR($E1045="Eviolite",$E1045="Assault Vest"),1.5,1))</f>
        <v>79</v>
      </c>
      <c r="AG1045" s="84">
        <f>INT(INT((INT((2*VLOOKUP($C1045,DexData,11,0)+INT(V1045/4)+P1045)/2)+5)*AA1045)*IF($E1045="Choice Scarf",1.5,IF($E1045="Iron Ball",0.5,1)))</f>
        <v>132</v>
      </c>
      <c r="AH1045" s="84" t="str">
        <f>VLOOKUP(VLOOKUP($C1045,DexData,3,0),Aliases!D$2:E$19,2,0)&amp;IFERROR("/"&amp;VLOOKUP(VLOOKUP($C1045,DexData,4,0),Aliases!D$2:E$19,2,0),"")</f>
        <v>NRM</v>
      </c>
      <c r="AI1045" s="7">
        <v>1.0</v>
      </c>
      <c r="AJ1045" s="7">
        <f>IF(VLOOKUP(B1045,'Set Odds'!A$2:AN$1067,40,0),1,IF(VLOOKUP(B1045,'Set Odds'!A$2:AO$1067,41,0),2,0))</f>
        <v>2</v>
      </c>
      <c r="AK1045" s="87" t="s">
        <v>4655</v>
      </c>
      <c r="AL1045" s="7" t="str">
        <f t="shared" si="1"/>
        <v/>
      </c>
    </row>
    <row r="1046" ht="12.75" customHeight="1">
      <c r="A1046" s="86">
        <v>1045.0</v>
      </c>
      <c r="B1046" s="84" t="s">
        <v>4667</v>
      </c>
      <c r="C1046" s="7" t="s">
        <v>3907</v>
      </c>
      <c r="D1046" s="7" t="s">
        <v>2571</v>
      </c>
      <c r="E1046" s="7" t="s">
        <v>4545</v>
      </c>
      <c r="F1046" s="84" t="s">
        <v>2764</v>
      </c>
      <c r="G1046" s="84" t="s">
        <v>2869</v>
      </c>
      <c r="H1046" s="84" t="s">
        <v>3603</v>
      </c>
      <c r="I1046" s="84" t="s">
        <v>3472</v>
      </c>
      <c r="J1046" s="7" t="s">
        <v>2696</v>
      </c>
      <c r="K1046" s="7">
        <v>31.0</v>
      </c>
      <c r="L1046" s="7">
        <v>31.0</v>
      </c>
      <c r="M1046" s="7">
        <v>31.0</v>
      </c>
      <c r="N1046" s="7">
        <v>0.0</v>
      </c>
      <c r="O1046" s="7">
        <v>31.0</v>
      </c>
      <c r="P1046" s="7">
        <v>31.0</v>
      </c>
      <c r="Q1046" s="7">
        <v>4.0</v>
      </c>
      <c r="R1046" s="7">
        <v>252.0</v>
      </c>
      <c r="S1046" s="7">
        <v>0.0</v>
      </c>
      <c r="T1046" s="7">
        <v>0.0</v>
      </c>
      <c r="U1046" s="7">
        <v>0.0</v>
      </c>
      <c r="V1046" s="7">
        <v>252.0</v>
      </c>
      <c r="W1046" s="7">
        <f>VLOOKUP($D1046,NatureChart,2,0)</f>
        <v>1.1</v>
      </c>
      <c r="X1046" s="7">
        <f>VLOOKUP($D1046,NatureChart,3,0)</f>
        <v>1</v>
      </c>
      <c r="Y1046" s="7">
        <f>VLOOKUP($D1046,NatureChart,4,0)</f>
        <v>0.9</v>
      </c>
      <c r="Z1046" s="7">
        <f>VLOOKUP($D1046,NatureChart,5,0)</f>
        <v>1</v>
      </c>
      <c r="AA1046" s="84">
        <f>VLOOKUP($D1046,NatureChart,6,0)</f>
        <v>1</v>
      </c>
      <c r="AB1046" s="84">
        <f>IF($C1046="Shedinja",1,(INT((2*VLOOKUP($C1046,DexData,5,0)+INT(Q1046/4)+K1046)/2)+60))</f>
        <v>171</v>
      </c>
      <c r="AC1046" s="84">
        <f>INT(INT((INT((2*VLOOKUP($C1046,DexData,6,0)+INT(R1046/4)+L1046)/2)+5)*W1046)*IF($E1046="Choice Band",1.5,IF(OR($E1046="Mawilite",$E1046="Medichamite",$E1046="Thick Club"),2,1)))</f>
        <v>194</v>
      </c>
      <c r="AD1046" s="84">
        <f>INT(INT((INT((2*VLOOKUP($C1046,DexData,7,0)+INT(S1046/4)+M1046)/2)+5)*X1046)*IF($E1046="Eviolite",1.5,1))</f>
        <v>99</v>
      </c>
      <c r="AE1046" s="84">
        <f>INT(INT((INT((2*VLOOKUP($C1046,DexData,9,0)+INT(T1046/4)+N1046)/2)+5)*Y1046)*IF($E1046="Choice Specs",1.5,1))</f>
        <v>58</v>
      </c>
      <c r="AF1046" s="84">
        <f>INT(INT((INT((2*VLOOKUP($C1046,DexData,10,0)+INT(U1046/4)+O1046)/2)+5)*Z1046)*IF(OR($E1046="Eviolite",$E1046="Assault Vest"),1.5,1))</f>
        <v>120</v>
      </c>
      <c r="AG1046" s="84">
        <f>INT(INT((INT((2*VLOOKUP($C1046,DexData,11,0)+INT(V1046/4)+P1046)/2)+5)*AA1046)*IF($E1046="Choice Scarf",1.5,IF($E1046="Iron Ball",0.5,1)))</f>
        <v>133</v>
      </c>
      <c r="AH1046" s="84" t="str">
        <f>VLOOKUP(VLOOKUP($C1046,DexData,3,0),Aliases!D$2:E$19,2,0)&amp;IFERROR("/"&amp;VLOOKUP(VLOOKUP($C1046,DexData,4,0),Aliases!D$2:E$19,2,0),"")</f>
        <v>WTR/FLY</v>
      </c>
      <c r="AI1046" s="7">
        <v>0.0</v>
      </c>
      <c r="AJ1046" s="7">
        <f>IF(VLOOKUP(B1046,'Set Odds'!A$2:AN$1067,40,0),1,IF(VLOOKUP(B1046,'Set Odds'!A$2:AO$1067,41,0),2,0))</f>
        <v>2</v>
      </c>
      <c r="AK1046" s="87" t="s">
        <v>4657</v>
      </c>
      <c r="AL1046" s="7" t="str">
        <f t="shared" si="1"/>
        <v/>
      </c>
    </row>
    <row r="1047" ht="12.75" customHeight="1">
      <c r="A1047" s="86">
        <v>1046.0</v>
      </c>
      <c r="B1047" s="84" t="s">
        <v>4668</v>
      </c>
      <c r="C1047" s="7" t="s">
        <v>3438</v>
      </c>
      <c r="D1047" s="7" t="s">
        <v>2692</v>
      </c>
      <c r="E1047" s="7" t="s">
        <v>3726</v>
      </c>
      <c r="F1047" s="84" t="s">
        <v>2764</v>
      </c>
      <c r="G1047" s="84" t="s">
        <v>2762</v>
      </c>
      <c r="H1047" s="84" t="s">
        <v>3454</v>
      </c>
      <c r="I1047" s="84" t="s">
        <v>3135</v>
      </c>
      <c r="J1047" s="7" t="s">
        <v>3442</v>
      </c>
      <c r="K1047" s="7">
        <v>31.0</v>
      </c>
      <c r="L1047" s="7">
        <v>31.0</v>
      </c>
      <c r="M1047" s="7">
        <v>31.0</v>
      </c>
      <c r="N1047" s="7">
        <v>0.0</v>
      </c>
      <c r="O1047" s="7">
        <v>31.0</v>
      </c>
      <c r="P1047" s="7">
        <v>31.0</v>
      </c>
      <c r="Q1047" s="7">
        <v>4.0</v>
      </c>
      <c r="R1047" s="7">
        <v>252.0</v>
      </c>
      <c r="S1047" s="7">
        <v>0.0</v>
      </c>
      <c r="T1047" s="7">
        <v>0.0</v>
      </c>
      <c r="U1047" s="7">
        <v>0.0</v>
      </c>
      <c r="V1047" s="7">
        <v>252.0</v>
      </c>
      <c r="W1047" s="7">
        <f>VLOOKUP($D1047,NatureChart,2,0)</f>
        <v>1</v>
      </c>
      <c r="X1047" s="7">
        <f>VLOOKUP($D1047,NatureChart,3,0)</f>
        <v>1</v>
      </c>
      <c r="Y1047" s="7">
        <f>VLOOKUP($D1047,NatureChart,4,0)</f>
        <v>0.9</v>
      </c>
      <c r="Z1047" s="7">
        <f>VLOOKUP($D1047,NatureChart,5,0)</f>
        <v>1</v>
      </c>
      <c r="AA1047" s="84">
        <f>VLOOKUP($D1047,NatureChart,6,0)</f>
        <v>1.1</v>
      </c>
      <c r="AB1047" s="84">
        <f>IF($C1047="Shedinja",1,(INT((2*VLOOKUP($C1047,DexData,5,0)+INT(Q1047/4)+K1047)/2)+60))</f>
        <v>167</v>
      </c>
      <c r="AC1047" s="84">
        <f>INT(INT((INT((2*VLOOKUP($C1047,DexData,6,0)+INT(R1047/4)+L1047)/2)+5)*W1047)*IF($E1047="Choice Band",1.5,IF(OR($E1047="Mawilite",$E1047="Medichamite",$E1047="Thick Club"),2,1)))</f>
        <v>186</v>
      </c>
      <c r="AD1047" s="84">
        <f>INT(INT((INT((2*VLOOKUP($C1047,DexData,7,0)+INT(S1047/4)+M1047)/2)+5)*X1047)*IF($E1047="Eviolite",1.5,1))</f>
        <v>115</v>
      </c>
      <c r="AE1047" s="84">
        <f>INT(INT((INT((2*VLOOKUP($C1047,DexData,9,0)+INT(T1047/4)+N1047)/2)+5)*Y1047)*IF($E1047="Choice Specs",1.5,1))</f>
        <v>94</v>
      </c>
      <c r="AF1047" s="84">
        <f>INT(INT((INT((2*VLOOKUP($C1047,DexData,10,0)+INT(U1047/4)+O1047)/2)+5)*Z1047)*IF(OR($E1047="Eviolite",$E1047="Assault Vest"),1.5,1))</f>
        <v>120</v>
      </c>
      <c r="AG1047" s="84">
        <f>INT(INT((INT((2*VLOOKUP($C1047,DexData,11,0)+INT(V1047/4)+P1047)/2)+5)*AA1047)*IF($E1047="Choice Scarf",1.5,IF($E1047="Iron Ball",0.5,1)))</f>
        <v>145</v>
      </c>
      <c r="AH1047" s="84" t="str">
        <f>VLOOKUP(VLOOKUP($C1047,DexData,3,0),Aliases!D$2:E$19,2,0)&amp;IFERROR("/"&amp;VLOOKUP(VLOOKUP($C1047,DexData,4,0),Aliases!D$2:E$19,2,0),"")</f>
        <v>DRG/FLY</v>
      </c>
      <c r="AI1047" s="7">
        <v>1.0</v>
      </c>
      <c r="AJ1047" s="7">
        <f>IF(VLOOKUP(B1047,'Set Odds'!A$2:AN$1067,40,0),1,IF(VLOOKUP(B1047,'Set Odds'!A$2:AO$1067,41,0),2,0))</f>
        <v>2</v>
      </c>
      <c r="AK1047" s="87" t="s">
        <v>4669</v>
      </c>
      <c r="AL1047" s="7" t="str">
        <f t="shared" si="1"/>
        <v/>
      </c>
    </row>
    <row r="1048" ht="12.75" customHeight="1">
      <c r="A1048" s="86">
        <v>1047.0</v>
      </c>
      <c r="B1048" s="84" t="s">
        <v>4670</v>
      </c>
      <c r="C1048" s="7" t="s">
        <v>3958</v>
      </c>
      <c r="D1048" s="7" t="s">
        <v>2656</v>
      </c>
      <c r="E1048" s="7" t="s">
        <v>2515</v>
      </c>
      <c r="F1048" s="84" t="s">
        <v>3959</v>
      </c>
      <c r="G1048" s="84" t="s">
        <v>3524</v>
      </c>
      <c r="H1048" s="84" t="s">
        <v>2832</v>
      </c>
      <c r="I1048" s="84" t="s">
        <v>3427</v>
      </c>
      <c r="J1048" s="7" t="s">
        <v>3016</v>
      </c>
      <c r="K1048" s="7">
        <v>31.0</v>
      </c>
      <c r="L1048" s="7">
        <v>0.0</v>
      </c>
      <c r="M1048" s="7">
        <v>31.0</v>
      </c>
      <c r="N1048" s="7">
        <v>31.0</v>
      </c>
      <c r="O1048" s="7">
        <v>31.0</v>
      </c>
      <c r="P1048" s="7">
        <v>31.0</v>
      </c>
      <c r="Q1048" s="7">
        <v>4.0</v>
      </c>
      <c r="R1048" s="7">
        <v>0.0</v>
      </c>
      <c r="S1048" s="7">
        <v>0.0</v>
      </c>
      <c r="T1048" s="7">
        <v>252.0</v>
      </c>
      <c r="U1048" s="7">
        <v>0.0</v>
      </c>
      <c r="V1048" s="7">
        <v>252.0</v>
      </c>
      <c r="W1048" s="7">
        <f>VLOOKUP($D1048,NatureChart,2,0)</f>
        <v>0.9</v>
      </c>
      <c r="X1048" s="7">
        <f>VLOOKUP($D1048,NatureChart,3,0)</f>
        <v>1</v>
      </c>
      <c r="Y1048" s="7">
        <f>VLOOKUP($D1048,NatureChart,4,0)</f>
        <v>1.1</v>
      </c>
      <c r="Z1048" s="7">
        <f>VLOOKUP($D1048,NatureChart,5,0)</f>
        <v>1</v>
      </c>
      <c r="AA1048" s="84">
        <f>VLOOKUP($D1048,NatureChart,6,0)</f>
        <v>1</v>
      </c>
      <c r="AB1048" s="84">
        <f>IF($C1048="Shedinja",1,(INT((2*VLOOKUP($C1048,DexData,5,0)+INT(Q1048/4)+K1048)/2)+60))</f>
        <v>167</v>
      </c>
      <c r="AC1048" s="84">
        <f>INT(INT((INT((2*VLOOKUP($C1048,DexData,6,0)+INT(R1048/4)+L1048)/2)+5)*W1048)*IF($E1048="Choice Band",1.5,IF(OR($E1048="Mawilite",$E1048="Medichamite",$E1048="Thick Club"),2,1)))</f>
        <v>85</v>
      </c>
      <c r="AD1048" s="84">
        <f>INT(INT((INT((2*VLOOKUP($C1048,DexData,7,0)+INT(S1048/4)+M1048)/2)+5)*X1048)*IF($E1048="Eviolite",1.5,1))</f>
        <v>126</v>
      </c>
      <c r="AE1048" s="84">
        <f>INT(INT((INT((2*VLOOKUP($C1048,DexData,9,0)+INT(T1048/4)+N1048)/2)+5)*Y1048)*IF($E1048="Choice Specs",1.5,1))</f>
        <v>200</v>
      </c>
      <c r="AF1048" s="84">
        <f>INT(INT((INT((2*VLOOKUP($C1048,DexData,10,0)+INT(U1048/4)+O1048)/2)+5)*Z1048)*IF(OR($E1048="Eviolite",$E1048="Assault Vest"),1.5,1))</f>
        <v>126</v>
      </c>
      <c r="AG1048" s="84">
        <f>INT(INT((INT((2*VLOOKUP($C1048,DexData,11,0)+INT(V1048/4)+P1048)/2)+5)*AA1048)*IF($E1048="Choice Scarf",1.5,IF($E1048="Iron Ball",0.5,1)))</f>
        <v>129</v>
      </c>
      <c r="AH1048" s="84" t="str">
        <f>VLOOKUP(VLOOKUP($C1048,DexData,3,0),Aliases!D$2:E$19,2,0)&amp;IFERROR("/"&amp;VLOOKUP(VLOOKUP($C1048,DexData,4,0),Aliases!D$2:E$19,2,0),"")</f>
        <v>FIR/STL</v>
      </c>
      <c r="AI1048" s="7">
        <v>0.0</v>
      </c>
      <c r="AJ1048" s="7">
        <f>IF(VLOOKUP(B1048,'Set Odds'!A$2:AN$1067,40,0),1,IF(VLOOKUP(B1048,'Set Odds'!A$2:AO$1067,41,0),2,0))</f>
        <v>2</v>
      </c>
      <c r="AK1048" s="87" t="s">
        <v>4669</v>
      </c>
      <c r="AL1048" s="7">
        <f t="shared" si="1"/>
        <v>1</v>
      </c>
    </row>
    <row r="1049" ht="12.75" customHeight="1">
      <c r="A1049" s="86">
        <v>1048.0</v>
      </c>
      <c r="B1049" s="84" t="s">
        <v>4671</v>
      </c>
      <c r="C1049" s="7" t="s">
        <v>3962</v>
      </c>
      <c r="D1049" s="7" t="s">
        <v>2862</v>
      </c>
      <c r="E1049" s="7" t="s">
        <v>2636</v>
      </c>
      <c r="F1049" s="84" t="s">
        <v>4235</v>
      </c>
      <c r="G1049" s="84" t="s">
        <v>2763</v>
      </c>
      <c r="H1049" s="84" t="s">
        <v>2938</v>
      </c>
      <c r="I1049" s="84" t="s">
        <v>2823</v>
      </c>
      <c r="J1049" s="7" t="s">
        <v>2714</v>
      </c>
      <c r="K1049" s="7">
        <v>31.0</v>
      </c>
      <c r="L1049" s="7">
        <v>0.0</v>
      </c>
      <c r="M1049" s="7">
        <v>31.0</v>
      </c>
      <c r="N1049" s="7">
        <v>31.0</v>
      </c>
      <c r="O1049" s="7">
        <v>31.0</v>
      </c>
      <c r="P1049" s="7">
        <v>31.0</v>
      </c>
      <c r="Q1049" s="7">
        <v>252.0</v>
      </c>
      <c r="R1049" s="7">
        <v>0.0</v>
      </c>
      <c r="S1049" s="7">
        <v>252.0</v>
      </c>
      <c r="T1049" s="7">
        <v>0.0</v>
      </c>
      <c r="U1049" s="7">
        <v>0.0</v>
      </c>
      <c r="V1049" s="7">
        <v>4.0</v>
      </c>
      <c r="W1049" s="7">
        <f>VLOOKUP($D1049,NatureChart,2,0)</f>
        <v>0.9</v>
      </c>
      <c r="X1049" s="7">
        <f>VLOOKUP($D1049,NatureChart,3,0)</f>
        <v>1.1</v>
      </c>
      <c r="Y1049" s="7">
        <f>VLOOKUP($D1049,NatureChart,4,0)</f>
        <v>1</v>
      </c>
      <c r="Z1049" s="7">
        <f>VLOOKUP($D1049,NatureChart,5,0)</f>
        <v>1</v>
      </c>
      <c r="AA1049" s="84">
        <f>VLOOKUP($D1049,NatureChart,6,0)</f>
        <v>1</v>
      </c>
      <c r="AB1049" s="84">
        <f>IF($C1049="Shedinja",1,(INT((2*VLOOKUP($C1049,DexData,5,0)+INT(Q1049/4)+K1049)/2)+60))</f>
        <v>227</v>
      </c>
      <c r="AC1049" s="84">
        <f>INT(INT((INT((2*VLOOKUP($C1049,DexData,6,0)+INT(R1049/4)+L1049)/2)+5)*W1049)*IF($E1049="Choice Band",1.5,IF(OR($E1049="Mawilite",$E1049="Medichamite",$E1049="Thick Club"),2,1)))</f>
        <v>67</v>
      </c>
      <c r="AD1049" s="84">
        <f>INT(INT((INT((2*VLOOKUP($C1049,DexData,7,0)+INT(S1049/4)+M1049)/2)+5)*X1049)*IF($E1049="Eviolite",1.5,1))</f>
        <v>189</v>
      </c>
      <c r="AE1049" s="84">
        <f>INT(INT((INT((2*VLOOKUP($C1049,DexData,9,0)+INT(T1049/4)+N1049)/2)+5)*Y1049)*IF($E1049="Choice Specs",1.5,1))</f>
        <v>95</v>
      </c>
      <c r="AF1049" s="84">
        <f>INT(INT((INT((2*VLOOKUP($C1049,DexData,10,0)+INT(U1049/4)+O1049)/2)+5)*Z1049)*IF(OR($E1049="Eviolite",$E1049="Assault Vest"),1.5,1))</f>
        <v>150</v>
      </c>
      <c r="AG1049" s="84">
        <f>INT(INT((INT((2*VLOOKUP($C1049,DexData,11,0)+INT(V1049/4)+P1049)/2)+5)*AA1049)*IF($E1049="Choice Scarf",1.5,IF($E1049="Iron Ball",0.5,1)))</f>
        <v>106</v>
      </c>
      <c r="AH1049" s="84" t="str">
        <f>VLOOKUP(VLOOKUP($C1049,DexData,3,0),Aliases!D$2:E$19,2,0)&amp;IFERROR("/"&amp;VLOOKUP(VLOOKUP($C1049,DexData,4,0),Aliases!D$2:E$19,2,0),"")</f>
        <v>PSY</v>
      </c>
      <c r="AI1049" s="7">
        <v>1.0</v>
      </c>
      <c r="AJ1049" s="7">
        <f>IF(VLOOKUP(B1049,'Set Odds'!A$2:AN$1067,40,0),1,IF(VLOOKUP(B1049,'Set Odds'!A$2:AO$1067,41,0),2,0))</f>
        <v>2</v>
      </c>
      <c r="AK1049" s="87" t="s">
        <v>4669</v>
      </c>
      <c r="AL1049" s="7" t="str">
        <f t="shared" si="1"/>
        <v/>
      </c>
    </row>
    <row r="1050" ht="12.75" customHeight="1">
      <c r="A1050" s="86">
        <v>1049.0</v>
      </c>
      <c r="B1050" s="84" t="s">
        <v>4672</v>
      </c>
      <c r="C1050" s="7" t="s">
        <v>3966</v>
      </c>
      <c r="D1050" s="7" t="s">
        <v>2571</v>
      </c>
      <c r="E1050" s="7" t="s">
        <v>3548</v>
      </c>
      <c r="F1050" s="84" t="s">
        <v>3967</v>
      </c>
      <c r="G1050" s="84" t="s">
        <v>3454</v>
      </c>
      <c r="H1050" s="84" t="s">
        <v>2734</v>
      </c>
      <c r="I1050" s="84" t="s">
        <v>2517</v>
      </c>
      <c r="J1050" s="7" t="s">
        <v>3968</v>
      </c>
      <c r="K1050" s="7">
        <v>31.0</v>
      </c>
      <c r="L1050" s="7">
        <v>31.0</v>
      </c>
      <c r="M1050" s="7">
        <v>31.0</v>
      </c>
      <c r="N1050" s="7">
        <v>0.0</v>
      </c>
      <c r="O1050" s="7">
        <v>31.0</v>
      </c>
      <c r="P1050" s="7">
        <v>31.0</v>
      </c>
      <c r="Q1050" s="7">
        <v>140.0</v>
      </c>
      <c r="R1050" s="7">
        <v>252.0</v>
      </c>
      <c r="S1050" s="7">
        <v>0.0</v>
      </c>
      <c r="T1050" s="7">
        <v>0.0</v>
      </c>
      <c r="U1050" s="7">
        <v>0.0</v>
      </c>
      <c r="V1050" s="7">
        <v>116.0</v>
      </c>
      <c r="W1050" s="7">
        <f>VLOOKUP($D1050,NatureChart,2,0)</f>
        <v>1.1</v>
      </c>
      <c r="X1050" s="7">
        <f>VLOOKUP($D1050,NatureChart,3,0)</f>
        <v>1</v>
      </c>
      <c r="Y1050" s="7">
        <f>VLOOKUP($D1050,NatureChart,4,0)</f>
        <v>0.9</v>
      </c>
      <c r="Z1050" s="7">
        <f>VLOOKUP($D1050,NatureChart,5,0)</f>
        <v>1</v>
      </c>
      <c r="AA1050" s="84">
        <f>VLOOKUP($D1050,NatureChart,6,0)</f>
        <v>1</v>
      </c>
      <c r="AB1050" s="84">
        <f>IF($C1050="Shedinja",1,(INT((2*VLOOKUP($C1050,DexData,5,0)+INT(Q1050/4)+K1050)/2)+60))</f>
        <v>203</v>
      </c>
      <c r="AC1050" s="84">
        <f>INT(INT((INT((2*VLOOKUP($C1050,DexData,6,0)+INT(R1050/4)+L1050)/2)+5)*W1050)*IF($E1050="Choice Band",1.5,IF(OR($E1050="Mawilite",$E1050="Medichamite",$E1050="Thick Club"),2,1)))</f>
        <v>233</v>
      </c>
      <c r="AD1050" s="84">
        <f>INT(INT((INT((2*VLOOKUP($C1050,DexData,7,0)+INT(S1050/4)+M1050)/2)+5)*X1050)*IF($E1050="Eviolite",1.5,1))</f>
        <v>130</v>
      </c>
      <c r="AE1050" s="84">
        <f>INT(INT((INT((2*VLOOKUP($C1050,DexData,9,0)+INT(T1050/4)+N1050)/2)+5)*Y1050)*IF($E1050="Choice Specs",1.5,1))</f>
        <v>76</v>
      </c>
      <c r="AF1050" s="84">
        <f>INT(INT((INT((2*VLOOKUP($C1050,DexData,10,0)+INT(U1050/4)+O1050)/2)+5)*Z1050)*IF(OR($E1050="Eviolite",$E1050="Assault Vest"),1.5,1))</f>
        <v>130</v>
      </c>
      <c r="AG1050" s="84">
        <f>INT(INT((INT((2*VLOOKUP($C1050,DexData,11,0)+INT(V1050/4)+P1050)/2)+5)*AA1050)*IF($E1050="Choice Scarf",1.5,IF($E1050="Iron Ball",0.5,1)))</f>
        <v>135</v>
      </c>
      <c r="AH1050" s="84" t="str">
        <f>VLOOKUP(VLOOKUP($C1050,DexData,3,0),Aliases!D$2:E$19,2,0)&amp;IFERROR("/"&amp;VLOOKUP(VLOOKUP($C1050,DexData,4,0),Aliases!D$2:E$19,2,0),"")</f>
        <v>NRM</v>
      </c>
      <c r="AI1050" s="7">
        <v>3.0</v>
      </c>
      <c r="AJ1050" s="7">
        <f>IF(VLOOKUP(B1050,'Set Odds'!A$2:AN$1067,40,0),1,IF(VLOOKUP(B1050,'Set Odds'!A$2:AO$1067,41,0),2,0))</f>
        <v>2</v>
      </c>
      <c r="AK1050" s="87" t="s">
        <v>4669</v>
      </c>
      <c r="AL1050" s="7" t="str">
        <f t="shared" si="1"/>
        <v/>
      </c>
    </row>
    <row r="1051" ht="12.75" customHeight="1">
      <c r="A1051" s="86">
        <v>1050.0</v>
      </c>
      <c r="B1051" s="84" t="s">
        <v>4673</v>
      </c>
      <c r="C1051" s="7" t="s">
        <v>3438</v>
      </c>
      <c r="D1051" s="7" t="s">
        <v>2571</v>
      </c>
      <c r="E1051" s="7" t="s">
        <v>2885</v>
      </c>
      <c r="F1051" s="84" t="s">
        <v>3160</v>
      </c>
      <c r="G1051" s="84" t="s">
        <v>2762</v>
      </c>
      <c r="H1051" s="84" t="s">
        <v>3454</v>
      </c>
      <c r="I1051" s="84" t="s">
        <v>3135</v>
      </c>
      <c r="J1051" s="7" t="s">
        <v>3442</v>
      </c>
      <c r="K1051" s="7">
        <v>31.0</v>
      </c>
      <c r="L1051" s="7">
        <v>31.0</v>
      </c>
      <c r="M1051" s="7">
        <v>31.0</v>
      </c>
      <c r="N1051" s="7">
        <v>0.0</v>
      </c>
      <c r="O1051" s="7">
        <v>31.0</v>
      </c>
      <c r="P1051" s="7">
        <v>31.0</v>
      </c>
      <c r="Q1051" s="7">
        <v>4.0</v>
      </c>
      <c r="R1051" s="7">
        <v>252.0</v>
      </c>
      <c r="S1051" s="7">
        <v>0.0</v>
      </c>
      <c r="T1051" s="7">
        <v>0.0</v>
      </c>
      <c r="U1051" s="7">
        <v>0.0</v>
      </c>
      <c r="V1051" s="7">
        <v>252.0</v>
      </c>
      <c r="W1051" s="7">
        <f>VLOOKUP($D1051,NatureChart,2,0)</f>
        <v>1.1</v>
      </c>
      <c r="X1051" s="7">
        <f>VLOOKUP($D1051,NatureChart,3,0)</f>
        <v>1</v>
      </c>
      <c r="Y1051" s="7">
        <f>VLOOKUP($D1051,NatureChart,4,0)</f>
        <v>0.9</v>
      </c>
      <c r="Z1051" s="7">
        <f>VLOOKUP($D1051,NatureChart,5,0)</f>
        <v>1</v>
      </c>
      <c r="AA1051" s="84">
        <f>VLOOKUP($D1051,NatureChart,6,0)</f>
        <v>1</v>
      </c>
      <c r="AB1051" s="84">
        <f>IF($C1051="Shedinja",1,(INT((2*VLOOKUP($C1051,DexData,5,0)+INT(Q1051/4)+K1051)/2)+60))</f>
        <v>167</v>
      </c>
      <c r="AC1051" s="84">
        <f>INT(INT((INT((2*VLOOKUP($C1051,DexData,6,0)+INT(R1051/4)+L1051)/2)+5)*W1051)*IF($E1051="Choice Band",1.5,IF(OR($E1051="Mawilite",$E1051="Medichamite",$E1051="Thick Club"),2,1)))</f>
        <v>306</v>
      </c>
      <c r="AD1051" s="84">
        <f>INT(INT((INT((2*VLOOKUP($C1051,DexData,7,0)+INT(S1051/4)+M1051)/2)+5)*X1051)*IF($E1051="Eviolite",1.5,1))</f>
        <v>115</v>
      </c>
      <c r="AE1051" s="84">
        <f>INT(INT((INT((2*VLOOKUP($C1051,DexData,9,0)+INT(T1051/4)+N1051)/2)+5)*Y1051)*IF($E1051="Choice Specs",1.5,1))</f>
        <v>94</v>
      </c>
      <c r="AF1051" s="84">
        <f>INT(INT((INT((2*VLOOKUP($C1051,DexData,10,0)+INT(U1051/4)+O1051)/2)+5)*Z1051)*IF(OR($E1051="Eviolite",$E1051="Assault Vest"),1.5,1))</f>
        <v>120</v>
      </c>
      <c r="AG1051" s="84">
        <f>INT(INT((INT((2*VLOOKUP($C1051,DexData,11,0)+INT(V1051/4)+P1051)/2)+5)*AA1051)*IF($E1051="Choice Scarf",1.5,IF($E1051="Iron Ball",0.5,1)))</f>
        <v>132</v>
      </c>
      <c r="AH1051" s="84" t="str">
        <f>VLOOKUP(VLOOKUP($C1051,DexData,3,0),Aliases!D$2:E$19,2,0)&amp;IFERROR("/"&amp;VLOOKUP(VLOOKUP($C1051,DexData,4,0),Aliases!D$2:E$19,2,0),"")</f>
        <v>DRG/FLY</v>
      </c>
      <c r="AI1051" s="7">
        <v>1.0</v>
      </c>
      <c r="AJ1051" s="7">
        <f>IF(VLOOKUP(B1051,'Set Odds'!A$2:AN$1067,40,0),1,IF(VLOOKUP(B1051,'Set Odds'!A$2:AO$1067,41,0),2,0))</f>
        <v>2</v>
      </c>
      <c r="AK1051" s="87" t="s">
        <v>4669</v>
      </c>
      <c r="AL1051" s="7" t="str">
        <f t="shared" si="1"/>
        <v/>
      </c>
    </row>
    <row r="1052" ht="12.75" customHeight="1">
      <c r="A1052" s="86">
        <v>1051.0</v>
      </c>
      <c r="B1052" s="84" t="s">
        <v>4674</v>
      </c>
      <c r="C1052" s="7" t="s">
        <v>3426</v>
      </c>
      <c r="D1052" s="7" t="s">
        <v>2862</v>
      </c>
      <c r="E1052" s="7" t="s">
        <v>3395</v>
      </c>
      <c r="F1052" s="84" t="s">
        <v>2880</v>
      </c>
      <c r="G1052" s="84" t="s">
        <v>2785</v>
      </c>
      <c r="H1052" s="84" t="s">
        <v>3168</v>
      </c>
      <c r="I1052" s="84" t="s">
        <v>3428</v>
      </c>
      <c r="J1052" s="7" t="s">
        <v>3429</v>
      </c>
      <c r="K1052" s="7">
        <v>31.0</v>
      </c>
      <c r="L1052" s="7">
        <v>0.0</v>
      </c>
      <c r="M1052" s="7">
        <v>31.0</v>
      </c>
      <c r="N1052" s="7">
        <v>31.0</v>
      </c>
      <c r="O1052" s="7">
        <v>31.0</v>
      </c>
      <c r="P1052" s="7">
        <v>31.0</v>
      </c>
      <c r="Q1052" s="7">
        <v>252.0</v>
      </c>
      <c r="R1052" s="7">
        <v>0.0</v>
      </c>
      <c r="S1052" s="7">
        <v>252.0</v>
      </c>
      <c r="T1052" s="7">
        <v>0.0</v>
      </c>
      <c r="U1052" s="7">
        <v>4.0</v>
      </c>
      <c r="V1052" s="7">
        <v>0.0</v>
      </c>
      <c r="W1052" s="7">
        <f>VLOOKUP($D1052,NatureChart,2,0)</f>
        <v>0.9</v>
      </c>
      <c r="X1052" s="7">
        <f>VLOOKUP($D1052,NatureChart,3,0)</f>
        <v>1.1</v>
      </c>
      <c r="Y1052" s="7">
        <f>VLOOKUP($D1052,NatureChart,4,0)</f>
        <v>1</v>
      </c>
      <c r="Z1052" s="7">
        <f>VLOOKUP($D1052,NatureChart,5,0)</f>
        <v>1</v>
      </c>
      <c r="AA1052" s="84">
        <f>VLOOKUP($D1052,NatureChart,6,0)</f>
        <v>1</v>
      </c>
      <c r="AB1052" s="84">
        <f>IF($C1052="Shedinja",1,(INT((2*VLOOKUP($C1052,DexData,5,0)+INT(Q1052/4)+K1052)/2)+60))</f>
        <v>202</v>
      </c>
      <c r="AC1052" s="84">
        <f>INT(INT((INT((2*VLOOKUP($C1052,DexData,6,0)+INT(R1052/4)+L1052)/2)+5)*W1052)*IF($E1052="Choice Band",1.5,IF(OR($E1052="Mawilite",$E1052="Medichamite",$E1052="Thick Club"),2,1)))</f>
        <v>58</v>
      </c>
      <c r="AD1052" s="84">
        <f>INT(INT((INT((2*VLOOKUP($C1052,DexData,7,0)+INT(S1052/4)+M1052)/2)+5)*X1052)*IF($E1052="Eviolite",1.5,1))</f>
        <v>144</v>
      </c>
      <c r="AE1052" s="84">
        <f>INT(INT((INT((2*VLOOKUP($C1052,DexData,9,0)+INT(T1052/4)+N1052)/2)+5)*Y1052)*IF($E1052="Choice Specs",1.5,1))</f>
        <v>120</v>
      </c>
      <c r="AF1052" s="84">
        <f>INT(INT((INT((2*VLOOKUP($C1052,DexData,10,0)+INT(U1052/4)+O1052)/2)+5)*Z1052)*IF(OR($E1052="Eviolite",$E1052="Assault Vest"),1.5,1))</f>
        <v>146</v>
      </c>
      <c r="AG1052" s="84">
        <f>INT(INT((INT((2*VLOOKUP($C1052,DexData,11,0)+INT(V1052/4)+P1052)/2)+5)*AA1052)*IF($E1052="Choice Scarf",1.5,IF($E1052="Iron Ball",0.5,1)))</f>
        <v>101</v>
      </c>
      <c r="AH1052" s="84" t="str">
        <f>VLOOKUP(VLOOKUP($C1052,DexData,3,0),Aliases!D$2:E$19,2,0)&amp;IFERROR("/"&amp;VLOOKUP(VLOOKUP($C1052,DexData,4,0),Aliases!D$2:E$19,2,0),"")</f>
        <v>WTR</v>
      </c>
      <c r="AI1052" s="7">
        <v>0.0</v>
      </c>
      <c r="AJ1052" s="7">
        <f>IF(VLOOKUP(B1052,'Set Odds'!A$2:AN$1067,40,0),1,IF(VLOOKUP(B1052,'Set Odds'!A$2:AO$1067,41,0),2,0))</f>
        <v>2</v>
      </c>
      <c r="AK1052" s="87" t="s">
        <v>4669</v>
      </c>
      <c r="AL1052" s="7" t="str">
        <f t="shared" si="1"/>
        <v/>
      </c>
    </row>
    <row r="1053" ht="12.75" customHeight="1">
      <c r="A1053" s="86">
        <v>1052.0</v>
      </c>
      <c r="B1053" s="84" t="s">
        <v>4675</v>
      </c>
      <c r="C1053" s="7" t="s">
        <v>3958</v>
      </c>
      <c r="D1053" s="7" t="s">
        <v>2656</v>
      </c>
      <c r="E1053" s="7" t="s">
        <v>2515</v>
      </c>
      <c r="F1053" s="84" t="s">
        <v>3959</v>
      </c>
      <c r="G1053" s="84" t="s">
        <v>3524</v>
      </c>
      <c r="H1053" s="84" t="s">
        <v>2832</v>
      </c>
      <c r="I1053" s="84" t="s">
        <v>3427</v>
      </c>
      <c r="J1053" s="7" t="s">
        <v>3016</v>
      </c>
      <c r="K1053" s="7">
        <v>31.0</v>
      </c>
      <c r="L1053" s="7">
        <v>0.0</v>
      </c>
      <c r="M1053" s="7">
        <v>31.0</v>
      </c>
      <c r="N1053" s="7">
        <v>31.0</v>
      </c>
      <c r="O1053" s="7">
        <v>31.0</v>
      </c>
      <c r="P1053" s="7">
        <v>31.0</v>
      </c>
      <c r="Q1053" s="7">
        <v>0.0</v>
      </c>
      <c r="R1053" s="7">
        <v>4.0</v>
      </c>
      <c r="S1053" s="7">
        <v>0.0</v>
      </c>
      <c r="T1053" s="7">
        <v>252.0</v>
      </c>
      <c r="U1053" s="7">
        <v>0.0</v>
      </c>
      <c r="V1053" s="7">
        <v>252.0</v>
      </c>
      <c r="W1053" s="7">
        <f>VLOOKUP($D1053,NatureChart,2,0)</f>
        <v>0.9</v>
      </c>
      <c r="X1053" s="7">
        <f>VLOOKUP($D1053,NatureChart,3,0)</f>
        <v>1</v>
      </c>
      <c r="Y1053" s="7">
        <f>VLOOKUP($D1053,NatureChart,4,0)</f>
        <v>1.1</v>
      </c>
      <c r="Z1053" s="7">
        <f>VLOOKUP($D1053,NatureChart,5,0)</f>
        <v>1</v>
      </c>
      <c r="AA1053" s="84">
        <f>VLOOKUP($D1053,NatureChart,6,0)</f>
        <v>1</v>
      </c>
      <c r="AB1053" s="84">
        <f>IF($C1053="Shedinja",1,(INT((2*VLOOKUP($C1053,DexData,5,0)+INT(Q1053/4)+K1053)/2)+60))</f>
        <v>166</v>
      </c>
      <c r="AC1053" s="84">
        <f>INT(INT((INT((2*VLOOKUP($C1053,DexData,6,0)+INT(R1053/4)+L1053)/2)+5)*W1053)*IF($E1053="Choice Band",1.5,IF(OR($E1053="Mawilite",$E1053="Medichamite",$E1053="Thick Club"),2,1)))</f>
        <v>85</v>
      </c>
      <c r="AD1053" s="84">
        <f>INT(INT((INT((2*VLOOKUP($C1053,DexData,7,0)+INT(S1053/4)+M1053)/2)+5)*X1053)*IF($E1053="Eviolite",1.5,1))</f>
        <v>126</v>
      </c>
      <c r="AE1053" s="84">
        <f>INT(INT((INT((2*VLOOKUP($C1053,DexData,9,0)+INT(T1053/4)+N1053)/2)+5)*Y1053)*IF($E1053="Choice Specs",1.5,1))</f>
        <v>200</v>
      </c>
      <c r="AF1053" s="84">
        <f>INT(INT((INT((2*VLOOKUP($C1053,DexData,10,0)+INT(U1053/4)+O1053)/2)+5)*Z1053)*IF(OR($E1053="Eviolite",$E1053="Assault Vest"),1.5,1))</f>
        <v>126</v>
      </c>
      <c r="AG1053" s="84">
        <f>INT(INT((INT((2*VLOOKUP($C1053,DexData,11,0)+INT(V1053/4)+P1053)/2)+5)*AA1053)*IF($E1053="Choice Scarf",1.5,IF($E1053="Iron Ball",0.5,1)))</f>
        <v>129</v>
      </c>
      <c r="AH1053" s="84" t="str">
        <f>VLOOKUP(VLOOKUP($C1053,DexData,3,0),Aliases!D$2:E$19,2,0)&amp;IFERROR("/"&amp;VLOOKUP(VLOOKUP($C1053,DexData,4,0),Aliases!D$2:E$19,2,0),"")</f>
        <v>FIR/STL</v>
      </c>
      <c r="AI1053" s="7">
        <v>0.0</v>
      </c>
      <c r="AJ1053" s="7">
        <f>IF(VLOOKUP(B1053,'Set Odds'!A$2:AN$1067,40,0),1,IF(VLOOKUP(B1053,'Set Odds'!A$2:AO$1067,41,0),2,0))</f>
        <v>2</v>
      </c>
      <c r="AK1053" s="87" t="s">
        <v>4669</v>
      </c>
      <c r="AL1053" s="7">
        <f t="shared" si="1"/>
        <v>1</v>
      </c>
    </row>
    <row r="1054" ht="12.75" customHeight="1">
      <c r="A1054" s="86">
        <v>1053.0</v>
      </c>
      <c r="B1054" s="84" t="s">
        <v>4676</v>
      </c>
      <c r="C1054" s="7" t="s">
        <v>3432</v>
      </c>
      <c r="D1054" s="7" t="s">
        <v>2571</v>
      </c>
      <c r="E1054" s="7" t="s">
        <v>2636</v>
      </c>
      <c r="F1054" s="84" t="s">
        <v>3454</v>
      </c>
      <c r="G1054" s="84" t="s">
        <v>2757</v>
      </c>
      <c r="H1054" s="84" t="s">
        <v>3390</v>
      </c>
      <c r="I1054" s="84" t="s">
        <v>2518</v>
      </c>
      <c r="J1054" s="7" t="s">
        <v>3436</v>
      </c>
      <c r="K1054" s="7">
        <v>31.0</v>
      </c>
      <c r="L1054" s="7">
        <v>31.0</v>
      </c>
      <c r="M1054" s="7">
        <v>31.0</v>
      </c>
      <c r="N1054" s="7">
        <v>0.0</v>
      </c>
      <c r="O1054" s="7">
        <v>31.0</v>
      </c>
      <c r="P1054" s="7">
        <v>31.0</v>
      </c>
      <c r="Q1054" s="7">
        <v>252.0</v>
      </c>
      <c r="R1054" s="7">
        <v>252.0</v>
      </c>
      <c r="S1054" s="7">
        <v>4.0</v>
      </c>
      <c r="T1054" s="7">
        <v>0.0</v>
      </c>
      <c r="U1054" s="7">
        <v>0.0</v>
      </c>
      <c r="V1054" s="7">
        <v>0.0</v>
      </c>
      <c r="W1054" s="7">
        <f>VLOOKUP($D1054,NatureChart,2,0)</f>
        <v>1.1</v>
      </c>
      <c r="X1054" s="7">
        <f>VLOOKUP($D1054,NatureChart,3,0)</f>
        <v>1</v>
      </c>
      <c r="Y1054" s="7">
        <f>VLOOKUP($D1054,NatureChart,4,0)</f>
        <v>0.9</v>
      </c>
      <c r="Z1054" s="7">
        <f>VLOOKUP($D1054,NatureChart,5,0)</f>
        <v>1</v>
      </c>
      <c r="AA1054" s="84">
        <f>VLOOKUP($D1054,NatureChart,6,0)</f>
        <v>1</v>
      </c>
      <c r="AB1054" s="84">
        <f>IF($C1054="Shedinja",1,(INT((2*VLOOKUP($C1054,DexData,5,0)+INT(Q1054/4)+K1054)/2)+60))</f>
        <v>222</v>
      </c>
      <c r="AC1054" s="84">
        <f>INT(INT((INT((2*VLOOKUP($C1054,DexData,6,0)+INT(R1054/4)+L1054)/2)+5)*W1054)*IF($E1054="Choice Band",1.5,IF(OR($E1054="Mawilite",$E1054="Medichamite",$E1054="Thick Club"),2,1)))</f>
        <v>211</v>
      </c>
      <c r="AD1054" s="84">
        <f>INT(INT((INT((2*VLOOKUP($C1054,DexData,7,0)+INT(S1054/4)+M1054)/2)+5)*X1054)*IF($E1054="Eviolite",1.5,1))</f>
        <v>151</v>
      </c>
      <c r="AE1054" s="84">
        <f>INT(INT((INT((2*VLOOKUP($C1054,DexData,9,0)+INT(T1054/4)+N1054)/2)+5)*Y1054)*IF($E1054="Choice Specs",1.5,1))</f>
        <v>54</v>
      </c>
      <c r="AF1054" s="84">
        <f>INT(INT((INT((2*VLOOKUP($C1054,DexData,10,0)+INT(U1054/4)+O1054)/2)+5)*Z1054)*IF(OR($E1054="Eviolite",$E1054="Assault Vest"),1.5,1))</f>
        <v>75</v>
      </c>
      <c r="AG1054" s="84">
        <f>INT(INT((INT((2*VLOOKUP($C1054,DexData,11,0)+INT(V1054/4)+P1054)/2)+5)*AA1054)*IF($E1054="Choice Scarf",1.5,IF($E1054="Iron Ball",0.5,1)))</f>
        <v>60</v>
      </c>
      <c r="AH1054" s="84" t="str">
        <f>VLOOKUP(VLOOKUP($C1054,DexData,3,0),Aliases!D$2:E$19,2,0)&amp;IFERROR("/"&amp;VLOOKUP(VLOOKUP($C1054,DexData,4,0),Aliases!D$2:E$19,2,0),"")</f>
        <v>GRD/RCK</v>
      </c>
      <c r="AI1054" s="7">
        <v>0.0</v>
      </c>
      <c r="AJ1054" s="7">
        <f>IF(VLOOKUP(B1054,'Set Odds'!A$2:AN$1067,40,0),1,IF(VLOOKUP(B1054,'Set Odds'!A$2:AO$1067,41,0),2,0))</f>
        <v>2</v>
      </c>
      <c r="AK1054" s="87" t="s">
        <v>4669</v>
      </c>
      <c r="AL1054" s="7" t="str">
        <f t="shared" si="1"/>
        <v/>
      </c>
    </row>
    <row r="1055" ht="12.75" customHeight="1">
      <c r="A1055" s="86">
        <v>1054.0</v>
      </c>
      <c r="B1055" s="84" t="s">
        <v>4677</v>
      </c>
      <c r="C1055" s="7" t="s">
        <v>3438</v>
      </c>
      <c r="D1055" s="7" t="s">
        <v>2692</v>
      </c>
      <c r="E1055" s="7" t="s">
        <v>3726</v>
      </c>
      <c r="F1055" s="84" t="s">
        <v>2764</v>
      </c>
      <c r="G1055" s="84" t="s">
        <v>2762</v>
      </c>
      <c r="H1055" s="84" t="s">
        <v>3454</v>
      </c>
      <c r="I1055" s="84" t="s">
        <v>3135</v>
      </c>
      <c r="J1055" s="7" t="s">
        <v>3442</v>
      </c>
      <c r="K1055" s="7">
        <v>31.0</v>
      </c>
      <c r="L1055" s="7">
        <v>31.0</v>
      </c>
      <c r="M1055" s="7">
        <v>31.0</v>
      </c>
      <c r="N1055" s="7">
        <v>0.0</v>
      </c>
      <c r="O1055" s="7">
        <v>31.0</v>
      </c>
      <c r="P1055" s="7">
        <v>31.0</v>
      </c>
      <c r="Q1055" s="7">
        <v>4.0</v>
      </c>
      <c r="R1055" s="7">
        <v>252.0</v>
      </c>
      <c r="S1055" s="7">
        <v>0.0</v>
      </c>
      <c r="T1055" s="7">
        <v>0.0</v>
      </c>
      <c r="U1055" s="7">
        <v>0.0</v>
      </c>
      <c r="V1055" s="7">
        <v>252.0</v>
      </c>
      <c r="W1055" s="7">
        <f>VLOOKUP($D1055,NatureChart,2,0)</f>
        <v>1</v>
      </c>
      <c r="X1055" s="7">
        <f>VLOOKUP($D1055,NatureChart,3,0)</f>
        <v>1</v>
      </c>
      <c r="Y1055" s="7">
        <f>VLOOKUP($D1055,NatureChart,4,0)</f>
        <v>0.9</v>
      </c>
      <c r="Z1055" s="7">
        <f>VLOOKUP($D1055,NatureChart,5,0)</f>
        <v>1</v>
      </c>
      <c r="AA1055" s="84">
        <f>VLOOKUP($D1055,NatureChart,6,0)</f>
        <v>1.1</v>
      </c>
      <c r="AB1055" s="84">
        <f>IF($C1055="Shedinja",1,(INT((2*VLOOKUP($C1055,DexData,5,0)+INT(Q1055/4)+K1055)/2)+60))</f>
        <v>167</v>
      </c>
      <c r="AC1055" s="84">
        <f>INT(INT((INT((2*VLOOKUP($C1055,DexData,6,0)+INT(R1055/4)+L1055)/2)+5)*W1055)*IF($E1055="Choice Band",1.5,IF(OR($E1055="Mawilite",$E1055="Medichamite",$E1055="Thick Club"),2,1)))</f>
        <v>186</v>
      </c>
      <c r="AD1055" s="84">
        <f>INT(INT((INT((2*VLOOKUP($C1055,DexData,7,0)+INT(S1055/4)+M1055)/2)+5)*X1055)*IF($E1055="Eviolite",1.5,1))</f>
        <v>115</v>
      </c>
      <c r="AE1055" s="84">
        <f>INT(INT((INT((2*VLOOKUP($C1055,DexData,9,0)+INT(T1055/4)+N1055)/2)+5)*Y1055)*IF($E1055="Choice Specs",1.5,1))</f>
        <v>94</v>
      </c>
      <c r="AF1055" s="84">
        <f>INT(INT((INT((2*VLOOKUP($C1055,DexData,10,0)+INT(U1055/4)+O1055)/2)+5)*Z1055)*IF(OR($E1055="Eviolite",$E1055="Assault Vest"),1.5,1))</f>
        <v>120</v>
      </c>
      <c r="AG1055" s="84">
        <f>INT(INT((INT((2*VLOOKUP($C1055,DexData,11,0)+INT(V1055/4)+P1055)/2)+5)*AA1055)*IF($E1055="Choice Scarf",1.5,IF($E1055="Iron Ball",0.5,1)))</f>
        <v>145</v>
      </c>
      <c r="AH1055" s="84" t="str">
        <f>VLOOKUP(VLOOKUP($C1055,DexData,3,0),Aliases!D$2:E$19,2,0)&amp;IFERROR("/"&amp;VLOOKUP(VLOOKUP($C1055,DexData,4,0),Aliases!D$2:E$19,2,0),"")</f>
        <v>DRG/FLY</v>
      </c>
      <c r="AI1055" s="7">
        <v>1.0</v>
      </c>
      <c r="AJ1055" s="7">
        <f>IF(VLOOKUP(B1055,'Set Odds'!A$2:AN$1067,40,0),1,IF(VLOOKUP(B1055,'Set Odds'!A$2:AO$1067,41,0),2,0))</f>
        <v>2</v>
      </c>
      <c r="AK1055" s="87" t="s">
        <v>4669</v>
      </c>
      <c r="AL1055" s="7" t="str">
        <f t="shared" si="1"/>
        <v/>
      </c>
    </row>
    <row r="1056" ht="12.75" customHeight="1">
      <c r="A1056" s="86">
        <v>1055.0</v>
      </c>
      <c r="B1056" s="84" t="s">
        <v>4678</v>
      </c>
      <c r="C1056" s="7" t="s">
        <v>3619</v>
      </c>
      <c r="D1056" s="7" t="s">
        <v>2692</v>
      </c>
      <c r="E1056" s="7" t="s">
        <v>2618</v>
      </c>
      <c r="F1056" s="84" t="s">
        <v>2869</v>
      </c>
      <c r="G1056" s="84" t="s">
        <v>3447</v>
      </c>
      <c r="H1056" s="84" t="s">
        <v>2517</v>
      </c>
      <c r="I1056" s="84" t="s">
        <v>3031</v>
      </c>
      <c r="J1056" s="7" t="s">
        <v>3114</v>
      </c>
      <c r="K1056" s="7">
        <v>31.0</v>
      </c>
      <c r="L1056" s="7">
        <v>31.0</v>
      </c>
      <c r="M1056" s="7">
        <v>31.0</v>
      </c>
      <c r="N1056" s="7">
        <v>0.0</v>
      </c>
      <c r="O1056" s="7">
        <v>31.0</v>
      </c>
      <c r="P1056" s="7">
        <v>31.0</v>
      </c>
      <c r="Q1056" s="7">
        <v>4.0</v>
      </c>
      <c r="R1056" s="7">
        <v>252.0</v>
      </c>
      <c r="S1056" s="7">
        <v>0.0</v>
      </c>
      <c r="T1056" s="7">
        <v>0.0</v>
      </c>
      <c r="U1056" s="7">
        <v>0.0</v>
      </c>
      <c r="V1056" s="7">
        <v>252.0</v>
      </c>
      <c r="W1056" s="7">
        <f>VLOOKUP($D1056,NatureChart,2,0)</f>
        <v>1</v>
      </c>
      <c r="X1056" s="7">
        <f>VLOOKUP($D1056,NatureChart,3,0)</f>
        <v>1</v>
      </c>
      <c r="Y1056" s="7">
        <f>VLOOKUP($D1056,NatureChart,4,0)</f>
        <v>0.9</v>
      </c>
      <c r="Z1056" s="7">
        <f>VLOOKUP($D1056,NatureChart,5,0)</f>
        <v>1</v>
      </c>
      <c r="AA1056" s="84">
        <f>VLOOKUP($D1056,NatureChart,6,0)</f>
        <v>1.1</v>
      </c>
      <c r="AB1056" s="84">
        <f>IF($C1056="Shedinja",1,(INT((2*VLOOKUP($C1056,DexData,5,0)+INT(Q1056/4)+K1056)/2)+60))</f>
        <v>160</v>
      </c>
      <c r="AC1056" s="84">
        <f>INT(INT((INT((2*VLOOKUP($C1056,DexData,6,0)+INT(R1056/4)+L1056)/2)+5)*W1056)*IF($E1056="Choice Band",1.5,IF(OR($E1056="Mawilite",$E1056="Medichamite",$E1056="Thick Club"),2,1)))</f>
        <v>138</v>
      </c>
      <c r="AD1056" s="84">
        <f>INT(INT((INT((2*VLOOKUP($C1056,DexData,7,0)+INT(S1056/4)+M1056)/2)+5)*X1056)*IF($E1056="Eviolite",1.5,1))</f>
        <v>108</v>
      </c>
      <c r="AE1056" s="84">
        <f>INT(INT((INT((2*VLOOKUP($C1056,DexData,9,0)+INT(T1056/4)+N1056)/2)+5)*Y1056)*IF($E1056="Choice Specs",1.5,1))</f>
        <v>104</v>
      </c>
      <c r="AF1056" s="84">
        <f>INT(INT((INT((2*VLOOKUP($C1056,DexData,10,0)+INT(U1056/4)+O1056)/2)+5)*Z1056)*IF(OR($E1056="Eviolite",$E1056="Assault Vest"),1.5,1))</f>
        <v>121</v>
      </c>
      <c r="AG1056" s="84">
        <f>INT(INT((INT((2*VLOOKUP($C1056,DexData,11,0)+INT(V1056/4)+P1056)/2)+5)*AA1056)*IF($E1056="Choice Scarf",1.5,IF($E1056="Iron Ball",0.5,1)))</f>
        <v>123</v>
      </c>
      <c r="AH1056" s="84" t="str">
        <f>VLOOKUP(VLOOKUP($C1056,DexData,3,0),Aliases!D$2:E$19,2,0)&amp;IFERROR("/"&amp;VLOOKUP(VLOOKUP($C1056,DexData,4,0),Aliases!D$2:E$19,2,0),"")</f>
        <v>WTR/STL</v>
      </c>
      <c r="AI1056" s="7">
        <v>0.0</v>
      </c>
      <c r="AJ1056" s="7">
        <f>IF(VLOOKUP(B1056,'Set Odds'!A$2:AN$1067,40,0),1,IF(VLOOKUP(B1056,'Set Odds'!A$2:AO$1067,41,0),2,0))</f>
        <v>2</v>
      </c>
      <c r="AK1056" s="87" t="s">
        <v>4679</v>
      </c>
      <c r="AL1056" s="7" t="str">
        <f t="shared" si="1"/>
        <v/>
      </c>
    </row>
    <row r="1057" ht="12.75" customHeight="1">
      <c r="A1057" s="86">
        <v>1056.0</v>
      </c>
      <c r="B1057" s="84" t="s">
        <v>4680</v>
      </c>
      <c r="C1057" s="7" t="s">
        <v>3432</v>
      </c>
      <c r="D1057" s="7" t="s">
        <v>2571</v>
      </c>
      <c r="E1057" s="7" t="s">
        <v>3433</v>
      </c>
      <c r="F1057" s="7" t="s">
        <v>3454</v>
      </c>
      <c r="G1057" s="7" t="s">
        <v>2757</v>
      </c>
      <c r="H1057" s="7" t="s">
        <v>3390</v>
      </c>
      <c r="I1057" s="7" t="s">
        <v>3135</v>
      </c>
      <c r="J1057" s="7" t="s">
        <v>2747</v>
      </c>
      <c r="K1057" s="7">
        <v>31.0</v>
      </c>
      <c r="L1057" s="7">
        <v>31.0</v>
      </c>
      <c r="M1057" s="7">
        <v>31.0</v>
      </c>
      <c r="N1057" s="7">
        <v>0.0</v>
      </c>
      <c r="O1057" s="7">
        <v>31.0</v>
      </c>
      <c r="P1057" s="7">
        <v>31.0</v>
      </c>
      <c r="Q1057" s="7">
        <v>252.0</v>
      </c>
      <c r="R1057" s="7">
        <v>252.0</v>
      </c>
      <c r="S1057" s="7">
        <v>4.0</v>
      </c>
      <c r="T1057" s="7">
        <v>0.0</v>
      </c>
      <c r="U1057" s="7">
        <v>0.0</v>
      </c>
      <c r="V1057" s="7">
        <v>0.0</v>
      </c>
      <c r="W1057" s="7">
        <f>VLOOKUP($D1057,NatureChart,2,0)</f>
        <v>1.1</v>
      </c>
      <c r="X1057" s="7">
        <f>VLOOKUP($D1057,NatureChart,3,0)</f>
        <v>1</v>
      </c>
      <c r="Y1057" s="7">
        <f>VLOOKUP($D1057,NatureChart,4,0)</f>
        <v>0.9</v>
      </c>
      <c r="Z1057" s="7">
        <f>VLOOKUP($D1057,NatureChart,5,0)</f>
        <v>1</v>
      </c>
      <c r="AA1057" s="84">
        <f>VLOOKUP($D1057,NatureChart,6,0)</f>
        <v>1</v>
      </c>
      <c r="AB1057" s="84">
        <f>IF($C1057="Shedinja",1,(INT((2*VLOOKUP($C1057,DexData,5,0)+INT(Q1057/4)+K1057)/2)+60))</f>
        <v>222</v>
      </c>
      <c r="AC1057" s="84">
        <f>INT(INT((INT((2*VLOOKUP($C1057,DexData,6,0)+INT(R1057/4)+L1057)/2)+5)*W1057)*IF($E1057="Choice Band",1.5,IF(OR($E1057="Mawilite",$E1057="Medichamite",$E1057="Thick Club"),2,1)))</f>
        <v>211</v>
      </c>
      <c r="AD1057" s="84">
        <f>INT(INT((INT((2*VLOOKUP($C1057,DexData,7,0)+INT(S1057/4)+M1057)/2)+5)*X1057)*IF($E1057="Eviolite",1.5,1))</f>
        <v>151</v>
      </c>
      <c r="AE1057" s="84">
        <f>INT(INT((INT((2*VLOOKUP($C1057,DexData,9,0)+INT(T1057/4)+N1057)/2)+5)*Y1057)*IF($E1057="Choice Specs",1.5,1))</f>
        <v>54</v>
      </c>
      <c r="AF1057" s="84">
        <f>INT(INT((INT((2*VLOOKUP($C1057,DexData,10,0)+INT(U1057/4)+O1057)/2)+5)*Z1057)*IF(OR($E1057="Eviolite",$E1057="Assault Vest"),1.5,1))</f>
        <v>75</v>
      </c>
      <c r="AG1057" s="84">
        <f>INT(INT((INT((2*VLOOKUP($C1057,DexData,11,0)+INT(V1057/4)+P1057)/2)+5)*AA1057)*IF($E1057="Choice Scarf",1.5,IF($E1057="Iron Ball",0.5,1)))</f>
        <v>60</v>
      </c>
      <c r="AH1057" s="84" t="str">
        <f>VLOOKUP(VLOOKUP($C1057,DexData,3,0),Aliases!D$2:E$19,2,0)&amp;IFERROR("/"&amp;VLOOKUP(VLOOKUP($C1057,DexData,4,0),Aliases!D$2:E$19,2,0),"")</f>
        <v>GRD/RCK</v>
      </c>
      <c r="AI1057" s="7">
        <v>0.0</v>
      </c>
      <c r="AJ1057" s="7">
        <f>IF(VLOOKUP(B1057,'Set Odds'!A$2:AN$1067,40,0),1,IF(VLOOKUP(B1057,'Set Odds'!A$2:AO$1067,41,0),2,0))</f>
        <v>2</v>
      </c>
      <c r="AK1057" s="87" t="s">
        <v>4681</v>
      </c>
      <c r="AL1057" s="7" t="str">
        <f t="shared" si="1"/>
        <v/>
      </c>
    </row>
    <row r="1058" ht="12.75" customHeight="1">
      <c r="A1058" s="86">
        <v>1057.0</v>
      </c>
      <c r="B1058" s="84" t="s">
        <v>4682</v>
      </c>
      <c r="C1058" s="7" t="s">
        <v>3676</v>
      </c>
      <c r="D1058" s="7" t="s">
        <v>2571</v>
      </c>
      <c r="E1058" s="7" t="s">
        <v>2665</v>
      </c>
      <c r="F1058" s="7" t="s">
        <v>3483</v>
      </c>
      <c r="G1058" s="7" t="s">
        <v>3538</v>
      </c>
      <c r="H1058" s="7" t="s">
        <v>3319</v>
      </c>
      <c r="I1058" s="7" t="s">
        <v>3314</v>
      </c>
      <c r="J1058" s="7" t="s">
        <v>2696</v>
      </c>
      <c r="K1058" s="7">
        <v>31.0</v>
      </c>
      <c r="L1058" s="7">
        <v>31.0</v>
      </c>
      <c r="M1058" s="7">
        <v>31.0</v>
      </c>
      <c r="N1058" s="7">
        <v>0.0</v>
      </c>
      <c r="O1058" s="7">
        <v>31.0</v>
      </c>
      <c r="P1058" s="7">
        <v>31.0</v>
      </c>
      <c r="Q1058" s="7">
        <v>4.0</v>
      </c>
      <c r="R1058" s="7">
        <v>252.0</v>
      </c>
      <c r="S1058" s="7">
        <v>0.0</v>
      </c>
      <c r="T1058" s="7">
        <v>0.0</v>
      </c>
      <c r="U1058" s="7">
        <v>0.0</v>
      </c>
      <c r="V1058" s="7">
        <v>252.0</v>
      </c>
      <c r="W1058" s="7">
        <f>VLOOKUP($D1058,NatureChart,2,0)</f>
        <v>1.1</v>
      </c>
      <c r="X1058" s="7">
        <f>VLOOKUP($D1058,NatureChart,3,0)</f>
        <v>1</v>
      </c>
      <c r="Y1058" s="7">
        <f>VLOOKUP($D1058,NatureChart,4,0)</f>
        <v>0.9</v>
      </c>
      <c r="Z1058" s="7">
        <f>VLOOKUP($D1058,NatureChart,5,0)</f>
        <v>1</v>
      </c>
      <c r="AA1058" s="84">
        <f>VLOOKUP($D1058,NatureChart,6,0)</f>
        <v>1</v>
      </c>
      <c r="AB1058" s="84">
        <f>IF($C1058="Shedinja",1,(INT((2*VLOOKUP($C1058,DexData,5,0)+INT(Q1058/4)+K1058)/2)+60))</f>
        <v>161</v>
      </c>
      <c r="AC1058" s="84">
        <f>INT(INT((INT((2*VLOOKUP($C1058,DexData,6,0)+INT(R1058/4)+L1058)/2)+5)*W1058)*IF($E1058="Choice Band",1.5,IF(OR($E1058="Mawilite",$E1058="Medichamite",$E1058="Thick Club"),2,1)))</f>
        <v>189</v>
      </c>
      <c r="AD1058" s="84">
        <f>INT(INT((INT((2*VLOOKUP($C1058,DexData,7,0)+INT(S1058/4)+M1058)/2)+5)*X1058)*IF($E1058="Eviolite",1.5,1))</f>
        <v>90</v>
      </c>
      <c r="AE1058" s="84">
        <f>INT(INT((INT((2*VLOOKUP($C1058,DexData,9,0)+INT(T1058/4)+N1058)/2)+5)*Y1058)*IF($E1058="Choice Specs",1.5,1))</f>
        <v>49</v>
      </c>
      <c r="AF1058" s="84">
        <f>INT(INT((INT((2*VLOOKUP($C1058,DexData,10,0)+INT(U1058/4)+O1058)/2)+5)*Z1058)*IF(OR($E1058="Eviolite",$E1058="Assault Vest"),1.5,1))</f>
        <v>80</v>
      </c>
      <c r="AG1058" s="84">
        <f>INT(INT((INT((2*VLOOKUP($C1058,DexData,11,0)+INT(V1058/4)+P1058)/2)+5)*AA1058)*IF($E1058="Choice Scarf",1.5,IF($E1058="Iron Ball",0.5,1)))</f>
        <v>228</v>
      </c>
      <c r="AH1058" s="84" t="str">
        <f>VLOOKUP(VLOOKUP($C1058,DexData,3,0),Aliases!D$2:E$19,2,0)&amp;IFERROR("/"&amp;VLOOKUP(VLOOKUP($C1058,DexData,4,0),Aliases!D$2:E$19,2,0),"")</f>
        <v>NRM/FLY</v>
      </c>
      <c r="AI1058" s="7">
        <v>0.0</v>
      </c>
      <c r="AJ1058" s="7">
        <f>IF(VLOOKUP(B1058,'Set Odds'!A$2:AN$1067,40,0),1,IF(VLOOKUP(B1058,'Set Odds'!A$2:AO$1067,41,0),2,0))</f>
        <v>2</v>
      </c>
      <c r="AK1058" s="87" t="s">
        <v>4679</v>
      </c>
      <c r="AL1058" s="7" t="str">
        <f t="shared" si="1"/>
        <v/>
      </c>
    </row>
    <row r="1059" ht="12.75" customHeight="1">
      <c r="A1059" s="86">
        <v>1058.0</v>
      </c>
      <c r="B1059" s="84" t="s">
        <v>4683</v>
      </c>
      <c r="C1059" s="7" t="s">
        <v>3958</v>
      </c>
      <c r="D1059" s="7" t="s">
        <v>2635</v>
      </c>
      <c r="E1059" s="7" t="s">
        <v>2685</v>
      </c>
      <c r="F1059" s="7" t="s">
        <v>4213</v>
      </c>
      <c r="G1059" s="7" t="s">
        <v>2517</v>
      </c>
      <c r="H1059" s="7" t="s">
        <v>3524</v>
      </c>
      <c r="I1059" s="7" t="s">
        <v>3959</v>
      </c>
      <c r="J1059" s="7" t="s">
        <v>3016</v>
      </c>
      <c r="K1059" s="7">
        <v>31.0</v>
      </c>
      <c r="L1059" s="7">
        <v>0.0</v>
      </c>
      <c r="M1059" s="7">
        <v>31.0</v>
      </c>
      <c r="N1059" s="7">
        <v>31.0</v>
      </c>
      <c r="O1059" s="7">
        <v>31.0</v>
      </c>
      <c r="P1059" s="7">
        <v>31.0</v>
      </c>
      <c r="Q1059" s="7">
        <v>252.0</v>
      </c>
      <c r="R1059" s="7">
        <v>0.0</v>
      </c>
      <c r="S1059" s="7">
        <v>0.0</v>
      </c>
      <c r="T1059" s="7">
        <v>4.0</v>
      </c>
      <c r="U1059" s="7">
        <v>0.0</v>
      </c>
      <c r="V1059" s="7">
        <v>252.0</v>
      </c>
      <c r="W1059" s="7">
        <f>VLOOKUP($D1059,NatureChart,2,0)</f>
        <v>0.9</v>
      </c>
      <c r="X1059" s="7">
        <f>VLOOKUP($D1059,NatureChart,3,0)</f>
        <v>1</v>
      </c>
      <c r="Y1059" s="7">
        <f>VLOOKUP($D1059,NatureChart,4,0)</f>
        <v>1</v>
      </c>
      <c r="Z1059" s="7">
        <f>VLOOKUP($D1059,NatureChart,5,0)</f>
        <v>1</v>
      </c>
      <c r="AA1059" s="84">
        <f>VLOOKUP($D1059,NatureChart,6,0)</f>
        <v>1.1</v>
      </c>
      <c r="AB1059" s="84">
        <f>IF($C1059="Shedinja",1,(INT((2*VLOOKUP($C1059,DexData,5,0)+INT(Q1059/4)+K1059)/2)+60))</f>
        <v>198</v>
      </c>
      <c r="AC1059" s="84">
        <f>INT(INT((INT((2*VLOOKUP($C1059,DexData,6,0)+INT(R1059/4)+L1059)/2)+5)*W1059)*IF($E1059="Choice Band",1.5,IF(OR($E1059="Mawilite",$E1059="Medichamite",$E1059="Thick Club"),2,1)))</f>
        <v>85</v>
      </c>
      <c r="AD1059" s="84">
        <f>INT(INT((INT((2*VLOOKUP($C1059,DexData,7,0)+INT(S1059/4)+M1059)/2)+5)*X1059)*IF($E1059="Eviolite",1.5,1))</f>
        <v>126</v>
      </c>
      <c r="AE1059" s="84">
        <f>INT(INT((INT((2*VLOOKUP($C1059,DexData,9,0)+INT(T1059/4)+N1059)/2)+5)*Y1059)*IF($E1059="Choice Specs",1.5,1))</f>
        <v>151</v>
      </c>
      <c r="AF1059" s="84">
        <f>INT(INT((INT((2*VLOOKUP($C1059,DexData,10,0)+INT(U1059/4)+O1059)/2)+5)*Z1059)*IF(OR($E1059="Eviolite",$E1059="Assault Vest"),1.5,1))</f>
        <v>126</v>
      </c>
      <c r="AG1059" s="84">
        <f>INT(INT((INT((2*VLOOKUP($C1059,DexData,11,0)+INT(V1059/4)+P1059)/2)+5)*AA1059)*IF($E1059="Choice Scarf",1.5,IF($E1059="Iron Ball",0.5,1)))</f>
        <v>141</v>
      </c>
      <c r="AH1059" s="84" t="str">
        <f>VLOOKUP(VLOOKUP($C1059,DexData,3,0),Aliases!D$2:E$19,2,0)&amp;IFERROR("/"&amp;VLOOKUP(VLOOKUP($C1059,DexData,4,0),Aliases!D$2:E$19,2,0),"")</f>
        <v>FIR/STL</v>
      </c>
      <c r="AI1059" s="7">
        <v>0.0</v>
      </c>
      <c r="AJ1059" s="7">
        <f>IF(VLOOKUP(B1059,'Set Odds'!A$2:AN$1067,40,0),1,IF(VLOOKUP(B1059,'Set Odds'!A$2:AO$1067,41,0),2,0))</f>
        <v>2</v>
      </c>
      <c r="AK1059" s="87" t="s">
        <v>4681</v>
      </c>
      <c r="AL1059" s="7">
        <f t="shared" si="1"/>
        <v>1</v>
      </c>
    </row>
    <row r="1060" ht="12.75" customHeight="1">
      <c r="A1060" s="86">
        <v>1059.0</v>
      </c>
      <c r="B1060" s="84" t="s">
        <v>4684</v>
      </c>
      <c r="C1060" s="7" t="s">
        <v>3786</v>
      </c>
      <c r="D1060" s="7" t="s">
        <v>2692</v>
      </c>
      <c r="E1060" s="7" t="s">
        <v>2665</v>
      </c>
      <c r="F1060" s="7" t="s">
        <v>3483</v>
      </c>
      <c r="G1060" s="7" t="s">
        <v>2625</v>
      </c>
      <c r="H1060" s="7" t="s">
        <v>3454</v>
      </c>
      <c r="I1060" s="7" t="s">
        <v>2594</v>
      </c>
      <c r="J1060" s="7" t="s">
        <v>3788</v>
      </c>
      <c r="K1060" s="7">
        <v>31.0</v>
      </c>
      <c r="L1060" s="7">
        <v>31.0</v>
      </c>
      <c r="M1060" s="7">
        <v>31.0</v>
      </c>
      <c r="N1060" s="7">
        <v>0.0</v>
      </c>
      <c r="O1060" s="7">
        <v>31.0</v>
      </c>
      <c r="P1060" s="7">
        <v>31.0</v>
      </c>
      <c r="Q1060" s="7">
        <v>4.0</v>
      </c>
      <c r="R1060" s="7">
        <v>252.0</v>
      </c>
      <c r="S1060" s="7">
        <v>0.0</v>
      </c>
      <c r="T1060" s="7">
        <v>0.0</v>
      </c>
      <c r="U1060" s="7">
        <v>0.0</v>
      </c>
      <c r="V1060" s="7">
        <v>252.0</v>
      </c>
      <c r="W1060" s="7">
        <f>VLOOKUP($D1060,NatureChart,2,0)</f>
        <v>1</v>
      </c>
      <c r="X1060" s="7">
        <f>VLOOKUP($D1060,NatureChart,3,0)</f>
        <v>1</v>
      </c>
      <c r="Y1060" s="7">
        <f>VLOOKUP($D1060,NatureChart,4,0)</f>
        <v>0.9</v>
      </c>
      <c r="Z1060" s="7">
        <f>VLOOKUP($D1060,NatureChart,5,0)</f>
        <v>1</v>
      </c>
      <c r="AA1060" s="84">
        <f>VLOOKUP($D1060,NatureChart,6,0)</f>
        <v>1.1</v>
      </c>
      <c r="AB1060" s="84">
        <f>IF($C1060="Shedinja",1,(INT((2*VLOOKUP($C1060,DexData,5,0)+INT(Q1060/4)+K1060)/2)+60))</f>
        <v>156</v>
      </c>
      <c r="AC1060" s="84">
        <f>INT(INT((INT((2*VLOOKUP($C1060,DexData,6,0)+INT(R1060/4)+L1060)/2)+5)*W1060)*IF($E1060="Choice Band",1.5,IF(OR($E1060="Mawilite",$E1060="Medichamite",$E1060="Thick Club"),2,1)))</f>
        <v>177</v>
      </c>
      <c r="AD1060" s="84">
        <f>INT(INT((INT((2*VLOOKUP($C1060,DexData,7,0)+INT(S1060/4)+M1060)/2)+5)*X1060)*IF($E1060="Eviolite",1.5,1))</f>
        <v>95</v>
      </c>
      <c r="AE1060" s="84">
        <f>INT(INT((INT((2*VLOOKUP($C1060,DexData,9,0)+INT(T1060/4)+N1060)/2)+5)*Y1060)*IF($E1060="Choice Specs",1.5,1))</f>
        <v>40</v>
      </c>
      <c r="AF1060" s="84">
        <f>INT(INT((INT((2*VLOOKUP($C1060,DexData,10,0)+INT(U1060/4)+O1060)/2)+5)*Z1060)*IF(OR($E1060="Eviolite",$E1060="Assault Vest"),1.5,1))</f>
        <v>115</v>
      </c>
      <c r="AG1060" s="84">
        <f>INT(INT((INT((2*VLOOKUP($C1060,DexData,11,0)+INT(V1060/4)+P1060)/2)+5)*AA1060)*IF($E1060="Choice Scarf",1.5,IF($E1060="Iron Ball",0.5,1)))</f>
        <v>225</v>
      </c>
      <c r="AH1060" s="84" t="str">
        <f>VLOOKUP(VLOOKUP($C1060,DexData,3,0),Aliases!D$2:E$19,2,0)&amp;IFERROR("/"&amp;VLOOKUP(VLOOKUP($C1060,DexData,4,0),Aliases!D$2:E$19,2,0),"")</f>
        <v>BUG/FTG</v>
      </c>
      <c r="AI1060" s="7">
        <v>0.0</v>
      </c>
      <c r="AJ1060" s="7">
        <f>IF(VLOOKUP(B1060,'Set Odds'!A$2:AN$1067,40,0),1,IF(VLOOKUP(B1060,'Set Odds'!A$2:AO$1067,41,0),2,0))</f>
        <v>2</v>
      </c>
      <c r="AK1060" s="87" t="s">
        <v>4679</v>
      </c>
      <c r="AL1060" s="7" t="str">
        <f t="shared" si="1"/>
        <v/>
      </c>
    </row>
    <row r="1061" ht="12.75" customHeight="1">
      <c r="A1061" s="86">
        <v>1060.0</v>
      </c>
      <c r="B1061" s="84" t="s">
        <v>4685</v>
      </c>
      <c r="C1061" s="7" t="s">
        <v>3438</v>
      </c>
      <c r="D1061" s="7" t="s">
        <v>2571</v>
      </c>
      <c r="E1061" s="7" t="s">
        <v>2885</v>
      </c>
      <c r="F1061" s="7" t="s">
        <v>3160</v>
      </c>
      <c r="G1061" s="7" t="s">
        <v>2762</v>
      </c>
      <c r="H1061" s="7" t="s">
        <v>3454</v>
      </c>
      <c r="I1061" s="7" t="s">
        <v>3135</v>
      </c>
      <c r="J1061" s="7" t="s">
        <v>3442</v>
      </c>
      <c r="K1061" s="7">
        <v>31.0</v>
      </c>
      <c r="L1061" s="7">
        <v>31.0</v>
      </c>
      <c r="M1061" s="7">
        <v>31.0</v>
      </c>
      <c r="N1061" s="7">
        <v>0.0</v>
      </c>
      <c r="O1061" s="7">
        <v>31.0</v>
      </c>
      <c r="P1061" s="7">
        <v>31.0</v>
      </c>
      <c r="Q1061" s="7">
        <v>4.0</v>
      </c>
      <c r="R1061" s="7">
        <v>252.0</v>
      </c>
      <c r="S1061" s="7">
        <v>0.0</v>
      </c>
      <c r="T1061" s="7">
        <v>0.0</v>
      </c>
      <c r="U1061" s="7">
        <v>0.0</v>
      </c>
      <c r="V1061" s="7">
        <v>252.0</v>
      </c>
      <c r="W1061" s="7">
        <f>VLOOKUP($D1061,NatureChart,2,0)</f>
        <v>1.1</v>
      </c>
      <c r="X1061" s="7">
        <f>VLOOKUP($D1061,NatureChart,3,0)</f>
        <v>1</v>
      </c>
      <c r="Y1061" s="7">
        <f>VLOOKUP($D1061,NatureChart,4,0)</f>
        <v>0.9</v>
      </c>
      <c r="Z1061" s="7">
        <f>VLOOKUP($D1061,NatureChart,5,0)</f>
        <v>1</v>
      </c>
      <c r="AA1061" s="84">
        <f>VLOOKUP($D1061,NatureChart,6,0)</f>
        <v>1</v>
      </c>
      <c r="AB1061" s="84">
        <f>IF($C1061="Shedinja",1,(INT((2*VLOOKUP($C1061,DexData,5,0)+INT(Q1061/4)+K1061)/2)+60))</f>
        <v>167</v>
      </c>
      <c r="AC1061" s="84">
        <f>INT(INT((INT((2*VLOOKUP($C1061,DexData,6,0)+INT(R1061/4)+L1061)/2)+5)*W1061)*IF($E1061="Choice Band",1.5,IF(OR($E1061="Mawilite",$E1061="Medichamite",$E1061="Thick Club"),2,1)))</f>
        <v>306</v>
      </c>
      <c r="AD1061" s="84">
        <f>INT(INT((INT((2*VLOOKUP($C1061,DexData,7,0)+INT(S1061/4)+M1061)/2)+5)*X1061)*IF($E1061="Eviolite",1.5,1))</f>
        <v>115</v>
      </c>
      <c r="AE1061" s="84">
        <f>INT(INT((INT((2*VLOOKUP($C1061,DexData,9,0)+INT(T1061/4)+N1061)/2)+5)*Y1061)*IF($E1061="Choice Specs",1.5,1))</f>
        <v>94</v>
      </c>
      <c r="AF1061" s="84">
        <f>INT(INT((INT((2*VLOOKUP($C1061,DexData,10,0)+INT(U1061/4)+O1061)/2)+5)*Z1061)*IF(OR($E1061="Eviolite",$E1061="Assault Vest"),1.5,1))</f>
        <v>120</v>
      </c>
      <c r="AG1061" s="84">
        <f>INT(INT((INT((2*VLOOKUP($C1061,DexData,11,0)+INT(V1061/4)+P1061)/2)+5)*AA1061)*IF($E1061="Choice Scarf",1.5,IF($E1061="Iron Ball",0.5,1)))</f>
        <v>132</v>
      </c>
      <c r="AH1061" s="84" t="str">
        <f>VLOOKUP(VLOOKUP($C1061,DexData,3,0),Aliases!D$2:E$19,2,0)&amp;IFERROR("/"&amp;VLOOKUP(VLOOKUP($C1061,DexData,4,0),Aliases!D$2:E$19,2,0),"")</f>
        <v>DRG/FLY</v>
      </c>
      <c r="AI1061" s="7">
        <v>1.0</v>
      </c>
      <c r="AJ1061" s="7">
        <f>IF(VLOOKUP(B1061,'Set Odds'!A$2:AN$1067,40,0),1,IF(VLOOKUP(B1061,'Set Odds'!A$2:AO$1067,41,0),2,0))</f>
        <v>2</v>
      </c>
      <c r="AK1061" s="87" t="s">
        <v>4681</v>
      </c>
      <c r="AL1061" s="7" t="str">
        <f t="shared" si="1"/>
        <v/>
      </c>
    </row>
    <row r="1062" ht="12.75" customHeight="1">
      <c r="A1062" s="86">
        <v>1061.0</v>
      </c>
      <c r="B1062" s="84" t="s">
        <v>4686</v>
      </c>
      <c r="C1062" s="7" t="s">
        <v>3616</v>
      </c>
      <c r="D1062" s="7" t="s">
        <v>2692</v>
      </c>
      <c r="E1062" s="7" t="s">
        <v>2515</v>
      </c>
      <c r="F1062" s="7" t="s">
        <v>2513</v>
      </c>
      <c r="G1062" s="7" t="s">
        <v>3483</v>
      </c>
      <c r="H1062" s="7" t="s">
        <v>3160</v>
      </c>
      <c r="I1062" s="7" t="s">
        <v>2877</v>
      </c>
      <c r="J1062" s="7" t="s">
        <v>3487</v>
      </c>
      <c r="K1062" s="7">
        <v>31.0</v>
      </c>
      <c r="L1062" s="7">
        <v>31.0</v>
      </c>
      <c r="M1062" s="7">
        <v>31.0</v>
      </c>
      <c r="N1062" s="7">
        <v>0.0</v>
      </c>
      <c r="O1062" s="7">
        <v>31.0</v>
      </c>
      <c r="P1062" s="7">
        <v>31.0</v>
      </c>
      <c r="Q1062" s="7">
        <v>4.0</v>
      </c>
      <c r="R1062" s="7">
        <v>252.0</v>
      </c>
      <c r="S1062" s="7">
        <v>0.0</v>
      </c>
      <c r="T1062" s="7">
        <v>0.0</v>
      </c>
      <c r="U1062" s="7">
        <v>0.0</v>
      </c>
      <c r="V1062" s="7">
        <v>252.0</v>
      </c>
      <c r="W1062" s="7">
        <f>VLOOKUP($D1062,NatureChart,2,0)</f>
        <v>1</v>
      </c>
      <c r="X1062" s="7">
        <f>VLOOKUP($D1062,NatureChart,3,0)</f>
        <v>1</v>
      </c>
      <c r="Y1062" s="7">
        <f>VLOOKUP($D1062,NatureChart,4,0)</f>
        <v>0.9</v>
      </c>
      <c r="Z1062" s="7">
        <f>VLOOKUP($D1062,NatureChart,5,0)</f>
        <v>1</v>
      </c>
      <c r="AA1062" s="84">
        <f>VLOOKUP($D1062,NatureChart,6,0)</f>
        <v>1.1</v>
      </c>
      <c r="AB1062" s="84">
        <f>IF($C1062="Shedinja",1,(INT((2*VLOOKUP($C1062,DexData,5,0)+INT(Q1062/4)+K1062)/2)+60))</f>
        <v>152</v>
      </c>
      <c r="AC1062" s="84">
        <f>INT(INT((INT((2*VLOOKUP($C1062,DexData,6,0)+INT(R1062/4)+L1062)/2)+5)*W1062)*IF($E1062="Choice Band",1.5,IF(OR($E1062="Mawilite",$E1062="Medichamite",$E1062="Thick Club"),2,1)))</f>
        <v>156</v>
      </c>
      <c r="AD1062" s="84">
        <f>INT(INT((INT((2*VLOOKUP($C1062,DexData,7,0)+INT(S1062/4)+M1062)/2)+5)*X1062)*IF($E1062="Eviolite",1.5,1))</f>
        <v>91</v>
      </c>
      <c r="AE1062" s="84">
        <f>INT(INT((INT((2*VLOOKUP($C1062,DexData,9,0)+INT(T1062/4)+N1062)/2)+5)*Y1062)*IF($E1062="Choice Specs",1.5,1))</f>
        <v>98</v>
      </c>
      <c r="AF1062" s="84">
        <f>INT(INT((INT((2*VLOOKUP($C1062,DexData,10,0)+INT(U1062/4)+O1062)/2)+5)*Z1062)*IF(OR($E1062="Eviolite",$E1062="Assault Vest"),1.5,1))</f>
        <v>91</v>
      </c>
      <c r="AG1062" s="84">
        <f>INT(INT((INT((2*VLOOKUP($C1062,DexData,11,0)+INT(V1062/4)+P1062)/2)+5)*AA1062)*IF($E1062="Choice Scarf",1.5,IF($E1062="Iron Ball",0.5,1)))</f>
        <v>176</v>
      </c>
      <c r="AH1062" s="84" t="str">
        <f>VLOOKUP(VLOOKUP($C1062,DexData,3,0),Aliases!D$2:E$19,2,0)&amp;IFERROR("/"&amp;VLOOKUP(VLOOKUP($C1062,DexData,4,0),Aliases!D$2:E$19,2,0),"")</f>
        <v>FIR/FTG</v>
      </c>
      <c r="AI1062" s="7">
        <v>0.0</v>
      </c>
      <c r="AJ1062" s="7">
        <f>IF(VLOOKUP(B1062,'Set Odds'!A$2:AN$1067,40,0),1,IF(VLOOKUP(B1062,'Set Odds'!A$2:AO$1067,41,0),2,0))</f>
        <v>2</v>
      </c>
      <c r="AK1062" s="87" t="s">
        <v>4679</v>
      </c>
      <c r="AL1062" s="7" t="str">
        <f t="shared" si="1"/>
        <v/>
      </c>
    </row>
    <row r="1063" ht="12.75" customHeight="1">
      <c r="A1063" s="86">
        <v>1062.0</v>
      </c>
      <c r="B1063" s="84" t="s">
        <v>4687</v>
      </c>
      <c r="C1063" s="7" t="s">
        <v>3962</v>
      </c>
      <c r="D1063" s="7" t="s">
        <v>2862</v>
      </c>
      <c r="E1063" s="7" t="s">
        <v>2636</v>
      </c>
      <c r="F1063" s="7" t="s">
        <v>2956</v>
      </c>
      <c r="G1063" s="7" t="s">
        <v>2763</v>
      </c>
      <c r="H1063" s="7" t="s">
        <v>2938</v>
      </c>
      <c r="I1063" s="7" t="s">
        <v>2823</v>
      </c>
      <c r="J1063" s="7" t="s">
        <v>2714</v>
      </c>
      <c r="K1063" s="7">
        <v>31.0</v>
      </c>
      <c r="L1063" s="7">
        <v>0.0</v>
      </c>
      <c r="M1063" s="7">
        <v>31.0</v>
      </c>
      <c r="N1063" s="7">
        <v>31.0</v>
      </c>
      <c r="O1063" s="7">
        <v>31.0</v>
      </c>
      <c r="P1063" s="7">
        <v>31.0</v>
      </c>
      <c r="Q1063" s="7">
        <v>252.0</v>
      </c>
      <c r="R1063" s="7">
        <v>0.0</v>
      </c>
      <c r="S1063" s="7">
        <v>252.0</v>
      </c>
      <c r="T1063" s="7">
        <v>4.0</v>
      </c>
      <c r="U1063" s="7">
        <v>0.0</v>
      </c>
      <c r="V1063" s="7">
        <v>0.0</v>
      </c>
      <c r="W1063" s="7">
        <f>VLOOKUP($D1063,NatureChart,2,0)</f>
        <v>0.9</v>
      </c>
      <c r="X1063" s="7">
        <f>VLOOKUP($D1063,NatureChart,3,0)</f>
        <v>1.1</v>
      </c>
      <c r="Y1063" s="7">
        <f>VLOOKUP($D1063,NatureChart,4,0)</f>
        <v>1</v>
      </c>
      <c r="Z1063" s="7">
        <f>VLOOKUP($D1063,NatureChart,5,0)</f>
        <v>1</v>
      </c>
      <c r="AA1063" s="84">
        <f>VLOOKUP($D1063,NatureChart,6,0)</f>
        <v>1</v>
      </c>
      <c r="AB1063" s="84">
        <f>IF($C1063="Shedinja",1,(INT((2*VLOOKUP($C1063,DexData,5,0)+INT(Q1063/4)+K1063)/2)+60))</f>
        <v>227</v>
      </c>
      <c r="AC1063" s="84">
        <f>INT(INT((INT((2*VLOOKUP($C1063,DexData,6,0)+INT(R1063/4)+L1063)/2)+5)*W1063)*IF($E1063="Choice Band",1.5,IF(OR($E1063="Mawilite",$E1063="Medichamite",$E1063="Thick Club"),2,1)))</f>
        <v>67</v>
      </c>
      <c r="AD1063" s="84">
        <f>INT(INT((INT((2*VLOOKUP($C1063,DexData,7,0)+INT(S1063/4)+M1063)/2)+5)*X1063)*IF($E1063="Eviolite",1.5,1))</f>
        <v>189</v>
      </c>
      <c r="AE1063" s="84">
        <f>INT(INT((INT((2*VLOOKUP($C1063,DexData,9,0)+INT(T1063/4)+N1063)/2)+5)*Y1063)*IF($E1063="Choice Specs",1.5,1))</f>
        <v>96</v>
      </c>
      <c r="AF1063" s="84">
        <f>INT(INT((INT((2*VLOOKUP($C1063,DexData,10,0)+INT(U1063/4)+O1063)/2)+5)*Z1063)*IF(OR($E1063="Eviolite",$E1063="Assault Vest"),1.5,1))</f>
        <v>150</v>
      </c>
      <c r="AG1063" s="84">
        <f>INT(INT((INT((2*VLOOKUP($C1063,DexData,11,0)+INT(V1063/4)+P1063)/2)+5)*AA1063)*IF($E1063="Choice Scarf",1.5,IF($E1063="Iron Ball",0.5,1)))</f>
        <v>105</v>
      </c>
      <c r="AH1063" s="84" t="str">
        <f>VLOOKUP(VLOOKUP($C1063,DexData,3,0),Aliases!D$2:E$19,2,0)&amp;IFERROR("/"&amp;VLOOKUP(VLOOKUP($C1063,DexData,4,0),Aliases!D$2:E$19,2,0),"")</f>
        <v>PSY</v>
      </c>
      <c r="AI1063" s="7">
        <v>1.0</v>
      </c>
      <c r="AJ1063" s="7">
        <f>IF(VLOOKUP(B1063,'Set Odds'!A$2:AN$1067,40,0),1,IF(VLOOKUP(B1063,'Set Odds'!A$2:AO$1067,41,0),2,0))</f>
        <v>2</v>
      </c>
      <c r="AK1063" s="87" t="s">
        <v>4681</v>
      </c>
      <c r="AL1063" s="7" t="str">
        <f t="shared" si="1"/>
        <v/>
      </c>
    </row>
    <row r="1064" ht="12.75" customHeight="1">
      <c r="A1064" s="86">
        <v>1063.0</v>
      </c>
      <c r="B1064" s="84" t="s">
        <v>4688</v>
      </c>
      <c r="C1064" s="7" t="s">
        <v>3613</v>
      </c>
      <c r="D1064" s="7" t="s">
        <v>2648</v>
      </c>
      <c r="E1064" s="7" t="s">
        <v>2516</v>
      </c>
      <c r="F1064" s="7" t="s">
        <v>2756</v>
      </c>
      <c r="G1064" s="7" t="s">
        <v>4019</v>
      </c>
      <c r="H1064" s="7" t="s">
        <v>3015</v>
      </c>
      <c r="I1064" s="7" t="s">
        <v>2856</v>
      </c>
      <c r="J1064" s="7" t="s">
        <v>3088</v>
      </c>
      <c r="K1064" s="7">
        <v>31.0</v>
      </c>
      <c r="L1064" s="7">
        <v>31.0</v>
      </c>
      <c r="M1064" s="7">
        <v>31.0</v>
      </c>
      <c r="N1064" s="7">
        <v>0.0</v>
      </c>
      <c r="O1064" s="7">
        <v>31.0</v>
      </c>
      <c r="P1064" s="7">
        <v>31.0</v>
      </c>
      <c r="Q1064" s="7">
        <v>252.0</v>
      </c>
      <c r="R1064" s="7">
        <v>4.0</v>
      </c>
      <c r="S1064" s="7">
        <v>252.0</v>
      </c>
      <c r="T1064" s="7">
        <v>0.0</v>
      </c>
      <c r="U1064" s="7">
        <v>0.0</v>
      </c>
      <c r="V1064" s="7">
        <v>0.0</v>
      </c>
      <c r="W1064" s="7">
        <f>VLOOKUP($D1064,NatureChart,2,0)</f>
        <v>1</v>
      </c>
      <c r="X1064" s="7">
        <f>VLOOKUP($D1064,NatureChart,3,0)</f>
        <v>1.1</v>
      </c>
      <c r="Y1064" s="7">
        <f>VLOOKUP($D1064,NatureChart,4,0)</f>
        <v>0.9</v>
      </c>
      <c r="Z1064" s="7">
        <f>VLOOKUP($D1064,NatureChart,5,0)</f>
        <v>1</v>
      </c>
      <c r="AA1064" s="84">
        <f>VLOOKUP($D1064,NatureChart,6,0)</f>
        <v>1</v>
      </c>
      <c r="AB1064" s="84">
        <f>IF($C1064="Shedinja",1,(INT((2*VLOOKUP($C1064,DexData,5,0)+INT(Q1064/4)+K1064)/2)+60))</f>
        <v>202</v>
      </c>
      <c r="AC1064" s="84">
        <f>INT(INT((INT((2*VLOOKUP($C1064,DexData,6,0)+INT(R1064/4)+L1064)/2)+5)*W1064)*IF($E1064="Choice Band",1.5,IF(OR($E1064="Mawilite",$E1064="Medichamite",$E1064="Thick Club"),2,1)))</f>
        <v>130</v>
      </c>
      <c r="AD1064" s="84">
        <f>INT(INT((INT((2*VLOOKUP($C1064,DexData,7,0)+INT(S1064/4)+M1064)/2)+5)*X1064)*IF($E1064="Eviolite",1.5,1))</f>
        <v>172</v>
      </c>
      <c r="AE1064" s="84">
        <f>INT(INT((INT((2*VLOOKUP($C1064,DexData,9,0)+INT(T1064/4)+N1064)/2)+5)*Y1064)*IF($E1064="Choice Specs",1.5,1))</f>
        <v>72</v>
      </c>
      <c r="AF1064" s="84">
        <f>INT(INT((INT((2*VLOOKUP($C1064,DexData,10,0)+INT(U1064/4)+O1064)/2)+5)*Z1064)*IF(OR($E1064="Eviolite",$E1064="Assault Vest"),1.5,1))</f>
        <v>105</v>
      </c>
      <c r="AG1064" s="84">
        <f>INT(INT((INT((2*VLOOKUP($C1064,DexData,11,0)+INT(V1064/4)+P1064)/2)+5)*AA1064)*IF($E1064="Choice Scarf",1.5,IF($E1064="Iron Ball",0.5,1)))</f>
        <v>76</v>
      </c>
      <c r="AH1064" s="84" t="str">
        <f>VLOOKUP(VLOOKUP($C1064,DexData,3,0),Aliases!D$2:E$19,2,0)&amp;IFERROR("/"&amp;VLOOKUP(VLOOKUP($C1064,DexData,4,0),Aliases!D$2:E$19,2,0),"")</f>
        <v>GRS/GRD</v>
      </c>
      <c r="AI1064" s="7">
        <v>0.0</v>
      </c>
      <c r="AJ1064" s="7">
        <f>IF(VLOOKUP(B1064,'Set Odds'!A$2:AN$1067,40,0),1,IF(VLOOKUP(B1064,'Set Odds'!A$2:AO$1067,41,0),2,0))</f>
        <v>2</v>
      </c>
      <c r="AK1064" s="87" t="s">
        <v>4679</v>
      </c>
      <c r="AL1064" s="7" t="str">
        <f t="shared" si="1"/>
        <v/>
      </c>
    </row>
    <row r="1065" ht="12.75" customHeight="1">
      <c r="A1065" s="86">
        <v>1064.0</v>
      </c>
      <c r="B1065" s="84" t="s">
        <v>4689</v>
      </c>
      <c r="C1065" s="7" t="s">
        <v>3426</v>
      </c>
      <c r="D1065" s="7" t="s">
        <v>2635</v>
      </c>
      <c r="E1065" s="7" t="s">
        <v>3096</v>
      </c>
      <c r="F1065" s="7" t="s">
        <v>3611</v>
      </c>
      <c r="G1065" s="7" t="s">
        <v>2823</v>
      </c>
      <c r="H1065" s="7" t="s">
        <v>3341</v>
      </c>
      <c r="I1065" s="7" t="s">
        <v>2517</v>
      </c>
      <c r="J1065" s="7" t="s">
        <v>3377</v>
      </c>
      <c r="K1065" s="7">
        <v>31.0</v>
      </c>
      <c r="L1065" s="7">
        <v>0.0</v>
      </c>
      <c r="M1065" s="7">
        <v>31.0</v>
      </c>
      <c r="N1065" s="7">
        <v>31.0</v>
      </c>
      <c r="O1065" s="7">
        <v>31.0</v>
      </c>
      <c r="P1065" s="7">
        <v>31.0</v>
      </c>
      <c r="Q1065" s="7">
        <v>4.0</v>
      </c>
      <c r="R1065" s="7">
        <v>0.0</v>
      </c>
      <c r="S1065" s="7">
        <v>0.0</v>
      </c>
      <c r="T1065" s="7">
        <v>252.0</v>
      </c>
      <c r="U1065" s="7">
        <v>0.0</v>
      </c>
      <c r="V1065" s="7">
        <v>252.0</v>
      </c>
      <c r="W1065" s="7">
        <f>VLOOKUP($D1065,NatureChart,2,0)</f>
        <v>0.9</v>
      </c>
      <c r="X1065" s="7">
        <f>VLOOKUP($D1065,NatureChart,3,0)</f>
        <v>1</v>
      </c>
      <c r="Y1065" s="7">
        <f>VLOOKUP($D1065,NatureChart,4,0)</f>
        <v>1</v>
      </c>
      <c r="Z1065" s="7">
        <f>VLOOKUP($D1065,NatureChart,5,0)</f>
        <v>1</v>
      </c>
      <c r="AA1065" s="84">
        <f>VLOOKUP($D1065,NatureChart,6,0)</f>
        <v>1.1</v>
      </c>
      <c r="AB1065" s="84">
        <f>IF($C1065="Shedinja",1,(INT((2*VLOOKUP($C1065,DexData,5,0)+INT(Q1065/4)+K1065)/2)+60))</f>
        <v>171</v>
      </c>
      <c r="AC1065" s="84">
        <f>INT(INT((INT((2*VLOOKUP($C1065,DexData,6,0)+INT(R1065/4)+L1065)/2)+5)*W1065)*IF($E1065="Choice Band",1.5,IF(OR($E1065="Mawilite",$E1065="Medichamite",$E1065="Thick Club"),2,1)))</f>
        <v>58</v>
      </c>
      <c r="AD1065" s="84">
        <f>INT(INT((INT((2*VLOOKUP($C1065,DexData,7,0)+INT(S1065/4)+M1065)/2)+5)*X1065)*IF($E1065="Eviolite",1.5,1))</f>
        <v>99</v>
      </c>
      <c r="AE1065" s="84">
        <f>INT(INT((INT((2*VLOOKUP($C1065,DexData,9,0)+INT(T1065/4)+N1065)/2)+5)*Y1065)*IF($E1065="Choice Specs",1.5,1))</f>
        <v>152</v>
      </c>
      <c r="AF1065" s="84">
        <f>INT(INT((INT((2*VLOOKUP($C1065,DexData,10,0)+INT(U1065/4)+O1065)/2)+5)*Z1065)*IF(OR($E1065="Eviolite",$E1065="Assault Vest"),1.5,1))</f>
        <v>145</v>
      </c>
      <c r="AG1065" s="84">
        <f>INT(INT((INT((2*VLOOKUP($C1065,DexData,11,0)+INT(V1065/4)+P1065)/2)+5)*AA1065)*IF($E1065="Choice Scarf",1.5,IF($E1065="Iron Ball",0.5,1)))</f>
        <v>146</v>
      </c>
      <c r="AH1065" s="84" t="str">
        <f>VLOOKUP(VLOOKUP($C1065,DexData,3,0),Aliases!D$2:E$19,2,0)&amp;IFERROR("/"&amp;VLOOKUP(VLOOKUP($C1065,DexData,4,0),Aliases!D$2:E$19,2,0),"")</f>
        <v>WTR</v>
      </c>
      <c r="AI1065" s="7">
        <v>0.0</v>
      </c>
      <c r="AJ1065" s="7">
        <f>IF(VLOOKUP(B1065,'Set Odds'!A$2:AN$1067,40,0),1,IF(VLOOKUP(B1065,'Set Odds'!A$2:AO$1067,41,0),2,0))</f>
        <v>2</v>
      </c>
      <c r="AK1065" s="87" t="s">
        <v>4681</v>
      </c>
      <c r="AL1065" s="7" t="str">
        <f t="shared" si="1"/>
        <v/>
      </c>
    </row>
    <row r="1066" ht="12.75" customHeight="1">
      <c r="A1066" s="86">
        <v>1065.0</v>
      </c>
      <c r="B1066" s="84" t="s">
        <v>4690</v>
      </c>
      <c r="C1066" s="7" t="s">
        <v>3909</v>
      </c>
      <c r="D1066" s="7" t="s">
        <v>2571</v>
      </c>
      <c r="E1066" s="7" t="s">
        <v>4545</v>
      </c>
      <c r="F1066" s="7" t="s">
        <v>2593</v>
      </c>
      <c r="G1066" s="7" t="s">
        <v>2632</v>
      </c>
      <c r="H1066" s="7" t="s">
        <v>3160</v>
      </c>
      <c r="I1066" s="7" t="s">
        <v>3015</v>
      </c>
      <c r="J1066" s="7" t="s">
        <v>3207</v>
      </c>
      <c r="K1066" s="7">
        <v>31.0</v>
      </c>
      <c r="L1066" s="7">
        <v>31.0</v>
      </c>
      <c r="M1066" s="7">
        <v>31.0</v>
      </c>
      <c r="N1066" s="7">
        <v>0.0</v>
      </c>
      <c r="O1066" s="7">
        <v>31.0</v>
      </c>
      <c r="P1066" s="7">
        <v>31.0</v>
      </c>
      <c r="Q1066" s="7">
        <v>4.0</v>
      </c>
      <c r="R1066" s="7">
        <v>252.0</v>
      </c>
      <c r="S1066" s="7">
        <v>252.0</v>
      </c>
      <c r="T1066" s="7">
        <v>0.0</v>
      </c>
      <c r="U1066" s="7">
        <v>0.0</v>
      </c>
      <c r="V1066" s="7">
        <v>0.0</v>
      </c>
      <c r="W1066" s="7">
        <f>VLOOKUP($D1066,NatureChart,2,0)</f>
        <v>1.1</v>
      </c>
      <c r="X1066" s="7">
        <f>VLOOKUP($D1066,NatureChart,3,0)</f>
        <v>1</v>
      </c>
      <c r="Y1066" s="7">
        <f>VLOOKUP($D1066,NatureChart,4,0)</f>
        <v>0.9</v>
      </c>
      <c r="Z1066" s="7">
        <f>VLOOKUP($D1066,NatureChart,5,0)</f>
        <v>1</v>
      </c>
      <c r="AA1066" s="84">
        <f>VLOOKUP($D1066,NatureChart,6,0)</f>
        <v>1</v>
      </c>
      <c r="AB1066" s="84">
        <f>IF($C1066="Shedinja",1,(INT((2*VLOOKUP($C1066,DexData,5,0)+INT(Q1066/4)+K1066)/2)+60))</f>
        <v>236</v>
      </c>
      <c r="AC1066" s="84">
        <f>INT(INT((INT((2*VLOOKUP($C1066,DexData,6,0)+INT(R1066/4)+L1066)/2)+5)*W1066)*IF($E1066="Choice Band",1.5,IF(OR($E1066="Mawilite",$E1066="Medichamite",$E1066="Thick Club"),2,1)))</f>
        <v>178</v>
      </c>
      <c r="AD1066" s="84">
        <f>INT(INT((INT((2*VLOOKUP($C1066,DexData,7,0)+INT(S1066/4)+M1066)/2)+5)*X1066)*IF($E1066="Eviolite",1.5,1))</f>
        <v>117</v>
      </c>
      <c r="AE1066" s="84">
        <f>INT(INT((INT((2*VLOOKUP($C1066,DexData,9,0)+INT(T1066/4)+N1066)/2)+5)*Y1066)*IF($E1066="Choice Specs",1.5,1))</f>
        <v>63</v>
      </c>
      <c r="AF1066" s="84">
        <f>INT(INT((INT((2*VLOOKUP($C1066,DexData,10,0)+INT(U1066/4)+O1066)/2)+5)*Z1066)*IF(OR($E1066="Eviolite",$E1066="Assault Vest"),1.5,1))</f>
        <v>130</v>
      </c>
      <c r="AG1066" s="84">
        <f>INT(INT((INT((2*VLOOKUP($C1066,DexData,11,0)+INT(V1066/4)+P1066)/2)+5)*AA1066)*IF($E1066="Choice Scarf",1.5,IF($E1066="Iron Ball",0.5,1)))</f>
        <v>50</v>
      </c>
      <c r="AH1066" s="84" t="str">
        <f>VLOOKUP(VLOOKUP($C1066,DexData,3,0),Aliases!D$2:E$19,2,0)&amp;IFERROR("/"&amp;VLOOKUP(VLOOKUP($C1066,DexData,4,0),Aliases!D$2:E$19,2,0),"")</f>
        <v>NRM</v>
      </c>
      <c r="AI1066" s="7">
        <v>0.0</v>
      </c>
      <c r="AJ1066" s="7">
        <f>IF(VLOOKUP(B1066,'Set Odds'!A$2:AN$1067,40,0),1,IF(VLOOKUP(B1066,'Set Odds'!A$2:AO$1067,41,0),2,0))</f>
        <v>2</v>
      </c>
      <c r="AK1066" s="87" t="s">
        <v>4679</v>
      </c>
      <c r="AL1066" s="7" t="str">
        <f t="shared" si="1"/>
        <v/>
      </c>
    </row>
    <row r="1067" ht="12.75" customHeight="1">
      <c r="A1067" s="86">
        <v>1066.0</v>
      </c>
      <c r="B1067" s="84" t="s">
        <v>4691</v>
      </c>
      <c r="C1067" s="7" t="s">
        <v>3958</v>
      </c>
      <c r="D1067" s="7" t="s">
        <v>2656</v>
      </c>
      <c r="E1067" s="7" t="s">
        <v>2515</v>
      </c>
      <c r="F1067" s="7" t="s">
        <v>4213</v>
      </c>
      <c r="G1067" s="7" t="s">
        <v>3524</v>
      </c>
      <c r="H1067" s="7" t="s">
        <v>3427</v>
      </c>
      <c r="I1067" s="7" t="s">
        <v>2832</v>
      </c>
      <c r="J1067" s="7" t="s">
        <v>3016</v>
      </c>
      <c r="K1067" s="7">
        <v>31.0</v>
      </c>
      <c r="L1067" s="7">
        <v>0.0</v>
      </c>
      <c r="M1067" s="7">
        <v>31.0</v>
      </c>
      <c r="N1067" s="7">
        <v>31.0</v>
      </c>
      <c r="O1067" s="7">
        <v>31.0</v>
      </c>
      <c r="P1067" s="7">
        <v>31.0</v>
      </c>
      <c r="Q1067" s="7">
        <v>4.0</v>
      </c>
      <c r="R1067" s="7">
        <v>0.0</v>
      </c>
      <c r="S1067" s="7">
        <v>0.0</v>
      </c>
      <c r="T1067" s="7">
        <v>252.0</v>
      </c>
      <c r="U1067" s="7">
        <v>0.0</v>
      </c>
      <c r="V1067" s="7">
        <v>252.0</v>
      </c>
      <c r="W1067" s="7">
        <f>VLOOKUP($D1067,NatureChart,2,0)</f>
        <v>0.9</v>
      </c>
      <c r="X1067" s="7">
        <f>VLOOKUP($D1067,NatureChart,3,0)</f>
        <v>1</v>
      </c>
      <c r="Y1067" s="7">
        <f>VLOOKUP($D1067,NatureChart,4,0)</f>
        <v>1.1</v>
      </c>
      <c r="Z1067" s="7">
        <f>VLOOKUP($D1067,NatureChart,5,0)</f>
        <v>1</v>
      </c>
      <c r="AA1067" s="84">
        <f>VLOOKUP($D1067,NatureChart,6,0)</f>
        <v>1</v>
      </c>
      <c r="AB1067" s="84">
        <f>IF($C1067="Shedinja",1,(INT((2*VLOOKUP($C1067,DexData,5,0)+INT(Q1067/4)+K1067)/2)+60))</f>
        <v>167</v>
      </c>
      <c r="AC1067" s="84">
        <f>INT(INT((INT((2*VLOOKUP($C1067,DexData,6,0)+INT(R1067/4)+L1067)/2)+5)*W1067)*IF($E1067="Choice Band",1.5,IF(OR($E1067="Mawilite",$E1067="Medichamite",$E1067="Thick Club"),2,1)))</f>
        <v>85</v>
      </c>
      <c r="AD1067" s="84">
        <f>INT(INT((INT((2*VLOOKUP($C1067,DexData,7,0)+INT(S1067/4)+M1067)/2)+5)*X1067)*IF($E1067="Eviolite",1.5,1))</f>
        <v>126</v>
      </c>
      <c r="AE1067" s="84">
        <f>INT(INT((INT((2*VLOOKUP($C1067,DexData,9,0)+INT(T1067/4)+N1067)/2)+5)*Y1067)*IF($E1067="Choice Specs",1.5,1))</f>
        <v>200</v>
      </c>
      <c r="AF1067" s="84">
        <f>INT(INT((INT((2*VLOOKUP($C1067,DexData,10,0)+INT(U1067/4)+O1067)/2)+5)*Z1067)*IF(OR($E1067="Eviolite",$E1067="Assault Vest"),1.5,1))</f>
        <v>126</v>
      </c>
      <c r="AG1067" s="84">
        <f>INT(INT((INT((2*VLOOKUP($C1067,DexData,11,0)+INT(V1067/4)+P1067)/2)+5)*AA1067)*IF($E1067="Choice Scarf",1.5,IF($E1067="Iron Ball",0.5,1)))</f>
        <v>129</v>
      </c>
      <c r="AH1067" s="84" t="str">
        <f>VLOOKUP(VLOOKUP($C1067,DexData,3,0),Aliases!D$2:E$19,2,0)&amp;IFERROR("/"&amp;VLOOKUP(VLOOKUP($C1067,DexData,4,0),Aliases!D$2:E$19,2,0),"")</f>
        <v>FIR/STL</v>
      </c>
      <c r="AI1067" s="7">
        <v>0.0</v>
      </c>
      <c r="AJ1067" s="7">
        <f>IF(VLOOKUP(B1067,'Set Odds'!A$2:AN$1067,40,0),1,IF(VLOOKUP(B1067,'Set Odds'!A$2:AO$1067,41,0),2,0))</f>
        <v>2</v>
      </c>
      <c r="AK1067" s="87" t="s">
        <v>4681</v>
      </c>
      <c r="AL1067" s="7">
        <f t="shared" si="1"/>
        <v>1</v>
      </c>
    </row>
    <row r="1068" ht="12.75" customHeight="1">
      <c r="A1068" s="86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I1068" s="7"/>
      <c r="AJ1068" s="87"/>
      <c r="AK1068" s="87"/>
      <c r="AL1068" s="7">
        <f>SUM(AL2:AL1067)</f>
        <v>13</v>
      </c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0"/>
    <col customWidth="1" min="2" max="2" width="9.0"/>
    <col customWidth="1" min="3" max="3" width="19.14"/>
    <col customWidth="1" min="4" max="4" width="9.0"/>
    <col customWidth="1" min="5" max="5" width="19.14"/>
    <col customWidth="1" min="6" max="6" width="25.14"/>
    <col customWidth="1" min="7" max="10" width="12.86"/>
    <col customWidth="1" min="11" max="11" width="6.71"/>
    <col customWidth="1" min="12" max="14" width="5.29"/>
    <col customWidth="1" min="15" max="19" width="9.71"/>
    <col customWidth="1" min="20" max="20" width="48.43"/>
  </cols>
  <sheetData>
    <row r="1" ht="12.75" customHeight="1">
      <c r="A1" s="7"/>
      <c r="B1" s="7" t="s">
        <v>4692</v>
      </c>
      <c r="C1" s="7" t="s">
        <v>4693</v>
      </c>
      <c r="D1" s="7" t="s">
        <v>4694</v>
      </c>
      <c r="E1" s="7" t="s">
        <v>4695</v>
      </c>
      <c r="F1" s="82" t="s">
        <v>4696</v>
      </c>
      <c r="G1" s="7" t="s">
        <v>4697</v>
      </c>
      <c r="H1" s="7" t="s">
        <v>4698</v>
      </c>
      <c r="I1" s="84" t="s">
        <v>4699</v>
      </c>
      <c r="J1" s="82" t="s">
        <v>4700</v>
      </c>
      <c r="K1" s="7" t="str">
        <f>'Team Search'!H2</f>
        <v>auston</v>
      </c>
      <c r="L1" s="7" t="str">
        <f>PROPER('Pokemon Search'!E20)</f>
        <v/>
      </c>
      <c r="M1" s="7" t="str">
        <f>PROPER('Pokemon Search'!I20)</f>
        <v>Scizor-6</v>
      </c>
      <c r="N1" s="7" t="str">
        <f>PROPER('Pokemon Search'!K20)</f>
        <v/>
      </c>
      <c r="O1" s="7" t="str">
        <f>LEFT(PROPER('Pokemon Search'!E20),6)</f>
        <v/>
      </c>
      <c r="P1" s="7" t="str">
        <f>IF(LEN(PROPER('Pokemon Search'!I21)),IFERROR(VLOOKUP(PROPER('Pokemon Search'!I21),Aliases!D25:E43,2,0),"ERR"),"")</f>
        <v>M</v>
      </c>
      <c r="Q1" s="7"/>
      <c r="R1" s="7"/>
      <c r="S1" s="7"/>
      <c r="T1" s="7"/>
    </row>
    <row r="2" ht="12.75" customHeight="1">
      <c r="A2" s="7">
        <v>1.0</v>
      </c>
      <c r="B2" s="84" t="s">
        <v>42</v>
      </c>
      <c r="C2" s="84" t="s">
        <v>4701</v>
      </c>
      <c r="F2" s="7" t="s">
        <v>4702</v>
      </c>
      <c r="G2" s="7" t="s">
        <v>2621</v>
      </c>
      <c r="H2" s="7" t="s">
        <v>2892</v>
      </c>
      <c r="I2" s="7" t="s">
        <v>3078</v>
      </c>
      <c r="K2" s="7" t="str">
        <f t="shared" ref="K2:K2004" si="2">IF(AND(LEN(K$1),OR(K$1=B2,K$1=D2)),A2,"")</f>
        <v/>
      </c>
      <c r="L2" s="7" t="str">
        <f t="shared" ref="L2:L1012" si="3">IF(LEN(L$1),IF(L$1=G2,1,0),"")</f>
        <v/>
      </c>
      <c r="M2" s="7">
        <f t="shared" ref="M2:N2" si="1">IF(LEN(M$1),COUNTIF($G2:$I2,M$1),"")</f>
        <v>0</v>
      </c>
      <c r="N2" s="7" t="str">
        <f t="shared" si="1"/>
        <v/>
      </c>
      <c r="O2" s="7" t="str">
        <f t="shared" ref="O2:O1012" si="5">IF(LEN(O$1),IF(O$1="Single",1,0),"")</f>
        <v/>
      </c>
      <c r="P2" s="7">
        <f t="shared" ref="P2:P101" si="6">IF(LEN(P$1),IF(P$1=1,1,0),"")</f>
        <v>0</v>
      </c>
      <c r="Q2" s="7" t="str">
        <f t="shared" ref="Q2:Q1712" si="7">IF(AND(LEN(L$1&amp;M$1&amp;N$1),PRODUCT(L2:P2)), B2,"")</f>
        <v/>
      </c>
      <c r="R2" s="7" t="s">
        <v>1761</v>
      </c>
      <c r="S2" s="7">
        <v>11.0</v>
      </c>
      <c r="T2" s="7" t="s">
        <v>4703</v>
      </c>
    </row>
    <row r="3" ht="12.75" customHeight="1">
      <c r="A3" s="7">
        <v>2.0</v>
      </c>
      <c r="B3" s="84" t="s">
        <v>42</v>
      </c>
      <c r="C3" s="84" t="s">
        <v>4701</v>
      </c>
      <c r="F3" s="7" t="s">
        <v>4702</v>
      </c>
      <c r="G3" s="7" t="s">
        <v>2774</v>
      </c>
      <c r="H3" s="7" t="s">
        <v>2922</v>
      </c>
      <c r="I3" s="7" t="s">
        <v>3103</v>
      </c>
      <c r="K3" s="7" t="str">
        <f t="shared" si="2"/>
        <v/>
      </c>
      <c r="L3" s="7" t="str">
        <f t="shared" si="3"/>
        <v/>
      </c>
      <c r="M3" s="7">
        <f t="shared" ref="M3:N3" si="4">IF(LEN(M$1),COUNTIF($G3:$I3,M$1),"")</f>
        <v>0</v>
      </c>
      <c r="N3" s="7" t="str">
        <f t="shared" si="4"/>
        <v/>
      </c>
      <c r="O3" s="7" t="str">
        <f t="shared" si="5"/>
        <v/>
      </c>
      <c r="P3" s="7">
        <f t="shared" si="6"/>
        <v>0</v>
      </c>
      <c r="Q3" s="7" t="str">
        <f t="shared" si="7"/>
        <v/>
      </c>
      <c r="R3" s="7" t="s">
        <v>2160</v>
      </c>
      <c r="S3" s="7">
        <v>8.0</v>
      </c>
      <c r="T3" s="7" t="s">
        <v>4704</v>
      </c>
    </row>
    <row r="4" ht="12.75" customHeight="1">
      <c r="A4" s="7">
        <v>3.0</v>
      </c>
      <c r="B4" s="84" t="s">
        <v>42</v>
      </c>
      <c r="C4" s="84" t="s">
        <v>4701</v>
      </c>
      <c r="F4" s="7" t="s">
        <v>4702</v>
      </c>
      <c r="G4" s="7" t="s">
        <v>2654</v>
      </c>
      <c r="H4" s="7" t="s">
        <v>2857</v>
      </c>
      <c r="I4" s="7" t="s">
        <v>2954</v>
      </c>
      <c r="K4" s="7" t="str">
        <f t="shared" si="2"/>
        <v/>
      </c>
      <c r="L4" s="7" t="str">
        <f t="shared" si="3"/>
        <v/>
      </c>
      <c r="M4" s="7">
        <f t="shared" ref="M4:N4" si="8">IF(LEN(M$1),COUNTIF($G4:$I4,M$1),"")</f>
        <v>0</v>
      </c>
      <c r="N4" s="7" t="str">
        <f t="shared" si="8"/>
        <v/>
      </c>
      <c r="O4" s="7" t="str">
        <f t="shared" si="5"/>
        <v/>
      </c>
      <c r="P4" s="7">
        <f t="shared" si="6"/>
        <v>0</v>
      </c>
      <c r="Q4" s="7" t="str">
        <f t="shared" si="7"/>
        <v/>
      </c>
      <c r="R4" s="7" t="s">
        <v>271</v>
      </c>
      <c r="S4" s="7">
        <v>8.0</v>
      </c>
      <c r="T4" s="7" t="s">
        <v>4705</v>
      </c>
    </row>
    <row r="5" ht="12.75" customHeight="1">
      <c r="A5" s="7">
        <v>4.0</v>
      </c>
      <c r="B5" s="84" t="s">
        <v>49</v>
      </c>
      <c r="C5" s="84" t="s">
        <v>4701</v>
      </c>
      <c r="F5" s="7" t="s">
        <v>4702</v>
      </c>
      <c r="G5" s="7" t="s">
        <v>2668</v>
      </c>
      <c r="H5" s="7" t="s">
        <v>2893</v>
      </c>
      <c r="I5" s="7" t="s">
        <v>3044</v>
      </c>
      <c r="K5" s="7" t="str">
        <f t="shared" si="2"/>
        <v/>
      </c>
      <c r="L5" s="7" t="str">
        <f t="shared" si="3"/>
        <v/>
      </c>
      <c r="M5" s="7">
        <f t="shared" ref="M5:N5" si="9">IF(LEN(M$1),COUNTIF($G5:$I5,M$1),"")</f>
        <v>0</v>
      </c>
      <c r="N5" s="7" t="str">
        <f t="shared" si="9"/>
        <v/>
      </c>
      <c r="O5" s="7" t="str">
        <f t="shared" si="5"/>
        <v/>
      </c>
      <c r="P5" s="7">
        <f t="shared" si="6"/>
        <v>0</v>
      </c>
      <c r="Q5" s="7" t="str">
        <f t="shared" si="7"/>
        <v/>
      </c>
      <c r="R5" s="7" t="s">
        <v>1277</v>
      </c>
      <c r="S5" s="7">
        <v>6.0</v>
      </c>
      <c r="T5" s="7" t="s">
        <v>4706</v>
      </c>
    </row>
    <row r="6" ht="12.75" customHeight="1">
      <c r="A6" s="7">
        <v>5.0</v>
      </c>
      <c r="B6" s="84" t="s">
        <v>49</v>
      </c>
      <c r="C6" s="84" t="s">
        <v>4701</v>
      </c>
      <c r="F6" s="7" t="s">
        <v>4702</v>
      </c>
      <c r="G6" s="7" t="s">
        <v>2774</v>
      </c>
      <c r="H6" s="7" t="s">
        <v>2927</v>
      </c>
      <c r="I6" s="7" t="s">
        <v>2942</v>
      </c>
      <c r="K6" s="7" t="str">
        <f t="shared" si="2"/>
        <v/>
      </c>
      <c r="L6" s="7" t="str">
        <f t="shared" si="3"/>
        <v/>
      </c>
      <c r="M6" s="7">
        <f t="shared" ref="M6:N6" si="10">IF(LEN(M$1),COUNTIF($G6:$I6,M$1),"")</f>
        <v>0</v>
      </c>
      <c r="N6" s="7" t="str">
        <f t="shared" si="10"/>
        <v/>
      </c>
      <c r="O6" s="7" t="str">
        <f t="shared" si="5"/>
        <v/>
      </c>
      <c r="P6" s="7">
        <f t="shared" si="6"/>
        <v>0</v>
      </c>
      <c r="Q6" s="7" t="str">
        <f t="shared" si="7"/>
        <v/>
      </c>
      <c r="R6" s="7" t="s">
        <v>427</v>
      </c>
      <c r="S6" s="7">
        <v>6.0</v>
      </c>
      <c r="T6" s="7" t="s">
        <v>4707</v>
      </c>
    </row>
    <row r="7" ht="12.75" customHeight="1">
      <c r="A7" s="7">
        <v>6.0</v>
      </c>
      <c r="B7" s="84" t="s">
        <v>49</v>
      </c>
      <c r="C7" s="84" t="s">
        <v>4701</v>
      </c>
      <c r="F7" s="7" t="s">
        <v>4702</v>
      </c>
      <c r="G7" s="7" t="s">
        <v>2577</v>
      </c>
      <c r="H7" s="7" t="s">
        <v>2927</v>
      </c>
      <c r="I7" s="7" t="s">
        <v>2939</v>
      </c>
      <c r="K7" s="7" t="str">
        <f t="shared" si="2"/>
        <v/>
      </c>
      <c r="L7" s="7" t="str">
        <f t="shared" si="3"/>
        <v/>
      </c>
      <c r="M7" s="7">
        <f t="shared" ref="M7:N7" si="11">IF(LEN(M$1),COUNTIF($G7:$I7,M$1),"")</f>
        <v>0</v>
      </c>
      <c r="N7" s="7" t="str">
        <f t="shared" si="11"/>
        <v/>
      </c>
      <c r="O7" s="7" t="str">
        <f t="shared" si="5"/>
        <v/>
      </c>
      <c r="P7" s="7">
        <f t="shared" si="6"/>
        <v>0</v>
      </c>
      <c r="Q7" s="7" t="str">
        <f t="shared" si="7"/>
        <v/>
      </c>
      <c r="R7" s="7" t="s">
        <v>1360</v>
      </c>
      <c r="S7" s="7">
        <v>12.0</v>
      </c>
      <c r="T7" s="7" t="s">
        <v>4708</v>
      </c>
    </row>
    <row r="8" ht="12.75" customHeight="1">
      <c r="A8" s="7">
        <v>7.0</v>
      </c>
      <c r="B8" s="84" t="s">
        <v>56</v>
      </c>
      <c r="C8" s="84" t="s">
        <v>4701</v>
      </c>
      <c r="F8" s="7" t="s">
        <v>4702</v>
      </c>
      <c r="G8" s="7" t="s">
        <v>2768</v>
      </c>
      <c r="H8" s="7" t="s">
        <v>2903</v>
      </c>
      <c r="I8" s="7" t="s">
        <v>2954</v>
      </c>
      <c r="K8" s="7" t="str">
        <f t="shared" si="2"/>
        <v/>
      </c>
      <c r="L8" s="7" t="str">
        <f t="shared" si="3"/>
        <v/>
      </c>
      <c r="M8" s="7">
        <f t="shared" ref="M8:N8" si="12">IF(LEN(M$1),COUNTIF($G8:$I8,M$1),"")</f>
        <v>0</v>
      </c>
      <c r="N8" s="7" t="str">
        <f t="shared" si="12"/>
        <v/>
      </c>
      <c r="O8" s="7" t="str">
        <f t="shared" si="5"/>
        <v/>
      </c>
      <c r="P8" s="7">
        <f t="shared" si="6"/>
        <v>0</v>
      </c>
      <c r="Q8" s="7" t="str">
        <f t="shared" si="7"/>
        <v/>
      </c>
      <c r="R8" s="7" t="s">
        <v>580</v>
      </c>
      <c r="S8" s="7">
        <v>6.0</v>
      </c>
      <c r="T8" s="7" t="s">
        <v>4709</v>
      </c>
    </row>
    <row r="9" ht="12.75" customHeight="1">
      <c r="A9" s="7">
        <v>8.0</v>
      </c>
      <c r="B9" s="84" t="s">
        <v>56</v>
      </c>
      <c r="C9" s="84" t="s">
        <v>4701</v>
      </c>
      <c r="F9" s="7" t="s">
        <v>4702</v>
      </c>
      <c r="G9" s="7" t="s">
        <v>2663</v>
      </c>
      <c r="H9" s="7" t="s">
        <v>2888</v>
      </c>
      <c r="I9" s="7" t="s">
        <v>3001</v>
      </c>
      <c r="K9" s="7" t="str">
        <f t="shared" si="2"/>
        <v/>
      </c>
      <c r="L9" s="7" t="str">
        <f t="shared" si="3"/>
        <v/>
      </c>
      <c r="M9" s="7">
        <f t="shared" ref="M9:N9" si="13">IF(LEN(M$1),COUNTIF($G9:$I9,M$1),"")</f>
        <v>0</v>
      </c>
      <c r="N9" s="7" t="str">
        <f t="shared" si="13"/>
        <v/>
      </c>
      <c r="O9" s="7" t="str">
        <f t="shared" si="5"/>
        <v/>
      </c>
      <c r="P9" s="7">
        <f t="shared" si="6"/>
        <v>0</v>
      </c>
      <c r="Q9" s="7" t="str">
        <f t="shared" si="7"/>
        <v/>
      </c>
      <c r="R9" s="7" t="s">
        <v>422</v>
      </c>
      <c r="S9" s="7">
        <v>6.0</v>
      </c>
      <c r="T9" s="7" t="s">
        <v>4709</v>
      </c>
    </row>
    <row r="10" ht="12.75" customHeight="1">
      <c r="A10" s="7">
        <v>9.0</v>
      </c>
      <c r="B10" s="84" t="s">
        <v>56</v>
      </c>
      <c r="C10" s="84" t="s">
        <v>4701</v>
      </c>
      <c r="F10" s="7" t="s">
        <v>4702</v>
      </c>
      <c r="G10" s="7" t="s">
        <v>2678</v>
      </c>
      <c r="H10" s="7" t="s">
        <v>2905</v>
      </c>
      <c r="I10" s="7" t="s">
        <v>2974</v>
      </c>
      <c r="K10" s="7" t="str">
        <f t="shared" si="2"/>
        <v/>
      </c>
      <c r="L10" s="7" t="str">
        <f t="shared" si="3"/>
        <v/>
      </c>
      <c r="M10" s="7">
        <f t="shared" ref="M10:N10" si="14">IF(LEN(M$1),COUNTIF($G10:$I10,M$1),"")</f>
        <v>0</v>
      </c>
      <c r="N10" s="7" t="str">
        <f t="shared" si="14"/>
        <v/>
      </c>
      <c r="O10" s="7" t="str">
        <f t="shared" si="5"/>
        <v/>
      </c>
      <c r="P10" s="7">
        <f t="shared" si="6"/>
        <v>0</v>
      </c>
      <c r="Q10" s="7" t="str">
        <f t="shared" si="7"/>
        <v/>
      </c>
      <c r="R10" s="7" t="s">
        <v>1012</v>
      </c>
      <c r="S10" s="7">
        <v>8.0</v>
      </c>
      <c r="T10" s="7" t="s">
        <v>4710</v>
      </c>
    </row>
    <row r="11" ht="12.75" customHeight="1">
      <c r="A11" s="7">
        <v>10.0</v>
      </c>
      <c r="B11" s="84" t="s">
        <v>64</v>
      </c>
      <c r="C11" s="84" t="s">
        <v>4711</v>
      </c>
      <c r="F11" s="7" t="s">
        <v>4702</v>
      </c>
      <c r="G11" s="7" t="s">
        <v>2783</v>
      </c>
      <c r="H11" s="7" t="s">
        <v>2921</v>
      </c>
      <c r="I11" s="7" t="s">
        <v>3103</v>
      </c>
      <c r="K11" s="7" t="str">
        <f t="shared" si="2"/>
        <v/>
      </c>
      <c r="L11" s="7" t="str">
        <f t="shared" si="3"/>
        <v/>
      </c>
      <c r="M11" s="7">
        <f t="shared" ref="M11:N11" si="15">IF(LEN(M$1),COUNTIF($G11:$I11,M$1),"")</f>
        <v>0</v>
      </c>
      <c r="N11" s="7" t="str">
        <f t="shared" si="15"/>
        <v/>
      </c>
      <c r="O11" s="7" t="str">
        <f t="shared" si="5"/>
        <v/>
      </c>
      <c r="P11" s="7">
        <f t="shared" si="6"/>
        <v>0</v>
      </c>
      <c r="Q11" s="7" t="str">
        <f t="shared" si="7"/>
        <v/>
      </c>
      <c r="R11" s="7" t="s">
        <v>2255</v>
      </c>
      <c r="S11" s="7">
        <v>7.0</v>
      </c>
      <c r="T11" s="7" t="s">
        <v>4712</v>
      </c>
    </row>
    <row r="12" ht="12.75" customHeight="1">
      <c r="A12" s="7">
        <v>11.0</v>
      </c>
      <c r="B12" s="84" t="s">
        <v>64</v>
      </c>
      <c r="C12" s="84" t="s">
        <v>4711</v>
      </c>
      <c r="F12" s="7" t="s">
        <v>4702</v>
      </c>
      <c r="G12" s="7" t="s">
        <v>2633</v>
      </c>
      <c r="H12" s="7" t="s">
        <v>2928</v>
      </c>
      <c r="I12" s="7" t="s">
        <v>2984</v>
      </c>
      <c r="K12" s="7" t="str">
        <f t="shared" si="2"/>
        <v/>
      </c>
      <c r="L12" s="7" t="str">
        <f t="shared" si="3"/>
        <v/>
      </c>
      <c r="M12" s="7">
        <f t="shared" ref="M12:N12" si="16">IF(LEN(M$1),COUNTIF($G12:$I12,M$1),"")</f>
        <v>0</v>
      </c>
      <c r="N12" s="7" t="str">
        <f t="shared" si="16"/>
        <v/>
      </c>
      <c r="O12" s="7" t="str">
        <f t="shared" si="5"/>
        <v/>
      </c>
      <c r="P12" s="7">
        <f t="shared" si="6"/>
        <v>0</v>
      </c>
      <c r="Q12" s="7" t="str">
        <f t="shared" si="7"/>
        <v/>
      </c>
      <c r="R12" s="7" t="s">
        <v>1330</v>
      </c>
      <c r="S12" s="7">
        <v>6.0</v>
      </c>
      <c r="T12" s="7" t="s">
        <v>4706</v>
      </c>
    </row>
    <row r="13" ht="12.75" customHeight="1">
      <c r="A13" s="7">
        <v>12.0</v>
      </c>
      <c r="B13" s="84" t="s">
        <v>64</v>
      </c>
      <c r="C13" s="84" t="s">
        <v>4711</v>
      </c>
      <c r="F13" s="7" t="s">
        <v>4702</v>
      </c>
      <c r="G13" s="7" t="s">
        <v>2721</v>
      </c>
      <c r="H13" s="7" t="s">
        <v>2906</v>
      </c>
      <c r="I13" s="7" t="s">
        <v>2942</v>
      </c>
      <c r="K13" s="7" t="str">
        <f t="shared" si="2"/>
        <v/>
      </c>
      <c r="L13" s="7" t="str">
        <f t="shared" si="3"/>
        <v/>
      </c>
      <c r="M13" s="7">
        <f t="shared" ref="M13:N13" si="17">IF(LEN(M$1),COUNTIF($G13:$I13,M$1),"")</f>
        <v>0</v>
      </c>
      <c r="N13" s="7" t="str">
        <f t="shared" si="17"/>
        <v/>
      </c>
      <c r="O13" s="7" t="str">
        <f t="shared" si="5"/>
        <v/>
      </c>
      <c r="P13" s="7">
        <f t="shared" si="6"/>
        <v>0</v>
      </c>
      <c r="Q13" s="7" t="str">
        <f t="shared" si="7"/>
        <v/>
      </c>
      <c r="R13" s="7" t="s">
        <v>853</v>
      </c>
      <c r="S13" s="7">
        <v>10.0</v>
      </c>
      <c r="T13" s="7" t="s">
        <v>4713</v>
      </c>
    </row>
    <row r="14" ht="12.75" customHeight="1">
      <c r="A14" s="7">
        <v>13.0</v>
      </c>
      <c r="B14" s="84" t="s">
        <v>73</v>
      </c>
      <c r="C14" s="84" t="s">
        <v>4711</v>
      </c>
      <c r="F14" s="7" t="s">
        <v>4702</v>
      </c>
      <c r="G14" s="7" t="s">
        <v>2609</v>
      </c>
      <c r="H14" s="7" t="s">
        <v>2912</v>
      </c>
      <c r="I14" s="7" t="s">
        <v>2996</v>
      </c>
      <c r="K14" s="7" t="str">
        <f t="shared" si="2"/>
        <v/>
      </c>
      <c r="L14" s="7" t="str">
        <f t="shared" si="3"/>
        <v/>
      </c>
      <c r="M14" s="7">
        <f t="shared" ref="M14:N14" si="18">IF(LEN(M$1),COUNTIF($G14:$I14,M$1),"")</f>
        <v>0</v>
      </c>
      <c r="N14" s="7" t="str">
        <f t="shared" si="18"/>
        <v/>
      </c>
      <c r="O14" s="7" t="str">
        <f t="shared" si="5"/>
        <v/>
      </c>
      <c r="P14" s="7">
        <f t="shared" si="6"/>
        <v>0</v>
      </c>
      <c r="Q14" s="7" t="str">
        <f t="shared" si="7"/>
        <v/>
      </c>
      <c r="R14" s="7" t="s">
        <v>1828</v>
      </c>
      <c r="S14" s="7">
        <v>10.0</v>
      </c>
      <c r="T14" s="7" t="s">
        <v>4713</v>
      </c>
    </row>
    <row r="15" ht="12.75" customHeight="1">
      <c r="A15" s="7">
        <v>14.0</v>
      </c>
      <c r="B15" s="84" t="s">
        <v>73</v>
      </c>
      <c r="C15" s="84" t="s">
        <v>4711</v>
      </c>
      <c r="F15" s="7" t="s">
        <v>4702</v>
      </c>
      <c r="G15" s="7" t="s">
        <v>2740</v>
      </c>
      <c r="H15" s="7" t="s">
        <v>2909</v>
      </c>
      <c r="I15" s="7" t="s">
        <v>2998</v>
      </c>
      <c r="K15" s="7" t="str">
        <f t="shared" si="2"/>
        <v/>
      </c>
      <c r="L15" s="7" t="str">
        <f t="shared" si="3"/>
        <v/>
      </c>
      <c r="M15" s="7">
        <f t="shared" ref="M15:N15" si="19">IF(LEN(M$1),COUNTIF($G15:$I15,M$1),"")</f>
        <v>0</v>
      </c>
      <c r="N15" s="7" t="str">
        <f t="shared" si="19"/>
        <v/>
      </c>
      <c r="O15" s="7" t="str">
        <f t="shared" si="5"/>
        <v/>
      </c>
      <c r="P15" s="7">
        <f t="shared" si="6"/>
        <v>0</v>
      </c>
      <c r="Q15" s="7" t="str">
        <f t="shared" si="7"/>
        <v/>
      </c>
      <c r="R15" s="7" t="s">
        <v>1688</v>
      </c>
      <c r="S15" s="7">
        <v>15.0</v>
      </c>
      <c r="T15" s="7" t="s">
        <v>4714</v>
      </c>
    </row>
    <row r="16" ht="12.75" customHeight="1">
      <c r="A16" s="7">
        <v>15.0</v>
      </c>
      <c r="B16" s="84" t="s">
        <v>73</v>
      </c>
      <c r="C16" s="84" t="s">
        <v>4711</v>
      </c>
      <c r="F16" s="7" t="s">
        <v>4702</v>
      </c>
      <c r="G16" s="7" t="s">
        <v>2690</v>
      </c>
      <c r="H16" s="7" t="s">
        <v>2868</v>
      </c>
      <c r="I16" s="7" t="s">
        <v>3106</v>
      </c>
      <c r="K16" s="7" t="str">
        <f t="shared" si="2"/>
        <v/>
      </c>
      <c r="L16" s="7" t="str">
        <f t="shared" si="3"/>
        <v/>
      </c>
      <c r="M16" s="7">
        <f t="shared" ref="M16:N16" si="20">IF(LEN(M$1),COUNTIF($G16:$I16,M$1),"")</f>
        <v>0</v>
      </c>
      <c r="N16" s="7" t="str">
        <f t="shared" si="20"/>
        <v/>
      </c>
      <c r="O16" s="7" t="str">
        <f t="shared" si="5"/>
        <v/>
      </c>
      <c r="P16" s="7">
        <f t="shared" si="6"/>
        <v>0</v>
      </c>
      <c r="Q16" s="7" t="str">
        <f t="shared" si="7"/>
        <v/>
      </c>
      <c r="R16" s="7" t="s">
        <v>2103</v>
      </c>
      <c r="S16" s="7">
        <v>12.0</v>
      </c>
      <c r="T16" s="7" t="s">
        <v>4708</v>
      </c>
    </row>
    <row r="17" ht="12.75" customHeight="1">
      <c r="A17" s="7">
        <v>16.0</v>
      </c>
      <c r="B17" s="84" t="s">
        <v>81</v>
      </c>
      <c r="C17" s="84" t="s">
        <v>4711</v>
      </c>
      <c r="F17" s="7" t="s">
        <v>4702</v>
      </c>
      <c r="G17" s="7" t="s">
        <v>2591</v>
      </c>
      <c r="H17" s="7" t="s">
        <v>2896</v>
      </c>
      <c r="I17" s="7" t="s">
        <v>2942</v>
      </c>
      <c r="K17" s="7" t="str">
        <f t="shared" si="2"/>
        <v/>
      </c>
      <c r="L17" s="7" t="str">
        <f t="shared" si="3"/>
        <v/>
      </c>
      <c r="M17" s="7">
        <f t="shared" ref="M17:N17" si="21">IF(LEN(M$1),COUNTIF($G17:$I17,M$1),"")</f>
        <v>0</v>
      </c>
      <c r="N17" s="7" t="str">
        <f t="shared" si="21"/>
        <v/>
      </c>
      <c r="O17" s="7" t="str">
        <f t="shared" si="5"/>
        <v/>
      </c>
      <c r="P17" s="7">
        <f t="shared" si="6"/>
        <v>0</v>
      </c>
      <c r="Q17" s="7" t="str">
        <f t="shared" si="7"/>
        <v/>
      </c>
      <c r="R17" s="7" t="s">
        <v>885</v>
      </c>
      <c r="S17" s="7">
        <v>8.0</v>
      </c>
      <c r="T17" s="7" t="s">
        <v>4704</v>
      </c>
    </row>
    <row r="18" ht="12.75" customHeight="1">
      <c r="A18" s="7">
        <v>17.0</v>
      </c>
      <c r="B18" s="84" t="s">
        <v>81</v>
      </c>
      <c r="C18" s="84" t="s">
        <v>4711</v>
      </c>
      <c r="F18" s="7" t="s">
        <v>4702</v>
      </c>
      <c r="G18" s="7" t="s">
        <v>2591</v>
      </c>
      <c r="H18" s="7" t="s">
        <v>2896</v>
      </c>
      <c r="I18" s="7" t="s">
        <v>2949</v>
      </c>
      <c r="K18" s="7" t="str">
        <f t="shared" si="2"/>
        <v/>
      </c>
      <c r="L18" s="7" t="str">
        <f t="shared" si="3"/>
        <v/>
      </c>
      <c r="M18" s="7">
        <f t="shared" ref="M18:N18" si="22">IF(LEN(M$1),COUNTIF($G18:$I18,M$1),"")</f>
        <v>0</v>
      </c>
      <c r="N18" s="7" t="str">
        <f t="shared" si="22"/>
        <v/>
      </c>
      <c r="O18" s="7" t="str">
        <f t="shared" si="5"/>
        <v/>
      </c>
      <c r="P18" s="7">
        <f t="shared" si="6"/>
        <v>0</v>
      </c>
      <c r="Q18" s="7" t="str">
        <f t="shared" si="7"/>
        <v/>
      </c>
      <c r="R18" s="7" t="s">
        <v>769</v>
      </c>
      <c r="S18" s="7">
        <v>5.0</v>
      </c>
      <c r="T18" s="7" t="s">
        <v>4715</v>
      </c>
    </row>
    <row r="19" ht="12.75" customHeight="1">
      <c r="A19" s="7">
        <v>18.0</v>
      </c>
      <c r="B19" s="84" t="s">
        <v>81</v>
      </c>
      <c r="C19" s="84" t="s">
        <v>4711</v>
      </c>
      <c r="F19" s="7" t="s">
        <v>4702</v>
      </c>
      <c r="G19" s="7" t="s">
        <v>2577</v>
      </c>
      <c r="H19" s="7" t="s">
        <v>2907</v>
      </c>
      <c r="I19" s="7" t="s">
        <v>3069</v>
      </c>
      <c r="K19" s="7" t="str">
        <f t="shared" si="2"/>
        <v/>
      </c>
      <c r="L19" s="7" t="str">
        <f t="shared" si="3"/>
        <v/>
      </c>
      <c r="M19" s="7">
        <f t="shared" ref="M19:N19" si="23">IF(LEN(M$1),COUNTIF($G19:$I19,M$1),"")</f>
        <v>0</v>
      </c>
      <c r="N19" s="7" t="str">
        <f t="shared" si="23"/>
        <v/>
      </c>
      <c r="O19" s="7" t="str">
        <f t="shared" si="5"/>
        <v/>
      </c>
      <c r="P19" s="7">
        <f t="shared" si="6"/>
        <v>0</v>
      </c>
      <c r="Q19" s="7" t="str">
        <f t="shared" si="7"/>
        <v/>
      </c>
      <c r="R19" s="7" t="s">
        <v>1878</v>
      </c>
      <c r="S19" s="7">
        <v>7.0</v>
      </c>
      <c r="T19" s="7" t="s">
        <v>4716</v>
      </c>
    </row>
    <row r="20" ht="12.75" customHeight="1">
      <c r="A20" s="7">
        <v>19.0</v>
      </c>
      <c r="B20" s="84" t="s">
        <v>88</v>
      </c>
      <c r="C20" s="84" t="s">
        <v>4717</v>
      </c>
      <c r="F20" s="7" t="s">
        <v>4702</v>
      </c>
      <c r="G20" s="7" t="s">
        <v>2809</v>
      </c>
      <c r="H20" s="7" t="s">
        <v>2882</v>
      </c>
      <c r="I20" s="7" t="s">
        <v>2963</v>
      </c>
      <c r="K20" s="7" t="str">
        <f t="shared" si="2"/>
        <v/>
      </c>
      <c r="L20" s="7" t="str">
        <f t="shared" si="3"/>
        <v/>
      </c>
      <c r="M20" s="7">
        <f t="shared" ref="M20:N20" si="24">IF(LEN(M$1),COUNTIF($G20:$I20,M$1),"")</f>
        <v>0</v>
      </c>
      <c r="N20" s="7" t="str">
        <f t="shared" si="24"/>
        <v/>
      </c>
      <c r="O20" s="7" t="str">
        <f t="shared" si="5"/>
        <v/>
      </c>
      <c r="P20" s="7">
        <f t="shared" si="6"/>
        <v>0</v>
      </c>
      <c r="Q20" s="7" t="str">
        <f t="shared" si="7"/>
        <v/>
      </c>
      <c r="R20" s="7" t="s">
        <v>729</v>
      </c>
      <c r="S20" s="7">
        <v>7.0</v>
      </c>
      <c r="T20" s="7" t="s">
        <v>4718</v>
      </c>
    </row>
    <row r="21" ht="12.75" customHeight="1">
      <c r="A21" s="7">
        <v>20.0</v>
      </c>
      <c r="B21" s="84" t="s">
        <v>88</v>
      </c>
      <c r="C21" s="84" t="s">
        <v>4717</v>
      </c>
      <c r="F21" s="7" t="s">
        <v>4702</v>
      </c>
      <c r="G21" s="7" t="s">
        <v>2833</v>
      </c>
      <c r="H21" s="7" t="s">
        <v>2924</v>
      </c>
      <c r="I21" s="7" t="s">
        <v>3032</v>
      </c>
      <c r="K21" s="7" t="str">
        <f t="shared" si="2"/>
        <v/>
      </c>
      <c r="L21" s="7" t="str">
        <f t="shared" si="3"/>
        <v/>
      </c>
      <c r="M21" s="7">
        <f t="shared" ref="M21:N21" si="25">IF(LEN(M$1),COUNTIF($G21:$I21,M$1),"")</f>
        <v>0</v>
      </c>
      <c r="N21" s="7" t="str">
        <f t="shared" si="25"/>
        <v/>
      </c>
      <c r="O21" s="7" t="str">
        <f t="shared" si="5"/>
        <v/>
      </c>
      <c r="P21" s="7">
        <f t="shared" si="6"/>
        <v>0</v>
      </c>
      <c r="Q21" s="7" t="str">
        <f t="shared" si="7"/>
        <v/>
      </c>
      <c r="R21" s="7" t="s">
        <v>81</v>
      </c>
      <c r="S21" s="7">
        <v>7.0</v>
      </c>
      <c r="T21" s="7" t="s">
        <v>4719</v>
      </c>
    </row>
    <row r="22" ht="12.75" customHeight="1">
      <c r="A22" s="7">
        <v>21.0</v>
      </c>
      <c r="B22" s="84" t="s">
        <v>88</v>
      </c>
      <c r="C22" s="84" t="s">
        <v>4717</v>
      </c>
      <c r="F22" s="7" t="s">
        <v>4702</v>
      </c>
      <c r="G22" s="7" t="s">
        <v>2774</v>
      </c>
      <c r="H22" s="7" t="s">
        <v>2875</v>
      </c>
      <c r="I22" s="7" t="s">
        <v>3075</v>
      </c>
      <c r="K22" s="7" t="str">
        <f t="shared" si="2"/>
        <v/>
      </c>
      <c r="L22" s="7" t="str">
        <f t="shared" si="3"/>
        <v/>
      </c>
      <c r="M22" s="7">
        <f t="shared" ref="M22:N22" si="26">IF(LEN(M$1),COUNTIF($G22:$I22,M$1),"")</f>
        <v>0</v>
      </c>
      <c r="N22" s="7" t="str">
        <f t="shared" si="26"/>
        <v/>
      </c>
      <c r="O22" s="7" t="str">
        <f t="shared" si="5"/>
        <v/>
      </c>
      <c r="P22" s="7">
        <f t="shared" si="6"/>
        <v>0</v>
      </c>
      <c r="Q22" s="7" t="str">
        <f t="shared" si="7"/>
        <v/>
      </c>
      <c r="R22" s="7" t="s">
        <v>1379</v>
      </c>
      <c r="S22" s="7">
        <v>5.0</v>
      </c>
      <c r="T22" s="7" t="s">
        <v>4720</v>
      </c>
    </row>
    <row r="23" ht="12.75" customHeight="1">
      <c r="A23" s="7">
        <v>22.0</v>
      </c>
      <c r="B23" s="84" t="s">
        <v>97</v>
      </c>
      <c r="C23" s="84" t="s">
        <v>4717</v>
      </c>
      <c r="F23" s="7" t="s">
        <v>4702</v>
      </c>
      <c r="G23" s="7" t="s">
        <v>2765</v>
      </c>
      <c r="H23" s="7" t="s">
        <v>2861</v>
      </c>
      <c r="I23" s="7" t="s">
        <v>2969</v>
      </c>
      <c r="K23" s="7" t="str">
        <f t="shared" si="2"/>
        <v/>
      </c>
      <c r="L23" s="7" t="str">
        <f t="shared" si="3"/>
        <v/>
      </c>
      <c r="M23" s="7">
        <f t="shared" ref="M23:N23" si="27">IF(LEN(M$1),COUNTIF($G23:$I23,M$1),"")</f>
        <v>0</v>
      </c>
      <c r="N23" s="7" t="str">
        <f t="shared" si="27"/>
        <v/>
      </c>
      <c r="O23" s="7" t="str">
        <f t="shared" si="5"/>
        <v/>
      </c>
      <c r="P23" s="7">
        <f t="shared" si="6"/>
        <v>0</v>
      </c>
      <c r="Q23" s="7" t="str">
        <f t="shared" si="7"/>
        <v/>
      </c>
      <c r="R23" s="7" t="s">
        <v>92</v>
      </c>
      <c r="S23" s="7">
        <v>7.0</v>
      </c>
      <c r="T23" s="7" t="s">
        <v>4721</v>
      </c>
    </row>
    <row r="24" ht="12.75" customHeight="1">
      <c r="A24" s="7">
        <v>23.0</v>
      </c>
      <c r="B24" s="84" t="s">
        <v>97</v>
      </c>
      <c r="C24" s="84" t="s">
        <v>4717</v>
      </c>
      <c r="F24" s="7" t="s">
        <v>4702</v>
      </c>
      <c r="G24" s="7" t="s">
        <v>2815</v>
      </c>
      <c r="H24" s="7" t="s">
        <v>2854</v>
      </c>
      <c r="I24" s="7" t="s">
        <v>3069</v>
      </c>
      <c r="K24" s="7" t="str">
        <f t="shared" si="2"/>
        <v/>
      </c>
      <c r="L24" s="7" t="str">
        <f t="shared" si="3"/>
        <v/>
      </c>
      <c r="M24" s="7">
        <f t="shared" ref="M24:N24" si="28">IF(LEN(M$1),COUNTIF($G24:$I24,M$1),"")</f>
        <v>0</v>
      </c>
      <c r="N24" s="7" t="str">
        <f t="shared" si="28"/>
        <v/>
      </c>
      <c r="O24" s="7" t="str">
        <f t="shared" si="5"/>
        <v/>
      </c>
      <c r="P24" s="7">
        <f t="shared" si="6"/>
        <v>0</v>
      </c>
      <c r="Q24" s="7" t="str">
        <f t="shared" si="7"/>
        <v/>
      </c>
      <c r="R24" s="7" t="s">
        <v>1106</v>
      </c>
      <c r="S24" s="7">
        <v>4.0</v>
      </c>
      <c r="T24" s="7" t="s">
        <v>4722</v>
      </c>
    </row>
    <row r="25" ht="12.75" customHeight="1">
      <c r="A25" s="7">
        <v>24.0</v>
      </c>
      <c r="B25" s="84" t="s">
        <v>105</v>
      </c>
      <c r="C25" s="84" t="s">
        <v>4717</v>
      </c>
      <c r="F25" s="7" t="s">
        <v>4702</v>
      </c>
      <c r="G25" s="7" t="s">
        <v>2799</v>
      </c>
      <c r="H25" s="7" t="s">
        <v>2897</v>
      </c>
      <c r="I25" s="7" t="s">
        <v>3032</v>
      </c>
      <c r="K25" s="7" t="str">
        <f t="shared" si="2"/>
        <v/>
      </c>
      <c r="L25" s="7" t="str">
        <f t="shared" si="3"/>
        <v/>
      </c>
      <c r="M25" s="7">
        <f t="shared" ref="M25:N25" si="29">IF(LEN(M$1),COUNTIF($G25:$I25,M$1),"")</f>
        <v>0</v>
      </c>
      <c r="N25" s="7" t="str">
        <f t="shared" si="29"/>
        <v/>
      </c>
      <c r="O25" s="7" t="str">
        <f t="shared" si="5"/>
        <v/>
      </c>
      <c r="P25" s="7">
        <f t="shared" si="6"/>
        <v>0</v>
      </c>
      <c r="Q25" s="7" t="str">
        <f t="shared" si="7"/>
        <v/>
      </c>
      <c r="R25" s="7" t="s">
        <v>2019</v>
      </c>
      <c r="S25" s="7">
        <v>8.0</v>
      </c>
      <c r="T25" s="7" t="s">
        <v>4704</v>
      </c>
    </row>
    <row r="26" ht="12.75" customHeight="1">
      <c r="A26" s="7">
        <v>25.0</v>
      </c>
      <c r="B26" s="84" t="s">
        <v>105</v>
      </c>
      <c r="C26" s="84" t="s">
        <v>4717</v>
      </c>
      <c r="F26" s="7" t="s">
        <v>4702</v>
      </c>
      <c r="G26" s="7" t="s">
        <v>2748</v>
      </c>
      <c r="H26" s="7" t="s">
        <v>2899</v>
      </c>
      <c r="I26" s="7" t="s">
        <v>3040</v>
      </c>
      <c r="K26" s="7" t="str">
        <f t="shared" si="2"/>
        <v/>
      </c>
      <c r="L26" s="7" t="str">
        <f t="shared" si="3"/>
        <v/>
      </c>
      <c r="M26" s="7">
        <f t="shared" ref="M26:N26" si="30">IF(LEN(M$1),COUNTIF($G26:$I26,M$1),"")</f>
        <v>0</v>
      </c>
      <c r="N26" s="7" t="str">
        <f t="shared" si="30"/>
        <v/>
      </c>
      <c r="O26" s="7" t="str">
        <f t="shared" si="5"/>
        <v/>
      </c>
      <c r="P26" s="7">
        <f t="shared" si="6"/>
        <v>0</v>
      </c>
      <c r="Q26" s="7" t="str">
        <f t="shared" si="7"/>
        <v/>
      </c>
      <c r="R26" s="7" t="s">
        <v>557</v>
      </c>
      <c r="S26" s="7">
        <v>5.0</v>
      </c>
      <c r="T26" s="7" t="s">
        <v>4723</v>
      </c>
    </row>
    <row r="27" ht="12.75" customHeight="1">
      <c r="A27" s="7">
        <v>26.0</v>
      </c>
      <c r="B27" s="84" t="s">
        <v>105</v>
      </c>
      <c r="C27" s="84" t="s">
        <v>4717</v>
      </c>
      <c r="F27" s="7" t="s">
        <v>4702</v>
      </c>
      <c r="G27" s="7" t="s">
        <v>2627</v>
      </c>
      <c r="H27" s="7" t="s">
        <v>2859</v>
      </c>
      <c r="I27" s="7" t="s">
        <v>2959</v>
      </c>
      <c r="K27" s="7" t="str">
        <f t="shared" si="2"/>
        <v/>
      </c>
      <c r="L27" s="7" t="str">
        <f t="shared" si="3"/>
        <v/>
      </c>
      <c r="M27" s="7">
        <f t="shared" ref="M27:N27" si="31">IF(LEN(M$1),COUNTIF($G27:$I27,M$1),"")</f>
        <v>0</v>
      </c>
      <c r="N27" s="7" t="str">
        <f t="shared" si="31"/>
        <v/>
      </c>
      <c r="O27" s="7" t="str">
        <f t="shared" si="5"/>
        <v/>
      </c>
      <c r="P27" s="7">
        <f t="shared" si="6"/>
        <v>0</v>
      </c>
      <c r="Q27" s="7" t="str">
        <f t="shared" si="7"/>
        <v/>
      </c>
      <c r="R27" s="7" t="s">
        <v>1962</v>
      </c>
      <c r="S27" s="7">
        <v>8.0</v>
      </c>
      <c r="T27" s="7" t="s">
        <v>4704</v>
      </c>
    </row>
    <row r="28" ht="12.75" customHeight="1">
      <c r="A28" s="7">
        <v>27.0</v>
      </c>
      <c r="B28" s="84" t="s">
        <v>113</v>
      </c>
      <c r="C28" s="84" t="s">
        <v>4724</v>
      </c>
      <c r="F28" s="7" t="s">
        <v>4702</v>
      </c>
      <c r="G28" s="7" t="s">
        <v>2743</v>
      </c>
      <c r="H28" s="7" t="s">
        <v>2923</v>
      </c>
      <c r="I28" s="7" t="s">
        <v>2932</v>
      </c>
      <c r="K28" s="7" t="str">
        <f t="shared" si="2"/>
        <v/>
      </c>
      <c r="L28" s="7" t="str">
        <f t="shared" si="3"/>
        <v/>
      </c>
      <c r="M28" s="7">
        <f t="shared" ref="M28:N28" si="32">IF(LEN(M$1),COUNTIF($G28:$I28,M$1),"")</f>
        <v>0</v>
      </c>
      <c r="N28" s="7" t="str">
        <f t="shared" si="32"/>
        <v/>
      </c>
      <c r="O28" s="7" t="str">
        <f t="shared" si="5"/>
        <v/>
      </c>
      <c r="P28" s="7">
        <f t="shared" si="6"/>
        <v>0</v>
      </c>
      <c r="Q28" s="7" t="str">
        <f t="shared" si="7"/>
        <v/>
      </c>
      <c r="R28" s="7" t="s">
        <v>2377</v>
      </c>
      <c r="S28" s="7">
        <v>3.0</v>
      </c>
      <c r="T28" s="7" t="s">
        <v>4725</v>
      </c>
    </row>
    <row r="29" ht="12.75" customHeight="1">
      <c r="A29" s="7">
        <v>28.0</v>
      </c>
      <c r="B29" s="84" t="s">
        <v>113</v>
      </c>
      <c r="C29" s="84" t="s">
        <v>4724</v>
      </c>
      <c r="F29" s="7" t="s">
        <v>4702</v>
      </c>
      <c r="G29" s="7" t="s">
        <v>2833</v>
      </c>
      <c r="H29" s="7" t="s">
        <v>2904</v>
      </c>
      <c r="I29" s="7" t="s">
        <v>3060</v>
      </c>
      <c r="K29" s="7" t="str">
        <f t="shared" si="2"/>
        <v/>
      </c>
      <c r="L29" s="7" t="str">
        <f t="shared" si="3"/>
        <v/>
      </c>
      <c r="M29" s="7">
        <f t="shared" ref="M29:N29" si="33">IF(LEN(M$1),COUNTIF($G29:$I29,M$1),"")</f>
        <v>0</v>
      </c>
      <c r="N29" s="7" t="str">
        <f t="shared" si="33"/>
        <v/>
      </c>
      <c r="O29" s="7" t="str">
        <f t="shared" si="5"/>
        <v/>
      </c>
      <c r="P29" s="7">
        <f t="shared" si="6"/>
        <v>0</v>
      </c>
      <c r="Q29" s="7" t="str">
        <f t="shared" si="7"/>
        <v/>
      </c>
      <c r="R29" s="7" t="s">
        <v>49</v>
      </c>
      <c r="S29" s="7">
        <v>7.0</v>
      </c>
      <c r="T29" s="7" t="s">
        <v>4719</v>
      </c>
    </row>
    <row r="30" ht="12.75" customHeight="1">
      <c r="A30" s="7">
        <v>29.0</v>
      </c>
      <c r="B30" s="84" t="s">
        <v>113</v>
      </c>
      <c r="C30" s="84" t="s">
        <v>4724</v>
      </c>
      <c r="F30" s="7" t="s">
        <v>4702</v>
      </c>
      <c r="G30" s="7" t="s">
        <v>2683</v>
      </c>
      <c r="H30" s="7" t="s">
        <v>2870</v>
      </c>
      <c r="I30" s="7" t="s">
        <v>3073</v>
      </c>
      <c r="K30" s="7" t="str">
        <f t="shared" si="2"/>
        <v/>
      </c>
      <c r="L30" s="7" t="str">
        <f t="shared" si="3"/>
        <v/>
      </c>
      <c r="M30" s="7">
        <f t="shared" ref="M30:N30" si="34">IF(LEN(M$1),COUNTIF($G30:$I30,M$1),"")</f>
        <v>0</v>
      </c>
      <c r="N30" s="7" t="str">
        <f t="shared" si="34"/>
        <v/>
      </c>
      <c r="O30" s="7" t="str">
        <f t="shared" si="5"/>
        <v/>
      </c>
      <c r="P30" s="7">
        <f t="shared" si="6"/>
        <v>0</v>
      </c>
      <c r="Q30" s="7" t="str">
        <f t="shared" si="7"/>
        <v/>
      </c>
      <c r="R30" s="7" t="s">
        <v>1029</v>
      </c>
      <c r="S30" s="7">
        <v>4.0</v>
      </c>
      <c r="T30" s="7" t="s">
        <v>4726</v>
      </c>
    </row>
    <row r="31" ht="12.75" customHeight="1">
      <c r="A31" s="7">
        <v>30.0</v>
      </c>
      <c r="B31" s="84" t="s">
        <v>122</v>
      </c>
      <c r="C31" s="84" t="s">
        <v>4724</v>
      </c>
      <c r="F31" s="7" t="s">
        <v>4702</v>
      </c>
      <c r="G31" s="7" t="s">
        <v>2609</v>
      </c>
      <c r="H31" s="7" t="s">
        <v>2921</v>
      </c>
      <c r="I31" s="7" t="s">
        <v>3029</v>
      </c>
      <c r="K31" s="7" t="str">
        <f t="shared" si="2"/>
        <v/>
      </c>
      <c r="L31" s="7" t="str">
        <f t="shared" si="3"/>
        <v/>
      </c>
      <c r="M31" s="7">
        <f t="shared" ref="M31:N31" si="35">IF(LEN(M$1),COUNTIF($G31:$I31,M$1),"")</f>
        <v>0</v>
      </c>
      <c r="N31" s="7" t="str">
        <f t="shared" si="35"/>
        <v/>
      </c>
      <c r="O31" s="7" t="str">
        <f t="shared" si="5"/>
        <v/>
      </c>
      <c r="P31" s="7">
        <f t="shared" si="6"/>
        <v>0</v>
      </c>
      <c r="Q31" s="7" t="str">
        <f t="shared" si="7"/>
        <v/>
      </c>
      <c r="R31" s="7" t="s">
        <v>500</v>
      </c>
      <c r="S31" s="7">
        <v>5.0</v>
      </c>
      <c r="T31" s="7" t="s">
        <v>4727</v>
      </c>
    </row>
    <row r="32" ht="12.75" customHeight="1">
      <c r="A32" s="7">
        <v>31.0</v>
      </c>
      <c r="B32" s="84" t="s">
        <v>122</v>
      </c>
      <c r="C32" s="84" t="s">
        <v>4724</v>
      </c>
      <c r="F32" s="7" t="s">
        <v>4702</v>
      </c>
      <c r="G32" s="7" t="s">
        <v>2633</v>
      </c>
      <c r="H32" s="7" t="s">
        <v>2903</v>
      </c>
      <c r="I32" s="7" t="s">
        <v>3006</v>
      </c>
      <c r="K32" s="7" t="str">
        <f t="shared" si="2"/>
        <v/>
      </c>
      <c r="L32" s="7" t="str">
        <f t="shared" si="3"/>
        <v/>
      </c>
      <c r="M32" s="7">
        <f t="shared" ref="M32:N32" si="36">IF(LEN(M$1),COUNTIF($G32:$I32,M$1),"")</f>
        <v>0</v>
      </c>
      <c r="N32" s="7" t="str">
        <f t="shared" si="36"/>
        <v/>
      </c>
      <c r="O32" s="7" t="str">
        <f t="shared" si="5"/>
        <v/>
      </c>
      <c r="P32" s="7">
        <f t="shared" si="6"/>
        <v>0</v>
      </c>
      <c r="Q32" s="7" t="str">
        <f t="shared" si="7"/>
        <v/>
      </c>
      <c r="R32" s="7" t="s">
        <v>1843</v>
      </c>
      <c r="S32" s="7">
        <v>9.0</v>
      </c>
      <c r="T32" s="7" t="s">
        <v>4728</v>
      </c>
    </row>
    <row r="33" ht="12.75" customHeight="1">
      <c r="A33" s="7">
        <v>32.0</v>
      </c>
      <c r="B33" s="84" t="s">
        <v>122</v>
      </c>
      <c r="C33" s="84" t="s">
        <v>4724</v>
      </c>
      <c r="F33" s="7" t="s">
        <v>4702</v>
      </c>
      <c r="G33" s="7" t="s">
        <v>2585</v>
      </c>
      <c r="H33" s="7" t="s">
        <v>2918</v>
      </c>
      <c r="I33" s="7" t="s">
        <v>3006</v>
      </c>
      <c r="K33" s="7" t="str">
        <f t="shared" si="2"/>
        <v/>
      </c>
      <c r="L33" s="7" t="str">
        <f t="shared" si="3"/>
        <v/>
      </c>
      <c r="M33" s="7">
        <f t="shared" ref="M33:N33" si="37">IF(LEN(M$1),COUNTIF($G33:$I33,M$1),"")</f>
        <v>0</v>
      </c>
      <c r="N33" s="7" t="str">
        <f t="shared" si="37"/>
        <v/>
      </c>
      <c r="O33" s="7" t="str">
        <f t="shared" si="5"/>
        <v/>
      </c>
      <c r="P33" s="7">
        <f t="shared" si="6"/>
        <v>0</v>
      </c>
      <c r="Q33" s="7" t="str">
        <f t="shared" si="7"/>
        <v/>
      </c>
      <c r="R33" s="7" t="s">
        <v>542</v>
      </c>
      <c r="S33" s="7">
        <v>6.0</v>
      </c>
      <c r="T33" s="7" t="s">
        <v>4729</v>
      </c>
    </row>
    <row r="34" ht="12.75" customHeight="1">
      <c r="A34" s="7">
        <v>33.0</v>
      </c>
      <c r="B34" s="84" t="s">
        <v>129</v>
      </c>
      <c r="C34" s="84" t="s">
        <v>4724</v>
      </c>
      <c r="F34" s="7" t="s">
        <v>4702</v>
      </c>
      <c r="G34" s="7" t="s">
        <v>2768</v>
      </c>
      <c r="H34" s="7" t="s">
        <v>2910</v>
      </c>
      <c r="I34" s="7" t="s">
        <v>2934</v>
      </c>
      <c r="K34" s="7" t="str">
        <f t="shared" si="2"/>
        <v/>
      </c>
      <c r="L34" s="7" t="str">
        <f t="shared" si="3"/>
        <v/>
      </c>
      <c r="M34" s="7">
        <f t="shared" ref="M34:N34" si="38">IF(LEN(M$1),COUNTIF($G34:$I34,M$1),"")</f>
        <v>0</v>
      </c>
      <c r="N34" s="7" t="str">
        <f t="shared" si="38"/>
        <v/>
      </c>
      <c r="O34" s="7" t="str">
        <f t="shared" si="5"/>
        <v/>
      </c>
      <c r="P34" s="7">
        <f t="shared" si="6"/>
        <v>0</v>
      </c>
      <c r="Q34" s="7" t="str">
        <f t="shared" si="7"/>
        <v/>
      </c>
      <c r="R34" s="7" t="s">
        <v>2480</v>
      </c>
      <c r="S34" s="7">
        <v>3.0</v>
      </c>
      <c r="T34" s="7" t="s">
        <v>4730</v>
      </c>
    </row>
    <row r="35" ht="12.75" customHeight="1">
      <c r="A35" s="7">
        <v>34.0</v>
      </c>
      <c r="B35" s="84" t="s">
        <v>129</v>
      </c>
      <c r="C35" s="84" t="s">
        <v>4724</v>
      </c>
      <c r="F35" s="7" t="s">
        <v>4702</v>
      </c>
      <c r="G35" s="7" t="s">
        <v>2825</v>
      </c>
      <c r="H35" s="7" t="s">
        <v>2920</v>
      </c>
      <c r="I35" s="7" t="s">
        <v>3089</v>
      </c>
      <c r="K35" s="7" t="str">
        <f t="shared" si="2"/>
        <v/>
      </c>
      <c r="L35" s="7" t="str">
        <f t="shared" si="3"/>
        <v/>
      </c>
      <c r="M35" s="7">
        <f t="shared" ref="M35:N35" si="39">IF(LEN(M$1),COUNTIF($G35:$I35,M$1),"")</f>
        <v>0</v>
      </c>
      <c r="N35" s="7" t="str">
        <f t="shared" si="39"/>
        <v/>
      </c>
      <c r="O35" s="7" t="str">
        <f t="shared" si="5"/>
        <v/>
      </c>
      <c r="P35" s="7">
        <f t="shared" si="6"/>
        <v>0</v>
      </c>
      <c r="Q35" s="7" t="str">
        <f t="shared" si="7"/>
        <v/>
      </c>
      <c r="R35" s="7" t="s">
        <v>1710</v>
      </c>
      <c r="S35" s="7">
        <v>10.0</v>
      </c>
      <c r="T35" s="7" t="s">
        <v>4713</v>
      </c>
    </row>
    <row r="36" ht="12.75" customHeight="1">
      <c r="A36" s="7">
        <v>35.0</v>
      </c>
      <c r="B36" s="84" t="s">
        <v>129</v>
      </c>
      <c r="C36" s="84" t="s">
        <v>4724</v>
      </c>
      <c r="F36" s="7" t="s">
        <v>4702</v>
      </c>
      <c r="G36" s="7" t="s">
        <v>2843</v>
      </c>
      <c r="H36" s="7" t="s">
        <v>2914</v>
      </c>
      <c r="I36" s="7" t="s">
        <v>2981</v>
      </c>
      <c r="K36" s="7" t="str">
        <f t="shared" si="2"/>
        <v/>
      </c>
      <c r="L36" s="7" t="str">
        <f t="shared" si="3"/>
        <v/>
      </c>
      <c r="M36" s="7">
        <f t="shared" ref="M36:N36" si="40">IF(LEN(M$1),COUNTIF($G36:$I36,M$1),"")</f>
        <v>0</v>
      </c>
      <c r="N36" s="7" t="str">
        <f t="shared" si="40"/>
        <v/>
      </c>
      <c r="O36" s="7" t="str">
        <f t="shared" si="5"/>
        <v/>
      </c>
      <c r="P36" s="7">
        <f t="shared" si="6"/>
        <v>0</v>
      </c>
      <c r="Q36" s="7" t="str">
        <f t="shared" si="7"/>
        <v/>
      </c>
      <c r="R36" s="7" t="s">
        <v>1182</v>
      </c>
      <c r="S36" s="7">
        <v>6.0</v>
      </c>
      <c r="T36" s="7" t="s">
        <v>4706</v>
      </c>
    </row>
    <row r="37" ht="12.75" customHeight="1">
      <c r="A37" s="7">
        <v>36.0</v>
      </c>
      <c r="B37" s="84" t="s">
        <v>137</v>
      </c>
      <c r="C37" s="84" t="s">
        <v>4731</v>
      </c>
      <c r="F37" s="7" t="s">
        <v>4702</v>
      </c>
      <c r="G37" s="7" t="s">
        <v>2603</v>
      </c>
      <c r="H37" s="7" t="s">
        <v>2881</v>
      </c>
      <c r="I37" s="7" t="s">
        <v>3017</v>
      </c>
      <c r="K37" s="7" t="str">
        <f t="shared" si="2"/>
        <v/>
      </c>
      <c r="L37" s="7" t="str">
        <f t="shared" si="3"/>
        <v/>
      </c>
      <c r="M37" s="7">
        <f t="shared" ref="M37:N37" si="41">IF(LEN(M$1),COUNTIF($G37:$I37,M$1),"")</f>
        <v>0</v>
      </c>
      <c r="N37" s="7" t="str">
        <f t="shared" si="41"/>
        <v/>
      </c>
      <c r="O37" s="7" t="str">
        <f t="shared" si="5"/>
        <v/>
      </c>
      <c r="P37" s="7">
        <f t="shared" si="6"/>
        <v>0</v>
      </c>
      <c r="Q37" s="7" t="str">
        <f t="shared" si="7"/>
        <v/>
      </c>
      <c r="R37" s="7" t="s">
        <v>359</v>
      </c>
      <c r="S37" s="7">
        <v>6.0</v>
      </c>
      <c r="T37" s="7" t="s">
        <v>4709</v>
      </c>
    </row>
    <row r="38" ht="12.75" customHeight="1">
      <c r="A38" s="7">
        <v>37.0</v>
      </c>
      <c r="B38" s="84" t="s">
        <v>137</v>
      </c>
      <c r="C38" s="84" t="s">
        <v>4731</v>
      </c>
      <c r="F38" s="7" t="s">
        <v>4702</v>
      </c>
      <c r="G38" s="7" t="s">
        <v>2709</v>
      </c>
      <c r="H38" s="7" t="s">
        <v>2925</v>
      </c>
      <c r="I38" s="7" t="s">
        <v>3110</v>
      </c>
      <c r="K38" s="7" t="str">
        <f t="shared" si="2"/>
        <v/>
      </c>
      <c r="L38" s="7" t="str">
        <f t="shared" si="3"/>
        <v/>
      </c>
      <c r="M38" s="7">
        <f t="shared" ref="M38:N38" si="42">IF(LEN(M$1),COUNTIF($G38:$I38,M$1),"")</f>
        <v>0</v>
      </c>
      <c r="N38" s="7" t="str">
        <f t="shared" si="42"/>
        <v/>
      </c>
      <c r="O38" s="7" t="str">
        <f t="shared" si="5"/>
        <v/>
      </c>
      <c r="P38" s="7">
        <f t="shared" si="6"/>
        <v>0</v>
      </c>
      <c r="Q38" s="7" t="str">
        <f t="shared" si="7"/>
        <v/>
      </c>
      <c r="R38" s="7" t="s">
        <v>2152</v>
      </c>
      <c r="S38" s="7">
        <v>13.0</v>
      </c>
      <c r="T38" s="7" t="s">
        <v>4732</v>
      </c>
    </row>
    <row r="39" ht="12.75" customHeight="1">
      <c r="A39" s="7">
        <v>38.0</v>
      </c>
      <c r="B39" s="84" t="s">
        <v>137</v>
      </c>
      <c r="C39" s="84" t="s">
        <v>4731</v>
      </c>
      <c r="F39" s="7" t="s">
        <v>4702</v>
      </c>
      <c r="G39" s="7" t="s">
        <v>2765</v>
      </c>
      <c r="H39" s="7" t="s">
        <v>2865</v>
      </c>
      <c r="I39" s="7" t="s">
        <v>3050</v>
      </c>
      <c r="K39" s="7" t="str">
        <f t="shared" si="2"/>
        <v/>
      </c>
      <c r="L39" s="7" t="str">
        <f t="shared" si="3"/>
        <v/>
      </c>
      <c r="M39" s="7">
        <f t="shared" ref="M39:N39" si="43">IF(LEN(M$1),COUNTIF($G39:$I39,M$1),"")</f>
        <v>0</v>
      </c>
      <c r="N39" s="7" t="str">
        <f t="shared" si="43"/>
        <v/>
      </c>
      <c r="O39" s="7" t="str">
        <f t="shared" si="5"/>
        <v/>
      </c>
      <c r="P39" s="7">
        <f t="shared" si="6"/>
        <v>0</v>
      </c>
      <c r="Q39" s="7" t="str">
        <f t="shared" si="7"/>
        <v/>
      </c>
      <c r="R39" s="7" t="s">
        <v>508</v>
      </c>
      <c r="S39" s="7">
        <v>5.0</v>
      </c>
      <c r="T39" s="7" t="s">
        <v>4727</v>
      </c>
    </row>
    <row r="40" ht="12.75" customHeight="1">
      <c r="A40" s="7">
        <v>39.0</v>
      </c>
      <c r="B40" s="84" t="s">
        <v>146</v>
      </c>
      <c r="C40" s="84" t="s">
        <v>4731</v>
      </c>
      <c r="F40" s="7" t="s">
        <v>4702</v>
      </c>
      <c r="G40" s="7" t="s">
        <v>2838</v>
      </c>
      <c r="H40" s="7" t="s">
        <v>2876</v>
      </c>
      <c r="I40" s="7" t="s">
        <v>3084</v>
      </c>
      <c r="K40" s="7" t="str">
        <f t="shared" si="2"/>
        <v/>
      </c>
      <c r="L40" s="7" t="str">
        <f t="shared" si="3"/>
        <v/>
      </c>
      <c r="M40" s="7">
        <f t="shared" ref="M40:N40" si="44">IF(LEN(M$1),COUNTIF($G40:$I40,M$1),"")</f>
        <v>0</v>
      </c>
      <c r="N40" s="7" t="str">
        <f t="shared" si="44"/>
        <v/>
      </c>
      <c r="O40" s="7" t="str">
        <f t="shared" si="5"/>
        <v/>
      </c>
      <c r="P40" s="7">
        <f t="shared" si="6"/>
        <v>0</v>
      </c>
      <c r="Q40" s="7" t="str">
        <f t="shared" si="7"/>
        <v/>
      </c>
      <c r="R40" s="7" t="s">
        <v>1205</v>
      </c>
      <c r="S40" s="7">
        <v>6.0</v>
      </c>
      <c r="T40" s="7" t="s">
        <v>4706</v>
      </c>
    </row>
    <row r="41" ht="12.75" customHeight="1">
      <c r="A41" s="7">
        <v>40.0</v>
      </c>
      <c r="B41" s="84" t="s">
        <v>146</v>
      </c>
      <c r="C41" s="84" t="s">
        <v>4731</v>
      </c>
      <c r="F41" s="7" t="s">
        <v>4702</v>
      </c>
      <c r="G41" s="7" t="s">
        <v>2825</v>
      </c>
      <c r="H41" s="7" t="s">
        <v>2913</v>
      </c>
      <c r="I41" s="7" t="s">
        <v>2998</v>
      </c>
      <c r="K41" s="7" t="str">
        <f t="shared" si="2"/>
        <v/>
      </c>
      <c r="L41" s="7" t="str">
        <f t="shared" si="3"/>
        <v/>
      </c>
      <c r="M41" s="7">
        <f t="shared" ref="M41:N41" si="45">IF(LEN(M$1),COUNTIF($G41:$I41,M$1),"")</f>
        <v>0</v>
      </c>
      <c r="N41" s="7" t="str">
        <f t="shared" si="45"/>
        <v/>
      </c>
      <c r="O41" s="7" t="str">
        <f t="shared" si="5"/>
        <v/>
      </c>
      <c r="P41" s="7">
        <f t="shared" si="6"/>
        <v>0</v>
      </c>
      <c r="Q41" s="7" t="str">
        <f t="shared" si="7"/>
        <v/>
      </c>
      <c r="R41" s="7" t="s">
        <v>975</v>
      </c>
      <c r="S41" s="7">
        <v>7.0</v>
      </c>
      <c r="T41" s="7" t="s">
        <v>4733</v>
      </c>
    </row>
    <row r="42" ht="12.75" customHeight="1">
      <c r="A42" s="7">
        <v>41.0</v>
      </c>
      <c r="B42" s="84" t="s">
        <v>146</v>
      </c>
      <c r="C42" s="84" t="s">
        <v>4731</v>
      </c>
      <c r="F42" s="7" t="s">
        <v>4702</v>
      </c>
      <c r="G42" s="7" t="s">
        <v>2787</v>
      </c>
      <c r="H42" s="7" t="s">
        <v>2912</v>
      </c>
      <c r="I42" s="7" t="s">
        <v>3067</v>
      </c>
      <c r="K42" s="7" t="str">
        <f t="shared" si="2"/>
        <v/>
      </c>
      <c r="L42" s="7" t="str">
        <f t="shared" si="3"/>
        <v/>
      </c>
      <c r="M42" s="7">
        <f t="shared" ref="M42:N42" si="46">IF(LEN(M$1),COUNTIF($G42:$I42,M$1),"")</f>
        <v>0</v>
      </c>
      <c r="N42" s="7" t="str">
        <f t="shared" si="46"/>
        <v/>
      </c>
      <c r="O42" s="7" t="str">
        <f t="shared" si="5"/>
        <v/>
      </c>
      <c r="P42" s="7">
        <f t="shared" si="6"/>
        <v>0</v>
      </c>
      <c r="Q42" s="7" t="str">
        <f t="shared" si="7"/>
        <v/>
      </c>
      <c r="R42" s="7" t="s">
        <v>1453</v>
      </c>
      <c r="S42" s="7">
        <v>6.0</v>
      </c>
      <c r="T42" s="7" t="s">
        <v>4729</v>
      </c>
    </row>
    <row r="43" ht="12.75" customHeight="1">
      <c r="A43" s="7">
        <v>42.0</v>
      </c>
      <c r="B43" s="84" t="s">
        <v>155</v>
      </c>
      <c r="C43" s="84" t="s">
        <v>4731</v>
      </c>
      <c r="F43" s="7" t="s">
        <v>4702</v>
      </c>
      <c r="G43" s="7" t="s">
        <v>2838</v>
      </c>
      <c r="H43" s="7" t="s">
        <v>2898</v>
      </c>
      <c r="I43" s="7" t="s">
        <v>2996</v>
      </c>
      <c r="K43" s="7" t="str">
        <f t="shared" si="2"/>
        <v/>
      </c>
      <c r="L43" s="7" t="str">
        <f t="shared" si="3"/>
        <v/>
      </c>
      <c r="M43" s="7">
        <f t="shared" ref="M43:N43" si="47">IF(LEN(M$1),COUNTIF($G43:$I43,M$1),"")</f>
        <v>0</v>
      </c>
      <c r="N43" s="7" t="str">
        <f t="shared" si="47"/>
        <v/>
      </c>
      <c r="O43" s="7" t="str">
        <f t="shared" si="5"/>
        <v/>
      </c>
      <c r="P43" s="7">
        <f t="shared" si="6"/>
        <v>0</v>
      </c>
      <c r="Q43" s="7" t="str">
        <f t="shared" si="7"/>
        <v/>
      </c>
      <c r="R43" s="7" t="s">
        <v>342</v>
      </c>
      <c r="S43" s="7">
        <v>6.0</v>
      </c>
      <c r="T43" s="7" t="s">
        <v>4709</v>
      </c>
    </row>
    <row r="44" ht="12.75" customHeight="1">
      <c r="A44" s="7">
        <v>43.0</v>
      </c>
      <c r="B44" s="84" t="s">
        <v>155</v>
      </c>
      <c r="C44" s="84" t="s">
        <v>4731</v>
      </c>
      <c r="F44" s="7" t="s">
        <v>4702</v>
      </c>
      <c r="G44" s="7" t="s">
        <v>2697</v>
      </c>
      <c r="H44" s="7" t="s">
        <v>2859</v>
      </c>
      <c r="I44" s="7" t="s">
        <v>3100</v>
      </c>
      <c r="K44" s="7" t="str">
        <f t="shared" si="2"/>
        <v/>
      </c>
      <c r="L44" s="7" t="str">
        <f t="shared" si="3"/>
        <v/>
      </c>
      <c r="M44" s="7">
        <f t="shared" ref="M44:N44" si="48">IF(LEN(M$1),COUNTIF($G44:$I44,M$1),"")</f>
        <v>0</v>
      </c>
      <c r="N44" s="7" t="str">
        <f t="shared" si="48"/>
        <v/>
      </c>
      <c r="O44" s="7" t="str">
        <f t="shared" si="5"/>
        <v/>
      </c>
      <c r="P44" s="7">
        <f t="shared" si="6"/>
        <v>0</v>
      </c>
      <c r="Q44" s="7" t="str">
        <f t="shared" si="7"/>
        <v/>
      </c>
      <c r="R44" s="7" t="s">
        <v>2073</v>
      </c>
      <c r="S44" s="7">
        <v>10.0</v>
      </c>
      <c r="T44" s="7" t="s">
        <v>4734</v>
      </c>
    </row>
    <row r="45" ht="12.75" customHeight="1">
      <c r="A45" s="7">
        <v>44.0</v>
      </c>
      <c r="B45" s="84" t="s">
        <v>164</v>
      </c>
      <c r="C45" s="84" t="s">
        <v>4735</v>
      </c>
      <c r="F45" s="7" t="s">
        <v>4702</v>
      </c>
      <c r="G45" s="7" t="s">
        <v>2616</v>
      </c>
      <c r="H45" s="7" t="s">
        <v>2882</v>
      </c>
      <c r="I45" s="7" t="s">
        <v>2959</v>
      </c>
      <c r="K45" s="7" t="str">
        <f t="shared" si="2"/>
        <v/>
      </c>
      <c r="L45" s="7" t="str">
        <f t="shared" si="3"/>
        <v/>
      </c>
      <c r="M45" s="7">
        <f t="shared" ref="M45:N45" si="49">IF(LEN(M$1),COUNTIF($G45:$I45,M$1),"")</f>
        <v>0</v>
      </c>
      <c r="N45" s="7" t="str">
        <f t="shared" si="49"/>
        <v/>
      </c>
      <c r="O45" s="7" t="str">
        <f t="shared" si="5"/>
        <v/>
      </c>
      <c r="P45" s="7">
        <f t="shared" si="6"/>
        <v>0</v>
      </c>
      <c r="Q45" s="7" t="str">
        <f t="shared" si="7"/>
        <v/>
      </c>
      <c r="R45" s="7" t="s">
        <v>2362</v>
      </c>
      <c r="S45" s="7">
        <v>3.0</v>
      </c>
      <c r="T45" s="85" t="s">
        <v>4730</v>
      </c>
    </row>
    <row r="46" ht="12.75" customHeight="1">
      <c r="A46" s="7">
        <v>45.0</v>
      </c>
      <c r="B46" s="7" t="s">
        <v>164</v>
      </c>
      <c r="C46" s="7" t="s">
        <v>4735</v>
      </c>
      <c r="D46" s="7"/>
      <c r="E46" s="7"/>
      <c r="F46" s="7" t="s">
        <v>4702</v>
      </c>
      <c r="G46" s="7" t="s">
        <v>2627</v>
      </c>
      <c r="H46" s="7" t="s">
        <v>2910</v>
      </c>
      <c r="I46" s="7" t="s">
        <v>2989</v>
      </c>
      <c r="K46" s="7" t="str">
        <f t="shared" si="2"/>
        <v/>
      </c>
      <c r="L46" s="7" t="str">
        <f t="shared" si="3"/>
        <v/>
      </c>
      <c r="M46" s="7">
        <f t="shared" ref="M46:N46" si="50">IF(LEN(M$1),COUNTIF($G46:$I46,M$1),"")</f>
        <v>0</v>
      </c>
      <c r="N46" s="7" t="str">
        <f t="shared" si="50"/>
        <v/>
      </c>
      <c r="O46" s="7" t="str">
        <f t="shared" si="5"/>
        <v/>
      </c>
      <c r="P46" s="7">
        <f t="shared" si="6"/>
        <v>0</v>
      </c>
      <c r="Q46" s="7" t="str">
        <f t="shared" si="7"/>
        <v/>
      </c>
      <c r="R46" s="7" t="s">
        <v>2457</v>
      </c>
      <c r="S46" s="7">
        <v>6.0</v>
      </c>
      <c r="T46" s="7" t="s">
        <v>4736</v>
      </c>
    </row>
    <row r="47" ht="12.75" customHeight="1">
      <c r="A47" s="7">
        <v>46.0</v>
      </c>
      <c r="B47" s="7" t="s">
        <v>164</v>
      </c>
      <c r="C47" s="7" t="s">
        <v>4735</v>
      </c>
      <c r="D47" s="7"/>
      <c r="E47" s="7"/>
      <c r="F47" s="7" t="s">
        <v>4702</v>
      </c>
      <c r="G47" s="7" t="s">
        <v>2597</v>
      </c>
      <c r="H47" s="7" t="s">
        <v>2923</v>
      </c>
      <c r="I47" s="7" t="s">
        <v>2929</v>
      </c>
      <c r="K47" s="7" t="str">
        <f t="shared" si="2"/>
        <v/>
      </c>
      <c r="L47" s="7" t="str">
        <f t="shared" si="3"/>
        <v/>
      </c>
      <c r="M47" s="7">
        <f t="shared" ref="M47:N47" si="51">IF(LEN(M$1),COUNTIF($G47:$I47,M$1),"")</f>
        <v>0</v>
      </c>
      <c r="N47" s="7" t="str">
        <f t="shared" si="51"/>
        <v/>
      </c>
      <c r="O47" s="7" t="str">
        <f t="shared" si="5"/>
        <v/>
      </c>
      <c r="P47" s="7">
        <f t="shared" si="6"/>
        <v>0</v>
      </c>
      <c r="Q47" s="7" t="str">
        <f t="shared" si="7"/>
        <v/>
      </c>
      <c r="R47" s="7" t="s">
        <v>2081</v>
      </c>
      <c r="S47" s="7">
        <v>10.0</v>
      </c>
      <c r="T47" s="7" t="s">
        <v>4734</v>
      </c>
    </row>
    <row r="48" ht="12.75" customHeight="1">
      <c r="A48" s="7">
        <v>47.0</v>
      </c>
      <c r="B48" s="7" t="s">
        <v>173</v>
      </c>
      <c r="C48" s="7" t="s">
        <v>4735</v>
      </c>
      <c r="D48" s="7"/>
      <c r="E48" s="7"/>
      <c r="F48" s="7" t="s">
        <v>4702</v>
      </c>
      <c r="G48" s="7" t="s">
        <v>2729</v>
      </c>
      <c r="H48" s="7" t="s">
        <v>2871</v>
      </c>
      <c r="I48" s="7" t="s">
        <v>3067</v>
      </c>
      <c r="K48" s="7" t="str">
        <f t="shared" si="2"/>
        <v/>
      </c>
      <c r="L48" s="7" t="str">
        <f t="shared" si="3"/>
        <v/>
      </c>
      <c r="M48" s="7">
        <f t="shared" ref="M48:N48" si="52">IF(LEN(M$1),COUNTIF($G48:$I48,M$1),"")</f>
        <v>0</v>
      </c>
      <c r="N48" s="7" t="str">
        <f t="shared" si="52"/>
        <v/>
      </c>
      <c r="O48" s="7" t="str">
        <f t="shared" si="5"/>
        <v/>
      </c>
      <c r="P48" s="7">
        <f t="shared" si="6"/>
        <v>0</v>
      </c>
      <c r="Q48" s="7" t="str">
        <f t="shared" si="7"/>
        <v/>
      </c>
      <c r="R48" s="7" t="s">
        <v>826</v>
      </c>
      <c r="S48" s="7">
        <v>7.0</v>
      </c>
      <c r="T48" s="7" t="s">
        <v>4737</v>
      </c>
    </row>
    <row r="49" ht="12.75" customHeight="1">
      <c r="A49" s="7">
        <v>48.0</v>
      </c>
      <c r="B49" s="7" t="s">
        <v>173</v>
      </c>
      <c r="C49" s="7" t="s">
        <v>4735</v>
      </c>
      <c r="D49" s="7"/>
      <c r="E49" s="7"/>
      <c r="F49" s="7" t="s">
        <v>4702</v>
      </c>
      <c r="G49" s="7" t="s">
        <v>2783</v>
      </c>
      <c r="H49" s="7" t="s">
        <v>2927</v>
      </c>
      <c r="I49" s="7" t="s">
        <v>3012</v>
      </c>
      <c r="K49" s="7" t="str">
        <f t="shared" si="2"/>
        <v/>
      </c>
      <c r="L49" s="7" t="str">
        <f t="shared" si="3"/>
        <v/>
      </c>
      <c r="M49" s="7">
        <f t="shared" ref="M49:N49" si="53">IF(LEN(M$1),COUNTIF($G49:$I49,M$1),"")</f>
        <v>0</v>
      </c>
      <c r="N49" s="7" t="str">
        <f t="shared" si="53"/>
        <v/>
      </c>
      <c r="O49" s="7" t="str">
        <f t="shared" si="5"/>
        <v/>
      </c>
      <c r="P49" s="7">
        <f t="shared" si="6"/>
        <v>0</v>
      </c>
      <c r="Q49" s="7" t="str">
        <f t="shared" si="7"/>
        <v/>
      </c>
      <c r="R49" s="7" t="s">
        <v>1461</v>
      </c>
      <c r="S49" s="7">
        <v>6.0</v>
      </c>
      <c r="T49" s="7" t="s">
        <v>4729</v>
      </c>
    </row>
    <row r="50" ht="12.75" customHeight="1">
      <c r="A50" s="7">
        <v>49.0</v>
      </c>
      <c r="B50" s="7" t="s">
        <v>173</v>
      </c>
      <c r="C50" s="7" t="s">
        <v>4735</v>
      </c>
      <c r="D50" s="7"/>
      <c r="E50" s="7"/>
      <c r="F50" s="7" t="s">
        <v>4702</v>
      </c>
      <c r="G50" s="7" t="s">
        <v>2668</v>
      </c>
      <c r="H50" s="7" t="s">
        <v>2879</v>
      </c>
      <c r="I50" s="7" t="s">
        <v>2934</v>
      </c>
      <c r="K50" s="7" t="str">
        <f t="shared" si="2"/>
        <v/>
      </c>
      <c r="L50" s="7" t="str">
        <f t="shared" si="3"/>
        <v/>
      </c>
      <c r="M50" s="7">
        <f t="shared" ref="M50:N50" si="54">IF(LEN(M$1),COUNTIF($G50:$I50,M$1),"")</f>
        <v>0</v>
      </c>
      <c r="N50" s="7" t="str">
        <f t="shared" si="54"/>
        <v/>
      </c>
      <c r="O50" s="7" t="str">
        <f t="shared" si="5"/>
        <v/>
      </c>
      <c r="P50" s="7">
        <f t="shared" si="6"/>
        <v>0</v>
      </c>
      <c r="Q50" s="7" t="str">
        <f t="shared" si="7"/>
        <v/>
      </c>
      <c r="R50" s="7" t="s">
        <v>164</v>
      </c>
      <c r="S50" s="7">
        <v>7.0</v>
      </c>
      <c r="T50" s="7" t="s">
        <v>4719</v>
      </c>
    </row>
    <row r="51" ht="12.75" customHeight="1">
      <c r="A51" s="7">
        <v>50.0</v>
      </c>
      <c r="B51" s="7" t="s">
        <v>180</v>
      </c>
      <c r="C51" s="7" t="s">
        <v>4735</v>
      </c>
      <c r="D51" s="7"/>
      <c r="E51" s="7"/>
      <c r="F51" s="7" t="s">
        <v>4702</v>
      </c>
      <c r="G51" s="7" t="s">
        <v>2603</v>
      </c>
      <c r="H51" s="7" t="s">
        <v>2918</v>
      </c>
      <c r="I51" s="7" t="s">
        <v>3106</v>
      </c>
      <c r="K51" s="7" t="str">
        <f t="shared" si="2"/>
        <v/>
      </c>
      <c r="L51" s="7" t="str">
        <f t="shared" si="3"/>
        <v/>
      </c>
      <c r="M51" s="7">
        <f t="shared" ref="M51:N51" si="55">IF(LEN(M$1),COUNTIF($G51:$I51,M$1),"")</f>
        <v>0</v>
      </c>
      <c r="N51" s="7" t="str">
        <f t="shared" si="55"/>
        <v/>
      </c>
      <c r="O51" s="7" t="str">
        <f t="shared" si="5"/>
        <v/>
      </c>
      <c r="P51" s="7">
        <f t="shared" si="6"/>
        <v>0</v>
      </c>
      <c r="Q51" s="7" t="str">
        <f t="shared" si="7"/>
        <v/>
      </c>
      <c r="R51" s="7" t="s">
        <v>2450</v>
      </c>
      <c r="S51" s="7">
        <v>6.0</v>
      </c>
      <c r="T51" s="7" t="s">
        <v>4738</v>
      </c>
    </row>
    <row r="52" ht="12.75" customHeight="1">
      <c r="A52" s="7">
        <v>51.0</v>
      </c>
      <c r="B52" s="7" t="s">
        <v>180</v>
      </c>
      <c r="C52" s="7" t="s">
        <v>4735</v>
      </c>
      <c r="D52" s="7"/>
      <c r="E52" s="7"/>
      <c r="F52" s="7" t="s">
        <v>4702</v>
      </c>
      <c r="G52" s="7" t="s">
        <v>2799</v>
      </c>
      <c r="H52" s="7" t="s">
        <v>2917</v>
      </c>
      <c r="I52" s="7" t="s">
        <v>2979</v>
      </c>
      <c r="K52" s="7" t="str">
        <f t="shared" si="2"/>
        <v/>
      </c>
      <c r="L52" s="7" t="str">
        <f t="shared" si="3"/>
        <v/>
      </c>
      <c r="M52" s="7">
        <f t="shared" ref="M52:N52" si="56">IF(LEN(M$1),COUNTIF($G52:$I52,M$1),"")</f>
        <v>0</v>
      </c>
      <c r="N52" s="7" t="str">
        <f t="shared" si="56"/>
        <v/>
      </c>
      <c r="O52" s="7" t="str">
        <f t="shared" si="5"/>
        <v/>
      </c>
      <c r="P52" s="7">
        <f t="shared" si="6"/>
        <v>0</v>
      </c>
      <c r="Q52" s="7" t="str">
        <f t="shared" si="7"/>
        <v/>
      </c>
      <c r="R52" s="7" t="s">
        <v>408</v>
      </c>
      <c r="S52" s="7">
        <v>6.0</v>
      </c>
      <c r="T52" s="7" t="s">
        <v>4709</v>
      </c>
    </row>
    <row r="53" ht="12.75" customHeight="1">
      <c r="A53" s="7">
        <v>52.0</v>
      </c>
      <c r="B53" s="7" t="s">
        <v>180</v>
      </c>
      <c r="C53" s="7" t="s">
        <v>4735</v>
      </c>
      <c r="D53" s="7"/>
      <c r="E53" s="7"/>
      <c r="F53" s="7" t="s">
        <v>4702</v>
      </c>
      <c r="G53" s="7" t="s">
        <v>2569</v>
      </c>
      <c r="H53" s="7" t="s">
        <v>2920</v>
      </c>
      <c r="I53" s="7" t="s">
        <v>3078</v>
      </c>
      <c r="K53" s="7" t="str">
        <f t="shared" si="2"/>
        <v/>
      </c>
      <c r="L53" s="7" t="str">
        <f t="shared" si="3"/>
        <v/>
      </c>
      <c r="M53" s="7">
        <f t="shared" ref="M53:N53" si="57">IF(LEN(M$1),COUNTIF($G53:$I53,M$1),"")</f>
        <v>0</v>
      </c>
      <c r="N53" s="7" t="str">
        <f t="shared" si="57"/>
        <v/>
      </c>
      <c r="O53" s="7" t="str">
        <f t="shared" si="5"/>
        <v/>
      </c>
      <c r="P53" s="7">
        <f t="shared" si="6"/>
        <v>0</v>
      </c>
      <c r="Q53" s="7" t="str">
        <f t="shared" si="7"/>
        <v/>
      </c>
      <c r="R53" s="7" t="s">
        <v>233</v>
      </c>
      <c r="S53" s="7">
        <v>8.0</v>
      </c>
      <c r="T53" s="7" t="s">
        <v>4739</v>
      </c>
    </row>
    <row r="54" ht="12.75" customHeight="1">
      <c r="A54" s="7">
        <v>53.0</v>
      </c>
      <c r="B54" s="7" t="s">
        <v>189</v>
      </c>
      <c r="C54" s="7" t="s">
        <v>4740</v>
      </c>
      <c r="D54" s="7"/>
      <c r="E54" s="7"/>
      <c r="F54" s="7" t="s">
        <v>4702</v>
      </c>
      <c r="G54" s="7" t="s">
        <v>2804</v>
      </c>
      <c r="H54" s="7" t="s">
        <v>2861</v>
      </c>
      <c r="I54" s="7" t="s">
        <v>3026</v>
      </c>
      <c r="K54" s="7" t="str">
        <f t="shared" si="2"/>
        <v/>
      </c>
      <c r="L54" s="7" t="str">
        <f t="shared" si="3"/>
        <v/>
      </c>
      <c r="M54" s="7">
        <f t="shared" ref="M54:N54" si="58">IF(LEN(M$1),COUNTIF($G54:$I54,M$1),"")</f>
        <v>0</v>
      </c>
      <c r="N54" s="7" t="str">
        <f t="shared" si="58"/>
        <v/>
      </c>
      <c r="O54" s="7" t="str">
        <f t="shared" si="5"/>
        <v/>
      </c>
      <c r="P54" s="7">
        <f t="shared" si="6"/>
        <v>0</v>
      </c>
      <c r="Q54" s="7" t="str">
        <f t="shared" si="7"/>
        <v/>
      </c>
      <c r="R54" s="7" t="s">
        <v>1673</v>
      </c>
      <c r="S54" s="7">
        <v>8.0</v>
      </c>
      <c r="T54" s="7" t="s">
        <v>4741</v>
      </c>
    </row>
    <row r="55" ht="12.75" customHeight="1">
      <c r="A55" s="7">
        <v>54.0</v>
      </c>
      <c r="B55" s="7" t="s">
        <v>189</v>
      </c>
      <c r="C55" s="7" t="s">
        <v>4740</v>
      </c>
      <c r="D55" s="7"/>
      <c r="E55" s="7"/>
      <c r="F55" s="7" t="s">
        <v>4702</v>
      </c>
      <c r="G55" s="7" t="s">
        <v>2809</v>
      </c>
      <c r="H55" s="7" t="s">
        <v>2922</v>
      </c>
      <c r="I55" s="7" t="s">
        <v>3017</v>
      </c>
      <c r="K55" s="7" t="str">
        <f t="shared" si="2"/>
        <v/>
      </c>
      <c r="L55" s="7" t="str">
        <f t="shared" si="3"/>
        <v/>
      </c>
      <c r="M55" s="7">
        <f t="shared" ref="M55:N55" si="59">IF(LEN(M$1),COUNTIF($G55:$I55,M$1),"")</f>
        <v>0</v>
      </c>
      <c r="N55" s="7" t="str">
        <f t="shared" si="59"/>
        <v/>
      </c>
      <c r="O55" s="7" t="str">
        <f t="shared" si="5"/>
        <v/>
      </c>
      <c r="P55" s="7">
        <f t="shared" si="6"/>
        <v>0</v>
      </c>
      <c r="Q55" s="7" t="str">
        <f t="shared" si="7"/>
        <v/>
      </c>
      <c r="R55" s="7" t="s">
        <v>2168</v>
      </c>
      <c r="S55" s="7">
        <v>12.0</v>
      </c>
      <c r="T55" s="7" t="s">
        <v>4708</v>
      </c>
    </row>
    <row r="56" ht="12.75" customHeight="1">
      <c r="A56" s="7">
        <v>55.0</v>
      </c>
      <c r="B56" s="7" t="s">
        <v>197</v>
      </c>
      <c r="C56" s="7" t="s">
        <v>4740</v>
      </c>
      <c r="D56" s="7"/>
      <c r="E56" s="7"/>
      <c r="F56" s="7" t="s">
        <v>4702</v>
      </c>
      <c r="G56" s="7" t="s">
        <v>2759</v>
      </c>
      <c r="H56" s="7" t="s">
        <v>2875</v>
      </c>
      <c r="I56" s="7" t="s">
        <v>3064</v>
      </c>
      <c r="K56" s="7" t="str">
        <f t="shared" si="2"/>
        <v/>
      </c>
      <c r="L56" s="7" t="str">
        <f t="shared" si="3"/>
        <v/>
      </c>
      <c r="M56" s="7">
        <f t="shared" ref="M56:N56" si="60">IF(LEN(M$1),COUNTIF($G56:$I56,M$1),"")</f>
        <v>0</v>
      </c>
      <c r="N56" s="7" t="str">
        <f t="shared" si="60"/>
        <v/>
      </c>
      <c r="O56" s="7" t="str">
        <f t="shared" si="5"/>
        <v/>
      </c>
      <c r="P56" s="7">
        <f t="shared" si="6"/>
        <v>0</v>
      </c>
      <c r="Q56" s="7" t="str">
        <f t="shared" si="7"/>
        <v/>
      </c>
      <c r="R56" s="7" t="s">
        <v>415</v>
      </c>
      <c r="S56" s="7">
        <v>6.0</v>
      </c>
      <c r="T56" s="7" t="s">
        <v>4709</v>
      </c>
    </row>
    <row r="57" ht="12.75" customHeight="1">
      <c r="A57" s="7">
        <v>56.0</v>
      </c>
      <c r="B57" s="7" t="s">
        <v>197</v>
      </c>
      <c r="C57" s="7" t="s">
        <v>4740</v>
      </c>
      <c r="D57" s="7"/>
      <c r="E57" s="7"/>
      <c r="F57" s="7" t="s">
        <v>4702</v>
      </c>
      <c r="G57" s="7" t="s">
        <v>2820</v>
      </c>
      <c r="H57" s="7" t="s">
        <v>2916</v>
      </c>
      <c r="I57" s="7" t="s">
        <v>3060</v>
      </c>
      <c r="K57" s="7" t="str">
        <f t="shared" si="2"/>
        <v/>
      </c>
      <c r="L57" s="7" t="str">
        <f t="shared" si="3"/>
        <v/>
      </c>
      <c r="M57" s="7">
        <f t="shared" ref="M57:N57" si="61">IF(LEN(M$1),COUNTIF($G57:$I57,M$1),"")</f>
        <v>0</v>
      </c>
      <c r="N57" s="7" t="str">
        <f t="shared" si="61"/>
        <v/>
      </c>
      <c r="O57" s="7" t="str">
        <f t="shared" si="5"/>
        <v/>
      </c>
      <c r="P57" s="7">
        <f t="shared" si="6"/>
        <v>0</v>
      </c>
      <c r="Q57" s="7" t="str">
        <f t="shared" si="7"/>
        <v/>
      </c>
      <c r="R57" s="7" t="s">
        <v>1660</v>
      </c>
      <c r="S57" s="7">
        <v>4.0</v>
      </c>
      <c r="T57" s="7" t="s">
        <v>4742</v>
      </c>
    </row>
    <row r="58" ht="12.75" customHeight="1">
      <c r="A58" s="7">
        <v>57.0</v>
      </c>
      <c r="B58" s="7" t="s">
        <v>197</v>
      </c>
      <c r="C58" s="7" t="s">
        <v>4740</v>
      </c>
      <c r="D58" s="7"/>
      <c r="E58" s="7"/>
      <c r="F58" s="7" t="s">
        <v>4702</v>
      </c>
      <c r="G58" s="7" t="s">
        <v>2815</v>
      </c>
      <c r="H58" s="7" t="s">
        <v>2879</v>
      </c>
      <c r="I58" s="7" t="s">
        <v>2981</v>
      </c>
      <c r="K58" s="7" t="str">
        <f t="shared" si="2"/>
        <v/>
      </c>
      <c r="L58" s="7" t="str">
        <f t="shared" si="3"/>
        <v/>
      </c>
      <c r="M58" s="7">
        <f t="shared" ref="M58:N58" si="62">IF(LEN(M$1),COUNTIF($G58:$I58,M$1),"")</f>
        <v>0</v>
      </c>
      <c r="N58" s="7" t="str">
        <f t="shared" si="62"/>
        <v/>
      </c>
      <c r="O58" s="7" t="str">
        <f t="shared" si="5"/>
        <v/>
      </c>
      <c r="P58" s="7">
        <f t="shared" si="6"/>
        <v>0</v>
      </c>
      <c r="Q58" s="7" t="str">
        <f t="shared" si="7"/>
        <v/>
      </c>
      <c r="R58" s="7" t="s">
        <v>129</v>
      </c>
      <c r="S58" s="7">
        <v>8.0</v>
      </c>
      <c r="T58" s="7" t="s">
        <v>4705</v>
      </c>
    </row>
    <row r="59" ht="12.75" customHeight="1">
      <c r="A59" s="7">
        <v>58.0</v>
      </c>
      <c r="B59" s="7" t="s">
        <v>206</v>
      </c>
      <c r="C59" s="7" t="s">
        <v>4740</v>
      </c>
      <c r="D59" s="7"/>
      <c r="E59" s="7"/>
      <c r="F59" s="7" t="s">
        <v>4702</v>
      </c>
      <c r="G59" s="7" t="s">
        <v>2740</v>
      </c>
      <c r="H59" s="7" t="s">
        <v>2911</v>
      </c>
      <c r="I59" s="7" t="s">
        <v>3035</v>
      </c>
      <c r="K59" s="7" t="str">
        <f t="shared" si="2"/>
        <v/>
      </c>
      <c r="L59" s="7" t="str">
        <f t="shared" si="3"/>
        <v/>
      </c>
      <c r="M59" s="7">
        <f t="shared" ref="M59:N59" si="63">IF(LEN(M$1),COUNTIF($G59:$I59,M$1),"")</f>
        <v>0</v>
      </c>
      <c r="N59" s="7" t="str">
        <f t="shared" si="63"/>
        <v/>
      </c>
      <c r="O59" s="7" t="str">
        <f t="shared" si="5"/>
        <v/>
      </c>
      <c r="P59" s="7">
        <f t="shared" si="6"/>
        <v>0</v>
      </c>
      <c r="Q59" s="7" t="str">
        <f t="shared" si="7"/>
        <v/>
      </c>
      <c r="R59" s="7" t="s">
        <v>329</v>
      </c>
      <c r="S59" s="7">
        <v>8.0</v>
      </c>
      <c r="T59" s="7" t="s">
        <v>4741</v>
      </c>
    </row>
    <row r="60" ht="12.75" customHeight="1">
      <c r="A60" s="7">
        <v>59.0</v>
      </c>
      <c r="B60" s="7" t="s">
        <v>206</v>
      </c>
      <c r="C60" s="7" t="s">
        <v>4740</v>
      </c>
      <c r="D60" s="7"/>
      <c r="E60" s="7"/>
      <c r="F60" s="7" t="s">
        <v>4702</v>
      </c>
      <c r="G60" s="7" t="s">
        <v>2646</v>
      </c>
      <c r="H60" s="7" t="s">
        <v>2907</v>
      </c>
      <c r="I60" s="7" t="s">
        <v>3022</v>
      </c>
      <c r="K60" s="7" t="str">
        <f t="shared" si="2"/>
        <v/>
      </c>
      <c r="L60" s="7" t="str">
        <f t="shared" si="3"/>
        <v/>
      </c>
      <c r="M60" s="7">
        <f t="shared" ref="M60:N60" si="64">IF(LEN(M$1),COUNTIF($G60:$I60,M$1),"")</f>
        <v>0</v>
      </c>
      <c r="N60" s="7" t="str">
        <f t="shared" si="64"/>
        <v/>
      </c>
      <c r="O60" s="7" t="str">
        <f t="shared" si="5"/>
        <v/>
      </c>
      <c r="P60" s="7">
        <f t="shared" si="6"/>
        <v>0</v>
      </c>
      <c r="Q60" s="7" t="str">
        <f t="shared" si="7"/>
        <v/>
      </c>
      <c r="R60" s="7" t="s">
        <v>88</v>
      </c>
      <c r="S60" s="7">
        <v>8.0</v>
      </c>
      <c r="T60" s="7" t="s">
        <v>4705</v>
      </c>
    </row>
    <row r="61" ht="12.75" customHeight="1">
      <c r="A61" s="7">
        <v>60.0</v>
      </c>
      <c r="B61" s="7" t="s">
        <v>213</v>
      </c>
      <c r="C61" s="7" t="s">
        <v>4743</v>
      </c>
      <c r="D61" s="7"/>
      <c r="E61" s="7"/>
      <c r="F61" s="7" t="s">
        <v>4702</v>
      </c>
      <c r="G61" s="7" t="s">
        <v>2743</v>
      </c>
      <c r="H61" s="7" t="s">
        <v>2908</v>
      </c>
      <c r="I61" s="7" t="s">
        <v>2929</v>
      </c>
      <c r="K61" s="7" t="str">
        <f t="shared" si="2"/>
        <v/>
      </c>
      <c r="L61" s="7" t="str">
        <f t="shared" si="3"/>
        <v/>
      </c>
      <c r="M61" s="7">
        <f t="shared" ref="M61:N61" si="65">IF(LEN(M$1),COUNTIF($G61:$I61,M$1),"")</f>
        <v>0</v>
      </c>
      <c r="N61" s="7" t="str">
        <f t="shared" si="65"/>
        <v/>
      </c>
      <c r="O61" s="7" t="str">
        <f t="shared" si="5"/>
        <v/>
      </c>
      <c r="P61" s="7">
        <f t="shared" si="6"/>
        <v>0</v>
      </c>
      <c r="Q61" s="7" t="str">
        <f t="shared" si="7"/>
        <v/>
      </c>
      <c r="R61" s="7" t="s">
        <v>969</v>
      </c>
      <c r="S61" s="7">
        <v>4.0</v>
      </c>
      <c r="T61" s="7" t="s">
        <v>4722</v>
      </c>
    </row>
    <row r="62" ht="12.75" customHeight="1">
      <c r="A62" s="7">
        <v>61.0</v>
      </c>
      <c r="B62" s="7" t="s">
        <v>213</v>
      </c>
      <c r="C62" s="7" t="s">
        <v>4743</v>
      </c>
      <c r="D62" s="7"/>
      <c r="E62" s="7"/>
      <c r="F62" s="7" t="s">
        <v>4702</v>
      </c>
      <c r="G62" s="7" t="s">
        <v>2585</v>
      </c>
      <c r="H62" s="7" t="s">
        <v>2857</v>
      </c>
      <c r="I62" s="7" t="s">
        <v>2991</v>
      </c>
      <c r="K62" s="7" t="str">
        <f t="shared" si="2"/>
        <v/>
      </c>
      <c r="L62" s="7" t="str">
        <f t="shared" si="3"/>
        <v/>
      </c>
      <c r="M62" s="7">
        <f t="shared" ref="M62:N62" si="66">IF(LEN(M$1),COUNTIF($G62:$I62,M$1),"")</f>
        <v>0</v>
      </c>
      <c r="N62" s="7" t="str">
        <f t="shared" si="66"/>
        <v/>
      </c>
      <c r="O62" s="7" t="str">
        <f t="shared" si="5"/>
        <v/>
      </c>
      <c r="P62" s="7">
        <f t="shared" si="6"/>
        <v>0</v>
      </c>
      <c r="Q62" s="7" t="str">
        <f t="shared" si="7"/>
        <v/>
      </c>
      <c r="R62" s="7" t="s">
        <v>2329</v>
      </c>
      <c r="S62" s="7">
        <v>3.0</v>
      </c>
      <c r="T62" s="7" t="s">
        <v>4744</v>
      </c>
    </row>
    <row r="63" ht="12.75" customHeight="1">
      <c r="A63" s="7">
        <v>62.0</v>
      </c>
      <c r="B63" s="7" t="s">
        <v>213</v>
      </c>
      <c r="C63" s="7" t="s">
        <v>4743</v>
      </c>
      <c r="D63" s="7"/>
      <c r="E63" s="7"/>
      <c r="F63" s="7" t="s">
        <v>4702</v>
      </c>
      <c r="G63" s="7" t="s">
        <v>2850</v>
      </c>
      <c r="H63" s="7" t="s">
        <v>2915</v>
      </c>
      <c r="I63" s="7" t="s">
        <v>2959</v>
      </c>
      <c r="K63" s="7" t="str">
        <f t="shared" si="2"/>
        <v/>
      </c>
      <c r="L63" s="7" t="str">
        <f t="shared" si="3"/>
        <v/>
      </c>
      <c r="M63" s="7">
        <f t="shared" ref="M63:N63" si="67">IF(LEN(M$1),COUNTIF($G63:$I63,M$1),"")</f>
        <v>0</v>
      </c>
      <c r="N63" s="7" t="str">
        <f t="shared" si="67"/>
        <v/>
      </c>
      <c r="O63" s="7" t="str">
        <f t="shared" si="5"/>
        <v/>
      </c>
      <c r="P63" s="7">
        <f t="shared" si="6"/>
        <v>0</v>
      </c>
      <c r="Q63" s="7" t="str">
        <f t="shared" si="7"/>
        <v/>
      </c>
      <c r="R63" s="7" t="s">
        <v>2240</v>
      </c>
      <c r="S63" s="7">
        <v>11.0</v>
      </c>
      <c r="T63" s="7" t="s">
        <v>4745</v>
      </c>
    </row>
    <row r="64" ht="12.75" customHeight="1">
      <c r="A64" s="7">
        <v>63.0</v>
      </c>
      <c r="B64" s="7" t="s">
        <v>220</v>
      </c>
      <c r="C64" s="7" t="s">
        <v>4743</v>
      </c>
      <c r="D64" s="7"/>
      <c r="E64" s="7"/>
      <c r="F64" s="7" t="s">
        <v>4702</v>
      </c>
      <c r="G64" s="7" t="s">
        <v>2702</v>
      </c>
      <c r="H64" s="7" t="s">
        <v>2893</v>
      </c>
      <c r="I64" s="7" t="s">
        <v>3098</v>
      </c>
      <c r="K64" s="7" t="str">
        <f t="shared" si="2"/>
        <v/>
      </c>
      <c r="L64" s="7" t="str">
        <f t="shared" si="3"/>
        <v/>
      </c>
      <c r="M64" s="7">
        <f t="shared" ref="M64:N64" si="68">IF(LEN(M$1),COUNTIF($G64:$I64,M$1),"")</f>
        <v>0</v>
      </c>
      <c r="N64" s="7" t="str">
        <f t="shared" si="68"/>
        <v/>
      </c>
      <c r="O64" s="7" t="str">
        <f t="shared" si="5"/>
        <v/>
      </c>
      <c r="P64" s="7">
        <f t="shared" si="6"/>
        <v>0</v>
      </c>
      <c r="Q64" s="7" t="str">
        <f t="shared" si="7"/>
        <v/>
      </c>
      <c r="R64" s="7" t="s">
        <v>2266</v>
      </c>
      <c r="S64" s="7">
        <v>7.0</v>
      </c>
      <c r="T64" s="7" t="s">
        <v>4712</v>
      </c>
    </row>
    <row r="65" ht="12.75" customHeight="1">
      <c r="A65" s="7">
        <v>64.0</v>
      </c>
      <c r="B65" s="7" t="s">
        <v>220</v>
      </c>
      <c r="C65" s="7" t="s">
        <v>4743</v>
      </c>
      <c r="D65" s="7"/>
      <c r="E65" s="7"/>
      <c r="F65" s="7" t="s">
        <v>4702</v>
      </c>
      <c r="G65" s="7" t="s">
        <v>2697</v>
      </c>
      <c r="H65" s="7" t="s">
        <v>2911</v>
      </c>
      <c r="I65" s="7" t="s">
        <v>3022</v>
      </c>
      <c r="K65" s="7" t="str">
        <f t="shared" si="2"/>
        <v/>
      </c>
      <c r="L65" s="7" t="str">
        <f t="shared" si="3"/>
        <v/>
      </c>
      <c r="M65" s="7">
        <f t="shared" ref="M65:N65" si="69">IF(LEN(M$1),COUNTIF($G65:$I65,M$1),"")</f>
        <v>0</v>
      </c>
      <c r="N65" s="7" t="str">
        <f t="shared" si="69"/>
        <v/>
      </c>
      <c r="O65" s="7" t="str">
        <f t="shared" si="5"/>
        <v/>
      </c>
      <c r="P65" s="7">
        <f t="shared" si="6"/>
        <v>0</v>
      </c>
      <c r="Q65" s="7" t="str">
        <f t="shared" si="7"/>
        <v/>
      </c>
      <c r="R65" s="7" t="s">
        <v>1371</v>
      </c>
      <c r="S65" s="7">
        <v>5.0</v>
      </c>
      <c r="T65" s="7" t="s">
        <v>4720</v>
      </c>
    </row>
    <row r="66" ht="12.75" customHeight="1">
      <c r="A66" s="7">
        <v>65.0</v>
      </c>
      <c r="B66" s="7" t="s">
        <v>220</v>
      </c>
      <c r="C66" s="7" t="s">
        <v>4743</v>
      </c>
      <c r="D66" s="7"/>
      <c r="E66" s="7"/>
      <c r="F66" s="7" t="s">
        <v>4702</v>
      </c>
      <c r="G66" s="7" t="s">
        <v>2697</v>
      </c>
      <c r="H66" s="7" t="s">
        <v>2926</v>
      </c>
      <c r="I66" s="7" t="s">
        <v>2932</v>
      </c>
      <c r="K66" s="7" t="str">
        <f t="shared" si="2"/>
        <v/>
      </c>
      <c r="L66" s="7" t="str">
        <f t="shared" si="3"/>
        <v/>
      </c>
      <c r="M66" s="7">
        <f t="shared" ref="M66:N66" si="70">IF(LEN(M$1),COUNTIF($G66:$I66,M$1),"")</f>
        <v>0</v>
      </c>
      <c r="N66" s="7" t="str">
        <f t="shared" si="70"/>
        <v/>
      </c>
      <c r="O66" s="7" t="str">
        <f t="shared" si="5"/>
        <v/>
      </c>
      <c r="P66" s="7">
        <f t="shared" si="6"/>
        <v>0</v>
      </c>
      <c r="Q66" s="7" t="str">
        <f t="shared" si="7"/>
        <v/>
      </c>
      <c r="R66" s="7" t="s">
        <v>1339</v>
      </c>
      <c r="S66" s="7">
        <v>6.0</v>
      </c>
      <c r="T66" s="7" t="s">
        <v>4706</v>
      </c>
    </row>
    <row r="67" ht="12.75" customHeight="1">
      <c r="A67" s="7">
        <v>66.0</v>
      </c>
      <c r="B67" s="7" t="s">
        <v>229</v>
      </c>
      <c r="C67" s="7" t="s">
        <v>4743</v>
      </c>
      <c r="D67" s="7"/>
      <c r="E67" s="7"/>
      <c r="F67" s="7" t="s">
        <v>4702</v>
      </c>
      <c r="G67" s="7" t="s">
        <v>2799</v>
      </c>
      <c r="H67" s="7" t="s">
        <v>2928</v>
      </c>
      <c r="I67" s="7" t="s">
        <v>2934</v>
      </c>
      <c r="K67" s="7" t="str">
        <f t="shared" si="2"/>
        <v/>
      </c>
      <c r="L67" s="7" t="str">
        <f t="shared" si="3"/>
        <v/>
      </c>
      <c r="M67" s="7">
        <f t="shared" ref="M67:N67" si="71">IF(LEN(M$1),COUNTIF($G67:$I67,M$1),"")</f>
        <v>0</v>
      </c>
      <c r="N67" s="7" t="str">
        <f t="shared" si="71"/>
        <v/>
      </c>
      <c r="O67" s="7" t="str">
        <f t="shared" si="5"/>
        <v/>
      </c>
      <c r="P67" s="7">
        <f t="shared" si="6"/>
        <v>0</v>
      </c>
      <c r="Q67" s="7" t="str">
        <f t="shared" si="7"/>
        <v/>
      </c>
      <c r="R67" s="7" t="s">
        <v>487</v>
      </c>
      <c r="S67" s="7">
        <v>7.0</v>
      </c>
      <c r="T67" s="7" t="s">
        <v>4746</v>
      </c>
    </row>
    <row r="68" ht="12.75" customHeight="1">
      <c r="A68" s="7">
        <v>67.0</v>
      </c>
      <c r="B68" s="7" t="s">
        <v>229</v>
      </c>
      <c r="C68" s="7" t="s">
        <v>4743</v>
      </c>
      <c r="D68" s="7"/>
      <c r="E68" s="7"/>
      <c r="F68" s="7" t="s">
        <v>4702</v>
      </c>
      <c r="G68" s="7" t="s">
        <v>2715</v>
      </c>
      <c r="H68" s="7" t="s">
        <v>2898</v>
      </c>
      <c r="I68" s="7" t="s">
        <v>3006</v>
      </c>
      <c r="K68" s="7" t="str">
        <f t="shared" si="2"/>
        <v/>
      </c>
      <c r="L68" s="7" t="str">
        <f t="shared" si="3"/>
        <v/>
      </c>
      <c r="M68" s="7">
        <f t="shared" ref="M68:N68" si="72">IF(LEN(M$1),COUNTIF($G68:$I68,M$1),"")</f>
        <v>0</v>
      </c>
      <c r="N68" s="7" t="str">
        <f t="shared" si="72"/>
        <v/>
      </c>
      <c r="O68" s="7" t="str">
        <f t="shared" si="5"/>
        <v/>
      </c>
      <c r="P68" s="7">
        <f t="shared" si="6"/>
        <v>0</v>
      </c>
      <c r="Q68" s="7" t="str">
        <f t="shared" si="7"/>
        <v/>
      </c>
      <c r="R68" s="7" t="s">
        <v>206</v>
      </c>
      <c r="S68" s="7">
        <v>7.0</v>
      </c>
      <c r="T68" s="7" t="s">
        <v>4721</v>
      </c>
    </row>
    <row r="69" ht="12.75" customHeight="1">
      <c r="A69" s="7">
        <v>68.0</v>
      </c>
      <c r="B69" s="7" t="s">
        <v>229</v>
      </c>
      <c r="C69" s="7" t="s">
        <v>4743</v>
      </c>
      <c r="D69" s="7"/>
      <c r="E69" s="7"/>
      <c r="F69" s="7" t="s">
        <v>4702</v>
      </c>
      <c r="G69" s="7" t="s">
        <v>2820</v>
      </c>
      <c r="H69" s="7" t="s">
        <v>2871</v>
      </c>
      <c r="I69" s="7" t="s">
        <v>2991</v>
      </c>
      <c r="K69" s="7" t="str">
        <f t="shared" si="2"/>
        <v/>
      </c>
      <c r="L69" s="7" t="str">
        <f t="shared" si="3"/>
        <v/>
      </c>
      <c r="M69" s="7">
        <f t="shared" ref="M69:N69" si="73">IF(LEN(M$1),COUNTIF($G69:$I69,M$1),"")</f>
        <v>0</v>
      </c>
      <c r="N69" s="7" t="str">
        <f t="shared" si="73"/>
        <v/>
      </c>
      <c r="O69" s="7" t="str">
        <f t="shared" si="5"/>
        <v/>
      </c>
      <c r="P69" s="7">
        <f t="shared" si="6"/>
        <v>0</v>
      </c>
      <c r="Q69" s="7" t="str">
        <f t="shared" si="7"/>
        <v/>
      </c>
      <c r="R69" s="7" t="s">
        <v>1645</v>
      </c>
      <c r="S69" s="7">
        <v>5.0</v>
      </c>
      <c r="T69" s="7" t="s">
        <v>4747</v>
      </c>
    </row>
    <row r="70" ht="12.75" customHeight="1">
      <c r="A70" s="7">
        <v>69.0</v>
      </c>
      <c r="B70" s="7" t="s">
        <v>237</v>
      </c>
      <c r="C70" s="7" t="s">
        <v>4748</v>
      </c>
      <c r="D70" s="7"/>
      <c r="E70" s="7"/>
      <c r="F70" s="7" t="s">
        <v>4702</v>
      </c>
      <c r="G70" s="7" t="s">
        <v>2778</v>
      </c>
      <c r="H70" s="7" t="s">
        <v>2881</v>
      </c>
      <c r="I70" s="7" t="s">
        <v>2932</v>
      </c>
      <c r="K70" s="7" t="str">
        <f t="shared" si="2"/>
        <v/>
      </c>
      <c r="L70" s="7" t="str">
        <f t="shared" si="3"/>
        <v/>
      </c>
      <c r="M70" s="7">
        <f t="shared" ref="M70:N70" si="74">IF(LEN(M$1),COUNTIF($G70:$I70,M$1),"")</f>
        <v>0</v>
      </c>
      <c r="N70" s="7" t="str">
        <f t="shared" si="74"/>
        <v/>
      </c>
      <c r="O70" s="7" t="str">
        <f t="shared" si="5"/>
        <v/>
      </c>
      <c r="P70" s="7">
        <f t="shared" si="6"/>
        <v>0</v>
      </c>
      <c r="Q70" s="7" t="str">
        <f t="shared" si="7"/>
        <v/>
      </c>
      <c r="R70" s="7" t="s">
        <v>245</v>
      </c>
      <c r="S70" s="7">
        <v>7.0</v>
      </c>
      <c r="T70" s="7" t="s">
        <v>4721</v>
      </c>
    </row>
    <row r="71" ht="12.75" customHeight="1">
      <c r="A71" s="7">
        <v>70.0</v>
      </c>
      <c r="B71" s="7" t="s">
        <v>237</v>
      </c>
      <c r="C71" s="7" t="s">
        <v>4748</v>
      </c>
      <c r="D71" s="7"/>
      <c r="E71" s="7"/>
      <c r="F71" s="7" t="s">
        <v>4702</v>
      </c>
      <c r="G71" s="7" t="s">
        <v>2683</v>
      </c>
      <c r="H71" s="7" t="s">
        <v>2915</v>
      </c>
      <c r="I71" s="7" t="s">
        <v>2979</v>
      </c>
      <c r="K71" s="7" t="str">
        <f t="shared" si="2"/>
        <v/>
      </c>
      <c r="L71" s="7" t="str">
        <f t="shared" si="3"/>
        <v/>
      </c>
      <c r="M71" s="7">
        <f t="shared" ref="M71:N71" si="75">IF(LEN(M$1),COUNTIF($G71:$I71,M$1),"")</f>
        <v>0</v>
      </c>
      <c r="N71" s="7" t="str">
        <f t="shared" si="75"/>
        <v/>
      </c>
      <c r="O71" s="7" t="str">
        <f t="shared" si="5"/>
        <v/>
      </c>
      <c r="P71" s="7">
        <f t="shared" si="6"/>
        <v>0</v>
      </c>
      <c r="Q71" s="7" t="str">
        <f t="shared" si="7"/>
        <v/>
      </c>
      <c r="R71" s="7" t="s">
        <v>1902</v>
      </c>
      <c r="S71" s="7">
        <v>10.0</v>
      </c>
      <c r="T71" s="7" t="s">
        <v>4749</v>
      </c>
    </row>
    <row r="72" ht="12.75" customHeight="1">
      <c r="A72" s="7">
        <v>71.0</v>
      </c>
      <c r="B72" s="7" t="s">
        <v>245</v>
      </c>
      <c r="C72" s="7" t="s">
        <v>4748</v>
      </c>
      <c r="D72" s="7"/>
      <c r="E72" s="7"/>
      <c r="F72" s="7" t="s">
        <v>4702</v>
      </c>
      <c r="G72" s="7" t="s">
        <v>2829</v>
      </c>
      <c r="H72" s="7" t="s">
        <v>2919</v>
      </c>
      <c r="I72" s="7" t="s">
        <v>3089</v>
      </c>
      <c r="K72" s="7" t="str">
        <f t="shared" si="2"/>
        <v/>
      </c>
      <c r="L72" s="7" t="str">
        <f t="shared" si="3"/>
        <v/>
      </c>
      <c r="M72" s="7">
        <f t="shared" ref="M72:N72" si="76">IF(LEN(M$1),COUNTIF($G72:$I72,M$1),"")</f>
        <v>0</v>
      </c>
      <c r="N72" s="7" t="str">
        <f t="shared" si="76"/>
        <v/>
      </c>
      <c r="O72" s="7" t="str">
        <f t="shared" si="5"/>
        <v/>
      </c>
      <c r="P72" s="7">
        <f t="shared" si="6"/>
        <v>0</v>
      </c>
      <c r="Q72" s="7" t="str">
        <f t="shared" si="7"/>
        <v/>
      </c>
      <c r="R72" s="7" t="s">
        <v>2026</v>
      </c>
      <c r="S72" s="7">
        <v>7.0</v>
      </c>
      <c r="T72" s="7" t="s">
        <v>4750</v>
      </c>
    </row>
    <row r="73" ht="12.75" customHeight="1">
      <c r="A73" s="7">
        <v>72.0</v>
      </c>
      <c r="B73" s="7" t="s">
        <v>245</v>
      </c>
      <c r="C73" s="7" t="s">
        <v>4748</v>
      </c>
      <c r="D73" s="7"/>
      <c r="E73" s="7"/>
      <c r="F73" s="7" t="s">
        <v>4702</v>
      </c>
      <c r="G73" s="7" t="s">
        <v>2793</v>
      </c>
      <c r="H73" s="7" t="s">
        <v>2854</v>
      </c>
      <c r="I73" s="7" t="s">
        <v>3103</v>
      </c>
      <c r="K73" s="7" t="str">
        <f t="shared" si="2"/>
        <v/>
      </c>
      <c r="L73" s="7" t="str">
        <f t="shared" si="3"/>
        <v/>
      </c>
      <c r="M73" s="7">
        <f t="shared" ref="M73:N73" si="77">IF(LEN(M$1),COUNTIF($G73:$I73,M$1),"")</f>
        <v>0</v>
      </c>
      <c r="N73" s="7" t="str">
        <f t="shared" si="77"/>
        <v/>
      </c>
      <c r="O73" s="7" t="str">
        <f t="shared" si="5"/>
        <v/>
      </c>
      <c r="P73" s="7">
        <f t="shared" si="6"/>
        <v>0</v>
      </c>
      <c r="Q73" s="7" t="str">
        <f t="shared" si="7"/>
        <v/>
      </c>
      <c r="R73" s="7" t="s">
        <v>795</v>
      </c>
      <c r="S73" s="7">
        <v>5.0</v>
      </c>
      <c r="T73" s="7" t="s">
        <v>4715</v>
      </c>
    </row>
    <row r="74" ht="12.75" customHeight="1">
      <c r="A74" s="7">
        <v>73.0</v>
      </c>
      <c r="B74" s="7" t="s">
        <v>254</v>
      </c>
      <c r="C74" s="7" t="s">
        <v>4748</v>
      </c>
      <c r="D74" s="7"/>
      <c r="E74" s="7"/>
      <c r="F74" s="7" t="s">
        <v>4702</v>
      </c>
      <c r="G74" s="7" t="s">
        <v>2843</v>
      </c>
      <c r="H74" s="7" t="s">
        <v>2873</v>
      </c>
      <c r="I74" s="7" t="s">
        <v>3092</v>
      </c>
      <c r="K74" s="7" t="str">
        <f t="shared" si="2"/>
        <v/>
      </c>
      <c r="L74" s="7" t="str">
        <f t="shared" si="3"/>
        <v/>
      </c>
      <c r="M74" s="7">
        <f t="shared" ref="M74:N74" si="78">IF(LEN(M$1),COUNTIF($G74:$I74,M$1),"")</f>
        <v>0</v>
      </c>
      <c r="N74" s="7" t="str">
        <f t="shared" si="78"/>
        <v/>
      </c>
      <c r="O74" s="7" t="str">
        <f t="shared" si="5"/>
        <v/>
      </c>
      <c r="P74" s="7">
        <f t="shared" si="6"/>
        <v>0</v>
      </c>
      <c r="Q74" s="7" t="str">
        <f t="shared" si="7"/>
        <v/>
      </c>
      <c r="R74" s="7" t="s">
        <v>2248</v>
      </c>
      <c r="S74" s="7">
        <v>10.0</v>
      </c>
      <c r="T74" s="7" t="s">
        <v>4734</v>
      </c>
    </row>
    <row r="75" ht="12.75" customHeight="1">
      <c r="A75" s="7">
        <v>74.0</v>
      </c>
      <c r="B75" s="7" t="s">
        <v>254</v>
      </c>
      <c r="C75" s="7" t="s">
        <v>4748</v>
      </c>
      <c r="D75" s="7"/>
      <c r="E75" s="7"/>
      <c r="F75" s="7" t="s">
        <v>4702</v>
      </c>
      <c r="G75" s="7" t="s">
        <v>2683</v>
      </c>
      <c r="H75" s="7" t="s">
        <v>2916</v>
      </c>
      <c r="I75" s="7" t="s">
        <v>3032</v>
      </c>
      <c r="K75" s="7" t="str">
        <f t="shared" si="2"/>
        <v/>
      </c>
      <c r="L75" s="7" t="str">
        <f t="shared" si="3"/>
        <v/>
      </c>
      <c r="M75" s="7">
        <f t="shared" ref="M75:N75" si="79">IF(LEN(M$1),COUNTIF($G75:$I75,M$1),"")</f>
        <v>0</v>
      </c>
      <c r="N75" s="7" t="str">
        <f t="shared" si="79"/>
        <v/>
      </c>
      <c r="O75" s="7" t="str">
        <f t="shared" si="5"/>
        <v/>
      </c>
      <c r="P75" s="7">
        <f t="shared" si="6"/>
        <v>0</v>
      </c>
      <c r="Q75" s="7" t="str">
        <f t="shared" si="7"/>
        <v/>
      </c>
      <c r="R75" s="7" t="s">
        <v>1251</v>
      </c>
      <c r="S75" s="7">
        <v>7.0</v>
      </c>
      <c r="T75" s="7" t="s">
        <v>4751</v>
      </c>
    </row>
    <row r="76" ht="12.75" customHeight="1">
      <c r="A76" s="7">
        <v>75.0</v>
      </c>
      <c r="B76" s="7" t="s">
        <v>254</v>
      </c>
      <c r="C76" s="7" t="s">
        <v>4748</v>
      </c>
      <c r="D76" s="7"/>
      <c r="E76" s="7"/>
      <c r="F76" s="7" t="s">
        <v>4702</v>
      </c>
      <c r="G76" s="7" t="s">
        <v>2639</v>
      </c>
      <c r="H76" s="7" t="s">
        <v>2913</v>
      </c>
      <c r="I76" s="7" t="s">
        <v>3094</v>
      </c>
      <c r="K76" s="7" t="str">
        <f t="shared" si="2"/>
        <v/>
      </c>
      <c r="L76" s="7" t="str">
        <f t="shared" si="3"/>
        <v/>
      </c>
      <c r="M76" s="7">
        <f t="shared" ref="M76:N76" si="80">IF(LEN(M$1),COUNTIF($G76:$I76,M$1),"")</f>
        <v>0</v>
      </c>
      <c r="N76" s="7" t="str">
        <f t="shared" si="80"/>
        <v/>
      </c>
      <c r="O76" s="7" t="str">
        <f t="shared" si="5"/>
        <v/>
      </c>
      <c r="P76" s="7">
        <f t="shared" si="6"/>
        <v>0</v>
      </c>
      <c r="Q76" s="7" t="str">
        <f t="shared" si="7"/>
        <v/>
      </c>
      <c r="R76" s="7" t="s">
        <v>454</v>
      </c>
      <c r="S76" s="7">
        <v>5.0</v>
      </c>
      <c r="T76" s="7" t="s">
        <v>4727</v>
      </c>
    </row>
    <row r="77" ht="12.75" customHeight="1">
      <c r="A77" s="7">
        <v>76.0</v>
      </c>
      <c r="B77" s="7" t="s">
        <v>262</v>
      </c>
      <c r="C77" s="7" t="s">
        <v>4752</v>
      </c>
      <c r="D77" s="7"/>
      <c r="E77" s="7"/>
      <c r="F77" s="7" t="s">
        <v>4702</v>
      </c>
      <c r="G77" s="7" t="s">
        <v>2765</v>
      </c>
      <c r="H77" s="7" t="s">
        <v>2882</v>
      </c>
      <c r="I77" s="7" t="s">
        <v>2963</v>
      </c>
      <c r="K77" s="7" t="str">
        <f t="shared" si="2"/>
        <v/>
      </c>
      <c r="L77" s="7" t="str">
        <f t="shared" si="3"/>
        <v/>
      </c>
      <c r="M77" s="7">
        <f t="shared" ref="M77:N77" si="81">IF(LEN(M$1),COUNTIF($G77:$I77,M$1),"")</f>
        <v>0</v>
      </c>
      <c r="N77" s="7" t="str">
        <f t="shared" si="81"/>
        <v/>
      </c>
      <c r="O77" s="7" t="str">
        <f t="shared" si="5"/>
        <v/>
      </c>
      <c r="P77" s="7">
        <f t="shared" si="6"/>
        <v>0</v>
      </c>
      <c r="Q77" s="7" t="str">
        <f t="shared" si="7"/>
        <v/>
      </c>
      <c r="R77" s="7" t="s">
        <v>834</v>
      </c>
      <c r="S77" s="7">
        <v>6.0</v>
      </c>
      <c r="T77" s="7" t="s">
        <v>4707</v>
      </c>
    </row>
    <row r="78" ht="12.75" customHeight="1">
      <c r="A78" s="7">
        <v>77.0</v>
      </c>
      <c r="B78" s="7" t="s">
        <v>262</v>
      </c>
      <c r="C78" s="7" t="s">
        <v>4752</v>
      </c>
      <c r="D78" s="7"/>
      <c r="E78" s="7"/>
      <c r="F78" s="7" t="s">
        <v>4702</v>
      </c>
      <c r="G78" s="7" t="s">
        <v>2597</v>
      </c>
      <c r="H78" s="7" t="s">
        <v>2857</v>
      </c>
      <c r="I78" s="7" t="s">
        <v>3094</v>
      </c>
      <c r="K78" s="7" t="str">
        <f t="shared" si="2"/>
        <v/>
      </c>
      <c r="L78" s="7" t="str">
        <f t="shared" si="3"/>
        <v/>
      </c>
      <c r="M78" s="7">
        <f t="shared" ref="M78:N78" si="82">IF(LEN(M$1),COUNTIF($G78:$I78,M$1),"")</f>
        <v>0</v>
      </c>
      <c r="N78" s="7" t="str">
        <f t="shared" si="82"/>
        <v/>
      </c>
      <c r="O78" s="7" t="str">
        <f t="shared" si="5"/>
        <v/>
      </c>
      <c r="P78" s="7">
        <f t="shared" si="6"/>
        <v>0</v>
      </c>
      <c r="Q78" s="7" t="str">
        <f t="shared" si="7"/>
        <v/>
      </c>
      <c r="R78" s="7" t="s">
        <v>146</v>
      </c>
      <c r="S78" s="7">
        <v>8.0</v>
      </c>
      <c r="T78" s="7" t="s">
        <v>4705</v>
      </c>
    </row>
    <row r="79" ht="12.75" customHeight="1">
      <c r="A79" s="7">
        <v>78.0</v>
      </c>
      <c r="B79" s="7" t="s">
        <v>262</v>
      </c>
      <c r="C79" s="7" t="s">
        <v>4752</v>
      </c>
      <c r="D79" s="7"/>
      <c r="E79" s="7"/>
      <c r="F79" s="7" t="s">
        <v>4702</v>
      </c>
      <c r="G79" s="7" t="s">
        <v>2829</v>
      </c>
      <c r="H79" s="7" t="s">
        <v>2902</v>
      </c>
      <c r="I79" s="7" t="s">
        <v>3019</v>
      </c>
      <c r="K79" s="7" t="str">
        <f t="shared" si="2"/>
        <v/>
      </c>
      <c r="L79" s="7" t="str">
        <f t="shared" si="3"/>
        <v/>
      </c>
      <c r="M79" s="7">
        <f t="shared" ref="M79:N79" si="83">IF(LEN(M$1),COUNTIF($G79:$I79,M$1),"")</f>
        <v>0</v>
      </c>
      <c r="N79" s="7" t="str">
        <f t="shared" si="83"/>
        <v/>
      </c>
      <c r="O79" s="7" t="str">
        <f t="shared" si="5"/>
        <v/>
      </c>
      <c r="P79" s="7">
        <f t="shared" si="6"/>
        <v>0</v>
      </c>
      <c r="Q79" s="7" t="str">
        <f t="shared" si="7"/>
        <v/>
      </c>
      <c r="R79" s="7" t="s">
        <v>1786</v>
      </c>
      <c r="S79" s="7">
        <v>13.0</v>
      </c>
      <c r="T79" s="7" t="s">
        <v>4753</v>
      </c>
    </row>
    <row r="80" ht="12.75" customHeight="1">
      <c r="A80" s="7">
        <v>79.0</v>
      </c>
      <c r="B80" s="7" t="s">
        <v>271</v>
      </c>
      <c r="C80" s="7" t="s">
        <v>4752</v>
      </c>
      <c r="D80" s="7"/>
      <c r="E80" s="7"/>
      <c r="F80" s="7" t="s">
        <v>4702</v>
      </c>
      <c r="G80" s="7" t="s">
        <v>2829</v>
      </c>
      <c r="H80" s="7" t="s">
        <v>2904</v>
      </c>
      <c r="I80" s="7" t="s">
        <v>3054</v>
      </c>
      <c r="K80" s="7" t="str">
        <f t="shared" si="2"/>
        <v/>
      </c>
      <c r="L80" s="7" t="str">
        <f t="shared" si="3"/>
        <v/>
      </c>
      <c r="M80" s="7">
        <f t="shared" ref="M80:N80" si="84">IF(LEN(M$1),COUNTIF($G80:$I80,M$1),"")</f>
        <v>0</v>
      </c>
      <c r="N80" s="7" t="str">
        <f t="shared" si="84"/>
        <v/>
      </c>
      <c r="O80" s="7" t="str">
        <f t="shared" si="5"/>
        <v/>
      </c>
      <c r="P80" s="7">
        <f t="shared" si="6"/>
        <v>0</v>
      </c>
      <c r="Q80" s="7" t="str">
        <f t="shared" si="7"/>
        <v/>
      </c>
      <c r="R80" s="7" t="s">
        <v>946</v>
      </c>
      <c r="S80" s="7">
        <v>4.0</v>
      </c>
      <c r="T80" s="7" t="s">
        <v>4722</v>
      </c>
    </row>
    <row r="81" ht="12.75" customHeight="1">
      <c r="A81" s="7">
        <v>80.0</v>
      </c>
      <c r="B81" s="7" t="s">
        <v>271</v>
      </c>
      <c r="C81" s="7" t="s">
        <v>4752</v>
      </c>
      <c r="D81" s="7"/>
      <c r="E81" s="7"/>
      <c r="F81" s="7" t="s">
        <v>4702</v>
      </c>
      <c r="G81" s="7" t="s">
        <v>2778</v>
      </c>
      <c r="H81" s="7" t="s">
        <v>2884</v>
      </c>
      <c r="I81" s="7" t="s">
        <v>2996</v>
      </c>
      <c r="K81" s="7" t="str">
        <f t="shared" si="2"/>
        <v/>
      </c>
      <c r="L81" s="7" t="str">
        <f t="shared" si="3"/>
        <v/>
      </c>
      <c r="M81" s="7">
        <f t="shared" ref="M81:N81" si="85">IF(LEN(M$1),COUNTIF($G81:$I81,M$1),"")</f>
        <v>0</v>
      </c>
      <c r="N81" s="7" t="str">
        <f t="shared" si="85"/>
        <v/>
      </c>
      <c r="O81" s="7" t="str">
        <f t="shared" si="5"/>
        <v/>
      </c>
      <c r="P81" s="7">
        <f t="shared" si="6"/>
        <v>0</v>
      </c>
      <c r="Q81" s="7" t="str">
        <f t="shared" si="7"/>
        <v/>
      </c>
      <c r="R81" s="7" t="s">
        <v>2503</v>
      </c>
      <c r="S81" s="7">
        <v>3.0</v>
      </c>
      <c r="T81" s="7" t="s">
        <v>4754</v>
      </c>
    </row>
    <row r="82" ht="12.75" customHeight="1">
      <c r="A82" s="7">
        <v>81.0</v>
      </c>
      <c r="B82" s="7" t="s">
        <v>271</v>
      </c>
      <c r="C82" s="7" t="s">
        <v>4752</v>
      </c>
      <c r="D82" s="7"/>
      <c r="E82" s="7"/>
      <c r="F82" s="7" t="s">
        <v>4702</v>
      </c>
      <c r="G82" s="7" t="s">
        <v>2646</v>
      </c>
      <c r="H82" s="7" t="s">
        <v>2924</v>
      </c>
      <c r="I82" s="7" t="s">
        <v>3054</v>
      </c>
      <c r="K82" s="7" t="str">
        <f t="shared" si="2"/>
        <v/>
      </c>
      <c r="L82" s="7" t="str">
        <f t="shared" si="3"/>
        <v/>
      </c>
      <c r="M82" s="7">
        <f t="shared" ref="M82:N82" si="86">IF(LEN(M$1),COUNTIF($G82:$I82,M$1),"")</f>
        <v>0</v>
      </c>
      <c r="N82" s="7" t="str">
        <f t="shared" si="86"/>
        <v/>
      </c>
      <c r="O82" s="7" t="str">
        <f t="shared" si="5"/>
        <v/>
      </c>
      <c r="P82" s="7">
        <f t="shared" si="6"/>
        <v>0</v>
      </c>
      <c r="Q82" s="7" t="str">
        <f t="shared" si="7"/>
        <v/>
      </c>
      <c r="R82" s="7" t="s">
        <v>1190</v>
      </c>
      <c r="S82" s="7">
        <v>6.0</v>
      </c>
      <c r="T82" s="7" t="s">
        <v>4706</v>
      </c>
    </row>
    <row r="83" ht="12.75" customHeight="1">
      <c r="A83" s="7">
        <v>82.0</v>
      </c>
      <c r="B83" s="7" t="s">
        <v>279</v>
      </c>
      <c r="C83" s="7" t="s">
        <v>4752</v>
      </c>
      <c r="D83" s="7"/>
      <c r="E83" s="7"/>
      <c r="F83" s="7" t="s">
        <v>4702</v>
      </c>
      <c r="G83" s="7" t="s">
        <v>2715</v>
      </c>
      <c r="H83" s="7" t="s">
        <v>2873</v>
      </c>
      <c r="I83" s="7" t="s">
        <v>3100</v>
      </c>
      <c r="K83" s="7" t="str">
        <f t="shared" si="2"/>
        <v/>
      </c>
      <c r="L83" s="7" t="str">
        <f t="shared" si="3"/>
        <v/>
      </c>
      <c r="M83" s="7">
        <f t="shared" ref="M83:N83" si="87">IF(LEN(M$1),COUNTIF($G83:$I83,M$1),"")</f>
        <v>0</v>
      </c>
      <c r="N83" s="7" t="str">
        <f t="shared" si="87"/>
        <v/>
      </c>
      <c r="O83" s="7" t="str">
        <f t="shared" si="5"/>
        <v/>
      </c>
      <c r="P83" s="7">
        <f t="shared" si="6"/>
        <v>0</v>
      </c>
      <c r="Q83" s="7" t="str">
        <f t="shared" si="7"/>
        <v/>
      </c>
      <c r="R83" s="7" t="s">
        <v>2383</v>
      </c>
      <c r="S83" s="7">
        <v>3.0</v>
      </c>
      <c r="T83" s="7" t="s">
        <v>4755</v>
      </c>
    </row>
    <row r="84" ht="12.75" customHeight="1">
      <c r="A84" s="7">
        <v>83.0</v>
      </c>
      <c r="B84" s="7" t="s">
        <v>279</v>
      </c>
      <c r="C84" s="7" t="s">
        <v>4752</v>
      </c>
      <c r="D84" s="7"/>
      <c r="E84" s="7"/>
      <c r="F84" s="7" t="s">
        <v>4702</v>
      </c>
      <c r="G84" s="7" t="s">
        <v>2825</v>
      </c>
      <c r="H84" s="7" t="s">
        <v>2909</v>
      </c>
      <c r="I84" s="7" t="s">
        <v>2984</v>
      </c>
      <c r="K84" s="7" t="str">
        <f t="shared" si="2"/>
        <v/>
      </c>
      <c r="L84" s="7" t="str">
        <f t="shared" si="3"/>
        <v/>
      </c>
      <c r="M84" s="7">
        <f t="shared" ref="M84:N84" si="88">IF(LEN(M$1),COUNTIF($G84:$I84,M$1),"")</f>
        <v>0</v>
      </c>
      <c r="N84" s="7" t="str">
        <f t="shared" si="88"/>
        <v/>
      </c>
      <c r="O84" s="7" t="str">
        <f t="shared" si="5"/>
        <v/>
      </c>
      <c r="P84" s="7">
        <f t="shared" si="6"/>
        <v>0</v>
      </c>
      <c r="Q84" s="7" t="str">
        <f t="shared" si="7"/>
        <v/>
      </c>
      <c r="R84" s="7" t="s">
        <v>1770</v>
      </c>
      <c r="S84" s="7">
        <v>13.0</v>
      </c>
      <c r="T84" s="7" t="s">
        <v>4753</v>
      </c>
    </row>
    <row r="85" ht="12.75" customHeight="1">
      <c r="A85" s="7">
        <v>84.0</v>
      </c>
      <c r="B85" s="7" t="s">
        <v>92</v>
      </c>
      <c r="C85" s="7" t="s">
        <v>4756</v>
      </c>
      <c r="D85" s="7"/>
      <c r="E85" s="7"/>
      <c r="F85" s="7" t="s">
        <v>4702</v>
      </c>
      <c r="G85" s="7" t="s">
        <v>2768</v>
      </c>
      <c r="H85" s="7" t="s">
        <v>2883</v>
      </c>
      <c r="I85" s="7" t="s">
        <v>2989</v>
      </c>
      <c r="K85" s="7" t="str">
        <f t="shared" si="2"/>
        <v/>
      </c>
      <c r="L85" s="7" t="str">
        <f t="shared" si="3"/>
        <v/>
      </c>
      <c r="M85" s="7">
        <f t="shared" ref="M85:N85" si="89">IF(LEN(M$1),COUNTIF($G85:$I85,M$1),"")</f>
        <v>0</v>
      </c>
      <c r="N85" s="7" t="str">
        <f t="shared" si="89"/>
        <v/>
      </c>
      <c r="O85" s="7" t="str">
        <f t="shared" si="5"/>
        <v/>
      </c>
      <c r="P85" s="7">
        <f t="shared" si="6"/>
        <v>0</v>
      </c>
      <c r="Q85" s="7" t="str">
        <f t="shared" si="7"/>
        <v/>
      </c>
      <c r="R85" s="7" t="s">
        <v>2133</v>
      </c>
      <c r="S85" s="7">
        <v>12.0</v>
      </c>
      <c r="T85" s="7" t="s">
        <v>4708</v>
      </c>
    </row>
    <row r="86" ht="12.75" customHeight="1">
      <c r="A86" s="7">
        <v>85.0</v>
      </c>
      <c r="B86" s="7" t="s">
        <v>92</v>
      </c>
      <c r="C86" s="7" t="s">
        <v>4756</v>
      </c>
      <c r="D86" s="7"/>
      <c r="E86" s="7"/>
      <c r="F86" s="7" t="s">
        <v>4702</v>
      </c>
      <c r="G86" s="7" t="s">
        <v>2736</v>
      </c>
      <c r="H86" s="7" t="s">
        <v>2902</v>
      </c>
      <c r="I86" s="7" t="s">
        <v>2939</v>
      </c>
      <c r="K86" s="7" t="str">
        <f t="shared" si="2"/>
        <v/>
      </c>
      <c r="L86" s="7" t="str">
        <f t="shared" si="3"/>
        <v/>
      </c>
      <c r="M86" s="7">
        <f t="shared" ref="M86:N86" si="90">IF(LEN(M$1),COUNTIF($G86:$I86,M$1),"")</f>
        <v>0</v>
      </c>
      <c r="N86" s="7" t="str">
        <f t="shared" si="90"/>
        <v/>
      </c>
      <c r="O86" s="7" t="str">
        <f t="shared" si="5"/>
        <v/>
      </c>
      <c r="P86" s="7">
        <f t="shared" si="6"/>
        <v>0</v>
      </c>
      <c r="Q86" s="7" t="str">
        <f t="shared" si="7"/>
        <v/>
      </c>
      <c r="R86" s="7" t="s">
        <v>1317</v>
      </c>
      <c r="S86" s="7">
        <v>6.0</v>
      </c>
      <c r="T86" s="7" t="s">
        <v>4729</v>
      </c>
    </row>
    <row r="87" ht="12.75" customHeight="1">
      <c r="A87" s="7">
        <v>86.0</v>
      </c>
      <c r="B87" s="7" t="s">
        <v>294</v>
      </c>
      <c r="C87" s="7" t="s">
        <v>4756</v>
      </c>
      <c r="D87" s="7"/>
      <c r="E87" s="7"/>
      <c r="F87" s="7" t="s">
        <v>4702</v>
      </c>
      <c r="G87" s="7" t="s">
        <v>2646</v>
      </c>
      <c r="H87" s="7" t="s">
        <v>2870</v>
      </c>
      <c r="I87" s="7" t="s">
        <v>3082</v>
      </c>
      <c r="K87" s="7" t="str">
        <f t="shared" si="2"/>
        <v/>
      </c>
      <c r="L87" s="7" t="str">
        <f t="shared" si="3"/>
        <v/>
      </c>
      <c r="M87" s="7">
        <f t="shared" ref="M87:N87" si="91">IF(LEN(M$1),COUNTIF($G87:$I87,M$1),"")</f>
        <v>0</v>
      </c>
      <c r="N87" s="7" t="str">
        <f t="shared" si="91"/>
        <v/>
      </c>
      <c r="O87" s="7" t="str">
        <f t="shared" si="5"/>
        <v/>
      </c>
      <c r="P87" s="7">
        <f t="shared" si="6"/>
        <v>0</v>
      </c>
      <c r="Q87" s="7" t="str">
        <f t="shared" si="7"/>
        <v/>
      </c>
      <c r="R87" s="7" t="s">
        <v>930</v>
      </c>
      <c r="S87" s="7">
        <v>4.0</v>
      </c>
      <c r="T87" s="7" t="s">
        <v>4722</v>
      </c>
    </row>
    <row r="88" ht="12.75" customHeight="1">
      <c r="A88" s="7">
        <v>87.0</v>
      </c>
      <c r="B88" s="7" t="s">
        <v>294</v>
      </c>
      <c r="C88" s="7" t="s">
        <v>4756</v>
      </c>
      <c r="D88" s="7"/>
      <c r="E88" s="7"/>
      <c r="F88" s="7" t="s">
        <v>4702</v>
      </c>
      <c r="G88" s="7" t="s">
        <v>2748</v>
      </c>
      <c r="H88" s="7" t="s">
        <v>2917</v>
      </c>
      <c r="I88" s="7" t="s">
        <v>2949</v>
      </c>
      <c r="K88" s="7" t="str">
        <f t="shared" si="2"/>
        <v/>
      </c>
      <c r="L88" s="7" t="str">
        <f t="shared" si="3"/>
        <v/>
      </c>
      <c r="M88" s="7">
        <f t="shared" ref="M88:N88" si="92">IF(LEN(M$1),COUNTIF($G88:$I88,M$1),"")</f>
        <v>0</v>
      </c>
      <c r="N88" s="7" t="str">
        <f t="shared" si="92"/>
        <v/>
      </c>
      <c r="O88" s="7" t="str">
        <f t="shared" si="5"/>
        <v/>
      </c>
      <c r="P88" s="7">
        <f t="shared" si="6"/>
        <v>0</v>
      </c>
      <c r="Q88" s="7" t="str">
        <f t="shared" si="7"/>
        <v/>
      </c>
      <c r="R88" s="7" t="s">
        <v>1813</v>
      </c>
      <c r="S88" s="7">
        <v>11.0</v>
      </c>
      <c r="T88" s="7" t="s">
        <v>4703</v>
      </c>
    </row>
    <row r="89" ht="12.75" customHeight="1">
      <c r="A89" s="7">
        <v>88.0</v>
      </c>
      <c r="B89" s="7" t="s">
        <v>294</v>
      </c>
      <c r="C89" s="7" t="s">
        <v>4756</v>
      </c>
      <c r="D89" s="7"/>
      <c r="E89" s="7"/>
      <c r="F89" s="7" t="s">
        <v>4702</v>
      </c>
      <c r="G89" s="7" t="s">
        <v>2736</v>
      </c>
      <c r="H89" s="7" t="s">
        <v>2925</v>
      </c>
      <c r="I89" s="7" t="s">
        <v>2974</v>
      </c>
      <c r="K89" s="7" t="str">
        <f t="shared" si="2"/>
        <v/>
      </c>
      <c r="L89" s="7" t="str">
        <f t="shared" si="3"/>
        <v/>
      </c>
      <c r="M89" s="7">
        <f t="shared" ref="M89:N89" si="93">IF(LEN(M$1),COUNTIF($G89:$I89,M$1),"")</f>
        <v>0</v>
      </c>
      <c r="N89" s="7" t="str">
        <f t="shared" si="93"/>
        <v/>
      </c>
      <c r="O89" s="7" t="str">
        <f t="shared" si="5"/>
        <v/>
      </c>
      <c r="P89" s="7">
        <f t="shared" si="6"/>
        <v>0</v>
      </c>
      <c r="Q89" s="7" t="str">
        <f t="shared" si="7"/>
        <v/>
      </c>
      <c r="R89" s="7" t="s">
        <v>383</v>
      </c>
      <c r="S89" s="7">
        <v>6.0</v>
      </c>
      <c r="T89" s="7" t="s">
        <v>4709</v>
      </c>
    </row>
    <row r="90" ht="12.75" customHeight="1">
      <c r="A90" s="7">
        <v>89.0</v>
      </c>
      <c r="B90" s="7" t="s">
        <v>303</v>
      </c>
      <c r="C90" s="7" t="s">
        <v>4756</v>
      </c>
      <c r="D90" s="7"/>
      <c r="E90" s="7"/>
      <c r="F90" s="7" t="s">
        <v>4702</v>
      </c>
      <c r="G90" s="7" t="s">
        <v>2569</v>
      </c>
      <c r="H90" s="7" t="s">
        <v>2919</v>
      </c>
      <c r="I90" s="7" t="s">
        <v>3092</v>
      </c>
      <c r="K90" s="7" t="str">
        <f t="shared" si="2"/>
        <v/>
      </c>
      <c r="L90" s="7" t="str">
        <f t="shared" si="3"/>
        <v/>
      </c>
      <c r="M90" s="7">
        <f t="shared" ref="M90:N90" si="94">IF(LEN(M$1),COUNTIF($G90:$I90,M$1),"")</f>
        <v>0</v>
      </c>
      <c r="N90" s="7" t="str">
        <f t="shared" si="94"/>
        <v/>
      </c>
      <c r="O90" s="7" t="str">
        <f t="shared" si="5"/>
        <v/>
      </c>
      <c r="P90" s="7">
        <f t="shared" si="6"/>
        <v>0</v>
      </c>
      <c r="Q90" s="7" t="str">
        <f t="shared" si="7"/>
        <v/>
      </c>
      <c r="R90" s="7" t="s">
        <v>1851</v>
      </c>
      <c r="S90" s="7">
        <v>8.0</v>
      </c>
      <c r="T90" s="7" t="s">
        <v>4741</v>
      </c>
    </row>
    <row r="91" ht="12.75" customHeight="1">
      <c r="A91" s="7">
        <v>90.0</v>
      </c>
      <c r="B91" s="7" t="s">
        <v>303</v>
      </c>
      <c r="C91" s="7" t="s">
        <v>4756</v>
      </c>
      <c r="D91" s="7"/>
      <c r="E91" s="7"/>
      <c r="F91" s="7" t="s">
        <v>4702</v>
      </c>
      <c r="G91" s="7" t="s">
        <v>2673</v>
      </c>
      <c r="H91" s="7" t="s">
        <v>2921</v>
      </c>
      <c r="I91" s="7" t="s">
        <v>3094</v>
      </c>
      <c r="K91" s="7" t="str">
        <f t="shared" si="2"/>
        <v/>
      </c>
      <c r="L91" s="7" t="str">
        <f t="shared" si="3"/>
        <v/>
      </c>
      <c r="M91" s="7">
        <f t="shared" ref="M91:N91" si="95">IF(LEN(M$1),COUNTIF($G91:$I91,M$1),"")</f>
        <v>0</v>
      </c>
      <c r="N91" s="7" t="str">
        <f t="shared" si="95"/>
        <v/>
      </c>
      <c r="O91" s="7" t="str">
        <f t="shared" si="5"/>
        <v/>
      </c>
      <c r="P91" s="7">
        <f t="shared" si="6"/>
        <v>0</v>
      </c>
      <c r="Q91" s="7" t="str">
        <f t="shared" si="7"/>
        <v/>
      </c>
      <c r="R91" s="7" t="s">
        <v>1198</v>
      </c>
      <c r="S91" s="7">
        <v>6.0</v>
      </c>
      <c r="T91" s="7" t="s">
        <v>4706</v>
      </c>
    </row>
    <row r="92" ht="12.75" customHeight="1">
      <c r="A92" s="7">
        <v>91.0</v>
      </c>
      <c r="B92" s="7" t="s">
        <v>303</v>
      </c>
      <c r="C92" s="7" t="s">
        <v>4756</v>
      </c>
      <c r="D92" s="7"/>
      <c r="E92" s="7"/>
      <c r="F92" s="7" t="s">
        <v>4702</v>
      </c>
      <c r="G92" s="7" t="s">
        <v>2754</v>
      </c>
      <c r="H92" s="7" t="s">
        <v>2926</v>
      </c>
      <c r="I92" s="7" t="s">
        <v>2969</v>
      </c>
      <c r="K92" s="7" t="str">
        <f t="shared" si="2"/>
        <v/>
      </c>
      <c r="L92" s="7" t="str">
        <f t="shared" si="3"/>
        <v/>
      </c>
      <c r="M92" s="7">
        <f t="shared" ref="M92:N92" si="96">IF(LEN(M$1),COUNTIF($G92:$I92,M$1),"")</f>
        <v>0</v>
      </c>
      <c r="N92" s="7" t="str">
        <f t="shared" si="96"/>
        <v/>
      </c>
      <c r="O92" s="7" t="str">
        <f t="shared" si="5"/>
        <v/>
      </c>
      <c r="P92" s="7">
        <f t="shared" si="6"/>
        <v>0</v>
      </c>
      <c r="Q92" s="7" t="str">
        <f t="shared" si="7"/>
        <v/>
      </c>
      <c r="R92" s="7" t="s">
        <v>1385</v>
      </c>
      <c r="S92" s="7">
        <v>4.0</v>
      </c>
      <c r="T92" s="7" t="s">
        <v>4757</v>
      </c>
    </row>
    <row r="93" ht="12.75" customHeight="1">
      <c r="A93" s="7">
        <v>92.0</v>
      </c>
      <c r="B93" s="7" t="s">
        <v>310</v>
      </c>
      <c r="C93" s="7" t="s">
        <v>4758</v>
      </c>
      <c r="D93" s="7"/>
      <c r="E93" s="7"/>
      <c r="F93" s="7" t="s">
        <v>4702</v>
      </c>
      <c r="G93" s="7" t="s">
        <v>2721</v>
      </c>
      <c r="H93" s="7" t="s">
        <v>2892</v>
      </c>
      <c r="I93" s="7" t="s">
        <v>3029</v>
      </c>
      <c r="K93" s="7" t="str">
        <f t="shared" si="2"/>
        <v/>
      </c>
      <c r="L93" s="7" t="str">
        <f t="shared" si="3"/>
        <v/>
      </c>
      <c r="M93" s="7">
        <f t="shared" ref="M93:N93" si="97">IF(LEN(M$1),COUNTIF($G93:$I93,M$1),"")</f>
        <v>0</v>
      </c>
      <c r="N93" s="7" t="str">
        <f t="shared" si="97"/>
        <v/>
      </c>
      <c r="O93" s="7" t="str">
        <f t="shared" si="5"/>
        <v/>
      </c>
      <c r="P93" s="7">
        <f t="shared" si="6"/>
        <v>0</v>
      </c>
      <c r="Q93" s="7" t="str">
        <f t="shared" si="7"/>
        <v/>
      </c>
      <c r="R93" s="7" t="s">
        <v>537</v>
      </c>
      <c r="S93" s="7">
        <v>4.0</v>
      </c>
      <c r="T93" s="7" t="s">
        <v>4759</v>
      </c>
    </row>
    <row r="94" ht="12.75" customHeight="1">
      <c r="A94" s="7">
        <v>93.0</v>
      </c>
      <c r="B94" s="7" t="s">
        <v>310</v>
      </c>
      <c r="C94" s="7" t="s">
        <v>4758</v>
      </c>
      <c r="D94" s="7"/>
      <c r="E94" s="7"/>
      <c r="F94" s="7" t="s">
        <v>4702</v>
      </c>
      <c r="G94" s="7" t="s">
        <v>2621</v>
      </c>
      <c r="H94" s="7" t="s">
        <v>2865</v>
      </c>
      <c r="I94" s="7" t="s">
        <v>3078</v>
      </c>
      <c r="K94" s="7" t="str">
        <f t="shared" si="2"/>
        <v/>
      </c>
      <c r="L94" s="7" t="str">
        <f t="shared" si="3"/>
        <v/>
      </c>
      <c r="M94" s="7">
        <f t="shared" ref="M94:N94" si="98">IF(LEN(M$1),COUNTIF($G94:$I94,M$1),"")</f>
        <v>0</v>
      </c>
      <c r="N94" s="7" t="str">
        <f t="shared" si="98"/>
        <v/>
      </c>
      <c r="O94" s="7" t="str">
        <f t="shared" si="5"/>
        <v/>
      </c>
      <c r="P94" s="7">
        <f t="shared" si="6"/>
        <v>0</v>
      </c>
      <c r="Q94" s="7" t="str">
        <f t="shared" si="7"/>
        <v/>
      </c>
      <c r="R94" s="7" t="s">
        <v>1990</v>
      </c>
      <c r="S94" s="7">
        <v>9.0</v>
      </c>
      <c r="T94" s="7" t="s">
        <v>4760</v>
      </c>
    </row>
    <row r="95" ht="12.75" customHeight="1">
      <c r="A95" s="7">
        <v>94.0</v>
      </c>
      <c r="B95" s="7" t="s">
        <v>310</v>
      </c>
      <c r="C95" s="7" t="s">
        <v>4758</v>
      </c>
      <c r="D95" s="7"/>
      <c r="E95" s="7"/>
      <c r="F95" s="7" t="s">
        <v>4702</v>
      </c>
      <c r="G95" s="7" t="s">
        <v>2850</v>
      </c>
      <c r="H95" s="7" t="s">
        <v>2902</v>
      </c>
      <c r="I95" s="7" t="s">
        <v>3064</v>
      </c>
      <c r="K95" s="7" t="str">
        <f t="shared" si="2"/>
        <v/>
      </c>
      <c r="L95" s="7" t="str">
        <f t="shared" si="3"/>
        <v/>
      </c>
      <c r="M95" s="7">
        <f t="shared" ref="M95:N95" si="99">IF(LEN(M$1),COUNTIF($G95:$I95,M$1),"")</f>
        <v>0</v>
      </c>
      <c r="N95" s="7" t="str">
        <f t="shared" si="99"/>
        <v/>
      </c>
      <c r="O95" s="7" t="str">
        <f t="shared" si="5"/>
        <v/>
      </c>
      <c r="P95" s="7">
        <f t="shared" si="6"/>
        <v>0</v>
      </c>
      <c r="Q95" s="7" t="str">
        <f t="shared" si="7"/>
        <v/>
      </c>
      <c r="R95" s="7" t="s">
        <v>1800</v>
      </c>
      <c r="S95" s="7">
        <v>10.0</v>
      </c>
      <c r="T95" s="7" t="s">
        <v>4761</v>
      </c>
    </row>
    <row r="96" ht="12.75" customHeight="1">
      <c r="A96" s="7">
        <v>95.0</v>
      </c>
      <c r="B96" s="7" t="s">
        <v>318</v>
      </c>
      <c r="C96" s="7" t="s">
        <v>4758</v>
      </c>
      <c r="D96" s="7"/>
      <c r="E96" s="7"/>
      <c r="F96" s="7" t="s">
        <v>4702</v>
      </c>
      <c r="G96" s="7" t="s">
        <v>2804</v>
      </c>
      <c r="H96" s="7" t="s">
        <v>2913</v>
      </c>
      <c r="I96" s="7" t="s">
        <v>3006</v>
      </c>
      <c r="K96" s="7" t="str">
        <f t="shared" si="2"/>
        <v/>
      </c>
      <c r="L96" s="7" t="str">
        <f t="shared" si="3"/>
        <v/>
      </c>
      <c r="M96" s="7">
        <f t="shared" ref="M96:N96" si="100">IF(LEN(M$1),COUNTIF($G96:$I96,M$1),"")</f>
        <v>0</v>
      </c>
      <c r="N96" s="7" t="str">
        <f t="shared" si="100"/>
        <v/>
      </c>
      <c r="O96" s="7" t="str">
        <f t="shared" si="5"/>
        <v/>
      </c>
      <c r="P96" s="7">
        <f t="shared" si="6"/>
        <v>0</v>
      </c>
      <c r="Q96" s="7" t="str">
        <f t="shared" si="7"/>
        <v/>
      </c>
      <c r="R96" s="7" t="s">
        <v>851</v>
      </c>
      <c r="S96" s="7">
        <v>5.0</v>
      </c>
      <c r="T96" s="7" t="s">
        <v>4762</v>
      </c>
    </row>
    <row r="97" ht="12.75" customHeight="1">
      <c r="A97" s="7">
        <v>96.0</v>
      </c>
      <c r="B97" s="7" t="s">
        <v>318</v>
      </c>
      <c r="C97" s="7" t="s">
        <v>4758</v>
      </c>
      <c r="D97" s="7"/>
      <c r="E97" s="7"/>
      <c r="F97" s="7" t="s">
        <v>4702</v>
      </c>
      <c r="G97" s="7" t="s">
        <v>2787</v>
      </c>
      <c r="H97" s="7" t="s">
        <v>2911</v>
      </c>
      <c r="I97" s="7" t="s">
        <v>3019</v>
      </c>
      <c r="K97" s="7" t="str">
        <f t="shared" si="2"/>
        <v/>
      </c>
      <c r="L97" s="7" t="str">
        <f t="shared" si="3"/>
        <v/>
      </c>
      <c r="M97" s="7">
        <f t="shared" ref="M97:N97" si="101">IF(LEN(M$1),COUNTIF($G97:$I97,M$1),"")</f>
        <v>0</v>
      </c>
      <c r="N97" s="7" t="str">
        <f t="shared" si="101"/>
        <v/>
      </c>
      <c r="O97" s="7" t="str">
        <f t="shared" si="5"/>
        <v/>
      </c>
      <c r="P97" s="7">
        <f t="shared" si="6"/>
        <v>0</v>
      </c>
      <c r="Q97" s="7" t="str">
        <f t="shared" si="7"/>
        <v/>
      </c>
      <c r="R97" s="7" t="s">
        <v>676</v>
      </c>
      <c r="S97" s="7">
        <v>7.0</v>
      </c>
      <c r="T97" s="7" t="s">
        <v>4718</v>
      </c>
    </row>
    <row r="98" ht="12.75" customHeight="1">
      <c r="A98" s="7">
        <v>97.0</v>
      </c>
      <c r="B98" s="7" t="s">
        <v>318</v>
      </c>
      <c r="C98" s="7" t="s">
        <v>4758</v>
      </c>
      <c r="D98" s="7"/>
      <c r="E98" s="7"/>
      <c r="F98" s="7" t="s">
        <v>4702</v>
      </c>
      <c r="G98" s="7" t="s">
        <v>2815</v>
      </c>
      <c r="H98" s="7" t="s">
        <v>2917</v>
      </c>
      <c r="I98" s="7" t="s">
        <v>3012</v>
      </c>
      <c r="K98" s="7" t="str">
        <f t="shared" si="2"/>
        <v/>
      </c>
      <c r="L98" s="7" t="str">
        <f t="shared" si="3"/>
        <v/>
      </c>
      <c r="M98" s="7">
        <f t="shared" ref="M98:N98" si="102">IF(LEN(M$1),COUNTIF($G98:$I98,M$1),"")</f>
        <v>0</v>
      </c>
      <c r="N98" s="7" t="str">
        <f t="shared" si="102"/>
        <v/>
      </c>
      <c r="O98" s="7" t="str">
        <f t="shared" si="5"/>
        <v/>
      </c>
      <c r="P98" s="7">
        <f t="shared" si="6"/>
        <v>0</v>
      </c>
      <c r="Q98" s="7" t="str">
        <f t="shared" si="7"/>
        <v/>
      </c>
      <c r="R98" s="7" t="s">
        <v>977</v>
      </c>
      <c r="S98" s="7">
        <v>6.0</v>
      </c>
      <c r="T98" s="7" t="s">
        <v>4706</v>
      </c>
    </row>
    <row r="99" ht="12.75" customHeight="1">
      <c r="A99" s="7">
        <v>98.0</v>
      </c>
      <c r="B99" s="7" t="s">
        <v>326</v>
      </c>
      <c r="C99" s="7" t="s">
        <v>4758</v>
      </c>
      <c r="D99" s="7"/>
      <c r="E99" s="7"/>
      <c r="F99" s="7" t="s">
        <v>4702</v>
      </c>
      <c r="G99" s="7" t="s">
        <v>2673</v>
      </c>
      <c r="H99" s="7" t="s">
        <v>2916</v>
      </c>
      <c r="I99" s="7" t="s">
        <v>3064</v>
      </c>
      <c r="K99" s="7" t="str">
        <f t="shared" si="2"/>
        <v/>
      </c>
      <c r="L99" s="7" t="str">
        <f t="shared" si="3"/>
        <v/>
      </c>
      <c r="M99" s="7">
        <f t="shared" ref="M99:N99" si="103">IF(LEN(M$1),COUNTIF($G99:$I99,M$1),"")</f>
        <v>0</v>
      </c>
      <c r="N99" s="7" t="str">
        <f t="shared" si="103"/>
        <v/>
      </c>
      <c r="O99" s="7" t="str">
        <f t="shared" si="5"/>
        <v/>
      </c>
      <c r="P99" s="7">
        <f t="shared" si="6"/>
        <v>0</v>
      </c>
      <c r="Q99" s="7" t="str">
        <f t="shared" si="7"/>
        <v/>
      </c>
      <c r="R99" s="7" t="s">
        <v>1091</v>
      </c>
      <c r="S99" s="7">
        <v>6.0</v>
      </c>
      <c r="T99" s="7" t="s">
        <v>4763</v>
      </c>
    </row>
    <row r="100" ht="12.75" customHeight="1">
      <c r="A100" s="7">
        <v>99.0</v>
      </c>
      <c r="B100" s="7" t="s">
        <v>326</v>
      </c>
      <c r="C100" s="7" t="s">
        <v>4758</v>
      </c>
      <c r="D100" s="7"/>
      <c r="E100" s="7"/>
      <c r="F100" s="7" t="s">
        <v>4702</v>
      </c>
      <c r="G100" s="7" t="s">
        <v>2616</v>
      </c>
      <c r="H100" s="7" t="s">
        <v>2899</v>
      </c>
      <c r="I100" s="7" t="s">
        <v>2996</v>
      </c>
      <c r="K100" s="7" t="str">
        <f t="shared" si="2"/>
        <v/>
      </c>
      <c r="L100" s="7" t="str">
        <f t="shared" si="3"/>
        <v/>
      </c>
      <c r="M100" s="7">
        <f t="shared" ref="M100:N100" si="104">IF(LEN(M$1),COUNTIF($G100:$I100,M$1),"")</f>
        <v>0</v>
      </c>
      <c r="N100" s="7" t="str">
        <f t="shared" si="104"/>
        <v/>
      </c>
      <c r="O100" s="7" t="str">
        <f t="shared" si="5"/>
        <v/>
      </c>
      <c r="P100" s="7">
        <f t="shared" si="6"/>
        <v>0</v>
      </c>
      <c r="Q100" s="7" t="str">
        <f t="shared" si="7"/>
        <v/>
      </c>
      <c r="R100" s="7" t="s">
        <v>1151</v>
      </c>
      <c r="S100" s="7">
        <v>10.0</v>
      </c>
      <c r="T100" s="7" t="s">
        <v>4764</v>
      </c>
    </row>
    <row r="101" ht="12.75" customHeight="1">
      <c r="A101" s="7">
        <v>100.0</v>
      </c>
      <c r="B101" s="7" t="s">
        <v>326</v>
      </c>
      <c r="C101" s="7" t="s">
        <v>4758</v>
      </c>
      <c r="D101" s="7"/>
      <c r="E101" s="7"/>
      <c r="F101" s="7" t="s">
        <v>4702</v>
      </c>
      <c r="G101" s="7" t="s">
        <v>2793</v>
      </c>
      <c r="H101" s="7" t="s">
        <v>2868</v>
      </c>
      <c r="I101" s="7" t="s">
        <v>2946</v>
      </c>
      <c r="K101" s="7" t="str">
        <f t="shared" si="2"/>
        <v/>
      </c>
      <c r="L101" s="7" t="str">
        <f t="shared" si="3"/>
        <v/>
      </c>
      <c r="M101" s="7">
        <f t="shared" ref="M101:N101" si="105">IF(LEN(M$1),COUNTIF($G101:$I101,M$1),"")</f>
        <v>0</v>
      </c>
      <c r="N101" s="7" t="str">
        <f t="shared" si="105"/>
        <v/>
      </c>
      <c r="O101" s="7" t="str">
        <f t="shared" si="5"/>
        <v/>
      </c>
      <c r="P101" s="7">
        <f t="shared" si="6"/>
        <v>0</v>
      </c>
      <c r="Q101" s="7" t="str">
        <f t="shared" si="7"/>
        <v/>
      </c>
      <c r="R101" s="7" t="s">
        <v>392</v>
      </c>
      <c r="S101" s="7">
        <v>6.0</v>
      </c>
      <c r="T101" s="7" t="s">
        <v>4709</v>
      </c>
    </row>
    <row r="102" ht="12.75" customHeight="1">
      <c r="A102" s="7">
        <v>101.0</v>
      </c>
      <c r="B102" s="7" t="s">
        <v>42</v>
      </c>
      <c r="C102" s="7" t="s">
        <v>4701</v>
      </c>
      <c r="D102" s="7"/>
      <c r="E102" s="7"/>
      <c r="F102" s="7" t="s">
        <v>4765</v>
      </c>
      <c r="G102" s="7" t="s">
        <v>3283</v>
      </c>
      <c r="H102" s="7" t="s">
        <v>3280</v>
      </c>
      <c r="I102" s="7" t="s">
        <v>3173</v>
      </c>
      <c r="K102" s="7" t="str">
        <f t="shared" si="2"/>
        <v/>
      </c>
      <c r="L102" s="7" t="str">
        <f t="shared" si="3"/>
        <v/>
      </c>
      <c r="M102" s="7">
        <f t="shared" ref="M102:N102" si="106">IF(LEN(M$1),COUNTIF($G102:$I102,M$1),"")</f>
        <v>0</v>
      </c>
      <c r="N102" s="7" t="str">
        <f t="shared" si="106"/>
        <v/>
      </c>
      <c r="O102" s="7" t="str">
        <f t="shared" si="5"/>
        <v/>
      </c>
      <c r="P102" s="7">
        <f t="shared" ref="P102:P201" si="108">IF(LEN(P$1),IF(P$1=2,1,0),"")</f>
        <v>0</v>
      </c>
      <c r="Q102" s="7" t="str">
        <f t="shared" si="7"/>
        <v/>
      </c>
      <c r="R102" s="7" t="s">
        <v>351</v>
      </c>
      <c r="S102" s="7">
        <v>6.0</v>
      </c>
      <c r="T102" s="7" t="s">
        <v>4709</v>
      </c>
    </row>
    <row r="103" ht="12.75" customHeight="1">
      <c r="A103" s="7">
        <v>102.0</v>
      </c>
      <c r="B103" s="7" t="s">
        <v>49</v>
      </c>
      <c r="C103" s="7" t="s">
        <v>4701</v>
      </c>
      <c r="D103" s="7"/>
      <c r="E103" s="7"/>
      <c r="F103" s="7" t="s">
        <v>4765</v>
      </c>
      <c r="G103" s="7" t="s">
        <v>3246</v>
      </c>
      <c r="H103" s="7" t="s">
        <v>3215</v>
      </c>
      <c r="I103" s="7" t="s">
        <v>3163</v>
      </c>
      <c r="K103" s="7" t="str">
        <f t="shared" si="2"/>
        <v/>
      </c>
      <c r="L103" s="7" t="str">
        <f t="shared" si="3"/>
        <v/>
      </c>
      <c r="M103" s="7">
        <f t="shared" ref="M103:N103" si="107">IF(LEN(M$1),COUNTIF($G103:$I103,M$1),"")</f>
        <v>0</v>
      </c>
      <c r="N103" s="7" t="str">
        <f t="shared" si="107"/>
        <v/>
      </c>
      <c r="O103" s="7" t="str">
        <f t="shared" si="5"/>
        <v/>
      </c>
      <c r="P103" s="7">
        <f t="shared" si="108"/>
        <v>0</v>
      </c>
      <c r="Q103" s="7" t="str">
        <f t="shared" si="7"/>
        <v/>
      </c>
      <c r="R103" s="7" t="s">
        <v>2139</v>
      </c>
      <c r="S103" s="7">
        <v>15.0</v>
      </c>
      <c r="T103" s="7" t="s">
        <v>4766</v>
      </c>
    </row>
    <row r="104" ht="12.75" customHeight="1">
      <c r="A104" s="7">
        <v>103.0</v>
      </c>
      <c r="B104" s="7" t="s">
        <v>56</v>
      </c>
      <c r="C104" s="7" t="s">
        <v>4701</v>
      </c>
      <c r="D104" s="7"/>
      <c r="E104" s="7"/>
      <c r="F104" s="7" t="s">
        <v>4765</v>
      </c>
      <c r="G104" s="7" t="s">
        <v>3246</v>
      </c>
      <c r="H104" s="7" t="s">
        <v>3149</v>
      </c>
      <c r="I104" s="7" t="s">
        <v>3262</v>
      </c>
      <c r="K104" s="7" t="str">
        <f t="shared" si="2"/>
        <v/>
      </c>
      <c r="L104" s="7" t="str">
        <f t="shared" si="3"/>
        <v/>
      </c>
      <c r="M104" s="7">
        <f t="shared" ref="M104:N104" si="109">IF(LEN(M$1),COUNTIF($G104:$I104,M$1),"")</f>
        <v>0</v>
      </c>
      <c r="N104" s="7" t="str">
        <f t="shared" si="109"/>
        <v/>
      </c>
      <c r="O104" s="7" t="str">
        <f t="shared" si="5"/>
        <v/>
      </c>
      <c r="P104" s="7">
        <f t="shared" si="108"/>
        <v>0</v>
      </c>
      <c r="Q104" s="7" t="str">
        <f t="shared" si="7"/>
        <v/>
      </c>
      <c r="R104" s="7" t="s">
        <v>2043</v>
      </c>
      <c r="S104" s="7">
        <v>9.0</v>
      </c>
      <c r="T104" s="7" t="s">
        <v>4760</v>
      </c>
    </row>
    <row r="105" ht="12.75" customHeight="1">
      <c r="A105" s="7">
        <v>104.0</v>
      </c>
      <c r="B105" s="7" t="s">
        <v>64</v>
      </c>
      <c r="C105" s="7" t="s">
        <v>4711</v>
      </c>
      <c r="D105" s="7"/>
      <c r="E105" s="7"/>
      <c r="F105" s="7" t="s">
        <v>4765</v>
      </c>
      <c r="G105" s="7" t="s">
        <v>3254</v>
      </c>
      <c r="H105" s="7" t="s">
        <v>3127</v>
      </c>
      <c r="I105" s="7" t="s">
        <v>3243</v>
      </c>
      <c r="K105" s="7" t="str">
        <f t="shared" si="2"/>
        <v/>
      </c>
      <c r="L105" s="7" t="str">
        <f t="shared" si="3"/>
        <v/>
      </c>
      <c r="M105" s="7">
        <f t="shared" ref="M105:N105" si="110">IF(LEN(M$1),COUNTIF($G105:$I105,M$1),"")</f>
        <v>0</v>
      </c>
      <c r="N105" s="7" t="str">
        <f t="shared" si="110"/>
        <v/>
      </c>
      <c r="O105" s="7" t="str">
        <f t="shared" si="5"/>
        <v/>
      </c>
      <c r="P105" s="7">
        <f t="shared" si="108"/>
        <v>0</v>
      </c>
      <c r="Q105" s="7" t="str">
        <f t="shared" si="7"/>
        <v/>
      </c>
      <c r="R105" s="7" t="s">
        <v>310</v>
      </c>
      <c r="S105" s="7">
        <v>8.0</v>
      </c>
      <c r="T105" s="7" t="s">
        <v>4705</v>
      </c>
    </row>
    <row r="106" ht="12.75" customHeight="1">
      <c r="A106" s="7">
        <v>105.0</v>
      </c>
      <c r="B106" s="7" t="s">
        <v>73</v>
      </c>
      <c r="C106" s="7" t="s">
        <v>4711</v>
      </c>
      <c r="D106" s="7"/>
      <c r="E106" s="7"/>
      <c r="F106" s="7" t="s">
        <v>4765</v>
      </c>
      <c r="G106" s="7" t="s">
        <v>3280</v>
      </c>
      <c r="H106" s="7" t="s">
        <v>3208</v>
      </c>
      <c r="I106" s="7" t="s">
        <v>3283</v>
      </c>
      <c r="K106" s="7" t="str">
        <f t="shared" si="2"/>
        <v/>
      </c>
      <c r="L106" s="7" t="str">
        <f t="shared" si="3"/>
        <v/>
      </c>
      <c r="M106" s="7">
        <f t="shared" ref="M106:N106" si="111">IF(LEN(M$1),COUNTIF($G106:$I106,M$1),"")</f>
        <v>0</v>
      </c>
      <c r="N106" s="7" t="str">
        <f t="shared" si="111"/>
        <v/>
      </c>
      <c r="O106" s="7" t="str">
        <f t="shared" si="5"/>
        <v/>
      </c>
      <c r="P106" s="7">
        <f t="shared" si="108"/>
        <v>0</v>
      </c>
      <c r="Q106" s="7" t="str">
        <f t="shared" si="7"/>
        <v/>
      </c>
      <c r="R106" s="7" t="s">
        <v>645</v>
      </c>
      <c r="S106" s="7">
        <v>7.0</v>
      </c>
      <c r="T106" s="7" t="s">
        <v>4718</v>
      </c>
    </row>
    <row r="107" ht="12.75" customHeight="1">
      <c r="A107" s="7">
        <v>106.0</v>
      </c>
      <c r="B107" s="7" t="s">
        <v>81</v>
      </c>
      <c r="C107" s="7" t="s">
        <v>4711</v>
      </c>
      <c r="D107" s="7"/>
      <c r="E107" s="7"/>
      <c r="F107" s="7" t="s">
        <v>4765</v>
      </c>
      <c r="G107" s="7" t="s">
        <v>2820</v>
      </c>
      <c r="H107" s="7" t="s">
        <v>3163</v>
      </c>
      <c r="I107" s="7" t="s">
        <v>3210</v>
      </c>
      <c r="K107" s="7" t="str">
        <f t="shared" si="2"/>
        <v/>
      </c>
      <c r="L107" s="7" t="str">
        <f t="shared" si="3"/>
        <v/>
      </c>
      <c r="M107" s="7">
        <f t="shared" ref="M107:N107" si="112">IF(LEN(M$1),COUNTIF($G107:$I107,M$1),"")</f>
        <v>0</v>
      </c>
      <c r="N107" s="7" t="str">
        <f t="shared" si="112"/>
        <v/>
      </c>
      <c r="O107" s="7" t="str">
        <f t="shared" si="5"/>
        <v/>
      </c>
      <c r="P107" s="7">
        <f t="shared" si="108"/>
        <v>0</v>
      </c>
      <c r="Q107" s="7" t="str">
        <f t="shared" si="7"/>
        <v/>
      </c>
      <c r="R107" s="7" t="s">
        <v>1393</v>
      </c>
      <c r="S107" s="7">
        <v>5.0</v>
      </c>
      <c r="T107" s="7" t="s">
        <v>4720</v>
      </c>
    </row>
    <row r="108" ht="12.75" customHeight="1">
      <c r="A108" s="7">
        <v>107.0</v>
      </c>
      <c r="B108" s="7" t="s">
        <v>88</v>
      </c>
      <c r="C108" s="7" t="s">
        <v>4717</v>
      </c>
      <c r="D108" s="7"/>
      <c r="E108" s="7"/>
      <c r="F108" s="7" t="s">
        <v>4765</v>
      </c>
      <c r="G108" s="7" t="s">
        <v>3195</v>
      </c>
      <c r="H108" s="7" t="s">
        <v>3208</v>
      </c>
      <c r="I108" s="7" t="s">
        <v>3273</v>
      </c>
      <c r="K108" s="7" t="str">
        <f t="shared" si="2"/>
        <v/>
      </c>
      <c r="L108" s="7" t="str">
        <f t="shared" si="3"/>
        <v/>
      </c>
      <c r="M108" s="7">
        <f t="shared" ref="M108:N108" si="113">IF(LEN(M$1),COUNTIF($G108:$I108,M$1),"")</f>
        <v>0</v>
      </c>
      <c r="N108" s="7" t="str">
        <f t="shared" si="113"/>
        <v/>
      </c>
      <c r="O108" s="7" t="str">
        <f t="shared" si="5"/>
        <v/>
      </c>
      <c r="P108" s="7">
        <f t="shared" si="108"/>
        <v>0</v>
      </c>
      <c r="Q108" s="7" t="str">
        <f t="shared" si="7"/>
        <v/>
      </c>
      <c r="R108" s="7" t="s">
        <v>262</v>
      </c>
      <c r="S108" s="7">
        <v>8.0</v>
      </c>
      <c r="T108" s="84" t="s">
        <v>4705</v>
      </c>
    </row>
    <row r="109" ht="12.75" customHeight="1">
      <c r="A109" s="7">
        <v>108.0</v>
      </c>
      <c r="B109" s="7" t="s">
        <v>97</v>
      </c>
      <c r="C109" s="7" t="s">
        <v>4717</v>
      </c>
      <c r="D109" s="7"/>
      <c r="E109" s="7"/>
      <c r="F109" s="7" t="s">
        <v>4765</v>
      </c>
      <c r="G109" s="7" t="s">
        <v>3182</v>
      </c>
      <c r="H109" s="7" t="s">
        <v>3158</v>
      </c>
      <c r="I109" s="7" t="s">
        <v>3119</v>
      </c>
      <c r="K109" s="7" t="str">
        <f t="shared" si="2"/>
        <v/>
      </c>
      <c r="L109" s="7" t="str">
        <f t="shared" si="3"/>
        <v/>
      </c>
      <c r="M109" s="7">
        <f t="shared" ref="M109:N109" si="114">IF(LEN(M$1),COUNTIF($G109:$I109,M$1),"")</f>
        <v>0</v>
      </c>
      <c r="N109" s="7" t="str">
        <f t="shared" si="114"/>
        <v/>
      </c>
      <c r="O109" s="7" t="str">
        <f t="shared" si="5"/>
        <v/>
      </c>
      <c r="P109" s="7">
        <f t="shared" si="108"/>
        <v>0</v>
      </c>
      <c r="Q109" s="7" t="str">
        <f t="shared" si="7"/>
        <v/>
      </c>
      <c r="R109" s="7" t="s">
        <v>1095</v>
      </c>
      <c r="S109" s="7">
        <v>14.0</v>
      </c>
      <c r="T109" s="7" t="s">
        <v>4767</v>
      </c>
    </row>
    <row r="110" ht="12.75" customHeight="1">
      <c r="A110" s="7">
        <v>109.0</v>
      </c>
      <c r="B110" s="7" t="s">
        <v>105</v>
      </c>
      <c r="C110" s="7" t="s">
        <v>4717</v>
      </c>
      <c r="D110" s="7"/>
      <c r="E110" s="7"/>
      <c r="F110" s="7" t="s">
        <v>4765</v>
      </c>
      <c r="G110" s="7" t="s">
        <v>3182</v>
      </c>
      <c r="H110" s="7" t="s">
        <v>3198</v>
      </c>
      <c r="I110" s="7" t="s">
        <v>3158</v>
      </c>
      <c r="K110" s="7" t="str">
        <f t="shared" si="2"/>
        <v/>
      </c>
      <c r="L110" s="7" t="str">
        <f t="shared" si="3"/>
        <v/>
      </c>
      <c r="M110" s="7">
        <f t="shared" ref="M110:N110" si="115">IF(LEN(M$1),COUNTIF($G110:$I110,M$1),"")</f>
        <v>0</v>
      </c>
      <c r="N110" s="7" t="str">
        <f t="shared" si="115"/>
        <v/>
      </c>
      <c r="O110" s="7" t="str">
        <f t="shared" si="5"/>
        <v/>
      </c>
      <c r="P110" s="7">
        <f t="shared" si="108"/>
        <v>0</v>
      </c>
      <c r="Q110" s="7" t="str">
        <f t="shared" si="7"/>
        <v/>
      </c>
      <c r="R110" s="7" t="s">
        <v>1356</v>
      </c>
      <c r="S110" s="7">
        <v>6.0</v>
      </c>
      <c r="T110" s="7" t="s">
        <v>4706</v>
      </c>
    </row>
    <row r="111" ht="12.75" customHeight="1">
      <c r="A111" s="7">
        <v>110.0</v>
      </c>
      <c r="B111" s="7" t="s">
        <v>113</v>
      </c>
      <c r="C111" s="7" t="s">
        <v>4724</v>
      </c>
      <c r="D111" s="7"/>
      <c r="E111" s="7"/>
      <c r="F111" s="7" t="s">
        <v>4765</v>
      </c>
      <c r="G111" s="7" t="s">
        <v>3276</v>
      </c>
      <c r="H111" s="7" t="s">
        <v>3132</v>
      </c>
      <c r="I111" s="7" t="s">
        <v>3251</v>
      </c>
      <c r="K111" s="7" t="str">
        <f t="shared" si="2"/>
        <v/>
      </c>
      <c r="L111" s="7" t="str">
        <f t="shared" si="3"/>
        <v/>
      </c>
      <c r="M111" s="7">
        <f t="shared" ref="M111:N111" si="116">IF(LEN(M$1),COUNTIF($G111:$I111,M$1),"")</f>
        <v>0</v>
      </c>
      <c r="N111" s="7" t="str">
        <f t="shared" si="116"/>
        <v/>
      </c>
      <c r="O111" s="7" t="str">
        <f t="shared" si="5"/>
        <v/>
      </c>
      <c r="P111" s="7">
        <f t="shared" si="108"/>
        <v>0</v>
      </c>
      <c r="Q111" s="7" t="str">
        <f t="shared" si="7"/>
        <v/>
      </c>
      <c r="R111" s="7" t="s">
        <v>64</v>
      </c>
      <c r="S111" s="7">
        <v>7.0</v>
      </c>
      <c r="T111" s="7" t="s">
        <v>4719</v>
      </c>
    </row>
    <row r="112" ht="12.75" customHeight="1">
      <c r="A112" s="7">
        <v>111.0</v>
      </c>
      <c r="B112" s="7" t="s">
        <v>122</v>
      </c>
      <c r="C112" s="7" t="s">
        <v>4724</v>
      </c>
      <c r="D112" s="7"/>
      <c r="E112" s="7"/>
      <c r="F112" s="7" t="s">
        <v>4765</v>
      </c>
      <c r="G112" s="7" t="s">
        <v>3155</v>
      </c>
      <c r="H112" s="7" t="s">
        <v>3158</v>
      </c>
      <c r="I112" s="7" t="s">
        <v>3137</v>
      </c>
      <c r="K112" s="7" t="str">
        <f t="shared" si="2"/>
        <v/>
      </c>
      <c r="L112" s="7" t="str">
        <f t="shared" si="3"/>
        <v/>
      </c>
      <c r="M112" s="7">
        <f t="shared" ref="M112:N112" si="117">IF(LEN(M$1),COUNTIF($G112:$I112,M$1),"")</f>
        <v>0</v>
      </c>
      <c r="N112" s="7" t="str">
        <f t="shared" si="117"/>
        <v/>
      </c>
      <c r="O112" s="7" t="str">
        <f t="shared" si="5"/>
        <v/>
      </c>
      <c r="P112" s="7">
        <f t="shared" si="108"/>
        <v>0</v>
      </c>
      <c r="Q112" s="7" t="str">
        <f t="shared" si="7"/>
        <v/>
      </c>
      <c r="R112" s="7" t="s">
        <v>1726</v>
      </c>
      <c r="S112" s="7">
        <v>10.0</v>
      </c>
      <c r="T112" s="7" t="s">
        <v>4761</v>
      </c>
    </row>
    <row r="113" ht="12.75" customHeight="1">
      <c r="A113" s="7">
        <v>112.0</v>
      </c>
      <c r="B113" s="7" t="s">
        <v>129</v>
      </c>
      <c r="C113" s="7" t="s">
        <v>4724</v>
      </c>
      <c r="D113" s="7"/>
      <c r="E113" s="7"/>
      <c r="F113" s="7" t="s">
        <v>4765</v>
      </c>
      <c r="G113" s="7" t="s">
        <v>3234</v>
      </c>
      <c r="H113" s="7" t="s">
        <v>3230</v>
      </c>
      <c r="I113" s="7" t="s">
        <v>3262</v>
      </c>
      <c r="K113" s="7" t="str">
        <f t="shared" si="2"/>
        <v/>
      </c>
      <c r="L113" s="7" t="str">
        <f t="shared" si="3"/>
        <v/>
      </c>
      <c r="M113" s="7">
        <f t="shared" ref="M113:N113" si="118">IF(LEN(M$1),COUNTIF($G113:$I113,M$1),"")</f>
        <v>0</v>
      </c>
      <c r="N113" s="7" t="str">
        <f t="shared" si="118"/>
        <v/>
      </c>
      <c r="O113" s="7" t="str">
        <f t="shared" si="5"/>
        <v/>
      </c>
      <c r="P113" s="7">
        <f t="shared" si="108"/>
        <v>0</v>
      </c>
      <c r="Q113" s="7" t="str">
        <f t="shared" si="7"/>
        <v/>
      </c>
      <c r="R113" s="7" t="s">
        <v>1585</v>
      </c>
      <c r="S113" s="7">
        <v>4.0</v>
      </c>
      <c r="T113" s="7" t="s">
        <v>4742</v>
      </c>
    </row>
    <row r="114" ht="12.75" customHeight="1">
      <c r="A114" s="7">
        <v>113.0</v>
      </c>
      <c r="B114" s="7" t="s">
        <v>137</v>
      </c>
      <c r="C114" s="7" t="s">
        <v>4731</v>
      </c>
      <c r="D114" s="7"/>
      <c r="E114" s="7"/>
      <c r="F114" s="7" t="s">
        <v>4765</v>
      </c>
      <c r="G114" s="7" t="s">
        <v>3146</v>
      </c>
      <c r="H114" s="7" t="s">
        <v>3208</v>
      </c>
      <c r="I114" s="7" t="s">
        <v>3226</v>
      </c>
      <c r="K114" s="7" t="str">
        <f t="shared" si="2"/>
        <v/>
      </c>
      <c r="L114" s="7" t="str">
        <f t="shared" si="3"/>
        <v/>
      </c>
      <c r="M114" s="7">
        <f t="shared" ref="M114:N114" si="119">IF(LEN(M$1),COUNTIF($G114:$I114,M$1),"")</f>
        <v>0</v>
      </c>
      <c r="N114" s="7" t="str">
        <f t="shared" si="119"/>
        <v/>
      </c>
      <c r="O114" s="7" t="str">
        <f t="shared" si="5"/>
        <v/>
      </c>
      <c r="P114" s="7">
        <f t="shared" si="108"/>
        <v>0</v>
      </c>
      <c r="Q114" s="7" t="str">
        <f t="shared" si="7"/>
        <v/>
      </c>
      <c r="R114" s="7" t="s">
        <v>1229</v>
      </c>
      <c r="S114" s="7">
        <v>6.0</v>
      </c>
      <c r="T114" s="7" t="s">
        <v>4706</v>
      </c>
    </row>
    <row r="115" ht="12.75" customHeight="1">
      <c r="A115" s="7">
        <v>114.0</v>
      </c>
      <c r="B115" s="7" t="s">
        <v>146</v>
      </c>
      <c r="C115" s="7" t="s">
        <v>4731</v>
      </c>
      <c r="D115" s="7"/>
      <c r="E115" s="7"/>
      <c r="F115" s="7" t="s">
        <v>4765</v>
      </c>
      <c r="G115" s="7" t="s">
        <v>2740</v>
      </c>
      <c r="H115" s="7" t="s">
        <v>3195</v>
      </c>
      <c r="I115" s="7" t="s">
        <v>3270</v>
      </c>
      <c r="K115" s="7" t="str">
        <f t="shared" si="2"/>
        <v/>
      </c>
      <c r="L115" s="7" t="str">
        <f t="shared" si="3"/>
        <v/>
      </c>
      <c r="M115" s="7">
        <f t="shared" ref="M115:N115" si="120">IF(LEN(M$1),COUNTIF($G115:$I115,M$1),"")</f>
        <v>0</v>
      </c>
      <c r="N115" s="7" t="str">
        <f t="shared" si="120"/>
        <v/>
      </c>
      <c r="O115" s="7" t="str">
        <f t="shared" si="5"/>
        <v/>
      </c>
      <c r="P115" s="7">
        <f t="shared" si="108"/>
        <v>0</v>
      </c>
      <c r="Q115" s="7" t="str">
        <f t="shared" si="7"/>
        <v/>
      </c>
      <c r="R115" s="7" t="s">
        <v>213</v>
      </c>
      <c r="S115" s="7">
        <v>8.0</v>
      </c>
      <c r="T115" s="7" t="s">
        <v>4705</v>
      </c>
    </row>
    <row r="116" ht="12.75" customHeight="1">
      <c r="A116" s="7">
        <v>115.0</v>
      </c>
      <c r="B116" s="7" t="s">
        <v>155</v>
      </c>
      <c r="C116" s="7" t="s">
        <v>4731</v>
      </c>
      <c r="D116" s="7"/>
      <c r="E116" s="7"/>
      <c r="F116" s="7" t="s">
        <v>4765</v>
      </c>
      <c r="G116" s="7" t="s">
        <v>3149</v>
      </c>
      <c r="H116" s="7" t="s">
        <v>3223</v>
      </c>
      <c r="I116" s="7" t="s">
        <v>3283</v>
      </c>
      <c r="K116" s="7" t="str">
        <f t="shared" si="2"/>
        <v/>
      </c>
      <c r="L116" s="7" t="str">
        <f t="shared" si="3"/>
        <v/>
      </c>
      <c r="M116" s="7">
        <f t="shared" ref="M116:N116" si="121">IF(LEN(M$1),COUNTIF($G116:$I116,M$1),"")</f>
        <v>0</v>
      </c>
      <c r="N116" s="7" t="str">
        <f t="shared" si="121"/>
        <v/>
      </c>
      <c r="O116" s="7" t="str">
        <f t="shared" si="5"/>
        <v/>
      </c>
      <c r="P116" s="7">
        <f t="shared" si="108"/>
        <v>0</v>
      </c>
      <c r="Q116" s="7" t="str">
        <f t="shared" si="7"/>
        <v/>
      </c>
      <c r="R116" s="7" t="s">
        <v>882</v>
      </c>
      <c r="S116" s="7">
        <v>4.0</v>
      </c>
      <c r="T116" s="7" t="s">
        <v>4722</v>
      </c>
    </row>
    <row r="117" ht="12.75" customHeight="1">
      <c r="A117" s="7">
        <v>116.0</v>
      </c>
      <c r="B117" s="7" t="s">
        <v>164</v>
      </c>
      <c r="C117" s="7" t="s">
        <v>4735</v>
      </c>
      <c r="D117" s="7"/>
      <c r="E117" s="7"/>
      <c r="F117" s="7" t="s">
        <v>4765</v>
      </c>
      <c r="G117" s="7" t="s">
        <v>3251</v>
      </c>
      <c r="H117" s="7" t="s">
        <v>3173</v>
      </c>
      <c r="I117" s="7" t="s">
        <v>3258</v>
      </c>
      <c r="K117" s="7" t="str">
        <f t="shared" si="2"/>
        <v/>
      </c>
      <c r="L117" s="7" t="str">
        <f t="shared" si="3"/>
        <v/>
      </c>
      <c r="M117" s="7">
        <f t="shared" ref="M117:N117" si="122">IF(LEN(M$1),COUNTIF($G117:$I117,M$1),"")</f>
        <v>0</v>
      </c>
      <c r="N117" s="7" t="str">
        <f t="shared" si="122"/>
        <v/>
      </c>
      <c r="O117" s="7" t="str">
        <f t="shared" si="5"/>
        <v/>
      </c>
      <c r="P117" s="7">
        <f t="shared" si="108"/>
        <v>0</v>
      </c>
      <c r="Q117" s="7" t="str">
        <f t="shared" si="7"/>
        <v/>
      </c>
      <c r="R117" s="7" t="s">
        <v>97</v>
      </c>
      <c r="S117" s="7">
        <v>7.0</v>
      </c>
      <c r="T117" s="7" t="s">
        <v>4721</v>
      </c>
    </row>
    <row r="118" ht="12.75" customHeight="1">
      <c r="A118" s="7">
        <v>117.0</v>
      </c>
      <c r="B118" s="7" t="s">
        <v>173</v>
      </c>
      <c r="C118" s="7" t="s">
        <v>4735</v>
      </c>
      <c r="D118" s="7"/>
      <c r="E118" s="7"/>
      <c r="F118" s="7" t="s">
        <v>4765</v>
      </c>
      <c r="G118" s="7" t="s">
        <v>3142</v>
      </c>
      <c r="H118" s="7" t="s">
        <v>2928</v>
      </c>
      <c r="I118" s="7" t="s">
        <v>2969</v>
      </c>
      <c r="K118" s="7" t="str">
        <f t="shared" si="2"/>
        <v/>
      </c>
      <c r="L118" s="7" t="str">
        <f t="shared" si="3"/>
        <v/>
      </c>
      <c r="M118" s="7">
        <f t="shared" ref="M118:N118" si="123">IF(LEN(M$1),COUNTIF($G118:$I118,M$1),"")</f>
        <v>0</v>
      </c>
      <c r="N118" s="7" t="str">
        <f t="shared" si="123"/>
        <v/>
      </c>
      <c r="O118" s="7" t="str">
        <f t="shared" si="5"/>
        <v/>
      </c>
      <c r="P118" s="7">
        <f t="shared" si="108"/>
        <v>0</v>
      </c>
      <c r="Q118" s="7" t="str">
        <f t="shared" si="7"/>
        <v/>
      </c>
      <c r="R118" s="7" t="s">
        <v>56</v>
      </c>
      <c r="S118" s="7">
        <v>7.0</v>
      </c>
      <c r="T118" s="7" t="s">
        <v>4719</v>
      </c>
    </row>
    <row r="119" ht="12.75" customHeight="1">
      <c r="A119" s="7">
        <v>118.0</v>
      </c>
      <c r="B119" s="7" t="s">
        <v>180</v>
      </c>
      <c r="C119" s="7" t="s">
        <v>4735</v>
      </c>
      <c r="D119" s="7"/>
      <c r="E119" s="7"/>
      <c r="F119" s="7" t="s">
        <v>4765</v>
      </c>
      <c r="G119" s="7" t="s">
        <v>3200</v>
      </c>
      <c r="H119" s="7" t="s">
        <v>3234</v>
      </c>
      <c r="I119" s="7" t="s">
        <v>3251</v>
      </c>
      <c r="K119" s="7" t="str">
        <f t="shared" si="2"/>
        <v/>
      </c>
      <c r="L119" s="7" t="str">
        <f t="shared" si="3"/>
        <v/>
      </c>
      <c r="M119" s="7">
        <f t="shared" ref="M119:N119" si="124">IF(LEN(M$1),COUNTIF($G119:$I119,M$1),"")</f>
        <v>0</v>
      </c>
      <c r="N119" s="7" t="str">
        <f t="shared" si="124"/>
        <v/>
      </c>
      <c r="O119" s="7" t="str">
        <f t="shared" si="5"/>
        <v/>
      </c>
      <c r="P119" s="7">
        <f t="shared" si="108"/>
        <v>0</v>
      </c>
      <c r="Q119" s="7" t="str">
        <f t="shared" si="7"/>
        <v/>
      </c>
      <c r="R119" s="7" t="s">
        <v>706</v>
      </c>
      <c r="S119" s="7">
        <v>6.0</v>
      </c>
      <c r="T119" s="7" t="s">
        <v>4707</v>
      </c>
    </row>
    <row r="120" ht="12.75" customHeight="1">
      <c r="A120" s="7">
        <v>119.0</v>
      </c>
      <c r="B120" s="7" t="s">
        <v>189</v>
      </c>
      <c r="C120" s="7" t="s">
        <v>4740</v>
      </c>
      <c r="D120" s="7"/>
      <c r="E120" s="7"/>
      <c r="F120" s="7" t="s">
        <v>4765</v>
      </c>
      <c r="G120" s="7" t="s">
        <v>2774</v>
      </c>
      <c r="H120" s="7" t="s">
        <v>3237</v>
      </c>
      <c r="I120" s="7" t="s">
        <v>3121</v>
      </c>
      <c r="K120" s="7" t="str">
        <f t="shared" si="2"/>
        <v/>
      </c>
      <c r="L120" s="7" t="str">
        <f t="shared" si="3"/>
        <v/>
      </c>
      <c r="M120" s="7">
        <f t="shared" ref="M120:N120" si="125">IF(LEN(M$1),COUNTIF($G120:$I120,M$1),"")</f>
        <v>0</v>
      </c>
      <c r="N120" s="7" t="str">
        <f t="shared" si="125"/>
        <v/>
      </c>
      <c r="O120" s="7" t="str">
        <f t="shared" si="5"/>
        <v/>
      </c>
      <c r="P120" s="7">
        <f t="shared" si="108"/>
        <v>0</v>
      </c>
      <c r="Q120" s="7" t="str">
        <f t="shared" si="7"/>
        <v/>
      </c>
      <c r="R120" s="7" t="s">
        <v>2442</v>
      </c>
      <c r="S120" s="7">
        <v>6.0</v>
      </c>
      <c r="T120" s="7" t="s">
        <v>4768</v>
      </c>
    </row>
    <row r="121" ht="12.75" customHeight="1">
      <c r="A121" s="7">
        <v>120.0</v>
      </c>
      <c r="B121" s="7" t="s">
        <v>197</v>
      </c>
      <c r="C121" s="7" t="s">
        <v>4740</v>
      </c>
      <c r="D121" s="7"/>
      <c r="E121" s="7"/>
      <c r="F121" s="7" t="s">
        <v>4765</v>
      </c>
      <c r="G121" s="7" t="s">
        <v>3266</v>
      </c>
      <c r="H121" s="7" t="s">
        <v>3170</v>
      </c>
      <c r="I121" s="7" t="s">
        <v>3176</v>
      </c>
      <c r="K121" s="7" t="str">
        <f t="shared" si="2"/>
        <v/>
      </c>
      <c r="L121" s="7" t="str">
        <f t="shared" si="3"/>
        <v/>
      </c>
      <c r="M121" s="7">
        <f t="shared" ref="M121:N121" si="126">IF(LEN(M$1),COUNTIF($G121:$I121,M$1),"")</f>
        <v>0</v>
      </c>
      <c r="N121" s="7" t="str">
        <f t="shared" si="126"/>
        <v/>
      </c>
      <c r="O121" s="7" t="str">
        <f t="shared" si="5"/>
        <v/>
      </c>
      <c r="P121" s="7">
        <f t="shared" si="108"/>
        <v>0</v>
      </c>
      <c r="Q121" s="7" t="str">
        <f t="shared" si="7"/>
        <v/>
      </c>
      <c r="R121" s="7" t="s">
        <v>2488</v>
      </c>
      <c r="S121" s="7">
        <v>3.0</v>
      </c>
      <c r="T121" s="7" t="s">
        <v>4769</v>
      </c>
    </row>
    <row r="122" ht="12.75" customHeight="1">
      <c r="A122" s="7">
        <v>121.0</v>
      </c>
      <c r="B122" s="7" t="s">
        <v>206</v>
      </c>
      <c r="C122" s="7" t="s">
        <v>4740</v>
      </c>
      <c r="D122" s="7"/>
      <c r="E122" s="7"/>
      <c r="F122" s="7" t="s">
        <v>4765</v>
      </c>
      <c r="G122" s="7" t="s">
        <v>3173</v>
      </c>
      <c r="H122" s="7" t="s">
        <v>3195</v>
      </c>
      <c r="I122" s="7" t="s">
        <v>3210</v>
      </c>
      <c r="K122" s="7" t="str">
        <f t="shared" si="2"/>
        <v/>
      </c>
      <c r="L122" s="7" t="str">
        <f t="shared" si="3"/>
        <v/>
      </c>
      <c r="M122" s="7">
        <f t="shared" ref="M122:N122" si="127">IF(LEN(M$1),COUNTIF($G122:$I122,M$1),"")</f>
        <v>0</v>
      </c>
      <c r="N122" s="7" t="str">
        <f t="shared" si="127"/>
        <v/>
      </c>
      <c r="O122" s="7" t="str">
        <f t="shared" si="5"/>
        <v/>
      </c>
      <c r="P122" s="7">
        <f t="shared" si="108"/>
        <v>0</v>
      </c>
      <c r="Q122" s="7" t="str">
        <f t="shared" si="7"/>
        <v/>
      </c>
      <c r="R122" s="7" t="s">
        <v>1323</v>
      </c>
      <c r="S122" s="7">
        <v>6.0</v>
      </c>
      <c r="T122" s="7" t="s">
        <v>4706</v>
      </c>
    </row>
    <row r="123" ht="12.75" customHeight="1">
      <c r="A123" s="7">
        <v>122.0</v>
      </c>
      <c r="B123" s="7" t="s">
        <v>213</v>
      </c>
      <c r="C123" s="7" t="s">
        <v>4743</v>
      </c>
      <c r="D123" s="7"/>
      <c r="E123" s="7"/>
      <c r="F123" s="7" t="s">
        <v>4765</v>
      </c>
      <c r="G123" s="7" t="s">
        <v>3170</v>
      </c>
      <c r="H123" s="7" t="s">
        <v>2919</v>
      </c>
      <c r="I123" s="7" t="s">
        <v>3017</v>
      </c>
      <c r="K123" s="7" t="str">
        <f t="shared" si="2"/>
        <v/>
      </c>
      <c r="L123" s="7" t="str">
        <f t="shared" si="3"/>
        <v/>
      </c>
      <c r="M123" s="7">
        <f t="shared" ref="M123:N123" si="128">IF(LEN(M$1),COUNTIF($G123:$I123,M$1),"")</f>
        <v>0</v>
      </c>
      <c r="N123" s="7" t="str">
        <f t="shared" si="128"/>
        <v/>
      </c>
      <c r="O123" s="7" t="str">
        <f t="shared" si="5"/>
        <v/>
      </c>
      <c r="P123" s="7">
        <f t="shared" si="108"/>
        <v>0</v>
      </c>
      <c r="Q123" s="7" t="str">
        <f t="shared" si="7"/>
        <v/>
      </c>
      <c r="R123" s="7" t="s">
        <v>430</v>
      </c>
      <c r="S123" s="7">
        <v>6.0</v>
      </c>
      <c r="T123" s="7" t="s">
        <v>4709</v>
      </c>
    </row>
    <row r="124" ht="12.75" customHeight="1">
      <c r="A124" s="7">
        <v>123.0</v>
      </c>
      <c r="B124" s="7" t="s">
        <v>220</v>
      </c>
      <c r="C124" s="7" t="s">
        <v>4743</v>
      </c>
      <c r="D124" s="7"/>
      <c r="E124" s="7"/>
      <c r="F124" s="7" t="s">
        <v>4765</v>
      </c>
      <c r="G124" s="7" t="s">
        <v>3190</v>
      </c>
      <c r="H124" s="7" t="s">
        <v>3158</v>
      </c>
      <c r="I124" s="7" t="s">
        <v>3124</v>
      </c>
      <c r="K124" s="7" t="str">
        <f t="shared" si="2"/>
        <v/>
      </c>
      <c r="L124" s="7" t="str">
        <f t="shared" si="3"/>
        <v/>
      </c>
      <c r="M124" s="7">
        <f t="shared" ref="M124:N124" si="129">IF(LEN(M$1),COUNTIF($G124:$I124,M$1),"")</f>
        <v>0</v>
      </c>
      <c r="N124" s="7" t="str">
        <f t="shared" si="129"/>
        <v/>
      </c>
      <c r="O124" s="7" t="str">
        <f t="shared" si="5"/>
        <v/>
      </c>
      <c r="P124" s="7">
        <f t="shared" si="108"/>
        <v>0</v>
      </c>
      <c r="Q124" s="7" t="str">
        <f t="shared" si="7"/>
        <v/>
      </c>
      <c r="R124" s="7" t="s">
        <v>2419</v>
      </c>
      <c r="S124" s="7">
        <v>6.0</v>
      </c>
      <c r="T124" s="7" t="s">
        <v>4770</v>
      </c>
    </row>
    <row r="125" ht="12.75" customHeight="1">
      <c r="A125" s="7">
        <v>124.0</v>
      </c>
      <c r="B125" s="7" t="s">
        <v>229</v>
      </c>
      <c r="C125" s="7" t="s">
        <v>4743</v>
      </c>
      <c r="D125" s="7"/>
      <c r="E125" s="7"/>
      <c r="F125" s="7" t="s">
        <v>4765</v>
      </c>
      <c r="G125" s="7" t="s">
        <v>3258</v>
      </c>
      <c r="H125" s="7" t="s">
        <v>3190</v>
      </c>
      <c r="I125" s="7" t="s">
        <v>3187</v>
      </c>
      <c r="K125" s="7" t="str">
        <f t="shared" si="2"/>
        <v/>
      </c>
      <c r="L125" s="7" t="str">
        <f t="shared" si="3"/>
        <v/>
      </c>
      <c r="M125" s="7">
        <f t="shared" ref="M125:N125" si="130">IF(LEN(M$1),COUNTIF($G125:$I125,M$1),"")</f>
        <v>0</v>
      </c>
      <c r="N125" s="7" t="str">
        <f t="shared" si="130"/>
        <v/>
      </c>
      <c r="O125" s="7" t="str">
        <f t="shared" si="5"/>
        <v/>
      </c>
      <c r="P125" s="7">
        <f t="shared" si="108"/>
        <v>0</v>
      </c>
      <c r="Q125" s="7" t="str">
        <f t="shared" si="7"/>
        <v/>
      </c>
      <c r="R125" s="7" t="s">
        <v>1236</v>
      </c>
      <c r="S125" s="7">
        <v>6.0</v>
      </c>
      <c r="T125" s="7" t="s">
        <v>4706</v>
      </c>
    </row>
    <row r="126" ht="12.75" customHeight="1">
      <c r="A126" s="7">
        <v>125.0</v>
      </c>
      <c r="B126" s="7" t="s">
        <v>237</v>
      </c>
      <c r="C126" s="7" t="s">
        <v>4748</v>
      </c>
      <c r="D126" s="7"/>
      <c r="E126" s="7"/>
      <c r="F126" s="7" t="s">
        <v>4765</v>
      </c>
      <c r="G126" s="7" t="s">
        <v>3137</v>
      </c>
      <c r="H126" s="7" t="s">
        <v>2913</v>
      </c>
      <c r="I126" s="7" t="s">
        <v>2981</v>
      </c>
      <c r="K126" s="7" t="str">
        <f t="shared" si="2"/>
        <v/>
      </c>
      <c r="L126" s="7" t="str">
        <f t="shared" si="3"/>
        <v/>
      </c>
      <c r="M126" s="7">
        <f t="shared" ref="M126:N126" si="131">IF(LEN(M$1),COUNTIF($G126:$I126,M$1),"")</f>
        <v>0</v>
      </c>
      <c r="N126" s="7" t="str">
        <f t="shared" si="131"/>
        <v/>
      </c>
      <c r="O126" s="7" t="str">
        <f t="shared" si="5"/>
        <v/>
      </c>
      <c r="P126" s="7">
        <f t="shared" si="108"/>
        <v>0</v>
      </c>
      <c r="Q126" s="7" t="str">
        <f t="shared" si="7"/>
        <v/>
      </c>
      <c r="R126" s="7" t="s">
        <v>910</v>
      </c>
      <c r="S126" s="7">
        <v>4.0</v>
      </c>
      <c r="T126" s="7" t="s">
        <v>4722</v>
      </c>
    </row>
    <row r="127" ht="12.75" customHeight="1">
      <c r="A127" s="7">
        <v>126.0</v>
      </c>
      <c r="B127" s="7" t="s">
        <v>245</v>
      </c>
      <c r="C127" s="7" t="s">
        <v>4748</v>
      </c>
      <c r="D127" s="7"/>
      <c r="E127" s="7"/>
      <c r="F127" s="7" t="s">
        <v>4765</v>
      </c>
      <c r="G127" s="7" t="s">
        <v>3283</v>
      </c>
      <c r="H127" s="7" t="s">
        <v>3153</v>
      </c>
      <c r="I127" s="7" t="s">
        <v>3121</v>
      </c>
      <c r="K127" s="7" t="str">
        <f t="shared" si="2"/>
        <v/>
      </c>
      <c r="L127" s="7" t="str">
        <f t="shared" si="3"/>
        <v/>
      </c>
      <c r="M127" s="7">
        <f t="shared" ref="M127:N127" si="132">IF(LEN(M$1),COUNTIF($G127:$I127,M$1),"")</f>
        <v>0</v>
      </c>
      <c r="N127" s="7" t="str">
        <f t="shared" si="132"/>
        <v/>
      </c>
      <c r="O127" s="7" t="str">
        <f t="shared" si="5"/>
        <v/>
      </c>
      <c r="P127" s="7">
        <f t="shared" si="108"/>
        <v>0</v>
      </c>
      <c r="Q127" s="7" t="str">
        <f t="shared" si="7"/>
        <v/>
      </c>
      <c r="R127" s="7" t="s">
        <v>400</v>
      </c>
      <c r="S127" s="7">
        <v>6.0</v>
      </c>
      <c r="T127" s="7" t="s">
        <v>4709</v>
      </c>
    </row>
    <row r="128" ht="12.75" customHeight="1">
      <c r="A128" s="7">
        <v>127.0</v>
      </c>
      <c r="B128" s="7" t="s">
        <v>254</v>
      </c>
      <c r="C128" s="7" t="s">
        <v>4748</v>
      </c>
      <c r="D128" s="7"/>
      <c r="E128" s="7"/>
      <c r="F128" s="7" t="s">
        <v>4765</v>
      </c>
      <c r="G128" s="7" t="s">
        <v>3273</v>
      </c>
      <c r="H128" s="7" t="s">
        <v>2888</v>
      </c>
      <c r="I128" s="7" t="s">
        <v>3082</v>
      </c>
      <c r="K128" s="7" t="str">
        <f t="shared" si="2"/>
        <v/>
      </c>
      <c r="L128" s="7" t="str">
        <f t="shared" si="3"/>
        <v/>
      </c>
      <c r="M128" s="7">
        <f t="shared" ref="M128:N128" si="133">IF(LEN(M$1),COUNTIF($G128:$I128,M$1),"")</f>
        <v>0</v>
      </c>
      <c r="N128" s="7" t="str">
        <f t="shared" si="133"/>
        <v/>
      </c>
      <c r="O128" s="7" t="str">
        <f t="shared" si="5"/>
        <v/>
      </c>
      <c r="P128" s="7">
        <f t="shared" si="108"/>
        <v>0</v>
      </c>
      <c r="Q128" s="7" t="str">
        <f t="shared" si="7"/>
        <v/>
      </c>
      <c r="R128" s="7" t="s">
        <v>307</v>
      </c>
      <c r="S128" s="7">
        <v>5.0</v>
      </c>
      <c r="T128" s="7" t="s">
        <v>4723</v>
      </c>
    </row>
    <row r="129" ht="12.75" customHeight="1">
      <c r="A129" s="7">
        <v>128.0</v>
      </c>
      <c r="B129" s="7" t="s">
        <v>262</v>
      </c>
      <c r="C129" s="7" t="s">
        <v>4752</v>
      </c>
      <c r="D129" s="7"/>
      <c r="E129" s="7"/>
      <c r="F129" s="7" t="s">
        <v>4765</v>
      </c>
      <c r="G129" s="7" t="s">
        <v>3251</v>
      </c>
      <c r="H129" s="7" t="s">
        <v>3266</v>
      </c>
      <c r="I129" s="7" t="s">
        <v>3254</v>
      </c>
      <c r="K129" s="7" t="str">
        <f t="shared" si="2"/>
        <v/>
      </c>
      <c r="L129" s="7" t="str">
        <f t="shared" si="3"/>
        <v/>
      </c>
      <c r="M129" s="7">
        <f t="shared" ref="M129:N129" si="134">IF(LEN(M$1),COUNTIF($G129:$I129,M$1),"")</f>
        <v>0</v>
      </c>
      <c r="N129" s="7" t="str">
        <f t="shared" si="134"/>
        <v/>
      </c>
      <c r="O129" s="7" t="str">
        <f t="shared" si="5"/>
        <v/>
      </c>
      <c r="P129" s="7">
        <f t="shared" si="108"/>
        <v>0</v>
      </c>
      <c r="Q129" s="7" t="str">
        <f t="shared" si="7"/>
        <v/>
      </c>
      <c r="R129" s="7" t="s">
        <v>113</v>
      </c>
      <c r="S129" s="7">
        <v>8.0</v>
      </c>
      <c r="T129" s="7" t="s">
        <v>4705</v>
      </c>
    </row>
    <row r="130" ht="12.75" customHeight="1">
      <c r="A130" s="7">
        <v>129.0</v>
      </c>
      <c r="B130" s="7" t="s">
        <v>271</v>
      </c>
      <c r="C130" s="7" t="s">
        <v>4752</v>
      </c>
      <c r="D130" s="7"/>
      <c r="E130" s="7"/>
      <c r="F130" s="7" t="s">
        <v>4765</v>
      </c>
      <c r="G130" s="7" t="s">
        <v>3192</v>
      </c>
      <c r="H130" s="7" t="s">
        <v>3273</v>
      </c>
      <c r="I130" s="7" t="s">
        <v>3254</v>
      </c>
      <c r="K130" s="7" t="str">
        <f t="shared" si="2"/>
        <v/>
      </c>
      <c r="L130" s="7" t="str">
        <f t="shared" si="3"/>
        <v/>
      </c>
      <c r="M130" s="7">
        <f t="shared" ref="M130:N130" si="135">IF(LEN(M$1),COUNTIF($G130:$I130,M$1),"")</f>
        <v>0</v>
      </c>
      <c r="N130" s="7" t="str">
        <f t="shared" si="135"/>
        <v/>
      </c>
      <c r="O130" s="7" t="str">
        <f t="shared" si="5"/>
        <v/>
      </c>
      <c r="P130" s="7">
        <f t="shared" si="108"/>
        <v>0</v>
      </c>
      <c r="Q130" s="7" t="str">
        <f t="shared" si="7"/>
        <v/>
      </c>
      <c r="R130" s="7" t="s">
        <v>1075</v>
      </c>
      <c r="S130" s="7">
        <v>6.0</v>
      </c>
      <c r="T130" s="7" t="s">
        <v>4763</v>
      </c>
    </row>
    <row r="131" ht="12.75" customHeight="1">
      <c r="A131" s="7">
        <v>130.0</v>
      </c>
      <c r="B131" s="7" t="s">
        <v>279</v>
      </c>
      <c r="C131" s="7" t="s">
        <v>4752</v>
      </c>
      <c r="D131" s="7"/>
      <c r="E131" s="7"/>
      <c r="F131" s="7" t="s">
        <v>4765</v>
      </c>
      <c r="G131" s="7" t="s">
        <v>2820</v>
      </c>
      <c r="H131" s="7" t="s">
        <v>3273</v>
      </c>
      <c r="I131" s="7" t="s">
        <v>3124</v>
      </c>
      <c r="K131" s="7" t="str">
        <f t="shared" si="2"/>
        <v/>
      </c>
      <c r="L131" s="7" t="str">
        <f t="shared" si="3"/>
        <v/>
      </c>
      <c r="M131" s="7">
        <f t="shared" ref="M131:N131" si="136">IF(LEN(M$1),COUNTIF($G131:$I131,M$1),"")</f>
        <v>0</v>
      </c>
      <c r="N131" s="7" t="str">
        <f t="shared" si="136"/>
        <v/>
      </c>
      <c r="O131" s="7" t="str">
        <f t="shared" si="5"/>
        <v/>
      </c>
      <c r="P131" s="7">
        <f t="shared" si="108"/>
        <v>0</v>
      </c>
      <c r="Q131" s="7" t="str">
        <f t="shared" si="7"/>
        <v/>
      </c>
      <c r="R131" s="7" t="s">
        <v>1911</v>
      </c>
      <c r="S131" s="7">
        <v>8.0</v>
      </c>
      <c r="T131" s="7" t="s">
        <v>4741</v>
      </c>
    </row>
    <row r="132" ht="12.75" customHeight="1">
      <c r="A132" s="7">
        <v>131.0</v>
      </c>
      <c r="B132" s="7" t="s">
        <v>92</v>
      </c>
      <c r="C132" s="7" t="s">
        <v>4756</v>
      </c>
      <c r="D132" s="7"/>
      <c r="E132" s="7"/>
      <c r="F132" s="7" t="s">
        <v>4765</v>
      </c>
      <c r="G132" s="7" t="s">
        <v>3119</v>
      </c>
      <c r="H132" s="7" t="s">
        <v>3234</v>
      </c>
      <c r="I132" s="7" t="s">
        <v>3230</v>
      </c>
      <c r="K132" s="7" t="str">
        <f t="shared" si="2"/>
        <v/>
      </c>
      <c r="L132" s="7" t="str">
        <f t="shared" si="3"/>
        <v/>
      </c>
      <c r="M132" s="7">
        <f t="shared" ref="M132:N132" si="137">IF(LEN(M$1),COUNTIF($G132:$I132,M$1),"")</f>
        <v>0</v>
      </c>
      <c r="N132" s="7" t="str">
        <f t="shared" si="137"/>
        <v/>
      </c>
      <c r="O132" s="7" t="str">
        <f t="shared" si="5"/>
        <v/>
      </c>
      <c r="P132" s="7">
        <f t="shared" si="108"/>
        <v>0</v>
      </c>
      <c r="Q132" s="7" t="str">
        <f t="shared" si="7"/>
        <v/>
      </c>
      <c r="R132" s="7" t="s">
        <v>791</v>
      </c>
      <c r="S132" s="7">
        <v>9.0</v>
      </c>
      <c r="T132" s="7" t="s">
        <v>4760</v>
      </c>
    </row>
    <row r="133" ht="12.75" customHeight="1">
      <c r="A133" s="7">
        <v>132.0</v>
      </c>
      <c r="B133" s="7" t="s">
        <v>294</v>
      </c>
      <c r="C133" s="7" t="s">
        <v>4756</v>
      </c>
      <c r="D133" s="7"/>
      <c r="E133" s="7"/>
      <c r="F133" s="7" t="s">
        <v>4765</v>
      </c>
      <c r="G133" s="7" t="s">
        <v>3146</v>
      </c>
      <c r="H133" s="7" t="s">
        <v>3234</v>
      </c>
      <c r="I133" s="7" t="s">
        <v>3119</v>
      </c>
      <c r="K133" s="7" t="str">
        <f t="shared" si="2"/>
        <v/>
      </c>
      <c r="L133" s="7" t="str">
        <f t="shared" si="3"/>
        <v/>
      </c>
      <c r="M133" s="7">
        <f t="shared" ref="M133:N133" si="138">IF(LEN(M$1),COUNTIF($G133:$I133,M$1),"")</f>
        <v>0</v>
      </c>
      <c r="N133" s="7" t="str">
        <f t="shared" si="138"/>
        <v/>
      </c>
      <c r="O133" s="7" t="str">
        <f t="shared" si="5"/>
        <v/>
      </c>
      <c r="P133" s="7">
        <f t="shared" si="108"/>
        <v>0</v>
      </c>
      <c r="Q133" s="7" t="str">
        <f t="shared" si="7"/>
        <v/>
      </c>
      <c r="R133" s="7" t="s">
        <v>1257</v>
      </c>
      <c r="S133" s="7">
        <v>5.0</v>
      </c>
      <c r="T133" s="7" t="s">
        <v>4771</v>
      </c>
    </row>
    <row r="134" ht="12.75" customHeight="1">
      <c r="A134" s="7">
        <v>133.0</v>
      </c>
      <c r="B134" s="7" t="s">
        <v>303</v>
      </c>
      <c r="C134" s="7" t="s">
        <v>4756</v>
      </c>
      <c r="D134" s="7"/>
      <c r="E134" s="7"/>
      <c r="F134" s="7" t="s">
        <v>4765</v>
      </c>
      <c r="G134" s="7" t="s">
        <v>3283</v>
      </c>
      <c r="H134" s="7" t="s">
        <v>3215</v>
      </c>
      <c r="I134" s="7" t="s">
        <v>3173</v>
      </c>
      <c r="K134" s="7" t="str">
        <f t="shared" si="2"/>
        <v/>
      </c>
      <c r="L134" s="7" t="str">
        <f t="shared" si="3"/>
        <v/>
      </c>
      <c r="M134" s="7">
        <f t="shared" ref="M134:N134" si="139">IF(LEN(M$1),COUNTIF($G134:$I134,M$1),"")</f>
        <v>0</v>
      </c>
      <c r="N134" s="7" t="str">
        <f t="shared" si="139"/>
        <v/>
      </c>
      <c r="O134" s="7" t="str">
        <f t="shared" si="5"/>
        <v/>
      </c>
      <c r="P134" s="7">
        <f t="shared" si="108"/>
        <v>0</v>
      </c>
      <c r="Q134" s="7" t="str">
        <f t="shared" si="7"/>
        <v/>
      </c>
      <c r="R134" s="7" t="s">
        <v>1718</v>
      </c>
      <c r="S134" s="7">
        <v>10.0</v>
      </c>
      <c r="T134" s="7" t="s">
        <v>4713</v>
      </c>
    </row>
    <row r="135" ht="12.75" customHeight="1">
      <c r="A135" s="7">
        <v>134.0</v>
      </c>
      <c r="B135" s="7" t="s">
        <v>310</v>
      </c>
      <c r="C135" s="7" t="s">
        <v>4758</v>
      </c>
      <c r="D135" s="7"/>
      <c r="E135" s="7"/>
      <c r="F135" s="7" t="s">
        <v>4765</v>
      </c>
      <c r="G135" s="7" t="s">
        <v>3163</v>
      </c>
      <c r="H135" s="7" t="s">
        <v>3218</v>
      </c>
      <c r="I135" s="7" t="s">
        <v>3283</v>
      </c>
      <c r="K135" s="7" t="str">
        <f t="shared" si="2"/>
        <v/>
      </c>
      <c r="L135" s="7" t="str">
        <f t="shared" si="3"/>
        <v/>
      </c>
      <c r="M135" s="7">
        <f t="shared" ref="M135:N135" si="140">IF(LEN(M$1),COUNTIF($G135:$I135,M$1),"")</f>
        <v>0</v>
      </c>
      <c r="N135" s="7" t="str">
        <f t="shared" si="140"/>
        <v/>
      </c>
      <c r="O135" s="7" t="str">
        <f t="shared" si="5"/>
        <v/>
      </c>
      <c r="P135" s="7">
        <f t="shared" si="108"/>
        <v>0</v>
      </c>
      <c r="Q135" s="7" t="str">
        <f t="shared" si="7"/>
        <v/>
      </c>
      <c r="R135" s="7" t="s">
        <v>2300</v>
      </c>
      <c r="S135" s="7">
        <v>11.0</v>
      </c>
      <c r="T135" s="7" t="s">
        <v>4772</v>
      </c>
    </row>
    <row r="136" ht="12.75" customHeight="1">
      <c r="A136" s="7">
        <v>135.0</v>
      </c>
      <c r="B136" s="7" t="s">
        <v>318</v>
      </c>
      <c r="C136" s="7" t="s">
        <v>4758</v>
      </c>
      <c r="D136" s="7"/>
      <c r="E136" s="7"/>
      <c r="F136" s="7" t="s">
        <v>4765</v>
      </c>
      <c r="G136" s="7" t="s">
        <v>3215</v>
      </c>
      <c r="H136" s="7" t="s">
        <v>2903</v>
      </c>
      <c r="I136" s="7" t="s">
        <v>3035</v>
      </c>
      <c r="K136" s="7" t="str">
        <f t="shared" si="2"/>
        <v/>
      </c>
      <c r="L136" s="7" t="str">
        <f t="shared" si="3"/>
        <v/>
      </c>
      <c r="M136" s="7">
        <f t="shared" ref="M136:N136" si="141">IF(LEN(M$1),COUNTIF($G136:$I136,M$1),"")</f>
        <v>0</v>
      </c>
      <c r="N136" s="7" t="str">
        <f t="shared" si="141"/>
        <v/>
      </c>
      <c r="O136" s="7" t="str">
        <f t="shared" si="5"/>
        <v/>
      </c>
      <c r="P136" s="7">
        <f t="shared" si="108"/>
        <v>0</v>
      </c>
      <c r="Q136" s="7" t="str">
        <f t="shared" si="7"/>
        <v/>
      </c>
      <c r="R136" s="7" t="s">
        <v>615</v>
      </c>
      <c r="S136" s="7">
        <v>8.0</v>
      </c>
      <c r="T136" s="7" t="s">
        <v>4773</v>
      </c>
    </row>
    <row r="137" ht="12.75" customHeight="1">
      <c r="A137" s="7">
        <v>136.0</v>
      </c>
      <c r="B137" s="7" t="s">
        <v>326</v>
      </c>
      <c r="C137" s="7" t="s">
        <v>4758</v>
      </c>
      <c r="D137" s="7"/>
      <c r="E137" s="7"/>
      <c r="F137" s="7" t="s">
        <v>4765</v>
      </c>
      <c r="G137" s="7" t="s">
        <v>2833</v>
      </c>
      <c r="H137" s="7" t="s">
        <v>3178</v>
      </c>
      <c r="I137" s="7" t="s">
        <v>3254</v>
      </c>
      <c r="K137" s="7" t="str">
        <f t="shared" si="2"/>
        <v/>
      </c>
      <c r="L137" s="7" t="str">
        <f t="shared" si="3"/>
        <v/>
      </c>
      <c r="M137" s="7">
        <f t="shared" ref="M137:N137" si="142">IF(LEN(M$1),COUNTIF($G137:$I137,M$1),"")</f>
        <v>0</v>
      </c>
      <c r="N137" s="7" t="str">
        <f t="shared" si="142"/>
        <v/>
      </c>
      <c r="O137" s="7" t="str">
        <f t="shared" si="5"/>
        <v/>
      </c>
      <c r="P137" s="7">
        <f t="shared" si="108"/>
        <v>0</v>
      </c>
      <c r="Q137" s="7" t="str">
        <f t="shared" si="7"/>
        <v/>
      </c>
      <c r="R137" s="7" t="s">
        <v>1144</v>
      </c>
      <c r="S137" s="7">
        <v>11.0</v>
      </c>
      <c r="T137" s="7" t="s">
        <v>4774</v>
      </c>
    </row>
    <row r="138" ht="12.75" customHeight="1">
      <c r="A138" s="7">
        <v>137.0</v>
      </c>
      <c r="B138" s="7" t="s">
        <v>334</v>
      </c>
      <c r="C138" s="7" t="s">
        <v>4775</v>
      </c>
      <c r="D138" s="7"/>
      <c r="E138" s="7"/>
      <c r="F138" s="7" t="s">
        <v>4765</v>
      </c>
      <c r="G138" s="7" t="s">
        <v>3241</v>
      </c>
      <c r="H138" s="7" t="s">
        <v>2892</v>
      </c>
      <c r="I138" s="7" t="s">
        <v>3060</v>
      </c>
      <c r="K138" s="7" t="str">
        <f t="shared" si="2"/>
        <v/>
      </c>
      <c r="L138" s="7" t="str">
        <f t="shared" si="3"/>
        <v/>
      </c>
      <c r="M138" s="7">
        <f t="shared" ref="M138:N138" si="143">IF(LEN(M$1),COUNTIF($G138:$I138,M$1),"")</f>
        <v>0</v>
      </c>
      <c r="N138" s="7" t="str">
        <f t="shared" si="143"/>
        <v/>
      </c>
      <c r="O138" s="7" t="str">
        <f t="shared" si="5"/>
        <v/>
      </c>
      <c r="P138" s="7">
        <f t="shared" si="108"/>
        <v>0</v>
      </c>
      <c r="Q138" s="7" t="str">
        <f t="shared" si="7"/>
        <v/>
      </c>
      <c r="R138" s="7" t="s">
        <v>1835</v>
      </c>
      <c r="S138" s="7">
        <v>10.0</v>
      </c>
      <c r="T138" s="7" t="s">
        <v>4776</v>
      </c>
    </row>
    <row r="139" ht="12.75" customHeight="1">
      <c r="A139" s="7">
        <v>138.0</v>
      </c>
      <c r="B139" s="7" t="s">
        <v>334</v>
      </c>
      <c r="C139" s="7" t="s">
        <v>4775</v>
      </c>
      <c r="D139" s="7"/>
      <c r="E139" s="7"/>
      <c r="F139" s="7" t="s">
        <v>4765</v>
      </c>
      <c r="G139" s="7" t="s">
        <v>3270</v>
      </c>
      <c r="H139" s="7" t="s">
        <v>3226</v>
      </c>
      <c r="I139" s="7" t="s">
        <v>3204</v>
      </c>
      <c r="K139" s="7" t="str">
        <f t="shared" si="2"/>
        <v/>
      </c>
      <c r="L139" s="7" t="str">
        <f t="shared" si="3"/>
        <v/>
      </c>
      <c r="M139" s="7">
        <f t="shared" ref="M139:N139" si="144">IF(LEN(M$1),COUNTIF($G139:$I139,M$1),"")</f>
        <v>0</v>
      </c>
      <c r="N139" s="7" t="str">
        <f t="shared" si="144"/>
        <v/>
      </c>
      <c r="O139" s="7" t="str">
        <f t="shared" si="5"/>
        <v/>
      </c>
      <c r="P139" s="7">
        <f t="shared" si="108"/>
        <v>0</v>
      </c>
      <c r="Q139" s="7" t="str">
        <f t="shared" si="7"/>
        <v/>
      </c>
      <c r="R139" s="7" t="s">
        <v>197</v>
      </c>
      <c r="S139" s="7">
        <v>8.0</v>
      </c>
      <c r="T139" s="7" t="s">
        <v>4705</v>
      </c>
    </row>
    <row r="140" ht="12.75" customHeight="1">
      <c r="A140" s="7">
        <v>139.0</v>
      </c>
      <c r="B140" s="7" t="s">
        <v>342</v>
      </c>
      <c r="C140" s="7" t="s">
        <v>4775</v>
      </c>
      <c r="D140" s="7"/>
      <c r="E140" s="7"/>
      <c r="F140" s="7" t="s">
        <v>4765</v>
      </c>
      <c r="G140" s="7" t="s">
        <v>3115</v>
      </c>
      <c r="H140" s="7" t="s">
        <v>3166</v>
      </c>
      <c r="I140" s="7" t="s">
        <v>3190</v>
      </c>
      <c r="K140" s="7" t="str">
        <f t="shared" si="2"/>
        <v/>
      </c>
      <c r="L140" s="7" t="str">
        <f t="shared" si="3"/>
        <v/>
      </c>
      <c r="M140" s="7">
        <f t="shared" ref="M140:N140" si="145">IF(LEN(M$1),COUNTIF($G140:$I140,M$1),"")</f>
        <v>0</v>
      </c>
      <c r="N140" s="7" t="str">
        <f t="shared" si="145"/>
        <v/>
      </c>
      <c r="O140" s="7" t="str">
        <f t="shared" si="5"/>
        <v/>
      </c>
      <c r="P140" s="7">
        <f t="shared" si="108"/>
        <v>0</v>
      </c>
      <c r="Q140" s="7" t="str">
        <f t="shared" si="7"/>
        <v/>
      </c>
      <c r="R140" s="7" t="s">
        <v>1540</v>
      </c>
      <c r="S140" s="7">
        <v>6.0</v>
      </c>
      <c r="T140" s="7" t="s">
        <v>4729</v>
      </c>
    </row>
    <row r="141" ht="12.75" customHeight="1">
      <c r="A141" s="7">
        <v>140.0</v>
      </c>
      <c r="B141" s="7" t="s">
        <v>342</v>
      </c>
      <c r="C141" s="7" t="s">
        <v>4775</v>
      </c>
      <c r="D141" s="7"/>
      <c r="E141" s="7"/>
      <c r="F141" s="7" t="s">
        <v>4765</v>
      </c>
      <c r="G141" s="7" t="s">
        <v>3127</v>
      </c>
      <c r="H141" s="7" t="s">
        <v>2882</v>
      </c>
      <c r="I141" s="7" t="s">
        <v>3029</v>
      </c>
      <c r="K141" s="7" t="str">
        <f t="shared" si="2"/>
        <v/>
      </c>
      <c r="L141" s="7" t="str">
        <f t="shared" si="3"/>
        <v/>
      </c>
      <c r="M141" s="7">
        <f t="shared" ref="M141:N141" si="146">IF(LEN(M$1),COUNTIF($G141:$I141,M$1),"")</f>
        <v>0</v>
      </c>
      <c r="N141" s="7" t="str">
        <f t="shared" si="146"/>
        <v/>
      </c>
      <c r="O141" s="7" t="str">
        <f t="shared" si="5"/>
        <v/>
      </c>
      <c r="P141" s="7">
        <f t="shared" si="108"/>
        <v>0</v>
      </c>
      <c r="Q141" s="7" t="str">
        <f t="shared" si="7"/>
        <v/>
      </c>
      <c r="R141" s="7" t="s">
        <v>375</v>
      </c>
      <c r="S141" s="7">
        <v>6.0</v>
      </c>
      <c r="T141" s="7" t="s">
        <v>4709</v>
      </c>
    </row>
    <row r="142" ht="12.75" customHeight="1">
      <c r="A142" s="7">
        <v>141.0</v>
      </c>
      <c r="B142" s="7" t="s">
        <v>351</v>
      </c>
      <c r="C142" s="7" t="s">
        <v>4775</v>
      </c>
      <c r="D142" s="7"/>
      <c r="E142" s="7"/>
      <c r="F142" s="7" t="s">
        <v>4765</v>
      </c>
      <c r="G142" s="7" t="s">
        <v>3226</v>
      </c>
      <c r="H142" s="7" t="s">
        <v>2911</v>
      </c>
      <c r="I142" s="7" t="s">
        <v>2939</v>
      </c>
      <c r="K142" s="7" t="str">
        <f t="shared" si="2"/>
        <v/>
      </c>
      <c r="L142" s="7" t="str">
        <f t="shared" si="3"/>
        <v/>
      </c>
      <c r="M142" s="7">
        <f t="shared" ref="M142:N142" si="147">IF(LEN(M$1),COUNTIF($G142:$I142,M$1),"")</f>
        <v>0</v>
      </c>
      <c r="N142" s="7" t="str">
        <f t="shared" si="147"/>
        <v/>
      </c>
      <c r="O142" s="7" t="str">
        <f t="shared" si="5"/>
        <v/>
      </c>
      <c r="P142" s="7">
        <f t="shared" si="108"/>
        <v>0</v>
      </c>
      <c r="Q142" s="7" t="str">
        <f t="shared" si="7"/>
        <v/>
      </c>
      <c r="R142" s="7" t="s">
        <v>547</v>
      </c>
      <c r="S142" s="7">
        <v>17.0</v>
      </c>
      <c r="T142" s="7" t="s">
        <v>4777</v>
      </c>
    </row>
    <row r="143" ht="12.75" customHeight="1">
      <c r="A143" s="7">
        <v>142.0</v>
      </c>
      <c r="B143" s="7" t="s">
        <v>351</v>
      </c>
      <c r="C143" s="7" t="s">
        <v>4775</v>
      </c>
      <c r="D143" s="7"/>
      <c r="E143" s="7"/>
      <c r="F143" s="7" t="s">
        <v>4765</v>
      </c>
      <c r="G143" s="7" t="s">
        <v>3182</v>
      </c>
      <c r="H143" s="7" t="s">
        <v>3200</v>
      </c>
      <c r="I143" s="7" t="s">
        <v>3153</v>
      </c>
      <c r="K143" s="7" t="str">
        <f t="shared" si="2"/>
        <v/>
      </c>
      <c r="L143" s="7" t="str">
        <f t="shared" si="3"/>
        <v/>
      </c>
      <c r="M143" s="7">
        <f t="shared" ref="M143:N143" si="148">IF(LEN(M$1),COUNTIF($G143:$I143,M$1),"")</f>
        <v>0</v>
      </c>
      <c r="N143" s="7" t="str">
        <f t="shared" si="148"/>
        <v/>
      </c>
      <c r="O143" s="7" t="str">
        <f t="shared" si="5"/>
        <v/>
      </c>
      <c r="P143" s="7">
        <f t="shared" si="108"/>
        <v>0</v>
      </c>
      <c r="Q143" s="7" t="str">
        <f t="shared" si="7"/>
        <v/>
      </c>
      <c r="R143" s="7" t="s">
        <v>303</v>
      </c>
      <c r="S143" s="7">
        <v>8.0</v>
      </c>
      <c r="T143" s="7" t="s">
        <v>4705</v>
      </c>
    </row>
    <row r="144" ht="12.75" customHeight="1">
      <c r="A144" s="7">
        <v>143.0</v>
      </c>
      <c r="B144" s="7" t="s">
        <v>359</v>
      </c>
      <c r="C144" s="7" t="s">
        <v>4778</v>
      </c>
      <c r="D144" s="7"/>
      <c r="E144" s="7"/>
      <c r="F144" s="7" t="s">
        <v>4765</v>
      </c>
      <c r="G144" s="7" t="s">
        <v>3149</v>
      </c>
      <c r="H144" s="7" t="s">
        <v>2857</v>
      </c>
      <c r="I144" s="7" t="s">
        <v>2942</v>
      </c>
      <c r="K144" s="7" t="str">
        <f t="shared" si="2"/>
        <v/>
      </c>
      <c r="L144" s="7" t="str">
        <f t="shared" si="3"/>
        <v/>
      </c>
      <c r="M144" s="7">
        <f t="shared" ref="M144:N144" si="149">IF(LEN(M$1),COUNTIF($G144:$I144,M$1),"")</f>
        <v>0</v>
      </c>
      <c r="N144" s="7" t="str">
        <f t="shared" si="149"/>
        <v/>
      </c>
      <c r="O144" s="7" t="str">
        <f t="shared" si="5"/>
        <v/>
      </c>
      <c r="P144" s="7">
        <f t="shared" si="108"/>
        <v>0</v>
      </c>
      <c r="Q144" s="7" t="str">
        <f t="shared" si="7"/>
        <v/>
      </c>
      <c r="R144" s="7" t="s">
        <v>903</v>
      </c>
      <c r="S144" s="7">
        <v>8.0</v>
      </c>
      <c r="T144" s="7" t="s">
        <v>4710</v>
      </c>
    </row>
    <row r="145" ht="12.75" customHeight="1">
      <c r="A145" s="7">
        <v>144.0</v>
      </c>
      <c r="B145" s="7" t="s">
        <v>359</v>
      </c>
      <c r="C145" s="7" t="s">
        <v>4778</v>
      </c>
      <c r="D145" s="7"/>
      <c r="E145" s="7"/>
      <c r="F145" s="7" t="s">
        <v>4765</v>
      </c>
      <c r="G145" s="7" t="s">
        <v>3127</v>
      </c>
      <c r="H145" s="7" t="s">
        <v>3149</v>
      </c>
      <c r="I145" s="7" t="s">
        <v>3212</v>
      </c>
      <c r="K145" s="7" t="str">
        <f t="shared" si="2"/>
        <v/>
      </c>
      <c r="L145" s="7" t="str">
        <f t="shared" si="3"/>
        <v/>
      </c>
      <c r="M145" s="7">
        <f t="shared" ref="M145:N145" si="150">IF(LEN(M$1),COUNTIF($G145:$I145,M$1),"")</f>
        <v>0</v>
      </c>
      <c r="N145" s="7" t="str">
        <f t="shared" si="150"/>
        <v/>
      </c>
      <c r="O145" s="7" t="str">
        <f t="shared" si="5"/>
        <v/>
      </c>
      <c r="P145" s="7">
        <f t="shared" si="108"/>
        <v>0</v>
      </c>
      <c r="Q145" s="7" t="str">
        <f t="shared" si="7"/>
        <v/>
      </c>
      <c r="R145" s="7" t="s">
        <v>1082</v>
      </c>
      <c r="S145" s="7">
        <v>4.0</v>
      </c>
      <c r="T145" s="7" t="s">
        <v>4726</v>
      </c>
    </row>
    <row r="146" ht="12.75" customHeight="1">
      <c r="A146" s="7">
        <v>145.0</v>
      </c>
      <c r="B146" s="7" t="s">
        <v>368</v>
      </c>
      <c r="C146" s="7" t="s">
        <v>4778</v>
      </c>
      <c r="D146" s="7"/>
      <c r="E146" s="7"/>
      <c r="F146" s="7" t="s">
        <v>4765</v>
      </c>
      <c r="G146" s="7" t="s">
        <v>2597</v>
      </c>
      <c r="H146" s="7" t="s">
        <v>3146</v>
      </c>
      <c r="I146" s="7" t="s">
        <v>3241</v>
      </c>
      <c r="K146" s="7" t="str">
        <f t="shared" si="2"/>
        <v/>
      </c>
      <c r="L146" s="7" t="str">
        <f t="shared" si="3"/>
        <v/>
      </c>
      <c r="M146" s="7">
        <f t="shared" ref="M146:N146" si="151">IF(LEN(M$1),COUNTIF($G146:$I146,M$1),"")</f>
        <v>0</v>
      </c>
      <c r="N146" s="7" t="str">
        <f t="shared" si="151"/>
        <v/>
      </c>
      <c r="O146" s="7" t="str">
        <f t="shared" si="5"/>
        <v/>
      </c>
      <c r="P146" s="7">
        <f t="shared" si="108"/>
        <v>0</v>
      </c>
      <c r="Q146" s="7" t="str">
        <f t="shared" si="7"/>
        <v/>
      </c>
      <c r="R146" s="7" t="s">
        <v>2284</v>
      </c>
      <c r="S146" s="7">
        <v>11.0</v>
      </c>
      <c r="T146" s="7" t="s">
        <v>4772</v>
      </c>
    </row>
    <row r="147" ht="12.75" customHeight="1">
      <c r="A147" s="7">
        <v>146.0</v>
      </c>
      <c r="B147" s="7" t="s">
        <v>368</v>
      </c>
      <c r="C147" s="7" t="s">
        <v>4778</v>
      </c>
      <c r="D147" s="7"/>
      <c r="E147" s="7"/>
      <c r="F147" s="7" t="s">
        <v>4765</v>
      </c>
      <c r="G147" s="7" t="s">
        <v>3223</v>
      </c>
      <c r="H147" s="7" t="s">
        <v>3166</v>
      </c>
      <c r="I147" s="7" t="s">
        <v>3215</v>
      </c>
      <c r="K147" s="7" t="str">
        <f t="shared" si="2"/>
        <v/>
      </c>
      <c r="L147" s="7" t="str">
        <f t="shared" si="3"/>
        <v/>
      </c>
      <c r="M147" s="7">
        <f t="shared" ref="M147:N147" si="152">IF(LEN(M$1),COUNTIF($G147:$I147,M$1),"")</f>
        <v>0</v>
      </c>
      <c r="N147" s="7" t="str">
        <f t="shared" si="152"/>
        <v/>
      </c>
      <c r="O147" s="7" t="str">
        <f t="shared" si="5"/>
        <v/>
      </c>
      <c r="P147" s="7">
        <f t="shared" si="108"/>
        <v>0</v>
      </c>
      <c r="Q147" s="7" t="str">
        <f t="shared" si="7"/>
        <v/>
      </c>
      <c r="R147" s="7" t="s">
        <v>155</v>
      </c>
      <c r="S147" s="7">
        <v>6.0</v>
      </c>
      <c r="T147" s="7" t="s">
        <v>4779</v>
      </c>
    </row>
    <row r="148" ht="12.75" customHeight="1">
      <c r="A148" s="7">
        <v>147.0</v>
      </c>
      <c r="B148" s="7" t="s">
        <v>375</v>
      </c>
      <c r="C148" s="7" t="s">
        <v>4778</v>
      </c>
      <c r="D148" s="7"/>
      <c r="E148" s="7"/>
      <c r="F148" s="7" t="s">
        <v>4765</v>
      </c>
      <c r="G148" s="7" t="s">
        <v>3187</v>
      </c>
      <c r="H148" s="7" t="s">
        <v>3198</v>
      </c>
      <c r="I148" s="7" t="s">
        <v>3210</v>
      </c>
      <c r="K148" s="7" t="str">
        <f t="shared" si="2"/>
        <v/>
      </c>
      <c r="L148" s="7" t="str">
        <f t="shared" si="3"/>
        <v/>
      </c>
      <c r="M148" s="7">
        <f t="shared" ref="M148:N148" si="153">IF(LEN(M$1),COUNTIF($G148:$I148,M$1),"")</f>
        <v>0</v>
      </c>
      <c r="N148" s="7" t="str">
        <f t="shared" si="153"/>
        <v/>
      </c>
      <c r="O148" s="7" t="str">
        <f t="shared" si="5"/>
        <v/>
      </c>
      <c r="P148" s="7">
        <f t="shared" si="108"/>
        <v>0</v>
      </c>
      <c r="Q148" s="7" t="str">
        <f t="shared" si="7"/>
        <v/>
      </c>
      <c r="R148" s="7" t="s">
        <v>1874</v>
      </c>
      <c r="S148" s="7">
        <v>12.0</v>
      </c>
      <c r="T148" s="7" t="s">
        <v>4708</v>
      </c>
    </row>
    <row r="149" ht="12.75" customHeight="1">
      <c r="A149" s="7">
        <v>148.0</v>
      </c>
      <c r="B149" s="7" t="s">
        <v>375</v>
      </c>
      <c r="C149" s="7" t="s">
        <v>4778</v>
      </c>
      <c r="D149" s="7"/>
      <c r="E149" s="7"/>
      <c r="F149" s="7" t="s">
        <v>4765</v>
      </c>
      <c r="G149" s="7" t="s">
        <v>3262</v>
      </c>
      <c r="H149" s="7" t="s">
        <v>3198</v>
      </c>
      <c r="I149" s="7" t="s">
        <v>3241</v>
      </c>
      <c r="K149" s="7" t="str">
        <f t="shared" si="2"/>
        <v/>
      </c>
      <c r="L149" s="7" t="str">
        <f t="shared" si="3"/>
        <v/>
      </c>
      <c r="M149" s="7">
        <f t="shared" ref="M149:N149" si="154">IF(LEN(M$1),COUNTIF($G149:$I149,M$1),"")</f>
        <v>0</v>
      </c>
      <c r="N149" s="7" t="str">
        <f t="shared" si="154"/>
        <v/>
      </c>
      <c r="O149" s="7" t="str">
        <f t="shared" si="5"/>
        <v/>
      </c>
      <c r="P149" s="7">
        <f t="shared" si="108"/>
        <v>0</v>
      </c>
      <c r="Q149" s="7" t="str">
        <f t="shared" si="7"/>
        <v/>
      </c>
      <c r="R149" s="7" t="s">
        <v>447</v>
      </c>
      <c r="S149" s="7">
        <v>6.0</v>
      </c>
      <c r="T149" s="7" t="s">
        <v>4709</v>
      </c>
    </row>
    <row r="150" ht="12.75" customHeight="1">
      <c r="A150" s="7">
        <v>149.0</v>
      </c>
      <c r="B150" s="7" t="s">
        <v>383</v>
      </c>
      <c r="C150" s="7" t="s">
        <v>4780</v>
      </c>
      <c r="D150" s="7"/>
      <c r="E150" s="7"/>
      <c r="F150" s="7" t="s">
        <v>4765</v>
      </c>
      <c r="G150" s="7" t="s">
        <v>3198</v>
      </c>
      <c r="H150" s="7" t="s">
        <v>3153</v>
      </c>
      <c r="I150" s="7" t="s">
        <v>3254</v>
      </c>
      <c r="K150" s="7" t="str">
        <f t="shared" si="2"/>
        <v/>
      </c>
      <c r="L150" s="7" t="str">
        <f t="shared" si="3"/>
        <v/>
      </c>
      <c r="M150" s="7">
        <f t="shared" ref="M150:N150" si="155">IF(LEN(M$1),COUNTIF($G150:$I150,M$1),"")</f>
        <v>0</v>
      </c>
      <c r="N150" s="7" t="str">
        <f t="shared" si="155"/>
        <v/>
      </c>
      <c r="O150" s="7" t="str">
        <f t="shared" si="5"/>
        <v/>
      </c>
      <c r="P150" s="7">
        <f t="shared" si="108"/>
        <v>0</v>
      </c>
      <c r="Q150" s="7" t="str">
        <f t="shared" si="7"/>
        <v/>
      </c>
      <c r="R150" s="7" t="s">
        <v>530</v>
      </c>
      <c r="S150" s="7">
        <v>6.0</v>
      </c>
      <c r="T150" s="7" t="s">
        <v>4709</v>
      </c>
    </row>
    <row r="151" ht="12.75" customHeight="1">
      <c r="A151" s="7">
        <v>150.0</v>
      </c>
      <c r="B151" s="7" t="s">
        <v>383</v>
      </c>
      <c r="C151" s="7" t="s">
        <v>4780</v>
      </c>
      <c r="D151" s="7"/>
      <c r="E151" s="7"/>
      <c r="F151" s="7" t="s">
        <v>4765</v>
      </c>
      <c r="G151" s="7" t="s">
        <v>3132</v>
      </c>
      <c r="H151" s="7" t="s">
        <v>2928</v>
      </c>
      <c r="I151" s="7" t="s">
        <v>3035</v>
      </c>
      <c r="K151" s="7" t="str">
        <f t="shared" si="2"/>
        <v/>
      </c>
      <c r="L151" s="7" t="str">
        <f t="shared" si="3"/>
        <v/>
      </c>
      <c r="M151" s="7">
        <f t="shared" ref="M151:N151" si="156">IF(LEN(M$1),COUNTIF($G151:$I151,M$1),"")</f>
        <v>0</v>
      </c>
      <c r="N151" s="7" t="str">
        <f t="shared" si="156"/>
        <v/>
      </c>
      <c r="O151" s="7" t="str">
        <f t="shared" si="5"/>
        <v/>
      </c>
      <c r="P151" s="7">
        <f t="shared" si="108"/>
        <v>0</v>
      </c>
      <c r="Q151" s="7" t="str">
        <f t="shared" si="7"/>
        <v/>
      </c>
      <c r="R151" s="7" t="s">
        <v>1159</v>
      </c>
      <c r="S151" s="7">
        <v>10.0</v>
      </c>
      <c r="T151" s="7" t="s">
        <v>4764</v>
      </c>
    </row>
    <row r="152" ht="12.75" customHeight="1">
      <c r="A152" s="7">
        <v>151.0</v>
      </c>
      <c r="B152" s="7" t="s">
        <v>392</v>
      </c>
      <c r="C152" s="7" t="s">
        <v>4780</v>
      </c>
      <c r="D152" s="7"/>
      <c r="E152" s="7"/>
      <c r="F152" s="7" t="s">
        <v>4765</v>
      </c>
      <c r="G152" s="7" t="s">
        <v>3176</v>
      </c>
      <c r="H152" s="7" t="s">
        <v>3153</v>
      </c>
      <c r="I152" s="7" t="s">
        <v>3270</v>
      </c>
      <c r="K152" s="7" t="str">
        <f t="shared" si="2"/>
        <v/>
      </c>
      <c r="L152" s="7" t="str">
        <f t="shared" si="3"/>
        <v/>
      </c>
      <c r="M152" s="7">
        <f t="shared" ref="M152:N152" si="157">IF(LEN(M$1),COUNTIF($G152:$I152,M$1),"")</f>
        <v>0</v>
      </c>
      <c r="N152" s="7" t="str">
        <f t="shared" si="157"/>
        <v/>
      </c>
      <c r="O152" s="7" t="str">
        <f t="shared" si="5"/>
        <v/>
      </c>
      <c r="P152" s="7">
        <f t="shared" si="108"/>
        <v>0</v>
      </c>
      <c r="Q152" s="7" t="str">
        <f t="shared" si="7"/>
        <v/>
      </c>
      <c r="R152" s="7" t="s">
        <v>492</v>
      </c>
      <c r="S152" s="7">
        <v>6.0</v>
      </c>
      <c r="T152" s="7" t="s">
        <v>4709</v>
      </c>
    </row>
    <row r="153" ht="12.75" customHeight="1">
      <c r="A153" s="7">
        <v>152.0</v>
      </c>
      <c r="B153" s="7" t="s">
        <v>392</v>
      </c>
      <c r="C153" s="7" t="s">
        <v>4780</v>
      </c>
      <c r="D153" s="7"/>
      <c r="E153" s="7"/>
      <c r="F153" s="7" t="s">
        <v>4765</v>
      </c>
      <c r="G153" s="7" t="s">
        <v>3192</v>
      </c>
      <c r="H153" s="7" t="s">
        <v>3251</v>
      </c>
      <c r="I153" s="7" t="s">
        <v>3178</v>
      </c>
      <c r="K153" s="7" t="str">
        <f t="shared" si="2"/>
        <v/>
      </c>
      <c r="L153" s="7" t="str">
        <f t="shared" si="3"/>
        <v/>
      </c>
      <c r="M153" s="7">
        <f t="shared" ref="M153:N153" si="158">IF(LEN(M$1),COUNTIF($G153:$I153,M$1),"")</f>
        <v>0</v>
      </c>
      <c r="N153" s="7" t="str">
        <f t="shared" si="158"/>
        <v/>
      </c>
      <c r="O153" s="7" t="str">
        <f t="shared" si="5"/>
        <v/>
      </c>
      <c r="P153" s="7">
        <f t="shared" si="108"/>
        <v>0</v>
      </c>
      <c r="Q153" s="7" t="str">
        <f t="shared" si="7"/>
        <v/>
      </c>
      <c r="R153" s="7" t="s">
        <v>2174</v>
      </c>
      <c r="S153" s="7">
        <v>8.0</v>
      </c>
      <c r="T153" s="7" t="s">
        <v>4704</v>
      </c>
    </row>
    <row r="154" ht="12.75" customHeight="1">
      <c r="A154" s="7">
        <v>153.0</v>
      </c>
      <c r="B154" s="7" t="s">
        <v>400</v>
      </c>
      <c r="C154" s="7" t="s">
        <v>4780</v>
      </c>
      <c r="D154" s="7"/>
      <c r="E154" s="7"/>
      <c r="F154" s="7" t="s">
        <v>4765</v>
      </c>
      <c r="G154" s="7" t="s">
        <v>3121</v>
      </c>
      <c r="H154" s="7" t="s">
        <v>3124</v>
      </c>
      <c r="I154" s="7" t="s">
        <v>3137</v>
      </c>
      <c r="K154" s="7" t="str">
        <f t="shared" si="2"/>
        <v/>
      </c>
      <c r="L154" s="7" t="str">
        <f t="shared" si="3"/>
        <v/>
      </c>
      <c r="M154" s="7">
        <f t="shared" ref="M154:N154" si="159">IF(LEN(M$1),COUNTIF($G154:$I154,M$1),"")</f>
        <v>0</v>
      </c>
      <c r="N154" s="7" t="str">
        <f t="shared" si="159"/>
        <v/>
      </c>
      <c r="O154" s="7" t="str">
        <f t="shared" si="5"/>
        <v/>
      </c>
      <c r="P154" s="7">
        <f t="shared" si="108"/>
        <v>0</v>
      </c>
      <c r="Q154" s="7" t="str">
        <f t="shared" si="7"/>
        <v/>
      </c>
      <c r="R154" s="7" t="s">
        <v>981</v>
      </c>
      <c r="S154" s="7">
        <v>6.0</v>
      </c>
      <c r="T154" s="7" t="s">
        <v>4763</v>
      </c>
    </row>
    <row r="155" ht="12.75" customHeight="1">
      <c r="A155" s="7">
        <v>154.0</v>
      </c>
      <c r="B155" s="7" t="s">
        <v>400</v>
      </c>
      <c r="C155" s="7" t="s">
        <v>4780</v>
      </c>
      <c r="D155" s="7"/>
      <c r="E155" s="7"/>
      <c r="F155" s="7" t="s">
        <v>4765</v>
      </c>
      <c r="G155" s="7" t="s">
        <v>3237</v>
      </c>
      <c r="H155" s="7" t="s">
        <v>3280</v>
      </c>
      <c r="I155" s="7" t="s">
        <v>3198</v>
      </c>
      <c r="K155" s="7" t="str">
        <f t="shared" si="2"/>
        <v/>
      </c>
      <c r="L155" s="7" t="str">
        <f t="shared" si="3"/>
        <v/>
      </c>
      <c r="M155" s="7">
        <f t="shared" ref="M155:N155" si="160">IF(LEN(M$1),COUNTIF($G155:$I155,M$1),"")</f>
        <v>0</v>
      </c>
      <c r="N155" s="7" t="str">
        <f t="shared" si="160"/>
        <v/>
      </c>
      <c r="O155" s="7" t="str">
        <f t="shared" si="5"/>
        <v/>
      </c>
      <c r="P155" s="7">
        <f t="shared" si="108"/>
        <v>0</v>
      </c>
      <c r="Q155" s="7" t="str">
        <f t="shared" si="7"/>
        <v/>
      </c>
      <c r="R155" s="7" t="s">
        <v>1778</v>
      </c>
      <c r="S155" s="7">
        <v>9.0</v>
      </c>
      <c r="T155" s="7" t="s">
        <v>4781</v>
      </c>
    </row>
    <row r="156" ht="12.75" customHeight="1">
      <c r="A156" s="7">
        <v>155.0</v>
      </c>
      <c r="B156" s="7" t="s">
        <v>408</v>
      </c>
      <c r="C156" s="7" t="s">
        <v>4782</v>
      </c>
      <c r="D156" s="7"/>
      <c r="E156" s="7"/>
      <c r="F156" s="7" t="s">
        <v>4765</v>
      </c>
      <c r="G156" s="7" t="s">
        <v>3166</v>
      </c>
      <c r="H156" s="7" t="s">
        <v>3283</v>
      </c>
      <c r="I156" s="7" t="s">
        <v>3276</v>
      </c>
      <c r="K156" s="7" t="str">
        <f t="shared" si="2"/>
        <v/>
      </c>
      <c r="L156" s="7" t="str">
        <f t="shared" si="3"/>
        <v/>
      </c>
      <c r="M156" s="7">
        <f t="shared" ref="M156:N156" si="161">IF(LEN(M$1),COUNTIF($G156:$I156,M$1),"")</f>
        <v>0</v>
      </c>
      <c r="N156" s="7" t="str">
        <f t="shared" si="161"/>
        <v/>
      </c>
      <c r="O156" s="7" t="str">
        <f t="shared" si="5"/>
        <v/>
      </c>
      <c r="P156" s="7">
        <f t="shared" si="108"/>
        <v>0</v>
      </c>
      <c r="Q156" s="7" t="str">
        <f t="shared" si="7"/>
        <v/>
      </c>
      <c r="R156" s="7" t="s">
        <v>2110</v>
      </c>
      <c r="S156" s="7">
        <v>11.0</v>
      </c>
      <c r="T156" s="7" t="s">
        <v>4745</v>
      </c>
    </row>
    <row r="157" ht="12.75" customHeight="1">
      <c r="A157" s="7">
        <v>156.0</v>
      </c>
      <c r="B157" s="7" t="s">
        <v>408</v>
      </c>
      <c r="C157" s="7" t="s">
        <v>4782</v>
      </c>
      <c r="D157" s="7"/>
      <c r="E157" s="7"/>
      <c r="F157" s="7" t="s">
        <v>4765</v>
      </c>
      <c r="G157" s="7" t="s">
        <v>3195</v>
      </c>
      <c r="H157" s="7" t="s">
        <v>3182</v>
      </c>
      <c r="I157" s="7" t="s">
        <v>3146</v>
      </c>
      <c r="K157" s="7" t="str">
        <f t="shared" si="2"/>
        <v/>
      </c>
      <c r="L157" s="7" t="str">
        <f t="shared" si="3"/>
        <v/>
      </c>
      <c r="M157" s="7">
        <f t="shared" ref="M157:N157" si="162">IF(LEN(M$1),COUNTIF($G157:$I157,M$1),"")</f>
        <v>0</v>
      </c>
      <c r="N157" s="7" t="str">
        <f t="shared" si="162"/>
        <v/>
      </c>
      <c r="O157" s="7" t="str">
        <f t="shared" si="5"/>
        <v/>
      </c>
      <c r="P157" s="7">
        <f t="shared" si="108"/>
        <v>0</v>
      </c>
      <c r="Q157" s="7" t="str">
        <f t="shared" si="7"/>
        <v/>
      </c>
      <c r="R157" s="7" t="s">
        <v>73</v>
      </c>
      <c r="S157" s="7">
        <v>8.0</v>
      </c>
      <c r="T157" s="7" t="s">
        <v>4705</v>
      </c>
    </row>
    <row r="158" ht="12.75" customHeight="1">
      <c r="A158" s="7">
        <v>157.0</v>
      </c>
      <c r="B158" s="7" t="s">
        <v>415</v>
      </c>
      <c r="C158" s="7" t="s">
        <v>4782</v>
      </c>
      <c r="D158" s="7"/>
      <c r="E158" s="7"/>
      <c r="F158" s="7" t="s">
        <v>4765</v>
      </c>
      <c r="G158" s="7" t="s">
        <v>3223</v>
      </c>
      <c r="H158" s="7" t="s">
        <v>2909</v>
      </c>
      <c r="I158" s="7" t="s">
        <v>2963</v>
      </c>
      <c r="K158" s="7" t="str">
        <f t="shared" si="2"/>
        <v/>
      </c>
      <c r="L158" s="7" t="str">
        <f t="shared" si="3"/>
        <v/>
      </c>
      <c r="M158" s="7">
        <f t="shared" ref="M158:N158" si="163">IF(LEN(M$1),COUNTIF($G158:$I158,M$1),"")</f>
        <v>0</v>
      </c>
      <c r="N158" s="7" t="str">
        <f t="shared" si="163"/>
        <v/>
      </c>
      <c r="O158" s="7" t="str">
        <f t="shared" si="5"/>
        <v/>
      </c>
      <c r="P158" s="7">
        <f t="shared" si="108"/>
        <v>0</v>
      </c>
      <c r="Q158" s="7" t="str">
        <f t="shared" si="7"/>
        <v/>
      </c>
      <c r="R158" s="7" t="s">
        <v>2182</v>
      </c>
      <c r="S158" s="7">
        <v>12.0</v>
      </c>
      <c r="T158" s="7" t="s">
        <v>4708</v>
      </c>
    </row>
    <row r="159" ht="12.75" customHeight="1">
      <c r="A159" s="7">
        <v>158.0</v>
      </c>
      <c r="B159" s="7" t="s">
        <v>415</v>
      </c>
      <c r="C159" s="7" t="s">
        <v>4782</v>
      </c>
      <c r="D159" s="7"/>
      <c r="E159" s="7"/>
      <c r="F159" s="7" t="s">
        <v>4765</v>
      </c>
      <c r="G159" s="7" t="s">
        <v>3237</v>
      </c>
      <c r="H159" s="7" t="s">
        <v>3192</v>
      </c>
      <c r="I159" s="7" t="s">
        <v>3176</v>
      </c>
      <c r="K159" s="7" t="str">
        <f t="shared" si="2"/>
        <v/>
      </c>
      <c r="L159" s="7" t="str">
        <f t="shared" si="3"/>
        <v/>
      </c>
      <c r="M159" s="7">
        <f t="shared" ref="M159:N159" si="164">IF(LEN(M$1),COUNTIF($G159:$I159,M$1),"")</f>
        <v>0</v>
      </c>
      <c r="N159" s="7" t="str">
        <f t="shared" si="164"/>
        <v/>
      </c>
      <c r="O159" s="7" t="str">
        <f t="shared" si="5"/>
        <v/>
      </c>
      <c r="P159" s="7">
        <f t="shared" si="108"/>
        <v>0</v>
      </c>
      <c r="Q159" s="7" t="str">
        <f t="shared" si="7"/>
        <v/>
      </c>
      <c r="R159" s="7" t="s">
        <v>1115</v>
      </c>
      <c r="S159" s="7">
        <v>5.0</v>
      </c>
      <c r="T159" s="7" t="s">
        <v>4783</v>
      </c>
    </row>
    <row r="160" ht="12.75" customHeight="1">
      <c r="A160" s="7">
        <v>159.0</v>
      </c>
      <c r="B160" s="7" t="s">
        <v>422</v>
      </c>
      <c r="C160" s="7" t="s">
        <v>4782</v>
      </c>
      <c r="D160" s="7"/>
      <c r="E160" s="7"/>
      <c r="F160" s="7" t="s">
        <v>4765</v>
      </c>
      <c r="G160" s="7" t="s">
        <v>2838</v>
      </c>
      <c r="H160" s="7" t="s">
        <v>3246</v>
      </c>
      <c r="I160" s="7" t="s">
        <v>3226</v>
      </c>
      <c r="K160" s="7" t="str">
        <f t="shared" si="2"/>
        <v/>
      </c>
      <c r="L160" s="7" t="str">
        <f t="shared" si="3"/>
        <v/>
      </c>
      <c r="M160" s="7">
        <f t="shared" ref="M160:N160" si="165">IF(LEN(M$1),COUNTIF($G160:$I160,M$1),"")</f>
        <v>0</v>
      </c>
      <c r="N160" s="7" t="str">
        <f t="shared" si="165"/>
        <v/>
      </c>
      <c r="O160" s="7" t="str">
        <f t="shared" si="5"/>
        <v/>
      </c>
      <c r="P160" s="7">
        <f t="shared" si="108"/>
        <v>0</v>
      </c>
      <c r="Q160" s="7" t="str">
        <f t="shared" si="7"/>
        <v/>
      </c>
      <c r="R160" s="7" t="s">
        <v>1969</v>
      </c>
      <c r="S160" s="7">
        <v>8.0</v>
      </c>
      <c r="T160" s="7" t="s">
        <v>4704</v>
      </c>
    </row>
    <row r="161" ht="12.75" customHeight="1">
      <c r="A161" s="7">
        <v>160.0</v>
      </c>
      <c r="B161" s="7" t="s">
        <v>422</v>
      </c>
      <c r="C161" s="7" t="s">
        <v>4782</v>
      </c>
      <c r="D161" s="7"/>
      <c r="E161" s="7"/>
      <c r="F161" s="7" t="s">
        <v>4765</v>
      </c>
      <c r="G161" s="7" t="s">
        <v>3223</v>
      </c>
      <c r="H161" s="7" t="s">
        <v>3212</v>
      </c>
      <c r="I161" s="7" t="s">
        <v>3170</v>
      </c>
      <c r="K161" s="7" t="str">
        <f t="shared" si="2"/>
        <v/>
      </c>
      <c r="L161" s="7" t="str">
        <f t="shared" si="3"/>
        <v/>
      </c>
      <c r="M161" s="7">
        <f t="shared" ref="M161:N161" si="166">IF(LEN(M$1),COUNTIF($G161:$I161,M$1),"")</f>
        <v>0</v>
      </c>
      <c r="N161" s="7" t="str">
        <f t="shared" si="166"/>
        <v/>
      </c>
      <c r="O161" s="7" t="str">
        <f t="shared" si="5"/>
        <v/>
      </c>
      <c r="P161" s="7">
        <f t="shared" si="108"/>
        <v>0</v>
      </c>
      <c r="Q161" s="7" t="str">
        <f t="shared" si="7"/>
        <v/>
      </c>
      <c r="R161" s="7" t="s">
        <v>1123</v>
      </c>
      <c r="S161" s="7">
        <v>5.0</v>
      </c>
      <c r="T161" s="7" t="s">
        <v>4783</v>
      </c>
    </row>
    <row r="162" ht="12.75" customHeight="1">
      <c r="A162" s="7">
        <v>161.0</v>
      </c>
      <c r="B162" s="7" t="s">
        <v>430</v>
      </c>
      <c r="C162" s="7" t="s">
        <v>4784</v>
      </c>
      <c r="D162" s="7"/>
      <c r="E162" s="7"/>
      <c r="F162" s="7" t="s">
        <v>4765</v>
      </c>
      <c r="G162" s="7" t="s">
        <v>3243</v>
      </c>
      <c r="H162" s="7" t="s">
        <v>3241</v>
      </c>
      <c r="I162" s="7" t="s">
        <v>3124</v>
      </c>
      <c r="K162" s="7" t="str">
        <f t="shared" si="2"/>
        <v/>
      </c>
      <c r="L162" s="7" t="str">
        <f t="shared" si="3"/>
        <v/>
      </c>
      <c r="M162" s="7">
        <f t="shared" ref="M162:N162" si="167">IF(LEN(M$1),COUNTIF($G162:$I162,M$1),"")</f>
        <v>0</v>
      </c>
      <c r="N162" s="7" t="str">
        <f t="shared" si="167"/>
        <v/>
      </c>
      <c r="O162" s="7" t="str">
        <f t="shared" si="5"/>
        <v/>
      </c>
      <c r="P162" s="7">
        <f t="shared" si="108"/>
        <v>0</v>
      </c>
      <c r="Q162" s="7" t="str">
        <f t="shared" si="7"/>
        <v/>
      </c>
      <c r="R162" s="7" t="s">
        <v>1549</v>
      </c>
      <c r="S162" s="7">
        <v>9.0</v>
      </c>
      <c r="T162" s="7" t="s">
        <v>4785</v>
      </c>
    </row>
    <row r="163" ht="12.75" customHeight="1">
      <c r="A163" s="7">
        <v>162.0</v>
      </c>
      <c r="B163" s="7" t="s">
        <v>430</v>
      </c>
      <c r="C163" s="7" t="s">
        <v>4784</v>
      </c>
      <c r="D163" s="7"/>
      <c r="E163" s="7"/>
      <c r="F163" s="7" t="s">
        <v>4765</v>
      </c>
      <c r="G163" s="7" t="s">
        <v>3187</v>
      </c>
      <c r="H163" s="7" t="s">
        <v>3254</v>
      </c>
      <c r="I163" s="7" t="s">
        <v>3115</v>
      </c>
      <c r="K163" s="7" t="str">
        <f t="shared" si="2"/>
        <v/>
      </c>
      <c r="L163" s="7" t="str">
        <f t="shared" si="3"/>
        <v/>
      </c>
      <c r="M163" s="7">
        <f t="shared" ref="M163:N163" si="168">IF(LEN(M$1),COUNTIF($G163:$I163,M$1),"")</f>
        <v>0</v>
      </c>
      <c r="N163" s="7" t="str">
        <f t="shared" si="168"/>
        <v/>
      </c>
      <c r="O163" s="7" t="str">
        <f t="shared" si="5"/>
        <v/>
      </c>
      <c r="P163" s="7">
        <f t="shared" si="108"/>
        <v>0</v>
      </c>
      <c r="Q163" s="7" t="str">
        <f t="shared" si="7"/>
        <v/>
      </c>
      <c r="R163" s="7" t="s">
        <v>1486</v>
      </c>
      <c r="S163" s="7">
        <v>6.0</v>
      </c>
      <c r="T163" s="7" t="s">
        <v>4729</v>
      </c>
    </row>
    <row r="164" ht="12.75" customHeight="1">
      <c r="A164" s="7">
        <v>163.0</v>
      </c>
      <c r="B164" s="7" t="s">
        <v>438</v>
      </c>
      <c r="C164" s="7" t="s">
        <v>4784</v>
      </c>
      <c r="D164" s="7"/>
      <c r="E164" s="7"/>
      <c r="F164" s="7" t="s">
        <v>4765</v>
      </c>
      <c r="G164" s="7" t="s">
        <v>3190</v>
      </c>
      <c r="H164" s="7" t="s">
        <v>2876</v>
      </c>
      <c r="I164" s="7" t="s">
        <v>2942</v>
      </c>
      <c r="K164" s="7" t="str">
        <f t="shared" si="2"/>
        <v/>
      </c>
      <c r="L164" s="7" t="str">
        <f t="shared" si="3"/>
        <v/>
      </c>
      <c r="M164" s="7">
        <f t="shared" ref="M164:N164" si="169">IF(LEN(M$1),COUNTIF($G164:$I164,M$1),"")</f>
        <v>0</v>
      </c>
      <c r="N164" s="7" t="str">
        <f t="shared" si="169"/>
        <v/>
      </c>
      <c r="O164" s="7" t="str">
        <f t="shared" si="5"/>
        <v/>
      </c>
      <c r="P164" s="7">
        <f t="shared" si="108"/>
        <v>0</v>
      </c>
      <c r="Q164" s="7" t="str">
        <f t="shared" si="7"/>
        <v/>
      </c>
      <c r="R164" s="7" t="s">
        <v>622</v>
      </c>
      <c r="S164" s="7">
        <v>7.0</v>
      </c>
      <c r="T164" s="7" t="s">
        <v>4718</v>
      </c>
    </row>
    <row r="165" ht="12.75" customHeight="1">
      <c r="A165" s="7">
        <v>164.0</v>
      </c>
      <c r="B165" s="7" t="s">
        <v>438</v>
      </c>
      <c r="C165" s="7" t="s">
        <v>4784</v>
      </c>
      <c r="D165" s="7"/>
      <c r="E165" s="7"/>
      <c r="F165" s="7" t="s">
        <v>4765</v>
      </c>
      <c r="G165" s="7" t="s">
        <v>2774</v>
      </c>
      <c r="H165" s="7" t="s">
        <v>3127</v>
      </c>
      <c r="I165" s="7" t="s">
        <v>3121</v>
      </c>
      <c r="K165" s="7" t="str">
        <f t="shared" si="2"/>
        <v/>
      </c>
      <c r="L165" s="7" t="str">
        <f t="shared" si="3"/>
        <v/>
      </c>
      <c r="M165" s="7">
        <f t="shared" ref="M165:N165" si="170">IF(LEN(M$1),COUNTIF($G165:$I165,M$1),"")</f>
        <v>0</v>
      </c>
      <c r="N165" s="7" t="str">
        <f t="shared" si="170"/>
        <v/>
      </c>
      <c r="O165" s="7" t="str">
        <f t="shared" si="5"/>
        <v/>
      </c>
      <c r="P165" s="7">
        <f t="shared" si="108"/>
        <v>0</v>
      </c>
      <c r="Q165" s="7" t="str">
        <f t="shared" si="7"/>
        <v/>
      </c>
      <c r="R165" s="7" t="s">
        <v>1794</v>
      </c>
      <c r="S165" s="7">
        <v>8.0</v>
      </c>
      <c r="T165" s="7" t="s">
        <v>4704</v>
      </c>
    </row>
    <row r="166" ht="12.75" customHeight="1">
      <c r="A166" s="7">
        <v>165.0</v>
      </c>
      <c r="B166" s="7" t="s">
        <v>447</v>
      </c>
      <c r="C166" s="84" t="s">
        <v>4784</v>
      </c>
      <c r="F166" s="7" t="s">
        <v>4765</v>
      </c>
      <c r="G166" s="7" t="s">
        <v>3173</v>
      </c>
      <c r="H166" s="7" t="s">
        <v>3178</v>
      </c>
      <c r="I166" s="7" t="s">
        <v>3218</v>
      </c>
      <c r="K166" s="7" t="str">
        <f t="shared" si="2"/>
        <v/>
      </c>
      <c r="L166" s="7" t="str">
        <f t="shared" si="3"/>
        <v/>
      </c>
      <c r="M166" s="7">
        <f t="shared" ref="M166:N166" si="171">IF(LEN(M$1),COUNTIF($G166:$I166,M$1),"")</f>
        <v>0</v>
      </c>
      <c r="N166" s="7" t="str">
        <f t="shared" si="171"/>
        <v/>
      </c>
      <c r="O166" s="7" t="str">
        <f t="shared" si="5"/>
        <v/>
      </c>
      <c r="P166" s="7">
        <f t="shared" si="108"/>
        <v>0</v>
      </c>
      <c r="Q166" s="7" t="str">
        <f t="shared" si="7"/>
        <v/>
      </c>
      <c r="R166" s="7" t="s">
        <v>873</v>
      </c>
      <c r="S166" s="7">
        <v>5.0</v>
      </c>
      <c r="T166" s="7" t="s">
        <v>4762</v>
      </c>
    </row>
    <row r="167" ht="12.75" customHeight="1">
      <c r="A167" s="7">
        <v>166.0</v>
      </c>
      <c r="B167" s="7" t="s">
        <v>447</v>
      </c>
      <c r="C167" s="84" t="s">
        <v>4784</v>
      </c>
      <c r="F167" s="7" t="s">
        <v>4765</v>
      </c>
      <c r="G167" s="7" t="s">
        <v>3146</v>
      </c>
      <c r="H167" s="7" t="s">
        <v>2918</v>
      </c>
      <c r="I167" s="7" t="s">
        <v>2939</v>
      </c>
      <c r="K167" s="7" t="str">
        <f t="shared" si="2"/>
        <v/>
      </c>
      <c r="L167" s="7" t="str">
        <f t="shared" si="3"/>
        <v/>
      </c>
      <c r="M167" s="7">
        <f t="shared" ref="M167:N167" si="172">IF(LEN(M$1),COUNTIF($G167:$I167,M$1),"")</f>
        <v>0</v>
      </c>
      <c r="N167" s="7" t="str">
        <f t="shared" si="172"/>
        <v/>
      </c>
      <c r="O167" s="7" t="str">
        <f t="shared" si="5"/>
        <v/>
      </c>
      <c r="P167" s="7">
        <f t="shared" si="108"/>
        <v>0</v>
      </c>
      <c r="Q167" s="7" t="str">
        <f t="shared" si="7"/>
        <v/>
      </c>
      <c r="R167" s="7" t="s">
        <v>1402</v>
      </c>
      <c r="S167" s="7">
        <v>4.0</v>
      </c>
      <c r="T167" s="7" t="s">
        <v>4757</v>
      </c>
    </row>
    <row r="168" ht="12.75" customHeight="1">
      <c r="A168" s="7">
        <v>167.0</v>
      </c>
      <c r="B168" s="7" t="s">
        <v>454</v>
      </c>
      <c r="C168" s="84" t="s">
        <v>4786</v>
      </c>
      <c r="F168" s="7" t="s">
        <v>4765</v>
      </c>
      <c r="G168" s="7" t="s">
        <v>2809</v>
      </c>
      <c r="H168" s="7" t="s">
        <v>3230</v>
      </c>
      <c r="I168" s="7" t="s">
        <v>3280</v>
      </c>
      <c r="K168" s="7" t="str">
        <f t="shared" si="2"/>
        <v/>
      </c>
      <c r="L168" s="7" t="str">
        <f t="shared" si="3"/>
        <v/>
      </c>
      <c r="M168" s="7">
        <f t="shared" ref="M168:N168" si="173">IF(LEN(M$1),COUNTIF($G168:$I168,M$1),"")</f>
        <v>0</v>
      </c>
      <c r="N168" s="7" t="str">
        <f t="shared" si="173"/>
        <v/>
      </c>
      <c r="O168" s="7" t="str">
        <f t="shared" si="5"/>
        <v/>
      </c>
      <c r="P168" s="7">
        <f t="shared" si="108"/>
        <v>0</v>
      </c>
      <c r="Q168" s="7" t="str">
        <f t="shared" si="7"/>
        <v/>
      </c>
      <c r="R168" s="7" t="s">
        <v>1493</v>
      </c>
      <c r="S168" s="7">
        <v>6.0</v>
      </c>
      <c r="T168" s="7" t="s">
        <v>4729</v>
      </c>
    </row>
    <row r="169" ht="12.75" customHeight="1">
      <c r="A169" s="7">
        <v>168.0</v>
      </c>
      <c r="B169" s="7" t="s">
        <v>454</v>
      </c>
      <c r="C169" s="84" t="s">
        <v>4786</v>
      </c>
      <c r="F169" s="7" t="s">
        <v>4765</v>
      </c>
      <c r="G169" s="7" t="s">
        <v>2709</v>
      </c>
      <c r="H169" s="7" t="s">
        <v>3218</v>
      </c>
      <c r="I169" s="7" t="s">
        <v>3155</v>
      </c>
      <c r="K169" s="7" t="str">
        <f t="shared" si="2"/>
        <v/>
      </c>
      <c r="L169" s="7" t="str">
        <f t="shared" si="3"/>
        <v/>
      </c>
      <c r="M169" s="7">
        <f t="shared" ref="M169:N169" si="174">IF(LEN(M$1),COUNTIF($G169:$I169,M$1),"")</f>
        <v>0</v>
      </c>
      <c r="N169" s="7" t="str">
        <f t="shared" si="174"/>
        <v/>
      </c>
      <c r="O169" s="7" t="str">
        <f t="shared" si="5"/>
        <v/>
      </c>
      <c r="P169" s="7">
        <f t="shared" si="108"/>
        <v>0</v>
      </c>
      <c r="Q169" s="7" t="str">
        <f t="shared" si="7"/>
        <v/>
      </c>
      <c r="R169" s="7" t="s">
        <v>1982</v>
      </c>
      <c r="S169" s="7">
        <v>8.0</v>
      </c>
      <c r="T169" s="7" t="s">
        <v>4704</v>
      </c>
    </row>
    <row r="170" ht="12.75" customHeight="1">
      <c r="A170" s="7">
        <v>169.0</v>
      </c>
      <c r="B170" s="7" t="s">
        <v>462</v>
      </c>
      <c r="C170" s="7" t="s">
        <v>4786</v>
      </c>
      <c r="D170" s="7"/>
      <c r="E170" s="7"/>
      <c r="F170" s="7" t="s">
        <v>4765</v>
      </c>
      <c r="G170" s="7" t="s">
        <v>3210</v>
      </c>
      <c r="H170" s="7" t="s">
        <v>3215</v>
      </c>
      <c r="I170" s="7" t="s">
        <v>3204</v>
      </c>
      <c r="K170" s="7" t="str">
        <f t="shared" si="2"/>
        <v/>
      </c>
      <c r="L170" s="7" t="str">
        <f t="shared" si="3"/>
        <v/>
      </c>
      <c r="M170" s="7">
        <f t="shared" ref="M170:N170" si="175">IF(LEN(M$1),COUNTIF($G170:$I170,M$1),"")</f>
        <v>0</v>
      </c>
      <c r="N170" s="7" t="str">
        <f t="shared" si="175"/>
        <v/>
      </c>
      <c r="O170" s="7" t="str">
        <f t="shared" si="5"/>
        <v/>
      </c>
      <c r="P170" s="7">
        <f t="shared" si="108"/>
        <v>0</v>
      </c>
      <c r="Q170" s="7" t="str">
        <f t="shared" si="7"/>
        <v/>
      </c>
      <c r="R170" s="7" t="s">
        <v>712</v>
      </c>
      <c r="S170" s="7">
        <v>6.0</v>
      </c>
      <c r="T170" s="7" t="s">
        <v>4707</v>
      </c>
    </row>
    <row r="171" ht="12.75" customHeight="1">
      <c r="A171" s="7">
        <v>170.0</v>
      </c>
      <c r="B171" s="7" t="s">
        <v>462</v>
      </c>
      <c r="C171" s="7" t="s">
        <v>4786</v>
      </c>
      <c r="D171" s="7"/>
      <c r="E171" s="7"/>
      <c r="F171" s="7" t="s">
        <v>4765</v>
      </c>
      <c r="G171" s="7" t="s">
        <v>2793</v>
      </c>
      <c r="H171" s="7" t="s">
        <v>3190</v>
      </c>
      <c r="I171" s="7" t="s">
        <v>3246</v>
      </c>
      <c r="K171" s="7" t="str">
        <f t="shared" si="2"/>
        <v/>
      </c>
      <c r="L171" s="7" t="str">
        <f t="shared" si="3"/>
        <v/>
      </c>
      <c r="M171" s="7">
        <f t="shared" ref="M171:N171" si="176">IF(LEN(M$1),COUNTIF($G171:$I171,M$1),"")</f>
        <v>0</v>
      </c>
      <c r="N171" s="7" t="str">
        <f t="shared" si="176"/>
        <v/>
      </c>
      <c r="O171" s="7" t="str">
        <f t="shared" si="5"/>
        <v/>
      </c>
      <c r="P171" s="7">
        <f t="shared" si="108"/>
        <v>0</v>
      </c>
      <c r="Q171" s="7" t="str">
        <f t="shared" si="7"/>
        <v/>
      </c>
      <c r="R171" s="7" t="s">
        <v>1820</v>
      </c>
      <c r="S171" s="7">
        <v>11.0</v>
      </c>
      <c r="T171" s="7" t="s">
        <v>4703</v>
      </c>
    </row>
    <row r="172" ht="12.75" customHeight="1">
      <c r="A172" s="7">
        <v>171.0</v>
      </c>
      <c r="B172" s="7" t="s">
        <v>469</v>
      </c>
      <c r="C172" s="7" t="s">
        <v>4786</v>
      </c>
      <c r="D172" s="7"/>
      <c r="E172" s="7"/>
      <c r="F172" s="7" t="s">
        <v>4765</v>
      </c>
      <c r="G172" s="7" t="s">
        <v>2736</v>
      </c>
      <c r="H172" s="7" t="s">
        <v>3158</v>
      </c>
      <c r="I172" s="7" t="s">
        <v>3142</v>
      </c>
      <c r="K172" s="7" t="str">
        <f t="shared" si="2"/>
        <v/>
      </c>
      <c r="L172" s="7" t="str">
        <f t="shared" si="3"/>
        <v/>
      </c>
      <c r="M172" s="7">
        <f t="shared" ref="M172:N172" si="177">IF(LEN(M$1),COUNTIF($G172:$I172,M$1),"")</f>
        <v>0</v>
      </c>
      <c r="N172" s="7" t="str">
        <f t="shared" si="177"/>
        <v/>
      </c>
      <c r="O172" s="7" t="str">
        <f t="shared" si="5"/>
        <v/>
      </c>
      <c r="P172" s="7">
        <f t="shared" si="108"/>
        <v>0</v>
      </c>
      <c r="Q172" s="7" t="str">
        <f t="shared" si="7"/>
        <v/>
      </c>
      <c r="R172" s="7" t="s">
        <v>1375</v>
      </c>
      <c r="S172" s="7">
        <v>6.0</v>
      </c>
      <c r="T172" s="7" t="s">
        <v>4729</v>
      </c>
    </row>
    <row r="173" ht="12.75" customHeight="1">
      <c r="A173" s="7">
        <v>172.0</v>
      </c>
      <c r="B173" s="7" t="s">
        <v>469</v>
      </c>
      <c r="C173" s="7" t="s">
        <v>4786</v>
      </c>
      <c r="D173" s="7"/>
      <c r="E173" s="7"/>
      <c r="F173" s="7" t="s">
        <v>4765</v>
      </c>
      <c r="G173" s="7" t="s">
        <v>3266</v>
      </c>
      <c r="H173" s="7" t="s">
        <v>2892</v>
      </c>
      <c r="I173" s="7" t="s">
        <v>2963</v>
      </c>
      <c r="K173" s="7" t="str">
        <f t="shared" si="2"/>
        <v/>
      </c>
      <c r="L173" s="7" t="str">
        <f t="shared" si="3"/>
        <v/>
      </c>
      <c r="M173" s="7">
        <f t="shared" ref="M173:N173" si="178">IF(LEN(M$1),COUNTIF($G173:$I173,M$1),"")</f>
        <v>0</v>
      </c>
      <c r="N173" s="7" t="str">
        <f t="shared" si="178"/>
        <v/>
      </c>
      <c r="O173" s="7" t="str">
        <f t="shared" si="5"/>
        <v/>
      </c>
      <c r="P173" s="7">
        <f t="shared" si="108"/>
        <v>0</v>
      </c>
      <c r="Q173" s="7" t="str">
        <f t="shared" si="7"/>
        <v/>
      </c>
      <c r="R173" s="7" t="s">
        <v>2397</v>
      </c>
      <c r="S173" s="7">
        <v>3.0</v>
      </c>
      <c r="T173" s="7" t="s">
        <v>4787</v>
      </c>
    </row>
    <row r="174" ht="12.75" customHeight="1">
      <c r="A174" s="7">
        <v>173.0</v>
      </c>
      <c r="B174" s="7" t="s">
        <v>477</v>
      </c>
      <c r="C174" s="7" t="s">
        <v>4788</v>
      </c>
      <c r="D174" s="7"/>
      <c r="E174" s="7"/>
      <c r="F174" s="7" t="s">
        <v>4765</v>
      </c>
      <c r="G174" s="7" t="s">
        <v>3204</v>
      </c>
      <c r="H174" s="7" t="s">
        <v>3137</v>
      </c>
      <c r="I174" s="7" t="s">
        <v>3192</v>
      </c>
      <c r="K174" s="7" t="str">
        <f t="shared" si="2"/>
        <v/>
      </c>
      <c r="L174" s="7" t="str">
        <f t="shared" si="3"/>
        <v/>
      </c>
      <c r="M174" s="7">
        <f t="shared" ref="M174:N174" si="179">IF(LEN(M$1),COUNTIF($G174:$I174,M$1),"")</f>
        <v>0</v>
      </c>
      <c r="N174" s="7" t="str">
        <f t="shared" si="179"/>
        <v/>
      </c>
      <c r="O174" s="7" t="str">
        <f t="shared" si="5"/>
        <v/>
      </c>
      <c r="P174" s="7">
        <f t="shared" si="108"/>
        <v>0</v>
      </c>
      <c r="Q174" s="7" t="str">
        <f t="shared" si="7"/>
        <v/>
      </c>
      <c r="R174" s="7" t="s">
        <v>1593</v>
      </c>
      <c r="S174" s="7">
        <v>5.0</v>
      </c>
      <c r="T174" s="7" t="s">
        <v>4789</v>
      </c>
    </row>
    <row r="175" ht="12.75" customHeight="1">
      <c r="A175" s="7">
        <v>174.0</v>
      </c>
      <c r="B175" s="7" t="s">
        <v>477</v>
      </c>
      <c r="C175" s="7" t="s">
        <v>4788</v>
      </c>
      <c r="D175" s="7"/>
      <c r="E175" s="7"/>
      <c r="F175" s="7" t="s">
        <v>4765</v>
      </c>
      <c r="G175" s="7" t="s">
        <v>3254</v>
      </c>
      <c r="H175" s="7" t="s">
        <v>3158</v>
      </c>
      <c r="I175" s="7" t="s">
        <v>3276</v>
      </c>
      <c r="K175" s="7" t="str">
        <f t="shared" si="2"/>
        <v/>
      </c>
      <c r="L175" s="7" t="str">
        <f t="shared" si="3"/>
        <v/>
      </c>
      <c r="M175" s="7">
        <f t="shared" ref="M175:N175" si="180">IF(LEN(M$1),COUNTIF($G175:$I175,M$1),"")</f>
        <v>0</v>
      </c>
      <c r="N175" s="7" t="str">
        <f t="shared" si="180"/>
        <v/>
      </c>
      <c r="O175" s="7" t="str">
        <f t="shared" si="5"/>
        <v/>
      </c>
      <c r="P175" s="7">
        <f t="shared" si="108"/>
        <v>0</v>
      </c>
      <c r="Q175" s="7" t="str">
        <f t="shared" si="7"/>
        <v/>
      </c>
      <c r="R175" s="7" t="s">
        <v>720</v>
      </c>
      <c r="S175" s="7">
        <v>6.0</v>
      </c>
      <c r="T175" s="7" t="s">
        <v>4707</v>
      </c>
    </row>
    <row r="176" ht="12.75" customHeight="1">
      <c r="A176" s="7">
        <v>175.0</v>
      </c>
      <c r="B176" s="7" t="s">
        <v>485</v>
      </c>
      <c r="C176" s="7" t="s">
        <v>4788</v>
      </c>
      <c r="D176" s="7"/>
      <c r="E176" s="7"/>
      <c r="F176" s="7" t="s">
        <v>4765</v>
      </c>
      <c r="G176" s="7" t="s">
        <v>3210</v>
      </c>
      <c r="H176" s="7" t="s">
        <v>2914</v>
      </c>
      <c r="I176" s="7" t="s">
        <v>3012</v>
      </c>
      <c r="K176" s="7" t="str">
        <f t="shared" si="2"/>
        <v/>
      </c>
      <c r="L176" s="7" t="str">
        <f t="shared" si="3"/>
        <v/>
      </c>
      <c r="M176" s="7">
        <f t="shared" ref="M176:N176" si="181">IF(LEN(M$1),COUNTIF($G176:$I176,M$1),"")</f>
        <v>0</v>
      </c>
      <c r="N176" s="7" t="str">
        <f t="shared" si="181"/>
        <v/>
      </c>
      <c r="O176" s="7" t="str">
        <f t="shared" si="5"/>
        <v/>
      </c>
      <c r="P176" s="7">
        <f t="shared" si="108"/>
        <v>0</v>
      </c>
      <c r="Q176" s="7" t="str">
        <f t="shared" si="7"/>
        <v/>
      </c>
      <c r="R176" s="7" t="s">
        <v>842</v>
      </c>
      <c r="S176" s="7">
        <v>10.0</v>
      </c>
      <c r="T176" s="7" t="s">
        <v>4790</v>
      </c>
    </row>
    <row r="177" ht="12.75" customHeight="1">
      <c r="A177" s="7">
        <v>176.0</v>
      </c>
      <c r="B177" s="7" t="s">
        <v>485</v>
      </c>
      <c r="C177" s="7" t="s">
        <v>4788</v>
      </c>
      <c r="D177" s="7"/>
      <c r="E177" s="7"/>
      <c r="F177" s="7" t="s">
        <v>4765</v>
      </c>
      <c r="G177" s="7" t="s">
        <v>3262</v>
      </c>
      <c r="H177" s="7" t="s">
        <v>3215</v>
      </c>
      <c r="I177" s="7" t="s">
        <v>3218</v>
      </c>
      <c r="K177" s="7" t="str">
        <f t="shared" si="2"/>
        <v/>
      </c>
      <c r="L177" s="7" t="str">
        <f t="shared" si="3"/>
        <v/>
      </c>
      <c r="M177" s="7">
        <f t="shared" ref="M177:N177" si="182">IF(LEN(M$1),COUNTIF($G177:$I177,M$1),"")</f>
        <v>0</v>
      </c>
      <c r="N177" s="7" t="str">
        <f t="shared" si="182"/>
        <v/>
      </c>
      <c r="O177" s="7" t="str">
        <f t="shared" si="5"/>
        <v/>
      </c>
      <c r="P177" s="7">
        <f t="shared" si="108"/>
        <v>0</v>
      </c>
      <c r="Q177" s="7" t="str">
        <f t="shared" si="7"/>
        <v/>
      </c>
      <c r="R177" s="7" t="s">
        <v>1948</v>
      </c>
      <c r="S177" s="7">
        <v>8.0</v>
      </c>
      <c r="T177" s="7" t="s">
        <v>4704</v>
      </c>
    </row>
    <row r="178" ht="12.75" customHeight="1">
      <c r="A178" s="7">
        <v>177.0</v>
      </c>
      <c r="B178" s="7" t="s">
        <v>492</v>
      </c>
      <c r="C178" s="7" t="s">
        <v>4788</v>
      </c>
      <c r="D178" s="7"/>
      <c r="E178" s="7"/>
      <c r="F178" s="7" t="s">
        <v>4765</v>
      </c>
      <c r="G178" s="7" t="s">
        <v>3182</v>
      </c>
      <c r="H178" s="7" t="s">
        <v>3234</v>
      </c>
      <c r="I178" s="7" t="s">
        <v>3258</v>
      </c>
      <c r="K178" s="7" t="str">
        <f t="shared" si="2"/>
        <v/>
      </c>
      <c r="L178" s="7" t="str">
        <f t="shared" si="3"/>
        <v/>
      </c>
      <c r="M178" s="7">
        <f t="shared" ref="M178:N178" si="183">IF(LEN(M$1),COUNTIF($G178:$I178,M$1),"")</f>
        <v>0</v>
      </c>
      <c r="N178" s="7" t="str">
        <f t="shared" si="183"/>
        <v/>
      </c>
      <c r="O178" s="7" t="str">
        <f t="shared" si="5"/>
        <v/>
      </c>
      <c r="P178" s="7">
        <f t="shared" si="108"/>
        <v>0</v>
      </c>
      <c r="Q178" s="7" t="str">
        <f t="shared" si="7"/>
        <v/>
      </c>
      <c r="R178" s="7" t="s">
        <v>1895</v>
      </c>
      <c r="S178" s="7">
        <v>8.0</v>
      </c>
      <c r="T178" s="7" t="s">
        <v>4741</v>
      </c>
    </row>
    <row r="179" ht="12.75" customHeight="1">
      <c r="A179" s="7">
        <v>178.0</v>
      </c>
      <c r="B179" s="7" t="s">
        <v>492</v>
      </c>
      <c r="C179" s="7" t="s">
        <v>4788</v>
      </c>
      <c r="D179" s="7"/>
      <c r="E179" s="7"/>
      <c r="F179" s="7" t="s">
        <v>4765</v>
      </c>
      <c r="G179" s="7" t="s">
        <v>3121</v>
      </c>
      <c r="H179" s="7" t="s">
        <v>3178</v>
      </c>
      <c r="I179" s="7" t="s">
        <v>3230</v>
      </c>
      <c r="K179" s="7" t="str">
        <f t="shared" si="2"/>
        <v/>
      </c>
      <c r="L179" s="7" t="str">
        <f t="shared" si="3"/>
        <v/>
      </c>
      <c r="M179" s="7">
        <f t="shared" ref="M179:N179" si="184">IF(LEN(M$1),COUNTIF($G179:$I179,M$1),"")</f>
        <v>0</v>
      </c>
      <c r="N179" s="7" t="str">
        <f t="shared" si="184"/>
        <v/>
      </c>
      <c r="O179" s="7" t="str">
        <f t="shared" si="5"/>
        <v/>
      </c>
      <c r="P179" s="7">
        <f t="shared" si="108"/>
        <v>0</v>
      </c>
      <c r="Q179" s="7" t="str">
        <f t="shared" si="7"/>
        <v/>
      </c>
      <c r="R179" s="7" t="s">
        <v>1363</v>
      </c>
      <c r="S179" s="7">
        <v>5.0</v>
      </c>
      <c r="T179" s="7" t="s">
        <v>4771</v>
      </c>
    </row>
    <row r="180" ht="12.75" customHeight="1">
      <c r="A180" s="7">
        <v>179.0</v>
      </c>
      <c r="B180" s="7" t="s">
        <v>500</v>
      </c>
      <c r="C180" s="7" t="s">
        <v>4791</v>
      </c>
      <c r="D180" s="7"/>
      <c r="E180" s="7"/>
      <c r="F180" s="7" t="s">
        <v>4765</v>
      </c>
      <c r="G180" s="7" t="s">
        <v>3212</v>
      </c>
      <c r="H180" s="7" t="s">
        <v>3176</v>
      </c>
      <c r="I180" s="7" t="s">
        <v>3163</v>
      </c>
      <c r="K180" s="7" t="str">
        <f t="shared" si="2"/>
        <v/>
      </c>
      <c r="L180" s="7" t="str">
        <f t="shared" si="3"/>
        <v/>
      </c>
      <c r="M180" s="7">
        <f t="shared" ref="M180:N180" si="185">IF(LEN(M$1),COUNTIF($G180:$I180,M$1),"")</f>
        <v>0</v>
      </c>
      <c r="N180" s="7" t="str">
        <f t="shared" si="185"/>
        <v/>
      </c>
      <c r="O180" s="7" t="str">
        <f t="shared" si="5"/>
        <v/>
      </c>
      <c r="P180" s="7">
        <f t="shared" si="108"/>
        <v>0</v>
      </c>
      <c r="Q180" s="7" t="str">
        <f t="shared" si="7"/>
        <v/>
      </c>
      <c r="R180" s="7" t="s">
        <v>1424</v>
      </c>
      <c r="S180" s="7">
        <v>6.0</v>
      </c>
      <c r="T180" s="7" t="s">
        <v>4729</v>
      </c>
    </row>
    <row r="181" ht="12.75" customHeight="1">
      <c r="A181" s="7">
        <v>180.0</v>
      </c>
      <c r="B181" s="7" t="s">
        <v>500</v>
      </c>
      <c r="C181" s="7" t="s">
        <v>4791</v>
      </c>
      <c r="D181" s="7"/>
      <c r="E181" s="7"/>
      <c r="F181" s="7" t="s">
        <v>4765</v>
      </c>
      <c r="G181" s="7" t="s">
        <v>3115</v>
      </c>
      <c r="H181" s="7" t="s">
        <v>2904</v>
      </c>
      <c r="I181" s="7" t="s">
        <v>3075</v>
      </c>
      <c r="K181" s="7" t="str">
        <f t="shared" si="2"/>
        <v/>
      </c>
      <c r="L181" s="7" t="str">
        <f t="shared" si="3"/>
        <v/>
      </c>
      <c r="M181" s="7">
        <f t="shared" ref="M181:N181" si="186">IF(LEN(M$1),COUNTIF($G181:$I181,M$1),"")</f>
        <v>0</v>
      </c>
      <c r="N181" s="7" t="str">
        <f t="shared" si="186"/>
        <v/>
      </c>
      <c r="O181" s="7" t="str">
        <f t="shared" si="5"/>
        <v/>
      </c>
      <c r="P181" s="7">
        <f t="shared" si="108"/>
        <v>0</v>
      </c>
      <c r="Q181" s="7" t="str">
        <f t="shared" si="7"/>
        <v/>
      </c>
      <c r="R181" s="7" t="s">
        <v>857</v>
      </c>
      <c r="S181" s="7">
        <v>5.0</v>
      </c>
      <c r="T181" s="7" t="s">
        <v>4792</v>
      </c>
    </row>
    <row r="182" ht="12.75" customHeight="1">
      <c r="A182" s="7">
        <v>181.0</v>
      </c>
      <c r="B182" s="7" t="s">
        <v>508</v>
      </c>
      <c r="C182" s="7" t="s">
        <v>4791</v>
      </c>
      <c r="D182" s="7"/>
      <c r="E182" s="7"/>
      <c r="F182" s="7" t="s">
        <v>4765</v>
      </c>
      <c r="G182" s="7" t="s">
        <v>2627</v>
      </c>
      <c r="H182" s="7" t="s">
        <v>3251</v>
      </c>
      <c r="I182" s="7" t="s">
        <v>3226</v>
      </c>
      <c r="K182" s="7" t="str">
        <f t="shared" si="2"/>
        <v/>
      </c>
      <c r="L182" s="7" t="str">
        <f t="shared" si="3"/>
        <v/>
      </c>
      <c r="M182" s="7">
        <f t="shared" ref="M182:N182" si="187">IF(LEN(M$1),COUNTIF($G182:$I182,M$1),"")</f>
        <v>0</v>
      </c>
      <c r="N182" s="7" t="str">
        <f t="shared" si="187"/>
        <v/>
      </c>
      <c r="O182" s="7" t="str">
        <f t="shared" si="5"/>
        <v/>
      </c>
      <c r="P182" s="7">
        <f t="shared" si="108"/>
        <v>0</v>
      </c>
      <c r="Q182" s="7" t="str">
        <f t="shared" si="7"/>
        <v/>
      </c>
      <c r="R182" s="7" t="s">
        <v>961</v>
      </c>
      <c r="S182" s="7">
        <v>6.0</v>
      </c>
      <c r="T182" s="7" t="s">
        <v>4763</v>
      </c>
    </row>
    <row r="183" ht="12.75" customHeight="1">
      <c r="A183" s="7">
        <v>182.0</v>
      </c>
      <c r="B183" s="7" t="s">
        <v>508</v>
      </c>
      <c r="C183" s="7" t="s">
        <v>4791</v>
      </c>
      <c r="D183" s="7"/>
      <c r="E183" s="7"/>
      <c r="F183" s="7" t="s">
        <v>4765</v>
      </c>
      <c r="G183" s="7" t="s">
        <v>2715</v>
      </c>
      <c r="H183" s="7" t="s">
        <v>3155</v>
      </c>
      <c r="I183" s="7" t="s">
        <v>3119</v>
      </c>
      <c r="K183" s="7" t="str">
        <f t="shared" si="2"/>
        <v/>
      </c>
      <c r="L183" s="7" t="str">
        <f t="shared" si="3"/>
        <v/>
      </c>
      <c r="M183" s="7">
        <f t="shared" ref="M183:N183" si="188">IF(LEN(M$1),COUNTIF($G183:$I183,M$1),"")</f>
        <v>0</v>
      </c>
      <c r="N183" s="7" t="str">
        <f t="shared" si="188"/>
        <v/>
      </c>
      <c r="O183" s="7" t="str">
        <f t="shared" si="5"/>
        <v/>
      </c>
      <c r="P183" s="7">
        <f t="shared" si="108"/>
        <v>0</v>
      </c>
      <c r="Q183" s="7" t="str">
        <f t="shared" si="7"/>
        <v/>
      </c>
      <c r="R183" s="7" t="s">
        <v>2089</v>
      </c>
      <c r="S183" s="7">
        <v>7.0</v>
      </c>
      <c r="T183" s="7" t="s">
        <v>4750</v>
      </c>
    </row>
    <row r="184" ht="12.75" customHeight="1">
      <c r="A184" s="7">
        <v>183.0</v>
      </c>
      <c r="B184" s="7" t="s">
        <v>517</v>
      </c>
      <c r="C184" s="7" t="s">
        <v>4793</v>
      </c>
      <c r="D184" s="7"/>
      <c r="E184" s="7"/>
      <c r="F184" s="7" t="s">
        <v>4765</v>
      </c>
      <c r="G184" s="7" t="s">
        <v>3200</v>
      </c>
      <c r="H184" s="7" t="s">
        <v>3163</v>
      </c>
      <c r="I184" s="7" t="s">
        <v>3142</v>
      </c>
      <c r="K184" s="7" t="str">
        <f t="shared" si="2"/>
        <v/>
      </c>
      <c r="L184" s="7" t="str">
        <f t="shared" si="3"/>
        <v/>
      </c>
      <c r="M184" s="7">
        <f t="shared" ref="M184:N184" si="189">IF(LEN(M$1),COUNTIF($G184:$I184,M$1),"")</f>
        <v>0</v>
      </c>
      <c r="N184" s="7" t="str">
        <f t="shared" si="189"/>
        <v/>
      </c>
      <c r="O184" s="7" t="str">
        <f t="shared" si="5"/>
        <v/>
      </c>
      <c r="P184" s="7">
        <f t="shared" si="108"/>
        <v>0</v>
      </c>
      <c r="Q184" s="7" t="str">
        <f t="shared" si="7"/>
        <v/>
      </c>
      <c r="R184" s="7" t="s">
        <v>1933</v>
      </c>
      <c r="S184" s="7">
        <v>7.0</v>
      </c>
      <c r="T184" s="7" t="s">
        <v>4750</v>
      </c>
    </row>
    <row r="185" ht="12.75" customHeight="1">
      <c r="A185" s="7">
        <v>184.0</v>
      </c>
      <c r="B185" s="7" t="s">
        <v>307</v>
      </c>
      <c r="C185" s="7" t="s">
        <v>4793</v>
      </c>
      <c r="D185" s="7"/>
      <c r="E185" s="7"/>
      <c r="F185" s="7" t="s">
        <v>4765</v>
      </c>
      <c r="G185" s="7" t="s">
        <v>2721</v>
      </c>
      <c r="H185" s="7" t="s">
        <v>3200</v>
      </c>
      <c r="I185" s="7" t="s">
        <v>3243</v>
      </c>
      <c r="K185" s="7" t="str">
        <f t="shared" si="2"/>
        <v/>
      </c>
      <c r="L185" s="7" t="str">
        <f t="shared" si="3"/>
        <v/>
      </c>
      <c r="M185" s="7">
        <f t="shared" ref="M185:N185" si="190">IF(LEN(M$1),COUNTIF($G185:$I185,M$1),"")</f>
        <v>0</v>
      </c>
      <c r="N185" s="7" t="str">
        <f t="shared" si="190"/>
        <v/>
      </c>
      <c r="O185" s="7" t="str">
        <f t="shared" si="5"/>
        <v/>
      </c>
      <c r="P185" s="7">
        <f t="shared" si="108"/>
        <v>0</v>
      </c>
      <c r="Q185" s="7" t="str">
        <f t="shared" si="7"/>
        <v/>
      </c>
      <c r="R185" s="7" t="s">
        <v>1680</v>
      </c>
      <c r="S185" s="7">
        <v>11.0</v>
      </c>
      <c r="T185" s="7" t="s">
        <v>4794</v>
      </c>
    </row>
    <row r="186" ht="12.75" customHeight="1">
      <c r="A186" s="7">
        <v>185.0</v>
      </c>
      <c r="B186" s="7" t="s">
        <v>530</v>
      </c>
      <c r="C186" s="7" t="s">
        <v>4795</v>
      </c>
      <c r="D186" s="7"/>
      <c r="E186" s="7"/>
      <c r="F186" s="7" t="s">
        <v>4765</v>
      </c>
      <c r="G186" s="7" t="s">
        <v>2591</v>
      </c>
      <c r="H186" s="7" t="s">
        <v>3212</v>
      </c>
      <c r="I186" s="7" t="s">
        <v>3230</v>
      </c>
      <c r="K186" s="7" t="str">
        <f t="shared" si="2"/>
        <v/>
      </c>
      <c r="L186" s="7" t="str">
        <f t="shared" si="3"/>
        <v/>
      </c>
      <c r="M186" s="7">
        <f t="shared" ref="M186:N186" si="191">IF(LEN(M$1),COUNTIF($G186:$I186,M$1),"")</f>
        <v>0</v>
      </c>
      <c r="N186" s="7" t="str">
        <f t="shared" si="191"/>
        <v/>
      </c>
      <c r="O186" s="7" t="str">
        <f t="shared" si="5"/>
        <v/>
      </c>
      <c r="P186" s="7">
        <f t="shared" si="108"/>
        <v>0</v>
      </c>
      <c r="Q186" s="7" t="str">
        <f t="shared" si="7"/>
        <v/>
      </c>
      <c r="R186" s="7" t="s">
        <v>2146</v>
      </c>
      <c r="S186" s="7">
        <v>8.0</v>
      </c>
      <c r="T186" s="7" t="s">
        <v>4704</v>
      </c>
    </row>
    <row r="187" ht="12.75" customHeight="1">
      <c r="A187" s="7">
        <v>186.0</v>
      </c>
      <c r="B187" s="7" t="s">
        <v>530</v>
      </c>
      <c r="C187" s="7" t="s">
        <v>4795</v>
      </c>
      <c r="D187" s="7"/>
      <c r="E187" s="7"/>
      <c r="F187" s="7" t="s">
        <v>4765</v>
      </c>
      <c r="G187" s="7" t="s">
        <v>3190</v>
      </c>
      <c r="H187" s="7" t="s">
        <v>3166</v>
      </c>
      <c r="I187" s="7" t="s">
        <v>3258</v>
      </c>
      <c r="K187" s="7" t="str">
        <f t="shared" si="2"/>
        <v/>
      </c>
      <c r="L187" s="7" t="str">
        <f t="shared" si="3"/>
        <v/>
      </c>
      <c r="M187" s="7">
        <f t="shared" ref="M187:N187" si="192">IF(LEN(M$1),COUNTIF($G187:$I187,M$1),"")</f>
        <v>0</v>
      </c>
      <c r="N187" s="7" t="str">
        <f t="shared" si="192"/>
        <v/>
      </c>
      <c r="O187" s="7" t="str">
        <f t="shared" si="5"/>
        <v/>
      </c>
      <c r="P187" s="7">
        <f t="shared" si="108"/>
        <v>0</v>
      </c>
      <c r="Q187" s="7" t="str">
        <f t="shared" si="7"/>
        <v/>
      </c>
      <c r="R187" s="7" t="s">
        <v>2218</v>
      </c>
      <c r="S187" s="7">
        <v>9.0</v>
      </c>
      <c r="T187" s="7" t="s">
        <v>4760</v>
      </c>
    </row>
    <row r="188" ht="12.75" customHeight="1">
      <c r="A188" s="7">
        <v>187.0</v>
      </c>
      <c r="B188" s="7" t="s">
        <v>537</v>
      </c>
      <c r="C188" s="7" t="s">
        <v>4795</v>
      </c>
      <c r="D188" s="7"/>
      <c r="E188" s="7"/>
      <c r="F188" s="7" t="s">
        <v>4765</v>
      </c>
      <c r="G188" s="7" t="s">
        <v>3195</v>
      </c>
      <c r="H188" s="7" t="s">
        <v>2898</v>
      </c>
      <c r="I188" s="7" t="s">
        <v>3100</v>
      </c>
      <c r="K188" s="7" t="str">
        <f t="shared" si="2"/>
        <v/>
      </c>
      <c r="L188" s="7" t="str">
        <f t="shared" si="3"/>
        <v/>
      </c>
      <c r="M188" s="7">
        <f t="shared" ref="M188:N188" si="193">IF(LEN(M$1),COUNTIF($G188:$I188,M$1),"")</f>
        <v>0</v>
      </c>
      <c r="N188" s="7" t="str">
        <f t="shared" si="193"/>
        <v/>
      </c>
      <c r="O188" s="7" t="str">
        <f t="shared" si="5"/>
        <v/>
      </c>
      <c r="P188" s="7">
        <f t="shared" si="108"/>
        <v>0</v>
      </c>
      <c r="Q188" s="7" t="str">
        <f t="shared" si="7"/>
        <v/>
      </c>
      <c r="R188" s="7" t="s">
        <v>2189</v>
      </c>
      <c r="S188" s="7">
        <v>14.0</v>
      </c>
      <c r="T188" s="7" t="s">
        <v>4796</v>
      </c>
    </row>
    <row r="189" ht="12.75" customHeight="1">
      <c r="A189" s="7">
        <v>188.0</v>
      </c>
      <c r="B189" s="7" t="s">
        <v>545</v>
      </c>
      <c r="C189" s="7" t="s">
        <v>4797</v>
      </c>
      <c r="D189" s="7"/>
      <c r="E189" s="7"/>
      <c r="F189" s="7" t="s">
        <v>4765</v>
      </c>
      <c r="G189" s="7" t="s">
        <v>3115</v>
      </c>
      <c r="H189" s="7" t="s">
        <v>3166</v>
      </c>
      <c r="I189" s="7" t="s">
        <v>3142</v>
      </c>
      <c r="K189" s="7" t="str">
        <f t="shared" si="2"/>
        <v/>
      </c>
      <c r="L189" s="7" t="str">
        <f t="shared" si="3"/>
        <v/>
      </c>
      <c r="M189" s="7">
        <f t="shared" ref="M189:N189" si="194">IF(LEN(M$1),COUNTIF($G189:$I189,M$1),"")</f>
        <v>0</v>
      </c>
      <c r="N189" s="7" t="str">
        <f t="shared" si="194"/>
        <v/>
      </c>
      <c r="O189" s="7" t="str">
        <f t="shared" si="5"/>
        <v/>
      </c>
      <c r="P189" s="7">
        <f t="shared" si="108"/>
        <v>0</v>
      </c>
      <c r="Q189" s="7" t="str">
        <f t="shared" si="7"/>
        <v/>
      </c>
      <c r="R189" s="7" t="s">
        <v>2225</v>
      </c>
      <c r="S189" s="7">
        <v>10.0</v>
      </c>
      <c r="T189" s="7" t="s">
        <v>4734</v>
      </c>
    </row>
    <row r="190" ht="12.75" customHeight="1">
      <c r="A190" s="7">
        <v>189.0</v>
      </c>
      <c r="B190" s="7" t="s">
        <v>545</v>
      </c>
      <c r="C190" s="7" t="s">
        <v>4797</v>
      </c>
      <c r="D190" s="7"/>
      <c r="E190" s="7"/>
      <c r="F190" s="7" t="s">
        <v>4765</v>
      </c>
      <c r="G190" s="7" t="s">
        <v>2633</v>
      </c>
      <c r="H190" s="7" t="s">
        <v>3187</v>
      </c>
      <c r="I190" s="7" t="s">
        <v>3276</v>
      </c>
      <c r="K190" s="7" t="str">
        <f t="shared" si="2"/>
        <v/>
      </c>
      <c r="L190" s="7" t="str">
        <f t="shared" si="3"/>
        <v/>
      </c>
      <c r="M190" s="7">
        <f t="shared" ref="M190:N190" si="195">IF(LEN(M$1),COUNTIF($G190:$I190,M$1),"")</f>
        <v>0</v>
      </c>
      <c r="N190" s="7" t="str">
        <f t="shared" si="195"/>
        <v/>
      </c>
      <c r="O190" s="7" t="str">
        <f t="shared" si="5"/>
        <v/>
      </c>
      <c r="P190" s="7">
        <f t="shared" si="108"/>
        <v>0</v>
      </c>
      <c r="Q190" s="7" t="str">
        <f t="shared" si="7"/>
        <v/>
      </c>
      <c r="R190" s="7" t="s">
        <v>438</v>
      </c>
      <c r="S190" s="7">
        <v>6.0</v>
      </c>
      <c r="T190" s="7" t="s">
        <v>4709</v>
      </c>
    </row>
    <row r="191" ht="12.75" customHeight="1">
      <c r="A191" s="7">
        <v>190.0</v>
      </c>
      <c r="B191" s="7" t="s">
        <v>553</v>
      </c>
      <c r="C191" s="7" t="s">
        <v>4797</v>
      </c>
      <c r="D191" s="7"/>
      <c r="E191" s="7"/>
      <c r="F191" s="7" t="s">
        <v>4765</v>
      </c>
      <c r="G191" s="7" t="s">
        <v>2577</v>
      </c>
      <c r="H191" s="7" t="s">
        <v>3127</v>
      </c>
      <c r="I191" s="7" t="s">
        <v>3155</v>
      </c>
      <c r="K191" s="7" t="str">
        <f t="shared" si="2"/>
        <v/>
      </c>
      <c r="L191" s="7" t="str">
        <f t="shared" si="3"/>
        <v/>
      </c>
      <c r="M191" s="7">
        <f t="shared" ref="M191:N191" si="196">IF(LEN(M$1),COUNTIF($G191:$I191,M$1),"")</f>
        <v>0</v>
      </c>
      <c r="N191" s="7" t="str">
        <f t="shared" si="196"/>
        <v/>
      </c>
      <c r="O191" s="7" t="str">
        <f t="shared" si="5"/>
        <v/>
      </c>
      <c r="P191" s="7">
        <f t="shared" si="108"/>
        <v>0</v>
      </c>
      <c r="Q191" s="7" t="str">
        <f t="shared" si="7"/>
        <v/>
      </c>
      <c r="R191" s="7" t="s">
        <v>704</v>
      </c>
      <c r="S191" s="7">
        <v>5.0</v>
      </c>
      <c r="T191" s="7" t="s">
        <v>4715</v>
      </c>
    </row>
    <row r="192" ht="12.75" customHeight="1">
      <c r="A192" s="7">
        <v>191.0</v>
      </c>
      <c r="B192" s="7" t="s">
        <v>560</v>
      </c>
      <c r="C192" s="7" t="s">
        <v>4797</v>
      </c>
      <c r="D192" s="7"/>
      <c r="E192" s="7"/>
      <c r="F192" s="7" t="s">
        <v>4765</v>
      </c>
      <c r="G192" s="7" t="s">
        <v>3237</v>
      </c>
      <c r="H192" s="7" t="s">
        <v>3276</v>
      </c>
      <c r="I192" s="7" t="s">
        <v>3153</v>
      </c>
      <c r="K192" s="7" t="str">
        <f t="shared" si="2"/>
        <v/>
      </c>
      <c r="L192" s="7" t="str">
        <f t="shared" si="3"/>
        <v/>
      </c>
      <c r="M192" s="7">
        <f t="shared" ref="M192:N192" si="197">IF(LEN(M$1),COUNTIF($G192:$I192,M$1),"")</f>
        <v>0</v>
      </c>
      <c r="N192" s="7" t="str">
        <f t="shared" si="197"/>
        <v/>
      </c>
      <c r="O192" s="7" t="str">
        <f t="shared" si="5"/>
        <v/>
      </c>
      <c r="P192" s="7">
        <f t="shared" si="108"/>
        <v>0</v>
      </c>
      <c r="Q192" s="7" t="str">
        <f t="shared" si="7"/>
        <v/>
      </c>
      <c r="R192" s="7" t="s">
        <v>652</v>
      </c>
      <c r="S192" s="7">
        <v>8.0</v>
      </c>
      <c r="T192" s="7" t="s">
        <v>4773</v>
      </c>
    </row>
    <row r="193" ht="12.75" customHeight="1">
      <c r="A193" s="7">
        <v>192.0</v>
      </c>
      <c r="B193" s="7" t="s">
        <v>560</v>
      </c>
      <c r="C193" s="7" t="s">
        <v>4797</v>
      </c>
      <c r="D193" s="7"/>
      <c r="E193" s="7"/>
      <c r="F193" s="7" t="s">
        <v>4765</v>
      </c>
      <c r="G193" s="7" t="s">
        <v>3187</v>
      </c>
      <c r="H193" s="7" t="s">
        <v>3280</v>
      </c>
      <c r="I193" s="7" t="s">
        <v>3204</v>
      </c>
      <c r="K193" s="7" t="str">
        <f t="shared" si="2"/>
        <v/>
      </c>
      <c r="L193" s="7" t="str">
        <f t="shared" si="3"/>
        <v/>
      </c>
      <c r="M193" s="7">
        <f t="shared" ref="M193:N193" si="198">IF(LEN(M$1),COUNTIF($G193:$I193,M$1),"")</f>
        <v>0</v>
      </c>
      <c r="N193" s="7" t="str">
        <f t="shared" si="198"/>
        <v/>
      </c>
      <c r="O193" s="7" t="str">
        <f t="shared" si="5"/>
        <v/>
      </c>
      <c r="P193" s="7">
        <f t="shared" si="108"/>
        <v>0</v>
      </c>
      <c r="Q193" s="7" t="str">
        <f t="shared" si="7"/>
        <v/>
      </c>
      <c r="R193" s="7" t="s">
        <v>1941</v>
      </c>
      <c r="S193" s="7">
        <v>10.0</v>
      </c>
      <c r="T193" s="7" t="s">
        <v>4734</v>
      </c>
    </row>
    <row r="194" ht="12.75" customHeight="1">
      <c r="A194" s="7">
        <v>193.0</v>
      </c>
      <c r="B194" s="7" t="s">
        <v>557</v>
      </c>
      <c r="C194" s="7" t="s">
        <v>4798</v>
      </c>
      <c r="D194" s="7"/>
      <c r="E194" s="7"/>
      <c r="F194" s="7" t="s">
        <v>4765</v>
      </c>
      <c r="G194" s="7" t="s">
        <v>2591</v>
      </c>
      <c r="H194" s="7" t="s">
        <v>3266</v>
      </c>
      <c r="I194" s="7" t="s">
        <v>3132</v>
      </c>
      <c r="K194" s="7" t="str">
        <f t="shared" si="2"/>
        <v/>
      </c>
      <c r="L194" s="7" t="str">
        <f t="shared" si="3"/>
        <v/>
      </c>
      <c r="M194" s="7">
        <f t="shared" ref="M194:N194" si="199">IF(LEN(M$1),COUNTIF($G194:$I194,M$1),"")</f>
        <v>0</v>
      </c>
      <c r="N194" s="7" t="str">
        <f t="shared" si="199"/>
        <v/>
      </c>
      <c r="O194" s="7" t="str">
        <f t="shared" si="5"/>
        <v/>
      </c>
      <c r="P194" s="7">
        <f t="shared" si="108"/>
        <v>0</v>
      </c>
      <c r="Q194" s="7" t="str">
        <f t="shared" si="7"/>
        <v/>
      </c>
      <c r="R194" s="7" t="s">
        <v>597</v>
      </c>
      <c r="S194" s="7">
        <v>6.0</v>
      </c>
      <c r="T194" s="7" t="s">
        <v>4709</v>
      </c>
    </row>
    <row r="195" ht="12.75" customHeight="1">
      <c r="A195" s="7">
        <v>194.0</v>
      </c>
      <c r="B195" s="7" t="s">
        <v>572</v>
      </c>
      <c r="C195" s="7" t="s">
        <v>4798</v>
      </c>
      <c r="D195" s="7"/>
      <c r="E195" s="7"/>
      <c r="F195" s="7" t="s">
        <v>4765</v>
      </c>
      <c r="G195" s="7" t="s">
        <v>3170</v>
      </c>
      <c r="H195" s="7" t="s">
        <v>2914</v>
      </c>
      <c r="I195" s="7" t="s">
        <v>2998</v>
      </c>
      <c r="K195" s="7" t="str">
        <f t="shared" si="2"/>
        <v/>
      </c>
      <c r="L195" s="7" t="str">
        <f t="shared" si="3"/>
        <v/>
      </c>
      <c r="M195" s="7">
        <f t="shared" ref="M195:N195" si="200">IF(LEN(M$1),COUNTIF($G195:$I195,M$1),"")</f>
        <v>0</v>
      </c>
      <c r="N195" s="7" t="str">
        <f t="shared" si="200"/>
        <v/>
      </c>
      <c r="O195" s="7" t="str">
        <f t="shared" si="5"/>
        <v/>
      </c>
      <c r="P195" s="7">
        <f t="shared" si="108"/>
        <v>0</v>
      </c>
      <c r="Q195" s="7" t="str">
        <f t="shared" si="7"/>
        <v/>
      </c>
      <c r="R195" s="7" t="s">
        <v>1214</v>
      </c>
      <c r="S195" s="7">
        <v>6.0</v>
      </c>
      <c r="T195" s="7" t="s">
        <v>4706</v>
      </c>
    </row>
    <row r="196" ht="12.75" customHeight="1">
      <c r="A196" s="7">
        <v>195.0</v>
      </c>
      <c r="B196" s="7" t="s">
        <v>580</v>
      </c>
      <c r="C196" s="7" t="s">
        <v>4798</v>
      </c>
      <c r="D196" s="7"/>
      <c r="E196" s="7"/>
      <c r="F196" s="7" t="s">
        <v>4765</v>
      </c>
      <c r="G196" s="7" t="s">
        <v>3132</v>
      </c>
      <c r="H196" s="7" t="s">
        <v>3153</v>
      </c>
      <c r="I196" s="7" t="s">
        <v>3115</v>
      </c>
      <c r="K196" s="7" t="str">
        <f t="shared" si="2"/>
        <v/>
      </c>
      <c r="L196" s="7" t="str">
        <f t="shared" si="3"/>
        <v/>
      </c>
      <c r="M196" s="7">
        <f t="shared" ref="M196:N196" si="201">IF(LEN(M$1),COUNTIF($G196:$I196,M$1),"")</f>
        <v>0</v>
      </c>
      <c r="N196" s="7" t="str">
        <f t="shared" si="201"/>
        <v/>
      </c>
      <c r="O196" s="7" t="str">
        <f t="shared" si="5"/>
        <v/>
      </c>
      <c r="P196" s="7">
        <f t="shared" si="108"/>
        <v>0</v>
      </c>
      <c r="Q196" s="7" t="str">
        <f t="shared" si="7"/>
        <v/>
      </c>
      <c r="R196" s="7" t="s">
        <v>865</v>
      </c>
      <c r="S196" s="7">
        <v>5.0</v>
      </c>
      <c r="T196" s="7" t="s">
        <v>4799</v>
      </c>
    </row>
    <row r="197" ht="12.75" customHeight="1">
      <c r="A197" s="7">
        <v>196.0</v>
      </c>
      <c r="B197" s="7" t="s">
        <v>580</v>
      </c>
      <c r="C197" s="7" t="s">
        <v>4798</v>
      </c>
      <c r="D197" s="7"/>
      <c r="E197" s="7"/>
      <c r="F197" s="7" t="s">
        <v>4765</v>
      </c>
      <c r="G197" s="7" t="s">
        <v>3208</v>
      </c>
      <c r="H197" s="7" t="s">
        <v>2918</v>
      </c>
      <c r="I197" s="7" t="s">
        <v>2991</v>
      </c>
      <c r="K197" s="7" t="str">
        <f t="shared" si="2"/>
        <v/>
      </c>
      <c r="L197" s="7" t="str">
        <f t="shared" si="3"/>
        <v/>
      </c>
      <c r="M197" s="7">
        <f t="shared" ref="M197:N197" si="202">IF(LEN(M$1),COUNTIF($G197:$I197,M$1),"")</f>
        <v>0</v>
      </c>
      <c r="N197" s="7" t="str">
        <f t="shared" si="202"/>
        <v/>
      </c>
      <c r="O197" s="7" t="str">
        <f t="shared" si="5"/>
        <v/>
      </c>
      <c r="P197" s="7">
        <f t="shared" si="108"/>
        <v>0</v>
      </c>
      <c r="Q197" s="7" t="str">
        <f t="shared" si="7"/>
        <v/>
      </c>
      <c r="R197" s="7" t="s">
        <v>989</v>
      </c>
      <c r="S197" s="7">
        <v>5.0</v>
      </c>
      <c r="T197" s="7" t="s">
        <v>4800</v>
      </c>
    </row>
    <row r="198" ht="12.75" customHeight="1">
      <c r="A198" s="7">
        <v>197.0</v>
      </c>
      <c r="B198" s="7" t="s">
        <v>589</v>
      </c>
      <c r="C198" s="7" t="s">
        <v>4801</v>
      </c>
      <c r="D198" s="7"/>
      <c r="E198" s="7"/>
      <c r="F198" s="7" t="s">
        <v>4765</v>
      </c>
      <c r="G198" s="7" t="s">
        <v>3149</v>
      </c>
      <c r="H198" s="7" t="s">
        <v>2861</v>
      </c>
      <c r="I198" s="7" t="s">
        <v>2963</v>
      </c>
      <c r="K198" s="7" t="str">
        <f t="shared" si="2"/>
        <v/>
      </c>
      <c r="L198" s="7" t="str">
        <f t="shared" si="3"/>
        <v/>
      </c>
      <c r="M198" s="7">
        <f t="shared" ref="M198:N198" si="203">IF(LEN(M$1),COUNTIF($G198:$I198,M$1),"")</f>
        <v>0</v>
      </c>
      <c r="N198" s="7" t="str">
        <f t="shared" si="203"/>
        <v/>
      </c>
      <c r="O198" s="7" t="str">
        <f t="shared" si="5"/>
        <v/>
      </c>
      <c r="P198" s="7">
        <f t="shared" si="108"/>
        <v>0</v>
      </c>
      <c r="Q198" s="7" t="str">
        <f t="shared" si="7"/>
        <v/>
      </c>
      <c r="R198" s="7" t="s">
        <v>2005</v>
      </c>
      <c r="S198" s="7">
        <v>10.0</v>
      </c>
      <c r="T198" s="7" t="s">
        <v>4734</v>
      </c>
    </row>
    <row r="199" ht="12.75" customHeight="1">
      <c r="A199" s="7">
        <v>198.0</v>
      </c>
      <c r="B199" s="7" t="s">
        <v>589</v>
      </c>
      <c r="C199" s="7" t="s">
        <v>4801</v>
      </c>
      <c r="D199" s="7"/>
      <c r="E199" s="7"/>
      <c r="F199" s="7" t="s">
        <v>4765</v>
      </c>
      <c r="G199" s="7" t="s">
        <v>3212</v>
      </c>
      <c r="H199" s="7" t="s">
        <v>3119</v>
      </c>
      <c r="I199" s="7" t="s">
        <v>3241</v>
      </c>
      <c r="K199" s="7" t="str">
        <f t="shared" si="2"/>
        <v/>
      </c>
      <c r="L199" s="7" t="str">
        <f t="shared" si="3"/>
        <v/>
      </c>
      <c r="M199" s="7">
        <f t="shared" ref="M199:N199" si="204">IF(LEN(M$1),COUNTIF($G199:$I199,M$1),"")</f>
        <v>0</v>
      </c>
      <c r="N199" s="7" t="str">
        <f t="shared" si="204"/>
        <v/>
      </c>
      <c r="O199" s="7" t="str">
        <f t="shared" si="5"/>
        <v/>
      </c>
      <c r="P199" s="7">
        <f t="shared" si="108"/>
        <v>0</v>
      </c>
      <c r="Q199" s="7" t="str">
        <f t="shared" si="7"/>
        <v/>
      </c>
      <c r="R199" s="7" t="s">
        <v>1864</v>
      </c>
      <c r="S199" s="7">
        <v>12.0</v>
      </c>
      <c r="T199" s="7" t="s">
        <v>4802</v>
      </c>
    </row>
    <row r="200" ht="12.75" customHeight="1">
      <c r="A200" s="7">
        <v>199.0</v>
      </c>
      <c r="B200" s="7" t="s">
        <v>597</v>
      </c>
      <c r="C200" s="7" t="s">
        <v>4801</v>
      </c>
      <c r="D200" s="7"/>
      <c r="E200" s="7"/>
      <c r="F200" s="7" t="s">
        <v>4765</v>
      </c>
      <c r="G200" s="7" t="s">
        <v>2721</v>
      </c>
      <c r="H200" s="7" t="s">
        <v>3218</v>
      </c>
      <c r="I200" s="7" t="s">
        <v>3243</v>
      </c>
      <c r="K200" s="7" t="str">
        <f t="shared" si="2"/>
        <v/>
      </c>
      <c r="L200" s="7" t="str">
        <f t="shared" si="3"/>
        <v/>
      </c>
      <c r="M200" s="7">
        <f t="shared" ref="M200:N200" si="205">IF(LEN(M$1),COUNTIF($G200:$I200,M$1),"")</f>
        <v>0</v>
      </c>
      <c r="N200" s="7" t="str">
        <f t="shared" si="205"/>
        <v/>
      </c>
      <c r="O200" s="7" t="str">
        <f t="shared" si="5"/>
        <v/>
      </c>
      <c r="P200" s="7">
        <f t="shared" si="108"/>
        <v>0</v>
      </c>
      <c r="Q200" s="7" t="str">
        <f t="shared" si="7"/>
        <v/>
      </c>
      <c r="R200" s="7" t="s">
        <v>1433</v>
      </c>
      <c r="S200" s="7">
        <v>6.0</v>
      </c>
      <c r="T200" s="7" t="s">
        <v>4729</v>
      </c>
    </row>
    <row r="201" ht="12.75" customHeight="1">
      <c r="A201" s="7">
        <v>200.0</v>
      </c>
      <c r="B201" s="7" t="s">
        <v>597</v>
      </c>
      <c r="C201" s="7" t="s">
        <v>4801</v>
      </c>
      <c r="D201" s="7"/>
      <c r="E201" s="7"/>
      <c r="F201" s="7" t="s">
        <v>4765</v>
      </c>
      <c r="G201" s="7" t="s">
        <v>3237</v>
      </c>
      <c r="H201" s="7" t="s">
        <v>3270</v>
      </c>
      <c r="I201" s="7" t="s">
        <v>3223</v>
      </c>
      <c r="K201" s="7" t="str">
        <f t="shared" si="2"/>
        <v/>
      </c>
      <c r="L201" s="7" t="str">
        <f t="shared" si="3"/>
        <v/>
      </c>
      <c r="M201" s="7">
        <f t="shared" ref="M201:N201" si="206">IF(LEN(M$1),COUNTIF($G201:$I201,M$1),"")</f>
        <v>0</v>
      </c>
      <c r="N201" s="7" t="str">
        <f t="shared" si="206"/>
        <v/>
      </c>
      <c r="O201" s="7" t="str">
        <f t="shared" si="5"/>
        <v/>
      </c>
      <c r="P201" s="7">
        <f t="shared" si="108"/>
        <v>0</v>
      </c>
      <c r="Q201" s="7" t="str">
        <f t="shared" si="7"/>
        <v/>
      </c>
      <c r="R201" s="7" t="s">
        <v>1066</v>
      </c>
      <c r="S201" s="7">
        <v>4.0</v>
      </c>
      <c r="T201" s="7" t="s">
        <v>4722</v>
      </c>
    </row>
    <row r="202" ht="12.75" customHeight="1">
      <c r="A202" s="7">
        <v>201.0</v>
      </c>
      <c r="B202" s="7" t="s">
        <v>334</v>
      </c>
      <c r="C202" s="7" t="s">
        <v>4775</v>
      </c>
      <c r="D202" s="7"/>
      <c r="E202" s="7"/>
      <c r="F202" s="7" t="s">
        <v>4803</v>
      </c>
      <c r="G202" s="7" t="s">
        <v>3358</v>
      </c>
      <c r="H202" s="7" t="s">
        <v>3309</v>
      </c>
      <c r="I202" s="7" t="s">
        <v>3303</v>
      </c>
      <c r="K202" s="7" t="str">
        <f t="shared" si="2"/>
        <v/>
      </c>
      <c r="L202" s="7" t="str">
        <f t="shared" si="3"/>
        <v/>
      </c>
      <c r="M202" s="7">
        <f t="shared" ref="M202:N202" si="207">IF(LEN(M$1),COUNTIF($G202:$I202,M$1),"")</f>
        <v>0</v>
      </c>
      <c r="N202" s="7" t="str">
        <f t="shared" si="207"/>
        <v/>
      </c>
      <c r="O202" s="7" t="str">
        <f t="shared" si="5"/>
        <v/>
      </c>
      <c r="P202" s="7">
        <f t="shared" ref="P202:P301" si="209">IF(LEN(P$1),IF(P$1=3,1,0),"")</f>
        <v>0</v>
      </c>
      <c r="Q202" s="7" t="str">
        <f t="shared" si="7"/>
        <v/>
      </c>
      <c r="R202" s="7" t="s">
        <v>1614</v>
      </c>
      <c r="S202" s="7">
        <v>5.0</v>
      </c>
      <c r="T202" s="7" t="s">
        <v>4747</v>
      </c>
    </row>
    <row r="203" ht="12.75" customHeight="1">
      <c r="A203" s="7">
        <v>202.0</v>
      </c>
      <c r="B203" s="7" t="s">
        <v>342</v>
      </c>
      <c r="C203" s="7" t="s">
        <v>4775</v>
      </c>
      <c r="D203" s="7"/>
      <c r="E203" s="7"/>
      <c r="F203" s="7" t="s">
        <v>4803</v>
      </c>
      <c r="G203" s="7" t="s">
        <v>3276</v>
      </c>
      <c r="H203" s="7" t="s">
        <v>3402</v>
      </c>
      <c r="I203" s="7" t="s">
        <v>3383</v>
      </c>
      <c r="K203" s="7" t="str">
        <f t="shared" si="2"/>
        <v/>
      </c>
      <c r="L203" s="7" t="str">
        <f t="shared" si="3"/>
        <v/>
      </c>
      <c r="M203" s="7">
        <f t="shared" ref="M203:N203" si="208">IF(LEN(M$1),COUNTIF($G203:$I203,M$1),"")</f>
        <v>0</v>
      </c>
      <c r="N203" s="7" t="str">
        <f t="shared" si="208"/>
        <v/>
      </c>
      <c r="O203" s="7" t="str">
        <f t="shared" si="5"/>
        <v/>
      </c>
      <c r="P203" s="7">
        <f t="shared" si="209"/>
        <v>0</v>
      </c>
      <c r="Q203" s="7" t="str">
        <f t="shared" si="7"/>
        <v/>
      </c>
      <c r="R203" s="7" t="s">
        <v>105</v>
      </c>
      <c r="S203" s="7">
        <v>8.0</v>
      </c>
      <c r="T203" s="7" t="s">
        <v>4705</v>
      </c>
    </row>
    <row r="204" ht="12.75" customHeight="1">
      <c r="A204" s="7">
        <v>203.0</v>
      </c>
      <c r="B204" s="7" t="s">
        <v>351</v>
      </c>
      <c r="C204" s="7" t="s">
        <v>4775</v>
      </c>
      <c r="D204" s="7"/>
      <c r="E204" s="7"/>
      <c r="F204" s="7" t="s">
        <v>4803</v>
      </c>
      <c r="G204" s="7" t="s">
        <v>3358</v>
      </c>
      <c r="H204" s="7" t="s">
        <v>3365</v>
      </c>
      <c r="I204" s="7" t="s">
        <v>3305</v>
      </c>
      <c r="K204" s="7" t="str">
        <f t="shared" si="2"/>
        <v/>
      </c>
      <c r="L204" s="7" t="str">
        <f t="shared" si="3"/>
        <v/>
      </c>
      <c r="M204" s="7">
        <f t="shared" ref="M204:N204" si="210">IF(LEN(M$1),COUNTIF($G204:$I204,M$1),"")</f>
        <v>0</v>
      </c>
      <c r="N204" s="7" t="str">
        <f t="shared" si="210"/>
        <v/>
      </c>
      <c r="O204" s="7" t="str">
        <f t="shared" si="5"/>
        <v/>
      </c>
      <c r="P204" s="7">
        <f t="shared" si="209"/>
        <v>0</v>
      </c>
      <c r="Q204" s="7" t="str">
        <f t="shared" si="7"/>
        <v/>
      </c>
      <c r="R204" s="7" t="s">
        <v>1057</v>
      </c>
      <c r="S204" s="7">
        <v>7.0</v>
      </c>
      <c r="T204" s="7" t="s">
        <v>4733</v>
      </c>
    </row>
    <row r="205" ht="12.75" customHeight="1">
      <c r="A205" s="7">
        <v>204.0</v>
      </c>
      <c r="B205" s="7" t="s">
        <v>359</v>
      </c>
      <c r="C205" s="7" t="s">
        <v>4778</v>
      </c>
      <c r="D205" s="7"/>
      <c r="E205" s="7"/>
      <c r="F205" s="7" t="s">
        <v>4803</v>
      </c>
      <c r="G205" s="7" t="s">
        <v>3362</v>
      </c>
      <c r="H205" s="7" t="s">
        <v>3333</v>
      </c>
      <c r="I205" s="7" t="s">
        <v>3420</v>
      </c>
      <c r="K205" s="7" t="str">
        <f t="shared" si="2"/>
        <v/>
      </c>
      <c r="L205" s="7" t="str">
        <f t="shared" si="3"/>
        <v/>
      </c>
      <c r="M205" s="7">
        <f t="shared" ref="M205:N205" si="211">IF(LEN(M$1),COUNTIF($G205:$I205,M$1),"")</f>
        <v>0</v>
      </c>
      <c r="N205" s="7" t="str">
        <f t="shared" si="211"/>
        <v/>
      </c>
      <c r="O205" s="7" t="str">
        <f t="shared" si="5"/>
        <v/>
      </c>
      <c r="P205" s="7">
        <f t="shared" si="209"/>
        <v>0</v>
      </c>
      <c r="Q205" s="7" t="str">
        <f t="shared" si="7"/>
        <v/>
      </c>
      <c r="R205" s="7" t="s">
        <v>2203</v>
      </c>
      <c r="S205" s="7">
        <v>12.0</v>
      </c>
      <c r="T205" s="7" t="s">
        <v>4708</v>
      </c>
    </row>
    <row r="206" ht="12.75" customHeight="1">
      <c r="A206" s="7">
        <v>205.0</v>
      </c>
      <c r="B206" s="7" t="s">
        <v>368</v>
      </c>
      <c r="C206" s="7" t="s">
        <v>4778</v>
      </c>
      <c r="D206" s="7"/>
      <c r="E206" s="7"/>
      <c r="F206" s="7" t="s">
        <v>4803</v>
      </c>
      <c r="G206" s="7" t="s">
        <v>3153</v>
      </c>
      <c r="H206" s="7" t="s">
        <v>3355</v>
      </c>
      <c r="I206" s="7" t="s">
        <v>3345</v>
      </c>
      <c r="K206" s="7" t="str">
        <f t="shared" si="2"/>
        <v/>
      </c>
      <c r="L206" s="7" t="str">
        <f t="shared" si="3"/>
        <v/>
      </c>
      <c r="M206" s="7">
        <f t="shared" ref="M206:N206" si="212">IF(LEN(M$1),COUNTIF($G206:$I206,M$1),"")</f>
        <v>0</v>
      </c>
      <c r="N206" s="7" t="str">
        <f t="shared" si="212"/>
        <v/>
      </c>
      <c r="O206" s="7" t="str">
        <f t="shared" si="5"/>
        <v/>
      </c>
      <c r="P206" s="7">
        <f t="shared" si="209"/>
        <v>0</v>
      </c>
      <c r="Q206" s="7" t="str">
        <f t="shared" si="7"/>
        <v/>
      </c>
      <c r="R206" s="7" t="s">
        <v>1600</v>
      </c>
      <c r="S206" s="7">
        <v>6.0</v>
      </c>
      <c r="T206" s="7" t="s">
        <v>4729</v>
      </c>
    </row>
    <row r="207" ht="12.75" customHeight="1">
      <c r="A207" s="7">
        <v>206.0</v>
      </c>
      <c r="B207" s="7" t="s">
        <v>375</v>
      </c>
      <c r="C207" s="7" t="s">
        <v>4778</v>
      </c>
      <c r="D207" s="7"/>
      <c r="E207" s="7"/>
      <c r="F207" s="7" t="s">
        <v>4803</v>
      </c>
      <c r="G207" s="7" t="s">
        <v>3303</v>
      </c>
      <c r="H207" s="7" t="s">
        <v>3405</v>
      </c>
      <c r="I207" s="7" t="s">
        <v>3410</v>
      </c>
      <c r="K207" s="7" t="str">
        <f t="shared" si="2"/>
        <v/>
      </c>
      <c r="L207" s="7" t="str">
        <f t="shared" si="3"/>
        <v/>
      </c>
      <c r="M207" s="7">
        <f t="shared" ref="M207:N207" si="213">IF(LEN(M$1),COUNTIF($G207:$I207,M$1),"")</f>
        <v>0</v>
      </c>
      <c r="N207" s="7" t="str">
        <f t="shared" si="213"/>
        <v/>
      </c>
      <c r="O207" s="7" t="str">
        <f t="shared" si="5"/>
        <v/>
      </c>
      <c r="P207" s="7">
        <f t="shared" si="209"/>
        <v>0</v>
      </c>
      <c r="Q207" s="7" t="str">
        <f t="shared" si="7"/>
        <v/>
      </c>
      <c r="R207" s="7" t="s">
        <v>954</v>
      </c>
      <c r="S207" s="7">
        <v>7.0</v>
      </c>
      <c r="T207" s="7" t="s">
        <v>4733</v>
      </c>
    </row>
    <row r="208" ht="12.75" customHeight="1">
      <c r="A208" s="7">
        <v>207.0</v>
      </c>
      <c r="B208" s="7" t="s">
        <v>383</v>
      </c>
      <c r="C208" s="7" t="s">
        <v>4780</v>
      </c>
      <c r="D208" s="7"/>
      <c r="E208" s="7"/>
      <c r="F208" s="7" t="s">
        <v>4803</v>
      </c>
      <c r="G208" s="7" t="s">
        <v>3339</v>
      </c>
      <c r="H208" s="7" t="s">
        <v>3408</v>
      </c>
      <c r="I208" s="7" t="s">
        <v>3321</v>
      </c>
      <c r="K208" s="7" t="str">
        <f t="shared" si="2"/>
        <v/>
      </c>
      <c r="L208" s="7" t="str">
        <f t="shared" si="3"/>
        <v/>
      </c>
      <c r="M208" s="7">
        <f t="shared" ref="M208:N208" si="214">IF(LEN(M$1),COUNTIF($G208:$I208,M$1),"")</f>
        <v>0</v>
      </c>
      <c r="N208" s="7" t="str">
        <f t="shared" si="214"/>
        <v/>
      </c>
      <c r="O208" s="7" t="str">
        <f t="shared" si="5"/>
        <v/>
      </c>
      <c r="P208" s="7">
        <f t="shared" si="209"/>
        <v>0</v>
      </c>
      <c r="Q208" s="7" t="str">
        <f t="shared" si="7"/>
        <v/>
      </c>
      <c r="R208" s="7" t="s">
        <v>1041</v>
      </c>
      <c r="S208" s="7">
        <v>6.0</v>
      </c>
      <c r="T208" s="7" t="s">
        <v>4763</v>
      </c>
    </row>
    <row r="209" ht="12.75" customHeight="1">
      <c r="A209" s="7">
        <v>208.0</v>
      </c>
      <c r="B209" s="7" t="s">
        <v>392</v>
      </c>
      <c r="C209" s="7" t="s">
        <v>4780</v>
      </c>
      <c r="D209" s="7"/>
      <c r="E209" s="7"/>
      <c r="F209" s="7" t="s">
        <v>4803</v>
      </c>
      <c r="G209" s="7" t="s">
        <v>3393</v>
      </c>
      <c r="H209" s="7" t="s">
        <v>3371</v>
      </c>
      <c r="I209" s="7" t="s">
        <v>3292</v>
      </c>
      <c r="K209" s="7" t="str">
        <f t="shared" si="2"/>
        <v/>
      </c>
      <c r="L209" s="7" t="str">
        <f t="shared" si="3"/>
        <v/>
      </c>
      <c r="M209" s="7">
        <f t="shared" ref="M209:N209" si="215">IF(LEN(M$1),COUNTIF($G209:$I209,M$1),"")</f>
        <v>0</v>
      </c>
      <c r="N209" s="7" t="str">
        <f t="shared" si="215"/>
        <v/>
      </c>
      <c r="O209" s="7" t="str">
        <f t="shared" si="5"/>
        <v/>
      </c>
      <c r="P209" s="7">
        <f t="shared" si="209"/>
        <v>0</v>
      </c>
      <c r="Q209" s="7" t="str">
        <f t="shared" si="7"/>
        <v/>
      </c>
      <c r="R209" s="7" t="s">
        <v>698</v>
      </c>
      <c r="S209" s="7">
        <v>7.0</v>
      </c>
      <c r="T209" s="7" t="s">
        <v>4718</v>
      </c>
    </row>
    <row r="210" ht="12.75" customHeight="1">
      <c r="A210" s="7">
        <v>209.0</v>
      </c>
      <c r="B210" s="7" t="s">
        <v>400</v>
      </c>
      <c r="C210" s="7" t="s">
        <v>4780</v>
      </c>
      <c r="D210" s="7"/>
      <c r="E210" s="7"/>
      <c r="F210" s="7" t="s">
        <v>4803</v>
      </c>
      <c r="G210" s="7" t="s">
        <v>3358</v>
      </c>
      <c r="H210" s="7" t="s">
        <v>3309</v>
      </c>
      <c r="I210" s="7" t="s">
        <v>3393</v>
      </c>
      <c r="K210" s="7" t="str">
        <f t="shared" si="2"/>
        <v/>
      </c>
      <c r="L210" s="7" t="str">
        <f t="shared" si="3"/>
        <v/>
      </c>
      <c r="M210" s="7">
        <f t="shared" ref="M210:N210" si="216">IF(LEN(M$1),COUNTIF($G210:$I210,M$1),"")</f>
        <v>0</v>
      </c>
      <c r="N210" s="7" t="str">
        <f t="shared" si="216"/>
        <v/>
      </c>
      <c r="O210" s="7" t="str">
        <f t="shared" si="5"/>
        <v/>
      </c>
      <c r="P210" s="7">
        <f t="shared" si="209"/>
        <v>0</v>
      </c>
      <c r="Q210" s="7" t="str">
        <f t="shared" si="7"/>
        <v/>
      </c>
      <c r="R210" s="7" t="s">
        <v>477</v>
      </c>
      <c r="S210" s="7">
        <v>6.0</v>
      </c>
      <c r="T210" s="7" t="s">
        <v>4709</v>
      </c>
    </row>
    <row r="211" ht="12.75" customHeight="1">
      <c r="A211" s="7">
        <v>210.0</v>
      </c>
      <c r="B211" s="7" t="s">
        <v>408</v>
      </c>
      <c r="C211" s="7" t="s">
        <v>4782</v>
      </c>
      <c r="D211" s="7"/>
      <c r="E211" s="7"/>
      <c r="F211" s="7" t="s">
        <v>4803</v>
      </c>
      <c r="G211" s="7" t="s">
        <v>3262</v>
      </c>
      <c r="H211" s="7" t="s">
        <v>3388</v>
      </c>
      <c r="I211" s="7" t="s">
        <v>3402</v>
      </c>
      <c r="K211" s="7" t="str">
        <f t="shared" si="2"/>
        <v/>
      </c>
      <c r="L211" s="7" t="str">
        <f t="shared" si="3"/>
        <v/>
      </c>
      <c r="M211" s="7">
        <f t="shared" ref="M211:N211" si="217">IF(LEN(M$1),COUNTIF($G211:$I211,M$1),"")</f>
        <v>0</v>
      </c>
      <c r="N211" s="7" t="str">
        <f t="shared" si="217"/>
        <v/>
      </c>
      <c r="O211" s="7" t="str">
        <f t="shared" si="5"/>
        <v/>
      </c>
      <c r="P211" s="7">
        <f t="shared" si="209"/>
        <v>0</v>
      </c>
      <c r="Q211" s="7" t="str">
        <f t="shared" si="7"/>
        <v/>
      </c>
      <c r="R211" s="7" t="s">
        <v>1265</v>
      </c>
      <c r="S211" s="7">
        <v>6.0</v>
      </c>
      <c r="T211" s="7" t="s">
        <v>4706</v>
      </c>
    </row>
    <row r="212" ht="12.75" customHeight="1">
      <c r="A212" s="7">
        <v>211.0</v>
      </c>
      <c r="B212" s="7" t="s">
        <v>415</v>
      </c>
      <c r="C212" s="7" t="s">
        <v>4782</v>
      </c>
      <c r="D212" s="7"/>
      <c r="E212" s="7"/>
      <c r="F212" s="7" t="s">
        <v>4803</v>
      </c>
      <c r="G212" s="7" t="s">
        <v>3378</v>
      </c>
      <c r="H212" s="7" t="s">
        <v>3295</v>
      </c>
      <c r="I212" s="7" t="s">
        <v>3365</v>
      </c>
      <c r="K212" s="7" t="str">
        <f t="shared" si="2"/>
        <v/>
      </c>
      <c r="L212" s="7" t="str">
        <f t="shared" si="3"/>
        <v/>
      </c>
      <c r="M212" s="7">
        <f t="shared" ref="M212:N212" si="218">IF(LEN(M$1),COUNTIF($G212:$I212,M$1),"")</f>
        <v>0</v>
      </c>
      <c r="N212" s="7" t="str">
        <f t="shared" si="218"/>
        <v/>
      </c>
      <c r="O212" s="7" t="str">
        <f t="shared" si="5"/>
        <v/>
      </c>
      <c r="P212" s="7">
        <f t="shared" si="209"/>
        <v>0</v>
      </c>
      <c r="Q212" s="7" t="str">
        <f t="shared" si="7"/>
        <v/>
      </c>
      <c r="R212" s="7" t="s">
        <v>1748</v>
      </c>
      <c r="S212" s="7">
        <v>15.0</v>
      </c>
      <c r="T212" s="7" t="s">
        <v>4714</v>
      </c>
    </row>
    <row r="213" ht="12.75" customHeight="1">
      <c r="A213" s="7">
        <v>212.0</v>
      </c>
      <c r="B213" s="7" t="s">
        <v>422</v>
      </c>
      <c r="C213" s="7" t="s">
        <v>4782</v>
      </c>
      <c r="D213" s="7"/>
      <c r="E213" s="7"/>
      <c r="F213" s="7" t="s">
        <v>4803</v>
      </c>
      <c r="G213" s="7" t="s">
        <v>3342</v>
      </c>
      <c r="H213" s="7" t="s">
        <v>3176</v>
      </c>
      <c r="I213" s="7" t="s">
        <v>3121</v>
      </c>
      <c r="K213" s="7" t="str">
        <f t="shared" si="2"/>
        <v/>
      </c>
      <c r="L213" s="7" t="str">
        <f t="shared" si="3"/>
        <v/>
      </c>
      <c r="M213" s="7">
        <f t="shared" ref="M213:N213" si="219">IF(LEN(M$1),COUNTIF($G213:$I213,M$1),"")</f>
        <v>0</v>
      </c>
      <c r="N213" s="7" t="str">
        <f t="shared" si="219"/>
        <v/>
      </c>
      <c r="O213" s="7" t="str">
        <f t="shared" si="5"/>
        <v/>
      </c>
      <c r="P213" s="7">
        <f t="shared" si="209"/>
        <v>0</v>
      </c>
      <c r="Q213" s="7" t="str">
        <f t="shared" si="7"/>
        <v/>
      </c>
      <c r="R213" s="7" t="s">
        <v>42</v>
      </c>
      <c r="S213" s="7">
        <v>8.0</v>
      </c>
      <c r="T213" s="7" t="s">
        <v>4705</v>
      </c>
    </row>
    <row r="214" ht="12.75" customHeight="1">
      <c r="A214" s="7">
        <v>213.0</v>
      </c>
      <c r="B214" s="7" t="s">
        <v>430</v>
      </c>
      <c r="C214" s="7" t="s">
        <v>4784</v>
      </c>
      <c r="D214" s="7"/>
      <c r="E214" s="7"/>
      <c r="F214" s="7" t="s">
        <v>4803</v>
      </c>
      <c r="G214" s="7" t="s">
        <v>3400</v>
      </c>
      <c r="H214" s="7" t="s">
        <v>3195</v>
      </c>
      <c r="I214" s="7" t="s">
        <v>3215</v>
      </c>
      <c r="K214" s="7" t="str">
        <f t="shared" si="2"/>
        <v/>
      </c>
      <c r="L214" s="7" t="str">
        <f t="shared" si="3"/>
        <v/>
      </c>
      <c r="M214" s="7">
        <f t="shared" ref="M214:N214" si="220">IF(LEN(M$1),COUNTIF($G214:$I214,M$1),"")</f>
        <v>0</v>
      </c>
      <c r="N214" s="7" t="str">
        <f t="shared" si="220"/>
        <v/>
      </c>
      <c r="O214" s="7" t="str">
        <f t="shared" si="5"/>
        <v/>
      </c>
      <c r="P214" s="7">
        <f t="shared" si="209"/>
        <v>0</v>
      </c>
      <c r="Q214" s="7" t="str">
        <f t="shared" si="7"/>
        <v/>
      </c>
      <c r="R214" s="7" t="s">
        <v>918</v>
      </c>
      <c r="S214" s="7">
        <v>4.0</v>
      </c>
      <c r="T214" s="7" t="s">
        <v>4722</v>
      </c>
    </row>
    <row r="215" ht="12.75" customHeight="1">
      <c r="A215" s="7">
        <v>214.0</v>
      </c>
      <c r="B215" s="7" t="s">
        <v>438</v>
      </c>
      <c r="C215" s="7" t="s">
        <v>4784</v>
      </c>
      <c r="D215" s="7"/>
      <c r="E215" s="7"/>
      <c r="F215" s="7" t="s">
        <v>4803</v>
      </c>
      <c r="G215" s="7" t="s">
        <v>3400</v>
      </c>
      <c r="H215" s="7" t="s">
        <v>3422</v>
      </c>
      <c r="I215" s="7" t="s">
        <v>3385</v>
      </c>
      <c r="K215" s="7" t="str">
        <f t="shared" si="2"/>
        <v/>
      </c>
      <c r="L215" s="7" t="str">
        <f t="shared" si="3"/>
        <v/>
      </c>
      <c r="M215" s="7">
        <f t="shared" ref="M215:N215" si="221">IF(LEN(M$1),COUNTIF($G215:$I215,M$1),"")</f>
        <v>0</v>
      </c>
      <c r="N215" s="7" t="str">
        <f t="shared" si="221"/>
        <v/>
      </c>
      <c r="O215" s="7" t="str">
        <f t="shared" si="5"/>
        <v/>
      </c>
      <c r="P215" s="7">
        <f t="shared" si="209"/>
        <v>0</v>
      </c>
      <c r="Q215" s="7" t="str">
        <f t="shared" si="7"/>
        <v/>
      </c>
      <c r="R215" s="7" t="s">
        <v>1996</v>
      </c>
      <c r="S215" s="7">
        <v>10.0</v>
      </c>
      <c r="T215" s="7" t="s">
        <v>4734</v>
      </c>
    </row>
    <row r="216" ht="12.75" customHeight="1">
      <c r="A216" s="7">
        <v>215.0</v>
      </c>
      <c r="B216" s="7" t="s">
        <v>447</v>
      </c>
      <c r="C216" s="7" t="s">
        <v>4784</v>
      </c>
      <c r="D216" s="7"/>
      <c r="E216" s="7"/>
      <c r="F216" s="7" t="s">
        <v>4803</v>
      </c>
      <c r="G216" s="7" t="s">
        <v>3333</v>
      </c>
      <c r="H216" s="7" t="s">
        <v>3413</v>
      </c>
      <c r="I216" s="7" t="s">
        <v>3305</v>
      </c>
      <c r="K216" s="7" t="str">
        <f t="shared" si="2"/>
        <v/>
      </c>
      <c r="L216" s="7" t="str">
        <f t="shared" si="3"/>
        <v/>
      </c>
      <c r="M216" s="7">
        <f t="shared" ref="M216:N216" si="222">IF(LEN(M$1),COUNTIF($G216:$I216,M$1),"")</f>
        <v>0</v>
      </c>
      <c r="N216" s="7" t="str">
        <f t="shared" si="222"/>
        <v/>
      </c>
      <c r="O216" s="7" t="str">
        <f t="shared" si="5"/>
        <v/>
      </c>
      <c r="P216" s="7">
        <f t="shared" si="209"/>
        <v>0</v>
      </c>
      <c r="Q216" s="7" t="str">
        <f t="shared" si="7"/>
        <v/>
      </c>
      <c r="R216" s="7" t="s">
        <v>1222</v>
      </c>
      <c r="S216" s="7">
        <v>6.0</v>
      </c>
      <c r="T216" s="7" t="s">
        <v>4706</v>
      </c>
    </row>
    <row r="217" ht="12.75" customHeight="1">
      <c r="A217" s="7">
        <v>216.0</v>
      </c>
      <c r="B217" s="7" t="s">
        <v>454</v>
      </c>
      <c r="C217" s="7" t="s">
        <v>4786</v>
      </c>
      <c r="D217" s="7"/>
      <c r="E217" s="7"/>
      <c r="F217" s="7" t="s">
        <v>4803</v>
      </c>
      <c r="G217" s="7" t="s">
        <v>3396</v>
      </c>
      <c r="H217" s="7" t="s">
        <v>3381</v>
      </c>
      <c r="I217" s="7" t="s">
        <v>3408</v>
      </c>
      <c r="K217" s="7" t="str">
        <f t="shared" si="2"/>
        <v/>
      </c>
      <c r="L217" s="7" t="str">
        <f t="shared" si="3"/>
        <v/>
      </c>
      <c r="M217" s="7">
        <f t="shared" ref="M217:N217" si="223">IF(LEN(M$1),COUNTIF($G217:$I217,M$1),"")</f>
        <v>0</v>
      </c>
      <c r="N217" s="7" t="str">
        <f t="shared" si="223"/>
        <v/>
      </c>
      <c r="O217" s="7" t="str">
        <f t="shared" si="5"/>
        <v/>
      </c>
      <c r="P217" s="7">
        <f t="shared" si="209"/>
        <v>0</v>
      </c>
      <c r="Q217" s="7" t="str">
        <f t="shared" si="7"/>
        <v/>
      </c>
      <c r="R217" s="7" t="s">
        <v>2276</v>
      </c>
      <c r="S217" s="7">
        <v>14.0</v>
      </c>
      <c r="T217" s="7" t="s">
        <v>4796</v>
      </c>
    </row>
    <row r="218" ht="12.75" customHeight="1">
      <c r="A218" s="7">
        <v>217.0</v>
      </c>
      <c r="B218" s="7" t="s">
        <v>462</v>
      </c>
      <c r="C218" s="7" t="s">
        <v>4786</v>
      </c>
      <c r="D218" s="7"/>
      <c r="E218" s="7"/>
      <c r="F218" s="7" t="s">
        <v>4803</v>
      </c>
      <c r="G218" s="7" t="s">
        <v>3301</v>
      </c>
      <c r="H218" s="7" t="s">
        <v>3323</v>
      </c>
      <c r="I218" s="7" t="s">
        <v>3292</v>
      </c>
      <c r="K218" s="7" t="str">
        <f t="shared" si="2"/>
        <v/>
      </c>
      <c r="L218" s="7" t="str">
        <f t="shared" si="3"/>
        <v/>
      </c>
      <c r="M218" s="7">
        <f t="shared" ref="M218:N218" si="224">IF(LEN(M$1),COUNTIF($G218:$I218,M$1),"")</f>
        <v>0</v>
      </c>
      <c r="N218" s="7" t="str">
        <f t="shared" si="224"/>
        <v/>
      </c>
      <c r="O218" s="7" t="str">
        <f t="shared" si="5"/>
        <v/>
      </c>
      <c r="P218" s="7">
        <f t="shared" si="209"/>
        <v>0</v>
      </c>
      <c r="Q218" s="7" t="str">
        <f t="shared" si="7"/>
        <v/>
      </c>
      <c r="R218" s="7" t="s">
        <v>667</v>
      </c>
      <c r="S218" s="7">
        <v>5.0</v>
      </c>
      <c r="T218" s="7" t="s">
        <v>4715</v>
      </c>
    </row>
    <row r="219" ht="12.75" customHeight="1">
      <c r="A219" s="7">
        <v>218.0</v>
      </c>
      <c r="B219" s="7" t="s">
        <v>469</v>
      </c>
      <c r="C219" s="7" t="s">
        <v>4786</v>
      </c>
      <c r="D219" s="7"/>
      <c r="E219" s="7"/>
      <c r="F219" s="7" t="s">
        <v>4803</v>
      </c>
      <c r="G219" s="7" t="s">
        <v>3301</v>
      </c>
      <c r="H219" s="7" t="s">
        <v>3375</v>
      </c>
      <c r="I219" s="7" t="s">
        <v>3317</v>
      </c>
      <c r="K219" s="7" t="str">
        <f t="shared" si="2"/>
        <v/>
      </c>
      <c r="L219" s="7" t="str">
        <f t="shared" si="3"/>
        <v/>
      </c>
      <c r="M219" s="7">
        <f t="shared" ref="M219:N219" si="225">IF(LEN(M$1),COUNTIF($G219:$I219,M$1),"")</f>
        <v>0</v>
      </c>
      <c r="N219" s="7" t="str">
        <f t="shared" si="225"/>
        <v/>
      </c>
      <c r="O219" s="7" t="str">
        <f t="shared" si="5"/>
        <v/>
      </c>
      <c r="P219" s="7">
        <f t="shared" si="209"/>
        <v>0</v>
      </c>
      <c r="Q219" s="7" t="str">
        <f t="shared" si="7"/>
        <v/>
      </c>
      <c r="R219" s="7" t="s">
        <v>1638</v>
      </c>
      <c r="S219" s="7">
        <v>6.0</v>
      </c>
      <c r="T219" s="7" t="s">
        <v>4729</v>
      </c>
    </row>
    <row r="220" ht="12.75" customHeight="1">
      <c r="A220" s="7">
        <v>219.0</v>
      </c>
      <c r="B220" s="7" t="s">
        <v>477</v>
      </c>
      <c r="C220" s="7" t="s">
        <v>4788</v>
      </c>
      <c r="D220" s="7"/>
      <c r="E220" s="7"/>
      <c r="F220" s="7" t="s">
        <v>4803</v>
      </c>
      <c r="G220" s="7" t="s">
        <v>3396</v>
      </c>
      <c r="H220" s="7" t="s">
        <v>3297</v>
      </c>
      <c r="I220" s="7" t="s">
        <v>3378</v>
      </c>
      <c r="K220" s="7" t="str">
        <f t="shared" si="2"/>
        <v/>
      </c>
      <c r="L220" s="7" t="str">
        <f t="shared" si="3"/>
        <v/>
      </c>
      <c r="M220" s="7">
        <f t="shared" ref="M220:N220" si="226">IF(LEN(M$1),COUNTIF($G220:$I220,M$1),"")</f>
        <v>0</v>
      </c>
      <c r="N220" s="7" t="str">
        <f t="shared" si="226"/>
        <v/>
      </c>
      <c r="O220" s="7" t="str">
        <f t="shared" si="5"/>
        <v/>
      </c>
      <c r="P220" s="7">
        <f t="shared" si="209"/>
        <v>0</v>
      </c>
      <c r="Q220" s="7" t="str">
        <f t="shared" si="7"/>
        <v/>
      </c>
      <c r="R220" s="7" t="s">
        <v>294</v>
      </c>
      <c r="S220" s="7">
        <v>8.0</v>
      </c>
      <c r="T220" s="7" t="s">
        <v>4705</v>
      </c>
    </row>
    <row r="221" ht="12.75" customHeight="1">
      <c r="A221" s="7">
        <v>220.0</v>
      </c>
      <c r="B221" s="7" t="s">
        <v>485</v>
      </c>
      <c r="C221" s="7" t="s">
        <v>4788</v>
      </c>
      <c r="D221" s="7"/>
      <c r="E221" s="7"/>
      <c r="F221" s="7" t="s">
        <v>4803</v>
      </c>
      <c r="G221" s="7" t="s">
        <v>3170</v>
      </c>
      <c r="H221" s="7" t="s">
        <v>3371</v>
      </c>
      <c r="I221" s="7" t="s">
        <v>3378</v>
      </c>
      <c r="K221" s="7" t="str">
        <f t="shared" si="2"/>
        <v/>
      </c>
      <c r="L221" s="7" t="str">
        <f t="shared" si="3"/>
        <v/>
      </c>
      <c r="M221" s="7">
        <f t="shared" ref="M221:N221" si="227">IF(LEN(M$1),COUNTIF($G221:$I221,M$1),"")</f>
        <v>0</v>
      </c>
      <c r="N221" s="7" t="str">
        <f t="shared" si="227"/>
        <v/>
      </c>
      <c r="O221" s="7" t="str">
        <f t="shared" si="5"/>
        <v/>
      </c>
      <c r="P221" s="7">
        <f t="shared" si="209"/>
        <v>0</v>
      </c>
      <c r="Q221" s="7" t="str">
        <f t="shared" si="7"/>
        <v/>
      </c>
      <c r="R221" s="7" t="s">
        <v>266</v>
      </c>
      <c r="S221" s="7">
        <v>9.0</v>
      </c>
      <c r="T221" s="7" t="s">
        <v>4781</v>
      </c>
    </row>
    <row r="222" ht="12.75" customHeight="1">
      <c r="A222" s="7">
        <v>221.0</v>
      </c>
      <c r="B222" s="7" t="s">
        <v>492</v>
      </c>
      <c r="C222" s="7" t="s">
        <v>4788</v>
      </c>
      <c r="D222" s="7"/>
      <c r="E222" s="7"/>
      <c r="F222" s="7" t="s">
        <v>4803</v>
      </c>
      <c r="G222" s="7" t="s">
        <v>3348</v>
      </c>
      <c r="H222" s="7" t="s">
        <v>3353</v>
      </c>
      <c r="I222" s="7" t="s">
        <v>3396</v>
      </c>
      <c r="K222" s="7" t="str">
        <f t="shared" si="2"/>
        <v/>
      </c>
      <c r="L222" s="7" t="str">
        <f t="shared" si="3"/>
        <v/>
      </c>
      <c r="M222" s="7">
        <f t="shared" ref="M222:N222" si="228">IF(LEN(M$1),COUNTIF($G222:$I222,M$1),"")</f>
        <v>0</v>
      </c>
      <c r="N222" s="7" t="str">
        <f t="shared" si="228"/>
        <v/>
      </c>
      <c r="O222" s="7" t="str">
        <f t="shared" si="5"/>
        <v/>
      </c>
      <c r="P222" s="7">
        <f t="shared" si="209"/>
        <v>0</v>
      </c>
      <c r="Q222" s="7" t="str">
        <f t="shared" si="7"/>
        <v/>
      </c>
      <c r="R222" s="7" t="s">
        <v>1520</v>
      </c>
      <c r="S222" s="7">
        <v>9.0</v>
      </c>
      <c r="T222" s="7" t="s">
        <v>4760</v>
      </c>
    </row>
    <row r="223" ht="12.75" customHeight="1">
      <c r="A223" s="7">
        <v>222.0</v>
      </c>
      <c r="B223" s="7" t="s">
        <v>500</v>
      </c>
      <c r="C223" s="7" t="s">
        <v>4791</v>
      </c>
      <c r="D223" s="7"/>
      <c r="E223" s="7"/>
      <c r="F223" s="7" t="s">
        <v>4803</v>
      </c>
      <c r="G223" s="7" t="s">
        <v>3321</v>
      </c>
      <c r="H223" s="7" t="s">
        <v>3420</v>
      </c>
      <c r="I223" s="7" t="s">
        <v>3323</v>
      </c>
      <c r="K223" s="7" t="str">
        <f t="shared" si="2"/>
        <v/>
      </c>
      <c r="L223" s="7" t="str">
        <f t="shared" si="3"/>
        <v/>
      </c>
      <c r="M223" s="7">
        <f t="shared" ref="M223:N223" si="229">IF(LEN(M$1),COUNTIF($G223:$I223,M$1),"")</f>
        <v>0</v>
      </c>
      <c r="N223" s="7" t="str">
        <f t="shared" si="229"/>
        <v/>
      </c>
      <c r="O223" s="7" t="str">
        <f t="shared" si="5"/>
        <v/>
      </c>
      <c r="P223" s="7">
        <f t="shared" si="209"/>
        <v>0</v>
      </c>
      <c r="Q223" s="7" t="str">
        <f t="shared" si="7"/>
        <v/>
      </c>
      <c r="R223" s="7" t="s">
        <v>368</v>
      </c>
      <c r="S223" s="7">
        <v>6.0</v>
      </c>
      <c r="T223" s="7" t="s">
        <v>4709</v>
      </c>
    </row>
    <row r="224" ht="12.75" customHeight="1">
      <c r="A224" s="7">
        <v>223.0</v>
      </c>
      <c r="B224" s="7" t="s">
        <v>508</v>
      </c>
      <c r="C224" s="7" t="s">
        <v>4791</v>
      </c>
      <c r="D224" s="7"/>
      <c r="E224" s="7"/>
      <c r="F224" s="7" t="s">
        <v>4803</v>
      </c>
      <c r="G224" s="7" t="s">
        <v>3385</v>
      </c>
      <c r="H224" s="7" t="s">
        <v>3258</v>
      </c>
      <c r="I224" s="7" t="s">
        <v>3230</v>
      </c>
      <c r="K224" s="7" t="str">
        <f t="shared" si="2"/>
        <v/>
      </c>
      <c r="L224" s="7" t="str">
        <f t="shared" si="3"/>
        <v/>
      </c>
      <c r="M224" s="7">
        <f t="shared" ref="M224:N224" si="230">IF(LEN(M$1),COUNTIF($G224:$I224,M$1),"")</f>
        <v>0</v>
      </c>
      <c r="N224" s="7" t="str">
        <f t="shared" si="230"/>
        <v/>
      </c>
      <c r="O224" s="7" t="str">
        <f t="shared" si="5"/>
        <v/>
      </c>
      <c r="P224" s="7">
        <f t="shared" si="209"/>
        <v>0</v>
      </c>
      <c r="Q224" s="7" t="str">
        <f t="shared" si="7"/>
        <v/>
      </c>
      <c r="R224" s="7" t="s">
        <v>180</v>
      </c>
      <c r="S224" s="7">
        <v>8.0</v>
      </c>
      <c r="T224" s="7" t="s">
        <v>4705</v>
      </c>
    </row>
    <row r="225" ht="12.75" customHeight="1">
      <c r="A225" s="7">
        <v>224.0</v>
      </c>
      <c r="B225" s="7" t="s">
        <v>517</v>
      </c>
      <c r="C225" s="7" t="s">
        <v>4793</v>
      </c>
      <c r="D225" s="7"/>
      <c r="E225" s="7"/>
      <c r="F225" s="7" t="s">
        <v>4803</v>
      </c>
      <c r="G225" s="7" t="s">
        <v>3358</v>
      </c>
      <c r="H225" s="7" t="s">
        <v>3146</v>
      </c>
      <c r="I225" s="7" t="s">
        <v>3234</v>
      </c>
      <c r="K225" s="7" t="str">
        <f t="shared" si="2"/>
        <v/>
      </c>
      <c r="L225" s="7" t="str">
        <f t="shared" si="3"/>
        <v/>
      </c>
      <c r="M225" s="7">
        <f t="shared" ref="M225:N225" si="231">IF(LEN(M$1),COUNTIF($G225:$I225,M$1),"")</f>
        <v>0</v>
      </c>
      <c r="N225" s="7" t="str">
        <f t="shared" si="231"/>
        <v/>
      </c>
      <c r="O225" s="7" t="str">
        <f t="shared" si="5"/>
        <v/>
      </c>
      <c r="P225" s="7">
        <f t="shared" si="209"/>
        <v>0</v>
      </c>
      <c r="Q225" s="7" t="str">
        <f t="shared" si="7"/>
        <v/>
      </c>
      <c r="R225" s="7" t="s">
        <v>1622</v>
      </c>
      <c r="S225" s="7">
        <v>4.0</v>
      </c>
      <c r="T225" s="7" t="s">
        <v>4742</v>
      </c>
    </row>
    <row r="226" ht="12.75" customHeight="1">
      <c r="A226" s="7">
        <v>225.0</v>
      </c>
      <c r="B226" s="7" t="s">
        <v>307</v>
      </c>
      <c r="C226" s="7" t="s">
        <v>4793</v>
      </c>
      <c r="D226" s="7"/>
      <c r="E226" s="7"/>
      <c r="F226" s="7" t="s">
        <v>4803</v>
      </c>
      <c r="G226" s="7" t="s">
        <v>3234</v>
      </c>
      <c r="H226" s="7" t="s">
        <v>3315</v>
      </c>
      <c r="I226" s="7" t="s">
        <v>3292</v>
      </c>
      <c r="K226" s="7" t="str">
        <f t="shared" si="2"/>
        <v/>
      </c>
      <c r="L226" s="7" t="str">
        <f t="shared" si="3"/>
        <v/>
      </c>
      <c r="M226" s="7">
        <f t="shared" ref="M226:N226" si="232">IF(LEN(M$1),COUNTIF($G226:$I226,M$1),"")</f>
        <v>0</v>
      </c>
      <c r="N226" s="7" t="str">
        <f t="shared" si="232"/>
        <v/>
      </c>
      <c r="O226" s="7" t="str">
        <f t="shared" si="5"/>
        <v/>
      </c>
      <c r="P226" s="7">
        <f t="shared" si="209"/>
        <v>0</v>
      </c>
      <c r="Q226" s="7" t="str">
        <f t="shared" si="7"/>
        <v/>
      </c>
      <c r="R226" s="7" t="s">
        <v>2354</v>
      </c>
      <c r="S226" s="7">
        <v>3.0</v>
      </c>
      <c r="T226" s="7" t="s">
        <v>4804</v>
      </c>
    </row>
    <row r="227" ht="12.75" customHeight="1">
      <c r="A227" s="7">
        <v>226.0</v>
      </c>
      <c r="B227" s="7" t="s">
        <v>530</v>
      </c>
      <c r="C227" s="7" t="s">
        <v>4795</v>
      </c>
      <c r="D227" s="7"/>
      <c r="E227" s="7"/>
      <c r="F227" s="7" t="s">
        <v>4803</v>
      </c>
      <c r="G227" s="7" t="s">
        <v>3388</v>
      </c>
      <c r="H227" s="7" t="s">
        <v>3243</v>
      </c>
      <c r="I227" s="7" t="s">
        <v>3251</v>
      </c>
      <c r="K227" s="7" t="str">
        <f t="shared" si="2"/>
        <v/>
      </c>
      <c r="L227" s="7" t="str">
        <f t="shared" si="3"/>
        <v/>
      </c>
      <c r="M227" s="7">
        <f t="shared" ref="M227:N227" si="233">IF(LEN(M$1),COUNTIF($G227:$I227,M$1),"")</f>
        <v>0</v>
      </c>
      <c r="N227" s="7" t="str">
        <f t="shared" si="233"/>
        <v/>
      </c>
      <c r="O227" s="7" t="str">
        <f t="shared" si="5"/>
        <v/>
      </c>
      <c r="P227" s="7">
        <f t="shared" si="209"/>
        <v>0</v>
      </c>
      <c r="Q227" s="7" t="str">
        <f t="shared" si="7"/>
        <v/>
      </c>
      <c r="R227" s="7" t="s">
        <v>1630</v>
      </c>
      <c r="S227" s="7">
        <v>5.0</v>
      </c>
      <c r="T227" s="7" t="s">
        <v>4747</v>
      </c>
    </row>
    <row r="228" ht="12.75" customHeight="1">
      <c r="A228" s="7">
        <v>227.0</v>
      </c>
      <c r="B228" s="7" t="s">
        <v>537</v>
      </c>
      <c r="C228" s="7" t="s">
        <v>4795</v>
      </c>
      <c r="D228" s="7"/>
      <c r="E228" s="7"/>
      <c r="F228" s="7" t="s">
        <v>4803</v>
      </c>
      <c r="G228" s="7" t="s">
        <v>3365</v>
      </c>
      <c r="H228" s="7" t="s">
        <v>3355</v>
      </c>
      <c r="I228" s="7" t="s">
        <v>3339</v>
      </c>
      <c r="K228" s="7" t="str">
        <f t="shared" si="2"/>
        <v/>
      </c>
      <c r="L228" s="7" t="str">
        <f t="shared" si="3"/>
        <v/>
      </c>
      <c r="M228" s="7">
        <f t="shared" ref="M228:N228" si="234">IF(LEN(M$1),COUNTIF($G228:$I228,M$1),"")</f>
        <v>0</v>
      </c>
      <c r="N228" s="7" t="str">
        <f t="shared" si="234"/>
        <v/>
      </c>
      <c r="O228" s="7" t="str">
        <f t="shared" si="5"/>
        <v/>
      </c>
      <c r="P228" s="7">
        <f t="shared" si="209"/>
        <v>0</v>
      </c>
      <c r="Q228" s="7" t="str">
        <f t="shared" si="7"/>
        <v/>
      </c>
      <c r="R228" s="7" t="s">
        <v>2390</v>
      </c>
      <c r="S228" s="7">
        <v>3.0</v>
      </c>
      <c r="T228" s="7" t="s">
        <v>4755</v>
      </c>
    </row>
    <row r="229" ht="12.75" customHeight="1">
      <c r="A229" s="7">
        <v>228.0</v>
      </c>
      <c r="B229" s="7" t="s">
        <v>545</v>
      </c>
      <c r="C229" s="7" t="s">
        <v>4797</v>
      </c>
      <c r="D229" s="7"/>
      <c r="E229" s="7"/>
      <c r="F229" s="7" t="s">
        <v>4803</v>
      </c>
      <c r="G229" s="7" t="s">
        <v>3301</v>
      </c>
      <c r="H229" s="7" t="s">
        <v>3329</v>
      </c>
      <c r="I229" s="7" t="s">
        <v>3422</v>
      </c>
      <c r="K229" s="7" t="str">
        <f t="shared" si="2"/>
        <v/>
      </c>
      <c r="L229" s="7" t="str">
        <f t="shared" si="3"/>
        <v/>
      </c>
      <c r="M229" s="7">
        <f t="shared" ref="M229:N229" si="235">IF(LEN(M$1),COUNTIF($G229:$I229,M$1),"")</f>
        <v>0</v>
      </c>
      <c r="N229" s="7" t="str">
        <f t="shared" si="235"/>
        <v/>
      </c>
      <c r="O229" s="7" t="str">
        <f t="shared" si="5"/>
        <v/>
      </c>
      <c r="P229" s="7">
        <f t="shared" si="209"/>
        <v>0</v>
      </c>
      <c r="Q229" s="7" t="str">
        <f t="shared" si="7"/>
        <v/>
      </c>
      <c r="R229" s="7" t="s">
        <v>229</v>
      </c>
      <c r="S229" s="7">
        <v>7.0</v>
      </c>
      <c r="T229" s="7" t="s">
        <v>4719</v>
      </c>
    </row>
    <row r="230" ht="12.75" customHeight="1">
      <c r="A230" s="7">
        <v>229.0</v>
      </c>
      <c r="B230" s="7" t="s">
        <v>553</v>
      </c>
      <c r="C230" s="7" t="s">
        <v>4797</v>
      </c>
      <c r="D230" s="7"/>
      <c r="E230" s="7"/>
      <c r="F230" s="7" t="s">
        <v>4803</v>
      </c>
      <c r="G230" s="7" t="s">
        <v>3393</v>
      </c>
      <c r="H230" s="7" t="s">
        <v>3371</v>
      </c>
      <c r="I230" s="7" t="s">
        <v>3383</v>
      </c>
      <c r="K230" s="7" t="str">
        <f t="shared" si="2"/>
        <v/>
      </c>
      <c r="L230" s="7" t="str">
        <f t="shared" si="3"/>
        <v/>
      </c>
      <c r="M230" s="7">
        <f t="shared" ref="M230:N230" si="236">IF(LEN(M$1),COUNTIF($G230:$I230,M$1),"")</f>
        <v>0</v>
      </c>
      <c r="N230" s="7" t="str">
        <f t="shared" si="236"/>
        <v/>
      </c>
      <c r="O230" s="7" t="str">
        <f t="shared" si="5"/>
        <v/>
      </c>
      <c r="P230" s="7">
        <f t="shared" si="209"/>
        <v>0</v>
      </c>
      <c r="Q230" s="7" t="str">
        <f t="shared" si="7"/>
        <v/>
      </c>
      <c r="R230" s="7" t="s">
        <v>2435</v>
      </c>
      <c r="S230" s="7">
        <v>6.0</v>
      </c>
      <c r="T230" s="7" t="s">
        <v>4805</v>
      </c>
    </row>
    <row r="231" ht="12.75" customHeight="1">
      <c r="A231" s="7">
        <v>230.0</v>
      </c>
      <c r="B231" s="7" t="s">
        <v>560</v>
      </c>
      <c r="C231" s="7" t="s">
        <v>4797</v>
      </c>
      <c r="D231" s="7"/>
      <c r="E231" s="7"/>
      <c r="F231" s="7" t="s">
        <v>4803</v>
      </c>
      <c r="G231" s="7" t="s">
        <v>3405</v>
      </c>
      <c r="H231" s="7" t="s">
        <v>3333</v>
      </c>
      <c r="I231" s="7" t="s">
        <v>3378</v>
      </c>
      <c r="K231" s="7" t="str">
        <f t="shared" si="2"/>
        <v/>
      </c>
      <c r="L231" s="7" t="str">
        <f t="shared" si="3"/>
        <v/>
      </c>
      <c r="M231" s="7">
        <f t="shared" ref="M231:N231" si="237">IF(LEN(M$1),COUNTIF($G231:$I231,M$1),"")</f>
        <v>0</v>
      </c>
      <c r="N231" s="7" t="str">
        <f t="shared" si="237"/>
        <v/>
      </c>
      <c r="O231" s="7" t="str">
        <f t="shared" si="5"/>
        <v/>
      </c>
      <c r="P231" s="7">
        <f t="shared" si="209"/>
        <v>0</v>
      </c>
      <c r="Q231" s="7" t="str">
        <f t="shared" si="7"/>
        <v/>
      </c>
      <c r="R231" s="7" t="s">
        <v>1886</v>
      </c>
      <c r="S231" s="7">
        <v>8.0</v>
      </c>
      <c r="T231" s="7" t="s">
        <v>4741</v>
      </c>
    </row>
    <row r="232" ht="12.75" customHeight="1">
      <c r="A232" s="7">
        <v>231.0</v>
      </c>
      <c r="B232" s="7" t="s">
        <v>557</v>
      </c>
      <c r="C232" s="7" t="s">
        <v>4798</v>
      </c>
      <c r="D232" s="7"/>
      <c r="E232" s="7"/>
      <c r="F232" s="7" t="s">
        <v>4803</v>
      </c>
      <c r="G232" s="7" t="s">
        <v>3297</v>
      </c>
      <c r="H232" s="7" t="s">
        <v>3124</v>
      </c>
      <c r="I232" s="7" t="s">
        <v>3315</v>
      </c>
      <c r="K232" s="7" t="str">
        <f t="shared" si="2"/>
        <v/>
      </c>
      <c r="L232" s="7" t="str">
        <f t="shared" si="3"/>
        <v/>
      </c>
      <c r="M232" s="7">
        <f t="shared" ref="M232:N232" si="238">IF(LEN(M$1),COUNTIF($G232:$I232,M$1),"")</f>
        <v>0</v>
      </c>
      <c r="N232" s="7" t="str">
        <f t="shared" si="238"/>
        <v/>
      </c>
      <c r="O232" s="7" t="str">
        <f t="shared" si="5"/>
        <v/>
      </c>
      <c r="P232" s="7">
        <f t="shared" si="209"/>
        <v>0</v>
      </c>
      <c r="Q232" s="7" t="str">
        <f t="shared" si="7"/>
        <v/>
      </c>
      <c r="R232" s="85" t="s">
        <v>1308</v>
      </c>
      <c r="S232" s="7">
        <v>6.0</v>
      </c>
      <c r="T232" s="7" t="s">
        <v>4706</v>
      </c>
    </row>
    <row r="233" ht="12.75" customHeight="1">
      <c r="A233" s="7">
        <v>232.0</v>
      </c>
      <c r="B233" s="7" t="s">
        <v>572</v>
      </c>
      <c r="C233" s="7" t="s">
        <v>4798</v>
      </c>
      <c r="D233" s="7"/>
      <c r="E233" s="7"/>
      <c r="F233" s="7" t="s">
        <v>4803</v>
      </c>
      <c r="G233" s="7" t="s">
        <v>3137</v>
      </c>
      <c r="H233" s="7" t="s">
        <v>3303</v>
      </c>
      <c r="I233" s="7" t="s">
        <v>3345</v>
      </c>
      <c r="K233" s="7" t="str">
        <f t="shared" si="2"/>
        <v/>
      </c>
      <c r="L233" s="7" t="str">
        <f t="shared" si="3"/>
        <v/>
      </c>
      <c r="M233" s="7">
        <f t="shared" ref="M233:N233" si="239">IF(LEN(M$1),COUNTIF($G233:$I233,M$1),"")</f>
        <v>0</v>
      </c>
      <c r="N233" s="7" t="str">
        <f t="shared" si="239"/>
        <v/>
      </c>
      <c r="O233" s="7" t="str">
        <f t="shared" si="5"/>
        <v/>
      </c>
      <c r="P233" s="7">
        <f t="shared" si="209"/>
        <v>0</v>
      </c>
      <c r="Q233" s="7" t="str">
        <f t="shared" si="7"/>
        <v/>
      </c>
      <c r="R233" s="7" t="s">
        <v>889</v>
      </c>
      <c r="S233" s="7">
        <v>4.0</v>
      </c>
      <c r="T233" s="7" t="s">
        <v>4722</v>
      </c>
    </row>
    <row r="234" ht="12.75" customHeight="1">
      <c r="A234" s="7">
        <v>233.0</v>
      </c>
      <c r="B234" s="7" t="s">
        <v>580</v>
      </c>
      <c r="C234" s="7" t="s">
        <v>4798</v>
      </c>
      <c r="D234" s="7"/>
      <c r="E234" s="7"/>
      <c r="F234" s="7" t="s">
        <v>4803</v>
      </c>
      <c r="G234" s="7" t="s">
        <v>3413</v>
      </c>
      <c r="H234" s="7" t="s">
        <v>3410</v>
      </c>
      <c r="I234" s="7" t="s">
        <v>3309</v>
      </c>
      <c r="K234" s="7" t="str">
        <f t="shared" si="2"/>
        <v/>
      </c>
      <c r="L234" s="7" t="str">
        <f t="shared" si="3"/>
        <v/>
      </c>
      <c r="M234" s="7">
        <f t="shared" ref="M234:N234" si="240">IF(LEN(M$1),COUNTIF($G234:$I234,M$1),"")</f>
        <v>0</v>
      </c>
      <c r="N234" s="7" t="str">
        <f t="shared" si="240"/>
        <v/>
      </c>
      <c r="O234" s="7" t="str">
        <f t="shared" si="5"/>
        <v/>
      </c>
      <c r="P234" s="7">
        <f t="shared" si="209"/>
        <v>0</v>
      </c>
      <c r="Q234" s="7" t="str">
        <f t="shared" si="7"/>
        <v/>
      </c>
      <c r="R234" s="7" t="s">
        <v>1004</v>
      </c>
      <c r="S234" s="7">
        <v>4.0</v>
      </c>
      <c r="T234" s="7" t="s">
        <v>4722</v>
      </c>
    </row>
    <row r="235" ht="12.75" customHeight="1">
      <c r="A235" s="7">
        <v>234.0</v>
      </c>
      <c r="B235" s="7" t="s">
        <v>589</v>
      </c>
      <c r="C235" s="7" t="s">
        <v>4801</v>
      </c>
      <c r="D235" s="7"/>
      <c r="E235" s="7"/>
      <c r="F235" s="7" t="s">
        <v>4803</v>
      </c>
      <c r="G235" s="7" t="s">
        <v>3323</v>
      </c>
      <c r="H235" s="7" t="s">
        <v>3415</v>
      </c>
      <c r="I235" s="7" t="s">
        <v>3381</v>
      </c>
      <c r="K235" s="7" t="str">
        <f t="shared" si="2"/>
        <v/>
      </c>
      <c r="L235" s="7" t="str">
        <f t="shared" si="3"/>
        <v/>
      </c>
      <c r="M235" s="7">
        <f t="shared" ref="M235:N235" si="241">IF(LEN(M$1),COUNTIF($G235:$I235,M$1),"")</f>
        <v>0</v>
      </c>
      <c r="N235" s="7" t="str">
        <f t="shared" si="241"/>
        <v/>
      </c>
      <c r="O235" s="7" t="str">
        <f t="shared" si="5"/>
        <v/>
      </c>
      <c r="P235" s="7">
        <f t="shared" si="209"/>
        <v>0</v>
      </c>
      <c r="Q235" s="7" t="str">
        <f t="shared" si="7"/>
        <v/>
      </c>
      <c r="R235" s="7" t="s">
        <v>560</v>
      </c>
      <c r="S235" s="7">
        <v>6.0</v>
      </c>
      <c r="T235" s="7" t="s">
        <v>4709</v>
      </c>
    </row>
    <row r="236" ht="12.75" customHeight="1">
      <c r="A236" s="7">
        <v>235.0</v>
      </c>
      <c r="B236" s="7" t="s">
        <v>597</v>
      </c>
      <c r="C236" s="7" t="s">
        <v>4801</v>
      </c>
      <c r="D236" s="7"/>
      <c r="E236" s="7"/>
      <c r="F236" s="7" t="s">
        <v>4803</v>
      </c>
      <c r="G236" s="7" t="s">
        <v>3368</v>
      </c>
      <c r="H236" s="7" t="s">
        <v>3365</v>
      </c>
      <c r="I236" s="7" t="s">
        <v>3373</v>
      </c>
      <c r="K236" s="7" t="str">
        <f t="shared" si="2"/>
        <v/>
      </c>
      <c r="L236" s="7" t="str">
        <f t="shared" si="3"/>
        <v/>
      </c>
      <c r="M236" s="7">
        <f t="shared" ref="M236:N236" si="242">IF(LEN(M$1),COUNTIF($G236:$I236,M$1),"")</f>
        <v>0</v>
      </c>
      <c r="N236" s="7" t="str">
        <f t="shared" si="242"/>
        <v/>
      </c>
      <c r="O236" s="7" t="str">
        <f t="shared" si="5"/>
        <v/>
      </c>
      <c r="P236" s="7">
        <f t="shared" si="209"/>
        <v>0</v>
      </c>
      <c r="Q236" s="7" t="str">
        <f t="shared" si="7"/>
        <v/>
      </c>
      <c r="R236" s="7" t="s">
        <v>545</v>
      </c>
      <c r="S236" s="7">
        <v>6.0</v>
      </c>
      <c r="T236" s="7" t="s">
        <v>4709</v>
      </c>
    </row>
    <row r="237" ht="12.75" customHeight="1">
      <c r="A237" s="7">
        <v>236.0</v>
      </c>
      <c r="B237" s="7" t="s">
        <v>606</v>
      </c>
      <c r="C237" s="7" t="s">
        <v>4801</v>
      </c>
      <c r="D237" s="7"/>
      <c r="E237" s="7"/>
      <c r="F237" s="7" t="s">
        <v>4803</v>
      </c>
      <c r="G237" s="7" t="s">
        <v>3307</v>
      </c>
      <c r="H237" s="7" t="s">
        <v>3301</v>
      </c>
      <c r="I237" s="7" t="s">
        <v>3331</v>
      </c>
      <c r="K237" s="7" t="str">
        <f t="shared" si="2"/>
        <v/>
      </c>
      <c r="L237" s="7" t="str">
        <f t="shared" si="3"/>
        <v/>
      </c>
      <c r="M237" s="7">
        <f t="shared" ref="M237:N237" si="243">IF(LEN(M$1),COUNTIF($G237:$I237,M$1),"")</f>
        <v>0</v>
      </c>
      <c r="N237" s="7" t="str">
        <f t="shared" si="243"/>
        <v/>
      </c>
      <c r="O237" s="7" t="str">
        <f t="shared" si="5"/>
        <v/>
      </c>
      <c r="P237" s="7">
        <f t="shared" si="209"/>
        <v>0</v>
      </c>
      <c r="Q237" s="7" t="str">
        <f t="shared" si="7"/>
        <v/>
      </c>
      <c r="R237" s="7" t="s">
        <v>346</v>
      </c>
      <c r="S237" s="7">
        <v>9.0</v>
      </c>
      <c r="T237" s="7" t="s">
        <v>4806</v>
      </c>
    </row>
    <row r="238" ht="12.75" customHeight="1">
      <c r="A238" s="7">
        <v>237.0</v>
      </c>
      <c r="B238" s="7" t="s">
        <v>606</v>
      </c>
      <c r="C238" s="7" t="s">
        <v>4801</v>
      </c>
      <c r="D238" s="7"/>
      <c r="E238" s="7"/>
      <c r="F238" s="7" t="s">
        <v>4803</v>
      </c>
      <c r="G238" s="7" t="s">
        <v>3348</v>
      </c>
      <c r="H238" s="7" t="s">
        <v>3251</v>
      </c>
      <c r="I238" s="7" t="s">
        <v>3276</v>
      </c>
      <c r="K238" s="7" t="str">
        <f t="shared" si="2"/>
        <v/>
      </c>
      <c r="L238" s="7" t="str">
        <f t="shared" si="3"/>
        <v/>
      </c>
      <c r="M238" s="7">
        <f t="shared" ref="M238:N238" si="244">IF(LEN(M$1),COUNTIF($G238:$I238,M$1),"")</f>
        <v>0</v>
      </c>
      <c r="N238" s="7" t="str">
        <f t="shared" si="244"/>
        <v/>
      </c>
      <c r="O238" s="7" t="str">
        <f t="shared" si="5"/>
        <v/>
      </c>
      <c r="P238" s="7">
        <f t="shared" si="209"/>
        <v>0</v>
      </c>
      <c r="Q238" s="7" t="str">
        <f t="shared" si="7"/>
        <v/>
      </c>
      <c r="R238" s="7" t="s">
        <v>137</v>
      </c>
      <c r="S238" s="7">
        <v>8.0</v>
      </c>
      <c r="T238" s="7" t="s">
        <v>4705</v>
      </c>
    </row>
    <row r="239" ht="12.75" customHeight="1">
      <c r="A239" s="7">
        <v>238.0</v>
      </c>
      <c r="B239" s="7" t="s">
        <v>615</v>
      </c>
      <c r="C239" s="7" t="s">
        <v>4756</v>
      </c>
      <c r="D239" s="7"/>
      <c r="E239" s="7"/>
      <c r="F239" s="7" t="s">
        <v>4803</v>
      </c>
      <c r="G239" s="7" t="s">
        <v>3297</v>
      </c>
      <c r="H239" s="7" t="s">
        <v>3309</v>
      </c>
      <c r="I239" s="7" t="s">
        <v>3331</v>
      </c>
      <c r="K239" s="7" t="str">
        <f t="shared" si="2"/>
        <v/>
      </c>
      <c r="L239" s="7" t="str">
        <f t="shared" si="3"/>
        <v/>
      </c>
      <c r="M239" s="7">
        <f t="shared" ref="M239:N239" si="245">IF(LEN(M$1),COUNTIF($G239:$I239,M$1),"")</f>
        <v>0</v>
      </c>
      <c r="N239" s="7" t="str">
        <f t="shared" si="245"/>
        <v/>
      </c>
      <c r="O239" s="7" t="str">
        <f t="shared" si="5"/>
        <v/>
      </c>
      <c r="P239" s="7">
        <f t="shared" si="209"/>
        <v>0</v>
      </c>
      <c r="Q239" s="7" t="str">
        <f t="shared" si="7"/>
        <v/>
      </c>
      <c r="R239" s="7" t="s">
        <v>2337</v>
      </c>
      <c r="S239" s="7">
        <v>3.0</v>
      </c>
      <c r="T239" s="7" t="s">
        <v>4744</v>
      </c>
    </row>
    <row r="240" ht="12.75" customHeight="1">
      <c r="A240" s="7">
        <v>239.0</v>
      </c>
      <c r="B240" s="7" t="s">
        <v>615</v>
      </c>
      <c r="C240" s="7" t="s">
        <v>4756</v>
      </c>
      <c r="D240" s="7"/>
      <c r="E240" s="7"/>
      <c r="F240" s="7" t="s">
        <v>4803</v>
      </c>
      <c r="G240" s="7" t="s">
        <v>3329</v>
      </c>
      <c r="H240" s="7" t="s">
        <v>3208</v>
      </c>
      <c r="I240" s="7" t="s">
        <v>3402</v>
      </c>
      <c r="K240" s="7" t="str">
        <f t="shared" si="2"/>
        <v/>
      </c>
      <c r="L240" s="7" t="str">
        <f t="shared" si="3"/>
        <v/>
      </c>
      <c r="M240" s="7">
        <f t="shared" ref="M240:N240" si="246">IF(LEN(M$1),COUNTIF($G240:$I240,M$1),"")</f>
        <v>0</v>
      </c>
      <c r="N240" s="7" t="str">
        <f t="shared" si="246"/>
        <v/>
      </c>
      <c r="O240" s="7" t="str">
        <f t="shared" si="5"/>
        <v/>
      </c>
      <c r="P240" s="7">
        <f t="shared" si="209"/>
        <v>0</v>
      </c>
      <c r="Q240" s="7" t="str">
        <f t="shared" si="7"/>
        <v/>
      </c>
      <c r="R240" s="7" t="s">
        <v>1136</v>
      </c>
      <c r="S240" s="7">
        <v>9.0</v>
      </c>
      <c r="T240" s="7" t="s">
        <v>4807</v>
      </c>
    </row>
    <row r="241" ht="12.75" customHeight="1">
      <c r="A241" s="7">
        <v>240.0</v>
      </c>
      <c r="B241" s="7" t="s">
        <v>622</v>
      </c>
      <c r="C241" s="7" t="s">
        <v>4756</v>
      </c>
      <c r="D241" s="7"/>
      <c r="E241" s="7"/>
      <c r="F241" s="7" t="s">
        <v>4803</v>
      </c>
      <c r="G241" s="7" t="s">
        <v>3402</v>
      </c>
      <c r="H241" s="7" t="s">
        <v>3353</v>
      </c>
      <c r="I241" s="7" t="s">
        <v>3405</v>
      </c>
      <c r="K241" s="7" t="str">
        <f t="shared" si="2"/>
        <v/>
      </c>
      <c r="L241" s="7" t="str">
        <f t="shared" si="3"/>
        <v/>
      </c>
      <c r="M241" s="7">
        <f t="shared" ref="M241:N241" si="247">IF(LEN(M$1),COUNTIF($G241:$I241,M$1),"")</f>
        <v>0</v>
      </c>
      <c r="N241" s="7" t="str">
        <f t="shared" si="247"/>
        <v/>
      </c>
      <c r="O241" s="7" t="str">
        <f t="shared" si="5"/>
        <v/>
      </c>
      <c r="P241" s="7">
        <f t="shared" si="209"/>
        <v>0</v>
      </c>
      <c r="Q241" s="7" t="str">
        <f t="shared" si="7"/>
        <v/>
      </c>
      <c r="R241" s="7" t="s">
        <v>2308</v>
      </c>
      <c r="S241" s="7">
        <v>12.0</v>
      </c>
      <c r="T241" s="7" t="s">
        <v>4708</v>
      </c>
    </row>
    <row r="242" ht="12.75" customHeight="1">
      <c r="A242" s="7">
        <v>241.0</v>
      </c>
      <c r="B242" s="7" t="s">
        <v>622</v>
      </c>
      <c r="C242" s="7" t="s">
        <v>4756</v>
      </c>
      <c r="D242" s="7"/>
      <c r="E242" s="7"/>
      <c r="F242" s="7" t="s">
        <v>4803</v>
      </c>
      <c r="G242" s="7" t="s">
        <v>3290</v>
      </c>
      <c r="H242" s="7" t="s">
        <v>3355</v>
      </c>
      <c r="I242" s="7" t="s">
        <v>3393</v>
      </c>
      <c r="K242" s="7" t="str">
        <f t="shared" si="2"/>
        <v/>
      </c>
      <c r="L242" s="7" t="str">
        <f t="shared" si="3"/>
        <v/>
      </c>
      <c r="M242" s="7">
        <f t="shared" ref="M242:N242" si="248">IF(LEN(M$1),COUNTIF($G242:$I242,M$1),"")</f>
        <v>0</v>
      </c>
      <c r="N242" s="7" t="str">
        <f t="shared" si="248"/>
        <v/>
      </c>
      <c r="O242" s="7" t="str">
        <f t="shared" si="5"/>
        <v/>
      </c>
      <c r="P242" s="7">
        <f t="shared" si="209"/>
        <v>0</v>
      </c>
      <c r="Q242" s="7" t="str">
        <f t="shared" si="7"/>
        <v/>
      </c>
      <c r="R242" s="7" t="s">
        <v>1167</v>
      </c>
      <c r="S242" s="7">
        <v>12.0</v>
      </c>
      <c r="T242" s="7" t="s">
        <v>4808</v>
      </c>
    </row>
    <row r="243" ht="12.75" customHeight="1">
      <c r="A243" s="7">
        <v>242.0</v>
      </c>
      <c r="B243" s="7" t="s">
        <v>630</v>
      </c>
      <c r="C243" s="7" t="s">
        <v>4809</v>
      </c>
      <c r="D243" s="7"/>
      <c r="E243" s="7"/>
      <c r="F243" s="7" t="s">
        <v>4803</v>
      </c>
      <c r="G243" s="7" t="s">
        <v>3342</v>
      </c>
      <c r="H243" s="7" t="s">
        <v>3385</v>
      </c>
      <c r="I243" s="7" t="s">
        <v>3371</v>
      </c>
      <c r="K243" s="7" t="str">
        <f t="shared" si="2"/>
        <v/>
      </c>
      <c r="L243" s="7" t="str">
        <f t="shared" si="3"/>
        <v/>
      </c>
      <c r="M243" s="7">
        <f t="shared" ref="M243:N243" si="249">IF(LEN(M$1),COUNTIF($G243:$I243,M$1),"")</f>
        <v>0</v>
      </c>
      <c r="N243" s="7" t="str">
        <f t="shared" si="249"/>
        <v/>
      </c>
      <c r="O243" s="7" t="str">
        <f t="shared" si="5"/>
        <v/>
      </c>
      <c r="P243" s="7">
        <f t="shared" si="209"/>
        <v>0</v>
      </c>
      <c r="Q243" s="7" t="str">
        <f t="shared" si="7"/>
        <v/>
      </c>
      <c r="R243" s="7" t="s">
        <v>189</v>
      </c>
      <c r="S243" s="7">
        <v>7.0</v>
      </c>
      <c r="T243" s="7" t="s">
        <v>4721</v>
      </c>
    </row>
    <row r="244" ht="12.75" customHeight="1">
      <c r="A244" s="7">
        <v>243.0</v>
      </c>
      <c r="B244" s="7" t="s">
        <v>630</v>
      </c>
      <c r="C244" s="7" t="s">
        <v>4809</v>
      </c>
      <c r="D244" s="7"/>
      <c r="E244" s="7"/>
      <c r="F244" s="7" t="s">
        <v>4803</v>
      </c>
      <c r="G244" s="7" t="s">
        <v>3368</v>
      </c>
      <c r="H244" s="7" t="s">
        <v>3378</v>
      </c>
      <c r="I244" s="7" t="s">
        <v>3383</v>
      </c>
      <c r="K244" s="7" t="str">
        <f t="shared" si="2"/>
        <v/>
      </c>
      <c r="L244" s="7" t="str">
        <f t="shared" si="3"/>
        <v/>
      </c>
      <c r="M244" s="7">
        <f t="shared" ref="M244:N244" si="250">IF(LEN(M$1),COUNTIF($G244:$I244,M$1),"")</f>
        <v>0</v>
      </c>
      <c r="N244" s="7" t="str">
        <f t="shared" si="250"/>
        <v/>
      </c>
      <c r="O244" s="7" t="str">
        <f t="shared" si="5"/>
        <v/>
      </c>
      <c r="P244" s="7">
        <f t="shared" si="209"/>
        <v>0</v>
      </c>
      <c r="Q244" s="7" t="str">
        <f t="shared" si="7"/>
        <v/>
      </c>
      <c r="R244" s="7" t="s">
        <v>220</v>
      </c>
      <c r="S244" s="7">
        <v>8.0</v>
      </c>
      <c r="T244" s="7" t="s">
        <v>4705</v>
      </c>
    </row>
    <row r="245" ht="12.75" customHeight="1">
      <c r="A245" s="7">
        <v>244.0</v>
      </c>
      <c r="B245" s="7" t="s">
        <v>638</v>
      </c>
      <c r="C245" s="7" t="s">
        <v>4809</v>
      </c>
      <c r="D245" s="7"/>
      <c r="E245" s="7"/>
      <c r="F245" s="7" t="s">
        <v>4803</v>
      </c>
      <c r="G245" s="7" t="s">
        <v>3329</v>
      </c>
      <c r="H245" s="7" t="s">
        <v>3254</v>
      </c>
      <c r="I245" s="7" t="s">
        <v>3124</v>
      </c>
      <c r="K245" s="7" t="str">
        <f t="shared" si="2"/>
        <v/>
      </c>
      <c r="L245" s="7" t="str">
        <f t="shared" si="3"/>
        <v/>
      </c>
      <c r="M245" s="7">
        <f t="shared" ref="M245:N245" si="251">IF(LEN(M$1),COUNTIF($G245:$I245,M$1),"")</f>
        <v>0</v>
      </c>
      <c r="N245" s="7" t="str">
        <f t="shared" si="251"/>
        <v/>
      </c>
      <c r="O245" s="7" t="str">
        <f t="shared" si="5"/>
        <v/>
      </c>
      <c r="P245" s="7">
        <f t="shared" si="209"/>
        <v>0</v>
      </c>
      <c r="Q245" s="7" t="str">
        <f t="shared" si="7"/>
        <v/>
      </c>
      <c r="R245" s="7" t="s">
        <v>194</v>
      </c>
      <c r="S245" s="7">
        <v>5.0</v>
      </c>
      <c r="T245" s="7" t="s">
        <v>4800</v>
      </c>
    </row>
    <row r="246" ht="12.75" customHeight="1">
      <c r="A246" s="7">
        <v>245.0</v>
      </c>
      <c r="B246" s="7" t="s">
        <v>638</v>
      </c>
      <c r="C246" s="7" t="s">
        <v>4809</v>
      </c>
      <c r="D246" s="7"/>
      <c r="E246" s="7"/>
      <c r="F246" s="7" t="s">
        <v>4803</v>
      </c>
      <c r="G246" s="7" t="s">
        <v>3375</v>
      </c>
      <c r="H246" s="7" t="s">
        <v>3325</v>
      </c>
      <c r="I246" s="7" t="s">
        <v>3417</v>
      </c>
      <c r="K246" s="7" t="str">
        <f t="shared" si="2"/>
        <v/>
      </c>
      <c r="L246" s="7" t="str">
        <f t="shared" si="3"/>
        <v/>
      </c>
      <c r="M246" s="7">
        <f t="shared" ref="M246:N246" si="252">IF(LEN(M$1),COUNTIF($G246:$I246,M$1),"")</f>
        <v>0</v>
      </c>
      <c r="N246" s="7" t="str">
        <f t="shared" si="252"/>
        <v/>
      </c>
      <c r="O246" s="7" t="str">
        <f t="shared" si="5"/>
        <v/>
      </c>
      <c r="P246" s="7">
        <f t="shared" si="209"/>
        <v>0</v>
      </c>
      <c r="Q246" s="7" t="str">
        <f t="shared" si="7"/>
        <v/>
      </c>
      <c r="R246" s="7" t="s">
        <v>606</v>
      </c>
      <c r="S246" s="7">
        <v>5.0</v>
      </c>
      <c r="T246" s="7" t="s">
        <v>4715</v>
      </c>
    </row>
    <row r="247" ht="12.75" customHeight="1">
      <c r="A247" s="7">
        <v>246.0</v>
      </c>
      <c r="B247" s="7" t="s">
        <v>645</v>
      </c>
      <c r="C247" s="7" t="s">
        <v>4809</v>
      </c>
      <c r="D247" s="7"/>
      <c r="E247" s="7"/>
      <c r="F247" s="7" t="s">
        <v>4803</v>
      </c>
      <c r="G247" s="7" t="s">
        <v>3204</v>
      </c>
      <c r="H247" s="7" t="s">
        <v>3292</v>
      </c>
      <c r="I247" s="7" t="s">
        <v>3358</v>
      </c>
      <c r="K247" s="7" t="str">
        <f t="shared" si="2"/>
        <v/>
      </c>
      <c r="L247" s="7" t="str">
        <f t="shared" si="3"/>
        <v/>
      </c>
      <c r="M247" s="7">
        <f t="shared" ref="M247:N247" si="253">IF(LEN(M$1),COUNTIF($G247:$I247,M$1),"")</f>
        <v>0</v>
      </c>
      <c r="N247" s="7" t="str">
        <f t="shared" si="253"/>
        <v/>
      </c>
      <c r="O247" s="7" t="str">
        <f t="shared" si="5"/>
        <v/>
      </c>
      <c r="P247" s="7">
        <f t="shared" si="209"/>
        <v>0</v>
      </c>
      <c r="Q247" s="7" t="str">
        <f t="shared" si="7"/>
        <v/>
      </c>
      <c r="R247" s="7" t="s">
        <v>2292</v>
      </c>
      <c r="S247" s="7">
        <v>9.0</v>
      </c>
      <c r="T247" s="7" t="s">
        <v>4810</v>
      </c>
    </row>
    <row r="248" ht="12.75" customHeight="1">
      <c r="A248" s="7">
        <v>247.0</v>
      </c>
      <c r="B248" s="7" t="s">
        <v>645</v>
      </c>
      <c r="C248" s="7" t="s">
        <v>4809</v>
      </c>
      <c r="D248" s="7"/>
      <c r="E248" s="7"/>
      <c r="F248" s="7" t="s">
        <v>4803</v>
      </c>
      <c r="G248" s="7" t="s">
        <v>3307</v>
      </c>
      <c r="H248" s="7" t="s">
        <v>3321</v>
      </c>
      <c r="I248" s="7" t="s">
        <v>3365</v>
      </c>
      <c r="K248" s="7" t="str">
        <f t="shared" si="2"/>
        <v/>
      </c>
      <c r="L248" s="7" t="str">
        <f t="shared" si="3"/>
        <v/>
      </c>
      <c r="M248" s="7">
        <f t="shared" ref="M248:N248" si="254">IF(LEN(M$1),COUNTIF($G248:$I248,M$1),"")</f>
        <v>0</v>
      </c>
      <c r="N248" s="7" t="str">
        <f t="shared" si="254"/>
        <v/>
      </c>
      <c r="O248" s="7" t="str">
        <f t="shared" si="5"/>
        <v/>
      </c>
      <c r="P248" s="7">
        <f t="shared" si="209"/>
        <v>0</v>
      </c>
      <c r="Q248" s="7" t="str">
        <f t="shared" si="7"/>
        <v/>
      </c>
      <c r="R248" s="7" t="s">
        <v>2371</v>
      </c>
      <c r="S248" s="7">
        <v>12.0</v>
      </c>
      <c r="T248" s="7" t="s">
        <v>4811</v>
      </c>
    </row>
    <row r="249" ht="12.75" customHeight="1">
      <c r="A249" s="7">
        <v>248.0</v>
      </c>
      <c r="B249" s="84" t="s">
        <v>652</v>
      </c>
      <c r="C249" s="84" t="s">
        <v>4812</v>
      </c>
      <c r="F249" s="7" t="s">
        <v>4803</v>
      </c>
      <c r="G249" s="7" t="s">
        <v>3417</v>
      </c>
      <c r="H249" s="7" t="s">
        <v>3355</v>
      </c>
      <c r="I249" s="7" t="s">
        <v>3317</v>
      </c>
      <c r="K249" s="7" t="str">
        <f t="shared" si="2"/>
        <v/>
      </c>
      <c r="L249" s="7" t="str">
        <f t="shared" si="3"/>
        <v/>
      </c>
      <c r="M249" s="7">
        <f t="shared" ref="M249:N249" si="255">IF(LEN(M$1),COUNTIF($G249:$I249,M$1),"")</f>
        <v>0</v>
      </c>
      <c r="N249" s="7" t="str">
        <f t="shared" si="255"/>
        <v/>
      </c>
      <c r="O249" s="7" t="str">
        <f t="shared" si="5"/>
        <v/>
      </c>
      <c r="P249" s="7">
        <f t="shared" si="209"/>
        <v>0</v>
      </c>
      <c r="Q249" s="7" t="str">
        <f t="shared" si="7"/>
        <v/>
      </c>
      <c r="R249" s="7" t="s">
        <v>924</v>
      </c>
      <c r="S249" s="7">
        <v>5.0</v>
      </c>
      <c r="T249" s="7" t="s">
        <v>4800</v>
      </c>
    </row>
    <row r="250" ht="12.75" customHeight="1">
      <c r="A250" s="7">
        <v>249.0</v>
      </c>
      <c r="B250" s="7" t="s">
        <v>652</v>
      </c>
      <c r="C250" s="7" t="s">
        <v>4812</v>
      </c>
      <c r="D250" s="7"/>
      <c r="E250" s="7"/>
      <c r="F250" s="7" t="s">
        <v>4803</v>
      </c>
      <c r="G250" s="7" t="s">
        <v>3413</v>
      </c>
      <c r="H250" s="7" t="s">
        <v>3218</v>
      </c>
      <c r="I250" s="7" t="s">
        <v>3142</v>
      </c>
      <c r="K250" s="7" t="str">
        <f t="shared" si="2"/>
        <v/>
      </c>
      <c r="L250" s="7" t="str">
        <f t="shared" si="3"/>
        <v/>
      </c>
      <c r="M250" s="7">
        <f t="shared" ref="M250:N250" si="256">IF(LEN(M$1),COUNTIF($G250:$I250,M$1),"")</f>
        <v>0</v>
      </c>
      <c r="N250" s="7" t="str">
        <f t="shared" si="256"/>
        <v/>
      </c>
      <c r="O250" s="7" t="str">
        <f t="shared" si="5"/>
        <v/>
      </c>
      <c r="P250" s="7">
        <f t="shared" si="209"/>
        <v>0</v>
      </c>
      <c r="Q250" s="7" t="str">
        <f t="shared" si="7"/>
        <v/>
      </c>
      <c r="R250" s="7" t="s">
        <v>1527</v>
      </c>
      <c r="S250" s="7">
        <v>6.0</v>
      </c>
      <c r="T250" s="7" t="s">
        <v>4729</v>
      </c>
    </row>
    <row r="251" ht="12.75" customHeight="1">
      <c r="A251" s="7">
        <v>250.0</v>
      </c>
      <c r="B251" s="7" t="s">
        <v>659</v>
      </c>
      <c r="C251" s="7" t="s">
        <v>4812</v>
      </c>
      <c r="D251" s="7"/>
      <c r="E251" s="7"/>
      <c r="F251" s="7" t="s">
        <v>4803</v>
      </c>
      <c r="G251" s="7" t="s">
        <v>3336</v>
      </c>
      <c r="H251" s="7" t="s">
        <v>3400</v>
      </c>
      <c r="I251" s="7" t="s">
        <v>3345</v>
      </c>
      <c r="K251" s="7" t="str">
        <f t="shared" si="2"/>
        <v/>
      </c>
      <c r="L251" s="7" t="str">
        <f t="shared" si="3"/>
        <v/>
      </c>
      <c r="M251" s="7">
        <f t="shared" ref="M251:N251" si="257">IF(LEN(M$1),COUNTIF($G251:$I251,M$1),"")</f>
        <v>0</v>
      </c>
      <c r="N251" s="7" t="str">
        <f t="shared" si="257"/>
        <v/>
      </c>
      <c r="O251" s="7" t="str">
        <f t="shared" si="5"/>
        <v/>
      </c>
      <c r="P251" s="7">
        <f t="shared" si="209"/>
        <v>0</v>
      </c>
      <c r="Q251" s="7" t="str">
        <f t="shared" si="7"/>
        <v/>
      </c>
      <c r="R251" s="7" t="s">
        <v>753</v>
      </c>
      <c r="S251" s="7">
        <v>6.0</v>
      </c>
      <c r="T251" s="7" t="s">
        <v>4813</v>
      </c>
    </row>
    <row r="252" ht="12.75" customHeight="1">
      <c r="A252" s="7">
        <v>251.0</v>
      </c>
      <c r="B252" s="7" t="s">
        <v>659</v>
      </c>
      <c r="C252" s="7" t="s">
        <v>4812</v>
      </c>
      <c r="D252" s="7"/>
      <c r="E252" s="7"/>
      <c r="F252" s="7" t="s">
        <v>4803</v>
      </c>
      <c r="G252" s="7" t="s">
        <v>3413</v>
      </c>
      <c r="H252" s="7" t="s">
        <v>3348</v>
      </c>
      <c r="I252" s="7" t="s">
        <v>3405</v>
      </c>
      <c r="K252" s="7" t="str">
        <f t="shared" si="2"/>
        <v/>
      </c>
      <c r="L252" s="7" t="str">
        <f t="shared" si="3"/>
        <v/>
      </c>
      <c r="M252" s="7">
        <f t="shared" ref="M252:N252" si="258">IF(LEN(M$1),COUNTIF($G252:$I252,M$1),"")</f>
        <v>0</v>
      </c>
      <c r="N252" s="7" t="str">
        <f t="shared" si="258"/>
        <v/>
      </c>
      <c r="O252" s="7" t="str">
        <f t="shared" si="5"/>
        <v/>
      </c>
      <c r="P252" s="7">
        <f t="shared" si="209"/>
        <v>0</v>
      </c>
      <c r="Q252" s="7" t="str">
        <f t="shared" si="7"/>
        <v/>
      </c>
      <c r="R252" s="7" t="s">
        <v>1033</v>
      </c>
      <c r="S252" s="7">
        <v>4.0</v>
      </c>
      <c r="T252" s="7" t="s">
        <v>4722</v>
      </c>
    </row>
    <row r="253" ht="12.75" customHeight="1">
      <c r="A253" s="7">
        <v>252.0</v>
      </c>
      <c r="B253" s="7" t="s">
        <v>667</v>
      </c>
      <c r="C253" s="7" t="s">
        <v>4814</v>
      </c>
      <c r="D253" s="7"/>
      <c r="E253" s="7"/>
      <c r="F253" s="7" t="s">
        <v>4803</v>
      </c>
      <c r="G253" s="7" t="s">
        <v>3381</v>
      </c>
      <c r="H253" s="7" t="s">
        <v>3385</v>
      </c>
      <c r="I253" s="7" t="s">
        <v>3321</v>
      </c>
      <c r="K253" s="7" t="str">
        <f t="shared" si="2"/>
        <v/>
      </c>
      <c r="L253" s="7" t="str">
        <f t="shared" si="3"/>
        <v/>
      </c>
      <c r="M253" s="7">
        <f t="shared" ref="M253:N253" si="259">IF(LEN(M$1),COUNTIF($G253:$I253,M$1),"")</f>
        <v>0</v>
      </c>
      <c r="N253" s="7" t="str">
        <f t="shared" si="259"/>
        <v/>
      </c>
      <c r="O253" s="7" t="str">
        <f t="shared" si="5"/>
        <v/>
      </c>
      <c r="P253" s="7">
        <f t="shared" si="209"/>
        <v>0</v>
      </c>
      <c r="Q253" s="7" t="str">
        <f t="shared" si="7"/>
        <v/>
      </c>
      <c r="R253" s="7" t="s">
        <v>1577</v>
      </c>
      <c r="S253" s="7">
        <v>5.0</v>
      </c>
      <c r="T253" s="7" t="s">
        <v>4747</v>
      </c>
    </row>
    <row r="254" ht="12.75" customHeight="1">
      <c r="A254" s="7">
        <v>253.0</v>
      </c>
      <c r="B254" s="7" t="s">
        <v>667</v>
      </c>
      <c r="C254" s="7" t="s">
        <v>4814</v>
      </c>
      <c r="D254" s="7"/>
      <c r="E254" s="7"/>
      <c r="F254" s="7" t="s">
        <v>4803</v>
      </c>
      <c r="G254" s="7" t="s">
        <v>3323</v>
      </c>
      <c r="H254" s="7" t="s">
        <v>3198</v>
      </c>
      <c r="I254" s="7" t="s">
        <v>3241</v>
      </c>
      <c r="K254" s="7" t="str">
        <f t="shared" si="2"/>
        <v/>
      </c>
      <c r="L254" s="7" t="str">
        <f t="shared" si="3"/>
        <v/>
      </c>
      <c r="M254" s="7">
        <f t="shared" ref="M254:N254" si="260">IF(LEN(M$1),COUNTIF($G254:$I254,M$1),"")</f>
        <v>0</v>
      </c>
      <c r="N254" s="7" t="str">
        <f t="shared" si="260"/>
        <v/>
      </c>
      <c r="O254" s="7" t="str">
        <f t="shared" si="5"/>
        <v/>
      </c>
      <c r="P254" s="7">
        <f t="shared" si="209"/>
        <v>0</v>
      </c>
      <c r="Q254" s="7" t="str">
        <f t="shared" si="7"/>
        <v/>
      </c>
      <c r="R254" s="7" t="s">
        <v>1347</v>
      </c>
      <c r="S254" s="7">
        <v>5.0</v>
      </c>
      <c r="T254" s="7" t="s">
        <v>4771</v>
      </c>
    </row>
    <row r="255" ht="12.75" customHeight="1">
      <c r="A255" s="7">
        <v>254.0</v>
      </c>
      <c r="B255" s="7" t="s">
        <v>676</v>
      </c>
      <c r="C255" s="7" t="s">
        <v>4814</v>
      </c>
      <c r="D255" s="7"/>
      <c r="E255" s="7"/>
      <c r="F255" s="7" t="s">
        <v>4803</v>
      </c>
      <c r="G255" s="7" t="s">
        <v>3353</v>
      </c>
      <c r="H255" s="7" t="s">
        <v>3336</v>
      </c>
      <c r="I255" s="7" t="s">
        <v>3417</v>
      </c>
      <c r="K255" s="7" t="str">
        <f t="shared" si="2"/>
        <v/>
      </c>
      <c r="L255" s="7" t="str">
        <f t="shared" si="3"/>
        <v/>
      </c>
      <c r="M255" s="7">
        <f t="shared" ref="M255:N255" si="261">IF(LEN(M$1),COUNTIF($G255:$I255,M$1),"")</f>
        <v>0</v>
      </c>
      <c r="N255" s="7" t="str">
        <f t="shared" si="261"/>
        <v/>
      </c>
      <c r="O255" s="7" t="str">
        <f t="shared" si="5"/>
        <v/>
      </c>
      <c r="P255" s="7">
        <f t="shared" si="209"/>
        <v>0</v>
      </c>
      <c r="Q255" s="7" t="str">
        <f t="shared" si="7"/>
        <v/>
      </c>
      <c r="R255" s="7" t="s">
        <v>1286</v>
      </c>
      <c r="S255" s="7">
        <v>6.0</v>
      </c>
      <c r="T255" s="7" t="s">
        <v>4706</v>
      </c>
    </row>
    <row r="256" ht="12.75" customHeight="1">
      <c r="A256" s="7">
        <v>255.0</v>
      </c>
      <c r="B256" s="7" t="s">
        <v>676</v>
      </c>
      <c r="C256" s="7" t="s">
        <v>4814</v>
      </c>
      <c r="D256" s="7"/>
      <c r="E256" s="7"/>
      <c r="F256" s="7" t="s">
        <v>4803</v>
      </c>
      <c r="G256" s="7" t="s">
        <v>3124</v>
      </c>
      <c r="H256" s="7" t="s">
        <v>3287</v>
      </c>
      <c r="I256" s="7" t="s">
        <v>3400</v>
      </c>
      <c r="K256" s="7" t="str">
        <f t="shared" si="2"/>
        <v/>
      </c>
      <c r="L256" s="7" t="str">
        <f t="shared" si="3"/>
        <v/>
      </c>
      <c r="M256" s="7">
        <f t="shared" ref="M256:N256" si="262">IF(LEN(M$1),COUNTIF($G256:$I256,M$1),"")</f>
        <v>0</v>
      </c>
      <c r="N256" s="7" t="str">
        <f t="shared" si="262"/>
        <v/>
      </c>
      <c r="O256" s="7" t="str">
        <f t="shared" si="5"/>
        <v/>
      </c>
      <c r="P256" s="7">
        <f t="shared" si="209"/>
        <v>0</v>
      </c>
      <c r="Q256" s="7" t="str">
        <f t="shared" si="7"/>
        <v/>
      </c>
      <c r="R256" s="7" t="s">
        <v>379</v>
      </c>
      <c r="S256" s="7">
        <v>6.0</v>
      </c>
      <c r="T256" s="7" t="s">
        <v>4706</v>
      </c>
    </row>
    <row r="257" ht="12.75" customHeight="1">
      <c r="A257" s="7">
        <v>256.0</v>
      </c>
      <c r="B257" s="7" t="s">
        <v>427</v>
      </c>
      <c r="C257" s="7" t="s">
        <v>4758</v>
      </c>
      <c r="D257" s="7"/>
      <c r="E257" s="7"/>
      <c r="F257" s="7" t="s">
        <v>4803</v>
      </c>
      <c r="G257" s="7" t="s">
        <v>3299</v>
      </c>
      <c r="H257" s="7" t="s">
        <v>3192</v>
      </c>
      <c r="I257" s="7" t="s">
        <v>3368</v>
      </c>
      <c r="K257" s="7" t="str">
        <f t="shared" si="2"/>
        <v/>
      </c>
      <c r="L257" s="7" t="str">
        <f t="shared" si="3"/>
        <v/>
      </c>
      <c r="M257" s="7">
        <f t="shared" ref="M257:N257" si="263">IF(LEN(M$1),COUNTIF($G257:$I257,M$1),"")</f>
        <v>0</v>
      </c>
      <c r="N257" s="7" t="str">
        <f t="shared" si="263"/>
        <v/>
      </c>
      <c r="O257" s="7" t="str">
        <f t="shared" si="5"/>
        <v/>
      </c>
      <c r="P257" s="7">
        <f t="shared" si="209"/>
        <v>0</v>
      </c>
      <c r="Q257" s="7" t="str">
        <f t="shared" si="7"/>
        <v/>
      </c>
      <c r="R257" s="7" t="s">
        <v>659</v>
      </c>
      <c r="S257" s="7">
        <v>5.0</v>
      </c>
      <c r="T257" s="7" t="s">
        <v>4715</v>
      </c>
    </row>
    <row r="258" ht="12.75" customHeight="1">
      <c r="A258" s="7">
        <v>257.0</v>
      </c>
      <c r="B258" s="7" t="s">
        <v>427</v>
      </c>
      <c r="C258" s="7" t="s">
        <v>4758</v>
      </c>
      <c r="D258" s="7"/>
      <c r="E258" s="7"/>
      <c r="F258" s="7" t="s">
        <v>4803</v>
      </c>
      <c r="G258" s="7" t="s">
        <v>3317</v>
      </c>
      <c r="H258" s="7" t="s">
        <v>3121</v>
      </c>
      <c r="I258" s="7" t="s">
        <v>3176</v>
      </c>
      <c r="K258" s="7" t="str">
        <f t="shared" si="2"/>
        <v/>
      </c>
      <c r="L258" s="7" t="str">
        <f t="shared" si="3"/>
        <v/>
      </c>
      <c r="M258" s="7">
        <f t="shared" ref="M258:N258" si="264">IF(LEN(M$1),COUNTIF($G258:$I258,M$1),"")</f>
        <v>0</v>
      </c>
      <c r="N258" s="7" t="str">
        <f t="shared" si="264"/>
        <v/>
      </c>
      <c r="O258" s="7" t="str">
        <f t="shared" si="5"/>
        <v/>
      </c>
      <c r="P258" s="7">
        <f t="shared" si="209"/>
        <v>0</v>
      </c>
      <c r="Q258" s="7" t="str">
        <f t="shared" si="7"/>
        <v/>
      </c>
      <c r="R258" s="7" t="s">
        <v>1570</v>
      </c>
      <c r="S258" s="7">
        <v>6.0</v>
      </c>
      <c r="T258" s="7" t="s">
        <v>4729</v>
      </c>
    </row>
    <row r="259" ht="12.75" customHeight="1">
      <c r="A259" s="7">
        <v>258.0</v>
      </c>
      <c r="B259" s="7" t="s">
        <v>233</v>
      </c>
      <c r="C259" s="7" t="s">
        <v>4758</v>
      </c>
      <c r="D259" s="7"/>
      <c r="E259" s="7"/>
      <c r="F259" s="7" t="s">
        <v>4803</v>
      </c>
      <c r="G259" s="7" t="s">
        <v>3301</v>
      </c>
      <c r="H259" s="7" t="s">
        <v>3422</v>
      </c>
      <c r="I259" s="7" t="s">
        <v>3362</v>
      </c>
      <c r="K259" s="7" t="str">
        <f t="shared" si="2"/>
        <v/>
      </c>
      <c r="L259" s="7" t="str">
        <f t="shared" si="3"/>
        <v/>
      </c>
      <c r="M259" s="7">
        <f t="shared" ref="M259:N259" si="265">IF(LEN(M$1),COUNTIF($G259:$I259,M$1),"")</f>
        <v>0</v>
      </c>
      <c r="N259" s="7" t="str">
        <f t="shared" si="265"/>
        <v/>
      </c>
      <c r="O259" s="7" t="str">
        <f t="shared" si="5"/>
        <v/>
      </c>
      <c r="P259" s="7">
        <f t="shared" si="209"/>
        <v>0</v>
      </c>
      <c r="Q259" s="7" t="str">
        <f t="shared" si="7"/>
        <v/>
      </c>
      <c r="R259" s="7" t="s">
        <v>1244</v>
      </c>
      <c r="S259" s="7">
        <v>6.0</v>
      </c>
      <c r="T259" s="7" t="s">
        <v>4706</v>
      </c>
    </row>
    <row r="260" ht="12.75" customHeight="1">
      <c r="A260" s="7">
        <v>259.0</v>
      </c>
      <c r="B260" s="7" t="s">
        <v>233</v>
      </c>
      <c r="C260" s="7" t="s">
        <v>4758</v>
      </c>
      <c r="D260" s="7"/>
      <c r="E260" s="7"/>
      <c r="F260" s="7" t="s">
        <v>4803</v>
      </c>
      <c r="G260" s="7" t="s">
        <v>3410</v>
      </c>
      <c r="H260" s="7" t="s">
        <v>3355</v>
      </c>
      <c r="I260" s="7" t="s">
        <v>3339</v>
      </c>
      <c r="K260" s="7" t="str">
        <f t="shared" si="2"/>
        <v/>
      </c>
      <c r="L260" s="7" t="str">
        <f t="shared" si="3"/>
        <v/>
      </c>
      <c r="M260" s="7">
        <f t="shared" ref="M260:N260" si="266">IF(LEN(M$1),COUNTIF($G260:$I260,M$1),"")</f>
        <v>0</v>
      </c>
      <c r="N260" s="7" t="str">
        <f t="shared" si="266"/>
        <v/>
      </c>
      <c r="O260" s="7" t="str">
        <f t="shared" si="5"/>
        <v/>
      </c>
      <c r="P260" s="7">
        <f t="shared" si="209"/>
        <v>0</v>
      </c>
      <c r="Q260" s="7" t="str">
        <f t="shared" si="7"/>
        <v/>
      </c>
      <c r="R260" s="7" t="s">
        <v>254</v>
      </c>
      <c r="S260" s="7">
        <v>7.0</v>
      </c>
      <c r="T260" s="7" t="s">
        <v>4719</v>
      </c>
    </row>
    <row r="261" ht="12.75" customHeight="1">
      <c r="A261" s="7">
        <v>260.0</v>
      </c>
      <c r="B261" s="7" t="s">
        <v>233</v>
      </c>
      <c r="C261" s="7" t="s">
        <v>4758</v>
      </c>
      <c r="D261" s="7"/>
      <c r="E261" s="7"/>
      <c r="F261" s="7" t="s">
        <v>4803</v>
      </c>
      <c r="G261" s="7" t="s">
        <v>3317</v>
      </c>
      <c r="H261" s="7" t="s">
        <v>3124</v>
      </c>
      <c r="I261" s="7" t="s">
        <v>3234</v>
      </c>
      <c r="K261" s="7" t="str">
        <f t="shared" si="2"/>
        <v/>
      </c>
      <c r="L261" s="7" t="str">
        <f t="shared" si="3"/>
        <v/>
      </c>
      <c r="M261" s="7">
        <f t="shared" ref="M261:N261" si="267">IF(LEN(M$1),COUNTIF($G261:$I261,M$1),"")</f>
        <v>0</v>
      </c>
      <c r="N261" s="7" t="str">
        <f t="shared" si="267"/>
        <v/>
      </c>
      <c r="O261" s="7" t="str">
        <f t="shared" si="5"/>
        <v/>
      </c>
      <c r="P261" s="7">
        <f t="shared" si="209"/>
        <v>0</v>
      </c>
      <c r="Q261" s="7" t="str">
        <f t="shared" si="7"/>
        <v/>
      </c>
      <c r="R261" s="7" t="s">
        <v>1445</v>
      </c>
      <c r="S261" s="7">
        <v>6.0</v>
      </c>
      <c r="T261" s="7" t="s">
        <v>4729</v>
      </c>
    </row>
    <row r="262" ht="12.75" customHeight="1">
      <c r="A262" s="7">
        <v>261.0</v>
      </c>
      <c r="B262" s="7" t="s">
        <v>698</v>
      </c>
      <c r="C262" s="7" t="s">
        <v>4758</v>
      </c>
      <c r="D262" s="7"/>
      <c r="E262" s="7"/>
      <c r="F262" s="7" t="s">
        <v>4803</v>
      </c>
      <c r="G262" s="7" t="s">
        <v>3307</v>
      </c>
      <c r="H262" s="7" t="s">
        <v>3163</v>
      </c>
      <c r="I262" s="7" t="s">
        <v>3187</v>
      </c>
      <c r="K262" s="7" t="str">
        <f t="shared" si="2"/>
        <v/>
      </c>
      <c r="L262" s="7" t="str">
        <f t="shared" si="3"/>
        <v/>
      </c>
      <c r="M262" s="7">
        <f t="shared" ref="M262:N262" si="268">IF(LEN(M$1),COUNTIF($G262:$I262,M$1),"")</f>
        <v>0</v>
      </c>
      <c r="N262" s="7" t="str">
        <f t="shared" si="268"/>
        <v/>
      </c>
      <c r="O262" s="7" t="str">
        <f t="shared" si="5"/>
        <v/>
      </c>
      <c r="P262" s="7">
        <f t="shared" si="209"/>
        <v>0</v>
      </c>
      <c r="Q262" s="7" t="str">
        <f t="shared" si="7"/>
        <v/>
      </c>
      <c r="R262" s="7" t="s">
        <v>2345</v>
      </c>
      <c r="S262" s="7">
        <v>3.0</v>
      </c>
      <c r="T262" s="7" t="s">
        <v>4804</v>
      </c>
    </row>
    <row r="263" ht="12.75" customHeight="1">
      <c r="A263" s="7">
        <v>262.0</v>
      </c>
      <c r="B263" s="7" t="s">
        <v>698</v>
      </c>
      <c r="C263" s="7" t="s">
        <v>4758</v>
      </c>
      <c r="D263" s="7"/>
      <c r="E263" s="7"/>
      <c r="F263" s="7" t="s">
        <v>4803</v>
      </c>
      <c r="G263" s="7" t="s">
        <v>3115</v>
      </c>
      <c r="H263" s="7" t="s">
        <v>3388</v>
      </c>
      <c r="I263" s="7" t="s">
        <v>3422</v>
      </c>
      <c r="K263" s="7" t="str">
        <f t="shared" si="2"/>
        <v/>
      </c>
      <c r="L263" s="7" t="str">
        <f t="shared" si="3"/>
        <v/>
      </c>
      <c r="M263" s="7">
        <f t="shared" ref="M263:N263" si="269">IF(LEN(M$1),COUNTIF($G263:$I263,M$1),"")</f>
        <v>0</v>
      </c>
      <c r="N263" s="7" t="str">
        <f t="shared" si="269"/>
        <v/>
      </c>
      <c r="O263" s="7" t="str">
        <f t="shared" si="5"/>
        <v/>
      </c>
      <c r="P263" s="7">
        <f t="shared" si="209"/>
        <v>0</v>
      </c>
      <c r="Q263" s="7" t="str">
        <f t="shared" si="7"/>
        <v/>
      </c>
      <c r="R263" s="7" t="s">
        <v>2210</v>
      </c>
      <c r="S263" s="7">
        <v>9.0</v>
      </c>
      <c r="T263" s="7" t="s">
        <v>4760</v>
      </c>
    </row>
    <row r="264" ht="12.75" customHeight="1">
      <c r="A264" s="7">
        <v>263.0</v>
      </c>
      <c r="B264" s="7" t="s">
        <v>704</v>
      </c>
      <c r="C264" s="7" t="s">
        <v>4815</v>
      </c>
      <c r="D264" s="7"/>
      <c r="E264" s="7"/>
      <c r="F264" s="7" t="s">
        <v>4803</v>
      </c>
      <c r="G264" s="7" t="s">
        <v>3119</v>
      </c>
      <c r="H264" s="7" t="s">
        <v>3373</v>
      </c>
      <c r="I264" s="7" t="s">
        <v>3287</v>
      </c>
      <c r="K264" s="7" t="str">
        <f t="shared" si="2"/>
        <v/>
      </c>
      <c r="L264" s="7" t="str">
        <f t="shared" si="3"/>
        <v/>
      </c>
      <c r="M264" s="7">
        <f t="shared" ref="M264:N264" si="270">IF(LEN(M$1),COUNTIF($G264:$I264,M$1),"")</f>
        <v>0</v>
      </c>
      <c r="N264" s="7" t="str">
        <f t="shared" si="270"/>
        <v/>
      </c>
      <c r="O264" s="7" t="str">
        <f t="shared" si="5"/>
        <v/>
      </c>
      <c r="P264" s="7">
        <f t="shared" si="209"/>
        <v>0</v>
      </c>
      <c r="Q264" s="7" t="str">
        <f t="shared" si="7"/>
        <v/>
      </c>
      <c r="R264" s="7" t="s">
        <v>2411</v>
      </c>
      <c r="S264" s="7">
        <v>6.0</v>
      </c>
      <c r="T264" s="7" t="s">
        <v>4816</v>
      </c>
    </row>
    <row r="265" ht="12.75" customHeight="1">
      <c r="A265" s="7">
        <v>264.0</v>
      </c>
      <c r="B265" s="7" t="s">
        <v>704</v>
      </c>
      <c r="C265" s="7" t="s">
        <v>4815</v>
      </c>
      <c r="D265" s="7"/>
      <c r="E265" s="7"/>
      <c r="F265" s="7" t="s">
        <v>4803</v>
      </c>
      <c r="G265" s="7" t="s">
        <v>3292</v>
      </c>
      <c r="H265" s="7" t="s">
        <v>3408</v>
      </c>
      <c r="I265" s="7" t="s">
        <v>3329</v>
      </c>
      <c r="K265" s="7" t="str">
        <f t="shared" si="2"/>
        <v/>
      </c>
      <c r="L265" s="7" t="str">
        <f t="shared" si="3"/>
        <v/>
      </c>
      <c r="M265" s="7">
        <f t="shared" ref="M265:N265" si="271">IF(LEN(M$1),COUNTIF($G265:$I265,M$1),"")</f>
        <v>0</v>
      </c>
      <c r="N265" s="7" t="str">
        <f t="shared" si="271"/>
        <v/>
      </c>
      <c r="O265" s="7" t="str">
        <f t="shared" si="5"/>
        <v/>
      </c>
      <c r="P265" s="7">
        <f t="shared" si="209"/>
        <v>0</v>
      </c>
      <c r="Q265" s="7" t="str">
        <f t="shared" si="7"/>
        <v/>
      </c>
      <c r="R265" s="7" t="s">
        <v>1468</v>
      </c>
      <c r="S265" s="7">
        <v>6.0</v>
      </c>
      <c r="T265" s="7" t="s">
        <v>4729</v>
      </c>
    </row>
    <row r="266" ht="12.75" customHeight="1">
      <c r="A266" s="7">
        <v>265.0</v>
      </c>
      <c r="B266" s="7" t="s">
        <v>712</v>
      </c>
      <c r="C266" s="7" t="s">
        <v>4815</v>
      </c>
      <c r="D266" s="7"/>
      <c r="E266" s="7"/>
      <c r="F266" s="7" t="s">
        <v>4803</v>
      </c>
      <c r="G266" s="7" t="s">
        <v>3415</v>
      </c>
      <c r="H266" s="7" t="s">
        <v>3353</v>
      </c>
      <c r="I266" s="7" t="s">
        <v>3290</v>
      </c>
      <c r="K266" s="7" t="str">
        <f t="shared" si="2"/>
        <v/>
      </c>
      <c r="L266" s="7" t="str">
        <f t="shared" si="3"/>
        <v/>
      </c>
      <c r="M266" s="7">
        <f t="shared" ref="M266:N266" si="272">IF(LEN(M$1),COUNTIF($G266:$I266,M$1),"")</f>
        <v>0</v>
      </c>
      <c r="N266" s="7" t="str">
        <f t="shared" si="272"/>
        <v/>
      </c>
      <c r="O266" s="7" t="str">
        <f t="shared" si="5"/>
        <v/>
      </c>
      <c r="P266" s="7">
        <f t="shared" si="209"/>
        <v>0</v>
      </c>
      <c r="Q266" s="7" t="str">
        <f t="shared" si="7"/>
        <v/>
      </c>
      <c r="R266" s="7" t="s">
        <v>786</v>
      </c>
      <c r="S266" s="7">
        <v>6.0</v>
      </c>
      <c r="T266" s="7" t="s">
        <v>4817</v>
      </c>
    </row>
    <row r="267" ht="12.75" customHeight="1">
      <c r="A267" s="7">
        <v>266.0</v>
      </c>
      <c r="B267" s="7" t="s">
        <v>712</v>
      </c>
      <c r="C267" s="7" t="s">
        <v>4815</v>
      </c>
      <c r="D267" s="7"/>
      <c r="E267" s="7"/>
      <c r="F267" s="7" t="s">
        <v>4803</v>
      </c>
      <c r="G267" s="7" t="s">
        <v>3295</v>
      </c>
      <c r="H267" s="7" t="s">
        <v>3299</v>
      </c>
      <c r="I267" s="7" t="s">
        <v>3420</v>
      </c>
      <c r="K267" s="7" t="str">
        <f t="shared" si="2"/>
        <v/>
      </c>
      <c r="L267" s="7" t="str">
        <f t="shared" si="3"/>
        <v/>
      </c>
      <c r="M267" s="7">
        <f t="shared" ref="M267:N267" si="273">IF(LEN(M$1),COUNTIF($G267:$I267,M$1),"")</f>
        <v>0</v>
      </c>
      <c r="N267" s="7" t="str">
        <f t="shared" si="273"/>
        <v/>
      </c>
      <c r="O267" s="7" t="str">
        <f t="shared" si="5"/>
        <v/>
      </c>
      <c r="P267" s="7">
        <f t="shared" si="209"/>
        <v>0</v>
      </c>
      <c r="Q267" s="7" t="str">
        <f t="shared" si="7"/>
        <v/>
      </c>
      <c r="R267" s="7" t="s">
        <v>777</v>
      </c>
      <c r="S267" s="7">
        <v>5.0</v>
      </c>
      <c r="T267" s="7" t="s">
        <v>4715</v>
      </c>
    </row>
    <row r="268" ht="12.75" customHeight="1">
      <c r="A268" s="7">
        <v>267.0</v>
      </c>
      <c r="B268" s="7" t="s">
        <v>720</v>
      </c>
      <c r="C268" s="7" t="s">
        <v>4818</v>
      </c>
      <c r="D268" s="7"/>
      <c r="E268" s="7"/>
      <c r="F268" s="7" t="s">
        <v>4803</v>
      </c>
      <c r="G268" s="7" t="s">
        <v>3315</v>
      </c>
      <c r="H268" s="7" t="s">
        <v>3325</v>
      </c>
      <c r="I268" s="7" t="s">
        <v>3305</v>
      </c>
      <c r="K268" s="7" t="str">
        <f t="shared" si="2"/>
        <v/>
      </c>
      <c r="L268" s="7" t="str">
        <f t="shared" si="3"/>
        <v/>
      </c>
      <c r="M268" s="7">
        <f t="shared" ref="M268:N268" si="274">IF(LEN(M$1),COUNTIF($G268:$I268,M$1),"")</f>
        <v>0</v>
      </c>
      <c r="N268" s="7" t="str">
        <f t="shared" si="274"/>
        <v/>
      </c>
      <c r="O268" s="7" t="str">
        <f t="shared" si="5"/>
        <v/>
      </c>
      <c r="P268" s="7">
        <f t="shared" si="209"/>
        <v>0</v>
      </c>
      <c r="Q268" s="7" t="str">
        <f t="shared" si="7"/>
        <v/>
      </c>
      <c r="R268" s="7" t="s">
        <v>1098</v>
      </c>
      <c r="S268" s="7">
        <v>4.0</v>
      </c>
      <c r="T268" s="7" t="s">
        <v>4722</v>
      </c>
    </row>
    <row r="269" ht="12.75" customHeight="1">
      <c r="A269" s="7">
        <v>268.0</v>
      </c>
      <c r="B269" s="7" t="s">
        <v>720</v>
      </c>
      <c r="C269" s="7" t="s">
        <v>4818</v>
      </c>
      <c r="D269" s="7"/>
      <c r="E269" s="7"/>
      <c r="F269" s="7" t="s">
        <v>4803</v>
      </c>
      <c r="G269" s="7" t="s">
        <v>3381</v>
      </c>
      <c r="H269" s="7" t="s">
        <v>3388</v>
      </c>
      <c r="I269" s="7" t="s">
        <v>3336</v>
      </c>
      <c r="K269" s="7" t="str">
        <f t="shared" si="2"/>
        <v/>
      </c>
      <c r="L269" s="7" t="str">
        <f t="shared" si="3"/>
        <v/>
      </c>
      <c r="M269" s="7">
        <f t="shared" ref="M269:N269" si="275">IF(LEN(M$1),COUNTIF($G269:$I269,M$1),"")</f>
        <v>0</v>
      </c>
      <c r="N269" s="7" t="str">
        <f t="shared" si="275"/>
        <v/>
      </c>
      <c r="O269" s="7" t="str">
        <f t="shared" si="5"/>
        <v/>
      </c>
      <c r="P269" s="7">
        <f t="shared" si="209"/>
        <v>0</v>
      </c>
      <c r="Q269" s="7" t="str">
        <f t="shared" si="7"/>
        <v/>
      </c>
      <c r="R269" s="7" t="s">
        <v>1807</v>
      </c>
      <c r="S269" s="7">
        <v>11.0</v>
      </c>
      <c r="T269" s="7" t="s">
        <v>4703</v>
      </c>
    </row>
    <row r="270" ht="12.75" customHeight="1">
      <c r="A270" s="7">
        <v>269.0</v>
      </c>
      <c r="B270" s="7" t="s">
        <v>729</v>
      </c>
      <c r="C270" s="7" t="s">
        <v>4818</v>
      </c>
      <c r="D270" s="7"/>
      <c r="E270" s="7"/>
      <c r="F270" s="7" t="s">
        <v>4803</v>
      </c>
      <c r="G270" s="7" t="s">
        <v>3362</v>
      </c>
      <c r="H270" s="7" t="s">
        <v>3292</v>
      </c>
      <c r="I270" s="7" t="s">
        <v>3373</v>
      </c>
      <c r="K270" s="7" t="str">
        <f t="shared" si="2"/>
        <v/>
      </c>
      <c r="L270" s="7" t="str">
        <f t="shared" si="3"/>
        <v/>
      </c>
      <c r="M270" s="7">
        <f t="shared" ref="M270:N270" si="276">IF(LEN(M$1),COUNTIF($G270:$I270,M$1),"")</f>
        <v>0</v>
      </c>
      <c r="N270" s="7" t="str">
        <f t="shared" si="276"/>
        <v/>
      </c>
      <c r="O270" s="7" t="str">
        <f t="shared" si="5"/>
        <v/>
      </c>
      <c r="P270" s="7">
        <f t="shared" si="209"/>
        <v>0</v>
      </c>
      <c r="Q270" s="7" t="str">
        <f t="shared" si="7"/>
        <v/>
      </c>
      <c r="R270" s="7" t="s">
        <v>485</v>
      </c>
      <c r="S270" s="7">
        <v>6.0</v>
      </c>
      <c r="T270" s="7" t="s">
        <v>4709</v>
      </c>
    </row>
    <row r="271" ht="12.75" customHeight="1">
      <c r="A271" s="7">
        <v>270.0</v>
      </c>
      <c r="B271" s="7" t="s">
        <v>729</v>
      </c>
      <c r="C271" s="7" t="s">
        <v>4818</v>
      </c>
      <c r="D271" s="7"/>
      <c r="E271" s="7"/>
      <c r="F271" s="7" t="s">
        <v>4803</v>
      </c>
      <c r="G271" s="7" t="s">
        <v>3417</v>
      </c>
      <c r="H271" s="7" t="s">
        <v>3381</v>
      </c>
      <c r="I271" s="7" t="s">
        <v>3329</v>
      </c>
      <c r="K271" s="7" t="str">
        <f t="shared" si="2"/>
        <v/>
      </c>
      <c r="L271" s="7" t="str">
        <f t="shared" si="3"/>
        <v/>
      </c>
      <c r="M271" s="7">
        <f t="shared" ref="M271:N271" si="277">IF(LEN(M$1),COUNTIF($G271:$I271,M$1),"")</f>
        <v>0</v>
      </c>
      <c r="N271" s="7" t="str">
        <f t="shared" si="277"/>
        <v/>
      </c>
      <c r="O271" s="7" t="str">
        <f t="shared" si="5"/>
        <v/>
      </c>
      <c r="P271" s="7">
        <f t="shared" si="209"/>
        <v>0</v>
      </c>
      <c r="Q271" s="7" t="str">
        <f t="shared" si="7"/>
        <v/>
      </c>
      <c r="R271" s="7" t="s">
        <v>2059</v>
      </c>
      <c r="S271" s="7">
        <v>12.0</v>
      </c>
      <c r="T271" s="7" t="s">
        <v>4708</v>
      </c>
    </row>
    <row r="272" ht="12.75" customHeight="1">
      <c r="A272" s="7">
        <v>271.0</v>
      </c>
      <c r="B272" s="7" t="s">
        <v>738</v>
      </c>
      <c r="C272" s="7" t="s">
        <v>4819</v>
      </c>
      <c r="D272" s="7"/>
      <c r="E272" s="7"/>
      <c r="F272" s="7" t="s">
        <v>4803</v>
      </c>
      <c r="G272" s="7" t="s">
        <v>3362</v>
      </c>
      <c r="H272" s="7" t="s">
        <v>3329</v>
      </c>
      <c r="I272" s="7" t="s">
        <v>3290</v>
      </c>
      <c r="K272" s="7" t="str">
        <f t="shared" si="2"/>
        <v/>
      </c>
      <c r="L272" s="7" t="str">
        <f t="shared" si="3"/>
        <v/>
      </c>
      <c r="M272" s="7">
        <f t="shared" ref="M272:N272" si="278">IF(LEN(M$1),COUNTIF($G272:$I272,M$1),"")</f>
        <v>0</v>
      </c>
      <c r="N272" s="7" t="str">
        <f t="shared" si="278"/>
        <v/>
      </c>
      <c r="O272" s="7" t="str">
        <f t="shared" si="5"/>
        <v/>
      </c>
      <c r="P272" s="7">
        <f t="shared" si="209"/>
        <v>0</v>
      </c>
      <c r="Q272" s="7" t="str">
        <f t="shared" si="7"/>
        <v/>
      </c>
      <c r="R272" s="7" t="s">
        <v>589</v>
      </c>
      <c r="S272" s="7">
        <v>6.0</v>
      </c>
      <c r="T272" s="7" t="s">
        <v>4709</v>
      </c>
    </row>
    <row r="273" ht="12.75" customHeight="1">
      <c r="A273" s="7">
        <v>272.0</v>
      </c>
      <c r="B273" s="7" t="s">
        <v>738</v>
      </c>
      <c r="C273" s="7" t="s">
        <v>4819</v>
      </c>
      <c r="D273" s="7"/>
      <c r="E273" s="7"/>
      <c r="F273" s="7" t="s">
        <v>4803</v>
      </c>
      <c r="G273" s="7" t="s">
        <v>3339</v>
      </c>
      <c r="H273" s="7" t="s">
        <v>3385</v>
      </c>
      <c r="I273" s="7" t="s">
        <v>3297</v>
      </c>
      <c r="K273" s="7" t="str">
        <f t="shared" si="2"/>
        <v/>
      </c>
      <c r="L273" s="7" t="str">
        <f t="shared" si="3"/>
        <v/>
      </c>
      <c r="M273" s="7">
        <f t="shared" ref="M273:N273" si="279">IF(LEN(M$1),COUNTIF($G273:$I273,M$1),"")</f>
        <v>0</v>
      </c>
      <c r="N273" s="7" t="str">
        <f t="shared" si="279"/>
        <v/>
      </c>
      <c r="O273" s="7" t="str">
        <f t="shared" si="5"/>
        <v/>
      </c>
      <c r="P273" s="7">
        <f t="shared" si="209"/>
        <v>0</v>
      </c>
      <c r="Q273" s="7" t="str">
        <f t="shared" si="7"/>
        <v/>
      </c>
      <c r="R273" s="7" t="s">
        <v>804</v>
      </c>
      <c r="S273" s="7">
        <v>6.0</v>
      </c>
      <c r="T273" s="7" t="s">
        <v>4707</v>
      </c>
    </row>
    <row r="274" ht="12.75" customHeight="1">
      <c r="A274" s="7">
        <v>273.0</v>
      </c>
      <c r="B274" s="7" t="s">
        <v>706</v>
      </c>
      <c r="C274" s="7" t="s">
        <v>4819</v>
      </c>
      <c r="D274" s="7"/>
      <c r="E274" s="7"/>
      <c r="F274" s="7" t="s">
        <v>4803</v>
      </c>
      <c r="G274" s="7" t="s">
        <v>3223</v>
      </c>
      <c r="H274" s="7" t="s">
        <v>3342</v>
      </c>
      <c r="I274" s="7" t="s">
        <v>3396</v>
      </c>
      <c r="K274" s="7" t="str">
        <f t="shared" si="2"/>
        <v/>
      </c>
      <c r="L274" s="7" t="str">
        <f t="shared" si="3"/>
        <v/>
      </c>
      <c r="M274" s="7">
        <f t="shared" ref="M274:N274" si="280">IF(LEN(M$1),COUNTIF($G274:$I274,M$1),"")</f>
        <v>0</v>
      </c>
      <c r="N274" s="7" t="str">
        <f t="shared" si="280"/>
        <v/>
      </c>
      <c r="O274" s="7" t="str">
        <f t="shared" si="5"/>
        <v/>
      </c>
      <c r="P274" s="7">
        <f t="shared" si="209"/>
        <v>0</v>
      </c>
      <c r="Q274" s="7" t="str">
        <f t="shared" si="7"/>
        <v/>
      </c>
      <c r="R274" s="7" t="s">
        <v>939</v>
      </c>
      <c r="S274" s="7">
        <v>6.0</v>
      </c>
      <c r="T274" s="7" t="s">
        <v>4763</v>
      </c>
    </row>
    <row r="275" ht="12.75" customHeight="1">
      <c r="A275" s="7">
        <v>274.0</v>
      </c>
      <c r="B275" s="7" t="s">
        <v>706</v>
      </c>
      <c r="C275" s="7" t="s">
        <v>4819</v>
      </c>
      <c r="D275" s="7"/>
      <c r="E275" s="7"/>
      <c r="F275" s="7" t="s">
        <v>4803</v>
      </c>
      <c r="G275" s="7" t="s">
        <v>3299</v>
      </c>
      <c r="H275" s="7" t="s">
        <v>3323</v>
      </c>
      <c r="I275" s="7" t="s">
        <v>3358</v>
      </c>
      <c r="K275" s="7" t="str">
        <f t="shared" si="2"/>
        <v/>
      </c>
      <c r="L275" s="7" t="str">
        <f t="shared" si="3"/>
        <v/>
      </c>
      <c r="M275" s="7">
        <f t="shared" ref="M275:N275" si="281">IF(LEN(M$1),COUNTIF($G275:$I275,M$1),"")</f>
        <v>0</v>
      </c>
      <c r="N275" s="7" t="str">
        <f t="shared" si="281"/>
        <v/>
      </c>
      <c r="O275" s="7" t="str">
        <f t="shared" si="5"/>
        <v/>
      </c>
      <c r="P275" s="7">
        <f t="shared" si="209"/>
        <v>0</v>
      </c>
      <c r="Q275" s="7" t="str">
        <f t="shared" si="7"/>
        <v/>
      </c>
      <c r="R275" s="7" t="s">
        <v>1174</v>
      </c>
      <c r="S275" s="7">
        <v>10.0</v>
      </c>
      <c r="T275" s="7" t="s">
        <v>4764</v>
      </c>
    </row>
    <row r="276" ht="12.75" customHeight="1">
      <c r="A276" s="7">
        <v>275.0</v>
      </c>
      <c r="B276" s="7" t="s">
        <v>753</v>
      </c>
      <c r="C276" s="7" t="s">
        <v>4819</v>
      </c>
      <c r="D276" s="7"/>
      <c r="E276" s="7"/>
      <c r="F276" s="7" t="s">
        <v>4803</v>
      </c>
      <c r="G276" s="7" t="s">
        <v>3393</v>
      </c>
      <c r="H276" s="7" t="s">
        <v>3417</v>
      </c>
      <c r="I276" s="7" t="s">
        <v>3295</v>
      </c>
      <c r="K276" s="7" t="str">
        <f t="shared" si="2"/>
        <v/>
      </c>
      <c r="L276" s="7" t="str">
        <f t="shared" si="3"/>
        <v/>
      </c>
      <c r="M276" s="7">
        <f t="shared" ref="M276:N276" si="282">IF(LEN(M$1),COUNTIF($G276:$I276,M$1),"")</f>
        <v>0</v>
      </c>
      <c r="N276" s="7" t="str">
        <f t="shared" si="282"/>
        <v/>
      </c>
      <c r="O276" s="7" t="str">
        <f t="shared" si="5"/>
        <v/>
      </c>
      <c r="P276" s="7">
        <f t="shared" si="209"/>
        <v>0</v>
      </c>
      <c r="Q276" s="7" t="str">
        <f t="shared" si="7"/>
        <v/>
      </c>
      <c r="R276" s="7" t="s">
        <v>2404</v>
      </c>
      <c r="S276" s="7">
        <v>3.0</v>
      </c>
      <c r="T276" s="7" t="s">
        <v>4787</v>
      </c>
    </row>
    <row r="277" ht="12.75" customHeight="1">
      <c r="A277" s="7">
        <v>276.0</v>
      </c>
      <c r="B277" s="7" t="s">
        <v>761</v>
      </c>
      <c r="C277" s="7" t="s">
        <v>4820</v>
      </c>
      <c r="D277" s="7"/>
      <c r="E277" s="7"/>
      <c r="F277" s="7" t="s">
        <v>4803</v>
      </c>
      <c r="G277" s="7" t="s">
        <v>3243</v>
      </c>
      <c r="H277" s="7" t="s">
        <v>3315</v>
      </c>
      <c r="I277" s="7" t="s">
        <v>3408</v>
      </c>
      <c r="K277" s="7" t="str">
        <f t="shared" si="2"/>
        <v/>
      </c>
      <c r="L277" s="7" t="str">
        <f t="shared" si="3"/>
        <v/>
      </c>
      <c r="M277" s="7">
        <f t="shared" ref="M277:N277" si="283">IF(LEN(M$1),COUNTIF($G277:$I277,M$1),"")</f>
        <v>0</v>
      </c>
      <c r="N277" s="7" t="str">
        <f t="shared" si="283"/>
        <v/>
      </c>
      <c r="O277" s="7" t="str">
        <f t="shared" si="5"/>
        <v/>
      </c>
      <c r="P277" s="7">
        <f t="shared" si="209"/>
        <v>0</v>
      </c>
      <c r="Q277" s="7" t="str">
        <f t="shared" si="7"/>
        <v/>
      </c>
      <c r="R277" s="7" t="s">
        <v>326</v>
      </c>
      <c r="S277" s="7">
        <v>8.0</v>
      </c>
      <c r="T277" s="7" t="s">
        <v>4705</v>
      </c>
    </row>
    <row r="278" ht="12.75" customHeight="1">
      <c r="A278" s="7">
        <v>277.0</v>
      </c>
      <c r="B278" s="7" t="s">
        <v>761</v>
      </c>
      <c r="C278" s="7" t="s">
        <v>4820</v>
      </c>
      <c r="D278" s="7"/>
      <c r="E278" s="7"/>
      <c r="F278" s="7" t="s">
        <v>4803</v>
      </c>
      <c r="G278" s="7" t="s">
        <v>3290</v>
      </c>
      <c r="H278" s="7" t="s">
        <v>3226</v>
      </c>
      <c r="I278" s="7" t="s">
        <v>3237</v>
      </c>
      <c r="K278" s="7" t="str">
        <f t="shared" si="2"/>
        <v/>
      </c>
      <c r="L278" s="7" t="str">
        <f t="shared" si="3"/>
        <v/>
      </c>
      <c r="M278" s="7">
        <f t="shared" ref="M278:N278" si="284">IF(LEN(M$1),COUNTIF($G278:$I278,M$1),"")</f>
        <v>0</v>
      </c>
      <c r="N278" s="7" t="str">
        <f t="shared" si="284"/>
        <v/>
      </c>
      <c r="O278" s="7" t="str">
        <f t="shared" si="5"/>
        <v/>
      </c>
      <c r="P278" s="7">
        <f t="shared" si="209"/>
        <v>0</v>
      </c>
      <c r="Q278" s="7" t="str">
        <f t="shared" si="7"/>
        <v/>
      </c>
      <c r="R278" s="7" t="s">
        <v>85</v>
      </c>
      <c r="S278" s="7">
        <v>6.0</v>
      </c>
      <c r="T278" s="7" t="s">
        <v>4729</v>
      </c>
    </row>
    <row r="279" ht="12.75" customHeight="1">
      <c r="A279" s="7">
        <v>278.0</v>
      </c>
      <c r="B279" s="7" t="s">
        <v>769</v>
      </c>
      <c r="C279" s="7" t="s">
        <v>4820</v>
      </c>
      <c r="D279" s="7"/>
      <c r="E279" s="7"/>
      <c r="F279" s="7" t="s">
        <v>4803</v>
      </c>
      <c r="G279" s="7" t="s">
        <v>3348</v>
      </c>
      <c r="H279" s="7" t="s">
        <v>3283</v>
      </c>
      <c r="I279" s="7" t="s">
        <v>3200</v>
      </c>
      <c r="K279" s="7" t="str">
        <f t="shared" si="2"/>
        <v/>
      </c>
      <c r="L279" s="7" t="str">
        <f t="shared" si="3"/>
        <v/>
      </c>
      <c r="M279" s="7">
        <f t="shared" ref="M279:N279" si="285">IF(LEN(M$1),COUNTIF($G279:$I279,M$1),"")</f>
        <v>0</v>
      </c>
      <c r="N279" s="7" t="str">
        <f t="shared" si="285"/>
        <v/>
      </c>
      <c r="O279" s="7" t="str">
        <f t="shared" si="5"/>
        <v/>
      </c>
      <c r="P279" s="7">
        <f t="shared" si="209"/>
        <v>0</v>
      </c>
      <c r="Q279" s="7" t="str">
        <f t="shared" si="7"/>
        <v/>
      </c>
      <c r="R279" s="7" t="s">
        <v>1607</v>
      </c>
      <c r="S279" s="7">
        <v>6.0</v>
      </c>
      <c r="T279" s="7" t="s">
        <v>4729</v>
      </c>
    </row>
    <row r="280" ht="12.75" customHeight="1">
      <c r="A280" s="7">
        <v>279.0</v>
      </c>
      <c r="B280" s="7" t="s">
        <v>769</v>
      </c>
      <c r="C280" s="7" t="s">
        <v>4820</v>
      </c>
      <c r="D280" s="7"/>
      <c r="E280" s="7"/>
      <c r="F280" s="7" t="s">
        <v>4803</v>
      </c>
      <c r="G280" s="7" t="s">
        <v>3299</v>
      </c>
      <c r="H280" s="7" t="s">
        <v>3325</v>
      </c>
      <c r="I280" s="7" t="s">
        <v>3345</v>
      </c>
      <c r="K280" s="7" t="str">
        <f t="shared" si="2"/>
        <v/>
      </c>
      <c r="L280" s="7" t="str">
        <f t="shared" si="3"/>
        <v/>
      </c>
      <c r="M280" s="7">
        <f t="shared" ref="M280:N280" si="286">IF(LEN(M$1),COUNTIF($G280:$I280,M$1),"")</f>
        <v>0</v>
      </c>
      <c r="N280" s="7" t="str">
        <f t="shared" si="286"/>
        <v/>
      </c>
      <c r="O280" s="7" t="str">
        <f t="shared" si="5"/>
        <v/>
      </c>
      <c r="P280" s="7">
        <f t="shared" si="209"/>
        <v>0</v>
      </c>
      <c r="Q280" s="7" t="str">
        <f t="shared" si="7"/>
        <v/>
      </c>
      <c r="R280" s="7" t="s">
        <v>819</v>
      </c>
      <c r="S280" s="7">
        <v>4.0</v>
      </c>
      <c r="T280" s="7" t="s">
        <v>4821</v>
      </c>
    </row>
    <row r="281" ht="12.75" customHeight="1">
      <c r="A281" s="7">
        <v>280.0</v>
      </c>
      <c r="B281" s="7" t="s">
        <v>777</v>
      </c>
      <c r="C281" s="7" t="s">
        <v>4820</v>
      </c>
      <c r="D281" s="7"/>
      <c r="E281" s="7"/>
      <c r="F281" s="7" t="s">
        <v>4803</v>
      </c>
      <c r="G281" s="7" t="s">
        <v>3287</v>
      </c>
      <c r="H281" s="7" t="s">
        <v>3210</v>
      </c>
      <c r="I281" s="7" t="s">
        <v>3266</v>
      </c>
      <c r="K281" s="7" t="str">
        <f t="shared" si="2"/>
        <v/>
      </c>
      <c r="L281" s="7" t="str">
        <f t="shared" si="3"/>
        <v/>
      </c>
      <c r="M281" s="7">
        <f t="shared" ref="M281:N281" si="287">IF(LEN(M$1),COUNTIF($G281:$I281,M$1),"")</f>
        <v>0</v>
      </c>
      <c r="N281" s="7" t="str">
        <f t="shared" si="287"/>
        <v/>
      </c>
      <c r="O281" s="7" t="str">
        <f t="shared" si="5"/>
        <v/>
      </c>
      <c r="P281" s="7">
        <f t="shared" si="209"/>
        <v>0</v>
      </c>
      <c r="Q281" s="7" t="str">
        <f t="shared" si="7"/>
        <v/>
      </c>
      <c r="R281" s="7" t="s">
        <v>553</v>
      </c>
      <c r="S281" s="7">
        <v>4.0</v>
      </c>
      <c r="T281" s="7" t="s">
        <v>4759</v>
      </c>
    </row>
    <row r="282" ht="12.75" customHeight="1">
      <c r="A282" s="7">
        <v>281.0</v>
      </c>
      <c r="B282" s="7" t="s">
        <v>777</v>
      </c>
      <c r="C282" s="7" t="s">
        <v>4820</v>
      </c>
      <c r="D282" s="7"/>
      <c r="E282" s="7"/>
      <c r="F282" s="7" t="s">
        <v>4803</v>
      </c>
      <c r="G282" s="7" t="s">
        <v>3323</v>
      </c>
      <c r="H282" s="7" t="s">
        <v>3254</v>
      </c>
      <c r="I282" s="7" t="s">
        <v>3124</v>
      </c>
      <c r="K282" s="7" t="str">
        <f t="shared" si="2"/>
        <v/>
      </c>
      <c r="L282" s="7" t="str">
        <f t="shared" si="3"/>
        <v/>
      </c>
      <c r="M282" s="7">
        <f t="shared" ref="M282:N282" si="288">IF(LEN(M$1),COUNTIF($G282:$I282,M$1),"")</f>
        <v>0</v>
      </c>
      <c r="N282" s="7" t="str">
        <f t="shared" si="288"/>
        <v/>
      </c>
      <c r="O282" s="7" t="str">
        <f t="shared" si="5"/>
        <v/>
      </c>
      <c r="P282" s="7">
        <f t="shared" si="209"/>
        <v>0</v>
      </c>
      <c r="Q282" s="7" t="str">
        <f t="shared" si="7"/>
        <v/>
      </c>
      <c r="R282" s="7" t="s">
        <v>761</v>
      </c>
      <c r="S282" s="7">
        <v>7.0</v>
      </c>
      <c r="T282" s="7" t="s">
        <v>4718</v>
      </c>
    </row>
    <row r="283" ht="12.75" customHeight="1">
      <c r="A283" s="7">
        <v>282.0</v>
      </c>
      <c r="B283" s="7" t="s">
        <v>786</v>
      </c>
      <c r="C283" s="7" t="s">
        <v>4822</v>
      </c>
      <c r="D283" s="7"/>
      <c r="E283" s="7"/>
      <c r="F283" s="7" t="s">
        <v>4803</v>
      </c>
      <c r="G283" s="7" t="s">
        <v>3283</v>
      </c>
      <c r="H283" s="7" t="s">
        <v>3297</v>
      </c>
      <c r="I283" s="7" t="s">
        <v>3287</v>
      </c>
      <c r="K283" s="7" t="str">
        <f t="shared" si="2"/>
        <v/>
      </c>
      <c r="L283" s="7" t="str">
        <f t="shared" si="3"/>
        <v/>
      </c>
      <c r="M283" s="7">
        <f t="shared" ref="M283:N283" si="289">IF(LEN(M$1),COUNTIF($G283:$I283,M$1),"")</f>
        <v>0</v>
      </c>
      <c r="N283" s="7" t="str">
        <f t="shared" si="289"/>
        <v/>
      </c>
      <c r="O283" s="7" t="str">
        <f t="shared" si="5"/>
        <v/>
      </c>
      <c r="P283" s="7">
        <f t="shared" si="209"/>
        <v>0</v>
      </c>
      <c r="Q283" s="7" t="str">
        <f t="shared" si="7"/>
        <v/>
      </c>
      <c r="R283" s="7" t="s">
        <v>630</v>
      </c>
      <c r="S283" s="7">
        <v>6.0</v>
      </c>
      <c r="T283" s="7" t="s">
        <v>4707</v>
      </c>
    </row>
    <row r="284" ht="12.75" customHeight="1">
      <c r="A284" s="7">
        <v>283.0</v>
      </c>
      <c r="B284" s="7" t="s">
        <v>795</v>
      </c>
      <c r="C284" s="7" t="s">
        <v>4822</v>
      </c>
      <c r="D284" s="7"/>
      <c r="E284" s="7"/>
      <c r="F284" s="7" t="s">
        <v>4803</v>
      </c>
      <c r="G284" s="7" t="s">
        <v>3254</v>
      </c>
      <c r="H284" s="7" t="s">
        <v>3333</v>
      </c>
      <c r="I284" s="7" t="s">
        <v>3297</v>
      </c>
      <c r="K284" s="7" t="str">
        <f t="shared" si="2"/>
        <v/>
      </c>
      <c r="L284" s="7" t="str">
        <f t="shared" si="3"/>
        <v/>
      </c>
      <c r="M284" s="7">
        <f t="shared" ref="M284:N284" si="290">IF(LEN(M$1),COUNTIF($G284:$I284,M$1),"")</f>
        <v>0</v>
      </c>
      <c r="N284" s="7" t="str">
        <f t="shared" si="290"/>
        <v/>
      </c>
      <c r="O284" s="7" t="str">
        <f t="shared" si="5"/>
        <v/>
      </c>
      <c r="P284" s="7">
        <f t="shared" si="209"/>
        <v>0</v>
      </c>
      <c r="Q284" s="7" t="str">
        <f t="shared" si="7"/>
        <v/>
      </c>
      <c r="R284" s="7" t="s">
        <v>738</v>
      </c>
      <c r="S284" s="7">
        <v>6.0</v>
      </c>
      <c r="T284" s="7" t="s">
        <v>4707</v>
      </c>
    </row>
    <row r="285" ht="12.75" customHeight="1">
      <c r="A285" s="7">
        <v>284.0</v>
      </c>
      <c r="B285" s="7" t="s">
        <v>795</v>
      </c>
      <c r="C285" s="7" t="s">
        <v>4822</v>
      </c>
      <c r="D285" s="7"/>
      <c r="E285" s="7"/>
      <c r="F285" s="7" t="s">
        <v>4803</v>
      </c>
      <c r="G285" s="7" t="s">
        <v>3385</v>
      </c>
      <c r="H285" s="7" t="s">
        <v>3383</v>
      </c>
      <c r="I285" s="7" t="s">
        <v>3375</v>
      </c>
      <c r="K285" s="7" t="str">
        <f t="shared" si="2"/>
        <v/>
      </c>
      <c r="L285" s="7" t="str">
        <f t="shared" si="3"/>
        <v/>
      </c>
      <c r="M285" s="7">
        <f t="shared" ref="M285:N285" si="291">IF(LEN(M$1),COUNTIF($G285:$I285,M$1),"")</f>
        <v>0</v>
      </c>
      <c r="N285" s="7" t="str">
        <f t="shared" si="291"/>
        <v/>
      </c>
      <c r="O285" s="7" t="str">
        <f t="shared" si="5"/>
        <v/>
      </c>
      <c r="P285" s="7">
        <f t="shared" si="209"/>
        <v>0</v>
      </c>
      <c r="Q285" s="7" t="str">
        <f t="shared" si="7"/>
        <v/>
      </c>
      <c r="R285" s="7" t="s">
        <v>2051</v>
      </c>
      <c r="S285" s="7">
        <v>10.0</v>
      </c>
      <c r="T285" s="7" t="s">
        <v>4734</v>
      </c>
    </row>
    <row r="286" ht="12.75" customHeight="1">
      <c r="A286" s="7">
        <v>285.0</v>
      </c>
      <c r="B286" s="7" t="s">
        <v>804</v>
      </c>
      <c r="C286" s="7" t="s">
        <v>4822</v>
      </c>
      <c r="D286" s="7"/>
      <c r="E286" s="7"/>
      <c r="F286" s="7" t="s">
        <v>4803</v>
      </c>
      <c r="G286" s="7" t="s">
        <v>3198</v>
      </c>
      <c r="H286" s="7" t="s">
        <v>3325</v>
      </c>
      <c r="I286" s="7" t="s">
        <v>3299</v>
      </c>
      <c r="K286" s="7" t="str">
        <f t="shared" si="2"/>
        <v/>
      </c>
      <c r="L286" s="7" t="str">
        <f t="shared" si="3"/>
        <v/>
      </c>
      <c r="M286" s="7">
        <f t="shared" ref="M286:N286" si="292">IF(LEN(M$1),COUNTIF($G286:$I286,M$1),"")</f>
        <v>0</v>
      </c>
      <c r="N286" s="7" t="str">
        <f t="shared" si="292"/>
        <v/>
      </c>
      <c r="O286" s="7" t="str">
        <f t="shared" si="5"/>
        <v/>
      </c>
      <c r="P286" s="7">
        <f t="shared" si="209"/>
        <v>0</v>
      </c>
      <c r="Q286" s="7" t="str">
        <f t="shared" si="7"/>
        <v/>
      </c>
      <c r="R286" s="7" t="s">
        <v>2035</v>
      </c>
      <c r="S286" s="7">
        <v>9.0</v>
      </c>
      <c r="T286" s="7" t="s">
        <v>4760</v>
      </c>
    </row>
    <row r="287" ht="12.75" customHeight="1">
      <c r="A287" s="7">
        <v>286.0</v>
      </c>
      <c r="B287" s="7" t="s">
        <v>804</v>
      </c>
      <c r="C287" s="7" t="s">
        <v>4822</v>
      </c>
      <c r="D287" s="7"/>
      <c r="E287" s="7"/>
      <c r="F287" s="7" t="s">
        <v>4803</v>
      </c>
      <c r="G287" s="7" t="s">
        <v>3420</v>
      </c>
      <c r="H287" s="7" t="s">
        <v>3413</v>
      </c>
      <c r="I287" s="7" t="s">
        <v>3342</v>
      </c>
      <c r="K287" s="7" t="str">
        <f t="shared" si="2"/>
        <v/>
      </c>
      <c r="L287" s="7" t="str">
        <f t="shared" si="3"/>
        <v/>
      </c>
      <c r="M287" s="7">
        <f t="shared" ref="M287:N287" si="293">IF(LEN(M$1),COUNTIF($G287:$I287,M$1),"")</f>
        <v>0</v>
      </c>
      <c r="N287" s="7" t="str">
        <f t="shared" si="293"/>
        <v/>
      </c>
      <c r="O287" s="7" t="str">
        <f t="shared" si="5"/>
        <v/>
      </c>
      <c r="P287" s="7">
        <f t="shared" si="209"/>
        <v>0</v>
      </c>
      <c r="Q287" s="7" t="str">
        <f t="shared" si="7"/>
        <v/>
      </c>
      <c r="R287" s="7" t="s">
        <v>1518</v>
      </c>
      <c r="S287" s="7">
        <v>6.0</v>
      </c>
      <c r="T287" s="7" t="s">
        <v>4729</v>
      </c>
    </row>
    <row r="288" ht="12.75" customHeight="1">
      <c r="A288" s="7">
        <v>287.0</v>
      </c>
      <c r="B288" s="7" t="s">
        <v>812</v>
      </c>
      <c r="C288" s="7" t="s">
        <v>4823</v>
      </c>
      <c r="D288" s="7"/>
      <c r="E288" s="7"/>
      <c r="F288" s="7" t="s">
        <v>4803</v>
      </c>
      <c r="G288" s="7" t="s">
        <v>3119</v>
      </c>
      <c r="H288" s="7" t="s">
        <v>3362</v>
      </c>
      <c r="I288" s="7" t="s">
        <v>3336</v>
      </c>
      <c r="K288" s="7" t="str">
        <f t="shared" si="2"/>
        <v/>
      </c>
      <c r="L288" s="7" t="str">
        <f t="shared" si="3"/>
        <v/>
      </c>
      <c r="M288" s="7">
        <f t="shared" ref="M288:N288" si="294">IF(LEN(M$1),COUNTIF($G288:$I288,M$1),"")</f>
        <v>0</v>
      </c>
      <c r="N288" s="7" t="str">
        <f t="shared" si="294"/>
        <v/>
      </c>
      <c r="O288" s="7" t="str">
        <f t="shared" si="5"/>
        <v/>
      </c>
      <c r="P288" s="7">
        <f t="shared" si="209"/>
        <v>0</v>
      </c>
      <c r="Q288" s="7" t="str">
        <f t="shared" si="7"/>
        <v/>
      </c>
      <c r="R288" s="7" t="s">
        <v>1049</v>
      </c>
      <c r="S288" s="7">
        <v>6.0</v>
      </c>
      <c r="T288" s="7" t="s">
        <v>4763</v>
      </c>
    </row>
    <row r="289" ht="12.75" customHeight="1">
      <c r="A289" s="7">
        <v>288.0</v>
      </c>
      <c r="B289" s="7" t="s">
        <v>812</v>
      </c>
      <c r="C289" s="7" t="s">
        <v>4823</v>
      </c>
      <c r="D289" s="7"/>
      <c r="E289" s="7"/>
      <c r="F289" s="7" t="s">
        <v>4803</v>
      </c>
      <c r="G289" s="7" t="s">
        <v>3381</v>
      </c>
      <c r="H289" s="7" t="s">
        <v>3410</v>
      </c>
      <c r="I289" s="7" t="s">
        <v>3422</v>
      </c>
      <c r="K289" s="7" t="str">
        <f t="shared" si="2"/>
        <v/>
      </c>
      <c r="L289" s="7" t="str">
        <f t="shared" si="3"/>
        <v/>
      </c>
      <c r="M289" s="7">
        <f t="shared" ref="M289:N289" si="295">IF(LEN(M$1),COUNTIF($G289:$I289,M$1),"")</f>
        <v>0</v>
      </c>
      <c r="N289" s="7" t="str">
        <f t="shared" si="295"/>
        <v/>
      </c>
      <c r="O289" s="7" t="str">
        <f t="shared" si="5"/>
        <v/>
      </c>
      <c r="P289" s="7">
        <f t="shared" si="209"/>
        <v>0</v>
      </c>
      <c r="Q289" s="7" t="str">
        <f t="shared" si="7"/>
        <v/>
      </c>
      <c r="R289" s="7" t="s">
        <v>1703</v>
      </c>
      <c r="S289" s="7">
        <v>12.0</v>
      </c>
      <c r="T289" s="7" t="s">
        <v>4824</v>
      </c>
    </row>
    <row r="290" ht="12.75" customHeight="1">
      <c r="A290" s="7">
        <v>289.0</v>
      </c>
      <c r="B290" s="7" t="s">
        <v>819</v>
      </c>
      <c r="C290" s="7" t="s">
        <v>4823</v>
      </c>
      <c r="D290" s="7"/>
      <c r="E290" s="7"/>
      <c r="F290" s="7" t="s">
        <v>4803</v>
      </c>
      <c r="G290" s="7" t="s">
        <v>3368</v>
      </c>
      <c r="H290" s="7" t="s">
        <v>3176</v>
      </c>
      <c r="I290" s="7" t="s">
        <v>3190</v>
      </c>
      <c r="K290" s="7" t="str">
        <f t="shared" si="2"/>
        <v/>
      </c>
      <c r="L290" s="7" t="str">
        <f t="shared" si="3"/>
        <v/>
      </c>
      <c r="M290" s="7">
        <f t="shared" ref="M290:N290" si="296">IF(LEN(M$1),COUNTIF($G290:$I290,M$1),"")</f>
        <v>0</v>
      </c>
      <c r="N290" s="7" t="str">
        <f t="shared" si="296"/>
        <v/>
      </c>
      <c r="O290" s="7" t="str">
        <f t="shared" si="5"/>
        <v/>
      </c>
      <c r="P290" s="7">
        <f t="shared" si="209"/>
        <v>0</v>
      </c>
      <c r="Q290" s="7" t="str">
        <f t="shared" si="7"/>
        <v/>
      </c>
      <c r="R290" s="7" t="s">
        <v>572</v>
      </c>
      <c r="S290" s="7">
        <v>4.0</v>
      </c>
      <c r="T290" s="7" t="s">
        <v>4759</v>
      </c>
    </row>
    <row r="291" ht="12.75" customHeight="1">
      <c r="A291" s="7">
        <v>290.0</v>
      </c>
      <c r="B291" s="7" t="s">
        <v>819</v>
      </c>
      <c r="C291" s="7" t="s">
        <v>4823</v>
      </c>
      <c r="D291" s="7"/>
      <c r="E291" s="7"/>
      <c r="F291" s="7" t="s">
        <v>4803</v>
      </c>
      <c r="G291" s="7" t="s">
        <v>3309</v>
      </c>
      <c r="H291" s="7" t="s">
        <v>3375</v>
      </c>
      <c r="I291" s="7" t="s">
        <v>3368</v>
      </c>
      <c r="K291" s="7" t="str">
        <f t="shared" si="2"/>
        <v/>
      </c>
      <c r="L291" s="7" t="str">
        <f t="shared" si="3"/>
        <v/>
      </c>
      <c r="M291" s="7">
        <f t="shared" ref="M291:N291" si="297">IF(LEN(M$1),COUNTIF($G291:$I291,M$1),"")</f>
        <v>0</v>
      </c>
      <c r="N291" s="7" t="str">
        <f t="shared" si="297"/>
        <v/>
      </c>
      <c r="O291" s="7" t="str">
        <f t="shared" si="5"/>
        <v/>
      </c>
      <c r="P291" s="7">
        <f t="shared" si="209"/>
        <v>0</v>
      </c>
      <c r="Q291" s="7" t="str">
        <f t="shared" si="7"/>
        <v/>
      </c>
      <c r="R291" s="7" t="s">
        <v>1556</v>
      </c>
      <c r="S291" s="7">
        <v>6.0</v>
      </c>
      <c r="T291" s="7" t="s">
        <v>4729</v>
      </c>
    </row>
    <row r="292" ht="12.75" customHeight="1">
      <c r="A292" s="7">
        <v>291.0</v>
      </c>
      <c r="B292" s="7" t="s">
        <v>826</v>
      </c>
      <c r="C292" s="7" t="s">
        <v>4823</v>
      </c>
      <c r="D292" s="7"/>
      <c r="E292" s="7"/>
      <c r="F292" s="7" t="s">
        <v>4803</v>
      </c>
      <c r="G292" s="7" t="s">
        <v>3305</v>
      </c>
      <c r="H292" s="7" t="s">
        <v>3287</v>
      </c>
      <c r="I292" s="7" t="s">
        <v>3348</v>
      </c>
      <c r="K292" s="7" t="str">
        <f t="shared" si="2"/>
        <v/>
      </c>
      <c r="L292" s="7" t="str">
        <f t="shared" si="3"/>
        <v/>
      </c>
      <c r="M292" s="7">
        <f t="shared" ref="M292:N292" si="298">IF(LEN(M$1),COUNTIF($G292:$I292,M$1),"")</f>
        <v>0</v>
      </c>
      <c r="N292" s="7" t="str">
        <f t="shared" si="298"/>
        <v/>
      </c>
      <c r="O292" s="7" t="str">
        <f t="shared" si="5"/>
        <v/>
      </c>
      <c r="P292" s="7">
        <f t="shared" si="209"/>
        <v>0</v>
      </c>
      <c r="Q292" s="7" t="str">
        <f t="shared" si="7"/>
        <v/>
      </c>
      <c r="R292" s="7" t="s">
        <v>996</v>
      </c>
      <c r="S292" s="7">
        <v>5.0</v>
      </c>
      <c r="T292" s="7" t="s">
        <v>4800</v>
      </c>
    </row>
    <row r="293" ht="12.75" customHeight="1">
      <c r="A293" s="7">
        <v>292.0</v>
      </c>
      <c r="B293" s="7" t="s">
        <v>834</v>
      </c>
      <c r="C293" s="7" t="s">
        <v>4825</v>
      </c>
      <c r="D293" s="7"/>
      <c r="E293" s="7"/>
      <c r="F293" s="7" t="s">
        <v>4803</v>
      </c>
      <c r="G293" s="7" t="s">
        <v>3115</v>
      </c>
      <c r="H293" s="7" t="s">
        <v>3307</v>
      </c>
      <c r="I293" s="7" t="s">
        <v>3353</v>
      </c>
      <c r="K293" s="7" t="str">
        <f t="shared" si="2"/>
        <v/>
      </c>
      <c r="L293" s="7" t="str">
        <f t="shared" si="3"/>
        <v/>
      </c>
      <c r="M293" s="7">
        <f t="shared" ref="M293:N293" si="299">IF(LEN(M$1),COUNTIF($G293:$I293,M$1),"")</f>
        <v>0</v>
      </c>
      <c r="N293" s="7" t="str">
        <f t="shared" si="299"/>
        <v/>
      </c>
      <c r="O293" s="7" t="str">
        <f t="shared" si="5"/>
        <v/>
      </c>
      <c r="P293" s="7">
        <f t="shared" si="209"/>
        <v>0</v>
      </c>
      <c r="Q293" s="7" t="str">
        <f t="shared" si="7"/>
        <v/>
      </c>
      <c r="R293" s="7" t="s">
        <v>1857</v>
      </c>
      <c r="S293" s="7">
        <v>10.0</v>
      </c>
      <c r="T293" s="7" t="s">
        <v>4749</v>
      </c>
    </row>
    <row r="294" ht="12.75" customHeight="1">
      <c r="A294" s="7">
        <v>293.0</v>
      </c>
      <c r="B294" s="7" t="s">
        <v>834</v>
      </c>
      <c r="C294" s="7" t="s">
        <v>4825</v>
      </c>
      <c r="D294" s="7"/>
      <c r="E294" s="7"/>
      <c r="F294" s="7" t="s">
        <v>4803</v>
      </c>
      <c r="G294" s="7" t="s">
        <v>3420</v>
      </c>
      <c r="H294" s="7" t="s">
        <v>3388</v>
      </c>
      <c r="I294" s="7" t="s">
        <v>3373</v>
      </c>
      <c r="K294" s="7" t="str">
        <f t="shared" si="2"/>
        <v/>
      </c>
      <c r="L294" s="7" t="str">
        <f t="shared" si="3"/>
        <v/>
      </c>
      <c r="M294" s="7">
        <f t="shared" ref="M294:N294" si="300">IF(LEN(M$1),COUNTIF($G294:$I294,M$1),"")</f>
        <v>0</v>
      </c>
      <c r="N294" s="7" t="str">
        <f t="shared" si="300"/>
        <v/>
      </c>
      <c r="O294" s="7" t="str">
        <f t="shared" si="5"/>
        <v/>
      </c>
      <c r="P294" s="7">
        <f t="shared" si="209"/>
        <v>0</v>
      </c>
      <c r="Q294" s="7" t="str">
        <f t="shared" si="7"/>
        <v/>
      </c>
      <c r="R294" s="7" t="s">
        <v>2322</v>
      </c>
      <c r="S294" s="7">
        <v>11.0</v>
      </c>
      <c r="T294" s="7" t="s">
        <v>4772</v>
      </c>
    </row>
    <row r="295" ht="12.75" customHeight="1">
      <c r="A295" s="7">
        <v>294.0</v>
      </c>
      <c r="B295" s="7" t="s">
        <v>842</v>
      </c>
      <c r="C295" s="7" t="s">
        <v>4826</v>
      </c>
      <c r="D295" s="7"/>
      <c r="E295" s="7"/>
      <c r="F295" s="7" t="s">
        <v>4803</v>
      </c>
      <c r="G295" s="7" t="s">
        <v>3303</v>
      </c>
      <c r="H295" s="7" t="s">
        <v>3355</v>
      </c>
      <c r="I295" s="7" t="s">
        <v>3321</v>
      </c>
      <c r="K295" s="7" t="str">
        <f t="shared" si="2"/>
        <v/>
      </c>
      <c r="L295" s="7" t="str">
        <f t="shared" si="3"/>
        <v/>
      </c>
      <c r="M295" s="7">
        <f t="shared" ref="M295:N295" si="301">IF(LEN(M$1),COUNTIF($G295:$I295,M$1),"")</f>
        <v>0</v>
      </c>
      <c r="N295" s="7" t="str">
        <f t="shared" si="301"/>
        <v/>
      </c>
      <c r="O295" s="7" t="str">
        <f t="shared" si="5"/>
        <v/>
      </c>
      <c r="P295" s="7">
        <f t="shared" si="209"/>
        <v>0</v>
      </c>
      <c r="Q295" s="7" t="str">
        <f t="shared" si="7"/>
        <v/>
      </c>
      <c r="R295" s="7" t="s">
        <v>334</v>
      </c>
      <c r="S295" s="7">
        <v>6.0</v>
      </c>
      <c r="T295" s="7" t="s">
        <v>4709</v>
      </c>
    </row>
    <row r="296" ht="12.75" customHeight="1">
      <c r="A296" s="7">
        <v>295.0</v>
      </c>
      <c r="B296" s="7" t="s">
        <v>842</v>
      </c>
      <c r="C296" s="7" t="s">
        <v>4826</v>
      </c>
      <c r="D296" s="7"/>
      <c r="E296" s="7"/>
      <c r="F296" s="7" t="s">
        <v>4803</v>
      </c>
      <c r="G296" s="7" t="s">
        <v>3254</v>
      </c>
      <c r="H296" s="7" t="s">
        <v>3331</v>
      </c>
      <c r="I296" s="7" t="s">
        <v>3290</v>
      </c>
      <c r="K296" s="7" t="str">
        <f t="shared" si="2"/>
        <v/>
      </c>
      <c r="L296" s="7" t="str">
        <f t="shared" si="3"/>
        <v/>
      </c>
      <c r="M296" s="7">
        <f t="shared" ref="M296:N296" si="302">IF(LEN(M$1),COUNTIF($G296:$I296,M$1),"")</f>
        <v>0</v>
      </c>
      <c r="N296" s="7" t="str">
        <f t="shared" si="302"/>
        <v/>
      </c>
      <c r="O296" s="7" t="str">
        <f t="shared" si="5"/>
        <v/>
      </c>
      <c r="P296" s="7">
        <f t="shared" si="209"/>
        <v>0</v>
      </c>
      <c r="Q296" s="7" t="str">
        <f t="shared" si="7"/>
        <v/>
      </c>
      <c r="R296" s="7" t="s">
        <v>2232</v>
      </c>
      <c r="S296" s="7">
        <v>10.0</v>
      </c>
      <c r="T296" s="7" t="s">
        <v>4734</v>
      </c>
    </row>
    <row r="297" ht="12.75" customHeight="1">
      <c r="A297" s="7">
        <v>296.0</v>
      </c>
      <c r="B297" s="7" t="s">
        <v>851</v>
      </c>
      <c r="C297" s="7" t="s">
        <v>4825</v>
      </c>
      <c r="D297" s="7"/>
      <c r="E297" s="7"/>
      <c r="F297" s="7" t="s">
        <v>4803</v>
      </c>
      <c r="G297" s="7" t="s">
        <v>3396</v>
      </c>
      <c r="H297" s="7" t="s">
        <v>3415</v>
      </c>
      <c r="I297" s="7" t="s">
        <v>3295</v>
      </c>
      <c r="K297" s="7" t="str">
        <f t="shared" si="2"/>
        <v/>
      </c>
      <c r="L297" s="7" t="str">
        <f t="shared" si="3"/>
        <v/>
      </c>
      <c r="M297" s="7">
        <f t="shared" ref="M297:N297" si="303">IF(LEN(M$1),COUNTIF($G297:$I297,M$1),"")</f>
        <v>0</v>
      </c>
      <c r="N297" s="7" t="str">
        <f t="shared" si="303"/>
        <v/>
      </c>
      <c r="O297" s="7" t="str">
        <f t="shared" si="5"/>
        <v/>
      </c>
      <c r="P297" s="7">
        <f t="shared" si="209"/>
        <v>0</v>
      </c>
      <c r="Q297" s="7" t="str">
        <f t="shared" si="7"/>
        <v/>
      </c>
      <c r="R297" s="7" t="s">
        <v>1501</v>
      </c>
      <c r="S297" s="7">
        <v>6.0</v>
      </c>
      <c r="T297" s="7" t="s">
        <v>4729</v>
      </c>
    </row>
    <row r="298" ht="12.75" customHeight="1">
      <c r="A298" s="7">
        <v>297.0</v>
      </c>
      <c r="B298" s="7" t="s">
        <v>857</v>
      </c>
      <c r="C298" s="7" t="s">
        <v>4826</v>
      </c>
      <c r="D298" s="7"/>
      <c r="E298" s="7"/>
      <c r="F298" s="7" t="s">
        <v>4803</v>
      </c>
      <c r="G298" s="7" t="s">
        <v>3192</v>
      </c>
      <c r="H298" s="7" t="s">
        <v>3415</v>
      </c>
      <c r="I298" s="7" t="s">
        <v>3315</v>
      </c>
      <c r="K298" s="7" t="str">
        <f t="shared" si="2"/>
        <v/>
      </c>
      <c r="L298" s="7" t="str">
        <f t="shared" si="3"/>
        <v/>
      </c>
      <c r="M298" s="7">
        <f t="shared" ref="M298:N298" si="304">IF(LEN(M$1),COUNTIF($G298:$I298,M$1),"")</f>
        <v>0</v>
      </c>
      <c r="N298" s="7" t="str">
        <f t="shared" si="304"/>
        <v/>
      </c>
      <c r="O298" s="7" t="str">
        <f t="shared" si="5"/>
        <v/>
      </c>
      <c r="P298" s="7">
        <f t="shared" si="209"/>
        <v>0</v>
      </c>
      <c r="Q298" s="7" t="str">
        <f t="shared" si="7"/>
        <v/>
      </c>
      <c r="R298" s="7" t="s">
        <v>1653</v>
      </c>
      <c r="S298" s="7">
        <v>4.0</v>
      </c>
      <c r="T298" s="7" t="s">
        <v>4742</v>
      </c>
    </row>
    <row r="299" ht="12.75" customHeight="1">
      <c r="A299" s="7">
        <v>298.0</v>
      </c>
      <c r="B299" s="7" t="s">
        <v>857</v>
      </c>
      <c r="C299" s="7" t="s">
        <v>4826</v>
      </c>
      <c r="D299" s="7"/>
      <c r="E299" s="7"/>
      <c r="F299" s="7" t="s">
        <v>4803</v>
      </c>
      <c r="G299" s="7" t="s">
        <v>3331</v>
      </c>
      <c r="H299" s="7" t="s">
        <v>3373</v>
      </c>
      <c r="I299" s="7" t="s">
        <v>3295</v>
      </c>
      <c r="K299" s="7" t="str">
        <f t="shared" si="2"/>
        <v/>
      </c>
      <c r="L299" s="7" t="str">
        <f t="shared" si="3"/>
        <v/>
      </c>
      <c r="M299" s="7">
        <f t="shared" ref="M299:N299" si="305">IF(LEN(M$1),COUNTIF($G299:$I299,M$1),"")</f>
        <v>0</v>
      </c>
      <c r="N299" s="7" t="str">
        <f t="shared" si="305"/>
        <v/>
      </c>
      <c r="O299" s="7" t="str">
        <f t="shared" si="5"/>
        <v/>
      </c>
      <c r="P299" s="7">
        <f t="shared" si="209"/>
        <v>0</v>
      </c>
      <c r="Q299" s="7" t="str">
        <f t="shared" si="7"/>
        <v/>
      </c>
      <c r="R299" s="7" t="s">
        <v>173</v>
      </c>
      <c r="S299" s="7">
        <v>8.0</v>
      </c>
      <c r="T299" s="7" t="s">
        <v>4705</v>
      </c>
    </row>
    <row r="300" ht="12.75" customHeight="1">
      <c r="A300" s="7">
        <v>299.0</v>
      </c>
      <c r="B300" s="7" t="s">
        <v>865</v>
      </c>
      <c r="C300" s="7" t="s">
        <v>3108</v>
      </c>
      <c r="D300" s="7"/>
      <c r="E300" s="7"/>
      <c r="F300" s="7" t="s">
        <v>4803</v>
      </c>
      <c r="G300" s="7" t="s">
        <v>3290</v>
      </c>
      <c r="H300" s="7" t="s">
        <v>3142</v>
      </c>
      <c r="I300" s="7" t="s">
        <v>3251</v>
      </c>
      <c r="K300" s="7" t="str">
        <f t="shared" si="2"/>
        <v/>
      </c>
      <c r="L300" s="7" t="str">
        <f t="shared" si="3"/>
        <v/>
      </c>
      <c r="M300" s="7">
        <f t="shared" ref="M300:N300" si="306">IF(LEN(M$1),COUNTIF($G300:$I300,M$1),"")</f>
        <v>0</v>
      </c>
      <c r="N300" s="7" t="str">
        <f t="shared" si="306"/>
        <v/>
      </c>
      <c r="O300" s="7" t="str">
        <f t="shared" si="5"/>
        <v/>
      </c>
      <c r="P300" s="7">
        <f t="shared" si="209"/>
        <v>0</v>
      </c>
      <c r="Q300" s="7" t="str">
        <f t="shared" si="7"/>
        <v/>
      </c>
      <c r="R300" s="7" t="s">
        <v>638</v>
      </c>
      <c r="S300" s="7">
        <v>7.0</v>
      </c>
      <c r="T300" s="7" t="s">
        <v>4718</v>
      </c>
    </row>
    <row r="301" ht="12.75" customHeight="1">
      <c r="A301" s="7">
        <v>300.0</v>
      </c>
      <c r="B301" s="7" t="s">
        <v>873</v>
      </c>
      <c r="C301" s="7" t="s">
        <v>3108</v>
      </c>
      <c r="D301" s="7"/>
      <c r="E301" s="7"/>
      <c r="F301" s="7" t="s">
        <v>4803</v>
      </c>
      <c r="G301" s="7" t="s">
        <v>3303</v>
      </c>
      <c r="H301" s="7" t="s">
        <v>3325</v>
      </c>
      <c r="I301" s="7" t="s">
        <v>3375</v>
      </c>
      <c r="K301" s="7" t="str">
        <f t="shared" si="2"/>
        <v/>
      </c>
      <c r="L301" s="7" t="str">
        <f t="shared" si="3"/>
        <v/>
      </c>
      <c r="M301" s="7">
        <f t="shared" ref="M301:N301" si="307">IF(LEN(M$1),COUNTIF($G301:$I301,M$1),"")</f>
        <v>0</v>
      </c>
      <c r="N301" s="7" t="str">
        <f t="shared" si="307"/>
        <v/>
      </c>
      <c r="O301" s="7" t="str">
        <f t="shared" si="5"/>
        <v/>
      </c>
      <c r="P301" s="7">
        <f t="shared" si="209"/>
        <v>0</v>
      </c>
      <c r="Q301" s="7" t="str">
        <f t="shared" si="7"/>
        <v/>
      </c>
      <c r="R301" s="7" t="s">
        <v>1734</v>
      </c>
      <c r="S301" s="7">
        <v>12.0</v>
      </c>
      <c r="T301" s="7" t="s">
        <v>4824</v>
      </c>
    </row>
    <row r="302" ht="12.75" customHeight="1">
      <c r="A302" s="7">
        <v>301.0</v>
      </c>
      <c r="B302" s="7" t="s">
        <v>954</v>
      </c>
      <c r="C302" s="7" t="s">
        <v>4827</v>
      </c>
      <c r="D302" s="7"/>
      <c r="E302" s="7"/>
      <c r="F302" s="7" t="s">
        <v>4828</v>
      </c>
      <c r="G302" s="7" t="s">
        <v>3485</v>
      </c>
      <c r="H302" s="7" t="s">
        <v>3355</v>
      </c>
      <c r="I302" s="7" t="s">
        <v>3299</v>
      </c>
      <c r="K302" s="7" t="str">
        <f t="shared" si="2"/>
        <v/>
      </c>
      <c r="L302" s="7" t="str">
        <f t="shared" si="3"/>
        <v/>
      </c>
      <c r="M302" s="7">
        <f t="shared" ref="M302:N302" si="308">IF(LEN(M$1),COUNTIF($G302:$I302,M$1),"")</f>
        <v>0</v>
      </c>
      <c r="N302" s="7" t="str">
        <f t="shared" si="308"/>
        <v/>
      </c>
      <c r="O302" s="7" t="str">
        <f t="shared" si="5"/>
        <v/>
      </c>
      <c r="P302" s="7">
        <f t="shared" ref="P302:P401" si="310">IF(LEN(P$1),IF(P$1=4,1,0),"")</f>
        <v>0</v>
      </c>
      <c r="Q302" s="7" t="str">
        <f t="shared" si="7"/>
        <v/>
      </c>
      <c r="R302" s="7" t="s">
        <v>1020</v>
      </c>
      <c r="S302" s="7">
        <v>7.0</v>
      </c>
      <c r="T302" s="7" t="s">
        <v>4733</v>
      </c>
    </row>
    <row r="303" ht="12.75" customHeight="1">
      <c r="A303" s="7">
        <v>302.0</v>
      </c>
      <c r="B303" s="7" t="s">
        <v>1115</v>
      </c>
      <c r="C303" s="7" t="s">
        <v>4829</v>
      </c>
      <c r="D303" s="7"/>
      <c r="E303" s="7"/>
      <c r="F303" s="7" t="s">
        <v>4828</v>
      </c>
      <c r="G303" s="7" t="s">
        <v>3348</v>
      </c>
      <c r="H303" s="7" t="s">
        <v>3467</v>
      </c>
      <c r="I303" s="7" t="s">
        <v>3567</v>
      </c>
      <c r="K303" s="7" t="str">
        <f t="shared" si="2"/>
        <v/>
      </c>
      <c r="L303" s="7" t="str">
        <f t="shared" si="3"/>
        <v/>
      </c>
      <c r="M303" s="7">
        <f t="shared" ref="M303:N303" si="309">IF(LEN(M$1),COUNTIF($G303:$I303,M$1),"")</f>
        <v>0</v>
      </c>
      <c r="N303" s="7" t="str">
        <f t="shared" si="309"/>
        <v/>
      </c>
      <c r="O303" s="7" t="str">
        <f t="shared" si="5"/>
        <v/>
      </c>
      <c r="P303" s="7">
        <f t="shared" si="310"/>
        <v>0</v>
      </c>
      <c r="Q303" s="7" t="str">
        <f t="shared" si="7"/>
        <v/>
      </c>
      <c r="R303" s="7" t="s">
        <v>2118</v>
      </c>
      <c r="S303" s="7">
        <v>9.0</v>
      </c>
      <c r="T303" s="7" t="s">
        <v>4760</v>
      </c>
    </row>
    <row r="304" ht="12.75" customHeight="1">
      <c r="A304" s="7">
        <v>303.0</v>
      </c>
      <c r="B304" s="7" t="s">
        <v>903</v>
      </c>
      <c r="C304" s="7" t="s">
        <v>3108</v>
      </c>
      <c r="D304" s="7"/>
      <c r="E304" s="7"/>
      <c r="F304" s="7" t="s">
        <v>4828</v>
      </c>
      <c r="G304" s="7" t="s">
        <v>3494</v>
      </c>
      <c r="H304" s="7" t="s">
        <v>3488</v>
      </c>
      <c r="I304" s="7" t="s">
        <v>3451</v>
      </c>
      <c r="K304" s="7" t="str">
        <f t="shared" si="2"/>
        <v/>
      </c>
      <c r="L304" s="7" t="str">
        <f t="shared" si="3"/>
        <v/>
      </c>
      <c r="M304" s="7">
        <f t="shared" ref="M304:N304" si="311">IF(LEN(M$1),COUNTIF($G304:$I304,M$1),"")</f>
        <v>0</v>
      </c>
      <c r="N304" s="7" t="str">
        <f t="shared" si="311"/>
        <v/>
      </c>
      <c r="O304" s="7" t="str">
        <f t="shared" si="5"/>
        <v/>
      </c>
      <c r="P304" s="7">
        <f t="shared" si="310"/>
        <v>0</v>
      </c>
      <c r="Q304" s="7" t="str">
        <f t="shared" si="7"/>
        <v/>
      </c>
      <c r="R304" s="7" t="s">
        <v>1261</v>
      </c>
      <c r="S304" s="7">
        <v>6.0</v>
      </c>
      <c r="T304" s="7" t="s">
        <v>4706</v>
      </c>
    </row>
    <row r="305" ht="12.75" customHeight="1">
      <c r="A305" s="7">
        <v>304.0</v>
      </c>
      <c r="B305" s="7" t="s">
        <v>1041</v>
      </c>
      <c r="C305" s="7" t="s">
        <v>4830</v>
      </c>
      <c r="D305" s="7"/>
      <c r="E305" s="7"/>
      <c r="F305" s="7" t="s">
        <v>4828</v>
      </c>
      <c r="G305" s="7" t="s">
        <v>3451</v>
      </c>
      <c r="H305" s="7" t="s">
        <v>3467</v>
      </c>
      <c r="I305" s="7" t="s">
        <v>3445</v>
      </c>
      <c r="K305" s="7" t="str">
        <f t="shared" si="2"/>
        <v/>
      </c>
      <c r="L305" s="7" t="str">
        <f t="shared" si="3"/>
        <v/>
      </c>
      <c r="M305" s="7">
        <f t="shared" ref="M305:N305" si="312">IF(LEN(M$1),COUNTIF($G305:$I305,M$1),"")</f>
        <v>0</v>
      </c>
      <c r="N305" s="7" t="str">
        <f t="shared" si="312"/>
        <v/>
      </c>
      <c r="O305" s="7" t="str">
        <f t="shared" si="5"/>
        <v/>
      </c>
      <c r="P305" s="7">
        <f t="shared" si="310"/>
        <v>0</v>
      </c>
      <c r="Q305" s="7" t="str">
        <f t="shared" si="7"/>
        <v/>
      </c>
      <c r="R305" s="7" t="s">
        <v>122</v>
      </c>
      <c r="S305" s="7">
        <v>8.0</v>
      </c>
      <c r="T305" s="7" t="s">
        <v>4705</v>
      </c>
    </row>
    <row r="306" ht="12.75" customHeight="1">
      <c r="A306" s="7">
        <v>305.0</v>
      </c>
      <c r="B306" s="7" t="s">
        <v>981</v>
      </c>
      <c r="C306" s="7" t="s">
        <v>2659</v>
      </c>
      <c r="D306" s="7"/>
      <c r="E306" s="7"/>
      <c r="F306" s="7" t="s">
        <v>4828</v>
      </c>
      <c r="G306" s="7" t="s">
        <v>3536</v>
      </c>
      <c r="H306" s="7" t="s">
        <v>3455</v>
      </c>
      <c r="I306" s="7" t="s">
        <v>3511</v>
      </c>
      <c r="K306" s="7" t="str">
        <f t="shared" si="2"/>
        <v/>
      </c>
      <c r="L306" s="7" t="str">
        <f t="shared" si="3"/>
        <v/>
      </c>
      <c r="M306" s="7">
        <f t="shared" ref="M306:N306" si="313">IF(LEN(M$1),COUNTIF($G306:$I306,M$1),"")</f>
        <v>0</v>
      </c>
      <c r="N306" s="7" t="str">
        <f t="shared" si="313"/>
        <v/>
      </c>
      <c r="O306" s="7" t="str">
        <f t="shared" si="5"/>
        <v/>
      </c>
      <c r="P306" s="7">
        <f t="shared" si="310"/>
        <v>0</v>
      </c>
      <c r="Q306" s="7" t="str">
        <f t="shared" si="7"/>
        <v/>
      </c>
      <c r="R306" s="7" t="s">
        <v>1510</v>
      </c>
      <c r="S306" s="7">
        <v>6.0</v>
      </c>
      <c r="T306" s="7" t="s">
        <v>4729</v>
      </c>
    </row>
    <row r="307" ht="12.75" customHeight="1">
      <c r="A307" s="7">
        <v>306.0</v>
      </c>
      <c r="B307" s="7" t="s">
        <v>1057</v>
      </c>
      <c r="C307" s="7" t="s">
        <v>4831</v>
      </c>
      <c r="D307" s="7"/>
      <c r="E307" s="7"/>
      <c r="F307" s="7" t="s">
        <v>4828</v>
      </c>
      <c r="G307" s="7" t="s">
        <v>3520</v>
      </c>
      <c r="H307" s="7" t="s">
        <v>3375</v>
      </c>
      <c r="I307" s="7" t="s">
        <v>3287</v>
      </c>
      <c r="K307" s="7" t="str">
        <f t="shared" si="2"/>
        <v/>
      </c>
      <c r="L307" s="7" t="str">
        <f t="shared" si="3"/>
        <v/>
      </c>
      <c r="M307" s="7">
        <f t="shared" ref="M307:N307" si="314">IF(LEN(M$1),COUNTIF($G307:$I307,M$1),"")</f>
        <v>0</v>
      </c>
      <c r="N307" s="7" t="str">
        <f t="shared" si="314"/>
        <v/>
      </c>
      <c r="O307" s="7" t="str">
        <f t="shared" si="5"/>
        <v/>
      </c>
      <c r="P307" s="7">
        <f t="shared" si="310"/>
        <v>0</v>
      </c>
      <c r="Q307" s="7" t="str">
        <f t="shared" si="7"/>
        <v/>
      </c>
      <c r="R307" s="7" t="s">
        <v>1477</v>
      </c>
      <c r="S307" s="7">
        <v>6.0</v>
      </c>
      <c r="T307" s="7" t="s">
        <v>4729</v>
      </c>
    </row>
    <row r="308" ht="12.75" customHeight="1">
      <c r="A308" s="7">
        <v>307.0</v>
      </c>
      <c r="B308" s="7" t="s">
        <v>834</v>
      </c>
      <c r="C308" s="7" t="s">
        <v>4825</v>
      </c>
      <c r="D308" s="7"/>
      <c r="E308" s="7"/>
      <c r="F308" s="7" t="s">
        <v>4828</v>
      </c>
      <c r="G308" s="7" t="s">
        <v>3348</v>
      </c>
      <c r="H308" s="7" t="s">
        <v>3451</v>
      </c>
      <c r="I308" s="7" t="s">
        <v>3527</v>
      </c>
      <c r="K308" s="7" t="str">
        <f t="shared" si="2"/>
        <v/>
      </c>
      <c r="L308" s="7" t="str">
        <f t="shared" si="3"/>
        <v/>
      </c>
      <c r="M308" s="7">
        <f t="shared" ref="M308:N308" si="315">IF(LEN(M$1),COUNTIF($G308:$I308,M$1),"")</f>
        <v>0</v>
      </c>
      <c r="N308" s="7" t="str">
        <f t="shared" si="315"/>
        <v/>
      </c>
      <c r="O308" s="7" t="str">
        <f t="shared" si="5"/>
        <v/>
      </c>
      <c r="P308" s="7">
        <f t="shared" si="310"/>
        <v>0</v>
      </c>
      <c r="Q308" s="7" t="str">
        <f t="shared" si="7"/>
        <v/>
      </c>
      <c r="R308" s="7" t="s">
        <v>1417</v>
      </c>
      <c r="S308" s="7">
        <v>6.0</v>
      </c>
      <c r="T308" s="7" t="s">
        <v>4729</v>
      </c>
    </row>
    <row r="309" ht="12.75" customHeight="1">
      <c r="A309" s="7">
        <v>308.0</v>
      </c>
      <c r="B309" s="7" t="s">
        <v>812</v>
      </c>
      <c r="C309" s="7" t="s">
        <v>4823</v>
      </c>
      <c r="D309" s="7"/>
      <c r="E309" s="7"/>
      <c r="F309" s="7" t="s">
        <v>4828</v>
      </c>
      <c r="G309" s="7" t="s">
        <v>3539</v>
      </c>
      <c r="H309" s="7" t="s">
        <v>3572</v>
      </c>
      <c r="I309" s="7" t="s">
        <v>3473</v>
      </c>
      <c r="K309" s="7" t="str">
        <f t="shared" si="2"/>
        <v/>
      </c>
      <c r="L309" s="7" t="str">
        <f t="shared" si="3"/>
        <v/>
      </c>
      <c r="M309" s="7">
        <f t="shared" ref="M309:N309" si="316">IF(LEN(M$1),COUNTIF($G309:$I309,M$1),"")</f>
        <v>0</v>
      </c>
      <c r="N309" s="7" t="str">
        <f t="shared" si="316"/>
        <v/>
      </c>
      <c r="O309" s="7" t="str">
        <f t="shared" si="5"/>
        <v/>
      </c>
      <c r="P309" s="7">
        <f t="shared" si="310"/>
        <v>0</v>
      </c>
      <c r="Q309" s="7" t="str">
        <f t="shared" si="7"/>
        <v/>
      </c>
      <c r="R309" s="7" t="s">
        <v>462</v>
      </c>
      <c r="S309" s="7">
        <v>6.0</v>
      </c>
      <c r="T309" s="7" t="s">
        <v>4709</v>
      </c>
    </row>
    <row r="310" ht="12.75" customHeight="1">
      <c r="A310" s="7">
        <v>309.0</v>
      </c>
      <c r="B310" s="7" t="s">
        <v>622</v>
      </c>
      <c r="C310" s="7" t="s">
        <v>4756</v>
      </c>
      <c r="D310" s="7"/>
      <c r="E310" s="7"/>
      <c r="F310" s="7" t="s">
        <v>4828</v>
      </c>
      <c r="G310" s="7" t="s">
        <v>3445</v>
      </c>
      <c r="H310" s="7" t="s">
        <v>3576</v>
      </c>
      <c r="I310" s="7" t="s">
        <v>3476</v>
      </c>
      <c r="K310" s="7" t="str">
        <f t="shared" si="2"/>
        <v/>
      </c>
      <c r="L310" s="7" t="str">
        <f t="shared" si="3"/>
        <v/>
      </c>
      <c r="M310" s="7">
        <f t="shared" ref="M310:N310" si="317">IF(LEN(M$1),COUNTIF($G310:$I310,M$1),"")</f>
        <v>0</v>
      </c>
      <c r="N310" s="7" t="str">
        <f t="shared" si="317"/>
        <v/>
      </c>
      <c r="O310" s="7" t="str">
        <f t="shared" si="5"/>
        <v/>
      </c>
      <c r="P310" s="7">
        <f t="shared" si="310"/>
        <v>0</v>
      </c>
      <c r="Q310" s="7" t="str">
        <f t="shared" si="7"/>
        <v/>
      </c>
      <c r="R310" s="7" t="s">
        <v>2065</v>
      </c>
      <c r="S310" s="7">
        <v>9.0</v>
      </c>
      <c r="T310" s="7" t="s">
        <v>4760</v>
      </c>
    </row>
    <row r="311" ht="12.75" customHeight="1">
      <c r="A311" s="7">
        <v>310.0</v>
      </c>
      <c r="B311" s="7" t="s">
        <v>638</v>
      </c>
      <c r="C311" s="7" t="s">
        <v>4809</v>
      </c>
      <c r="D311" s="7"/>
      <c r="E311" s="7"/>
      <c r="F311" s="7" t="s">
        <v>4828</v>
      </c>
      <c r="G311" s="7" t="s">
        <v>3555</v>
      </c>
      <c r="H311" s="7" t="s">
        <v>3469</v>
      </c>
      <c r="I311" s="7" t="s">
        <v>3500</v>
      </c>
      <c r="K311" s="7" t="str">
        <f t="shared" si="2"/>
        <v/>
      </c>
      <c r="L311" s="7" t="str">
        <f t="shared" si="3"/>
        <v/>
      </c>
      <c r="M311" s="7">
        <f t="shared" ref="M311:N311" si="318">IF(LEN(M$1),COUNTIF($G311:$I311,M$1),"")</f>
        <v>0</v>
      </c>
      <c r="N311" s="7" t="str">
        <f t="shared" si="318"/>
        <v/>
      </c>
      <c r="O311" s="7" t="str">
        <f t="shared" si="5"/>
        <v/>
      </c>
      <c r="P311" s="7">
        <f t="shared" si="310"/>
        <v>0</v>
      </c>
      <c r="Q311" s="7" t="str">
        <f t="shared" si="7"/>
        <v/>
      </c>
      <c r="R311" s="7" t="s">
        <v>279</v>
      </c>
      <c r="S311" s="7">
        <v>7.0</v>
      </c>
      <c r="T311" s="7" t="s">
        <v>4721</v>
      </c>
    </row>
    <row r="312" ht="12.75" customHeight="1">
      <c r="A312" s="7">
        <v>311.0</v>
      </c>
      <c r="B312" s="7" t="s">
        <v>1041</v>
      </c>
      <c r="C312" s="7" t="s">
        <v>4830</v>
      </c>
      <c r="D312" s="7"/>
      <c r="E312" s="7"/>
      <c r="F312" s="7" t="s">
        <v>4828</v>
      </c>
      <c r="G312" s="7" t="s">
        <v>3445</v>
      </c>
      <c r="H312" s="7" t="s">
        <v>3303</v>
      </c>
      <c r="I312" s="7" t="s">
        <v>3385</v>
      </c>
      <c r="K312" s="7" t="str">
        <f t="shared" si="2"/>
        <v/>
      </c>
      <c r="L312" s="7" t="str">
        <f t="shared" si="3"/>
        <v/>
      </c>
      <c r="M312" s="7">
        <f t="shared" ref="M312:N312" si="319">IF(LEN(M$1),COUNTIF($G312:$I312,M$1),"")</f>
        <v>0</v>
      </c>
      <c r="N312" s="7" t="str">
        <f t="shared" si="319"/>
        <v/>
      </c>
      <c r="O312" s="7" t="str">
        <f t="shared" si="5"/>
        <v/>
      </c>
      <c r="P312" s="7">
        <f t="shared" si="310"/>
        <v>0</v>
      </c>
      <c r="Q312" s="7" t="str">
        <f t="shared" si="7"/>
        <v/>
      </c>
      <c r="R312" s="7" t="s">
        <v>2125</v>
      </c>
      <c r="S312" s="7">
        <v>12.0</v>
      </c>
      <c r="T312" s="7" t="s">
        <v>4708</v>
      </c>
    </row>
    <row r="313" ht="12.75" customHeight="1">
      <c r="A313" s="7">
        <v>312.0</v>
      </c>
      <c r="B313" s="7" t="s">
        <v>1029</v>
      </c>
      <c r="C313" s="7" t="s">
        <v>4832</v>
      </c>
      <c r="D313" s="7"/>
      <c r="E313" s="7"/>
      <c r="F313" s="7" t="s">
        <v>4828</v>
      </c>
      <c r="G313" s="7" t="s">
        <v>3408</v>
      </c>
      <c r="H313" s="7" t="s">
        <v>3511</v>
      </c>
      <c r="I313" s="7" t="s">
        <v>3527</v>
      </c>
      <c r="K313" s="7" t="str">
        <f t="shared" si="2"/>
        <v/>
      </c>
      <c r="L313" s="7" t="str">
        <f t="shared" si="3"/>
        <v/>
      </c>
      <c r="M313" s="7">
        <f t="shared" ref="M313:N313" si="320">IF(LEN(M$1),COUNTIF($G313:$I313,M$1),"")</f>
        <v>0</v>
      </c>
      <c r="N313" s="7" t="str">
        <f t="shared" si="320"/>
        <v/>
      </c>
      <c r="O313" s="7" t="str">
        <f t="shared" si="5"/>
        <v/>
      </c>
      <c r="P313" s="7">
        <f t="shared" si="310"/>
        <v>0</v>
      </c>
      <c r="Q313" s="7" t="str">
        <f t="shared" si="7"/>
        <v/>
      </c>
      <c r="R313" s="7" t="s">
        <v>1148</v>
      </c>
      <c r="S313" s="7">
        <v>6.0</v>
      </c>
      <c r="T313" s="7" t="s">
        <v>4729</v>
      </c>
    </row>
    <row r="314" ht="12.75" customHeight="1">
      <c r="A314" s="7">
        <v>313.0</v>
      </c>
      <c r="B314" s="7" t="s">
        <v>1123</v>
      </c>
      <c r="C314" s="7" t="s">
        <v>4832</v>
      </c>
      <c r="D314" s="7"/>
      <c r="E314" s="7"/>
      <c r="F314" s="7" t="s">
        <v>4828</v>
      </c>
      <c r="G314" s="7" t="s">
        <v>3520</v>
      </c>
      <c r="H314" s="7" t="s">
        <v>3581</v>
      </c>
      <c r="I314" s="7" t="s">
        <v>3491</v>
      </c>
      <c r="K314" s="7" t="str">
        <f t="shared" si="2"/>
        <v/>
      </c>
      <c r="L314" s="7" t="str">
        <f t="shared" si="3"/>
        <v/>
      </c>
      <c r="M314" s="7">
        <f t="shared" ref="M314:N314" si="321">IF(LEN(M$1),COUNTIF($G314:$I314,M$1),"")</f>
        <v>0</v>
      </c>
      <c r="N314" s="7" t="str">
        <f t="shared" si="321"/>
        <v/>
      </c>
      <c r="O314" s="7" t="str">
        <f t="shared" si="5"/>
        <v/>
      </c>
      <c r="P314" s="7">
        <f t="shared" si="310"/>
        <v>0</v>
      </c>
      <c r="Q314" s="7" t="str">
        <f t="shared" si="7"/>
        <v/>
      </c>
      <c r="R314" s="7" t="s">
        <v>812</v>
      </c>
      <c r="S314" s="7">
        <v>9.0</v>
      </c>
      <c r="T314" s="7" t="s">
        <v>4833</v>
      </c>
    </row>
    <row r="315" ht="12.75" customHeight="1">
      <c r="A315" s="7">
        <v>314.0</v>
      </c>
      <c r="B315" s="7" t="s">
        <v>851</v>
      </c>
      <c r="C315" s="7" t="s">
        <v>4825</v>
      </c>
      <c r="D315" s="7"/>
      <c r="E315" s="7"/>
      <c r="F315" s="7" t="s">
        <v>4828</v>
      </c>
      <c r="G315" s="7" t="s">
        <v>3460</v>
      </c>
      <c r="H315" s="7" t="s">
        <v>3564</v>
      </c>
      <c r="I315" s="7" t="s">
        <v>3520</v>
      </c>
      <c r="K315" s="7" t="str">
        <f t="shared" si="2"/>
        <v/>
      </c>
      <c r="L315" s="7" t="str">
        <f t="shared" si="3"/>
        <v/>
      </c>
      <c r="M315" s="7">
        <f t="shared" ref="M315:N315" si="322">IF(LEN(M$1),COUNTIF($G315:$I315,M$1),"")</f>
        <v>0</v>
      </c>
      <c r="N315" s="7" t="str">
        <f t="shared" si="322"/>
        <v/>
      </c>
      <c r="O315" s="7" t="str">
        <f t="shared" si="5"/>
        <v/>
      </c>
      <c r="P315" s="7">
        <f t="shared" si="310"/>
        <v>0</v>
      </c>
      <c r="Q315" s="7" t="str">
        <f t="shared" si="7"/>
        <v/>
      </c>
      <c r="R315" s="7" t="s">
        <v>1315</v>
      </c>
      <c r="S315" s="7">
        <v>6.0</v>
      </c>
      <c r="T315" s="7" t="s">
        <v>4706</v>
      </c>
    </row>
    <row r="316" ht="12.75" customHeight="1">
      <c r="A316" s="7">
        <v>315.0</v>
      </c>
      <c r="B316" s="7" t="s">
        <v>615</v>
      </c>
      <c r="C316" s="7" t="s">
        <v>4756</v>
      </c>
      <c r="D316" s="7"/>
      <c r="E316" s="7"/>
      <c r="F316" s="7" t="s">
        <v>4828</v>
      </c>
      <c r="G316" s="7" t="s">
        <v>3546</v>
      </c>
      <c r="H316" s="7" t="s">
        <v>3480</v>
      </c>
      <c r="I316" s="7" t="s">
        <v>3564</v>
      </c>
      <c r="K316" s="7" t="str">
        <f t="shared" si="2"/>
        <v/>
      </c>
      <c r="L316" s="7" t="str">
        <f t="shared" si="3"/>
        <v/>
      </c>
      <c r="M316" s="7">
        <f t="shared" ref="M316:N316" si="323">IF(LEN(M$1),COUNTIF($G316:$I316,M$1),"")</f>
        <v>0</v>
      </c>
      <c r="N316" s="7" t="str">
        <f t="shared" si="323"/>
        <v/>
      </c>
      <c r="O316" s="7" t="str">
        <f t="shared" si="5"/>
        <v/>
      </c>
      <c r="P316" s="7">
        <f t="shared" si="310"/>
        <v>0</v>
      </c>
      <c r="Q316" s="7" t="str">
        <f t="shared" si="7"/>
        <v/>
      </c>
      <c r="R316" s="7" t="s">
        <v>895</v>
      </c>
      <c r="S316" s="7">
        <v>5.0</v>
      </c>
      <c r="T316" s="7" t="s">
        <v>4800</v>
      </c>
    </row>
    <row r="317" ht="12.75" customHeight="1">
      <c r="A317" s="7">
        <v>316.0</v>
      </c>
      <c r="B317" s="7" t="s">
        <v>786</v>
      </c>
      <c r="C317" s="7" t="s">
        <v>4822</v>
      </c>
      <c r="D317" s="7"/>
      <c r="E317" s="7"/>
      <c r="F317" s="7" t="s">
        <v>4828</v>
      </c>
      <c r="G317" s="7" t="s">
        <v>3513</v>
      </c>
      <c r="H317" s="7" t="s">
        <v>3375</v>
      </c>
      <c r="I317" s="7" t="s">
        <v>3287</v>
      </c>
      <c r="K317" s="7" t="str">
        <f t="shared" si="2"/>
        <v/>
      </c>
      <c r="L317" s="7" t="str">
        <f t="shared" si="3"/>
        <v/>
      </c>
      <c r="M317" s="7">
        <f t="shared" ref="M317:N317" si="324">IF(LEN(M$1),COUNTIF($G317:$I317,M$1),"")</f>
        <v>0</v>
      </c>
      <c r="N317" s="7" t="str">
        <f t="shared" si="324"/>
        <v/>
      </c>
      <c r="O317" s="7" t="str">
        <f t="shared" si="5"/>
        <v/>
      </c>
      <c r="P317" s="7">
        <f t="shared" si="310"/>
        <v>0</v>
      </c>
      <c r="Q317" s="7" t="str">
        <f t="shared" si="7"/>
        <v/>
      </c>
      <c r="R317" s="7" t="s">
        <v>237</v>
      </c>
      <c r="S317" s="7">
        <v>7.0</v>
      </c>
      <c r="T317" s="7" t="s">
        <v>4721</v>
      </c>
    </row>
    <row r="318" ht="12.75" customHeight="1">
      <c r="A318" s="7">
        <v>317.0</v>
      </c>
      <c r="B318" s="7" t="s">
        <v>194</v>
      </c>
      <c r="C318" s="7" t="s">
        <v>4830</v>
      </c>
      <c r="D318" s="7"/>
      <c r="E318" s="7"/>
      <c r="F318" s="7" t="s">
        <v>4828</v>
      </c>
      <c r="G318" s="7" t="s">
        <v>3348</v>
      </c>
      <c r="H318" s="7" t="s">
        <v>3451</v>
      </c>
      <c r="I318" s="7" t="s">
        <v>3549</v>
      </c>
      <c r="K318" s="7" t="str">
        <f t="shared" si="2"/>
        <v/>
      </c>
      <c r="L318" s="7" t="str">
        <f t="shared" si="3"/>
        <v/>
      </c>
      <c r="M318" s="7">
        <f t="shared" ref="M318:N318" si="325">IF(LEN(M$1),COUNTIF($G318:$I318,M$1),"")</f>
        <v>0</v>
      </c>
      <c r="N318" s="7" t="str">
        <f t="shared" si="325"/>
        <v/>
      </c>
      <c r="O318" s="7" t="str">
        <f t="shared" si="5"/>
        <v/>
      </c>
      <c r="P318" s="7">
        <f t="shared" si="310"/>
        <v>0</v>
      </c>
      <c r="Q318" s="7" t="str">
        <f t="shared" si="7"/>
        <v/>
      </c>
      <c r="R318" s="7" t="s">
        <v>318</v>
      </c>
      <c r="S318" s="7">
        <v>8.0</v>
      </c>
      <c r="T318" s="7" t="s">
        <v>4705</v>
      </c>
    </row>
    <row r="319" ht="12.75" customHeight="1">
      <c r="A319" s="7">
        <v>318.0</v>
      </c>
      <c r="B319" s="7" t="s">
        <v>1091</v>
      </c>
      <c r="C319" s="7" t="s">
        <v>4834</v>
      </c>
      <c r="D319" s="7"/>
      <c r="E319" s="7"/>
      <c r="F319" s="7" t="s">
        <v>4828</v>
      </c>
      <c r="G319" s="7" t="s">
        <v>3536</v>
      </c>
      <c r="H319" s="7" t="s">
        <v>3570</v>
      </c>
      <c r="I319" s="7" t="s">
        <v>3491</v>
      </c>
      <c r="K319" s="7" t="str">
        <f t="shared" si="2"/>
        <v/>
      </c>
      <c r="L319" s="7" t="str">
        <f t="shared" si="3"/>
        <v/>
      </c>
      <c r="M319" s="7">
        <f t="shared" ref="M319:N319" si="326">IF(LEN(M$1),COUNTIF($G319:$I319,M$1),"")</f>
        <v>0</v>
      </c>
      <c r="N319" s="7" t="str">
        <f t="shared" si="326"/>
        <v/>
      </c>
      <c r="O319" s="7" t="str">
        <f t="shared" si="5"/>
        <v/>
      </c>
      <c r="P319" s="7">
        <f t="shared" si="310"/>
        <v>0</v>
      </c>
      <c r="Q319" s="7" t="str">
        <f t="shared" si="7"/>
        <v/>
      </c>
      <c r="R319" s="7" t="s">
        <v>2466</v>
      </c>
      <c r="S319" s="7">
        <v>6.0</v>
      </c>
      <c r="T319" s="7" t="s">
        <v>4835</v>
      </c>
    </row>
    <row r="320" ht="12.75" customHeight="1">
      <c r="A320" s="7">
        <v>319.0</v>
      </c>
      <c r="B320" s="7" t="s">
        <v>676</v>
      </c>
      <c r="C320" s="7" t="s">
        <v>4814</v>
      </c>
      <c r="D320" s="7"/>
      <c r="E320" s="7"/>
      <c r="F320" s="7" t="s">
        <v>4828</v>
      </c>
      <c r="G320" s="7" t="s">
        <v>3445</v>
      </c>
      <c r="H320" s="7" t="s">
        <v>3576</v>
      </c>
      <c r="I320" s="7" t="s">
        <v>3480</v>
      </c>
      <c r="K320" s="7" t="str">
        <f t="shared" si="2"/>
        <v/>
      </c>
      <c r="L320" s="7" t="str">
        <f t="shared" si="3"/>
        <v/>
      </c>
      <c r="M320" s="7">
        <f t="shared" ref="M320:N320" si="327">IF(LEN(M$1),COUNTIF($G320:$I320,M$1),"")</f>
        <v>0</v>
      </c>
      <c r="N320" s="7" t="str">
        <f t="shared" si="327"/>
        <v/>
      </c>
      <c r="O320" s="7" t="str">
        <f t="shared" si="5"/>
        <v/>
      </c>
      <c r="P320" s="7">
        <f t="shared" si="310"/>
        <v>0</v>
      </c>
      <c r="Q320" s="7" t="str">
        <f t="shared" si="7"/>
        <v/>
      </c>
      <c r="R320" s="7" t="s">
        <v>2426</v>
      </c>
      <c r="S320" s="7">
        <v>3.0</v>
      </c>
      <c r="T320" s="7" t="s">
        <v>4836</v>
      </c>
    </row>
    <row r="321" ht="12.75" customHeight="1">
      <c r="A321" s="7">
        <v>320.0</v>
      </c>
      <c r="B321" s="7" t="s">
        <v>954</v>
      </c>
      <c r="C321" s="7" t="s">
        <v>4827</v>
      </c>
      <c r="D321" s="7"/>
      <c r="E321" s="7"/>
      <c r="F321" s="7" t="s">
        <v>4828</v>
      </c>
      <c r="G321" s="7" t="s">
        <v>3555</v>
      </c>
      <c r="H321" s="7" t="s">
        <v>3533</v>
      </c>
      <c r="I321" s="7" t="s">
        <v>3500</v>
      </c>
      <c r="K321" s="7" t="str">
        <f t="shared" si="2"/>
        <v/>
      </c>
      <c r="L321" s="7" t="str">
        <f t="shared" si="3"/>
        <v/>
      </c>
      <c r="M321" s="7">
        <f t="shared" ref="M321:N321" si="328">IF(LEN(M$1),COUNTIF($G321:$I321,M$1),"")</f>
        <v>0</v>
      </c>
      <c r="N321" s="7" t="str">
        <f t="shared" si="328"/>
        <v/>
      </c>
      <c r="O321" s="7" t="str">
        <f t="shared" si="5"/>
        <v/>
      </c>
      <c r="P321" s="7">
        <f t="shared" si="310"/>
        <v>0</v>
      </c>
      <c r="Q321" s="7" t="str">
        <f t="shared" si="7"/>
        <v/>
      </c>
      <c r="R321" s="7" t="s">
        <v>469</v>
      </c>
      <c r="S321" s="7">
        <v>6.0</v>
      </c>
      <c r="T321" s="7" t="s">
        <v>4709</v>
      </c>
    </row>
    <row r="322" ht="12.75" customHeight="1">
      <c r="A322" s="7">
        <v>321.0</v>
      </c>
      <c r="B322" s="7" t="s">
        <v>865</v>
      </c>
      <c r="C322" s="7" t="s">
        <v>3108</v>
      </c>
      <c r="D322" s="7"/>
      <c r="E322" s="7"/>
      <c r="F322" s="7" t="s">
        <v>4828</v>
      </c>
      <c r="G322" s="7" t="s">
        <v>3494</v>
      </c>
      <c r="H322" s="7" t="s">
        <v>3323</v>
      </c>
      <c r="I322" s="7" t="s">
        <v>3485</v>
      </c>
      <c r="K322" s="7" t="str">
        <f t="shared" si="2"/>
        <v/>
      </c>
      <c r="L322" s="7" t="str">
        <f t="shared" si="3"/>
        <v/>
      </c>
      <c r="M322" s="7">
        <f t="shared" ref="M322:N322" si="329">IF(LEN(M$1),COUNTIF($G322:$I322,M$1),"")</f>
        <v>0</v>
      </c>
      <c r="N322" s="7" t="str">
        <f t="shared" si="329"/>
        <v/>
      </c>
      <c r="O322" s="7" t="str">
        <f t="shared" si="5"/>
        <v/>
      </c>
      <c r="P322" s="7">
        <f t="shared" si="310"/>
        <v>0</v>
      </c>
      <c r="Q322" s="7" t="str">
        <f t="shared" si="7"/>
        <v/>
      </c>
      <c r="R322" s="7" t="s">
        <v>517</v>
      </c>
      <c r="S322" s="7">
        <v>5.0</v>
      </c>
      <c r="T322" s="7" t="s">
        <v>4723</v>
      </c>
    </row>
    <row r="323" ht="12.75" customHeight="1">
      <c r="A323" s="7">
        <v>322.0</v>
      </c>
      <c r="B323" s="7" t="s">
        <v>842</v>
      </c>
      <c r="C323" s="7" t="s">
        <v>4826</v>
      </c>
      <c r="D323" s="7"/>
      <c r="E323" s="7"/>
      <c r="F323" s="7" t="s">
        <v>4828</v>
      </c>
      <c r="G323" s="7" t="s">
        <v>3325</v>
      </c>
      <c r="H323" s="7" t="s">
        <v>3451</v>
      </c>
      <c r="I323" s="7" t="s">
        <v>3546</v>
      </c>
      <c r="K323" s="7" t="str">
        <f t="shared" si="2"/>
        <v/>
      </c>
      <c r="L323" s="7" t="str">
        <f t="shared" si="3"/>
        <v/>
      </c>
      <c r="M323" s="7">
        <f t="shared" ref="M323:N323" si="330">IF(LEN(M$1),COUNTIF($G323:$I323,M$1),"")</f>
        <v>0</v>
      </c>
      <c r="N323" s="7" t="str">
        <f t="shared" si="330"/>
        <v/>
      </c>
      <c r="O323" s="7" t="str">
        <f t="shared" si="5"/>
        <v/>
      </c>
      <c r="P323" s="7">
        <f t="shared" si="310"/>
        <v>0</v>
      </c>
      <c r="Q323" s="7" t="str">
        <f t="shared" si="7"/>
        <v/>
      </c>
      <c r="R323" s="7" t="s">
        <v>2314</v>
      </c>
      <c r="S323" s="7">
        <v>9.0</v>
      </c>
      <c r="T323" s="7" t="s">
        <v>4810</v>
      </c>
    </row>
    <row r="324" ht="12.75" customHeight="1">
      <c r="A324" s="7">
        <v>323.0</v>
      </c>
      <c r="B324" s="7" t="s">
        <v>698</v>
      </c>
      <c r="C324" s="7" t="s">
        <v>4758</v>
      </c>
      <c r="D324" s="7"/>
      <c r="E324" s="7"/>
      <c r="F324" s="7" t="s">
        <v>4828</v>
      </c>
      <c r="G324" s="7" t="s">
        <v>3467</v>
      </c>
      <c r="H324" s="7" t="s">
        <v>3544</v>
      </c>
      <c r="I324" s="7" t="s">
        <v>3533</v>
      </c>
      <c r="K324" s="7" t="str">
        <f t="shared" si="2"/>
        <v/>
      </c>
      <c r="L324" s="7" t="str">
        <f t="shared" si="3"/>
        <v/>
      </c>
      <c r="M324" s="7">
        <f t="shared" ref="M324:N324" si="331">IF(LEN(M$1),COUNTIF($G324:$I324,M$1),"")</f>
        <v>0</v>
      </c>
      <c r="N324" s="7" t="str">
        <f t="shared" si="331"/>
        <v/>
      </c>
      <c r="O324" s="7" t="str">
        <f t="shared" si="5"/>
        <v/>
      </c>
      <c r="P324" s="7">
        <f t="shared" si="310"/>
        <v>0</v>
      </c>
      <c r="Q324" s="7" t="str">
        <f t="shared" si="7"/>
        <v/>
      </c>
      <c r="T324" s="7"/>
    </row>
    <row r="325" ht="12.75" customHeight="1">
      <c r="A325" s="7">
        <v>324.0</v>
      </c>
      <c r="B325" s="7" t="s">
        <v>630</v>
      </c>
      <c r="C325" s="7" t="s">
        <v>4809</v>
      </c>
      <c r="D325" s="7"/>
      <c r="E325" s="7"/>
      <c r="F325" s="7" t="s">
        <v>4828</v>
      </c>
      <c r="G325" s="7" t="s">
        <v>3530</v>
      </c>
      <c r="H325" s="7" t="s">
        <v>3520</v>
      </c>
      <c r="I325" s="7" t="s">
        <v>3513</v>
      </c>
      <c r="K325" s="7" t="str">
        <f t="shared" si="2"/>
        <v/>
      </c>
      <c r="L325" s="7" t="str">
        <f t="shared" si="3"/>
        <v/>
      </c>
      <c r="M325" s="7">
        <f t="shared" ref="M325:N325" si="332">IF(LEN(M$1),COUNTIF($G325:$I325,M$1),"")</f>
        <v>0</v>
      </c>
      <c r="N325" s="7" t="str">
        <f t="shared" si="332"/>
        <v/>
      </c>
      <c r="O325" s="7" t="str">
        <f t="shared" si="5"/>
        <v/>
      </c>
      <c r="P325" s="7">
        <f t="shared" si="310"/>
        <v>0</v>
      </c>
      <c r="Q325" s="7" t="str">
        <f t="shared" si="7"/>
        <v/>
      </c>
      <c r="T325" s="7"/>
    </row>
    <row r="326" ht="12.75" customHeight="1">
      <c r="A326" s="7">
        <v>325.0</v>
      </c>
      <c r="B326" s="7" t="s">
        <v>729</v>
      </c>
      <c r="C326" s="7" t="s">
        <v>4818</v>
      </c>
      <c r="D326" s="7"/>
      <c r="E326" s="7"/>
      <c r="F326" s="7" t="s">
        <v>4828</v>
      </c>
      <c r="G326" s="7" t="s">
        <v>3546</v>
      </c>
      <c r="H326" s="7" t="s">
        <v>3551</v>
      </c>
      <c r="I326" s="7" t="s">
        <v>3455</v>
      </c>
      <c r="K326" s="7" t="str">
        <f t="shared" si="2"/>
        <v/>
      </c>
      <c r="L326" s="7" t="str">
        <f t="shared" si="3"/>
        <v/>
      </c>
      <c r="M326" s="7">
        <f t="shared" ref="M326:N326" si="333">IF(LEN(M$1),COUNTIF($G326:$I326,M$1),"")</f>
        <v>0</v>
      </c>
      <c r="N326" s="7" t="str">
        <f t="shared" si="333"/>
        <v/>
      </c>
      <c r="O326" s="7" t="str">
        <f t="shared" si="5"/>
        <v/>
      </c>
      <c r="P326" s="7">
        <f t="shared" si="310"/>
        <v>0</v>
      </c>
      <c r="Q326" s="7" t="str">
        <f t="shared" si="7"/>
        <v/>
      </c>
      <c r="T326" s="7"/>
    </row>
    <row r="327" ht="12.75" customHeight="1">
      <c r="A327" s="7">
        <v>326.0</v>
      </c>
      <c r="B327" s="7" t="s">
        <v>1144</v>
      </c>
      <c r="C327" s="7" t="s">
        <v>4837</v>
      </c>
      <c r="D327" s="7"/>
      <c r="E327" s="7"/>
      <c r="F327" s="7" t="s">
        <v>4828</v>
      </c>
      <c r="G327" s="7" t="s">
        <v>3516</v>
      </c>
      <c r="H327" s="7" t="s">
        <v>3375</v>
      </c>
      <c r="I327" s="7" t="s">
        <v>3287</v>
      </c>
      <c r="K327" s="7" t="str">
        <f t="shared" si="2"/>
        <v/>
      </c>
      <c r="L327" s="7" t="str">
        <f t="shared" si="3"/>
        <v/>
      </c>
      <c r="M327" s="7">
        <f t="shared" ref="M327:N327" si="334">IF(LEN(M$1),COUNTIF($G327:$I327,M$1),"")</f>
        <v>0</v>
      </c>
      <c r="N327" s="7" t="str">
        <f t="shared" si="334"/>
        <v/>
      </c>
      <c r="O327" s="7" t="str">
        <f t="shared" si="5"/>
        <v/>
      </c>
      <c r="P327" s="7">
        <f t="shared" si="310"/>
        <v>0</v>
      </c>
      <c r="Q327" s="7" t="str">
        <f t="shared" si="7"/>
        <v/>
      </c>
      <c r="T327" s="7"/>
    </row>
    <row r="328" ht="12.75" customHeight="1">
      <c r="A328" s="7">
        <v>327.0</v>
      </c>
      <c r="B328" s="7" t="s">
        <v>676</v>
      </c>
      <c r="C328" s="7" t="s">
        <v>4814</v>
      </c>
      <c r="D328" s="7"/>
      <c r="E328" s="7"/>
      <c r="F328" s="7" t="s">
        <v>4828</v>
      </c>
      <c r="G328" s="7" t="s">
        <v>3348</v>
      </c>
      <c r="H328" s="7" t="s">
        <v>3457</v>
      </c>
      <c r="I328" s="7" t="s">
        <v>3549</v>
      </c>
      <c r="K328" s="7" t="str">
        <f t="shared" si="2"/>
        <v/>
      </c>
      <c r="L328" s="7" t="str">
        <f t="shared" si="3"/>
        <v/>
      </c>
      <c r="M328" s="7">
        <f t="shared" ref="M328:N328" si="335">IF(LEN(M$1),COUNTIF($G328:$I328,M$1),"")</f>
        <v>0</v>
      </c>
      <c r="N328" s="7" t="str">
        <f t="shared" si="335"/>
        <v/>
      </c>
      <c r="O328" s="7" t="str">
        <f t="shared" si="5"/>
        <v/>
      </c>
      <c r="P328" s="7">
        <f t="shared" si="310"/>
        <v>0</v>
      </c>
      <c r="Q328" s="7" t="str">
        <f t="shared" si="7"/>
        <v/>
      </c>
      <c r="T328" s="7"/>
    </row>
    <row r="329" ht="12.75" customHeight="1">
      <c r="A329" s="7">
        <v>328.0</v>
      </c>
      <c r="B329" s="7" t="s">
        <v>729</v>
      </c>
      <c r="C329" s="7" t="s">
        <v>4818</v>
      </c>
      <c r="D329" s="7"/>
      <c r="E329" s="7"/>
      <c r="F329" s="7" t="s">
        <v>4828</v>
      </c>
      <c r="G329" s="7" t="s">
        <v>3559</v>
      </c>
      <c r="H329" s="7" t="s">
        <v>3465</v>
      </c>
      <c r="I329" s="7" t="s">
        <v>3508</v>
      </c>
      <c r="K329" s="7" t="str">
        <f t="shared" si="2"/>
        <v/>
      </c>
      <c r="L329" s="7" t="str">
        <f t="shared" si="3"/>
        <v/>
      </c>
      <c r="M329" s="7">
        <f t="shared" ref="M329:N329" si="336">IF(LEN(M$1),COUNTIF($G329:$I329,M$1),"")</f>
        <v>0</v>
      </c>
      <c r="N329" s="7" t="str">
        <f t="shared" si="336"/>
        <v/>
      </c>
      <c r="O329" s="7" t="str">
        <f t="shared" si="5"/>
        <v/>
      </c>
      <c r="P329" s="7">
        <f t="shared" si="310"/>
        <v>0</v>
      </c>
      <c r="Q329" s="7" t="str">
        <f t="shared" si="7"/>
        <v/>
      </c>
      <c r="T329" s="7"/>
    </row>
    <row r="330" ht="12.75" customHeight="1">
      <c r="A330" s="7">
        <v>329.0</v>
      </c>
      <c r="B330" s="7" t="s">
        <v>1012</v>
      </c>
      <c r="C330" s="7" t="s">
        <v>2659</v>
      </c>
      <c r="D330" s="7"/>
      <c r="E330" s="7"/>
      <c r="F330" s="7" t="s">
        <v>4828</v>
      </c>
      <c r="G330" s="7" t="s">
        <v>3551</v>
      </c>
      <c r="H330" s="7" t="s">
        <v>3465</v>
      </c>
      <c r="I330" s="7" t="s">
        <v>3485</v>
      </c>
      <c r="K330" s="7" t="str">
        <f t="shared" si="2"/>
        <v/>
      </c>
      <c r="L330" s="7" t="str">
        <f t="shared" si="3"/>
        <v/>
      </c>
      <c r="M330" s="7">
        <f t="shared" ref="M330:N330" si="337">IF(LEN(M$1),COUNTIF($G330:$I330,M$1),"")</f>
        <v>0</v>
      </c>
      <c r="N330" s="7" t="str">
        <f t="shared" si="337"/>
        <v/>
      </c>
      <c r="O330" s="7" t="str">
        <f t="shared" si="5"/>
        <v/>
      </c>
      <c r="P330" s="7">
        <f t="shared" si="310"/>
        <v>0</v>
      </c>
      <c r="Q330" s="7" t="str">
        <f t="shared" si="7"/>
        <v/>
      </c>
      <c r="T330" s="7"/>
    </row>
    <row r="331" ht="12.75" customHeight="1">
      <c r="A331" s="7">
        <v>330.0</v>
      </c>
      <c r="B331" s="7" t="s">
        <v>615</v>
      </c>
      <c r="C331" s="7" t="s">
        <v>4756</v>
      </c>
      <c r="D331" s="7"/>
      <c r="E331" s="7"/>
      <c r="F331" s="7" t="s">
        <v>4828</v>
      </c>
      <c r="G331" s="7" t="s">
        <v>3555</v>
      </c>
      <c r="H331" s="7" t="s">
        <v>3494</v>
      </c>
      <c r="I331" s="7" t="s">
        <v>3500</v>
      </c>
      <c r="K331" s="7" t="str">
        <f t="shared" si="2"/>
        <v/>
      </c>
      <c r="L331" s="7" t="str">
        <f t="shared" si="3"/>
        <v/>
      </c>
      <c r="M331" s="7">
        <f t="shared" ref="M331:N331" si="338">IF(LEN(M$1),COUNTIF($G331:$I331,M$1),"")</f>
        <v>0</v>
      </c>
      <c r="N331" s="7" t="str">
        <f t="shared" si="338"/>
        <v/>
      </c>
      <c r="O331" s="7" t="str">
        <f t="shared" si="5"/>
        <v/>
      </c>
      <c r="P331" s="7">
        <f t="shared" si="310"/>
        <v>0</v>
      </c>
      <c r="Q331" s="7" t="str">
        <f t="shared" si="7"/>
        <v/>
      </c>
      <c r="T331" s="7"/>
    </row>
    <row r="332" ht="12.75" customHeight="1">
      <c r="A332" s="7">
        <v>331.0</v>
      </c>
      <c r="B332" s="7" t="s">
        <v>812</v>
      </c>
      <c r="C332" s="7" t="s">
        <v>4823</v>
      </c>
      <c r="D332" s="7"/>
      <c r="E332" s="7"/>
      <c r="F332" s="7" t="s">
        <v>4828</v>
      </c>
      <c r="G332" s="7" t="s">
        <v>3576</v>
      </c>
      <c r="H332" s="7" t="s">
        <v>3381</v>
      </c>
      <c r="I332" s="7" t="s">
        <v>3325</v>
      </c>
      <c r="K332" s="7" t="str">
        <f t="shared" si="2"/>
        <v/>
      </c>
      <c r="L332" s="7" t="str">
        <f t="shared" si="3"/>
        <v/>
      </c>
      <c r="M332" s="7">
        <f t="shared" ref="M332:N332" si="339">IF(LEN(M$1),COUNTIF($G332:$I332,M$1),"")</f>
        <v>0</v>
      </c>
      <c r="N332" s="7" t="str">
        <f t="shared" si="339"/>
        <v/>
      </c>
      <c r="O332" s="7" t="str">
        <f t="shared" si="5"/>
        <v/>
      </c>
      <c r="P332" s="7">
        <f t="shared" si="310"/>
        <v>0</v>
      </c>
      <c r="Q332" s="7" t="str">
        <f t="shared" si="7"/>
        <v/>
      </c>
      <c r="T332" s="7"/>
    </row>
    <row r="333" ht="12.75" customHeight="1">
      <c r="A333" s="7">
        <v>332.0</v>
      </c>
      <c r="B333" s="7" t="s">
        <v>622</v>
      </c>
      <c r="C333" s="7" t="s">
        <v>4756</v>
      </c>
      <c r="D333" s="7"/>
      <c r="E333" s="7"/>
      <c r="F333" s="7" t="s">
        <v>4828</v>
      </c>
      <c r="G333" s="7" t="s">
        <v>3368</v>
      </c>
      <c r="H333" s="7" t="s">
        <v>3476</v>
      </c>
      <c r="I333" s="7" t="s">
        <v>3536</v>
      </c>
      <c r="K333" s="7" t="str">
        <f t="shared" si="2"/>
        <v/>
      </c>
      <c r="L333" s="7" t="str">
        <f t="shared" si="3"/>
        <v/>
      </c>
      <c r="M333" s="7">
        <f t="shared" ref="M333:N333" si="340">IF(LEN(M$1),COUNTIF($G333:$I333,M$1),"")</f>
        <v>0</v>
      </c>
      <c r="N333" s="7" t="str">
        <f t="shared" si="340"/>
        <v/>
      </c>
      <c r="O333" s="7" t="str">
        <f t="shared" si="5"/>
        <v/>
      </c>
      <c r="P333" s="7">
        <f t="shared" si="310"/>
        <v>0</v>
      </c>
      <c r="Q333" s="7" t="str">
        <f t="shared" si="7"/>
        <v/>
      </c>
      <c r="T333" s="7"/>
    </row>
    <row r="334" ht="12.75" customHeight="1">
      <c r="A334" s="7">
        <v>333.0</v>
      </c>
      <c r="B334" s="7" t="s">
        <v>954</v>
      </c>
      <c r="C334" s="7" t="s">
        <v>4827</v>
      </c>
      <c r="D334" s="7"/>
      <c r="E334" s="7"/>
      <c r="F334" s="7" t="s">
        <v>4828</v>
      </c>
      <c r="G334" s="7" t="s">
        <v>3513</v>
      </c>
      <c r="H334" s="7" t="s">
        <v>3508</v>
      </c>
      <c r="I334" s="7" t="s">
        <v>3559</v>
      </c>
      <c r="K334" s="7" t="str">
        <f t="shared" si="2"/>
        <v/>
      </c>
      <c r="L334" s="7" t="str">
        <f t="shared" si="3"/>
        <v/>
      </c>
      <c r="M334" s="7">
        <f t="shared" ref="M334:N334" si="341">IF(LEN(M$1),COUNTIF($G334:$I334,M$1),"")</f>
        <v>0</v>
      </c>
      <c r="N334" s="7" t="str">
        <f t="shared" si="341"/>
        <v/>
      </c>
      <c r="O334" s="7" t="str">
        <f t="shared" si="5"/>
        <v/>
      </c>
      <c r="P334" s="7">
        <f t="shared" si="310"/>
        <v>0</v>
      </c>
      <c r="Q334" s="7" t="str">
        <f t="shared" si="7"/>
        <v/>
      </c>
      <c r="T334" s="7"/>
    </row>
    <row r="335" ht="12.75" customHeight="1">
      <c r="A335" s="7">
        <v>334.0</v>
      </c>
      <c r="B335" s="7" t="s">
        <v>738</v>
      </c>
      <c r="C335" s="7" t="s">
        <v>4819</v>
      </c>
      <c r="D335" s="7"/>
      <c r="E335" s="7"/>
      <c r="F335" s="7" t="s">
        <v>4828</v>
      </c>
      <c r="G335" s="7" t="s">
        <v>3546</v>
      </c>
      <c r="H335" s="7" t="s">
        <v>3473</v>
      </c>
      <c r="I335" s="7" t="s">
        <v>3527</v>
      </c>
      <c r="K335" s="7" t="str">
        <f t="shared" si="2"/>
        <v/>
      </c>
      <c r="L335" s="7" t="str">
        <f t="shared" si="3"/>
        <v/>
      </c>
      <c r="M335" s="7">
        <f t="shared" ref="M335:N335" si="342">IF(LEN(M$1),COUNTIF($G335:$I335,M$1),"")</f>
        <v>0</v>
      </c>
      <c r="N335" s="7" t="str">
        <f t="shared" si="342"/>
        <v/>
      </c>
      <c r="O335" s="7" t="str">
        <f t="shared" si="5"/>
        <v/>
      </c>
      <c r="P335" s="7">
        <f t="shared" si="310"/>
        <v>0</v>
      </c>
      <c r="Q335" s="7" t="str">
        <f t="shared" si="7"/>
        <v/>
      </c>
      <c r="T335" s="7"/>
    </row>
    <row r="336" ht="12.75" customHeight="1">
      <c r="A336" s="7">
        <v>335.0</v>
      </c>
      <c r="B336" s="7" t="s">
        <v>1115</v>
      </c>
      <c r="C336" s="7" t="s">
        <v>4829</v>
      </c>
      <c r="D336" s="7"/>
      <c r="E336" s="7"/>
      <c r="F336" s="7" t="s">
        <v>4828</v>
      </c>
      <c r="G336" s="7" t="s">
        <v>3549</v>
      </c>
      <c r="H336" s="7" t="s">
        <v>3544</v>
      </c>
      <c r="I336" s="7" t="s">
        <v>3455</v>
      </c>
      <c r="K336" s="7" t="str">
        <f t="shared" si="2"/>
        <v/>
      </c>
      <c r="L336" s="7" t="str">
        <f t="shared" si="3"/>
        <v/>
      </c>
      <c r="M336" s="7">
        <f t="shared" ref="M336:N336" si="343">IF(LEN(M$1),COUNTIF($G336:$I336,M$1),"")</f>
        <v>0</v>
      </c>
      <c r="N336" s="7" t="str">
        <f t="shared" si="343"/>
        <v/>
      </c>
      <c r="O336" s="7" t="str">
        <f t="shared" si="5"/>
        <v/>
      </c>
      <c r="P336" s="7">
        <f t="shared" si="310"/>
        <v>0</v>
      </c>
      <c r="Q336" s="7" t="str">
        <f t="shared" si="7"/>
        <v/>
      </c>
      <c r="T336" s="7"/>
    </row>
    <row r="337" ht="12.75" customHeight="1">
      <c r="A337" s="7">
        <v>336.0</v>
      </c>
      <c r="B337" s="7" t="s">
        <v>1049</v>
      </c>
      <c r="C337" s="7" t="s">
        <v>4831</v>
      </c>
      <c r="D337" s="7"/>
      <c r="E337" s="7"/>
      <c r="F337" s="7" t="s">
        <v>4828</v>
      </c>
      <c r="G337" s="7" t="s">
        <v>3518</v>
      </c>
      <c r="H337" s="7" t="s">
        <v>3375</v>
      </c>
      <c r="I337" s="7" t="s">
        <v>3476</v>
      </c>
      <c r="K337" s="7" t="str">
        <f t="shared" si="2"/>
        <v/>
      </c>
      <c r="L337" s="7" t="str">
        <f t="shared" si="3"/>
        <v/>
      </c>
      <c r="M337" s="7">
        <f t="shared" ref="M337:N337" si="344">IF(LEN(M$1),COUNTIF($G337:$I337,M$1),"")</f>
        <v>0</v>
      </c>
      <c r="N337" s="7" t="str">
        <f t="shared" si="344"/>
        <v/>
      </c>
      <c r="O337" s="7" t="str">
        <f t="shared" si="5"/>
        <v/>
      </c>
      <c r="P337" s="7">
        <f t="shared" si="310"/>
        <v>0</v>
      </c>
      <c r="Q337" s="7" t="str">
        <f t="shared" si="7"/>
        <v/>
      </c>
      <c r="T337" s="7"/>
    </row>
    <row r="338" ht="12.75" customHeight="1">
      <c r="A338" s="7">
        <v>337.0</v>
      </c>
      <c r="B338" s="7" t="s">
        <v>804</v>
      </c>
      <c r="C338" s="7" t="s">
        <v>4822</v>
      </c>
      <c r="D338" s="7"/>
      <c r="E338" s="7"/>
      <c r="F338" s="7" t="s">
        <v>4828</v>
      </c>
      <c r="G338" s="7" t="s">
        <v>3348</v>
      </c>
      <c r="H338" s="7" t="s">
        <v>3449</v>
      </c>
      <c r="I338" s="7" t="s">
        <v>3525</v>
      </c>
      <c r="K338" s="7" t="str">
        <f t="shared" si="2"/>
        <v/>
      </c>
      <c r="L338" s="7" t="str">
        <f t="shared" si="3"/>
        <v/>
      </c>
      <c r="M338" s="7">
        <f t="shared" ref="M338:N338" si="345">IF(LEN(M$1),COUNTIF($G338:$I338,M$1),"")</f>
        <v>0</v>
      </c>
      <c r="N338" s="7" t="str">
        <f t="shared" si="345"/>
        <v/>
      </c>
      <c r="O338" s="7" t="str">
        <f t="shared" si="5"/>
        <v/>
      </c>
      <c r="P338" s="7">
        <f t="shared" si="310"/>
        <v>0</v>
      </c>
      <c r="Q338" s="7" t="str">
        <f t="shared" si="7"/>
        <v/>
      </c>
      <c r="T338" s="7"/>
    </row>
    <row r="339" ht="12.75" customHeight="1">
      <c r="A339" s="7">
        <v>338.0</v>
      </c>
      <c r="B339" s="7" t="s">
        <v>939</v>
      </c>
      <c r="C339" s="7" t="s">
        <v>4827</v>
      </c>
      <c r="D339" s="7"/>
      <c r="E339" s="7"/>
      <c r="F339" s="7" t="s">
        <v>4828</v>
      </c>
      <c r="G339" s="7" t="s">
        <v>3564</v>
      </c>
      <c r="H339" s="7" t="s">
        <v>3574</v>
      </c>
      <c r="I339" s="7" t="s">
        <v>3497</v>
      </c>
      <c r="K339" s="7" t="str">
        <f t="shared" si="2"/>
        <v/>
      </c>
      <c r="L339" s="7" t="str">
        <f t="shared" si="3"/>
        <v/>
      </c>
      <c r="M339" s="7">
        <f t="shared" ref="M339:N339" si="346">IF(LEN(M$1),COUNTIF($G339:$I339,M$1),"")</f>
        <v>0</v>
      </c>
      <c r="N339" s="7" t="str">
        <f t="shared" si="346"/>
        <v/>
      </c>
      <c r="O339" s="7" t="str">
        <f t="shared" si="5"/>
        <v/>
      </c>
      <c r="P339" s="7">
        <f t="shared" si="310"/>
        <v>0</v>
      </c>
      <c r="Q339" s="7" t="str">
        <f t="shared" si="7"/>
        <v/>
      </c>
      <c r="T339" s="7"/>
    </row>
    <row r="340" ht="12.75" customHeight="1">
      <c r="A340" s="7">
        <v>339.0</v>
      </c>
      <c r="B340" s="7" t="s">
        <v>761</v>
      </c>
      <c r="C340" s="7" t="s">
        <v>4820</v>
      </c>
      <c r="D340" s="7"/>
      <c r="E340" s="7"/>
      <c r="F340" s="7" t="s">
        <v>4828</v>
      </c>
      <c r="G340" s="7" t="s">
        <v>3465</v>
      </c>
      <c r="H340" s="7" t="s">
        <v>3576</v>
      </c>
      <c r="I340" s="7" t="s">
        <v>3541</v>
      </c>
      <c r="K340" s="7" t="str">
        <f t="shared" si="2"/>
        <v/>
      </c>
      <c r="L340" s="7" t="str">
        <f t="shared" si="3"/>
        <v/>
      </c>
      <c r="M340" s="7">
        <f t="shared" ref="M340:N340" si="347">IF(LEN(M$1),COUNTIF($G340:$I340,M$1),"")</f>
        <v>0</v>
      </c>
      <c r="N340" s="7" t="str">
        <f t="shared" si="347"/>
        <v/>
      </c>
      <c r="O340" s="7" t="str">
        <f t="shared" si="5"/>
        <v/>
      </c>
      <c r="P340" s="7">
        <f t="shared" si="310"/>
        <v>0</v>
      </c>
      <c r="Q340" s="7" t="str">
        <f t="shared" si="7"/>
        <v/>
      </c>
      <c r="T340" s="7"/>
    </row>
    <row r="341" ht="12.75" customHeight="1">
      <c r="A341" s="7">
        <v>340.0</v>
      </c>
      <c r="B341" s="7" t="s">
        <v>873</v>
      </c>
      <c r="C341" s="7" t="s">
        <v>3108</v>
      </c>
      <c r="D341" s="7"/>
      <c r="E341" s="7"/>
      <c r="F341" s="7" t="s">
        <v>4828</v>
      </c>
      <c r="G341" s="7" t="s">
        <v>3555</v>
      </c>
      <c r="H341" s="7" t="s">
        <v>3518</v>
      </c>
      <c r="I341" s="7" t="s">
        <v>3500</v>
      </c>
      <c r="K341" s="7" t="str">
        <f t="shared" si="2"/>
        <v/>
      </c>
      <c r="L341" s="7" t="str">
        <f t="shared" si="3"/>
        <v/>
      </c>
      <c r="M341" s="7">
        <f t="shared" ref="M341:N341" si="348">IF(LEN(M$1),COUNTIF($G341:$I341,M$1),"")</f>
        <v>0</v>
      </c>
      <c r="N341" s="7" t="str">
        <f t="shared" si="348"/>
        <v/>
      </c>
      <c r="O341" s="7" t="str">
        <f t="shared" si="5"/>
        <v/>
      </c>
      <c r="P341" s="7">
        <f t="shared" si="310"/>
        <v>0</v>
      </c>
      <c r="Q341" s="7" t="str">
        <f t="shared" si="7"/>
        <v/>
      </c>
      <c r="T341" s="7"/>
    </row>
    <row r="342" ht="12.75" customHeight="1">
      <c r="A342" s="7">
        <v>341.0</v>
      </c>
      <c r="B342" s="7" t="s">
        <v>826</v>
      </c>
      <c r="C342" s="7" t="s">
        <v>4823</v>
      </c>
      <c r="D342" s="7"/>
      <c r="E342" s="7"/>
      <c r="F342" s="7" t="s">
        <v>4828</v>
      </c>
      <c r="G342" s="7" t="s">
        <v>3497</v>
      </c>
      <c r="H342" s="7" t="s">
        <v>3323</v>
      </c>
      <c r="I342" s="7" t="s">
        <v>3342</v>
      </c>
      <c r="K342" s="7" t="str">
        <f t="shared" si="2"/>
        <v/>
      </c>
      <c r="L342" s="7" t="str">
        <f t="shared" si="3"/>
        <v/>
      </c>
      <c r="M342" s="7">
        <f t="shared" ref="M342:N342" si="349">IF(LEN(M$1),COUNTIF($G342:$I342,M$1),"")</f>
        <v>0</v>
      </c>
      <c r="N342" s="7" t="str">
        <f t="shared" si="349"/>
        <v/>
      </c>
      <c r="O342" s="7" t="str">
        <f t="shared" si="5"/>
        <v/>
      </c>
      <c r="P342" s="7">
        <f t="shared" si="310"/>
        <v>0</v>
      </c>
      <c r="Q342" s="7" t="str">
        <f t="shared" si="7"/>
        <v/>
      </c>
      <c r="T342" s="7"/>
    </row>
    <row r="343" ht="12.75" customHeight="1">
      <c r="A343" s="7">
        <v>342.0</v>
      </c>
      <c r="B343" s="7" t="s">
        <v>842</v>
      </c>
      <c r="C343" s="7" t="s">
        <v>4826</v>
      </c>
      <c r="D343" s="7"/>
      <c r="E343" s="7"/>
      <c r="F343" s="7" t="s">
        <v>4828</v>
      </c>
      <c r="G343" s="7" t="s">
        <v>3315</v>
      </c>
      <c r="H343" s="7" t="s">
        <v>3500</v>
      </c>
      <c r="I343" s="7" t="s">
        <v>3513</v>
      </c>
      <c r="K343" s="7" t="str">
        <f t="shared" si="2"/>
        <v/>
      </c>
      <c r="L343" s="7" t="str">
        <f t="shared" si="3"/>
        <v/>
      </c>
      <c r="M343" s="7">
        <f t="shared" ref="M343:N343" si="350">IF(LEN(M$1),COUNTIF($G343:$I343,M$1),"")</f>
        <v>0</v>
      </c>
      <c r="N343" s="7" t="str">
        <f t="shared" si="350"/>
        <v/>
      </c>
      <c r="O343" s="7" t="str">
        <f t="shared" si="5"/>
        <v/>
      </c>
      <c r="P343" s="7">
        <f t="shared" si="310"/>
        <v>0</v>
      </c>
      <c r="Q343" s="7" t="str">
        <f t="shared" si="7"/>
        <v/>
      </c>
      <c r="T343" s="7"/>
    </row>
    <row r="344" ht="12.75" customHeight="1">
      <c r="A344" s="7">
        <v>343.0</v>
      </c>
      <c r="B344" s="7" t="s">
        <v>706</v>
      </c>
      <c r="C344" s="7" t="s">
        <v>4819</v>
      </c>
      <c r="D344" s="7"/>
      <c r="E344" s="7"/>
      <c r="F344" s="7" t="s">
        <v>4828</v>
      </c>
      <c r="G344" s="7" t="s">
        <v>3511</v>
      </c>
      <c r="H344" s="7" t="s">
        <v>3465</v>
      </c>
      <c r="I344" s="7" t="s">
        <v>3579</v>
      </c>
      <c r="K344" s="7" t="str">
        <f t="shared" si="2"/>
        <v/>
      </c>
      <c r="L344" s="7" t="str">
        <f t="shared" si="3"/>
        <v/>
      </c>
      <c r="M344" s="7">
        <f t="shared" ref="M344:N344" si="351">IF(LEN(M$1),COUNTIF($G344:$I344,M$1),"")</f>
        <v>0</v>
      </c>
      <c r="N344" s="7" t="str">
        <f t="shared" si="351"/>
        <v/>
      </c>
      <c r="O344" s="7" t="str">
        <f t="shared" si="5"/>
        <v/>
      </c>
      <c r="P344" s="7">
        <f t="shared" si="310"/>
        <v>0</v>
      </c>
      <c r="Q344" s="7" t="str">
        <f t="shared" si="7"/>
        <v/>
      </c>
      <c r="T344" s="7"/>
    </row>
    <row r="345" ht="12.75" customHeight="1">
      <c r="A345" s="7">
        <v>344.0</v>
      </c>
      <c r="B345" s="7" t="s">
        <v>1123</v>
      </c>
      <c r="C345" s="7" t="s">
        <v>4832</v>
      </c>
      <c r="D345" s="7"/>
      <c r="E345" s="7"/>
      <c r="F345" s="7" t="s">
        <v>4828</v>
      </c>
      <c r="G345" s="7" t="s">
        <v>3530</v>
      </c>
      <c r="H345" s="7" t="s">
        <v>3449</v>
      </c>
      <c r="I345" s="7" t="s">
        <v>3480</v>
      </c>
      <c r="K345" s="7" t="str">
        <f t="shared" si="2"/>
        <v/>
      </c>
      <c r="L345" s="7" t="str">
        <f t="shared" si="3"/>
        <v/>
      </c>
      <c r="M345" s="7">
        <f t="shared" ref="M345:N345" si="352">IF(LEN(M$1),COUNTIF($G345:$I345,M$1),"")</f>
        <v>0</v>
      </c>
      <c r="N345" s="7" t="str">
        <f t="shared" si="352"/>
        <v/>
      </c>
      <c r="O345" s="7" t="str">
        <f t="shared" si="5"/>
        <v/>
      </c>
      <c r="P345" s="7">
        <f t="shared" si="310"/>
        <v>0</v>
      </c>
      <c r="Q345" s="7" t="str">
        <f t="shared" si="7"/>
        <v/>
      </c>
      <c r="T345" s="7"/>
    </row>
    <row r="346" ht="12.75" customHeight="1">
      <c r="A346" s="7">
        <v>345.0</v>
      </c>
      <c r="B346" s="7" t="s">
        <v>812</v>
      </c>
      <c r="C346" s="7" t="s">
        <v>4823</v>
      </c>
      <c r="D346" s="7"/>
      <c r="E346" s="7"/>
      <c r="F346" s="7" t="s">
        <v>4828</v>
      </c>
      <c r="G346" s="7" t="s">
        <v>3457</v>
      </c>
      <c r="H346" s="7" t="s">
        <v>3544</v>
      </c>
      <c r="I346" s="7" t="s">
        <v>3505</v>
      </c>
      <c r="K346" s="7" t="str">
        <f t="shared" si="2"/>
        <v/>
      </c>
      <c r="L346" s="7" t="str">
        <f t="shared" si="3"/>
        <v/>
      </c>
      <c r="M346" s="7">
        <f t="shared" ref="M346:N346" si="353">IF(LEN(M$1),COUNTIF($G346:$I346,M$1),"")</f>
        <v>0</v>
      </c>
      <c r="N346" s="7" t="str">
        <f t="shared" si="353"/>
        <v/>
      </c>
      <c r="O346" s="7" t="str">
        <f t="shared" si="5"/>
        <v/>
      </c>
      <c r="P346" s="7">
        <f t="shared" si="310"/>
        <v>0</v>
      </c>
      <c r="Q346" s="7" t="str">
        <f t="shared" si="7"/>
        <v/>
      </c>
      <c r="T346" s="7"/>
    </row>
    <row r="347" ht="12.75" customHeight="1">
      <c r="A347" s="7">
        <v>346.0</v>
      </c>
      <c r="B347" s="7" t="s">
        <v>812</v>
      </c>
      <c r="C347" s="7" t="s">
        <v>4823</v>
      </c>
      <c r="D347" s="7"/>
      <c r="E347" s="7"/>
      <c r="F347" s="7" t="s">
        <v>4828</v>
      </c>
      <c r="G347" s="7" t="s">
        <v>3527</v>
      </c>
      <c r="H347" s="7" t="s">
        <v>3375</v>
      </c>
      <c r="I347" s="7" t="s">
        <v>3287</v>
      </c>
      <c r="K347" s="7" t="str">
        <f t="shared" si="2"/>
        <v/>
      </c>
      <c r="L347" s="7" t="str">
        <f t="shared" si="3"/>
        <v/>
      </c>
      <c r="M347" s="7">
        <f t="shared" ref="M347:N347" si="354">IF(LEN(M$1),COUNTIF($G347:$I347,M$1),"")</f>
        <v>0</v>
      </c>
      <c r="N347" s="7" t="str">
        <f t="shared" si="354"/>
        <v/>
      </c>
      <c r="O347" s="7" t="str">
        <f t="shared" si="5"/>
        <v/>
      </c>
      <c r="P347" s="7">
        <f t="shared" si="310"/>
        <v>0</v>
      </c>
      <c r="Q347" s="7" t="str">
        <f t="shared" si="7"/>
        <v/>
      </c>
      <c r="T347" s="7"/>
    </row>
    <row r="348" ht="12.75" customHeight="1">
      <c r="A348" s="7">
        <v>347.0</v>
      </c>
      <c r="B348" s="7" t="s">
        <v>1020</v>
      </c>
      <c r="C348" s="7" t="s">
        <v>2659</v>
      </c>
      <c r="D348" s="7"/>
      <c r="E348" s="7"/>
      <c r="F348" s="7" t="s">
        <v>4828</v>
      </c>
      <c r="G348" s="7" t="s">
        <v>3348</v>
      </c>
      <c r="H348" s="7" t="s">
        <v>3445</v>
      </c>
      <c r="I348" s="7" t="s">
        <v>3549</v>
      </c>
      <c r="K348" s="7" t="str">
        <f t="shared" si="2"/>
        <v/>
      </c>
      <c r="L348" s="7" t="str">
        <f t="shared" si="3"/>
        <v/>
      </c>
      <c r="M348" s="7">
        <f t="shared" ref="M348:N348" si="355">IF(LEN(M$1),COUNTIF($G348:$I348,M$1),"")</f>
        <v>0</v>
      </c>
      <c r="N348" s="7" t="str">
        <f t="shared" si="355"/>
        <v/>
      </c>
      <c r="O348" s="7" t="str">
        <f t="shared" si="5"/>
        <v/>
      </c>
      <c r="P348" s="7">
        <f t="shared" si="310"/>
        <v>0</v>
      </c>
      <c r="Q348" s="7" t="str">
        <f t="shared" si="7"/>
        <v/>
      </c>
      <c r="T348" s="7"/>
    </row>
    <row r="349" ht="12.75" customHeight="1">
      <c r="A349" s="7">
        <v>348.0</v>
      </c>
      <c r="B349" s="7" t="s">
        <v>903</v>
      </c>
      <c r="C349" s="7" t="s">
        <v>3108</v>
      </c>
      <c r="D349" s="7"/>
      <c r="E349" s="7"/>
      <c r="F349" s="7" t="s">
        <v>4828</v>
      </c>
      <c r="G349" s="7" t="s">
        <v>3567</v>
      </c>
      <c r="H349" s="7" t="s">
        <v>3581</v>
      </c>
      <c r="I349" s="7" t="s">
        <v>3502</v>
      </c>
      <c r="K349" s="7" t="str">
        <f t="shared" si="2"/>
        <v/>
      </c>
      <c r="L349" s="7" t="str">
        <f t="shared" si="3"/>
        <v/>
      </c>
      <c r="M349" s="7">
        <f t="shared" ref="M349:N349" si="356">IF(LEN(M$1),COUNTIF($G349:$I349,M$1),"")</f>
        <v>0</v>
      </c>
      <c r="N349" s="7" t="str">
        <f t="shared" si="356"/>
        <v/>
      </c>
      <c r="O349" s="7" t="str">
        <f t="shared" si="5"/>
        <v/>
      </c>
      <c r="P349" s="7">
        <f t="shared" si="310"/>
        <v>0</v>
      </c>
      <c r="Q349" s="7" t="str">
        <f t="shared" si="7"/>
        <v/>
      </c>
      <c r="T349" s="7"/>
    </row>
    <row r="350" ht="12.75" customHeight="1">
      <c r="A350" s="7">
        <v>349.0</v>
      </c>
      <c r="B350" s="7" t="s">
        <v>652</v>
      </c>
      <c r="C350" s="7" t="s">
        <v>4812</v>
      </c>
      <c r="D350" s="7"/>
      <c r="E350" s="7"/>
      <c r="F350" s="7" t="s">
        <v>4828</v>
      </c>
      <c r="G350" s="7" t="s">
        <v>3462</v>
      </c>
      <c r="H350" s="7" t="s">
        <v>3576</v>
      </c>
      <c r="I350" s="7" t="s">
        <v>3541</v>
      </c>
      <c r="K350" s="7" t="str">
        <f t="shared" si="2"/>
        <v/>
      </c>
      <c r="L350" s="7" t="str">
        <f t="shared" si="3"/>
        <v/>
      </c>
      <c r="M350" s="7">
        <f t="shared" ref="M350:N350" si="357">IF(LEN(M$1),COUNTIF($G350:$I350,M$1),"")</f>
        <v>0</v>
      </c>
      <c r="N350" s="7" t="str">
        <f t="shared" si="357"/>
        <v/>
      </c>
      <c r="O350" s="7" t="str">
        <f t="shared" si="5"/>
        <v/>
      </c>
      <c r="P350" s="7">
        <f t="shared" si="310"/>
        <v>0</v>
      </c>
      <c r="Q350" s="7" t="str">
        <f t="shared" si="7"/>
        <v/>
      </c>
      <c r="T350" s="7"/>
    </row>
    <row r="351" ht="12.75" customHeight="1">
      <c r="A351" s="7">
        <v>350.0</v>
      </c>
      <c r="B351" s="7" t="s">
        <v>753</v>
      </c>
      <c r="C351" s="7" t="s">
        <v>4819</v>
      </c>
      <c r="D351" s="7"/>
      <c r="E351" s="7"/>
      <c r="F351" s="7" t="s">
        <v>4828</v>
      </c>
      <c r="G351" s="7" t="s">
        <v>3555</v>
      </c>
      <c r="H351" s="7" t="s">
        <v>3525</v>
      </c>
      <c r="I351" s="7" t="s">
        <v>3462</v>
      </c>
      <c r="K351" s="7" t="str">
        <f t="shared" si="2"/>
        <v/>
      </c>
      <c r="L351" s="7" t="str">
        <f t="shared" si="3"/>
        <v/>
      </c>
      <c r="M351" s="7">
        <f t="shared" ref="M351:N351" si="358">IF(LEN(M$1),COUNTIF($G351:$I351,M$1),"")</f>
        <v>0</v>
      </c>
      <c r="N351" s="7" t="str">
        <f t="shared" si="358"/>
        <v/>
      </c>
      <c r="O351" s="7" t="str">
        <f t="shared" si="5"/>
        <v/>
      </c>
      <c r="P351" s="7">
        <f t="shared" si="310"/>
        <v>0</v>
      </c>
      <c r="Q351" s="7" t="str">
        <f t="shared" si="7"/>
        <v/>
      </c>
      <c r="T351" s="7"/>
    </row>
    <row r="352" ht="12.75" customHeight="1">
      <c r="A352" s="7">
        <v>351.0</v>
      </c>
      <c r="B352" s="7" t="s">
        <v>842</v>
      </c>
      <c r="C352" s="7" t="s">
        <v>4826</v>
      </c>
      <c r="D352" s="7"/>
      <c r="E352" s="7"/>
      <c r="F352" s="7" t="s">
        <v>4828</v>
      </c>
      <c r="G352" s="7" t="s">
        <v>3473</v>
      </c>
      <c r="H352" s="7" t="s">
        <v>3315</v>
      </c>
      <c r="I352" s="7" t="s">
        <v>3295</v>
      </c>
      <c r="K352" s="7" t="str">
        <f t="shared" si="2"/>
        <v/>
      </c>
      <c r="L352" s="7" t="str">
        <f t="shared" si="3"/>
        <v/>
      </c>
      <c r="M352" s="7">
        <f t="shared" ref="M352:N352" si="359">IF(LEN(M$1),COUNTIF($G352:$I352,M$1),"")</f>
        <v>0</v>
      </c>
      <c r="N352" s="7" t="str">
        <f t="shared" si="359"/>
        <v/>
      </c>
      <c r="O352" s="7" t="str">
        <f t="shared" si="5"/>
        <v/>
      </c>
      <c r="P352" s="7">
        <f t="shared" si="310"/>
        <v>0</v>
      </c>
      <c r="Q352" s="7" t="str">
        <f t="shared" si="7"/>
        <v/>
      </c>
      <c r="T352" s="7"/>
    </row>
    <row r="353" ht="12.75" customHeight="1">
      <c r="A353" s="7">
        <v>352.0</v>
      </c>
      <c r="B353" s="7" t="s">
        <v>975</v>
      </c>
      <c r="C353" s="7" t="s">
        <v>4838</v>
      </c>
      <c r="D353" s="7"/>
      <c r="E353" s="7"/>
      <c r="F353" s="7" t="s">
        <v>4828</v>
      </c>
      <c r="G353" s="7" t="s">
        <v>3321</v>
      </c>
      <c r="H353" s="7" t="s">
        <v>3581</v>
      </c>
      <c r="I353" s="7" t="s">
        <v>3494</v>
      </c>
      <c r="K353" s="7" t="str">
        <f t="shared" si="2"/>
        <v/>
      </c>
      <c r="L353" s="7" t="str">
        <f t="shared" si="3"/>
        <v/>
      </c>
      <c r="M353" s="7">
        <f t="shared" ref="M353:N353" si="360">IF(LEN(M$1),COUNTIF($G353:$I353,M$1),"")</f>
        <v>0</v>
      </c>
      <c r="N353" s="7" t="str">
        <f t="shared" si="360"/>
        <v/>
      </c>
      <c r="O353" s="7" t="str">
        <f t="shared" si="5"/>
        <v/>
      </c>
      <c r="P353" s="7">
        <f t="shared" si="310"/>
        <v>0</v>
      </c>
      <c r="Q353" s="7" t="str">
        <f t="shared" si="7"/>
        <v/>
      </c>
      <c r="T353" s="7"/>
    </row>
    <row r="354" ht="12.75" customHeight="1">
      <c r="A354" s="7">
        <v>353.0</v>
      </c>
      <c r="B354" s="7" t="s">
        <v>826</v>
      </c>
      <c r="C354" s="7" t="s">
        <v>4823</v>
      </c>
      <c r="D354" s="7"/>
      <c r="E354" s="7"/>
      <c r="F354" s="7" t="s">
        <v>4828</v>
      </c>
      <c r="G354" s="7" t="s">
        <v>3467</v>
      </c>
      <c r="H354" s="7" t="s">
        <v>3443</v>
      </c>
      <c r="I354" s="7" t="s">
        <v>3508</v>
      </c>
      <c r="K354" s="7" t="str">
        <f t="shared" si="2"/>
        <v/>
      </c>
      <c r="L354" s="7" t="str">
        <f t="shared" si="3"/>
        <v/>
      </c>
      <c r="M354" s="7">
        <f t="shared" ref="M354:N354" si="361">IF(LEN(M$1),COUNTIF($G354:$I354,M$1),"")</f>
        <v>0</v>
      </c>
      <c r="N354" s="7" t="str">
        <f t="shared" si="361"/>
        <v/>
      </c>
      <c r="O354" s="7" t="str">
        <f t="shared" si="5"/>
        <v/>
      </c>
      <c r="P354" s="7">
        <f t="shared" si="310"/>
        <v>0</v>
      </c>
      <c r="Q354" s="7" t="str">
        <f t="shared" si="7"/>
        <v/>
      </c>
      <c r="T354" s="7"/>
    </row>
    <row r="355" ht="12.75" customHeight="1">
      <c r="A355" s="7">
        <v>354.0</v>
      </c>
      <c r="B355" s="7" t="s">
        <v>615</v>
      </c>
      <c r="C355" s="7" t="s">
        <v>4756</v>
      </c>
      <c r="D355" s="7"/>
      <c r="E355" s="7"/>
      <c r="F355" s="7" t="s">
        <v>4828</v>
      </c>
      <c r="G355" s="7" t="s">
        <v>3544</v>
      </c>
      <c r="H355" s="7" t="s">
        <v>3502</v>
      </c>
      <c r="I355" s="7" t="s">
        <v>3516</v>
      </c>
      <c r="K355" s="7" t="str">
        <f t="shared" si="2"/>
        <v/>
      </c>
      <c r="L355" s="7" t="str">
        <f t="shared" si="3"/>
        <v/>
      </c>
      <c r="M355" s="7">
        <f t="shared" ref="M355:N355" si="362">IF(LEN(M$1),COUNTIF($G355:$I355,M$1),"")</f>
        <v>0</v>
      </c>
      <c r="N355" s="7" t="str">
        <f t="shared" si="362"/>
        <v/>
      </c>
      <c r="O355" s="7" t="str">
        <f t="shared" si="5"/>
        <v/>
      </c>
      <c r="P355" s="7">
        <f t="shared" si="310"/>
        <v>0</v>
      </c>
      <c r="Q355" s="7" t="str">
        <f t="shared" si="7"/>
        <v/>
      </c>
      <c r="T355" s="7"/>
    </row>
    <row r="356" ht="12.75" customHeight="1">
      <c r="A356" s="7">
        <v>355.0</v>
      </c>
      <c r="B356" s="7" t="s">
        <v>1012</v>
      </c>
      <c r="C356" s="7" t="s">
        <v>2659</v>
      </c>
      <c r="D356" s="7"/>
      <c r="E356" s="7"/>
      <c r="F356" s="7" t="s">
        <v>4828</v>
      </c>
      <c r="G356" s="7" t="s">
        <v>3485</v>
      </c>
      <c r="H356" s="7" t="s">
        <v>3462</v>
      </c>
      <c r="I356" s="7" t="s">
        <v>3460</v>
      </c>
      <c r="K356" s="7" t="str">
        <f t="shared" si="2"/>
        <v/>
      </c>
      <c r="L356" s="7" t="str">
        <f t="shared" si="3"/>
        <v/>
      </c>
      <c r="M356" s="7">
        <f t="shared" ref="M356:N356" si="363">IF(LEN(M$1),COUNTIF($G356:$I356,M$1),"")</f>
        <v>0</v>
      </c>
      <c r="N356" s="7" t="str">
        <f t="shared" si="363"/>
        <v/>
      </c>
      <c r="O356" s="7" t="str">
        <f t="shared" si="5"/>
        <v/>
      </c>
      <c r="P356" s="7">
        <f t="shared" si="310"/>
        <v>0</v>
      </c>
      <c r="Q356" s="7" t="str">
        <f t="shared" si="7"/>
        <v/>
      </c>
      <c r="T356" s="7"/>
    </row>
    <row r="357" ht="12.75" customHeight="1">
      <c r="A357" s="7">
        <v>356.0</v>
      </c>
      <c r="B357" s="7" t="s">
        <v>903</v>
      </c>
      <c r="C357" s="7" t="s">
        <v>3108</v>
      </c>
      <c r="D357" s="7"/>
      <c r="E357" s="7"/>
      <c r="F357" s="7" t="s">
        <v>4828</v>
      </c>
      <c r="G357" s="7" t="s">
        <v>3530</v>
      </c>
      <c r="H357" s="7" t="s">
        <v>3375</v>
      </c>
      <c r="I357" s="7" t="s">
        <v>3287</v>
      </c>
      <c r="K357" s="7" t="str">
        <f t="shared" si="2"/>
        <v/>
      </c>
      <c r="L357" s="7" t="str">
        <f t="shared" si="3"/>
        <v/>
      </c>
      <c r="M357" s="7">
        <f t="shared" ref="M357:N357" si="364">IF(LEN(M$1),COUNTIF($G357:$I357,M$1),"")</f>
        <v>0</v>
      </c>
      <c r="N357" s="7" t="str">
        <f t="shared" si="364"/>
        <v/>
      </c>
      <c r="O357" s="7" t="str">
        <f t="shared" si="5"/>
        <v/>
      </c>
      <c r="P357" s="7">
        <f t="shared" si="310"/>
        <v>0</v>
      </c>
      <c r="Q357" s="7" t="str">
        <f t="shared" si="7"/>
        <v/>
      </c>
      <c r="T357" s="7"/>
    </row>
    <row r="358" ht="12.75" customHeight="1">
      <c r="A358" s="7">
        <v>357.0</v>
      </c>
      <c r="B358" s="7" t="s">
        <v>645</v>
      </c>
      <c r="C358" s="7" t="s">
        <v>4809</v>
      </c>
      <c r="D358" s="7"/>
      <c r="E358" s="7"/>
      <c r="F358" s="7" t="s">
        <v>4828</v>
      </c>
      <c r="G358" s="7" t="s">
        <v>3348</v>
      </c>
      <c r="H358" s="7" t="s">
        <v>3449</v>
      </c>
      <c r="I358" s="7" t="s">
        <v>3570</v>
      </c>
      <c r="K358" s="7" t="str">
        <f t="shared" si="2"/>
        <v/>
      </c>
      <c r="L358" s="7" t="str">
        <f t="shared" si="3"/>
        <v/>
      </c>
      <c r="M358" s="7">
        <f t="shared" ref="M358:N358" si="365">IF(LEN(M$1),COUNTIF($G358:$I358,M$1),"")</f>
        <v>0</v>
      </c>
      <c r="N358" s="7" t="str">
        <f t="shared" si="365"/>
        <v/>
      </c>
      <c r="O358" s="7" t="str">
        <f t="shared" si="5"/>
        <v/>
      </c>
      <c r="P358" s="7">
        <f t="shared" si="310"/>
        <v>0</v>
      </c>
      <c r="Q358" s="7" t="str">
        <f t="shared" si="7"/>
        <v/>
      </c>
      <c r="T358" s="7"/>
    </row>
    <row r="359" ht="12.75" customHeight="1">
      <c r="A359" s="7">
        <v>358.0</v>
      </c>
      <c r="B359" s="7" t="s">
        <v>826</v>
      </c>
      <c r="C359" s="7" t="s">
        <v>4823</v>
      </c>
      <c r="D359" s="7"/>
      <c r="E359" s="7"/>
      <c r="F359" s="7" t="s">
        <v>4828</v>
      </c>
      <c r="G359" s="7" t="s">
        <v>3539</v>
      </c>
      <c r="H359" s="7" t="s">
        <v>3443</v>
      </c>
      <c r="I359" s="7" t="s">
        <v>3488</v>
      </c>
      <c r="K359" s="7" t="str">
        <f t="shared" si="2"/>
        <v/>
      </c>
      <c r="L359" s="7" t="str">
        <f t="shared" si="3"/>
        <v/>
      </c>
      <c r="M359" s="7">
        <f t="shared" ref="M359:N359" si="366">IF(LEN(M$1),COUNTIF($G359:$I359,M$1),"")</f>
        <v>0</v>
      </c>
      <c r="N359" s="7" t="str">
        <f t="shared" si="366"/>
        <v/>
      </c>
      <c r="O359" s="7" t="str">
        <f t="shared" si="5"/>
        <v/>
      </c>
      <c r="P359" s="7">
        <f t="shared" si="310"/>
        <v>0</v>
      </c>
      <c r="Q359" s="7" t="str">
        <f t="shared" si="7"/>
        <v/>
      </c>
      <c r="T359" s="7"/>
    </row>
    <row r="360" ht="12.75" customHeight="1">
      <c r="A360" s="7">
        <v>359.0</v>
      </c>
      <c r="B360" s="7" t="s">
        <v>924</v>
      </c>
      <c r="C360" s="7" t="s">
        <v>4839</v>
      </c>
      <c r="D360" s="7"/>
      <c r="E360" s="7"/>
      <c r="F360" s="7" t="s">
        <v>4828</v>
      </c>
      <c r="G360" s="7" t="s">
        <v>3551</v>
      </c>
      <c r="H360" s="7" t="s">
        <v>3491</v>
      </c>
      <c r="I360" s="7" t="s">
        <v>3541</v>
      </c>
      <c r="K360" s="7" t="str">
        <f t="shared" si="2"/>
        <v/>
      </c>
      <c r="L360" s="7" t="str">
        <f t="shared" si="3"/>
        <v/>
      </c>
      <c r="M360" s="7">
        <f t="shared" ref="M360:N360" si="367">IF(LEN(M$1),COUNTIF($G360:$I360,M$1),"")</f>
        <v>0</v>
      </c>
      <c r="N360" s="7" t="str">
        <f t="shared" si="367"/>
        <v/>
      </c>
      <c r="O360" s="7" t="str">
        <f t="shared" si="5"/>
        <v/>
      </c>
      <c r="P360" s="7">
        <f t="shared" si="310"/>
        <v>0</v>
      </c>
      <c r="Q360" s="7" t="str">
        <f t="shared" si="7"/>
        <v/>
      </c>
      <c r="T360" s="7"/>
    </row>
    <row r="361" ht="12.75" customHeight="1">
      <c r="A361" s="7">
        <v>360.0</v>
      </c>
      <c r="B361" s="7" t="s">
        <v>1012</v>
      </c>
      <c r="C361" s="7" t="s">
        <v>2659</v>
      </c>
      <c r="D361" s="7"/>
      <c r="E361" s="7"/>
      <c r="F361" s="7" t="s">
        <v>4828</v>
      </c>
      <c r="G361" s="7" t="s">
        <v>3555</v>
      </c>
      <c r="H361" s="7" t="s">
        <v>3530</v>
      </c>
      <c r="I361" s="7" t="s">
        <v>3473</v>
      </c>
      <c r="K361" s="7" t="str">
        <f t="shared" si="2"/>
        <v/>
      </c>
      <c r="L361" s="7" t="str">
        <f t="shared" si="3"/>
        <v/>
      </c>
      <c r="M361" s="7">
        <f t="shared" ref="M361:N361" si="368">IF(LEN(M$1),COUNTIF($G361:$I361,M$1),"")</f>
        <v>0</v>
      </c>
      <c r="N361" s="7" t="str">
        <f t="shared" si="368"/>
        <v/>
      </c>
      <c r="O361" s="7" t="str">
        <f t="shared" si="5"/>
        <v/>
      </c>
      <c r="P361" s="7">
        <f t="shared" si="310"/>
        <v>0</v>
      </c>
      <c r="Q361" s="7" t="str">
        <f t="shared" si="7"/>
        <v/>
      </c>
      <c r="T361" s="7"/>
    </row>
    <row r="362" ht="12.75" customHeight="1">
      <c r="A362" s="7">
        <v>361.0</v>
      </c>
      <c r="B362" s="7" t="s">
        <v>1144</v>
      </c>
      <c r="C362" s="7" t="s">
        <v>4837</v>
      </c>
      <c r="D362" s="7"/>
      <c r="E362" s="7"/>
      <c r="F362" s="7" t="s">
        <v>4828</v>
      </c>
      <c r="G362" s="7" t="s">
        <v>3467</v>
      </c>
      <c r="H362" s="7" t="s">
        <v>3413</v>
      </c>
      <c r="I362" s="7" t="s">
        <v>3381</v>
      </c>
      <c r="K362" s="7" t="str">
        <f t="shared" si="2"/>
        <v/>
      </c>
      <c r="L362" s="7" t="str">
        <f t="shared" si="3"/>
        <v/>
      </c>
      <c r="M362" s="7">
        <f t="shared" ref="M362:N362" si="369">IF(LEN(M$1),COUNTIF($G362:$I362,M$1),"")</f>
        <v>0</v>
      </c>
      <c r="N362" s="7" t="str">
        <f t="shared" si="369"/>
        <v/>
      </c>
      <c r="O362" s="7" t="str">
        <f t="shared" si="5"/>
        <v/>
      </c>
      <c r="P362" s="7">
        <f t="shared" si="310"/>
        <v>0</v>
      </c>
      <c r="Q362" s="7" t="str">
        <f t="shared" si="7"/>
        <v/>
      </c>
      <c r="T362" s="7"/>
    </row>
    <row r="363" ht="12.75" customHeight="1">
      <c r="A363" s="7">
        <v>362.0</v>
      </c>
      <c r="B363" s="7" t="s">
        <v>1091</v>
      </c>
      <c r="C363" s="7" t="s">
        <v>4834</v>
      </c>
      <c r="D363" s="7"/>
      <c r="E363" s="7"/>
      <c r="F363" s="7" t="s">
        <v>4828</v>
      </c>
      <c r="G363" s="7" t="s">
        <v>3315</v>
      </c>
      <c r="H363" s="7" t="s">
        <v>3443</v>
      </c>
      <c r="I363" s="7" t="s">
        <v>3513</v>
      </c>
      <c r="K363" s="7" t="str">
        <f t="shared" si="2"/>
        <v/>
      </c>
      <c r="L363" s="7" t="str">
        <f t="shared" si="3"/>
        <v/>
      </c>
      <c r="M363" s="7">
        <f t="shared" ref="M363:N363" si="370">IF(LEN(M$1),COUNTIF($G363:$I363,M$1),"")</f>
        <v>0</v>
      </c>
      <c r="N363" s="7" t="str">
        <f t="shared" si="370"/>
        <v/>
      </c>
      <c r="O363" s="7" t="str">
        <f t="shared" si="5"/>
        <v/>
      </c>
      <c r="P363" s="7">
        <f t="shared" si="310"/>
        <v>0</v>
      </c>
      <c r="Q363" s="7" t="str">
        <f t="shared" si="7"/>
        <v/>
      </c>
      <c r="T363" s="7"/>
    </row>
    <row r="364" ht="12.75" customHeight="1">
      <c r="A364" s="7">
        <v>363.0</v>
      </c>
      <c r="B364" s="7" t="s">
        <v>786</v>
      </c>
      <c r="C364" s="7" t="s">
        <v>4822</v>
      </c>
      <c r="D364" s="7"/>
      <c r="E364" s="7"/>
      <c r="F364" s="7" t="s">
        <v>4828</v>
      </c>
      <c r="G364" s="7" t="s">
        <v>3508</v>
      </c>
      <c r="H364" s="7" t="s">
        <v>3516</v>
      </c>
      <c r="I364" s="7" t="s">
        <v>3505</v>
      </c>
      <c r="K364" s="7" t="str">
        <f t="shared" si="2"/>
        <v/>
      </c>
      <c r="L364" s="7" t="str">
        <f t="shared" si="3"/>
        <v/>
      </c>
      <c r="M364" s="7">
        <f t="shared" ref="M364:N364" si="371">IF(LEN(M$1),COUNTIF($G364:$I364,M$1),"")</f>
        <v>0</v>
      </c>
      <c r="N364" s="7" t="str">
        <f t="shared" si="371"/>
        <v/>
      </c>
      <c r="O364" s="7" t="str">
        <f t="shared" si="5"/>
        <v/>
      </c>
      <c r="P364" s="7">
        <f t="shared" si="310"/>
        <v>0</v>
      </c>
      <c r="Q364" s="7" t="str">
        <f t="shared" si="7"/>
        <v/>
      </c>
      <c r="T364" s="7"/>
    </row>
    <row r="365" ht="12.75" customHeight="1">
      <c r="A365" s="7">
        <v>364.0</v>
      </c>
      <c r="B365" s="7" t="s">
        <v>427</v>
      </c>
      <c r="C365" s="7" t="s">
        <v>4758</v>
      </c>
      <c r="D365" s="7"/>
      <c r="E365" s="7"/>
      <c r="F365" s="7" t="s">
        <v>4828</v>
      </c>
      <c r="G365" s="7" t="s">
        <v>3574</v>
      </c>
      <c r="H365" s="7" t="s">
        <v>3516</v>
      </c>
      <c r="I365" s="7" t="s">
        <v>3443</v>
      </c>
      <c r="K365" s="7" t="str">
        <f t="shared" si="2"/>
        <v/>
      </c>
      <c r="L365" s="7" t="str">
        <f t="shared" si="3"/>
        <v/>
      </c>
      <c r="M365" s="7">
        <f t="shared" ref="M365:N365" si="372">IF(LEN(M$1),COUNTIF($G365:$I365,M$1),"")</f>
        <v>0</v>
      </c>
      <c r="N365" s="7" t="str">
        <f t="shared" si="372"/>
        <v/>
      </c>
      <c r="O365" s="7" t="str">
        <f t="shared" si="5"/>
        <v/>
      </c>
      <c r="P365" s="7">
        <f t="shared" si="310"/>
        <v>0</v>
      </c>
      <c r="Q365" s="7" t="str">
        <f t="shared" si="7"/>
        <v/>
      </c>
      <c r="T365" s="7"/>
    </row>
    <row r="366" ht="12.75" customHeight="1">
      <c r="A366" s="7">
        <v>365.0</v>
      </c>
      <c r="B366" s="7" t="s">
        <v>233</v>
      </c>
      <c r="C366" s="7" t="s">
        <v>4758</v>
      </c>
      <c r="D366" s="7"/>
      <c r="E366" s="7"/>
      <c r="F366" s="7" t="s">
        <v>4828</v>
      </c>
      <c r="G366" s="7" t="s">
        <v>3564</v>
      </c>
      <c r="H366" s="7" t="s">
        <v>3462</v>
      </c>
      <c r="I366" s="7" t="s">
        <v>3480</v>
      </c>
      <c r="K366" s="7" t="str">
        <f t="shared" si="2"/>
        <v/>
      </c>
      <c r="L366" s="7" t="str">
        <f t="shared" si="3"/>
        <v/>
      </c>
      <c r="M366" s="7">
        <f t="shared" ref="M366:N366" si="373">IF(LEN(M$1),COUNTIF($G366:$I366,M$1),"")</f>
        <v>0</v>
      </c>
      <c r="N366" s="7" t="str">
        <f t="shared" si="373"/>
        <v/>
      </c>
      <c r="O366" s="7" t="str">
        <f t="shared" si="5"/>
        <v/>
      </c>
      <c r="P366" s="7">
        <f t="shared" si="310"/>
        <v>0</v>
      </c>
      <c r="Q366" s="7" t="str">
        <f t="shared" si="7"/>
        <v/>
      </c>
    </row>
    <row r="367" ht="12.75" customHeight="1">
      <c r="A367" s="7">
        <v>366.0</v>
      </c>
      <c r="B367" s="7" t="s">
        <v>1012</v>
      </c>
      <c r="C367" s="7" t="s">
        <v>2659</v>
      </c>
      <c r="D367" s="7"/>
      <c r="E367" s="7"/>
      <c r="F367" s="7" t="s">
        <v>4828</v>
      </c>
      <c r="G367" s="7" t="s">
        <v>3559</v>
      </c>
      <c r="H367" s="7" t="s">
        <v>3375</v>
      </c>
      <c r="I367" s="7" t="s">
        <v>3287</v>
      </c>
      <c r="K367" s="7" t="str">
        <f t="shared" si="2"/>
        <v/>
      </c>
      <c r="L367" s="7" t="str">
        <f t="shared" si="3"/>
        <v/>
      </c>
      <c r="M367" s="7">
        <f t="shared" ref="M367:N367" si="374">IF(LEN(M$1),COUNTIF($G367:$I367,M$1),"")</f>
        <v>0</v>
      </c>
      <c r="N367" s="7" t="str">
        <f t="shared" si="374"/>
        <v/>
      </c>
      <c r="O367" s="7" t="str">
        <f t="shared" si="5"/>
        <v/>
      </c>
      <c r="P367" s="7">
        <f t="shared" si="310"/>
        <v>0</v>
      </c>
      <c r="Q367" s="7" t="str">
        <f t="shared" si="7"/>
        <v/>
      </c>
      <c r="T367" s="7"/>
    </row>
    <row r="368" ht="12.75" customHeight="1">
      <c r="A368" s="7">
        <v>367.0</v>
      </c>
      <c r="B368" s="7" t="s">
        <v>652</v>
      </c>
      <c r="C368" s="7" t="s">
        <v>4812</v>
      </c>
      <c r="D368" s="7"/>
      <c r="E368" s="7"/>
      <c r="F368" s="7" t="s">
        <v>4828</v>
      </c>
      <c r="G368" s="7" t="s">
        <v>3348</v>
      </c>
      <c r="H368" s="7" t="s">
        <v>3462</v>
      </c>
      <c r="I368" s="7" t="s">
        <v>3559</v>
      </c>
      <c r="K368" s="7" t="str">
        <f t="shared" si="2"/>
        <v/>
      </c>
      <c r="L368" s="7" t="str">
        <f t="shared" si="3"/>
        <v/>
      </c>
      <c r="M368" s="7">
        <f t="shared" ref="M368:N368" si="375">IF(LEN(M$1),COUNTIF($G368:$I368,M$1),"")</f>
        <v>0</v>
      </c>
      <c r="N368" s="7" t="str">
        <f t="shared" si="375"/>
        <v/>
      </c>
      <c r="O368" s="7" t="str">
        <f t="shared" si="5"/>
        <v/>
      </c>
      <c r="P368" s="7">
        <f t="shared" si="310"/>
        <v>0</v>
      </c>
      <c r="Q368" s="7" t="str">
        <f t="shared" si="7"/>
        <v/>
      </c>
      <c r="T368" s="7"/>
    </row>
    <row r="369" ht="12.75" customHeight="1">
      <c r="A369" s="7">
        <v>368.0</v>
      </c>
      <c r="B369" s="7" t="s">
        <v>786</v>
      </c>
      <c r="C369" s="7" t="s">
        <v>4822</v>
      </c>
      <c r="D369" s="7"/>
      <c r="E369" s="7"/>
      <c r="F369" s="7" t="s">
        <v>4828</v>
      </c>
      <c r="G369" s="7" t="s">
        <v>3539</v>
      </c>
      <c r="H369" s="7" t="s">
        <v>3572</v>
      </c>
      <c r="I369" s="7" t="s">
        <v>3460</v>
      </c>
      <c r="K369" s="7" t="str">
        <f t="shared" si="2"/>
        <v/>
      </c>
      <c r="L369" s="7" t="str">
        <f t="shared" si="3"/>
        <v/>
      </c>
      <c r="M369" s="7">
        <f t="shared" ref="M369:N369" si="376">IF(LEN(M$1),COUNTIF($G369:$I369,M$1),"")</f>
        <v>0</v>
      </c>
      <c r="N369" s="7" t="str">
        <f t="shared" si="376"/>
        <v/>
      </c>
      <c r="O369" s="7" t="str">
        <f t="shared" si="5"/>
        <v/>
      </c>
      <c r="P369" s="7">
        <f t="shared" si="310"/>
        <v>0</v>
      </c>
      <c r="Q369" s="7" t="str">
        <f t="shared" si="7"/>
        <v/>
      </c>
      <c r="T369" s="7"/>
    </row>
    <row r="370" ht="12.75" customHeight="1">
      <c r="A370" s="7">
        <v>369.0</v>
      </c>
      <c r="B370" s="7" t="s">
        <v>961</v>
      </c>
      <c r="C370" s="7" t="s">
        <v>4838</v>
      </c>
      <c r="D370" s="7"/>
      <c r="E370" s="7"/>
      <c r="F370" s="7" t="s">
        <v>4828</v>
      </c>
      <c r="G370" s="7" t="s">
        <v>3570</v>
      </c>
      <c r="H370" s="7" t="s">
        <v>3520</v>
      </c>
      <c r="I370" s="7" t="s">
        <v>3567</v>
      </c>
      <c r="K370" s="7" t="str">
        <f t="shared" si="2"/>
        <v/>
      </c>
      <c r="L370" s="7" t="str">
        <f t="shared" si="3"/>
        <v/>
      </c>
      <c r="M370" s="7">
        <f t="shared" ref="M370:N370" si="377">IF(LEN(M$1),COUNTIF($G370:$I370,M$1),"")</f>
        <v>0</v>
      </c>
      <c r="N370" s="7" t="str">
        <f t="shared" si="377"/>
        <v/>
      </c>
      <c r="O370" s="7" t="str">
        <f t="shared" si="5"/>
        <v/>
      </c>
      <c r="P370" s="7">
        <f t="shared" si="310"/>
        <v>0</v>
      </c>
      <c r="Q370" s="7" t="str">
        <f t="shared" si="7"/>
        <v/>
      </c>
      <c r="T370" s="7"/>
    </row>
    <row r="371" ht="12.75" customHeight="1">
      <c r="A371" s="7">
        <v>370.0</v>
      </c>
      <c r="B371" s="7" t="s">
        <v>1020</v>
      </c>
      <c r="C371" s="7" t="s">
        <v>2659</v>
      </c>
      <c r="D371" s="7"/>
      <c r="E371" s="7"/>
      <c r="F371" s="7" t="s">
        <v>4828</v>
      </c>
      <c r="G371" s="7" t="s">
        <v>3562</v>
      </c>
      <c r="H371" s="7" t="s">
        <v>3469</v>
      </c>
      <c r="I371" s="7" t="s">
        <v>3476</v>
      </c>
      <c r="K371" s="7" t="str">
        <f t="shared" si="2"/>
        <v/>
      </c>
      <c r="L371" s="7" t="str">
        <f t="shared" si="3"/>
        <v/>
      </c>
      <c r="M371" s="7">
        <f t="shared" ref="M371:N371" si="378">IF(LEN(M$1),COUNTIF($G371:$I371,M$1),"")</f>
        <v>0</v>
      </c>
      <c r="N371" s="7" t="str">
        <f t="shared" si="378"/>
        <v/>
      </c>
      <c r="O371" s="7" t="str">
        <f t="shared" si="5"/>
        <v/>
      </c>
      <c r="P371" s="7">
        <f t="shared" si="310"/>
        <v>0</v>
      </c>
      <c r="Q371" s="7" t="str">
        <f t="shared" si="7"/>
        <v/>
      </c>
      <c r="T371" s="7"/>
    </row>
    <row r="372" ht="12.75" customHeight="1">
      <c r="A372" s="7">
        <v>371.0</v>
      </c>
      <c r="B372" s="7" t="s">
        <v>1075</v>
      </c>
      <c r="C372" s="7" t="s">
        <v>4840</v>
      </c>
      <c r="D372" s="7"/>
      <c r="E372" s="7"/>
      <c r="F372" s="7" t="s">
        <v>4828</v>
      </c>
      <c r="G372" s="7" t="s">
        <v>3570</v>
      </c>
      <c r="H372" s="7" t="s">
        <v>3381</v>
      </c>
      <c r="I372" s="7" t="s">
        <v>3307</v>
      </c>
      <c r="K372" s="7" t="str">
        <f t="shared" si="2"/>
        <v/>
      </c>
      <c r="L372" s="7" t="str">
        <f t="shared" si="3"/>
        <v/>
      </c>
      <c r="M372" s="7">
        <f t="shared" ref="M372:N372" si="379">IF(LEN(M$1),COUNTIF($G372:$I372,M$1),"")</f>
        <v>0</v>
      </c>
      <c r="N372" s="7" t="str">
        <f t="shared" si="379"/>
        <v/>
      </c>
      <c r="O372" s="7" t="str">
        <f t="shared" si="5"/>
        <v/>
      </c>
      <c r="P372" s="7">
        <f t="shared" si="310"/>
        <v>0</v>
      </c>
      <c r="Q372" s="7" t="str">
        <f t="shared" si="7"/>
        <v/>
      </c>
      <c r="T372" s="7"/>
    </row>
    <row r="373" ht="12.75" customHeight="1">
      <c r="A373" s="7">
        <v>372.0</v>
      </c>
      <c r="B373" s="7" t="s">
        <v>233</v>
      </c>
      <c r="C373" s="7" t="s">
        <v>4758</v>
      </c>
      <c r="D373" s="7"/>
      <c r="E373" s="7"/>
      <c r="F373" s="7" t="s">
        <v>4828</v>
      </c>
      <c r="G373" s="7" t="s">
        <v>3301</v>
      </c>
      <c r="H373" s="7" t="s">
        <v>3581</v>
      </c>
      <c r="I373" s="7" t="s">
        <v>3544</v>
      </c>
      <c r="K373" s="7" t="str">
        <f t="shared" si="2"/>
        <v/>
      </c>
      <c r="L373" s="7" t="str">
        <f t="shared" si="3"/>
        <v/>
      </c>
      <c r="M373" s="7">
        <f t="shared" ref="M373:N373" si="380">IF(LEN(M$1),COUNTIF($G373:$I373,M$1),"")</f>
        <v>0</v>
      </c>
      <c r="N373" s="7" t="str">
        <f t="shared" si="380"/>
        <v/>
      </c>
      <c r="O373" s="7" t="str">
        <f t="shared" si="5"/>
        <v/>
      </c>
      <c r="P373" s="7">
        <f t="shared" si="310"/>
        <v>0</v>
      </c>
      <c r="Q373" s="7" t="str">
        <f t="shared" si="7"/>
        <v/>
      </c>
      <c r="T373" s="7"/>
    </row>
    <row r="374" ht="12.75" customHeight="1">
      <c r="A374" s="7">
        <v>373.0</v>
      </c>
      <c r="B374" s="7" t="s">
        <v>981</v>
      </c>
      <c r="C374" s="7" t="s">
        <v>2659</v>
      </c>
      <c r="D374" s="7"/>
      <c r="E374" s="7"/>
      <c r="F374" s="7" t="s">
        <v>4828</v>
      </c>
      <c r="G374" s="7" t="s">
        <v>3505</v>
      </c>
      <c r="H374" s="7" t="s">
        <v>3502</v>
      </c>
      <c r="I374" s="7" t="s">
        <v>3476</v>
      </c>
      <c r="K374" s="7" t="str">
        <f t="shared" si="2"/>
        <v/>
      </c>
      <c r="L374" s="7" t="str">
        <f t="shared" si="3"/>
        <v/>
      </c>
      <c r="M374" s="7">
        <f t="shared" ref="M374:N374" si="381">IF(LEN(M$1),COUNTIF($G374:$I374,M$1),"")</f>
        <v>0</v>
      </c>
      <c r="N374" s="7" t="str">
        <f t="shared" si="381"/>
        <v/>
      </c>
      <c r="O374" s="7" t="str">
        <f t="shared" si="5"/>
        <v/>
      </c>
      <c r="P374" s="7">
        <f t="shared" si="310"/>
        <v>0</v>
      </c>
      <c r="Q374" s="7" t="str">
        <f t="shared" si="7"/>
        <v/>
      </c>
      <c r="T374" s="7"/>
    </row>
    <row r="375" ht="12.75" customHeight="1">
      <c r="A375" s="7">
        <v>374.0</v>
      </c>
      <c r="B375" s="7" t="s">
        <v>698</v>
      </c>
      <c r="C375" s="7" t="s">
        <v>4758</v>
      </c>
      <c r="D375" s="7"/>
      <c r="E375" s="7"/>
      <c r="F375" s="7" t="s">
        <v>4828</v>
      </c>
      <c r="G375" s="7" t="s">
        <v>3536</v>
      </c>
      <c r="H375" s="7" t="s">
        <v>3457</v>
      </c>
      <c r="I375" s="7" t="s">
        <v>3570</v>
      </c>
      <c r="K375" s="7" t="str">
        <f t="shared" si="2"/>
        <v/>
      </c>
      <c r="L375" s="7" t="str">
        <f t="shared" si="3"/>
        <v/>
      </c>
      <c r="M375" s="7">
        <f t="shared" ref="M375:N375" si="382">IF(LEN(M$1),COUNTIF($G375:$I375,M$1),"")</f>
        <v>0</v>
      </c>
      <c r="N375" s="7" t="str">
        <f t="shared" si="382"/>
        <v/>
      </c>
      <c r="O375" s="7" t="str">
        <f t="shared" si="5"/>
        <v/>
      </c>
      <c r="P375" s="7">
        <f t="shared" si="310"/>
        <v>0</v>
      </c>
      <c r="Q375" s="7" t="str">
        <f t="shared" si="7"/>
        <v/>
      </c>
      <c r="T375" s="7"/>
    </row>
    <row r="376" ht="12.75" customHeight="1">
      <c r="A376" s="7">
        <v>375.0</v>
      </c>
      <c r="B376" s="7" t="s">
        <v>842</v>
      </c>
      <c r="C376" s="7" t="s">
        <v>4826</v>
      </c>
      <c r="D376" s="7"/>
      <c r="E376" s="7"/>
      <c r="F376" s="7" t="s">
        <v>4828</v>
      </c>
      <c r="G376" s="7" t="s">
        <v>3574</v>
      </c>
      <c r="H376" s="7" t="s">
        <v>3455</v>
      </c>
      <c r="I376" s="7" t="s">
        <v>3497</v>
      </c>
      <c r="K376" s="7" t="str">
        <f t="shared" si="2"/>
        <v/>
      </c>
      <c r="L376" s="7" t="str">
        <f t="shared" si="3"/>
        <v/>
      </c>
      <c r="M376" s="7">
        <f t="shared" ref="M376:N376" si="383">IF(LEN(M$1),COUNTIF($G376:$I376,M$1),"")</f>
        <v>0</v>
      </c>
      <c r="N376" s="7" t="str">
        <f t="shared" si="383"/>
        <v/>
      </c>
      <c r="O376" s="7" t="str">
        <f t="shared" si="5"/>
        <v/>
      </c>
      <c r="P376" s="7">
        <f t="shared" si="310"/>
        <v>0</v>
      </c>
      <c r="Q376" s="7" t="str">
        <f t="shared" si="7"/>
        <v/>
      </c>
      <c r="T376" s="7"/>
    </row>
    <row r="377" ht="12.75" customHeight="1">
      <c r="A377" s="7">
        <v>376.0</v>
      </c>
      <c r="B377" s="7" t="s">
        <v>865</v>
      </c>
      <c r="C377" s="7" t="s">
        <v>3108</v>
      </c>
      <c r="D377" s="7"/>
      <c r="E377" s="7"/>
      <c r="F377" s="7" t="s">
        <v>4828</v>
      </c>
      <c r="G377" s="7" t="s">
        <v>3567</v>
      </c>
      <c r="H377" s="7" t="s">
        <v>3375</v>
      </c>
      <c r="I377" s="7" t="s">
        <v>3287</v>
      </c>
      <c r="K377" s="7" t="str">
        <f t="shared" si="2"/>
        <v/>
      </c>
      <c r="L377" s="7" t="str">
        <f t="shared" si="3"/>
        <v/>
      </c>
      <c r="M377" s="7">
        <f t="shared" ref="M377:N377" si="384">IF(LEN(M$1),COUNTIF($G377:$I377,M$1),"")</f>
        <v>0</v>
      </c>
      <c r="N377" s="7" t="str">
        <f t="shared" si="384"/>
        <v/>
      </c>
      <c r="O377" s="7" t="str">
        <f t="shared" si="5"/>
        <v/>
      </c>
      <c r="P377" s="7">
        <f t="shared" si="310"/>
        <v>0</v>
      </c>
      <c r="Q377" s="7" t="str">
        <f t="shared" si="7"/>
        <v/>
      </c>
      <c r="T377" s="7"/>
    </row>
    <row r="378" ht="12.75" customHeight="1">
      <c r="A378" s="7">
        <v>377.0</v>
      </c>
      <c r="B378" s="7" t="s">
        <v>1057</v>
      </c>
      <c r="C378" s="7" t="s">
        <v>4831</v>
      </c>
      <c r="D378" s="7"/>
      <c r="E378" s="7"/>
      <c r="F378" s="7" t="s">
        <v>4828</v>
      </c>
      <c r="G378" s="7" t="s">
        <v>3348</v>
      </c>
      <c r="H378" s="7" t="s">
        <v>3449</v>
      </c>
      <c r="I378" s="7" t="s">
        <v>3574</v>
      </c>
      <c r="K378" s="7" t="str">
        <f t="shared" si="2"/>
        <v/>
      </c>
      <c r="L378" s="7" t="str">
        <f t="shared" si="3"/>
        <v/>
      </c>
      <c r="M378" s="7">
        <f t="shared" ref="M378:N378" si="385">IF(LEN(M$1),COUNTIF($G378:$I378,M$1),"")</f>
        <v>0</v>
      </c>
      <c r="N378" s="7" t="str">
        <f t="shared" si="385"/>
        <v/>
      </c>
      <c r="O378" s="7" t="str">
        <f t="shared" si="5"/>
        <v/>
      </c>
      <c r="P378" s="7">
        <f t="shared" si="310"/>
        <v>0</v>
      </c>
      <c r="Q378" s="7" t="str">
        <f t="shared" si="7"/>
        <v/>
      </c>
      <c r="T378" s="7"/>
    </row>
    <row r="379" ht="12.75" customHeight="1">
      <c r="A379" s="7">
        <v>378.0</v>
      </c>
      <c r="B379" s="7" t="s">
        <v>975</v>
      </c>
      <c r="C379" s="7" t="s">
        <v>4838</v>
      </c>
      <c r="D379" s="7"/>
      <c r="E379" s="7"/>
      <c r="F379" s="7" t="s">
        <v>4828</v>
      </c>
      <c r="G379" s="7" t="s">
        <v>3539</v>
      </c>
      <c r="H379" s="7" t="s">
        <v>3572</v>
      </c>
      <c r="I379" s="7" t="s">
        <v>3465</v>
      </c>
      <c r="K379" s="7" t="str">
        <f t="shared" si="2"/>
        <v/>
      </c>
      <c r="L379" s="7" t="str">
        <f t="shared" si="3"/>
        <v/>
      </c>
      <c r="M379" s="7">
        <f t="shared" ref="M379:N379" si="386">IF(LEN(M$1),COUNTIF($G379:$I379,M$1),"")</f>
        <v>0</v>
      </c>
      <c r="N379" s="7" t="str">
        <f t="shared" si="386"/>
        <v/>
      </c>
      <c r="O379" s="7" t="str">
        <f t="shared" si="5"/>
        <v/>
      </c>
      <c r="P379" s="7">
        <f t="shared" si="310"/>
        <v>0</v>
      </c>
      <c r="Q379" s="7" t="str">
        <f t="shared" si="7"/>
        <v/>
      </c>
      <c r="T379" s="7"/>
    </row>
    <row r="380" ht="12.75" customHeight="1">
      <c r="A380" s="7">
        <v>379.0</v>
      </c>
      <c r="B380" s="7" t="s">
        <v>975</v>
      </c>
      <c r="C380" s="7" t="s">
        <v>4838</v>
      </c>
      <c r="D380" s="7"/>
      <c r="E380" s="7"/>
      <c r="F380" s="7" t="s">
        <v>4828</v>
      </c>
      <c r="G380" s="7" t="s">
        <v>3551</v>
      </c>
      <c r="H380" s="7" t="s">
        <v>3527</v>
      </c>
      <c r="I380" s="7" t="s">
        <v>3541</v>
      </c>
      <c r="K380" s="7" t="str">
        <f t="shared" si="2"/>
        <v/>
      </c>
      <c r="L380" s="7" t="str">
        <f t="shared" si="3"/>
        <v/>
      </c>
      <c r="M380" s="7">
        <f t="shared" ref="M380:N380" si="387">IF(LEN(M$1),COUNTIF($G380:$I380,M$1),"")</f>
        <v>0</v>
      </c>
      <c r="N380" s="7" t="str">
        <f t="shared" si="387"/>
        <v/>
      </c>
      <c r="O380" s="7" t="str">
        <f t="shared" si="5"/>
        <v/>
      </c>
      <c r="P380" s="7">
        <f t="shared" si="310"/>
        <v>0</v>
      </c>
      <c r="Q380" s="7" t="str">
        <f t="shared" si="7"/>
        <v/>
      </c>
      <c r="T380" s="7"/>
    </row>
    <row r="381" ht="12.75" customHeight="1">
      <c r="A381" s="7">
        <v>380.0</v>
      </c>
      <c r="B381" s="7" t="s">
        <v>961</v>
      </c>
      <c r="C381" s="7" t="s">
        <v>4838</v>
      </c>
      <c r="D381" s="7"/>
      <c r="E381" s="7"/>
      <c r="F381" s="7" t="s">
        <v>4828</v>
      </c>
      <c r="G381" s="7" t="s">
        <v>3457</v>
      </c>
      <c r="H381" s="7" t="s">
        <v>3469</v>
      </c>
      <c r="I381" s="7" t="s">
        <v>3491</v>
      </c>
      <c r="K381" s="7" t="str">
        <f t="shared" si="2"/>
        <v/>
      </c>
      <c r="L381" s="7" t="str">
        <f t="shared" si="3"/>
        <v/>
      </c>
      <c r="M381" s="7">
        <f t="shared" ref="M381:N381" si="388">IF(LEN(M$1),COUNTIF($G381:$I381,M$1),"")</f>
        <v>0</v>
      </c>
      <c r="N381" s="7" t="str">
        <f t="shared" si="388"/>
        <v/>
      </c>
      <c r="O381" s="7" t="str">
        <f t="shared" si="5"/>
        <v/>
      </c>
      <c r="P381" s="7">
        <f t="shared" si="310"/>
        <v>0</v>
      </c>
      <c r="Q381" s="7" t="str">
        <f t="shared" si="7"/>
        <v/>
      </c>
      <c r="T381" s="7"/>
    </row>
    <row r="382" ht="12.75" customHeight="1">
      <c r="A382" s="7">
        <v>381.0</v>
      </c>
      <c r="B382" s="7" t="s">
        <v>1075</v>
      </c>
      <c r="C382" s="7" t="s">
        <v>4840</v>
      </c>
      <c r="D382" s="7"/>
      <c r="E382" s="7"/>
      <c r="F382" s="7" t="s">
        <v>4828</v>
      </c>
      <c r="G382" s="7" t="s">
        <v>3505</v>
      </c>
      <c r="H382" s="7" t="s">
        <v>3325</v>
      </c>
      <c r="I382" s="7" t="s">
        <v>3348</v>
      </c>
      <c r="K382" s="7" t="str">
        <f t="shared" si="2"/>
        <v/>
      </c>
      <c r="L382" s="7" t="str">
        <f t="shared" si="3"/>
        <v/>
      </c>
      <c r="M382" s="7">
        <f t="shared" ref="M382:N382" si="389">IF(LEN(M$1),COUNTIF($G382:$I382,M$1),"")</f>
        <v>0</v>
      </c>
      <c r="N382" s="7" t="str">
        <f t="shared" si="389"/>
        <v/>
      </c>
      <c r="O382" s="7" t="str">
        <f t="shared" si="5"/>
        <v/>
      </c>
      <c r="P382" s="7">
        <f t="shared" si="310"/>
        <v>0</v>
      </c>
      <c r="Q382" s="7" t="str">
        <f t="shared" si="7"/>
        <v/>
      </c>
      <c r="T382" s="7"/>
    </row>
    <row r="383" ht="12.75" customHeight="1">
      <c r="A383" s="7">
        <v>382.0</v>
      </c>
      <c r="B383" s="7" t="s">
        <v>996</v>
      </c>
      <c r="C383" s="7" t="s">
        <v>2659</v>
      </c>
      <c r="D383" s="7"/>
      <c r="E383" s="7"/>
      <c r="F383" s="7" t="s">
        <v>4828</v>
      </c>
      <c r="G383" s="7" t="s">
        <v>3333</v>
      </c>
      <c r="H383" s="7" t="s">
        <v>3460</v>
      </c>
      <c r="I383" s="7" t="s">
        <v>3525</v>
      </c>
      <c r="K383" s="7" t="str">
        <f t="shared" si="2"/>
        <v/>
      </c>
      <c r="L383" s="7" t="str">
        <f t="shared" si="3"/>
        <v/>
      </c>
      <c r="M383" s="7">
        <f t="shared" ref="M383:N383" si="390">IF(LEN(M$1),COUNTIF($G383:$I383,M$1),"")</f>
        <v>0</v>
      </c>
      <c r="N383" s="7" t="str">
        <f t="shared" si="390"/>
        <v/>
      </c>
      <c r="O383" s="7" t="str">
        <f t="shared" si="5"/>
        <v/>
      </c>
      <c r="P383" s="7">
        <f t="shared" si="310"/>
        <v>0</v>
      </c>
      <c r="Q383" s="7" t="str">
        <f t="shared" si="7"/>
        <v/>
      </c>
      <c r="T383" s="7"/>
    </row>
    <row r="384" ht="12.75" customHeight="1">
      <c r="A384" s="7">
        <v>383.0</v>
      </c>
      <c r="B384" s="7" t="s">
        <v>842</v>
      </c>
      <c r="C384" s="7" t="s">
        <v>4826</v>
      </c>
      <c r="D384" s="7"/>
      <c r="E384" s="7"/>
      <c r="F384" s="7" t="s">
        <v>4828</v>
      </c>
      <c r="G384" s="7" t="s">
        <v>3533</v>
      </c>
      <c r="H384" s="7" t="s">
        <v>3511</v>
      </c>
      <c r="I384" s="7" t="s">
        <v>3546</v>
      </c>
      <c r="K384" s="7" t="str">
        <f t="shared" si="2"/>
        <v/>
      </c>
      <c r="L384" s="7" t="str">
        <f t="shared" si="3"/>
        <v/>
      </c>
      <c r="M384" s="7">
        <f t="shared" ref="M384:N384" si="391">IF(LEN(M$1),COUNTIF($G384:$I384,M$1),"")</f>
        <v>0</v>
      </c>
      <c r="N384" s="7" t="str">
        <f t="shared" si="391"/>
        <v/>
      </c>
      <c r="O384" s="7" t="str">
        <f t="shared" si="5"/>
        <v/>
      </c>
      <c r="P384" s="7">
        <f t="shared" si="310"/>
        <v>0</v>
      </c>
      <c r="Q384" s="7" t="str">
        <f t="shared" si="7"/>
        <v/>
      </c>
      <c r="T384" s="7"/>
    </row>
    <row r="385" ht="12.75" customHeight="1">
      <c r="A385" s="7">
        <v>384.0</v>
      </c>
      <c r="B385" s="7" t="s">
        <v>1057</v>
      </c>
      <c r="C385" s="7" t="s">
        <v>4831</v>
      </c>
      <c r="D385" s="7"/>
      <c r="E385" s="7"/>
      <c r="F385" s="7" t="s">
        <v>4828</v>
      </c>
      <c r="G385" s="7" t="s">
        <v>3497</v>
      </c>
      <c r="H385" s="7" t="s">
        <v>3549</v>
      </c>
      <c r="I385" s="7" t="s">
        <v>3443</v>
      </c>
      <c r="K385" s="7" t="str">
        <f t="shared" si="2"/>
        <v/>
      </c>
      <c r="L385" s="7" t="str">
        <f t="shared" si="3"/>
        <v/>
      </c>
      <c r="M385" s="7">
        <f t="shared" ref="M385:N385" si="392">IF(LEN(M$1),COUNTIF($G385:$I385,M$1),"")</f>
        <v>0</v>
      </c>
      <c r="N385" s="7" t="str">
        <f t="shared" si="392"/>
        <v/>
      </c>
      <c r="O385" s="7" t="str">
        <f t="shared" si="5"/>
        <v/>
      </c>
      <c r="P385" s="7">
        <f t="shared" si="310"/>
        <v>0</v>
      </c>
      <c r="Q385" s="7" t="str">
        <f t="shared" si="7"/>
        <v/>
      </c>
      <c r="T385" s="7"/>
    </row>
    <row r="386" ht="12.75" customHeight="1">
      <c r="A386" s="7">
        <v>385.0</v>
      </c>
      <c r="B386" s="7" t="s">
        <v>1020</v>
      </c>
      <c r="C386" s="7" t="s">
        <v>2659</v>
      </c>
      <c r="D386" s="7"/>
      <c r="E386" s="7"/>
      <c r="F386" s="7" t="s">
        <v>4828</v>
      </c>
      <c r="G386" s="7" t="s">
        <v>3473</v>
      </c>
      <c r="H386" s="7" t="s">
        <v>3525</v>
      </c>
      <c r="I386" s="7" t="s">
        <v>3480</v>
      </c>
      <c r="K386" s="7" t="str">
        <f t="shared" si="2"/>
        <v/>
      </c>
      <c r="L386" s="7" t="str">
        <f t="shared" si="3"/>
        <v/>
      </c>
      <c r="M386" s="7">
        <f t="shared" ref="M386:N386" si="393">IF(LEN(M$1),COUNTIF($G386:$I386,M$1),"")</f>
        <v>0</v>
      </c>
      <c r="N386" s="7" t="str">
        <f t="shared" si="393"/>
        <v/>
      </c>
      <c r="O386" s="7" t="str">
        <f t="shared" si="5"/>
        <v/>
      </c>
      <c r="P386" s="7">
        <f t="shared" si="310"/>
        <v>0</v>
      </c>
      <c r="Q386" s="7" t="str">
        <f t="shared" si="7"/>
        <v/>
      </c>
      <c r="T386" s="7"/>
    </row>
    <row r="387" ht="12.75" customHeight="1">
      <c r="A387" s="7">
        <v>386.0</v>
      </c>
      <c r="B387" s="7" t="s">
        <v>720</v>
      </c>
      <c r="C387" s="7" t="s">
        <v>4818</v>
      </c>
      <c r="D387" s="7"/>
      <c r="E387" s="7"/>
      <c r="F387" s="7" t="s">
        <v>4828</v>
      </c>
      <c r="G387" s="7" t="s">
        <v>3579</v>
      </c>
      <c r="H387" s="7" t="s">
        <v>3375</v>
      </c>
      <c r="I387" s="7" t="s">
        <v>3287</v>
      </c>
      <c r="K387" s="7" t="str">
        <f t="shared" si="2"/>
        <v/>
      </c>
      <c r="L387" s="7" t="str">
        <f t="shared" si="3"/>
        <v/>
      </c>
      <c r="M387" s="7">
        <f t="shared" ref="M387:N387" si="394">IF(LEN(M$1),COUNTIF($G387:$I387,M$1),"")</f>
        <v>0</v>
      </c>
      <c r="N387" s="7" t="str">
        <f t="shared" si="394"/>
        <v/>
      </c>
      <c r="O387" s="7" t="str">
        <f t="shared" si="5"/>
        <v/>
      </c>
      <c r="P387" s="7">
        <f t="shared" si="310"/>
        <v>0</v>
      </c>
      <c r="Q387" s="7" t="str">
        <f t="shared" si="7"/>
        <v/>
      </c>
      <c r="T387" s="7"/>
    </row>
    <row r="388" ht="12.75" customHeight="1">
      <c r="A388" s="7">
        <v>387.0</v>
      </c>
      <c r="B388" s="7" t="s">
        <v>712</v>
      </c>
      <c r="C388" s="7" t="s">
        <v>4815</v>
      </c>
      <c r="D388" s="7"/>
      <c r="E388" s="7"/>
      <c r="F388" s="7" t="s">
        <v>4828</v>
      </c>
      <c r="G388" s="7" t="s">
        <v>3348</v>
      </c>
      <c r="H388" s="7" t="s">
        <v>3449</v>
      </c>
      <c r="I388" s="7" t="s">
        <v>3579</v>
      </c>
      <c r="K388" s="7" t="str">
        <f t="shared" si="2"/>
        <v/>
      </c>
      <c r="L388" s="7" t="str">
        <f t="shared" si="3"/>
        <v/>
      </c>
      <c r="M388" s="7">
        <f t="shared" ref="M388:N388" si="395">IF(LEN(M$1),COUNTIF($G388:$I388,M$1),"")</f>
        <v>0</v>
      </c>
      <c r="N388" s="7" t="str">
        <f t="shared" si="395"/>
        <v/>
      </c>
      <c r="O388" s="7" t="str">
        <f t="shared" si="5"/>
        <v/>
      </c>
      <c r="P388" s="7">
        <f t="shared" si="310"/>
        <v>0</v>
      </c>
      <c r="Q388" s="7" t="str">
        <f t="shared" si="7"/>
        <v/>
      </c>
      <c r="T388" s="7"/>
    </row>
    <row r="389" ht="12.75" customHeight="1">
      <c r="A389" s="7">
        <v>388.0</v>
      </c>
      <c r="B389" s="7" t="s">
        <v>842</v>
      </c>
      <c r="C389" s="7" t="s">
        <v>4826</v>
      </c>
      <c r="D389" s="7"/>
      <c r="E389" s="7"/>
      <c r="F389" s="7" t="s">
        <v>4828</v>
      </c>
      <c r="G389" s="7" t="s">
        <v>3539</v>
      </c>
      <c r="H389" s="7" t="s">
        <v>3572</v>
      </c>
      <c r="I389" s="7" t="s">
        <v>3488</v>
      </c>
      <c r="K389" s="7" t="str">
        <f t="shared" si="2"/>
        <v/>
      </c>
      <c r="L389" s="7" t="str">
        <f t="shared" si="3"/>
        <v/>
      </c>
      <c r="M389" s="7">
        <f t="shared" ref="M389:N389" si="396">IF(LEN(M$1),COUNTIF($G389:$I389,M$1),"")</f>
        <v>0</v>
      </c>
      <c r="N389" s="7" t="str">
        <f t="shared" si="396"/>
        <v/>
      </c>
      <c r="O389" s="7" t="str">
        <f t="shared" si="5"/>
        <v/>
      </c>
      <c r="P389" s="7">
        <f t="shared" si="310"/>
        <v>0</v>
      </c>
      <c r="Q389" s="7" t="str">
        <f t="shared" si="7"/>
        <v/>
      </c>
      <c r="T389" s="7"/>
    </row>
    <row r="390" ht="12.75" customHeight="1">
      <c r="A390" s="7">
        <v>389.0</v>
      </c>
      <c r="B390" s="7" t="s">
        <v>989</v>
      </c>
      <c r="C390" s="7" t="s">
        <v>2659</v>
      </c>
      <c r="D390" s="7"/>
      <c r="E390" s="7"/>
      <c r="F390" s="7" t="s">
        <v>4828</v>
      </c>
      <c r="G390" s="7" t="s">
        <v>3551</v>
      </c>
      <c r="H390" s="7" t="s">
        <v>3533</v>
      </c>
      <c r="I390" s="7" t="s">
        <v>3541</v>
      </c>
      <c r="K390" s="7" t="str">
        <f t="shared" si="2"/>
        <v/>
      </c>
      <c r="L390" s="7" t="str">
        <f t="shared" si="3"/>
        <v/>
      </c>
      <c r="M390" s="7">
        <f t="shared" ref="M390:N390" si="397">IF(LEN(M$1),COUNTIF($G390:$I390,M$1),"")</f>
        <v>0</v>
      </c>
      <c r="N390" s="7" t="str">
        <f t="shared" si="397"/>
        <v/>
      </c>
      <c r="O390" s="7" t="str">
        <f t="shared" si="5"/>
        <v/>
      </c>
      <c r="P390" s="7">
        <f t="shared" si="310"/>
        <v>0</v>
      </c>
      <c r="Q390" s="7" t="str">
        <f t="shared" si="7"/>
        <v/>
      </c>
      <c r="T390" s="7"/>
    </row>
    <row r="391" ht="12.75" customHeight="1">
      <c r="A391" s="7">
        <v>390.0</v>
      </c>
      <c r="B391" s="7" t="s">
        <v>857</v>
      </c>
      <c r="C391" s="7" t="s">
        <v>4826</v>
      </c>
      <c r="D391" s="7"/>
      <c r="E391" s="7"/>
      <c r="F391" s="7" t="s">
        <v>4828</v>
      </c>
      <c r="G391" s="7" t="s">
        <v>3502</v>
      </c>
      <c r="H391" s="7" t="s">
        <v>3469</v>
      </c>
      <c r="I391" s="7" t="s">
        <v>3457</v>
      </c>
      <c r="K391" s="7" t="str">
        <f t="shared" si="2"/>
        <v/>
      </c>
      <c r="L391" s="7" t="str">
        <f t="shared" si="3"/>
        <v/>
      </c>
      <c r="M391" s="7">
        <f t="shared" ref="M391:N391" si="398">IF(LEN(M$1),COUNTIF($G391:$I391,M$1),"")</f>
        <v>0</v>
      </c>
      <c r="N391" s="7" t="str">
        <f t="shared" si="398"/>
        <v/>
      </c>
      <c r="O391" s="7" t="str">
        <f t="shared" si="5"/>
        <v/>
      </c>
      <c r="P391" s="7">
        <f t="shared" si="310"/>
        <v>0</v>
      </c>
      <c r="Q391" s="7" t="str">
        <f t="shared" si="7"/>
        <v/>
      </c>
      <c r="T391" s="7"/>
    </row>
    <row r="392" ht="12.75" customHeight="1">
      <c r="A392" s="7">
        <v>391.0</v>
      </c>
      <c r="B392" s="7" t="s">
        <v>753</v>
      </c>
      <c r="C392" s="7" t="s">
        <v>4819</v>
      </c>
      <c r="D392" s="7"/>
      <c r="E392" s="7"/>
      <c r="F392" s="7" t="s">
        <v>4828</v>
      </c>
      <c r="G392" s="7" t="s">
        <v>3467</v>
      </c>
      <c r="H392" s="7" t="s">
        <v>3405</v>
      </c>
      <c r="I392" s="7" t="s">
        <v>3342</v>
      </c>
      <c r="K392" s="7" t="str">
        <f t="shared" si="2"/>
        <v/>
      </c>
      <c r="L392" s="7" t="str">
        <f t="shared" si="3"/>
        <v/>
      </c>
      <c r="M392" s="7">
        <f t="shared" ref="M392:N392" si="399">IF(LEN(M$1),COUNTIF($G392:$I392,M$1),"")</f>
        <v>0</v>
      </c>
      <c r="N392" s="7" t="str">
        <f t="shared" si="399"/>
        <v/>
      </c>
      <c r="O392" s="7" t="str">
        <f t="shared" si="5"/>
        <v/>
      </c>
      <c r="P392" s="7">
        <f t="shared" si="310"/>
        <v>0</v>
      </c>
      <c r="Q392" s="7" t="str">
        <f t="shared" si="7"/>
        <v/>
      </c>
      <c r="T392" s="7"/>
    </row>
    <row r="393" ht="12.75" customHeight="1">
      <c r="A393" s="7">
        <v>392.0</v>
      </c>
      <c r="B393" s="7" t="s">
        <v>652</v>
      </c>
      <c r="C393" s="7" t="s">
        <v>4812</v>
      </c>
      <c r="D393" s="7"/>
      <c r="E393" s="7"/>
      <c r="F393" s="7" t="s">
        <v>4828</v>
      </c>
      <c r="G393" s="7" t="s">
        <v>3333</v>
      </c>
      <c r="H393" s="7" t="s">
        <v>3469</v>
      </c>
      <c r="I393" s="7" t="s">
        <v>3443</v>
      </c>
      <c r="K393" s="7" t="str">
        <f t="shared" si="2"/>
        <v/>
      </c>
      <c r="L393" s="7" t="str">
        <f t="shared" si="3"/>
        <v/>
      </c>
      <c r="M393" s="7">
        <f t="shared" ref="M393:N393" si="400">IF(LEN(M$1),COUNTIF($G393:$I393,M$1),"")</f>
        <v>0</v>
      </c>
      <c r="N393" s="7" t="str">
        <f t="shared" si="400"/>
        <v/>
      </c>
      <c r="O393" s="7" t="str">
        <f t="shared" si="5"/>
        <v/>
      </c>
      <c r="P393" s="7">
        <f t="shared" si="310"/>
        <v>0</v>
      </c>
      <c r="Q393" s="7" t="str">
        <f t="shared" si="7"/>
        <v/>
      </c>
      <c r="T393" s="7"/>
    </row>
    <row r="394" ht="12.75" customHeight="1">
      <c r="A394" s="7">
        <v>393.0</v>
      </c>
      <c r="B394" s="7" t="s">
        <v>895</v>
      </c>
      <c r="C394" s="7" t="s">
        <v>3108</v>
      </c>
      <c r="D394" s="7"/>
      <c r="E394" s="7"/>
      <c r="F394" s="7" t="s">
        <v>4828</v>
      </c>
      <c r="G394" s="7" t="s">
        <v>3460</v>
      </c>
      <c r="H394" s="7" t="s">
        <v>3488</v>
      </c>
      <c r="I394" s="7" t="s">
        <v>3562</v>
      </c>
      <c r="K394" s="7" t="str">
        <f t="shared" si="2"/>
        <v/>
      </c>
      <c r="L394" s="7" t="str">
        <f t="shared" si="3"/>
        <v/>
      </c>
      <c r="M394" s="7">
        <f t="shared" ref="M394:N394" si="401">IF(LEN(M$1),COUNTIF($G394:$I394,M$1),"")</f>
        <v>0</v>
      </c>
      <c r="N394" s="7" t="str">
        <f t="shared" si="401"/>
        <v/>
      </c>
      <c r="O394" s="7" t="str">
        <f t="shared" si="5"/>
        <v/>
      </c>
      <c r="P394" s="7">
        <f t="shared" si="310"/>
        <v>0</v>
      </c>
      <c r="Q394" s="7" t="str">
        <f t="shared" si="7"/>
        <v/>
      </c>
      <c r="T394" s="7"/>
    </row>
    <row r="395" ht="12.75" customHeight="1">
      <c r="A395" s="7">
        <v>394.0</v>
      </c>
      <c r="B395" s="7" t="s">
        <v>939</v>
      </c>
      <c r="C395" s="7" t="s">
        <v>4827</v>
      </c>
      <c r="D395" s="7"/>
      <c r="E395" s="7"/>
      <c r="F395" s="7" t="s">
        <v>4828</v>
      </c>
      <c r="G395" s="7" t="s">
        <v>3567</v>
      </c>
      <c r="H395" s="7" t="s">
        <v>3518</v>
      </c>
      <c r="I395" s="7" t="s">
        <v>3562</v>
      </c>
      <c r="K395" s="7" t="str">
        <f t="shared" si="2"/>
        <v/>
      </c>
      <c r="L395" s="7" t="str">
        <f t="shared" si="3"/>
        <v/>
      </c>
      <c r="M395" s="7">
        <f t="shared" ref="M395:N395" si="402">IF(LEN(M$1),COUNTIF($G395:$I395,M$1),"")</f>
        <v>0</v>
      </c>
      <c r="N395" s="7" t="str">
        <f t="shared" si="402"/>
        <v/>
      </c>
      <c r="O395" s="7" t="str">
        <f t="shared" si="5"/>
        <v/>
      </c>
      <c r="P395" s="7">
        <f t="shared" si="310"/>
        <v>0</v>
      </c>
      <c r="Q395" s="7" t="str">
        <f t="shared" si="7"/>
        <v/>
      </c>
      <c r="T395" s="7"/>
    </row>
    <row r="396" ht="12.75" customHeight="1">
      <c r="A396" s="7">
        <v>395.0</v>
      </c>
      <c r="B396" s="7" t="s">
        <v>1049</v>
      </c>
      <c r="C396" s="7" t="s">
        <v>4831</v>
      </c>
      <c r="D396" s="7"/>
      <c r="E396" s="7"/>
      <c r="F396" s="7" t="s">
        <v>4828</v>
      </c>
      <c r="G396" s="7" t="s">
        <v>3505</v>
      </c>
      <c r="H396" s="7" t="s">
        <v>3572</v>
      </c>
      <c r="I396" s="7" t="s">
        <v>3455</v>
      </c>
      <c r="K396" s="7" t="str">
        <f t="shared" si="2"/>
        <v/>
      </c>
      <c r="L396" s="7" t="str">
        <f t="shared" si="3"/>
        <v/>
      </c>
      <c r="M396" s="7">
        <f t="shared" ref="M396:N396" si="403">IF(LEN(M$1),COUNTIF($G396:$I396,M$1),"")</f>
        <v>0</v>
      </c>
      <c r="N396" s="7" t="str">
        <f t="shared" si="403"/>
        <v/>
      </c>
      <c r="O396" s="7" t="str">
        <f t="shared" si="5"/>
        <v/>
      </c>
      <c r="P396" s="7">
        <f t="shared" si="310"/>
        <v>0</v>
      </c>
      <c r="Q396" s="7" t="str">
        <f t="shared" si="7"/>
        <v/>
      </c>
      <c r="T396" s="7"/>
    </row>
    <row r="397" ht="12.75" customHeight="1">
      <c r="A397" s="7">
        <v>396.0</v>
      </c>
      <c r="B397" s="7" t="s">
        <v>645</v>
      </c>
      <c r="C397" s="7" t="s">
        <v>4809</v>
      </c>
      <c r="D397" s="7"/>
      <c r="E397" s="7"/>
      <c r="F397" s="7" t="s">
        <v>4828</v>
      </c>
      <c r="G397" s="7" t="s">
        <v>3518</v>
      </c>
      <c r="H397" s="7" t="s">
        <v>3375</v>
      </c>
      <c r="I397" s="7" t="s">
        <v>3287</v>
      </c>
      <c r="K397" s="7" t="str">
        <f t="shared" si="2"/>
        <v/>
      </c>
      <c r="L397" s="7" t="str">
        <f t="shared" si="3"/>
        <v/>
      </c>
      <c r="M397" s="7">
        <f t="shared" ref="M397:N397" si="404">IF(LEN(M$1),COUNTIF($G397:$I397,M$1),"")</f>
        <v>0</v>
      </c>
      <c r="N397" s="7" t="str">
        <f t="shared" si="404"/>
        <v/>
      </c>
      <c r="O397" s="7" t="str">
        <f t="shared" si="5"/>
        <v/>
      </c>
      <c r="P397" s="7">
        <f t="shared" si="310"/>
        <v>0</v>
      </c>
      <c r="Q397" s="7" t="str">
        <f t="shared" si="7"/>
        <v/>
      </c>
      <c r="T397" s="7"/>
    </row>
    <row r="398" ht="12.75" customHeight="1">
      <c r="A398" s="7">
        <v>397.0</v>
      </c>
      <c r="B398" s="7" t="s">
        <v>761</v>
      </c>
      <c r="C398" s="7" t="s">
        <v>4820</v>
      </c>
      <c r="D398" s="7"/>
      <c r="E398" s="7"/>
      <c r="F398" s="7" t="s">
        <v>4828</v>
      </c>
      <c r="G398" s="7" t="s">
        <v>3348</v>
      </c>
      <c r="H398" s="7" t="s">
        <v>3449</v>
      </c>
      <c r="I398" s="7" t="s">
        <v>3549</v>
      </c>
      <c r="K398" s="7" t="str">
        <f t="shared" si="2"/>
        <v/>
      </c>
      <c r="L398" s="7" t="str">
        <f t="shared" si="3"/>
        <v/>
      </c>
      <c r="M398" s="7">
        <f t="shared" ref="M398:N398" si="405">IF(LEN(M$1),COUNTIF($G398:$I398,M$1),"")</f>
        <v>0</v>
      </c>
      <c r="N398" s="7" t="str">
        <f t="shared" si="405"/>
        <v/>
      </c>
      <c r="O398" s="7" t="str">
        <f t="shared" si="5"/>
        <v/>
      </c>
      <c r="P398" s="7">
        <f t="shared" si="310"/>
        <v>0</v>
      </c>
      <c r="Q398" s="7" t="str">
        <f t="shared" si="7"/>
        <v/>
      </c>
      <c r="T398" s="7"/>
    </row>
    <row r="399" ht="12.75" customHeight="1">
      <c r="A399" s="7">
        <v>398.0</v>
      </c>
      <c r="B399" s="7" t="s">
        <v>638</v>
      </c>
      <c r="C399" s="7" t="s">
        <v>4809</v>
      </c>
      <c r="D399" s="7"/>
      <c r="E399" s="7"/>
      <c r="F399" s="7" t="s">
        <v>4828</v>
      </c>
      <c r="G399" s="7" t="s">
        <v>3539</v>
      </c>
      <c r="H399" s="7" t="s">
        <v>3572</v>
      </c>
      <c r="I399" s="7" t="s">
        <v>3508</v>
      </c>
      <c r="K399" s="7" t="str">
        <f t="shared" si="2"/>
        <v/>
      </c>
      <c r="L399" s="7" t="str">
        <f t="shared" si="3"/>
        <v/>
      </c>
      <c r="M399" s="7">
        <f t="shared" ref="M399:N399" si="406">IF(LEN(M$1),COUNTIF($G399:$I399,M$1),"")</f>
        <v>0</v>
      </c>
      <c r="N399" s="7" t="str">
        <f t="shared" si="406"/>
        <v/>
      </c>
      <c r="O399" s="7" t="str">
        <f t="shared" si="5"/>
        <v/>
      </c>
      <c r="P399" s="7">
        <f t="shared" si="310"/>
        <v>0</v>
      </c>
      <c r="Q399" s="7" t="str">
        <f t="shared" si="7"/>
        <v/>
      </c>
      <c r="T399" s="7"/>
    </row>
    <row r="400" ht="12.75" customHeight="1">
      <c r="A400" s="7">
        <v>399.0</v>
      </c>
      <c r="B400" s="7" t="s">
        <v>903</v>
      </c>
      <c r="C400" s="7" t="s">
        <v>3108</v>
      </c>
      <c r="D400" s="7"/>
      <c r="E400" s="7"/>
      <c r="F400" s="7" t="s">
        <v>4828</v>
      </c>
      <c r="G400" s="7" t="s">
        <v>3562</v>
      </c>
      <c r="H400" s="7" t="s">
        <v>3576</v>
      </c>
      <c r="I400" s="7" t="s">
        <v>3541</v>
      </c>
      <c r="K400" s="7" t="str">
        <f t="shared" si="2"/>
        <v/>
      </c>
      <c r="L400" s="7" t="str">
        <f t="shared" si="3"/>
        <v/>
      </c>
      <c r="M400" s="7">
        <f t="shared" ref="M400:N400" si="407">IF(LEN(M$1),COUNTIF($G400:$I400,M$1),"")</f>
        <v>0</v>
      </c>
      <c r="N400" s="7" t="str">
        <f t="shared" si="407"/>
        <v/>
      </c>
      <c r="O400" s="7" t="str">
        <f t="shared" si="5"/>
        <v/>
      </c>
      <c r="P400" s="7">
        <f t="shared" si="310"/>
        <v>0</v>
      </c>
      <c r="Q400" s="7" t="str">
        <f t="shared" si="7"/>
        <v/>
      </c>
      <c r="T400" s="7"/>
    </row>
    <row r="401" ht="12.75" customHeight="1">
      <c r="A401" s="7">
        <v>400.0</v>
      </c>
      <c r="B401" s="7" t="s">
        <v>1082</v>
      </c>
      <c r="C401" s="7" t="s">
        <v>4840</v>
      </c>
      <c r="D401" s="7"/>
      <c r="E401" s="7"/>
      <c r="F401" s="7" t="s">
        <v>4828</v>
      </c>
      <c r="G401" s="7" t="s">
        <v>3581</v>
      </c>
      <c r="H401" s="7" t="s">
        <v>3469</v>
      </c>
      <c r="I401" s="7" t="s">
        <v>3579</v>
      </c>
      <c r="K401" s="7" t="str">
        <f t="shared" si="2"/>
        <v/>
      </c>
      <c r="L401" s="7" t="str">
        <f t="shared" si="3"/>
        <v/>
      </c>
      <c r="M401" s="7">
        <f t="shared" ref="M401:N401" si="408">IF(LEN(M$1),COUNTIF($G401:$I401,M$1),"")</f>
        <v>0</v>
      </c>
      <c r="N401" s="7" t="str">
        <f t="shared" si="408"/>
        <v/>
      </c>
      <c r="O401" s="7" t="str">
        <f t="shared" si="5"/>
        <v/>
      </c>
      <c r="P401" s="7">
        <f t="shared" si="310"/>
        <v>0</v>
      </c>
      <c r="Q401" s="7" t="str">
        <f t="shared" si="7"/>
        <v/>
      </c>
      <c r="T401" s="7"/>
    </row>
    <row r="402" ht="12.75" customHeight="1">
      <c r="A402" s="7">
        <v>401.0</v>
      </c>
      <c r="B402" s="7" t="s">
        <v>1182</v>
      </c>
      <c r="C402" s="7" t="s">
        <v>4841</v>
      </c>
      <c r="D402" s="7"/>
      <c r="E402" s="7"/>
      <c r="F402" s="7" t="s">
        <v>4842</v>
      </c>
      <c r="G402" s="7" t="s">
        <v>3716</v>
      </c>
      <c r="H402" s="7" t="s">
        <v>3539</v>
      </c>
      <c r="I402" s="7" t="s">
        <v>3480</v>
      </c>
      <c r="K402" s="7" t="str">
        <f t="shared" si="2"/>
        <v/>
      </c>
      <c r="L402" s="7" t="str">
        <f t="shared" si="3"/>
        <v/>
      </c>
      <c r="M402" s="7">
        <f t="shared" ref="M402:N402" si="409">IF(LEN(M$1),COUNTIF($G402:$I402,M$1),"")</f>
        <v>0</v>
      </c>
      <c r="N402" s="7" t="str">
        <f t="shared" si="409"/>
        <v/>
      </c>
      <c r="O402" s="7" t="str">
        <f t="shared" si="5"/>
        <v/>
      </c>
      <c r="P402" s="7">
        <f t="shared" ref="P402:P501" si="411">IF(LEN(P$1),IF(P$1=5,1,0),"")</f>
        <v>0</v>
      </c>
      <c r="Q402" s="7" t="str">
        <f t="shared" si="7"/>
        <v/>
      </c>
      <c r="T402" s="7"/>
    </row>
    <row r="403" ht="12.75" customHeight="1">
      <c r="A403" s="7">
        <v>402.0</v>
      </c>
      <c r="B403" s="7" t="s">
        <v>1251</v>
      </c>
      <c r="C403" s="7" t="s">
        <v>4843</v>
      </c>
      <c r="D403" s="7"/>
      <c r="E403" s="7"/>
      <c r="F403" s="7" t="s">
        <v>4842</v>
      </c>
      <c r="G403" s="7" t="s">
        <v>3449</v>
      </c>
      <c r="H403" s="7" t="s">
        <v>3620</v>
      </c>
      <c r="I403" s="7" t="s">
        <v>3720</v>
      </c>
      <c r="K403" s="7" t="str">
        <f t="shared" si="2"/>
        <v/>
      </c>
      <c r="L403" s="7" t="str">
        <f t="shared" si="3"/>
        <v/>
      </c>
      <c r="M403" s="7">
        <f t="shared" ref="M403:N403" si="410">IF(LEN(M$1),COUNTIF($G403:$I403,M$1),"")</f>
        <v>0</v>
      </c>
      <c r="N403" s="7" t="str">
        <f t="shared" si="410"/>
        <v/>
      </c>
      <c r="O403" s="7" t="str">
        <f t="shared" si="5"/>
        <v/>
      </c>
      <c r="P403" s="7">
        <f t="shared" si="411"/>
        <v>0</v>
      </c>
      <c r="Q403" s="7" t="str">
        <f t="shared" si="7"/>
        <v/>
      </c>
      <c r="T403" s="7"/>
    </row>
    <row r="404" ht="12.75" customHeight="1">
      <c r="A404" s="7">
        <v>403.0</v>
      </c>
      <c r="B404" s="7" t="s">
        <v>1082</v>
      </c>
      <c r="C404" s="7" t="s">
        <v>4840</v>
      </c>
      <c r="D404" s="7"/>
      <c r="E404" s="7"/>
      <c r="F404" s="7" t="s">
        <v>4842</v>
      </c>
      <c r="G404" s="7" t="s">
        <v>3713</v>
      </c>
      <c r="H404" s="7" t="s">
        <v>3698</v>
      </c>
      <c r="I404" s="7" t="s">
        <v>3647</v>
      </c>
      <c r="K404" s="7" t="str">
        <f t="shared" si="2"/>
        <v/>
      </c>
      <c r="L404" s="7" t="str">
        <f t="shared" si="3"/>
        <v/>
      </c>
      <c r="M404" s="7">
        <f t="shared" ref="M404:N404" si="412">IF(LEN(M$1),COUNTIF($G404:$I404,M$1),"")</f>
        <v>0</v>
      </c>
      <c r="N404" s="7" t="str">
        <f t="shared" si="412"/>
        <v/>
      </c>
      <c r="O404" s="7" t="str">
        <f t="shared" si="5"/>
        <v/>
      </c>
      <c r="P404" s="7">
        <f t="shared" si="411"/>
        <v>0</v>
      </c>
      <c r="Q404" s="7" t="str">
        <f t="shared" si="7"/>
        <v/>
      </c>
      <c r="T404" s="7"/>
    </row>
    <row r="405" ht="12.75" customHeight="1">
      <c r="A405" s="7">
        <v>404.0</v>
      </c>
      <c r="B405" s="7" t="s">
        <v>1261</v>
      </c>
      <c r="C405" s="7" t="s">
        <v>4701</v>
      </c>
      <c r="D405" s="7"/>
      <c r="E405" s="7"/>
      <c r="F405" s="7" t="s">
        <v>4842</v>
      </c>
      <c r="G405" s="7" t="s">
        <v>3631</v>
      </c>
      <c r="H405" s="7" t="s">
        <v>3713</v>
      </c>
      <c r="I405" s="7" t="s">
        <v>3606</v>
      </c>
      <c r="K405" s="7" t="str">
        <f t="shared" si="2"/>
        <v/>
      </c>
      <c r="L405" s="7" t="str">
        <f t="shared" si="3"/>
        <v/>
      </c>
      <c r="M405" s="7">
        <f t="shared" ref="M405:N405" si="413">IF(LEN(M$1),COUNTIF($G405:$I405,M$1),"")</f>
        <v>0</v>
      </c>
      <c r="N405" s="7" t="str">
        <f t="shared" si="413"/>
        <v/>
      </c>
      <c r="O405" s="7" t="str">
        <f t="shared" si="5"/>
        <v/>
      </c>
      <c r="P405" s="7">
        <f t="shared" si="411"/>
        <v>0</v>
      </c>
      <c r="Q405" s="7" t="str">
        <f t="shared" si="7"/>
        <v/>
      </c>
      <c r="T405" s="7"/>
    </row>
    <row r="406" ht="12.75" customHeight="1">
      <c r="A406" s="7">
        <v>405.0</v>
      </c>
      <c r="B406" s="7" t="s">
        <v>1144</v>
      </c>
      <c r="C406" s="7" t="s">
        <v>4837</v>
      </c>
      <c r="D406" s="7"/>
      <c r="E406" s="7"/>
      <c r="F406" s="7" t="s">
        <v>4842</v>
      </c>
      <c r="G406" s="7" t="s">
        <v>3675</v>
      </c>
      <c r="H406" s="7" t="s">
        <v>3713</v>
      </c>
      <c r="I406" s="7" t="s">
        <v>3720</v>
      </c>
      <c r="K406" s="7" t="str">
        <f t="shared" si="2"/>
        <v/>
      </c>
      <c r="L406" s="7" t="str">
        <f t="shared" si="3"/>
        <v/>
      </c>
      <c r="M406" s="7">
        <f t="shared" ref="M406:N406" si="414">IF(LEN(M$1),COUNTIF($G406:$I406,M$1),"")</f>
        <v>0</v>
      </c>
      <c r="N406" s="7" t="str">
        <f t="shared" si="414"/>
        <v/>
      </c>
      <c r="O406" s="7" t="str">
        <f t="shared" si="5"/>
        <v/>
      </c>
      <c r="P406" s="7">
        <f t="shared" si="411"/>
        <v>0</v>
      </c>
      <c r="Q406" s="7" t="str">
        <f t="shared" si="7"/>
        <v/>
      </c>
      <c r="T406" s="7"/>
    </row>
    <row r="407" ht="12.75" customHeight="1">
      <c r="A407" s="7">
        <v>406.0</v>
      </c>
      <c r="B407" s="7" t="s">
        <v>1286</v>
      </c>
      <c r="C407" s="7" t="s">
        <v>4701</v>
      </c>
      <c r="D407" s="7"/>
      <c r="E407" s="7"/>
      <c r="F407" s="7" t="s">
        <v>4842</v>
      </c>
      <c r="G407" s="7" t="s">
        <v>3604</v>
      </c>
      <c r="H407" s="7" t="s">
        <v>3516</v>
      </c>
      <c r="I407" s="7" t="s">
        <v>3579</v>
      </c>
      <c r="K407" s="7" t="str">
        <f t="shared" si="2"/>
        <v/>
      </c>
      <c r="L407" s="7" t="str">
        <f t="shared" si="3"/>
        <v/>
      </c>
      <c r="M407" s="7">
        <f t="shared" ref="M407:N407" si="415">IF(LEN(M$1),COUNTIF($G407:$I407,M$1),"")</f>
        <v>0</v>
      </c>
      <c r="N407" s="7" t="str">
        <f t="shared" si="415"/>
        <v/>
      </c>
      <c r="O407" s="7" t="str">
        <f t="shared" si="5"/>
        <v/>
      </c>
      <c r="P407" s="7">
        <f t="shared" si="411"/>
        <v>0</v>
      </c>
      <c r="Q407" s="7" t="str">
        <f t="shared" si="7"/>
        <v/>
      </c>
      <c r="T407" s="7"/>
    </row>
    <row r="408" ht="12.75" customHeight="1">
      <c r="A408" s="7">
        <v>407.0</v>
      </c>
      <c r="B408" s="7" t="s">
        <v>1190</v>
      </c>
      <c r="C408" s="7" t="s">
        <v>4841</v>
      </c>
      <c r="D408" s="7"/>
      <c r="E408" s="7"/>
      <c r="F408" s="7" t="s">
        <v>4842</v>
      </c>
      <c r="G408" s="7" t="s">
        <v>3572</v>
      </c>
      <c r="H408" s="7" t="s">
        <v>3598</v>
      </c>
      <c r="I408" s="7" t="s">
        <v>3620</v>
      </c>
      <c r="K408" s="7" t="str">
        <f t="shared" si="2"/>
        <v/>
      </c>
      <c r="L408" s="7" t="str">
        <f t="shared" si="3"/>
        <v/>
      </c>
      <c r="M408" s="7">
        <f t="shared" ref="M408:N408" si="416">IF(LEN(M$1),COUNTIF($G408:$I408,M$1),"")</f>
        <v>0</v>
      </c>
      <c r="N408" s="7" t="str">
        <f t="shared" si="416"/>
        <v/>
      </c>
      <c r="O408" s="7" t="str">
        <f t="shared" si="5"/>
        <v/>
      </c>
      <c r="P408" s="7">
        <f t="shared" si="411"/>
        <v>0</v>
      </c>
      <c r="Q408" s="7" t="str">
        <f t="shared" si="7"/>
        <v/>
      </c>
      <c r="T408" s="7"/>
    </row>
    <row r="409" ht="12.75" customHeight="1">
      <c r="A409" s="7">
        <v>408.0</v>
      </c>
      <c r="B409" s="7" t="s">
        <v>1229</v>
      </c>
      <c r="C409" s="7" t="s">
        <v>4844</v>
      </c>
      <c r="D409" s="7"/>
      <c r="E409" s="7"/>
      <c r="F409" s="7" t="s">
        <v>4842</v>
      </c>
      <c r="G409" s="7" t="s">
        <v>3591</v>
      </c>
      <c r="H409" s="7" t="s">
        <v>3633</v>
      </c>
      <c r="I409" s="7" t="s">
        <v>3604</v>
      </c>
      <c r="K409" s="7" t="str">
        <f t="shared" si="2"/>
        <v/>
      </c>
      <c r="L409" s="7" t="str">
        <f t="shared" si="3"/>
        <v/>
      </c>
      <c r="M409" s="7">
        <f t="shared" ref="M409:N409" si="417">IF(LEN(M$1),COUNTIF($G409:$I409,M$1),"")</f>
        <v>0</v>
      </c>
      <c r="N409" s="7" t="str">
        <f t="shared" si="417"/>
        <v/>
      </c>
      <c r="O409" s="7" t="str">
        <f t="shared" si="5"/>
        <v/>
      </c>
      <c r="P409" s="7">
        <f t="shared" si="411"/>
        <v>0</v>
      </c>
      <c r="Q409" s="7" t="str">
        <f t="shared" si="7"/>
        <v/>
      </c>
      <c r="T409" s="7"/>
    </row>
    <row r="410" ht="12.75" customHeight="1">
      <c r="A410" s="7">
        <v>409.0</v>
      </c>
      <c r="B410" s="7" t="s">
        <v>954</v>
      </c>
      <c r="C410" s="7" t="s">
        <v>4827</v>
      </c>
      <c r="D410" s="7"/>
      <c r="E410" s="7"/>
      <c r="F410" s="7" t="s">
        <v>4842</v>
      </c>
      <c r="G410" s="7" t="s">
        <v>3585</v>
      </c>
      <c r="H410" s="7" t="s">
        <v>3705</v>
      </c>
      <c r="I410" s="7" t="s">
        <v>3631</v>
      </c>
      <c r="K410" s="7" t="str">
        <f t="shared" si="2"/>
        <v/>
      </c>
      <c r="L410" s="7" t="str">
        <f t="shared" si="3"/>
        <v/>
      </c>
      <c r="M410" s="7">
        <f t="shared" ref="M410:N410" si="418">IF(LEN(M$1),COUNTIF($G410:$I410,M$1),"")</f>
        <v>0</v>
      </c>
      <c r="N410" s="7" t="str">
        <f t="shared" si="418"/>
        <v/>
      </c>
      <c r="O410" s="7" t="str">
        <f t="shared" si="5"/>
        <v/>
      </c>
      <c r="P410" s="7">
        <f t="shared" si="411"/>
        <v>0</v>
      </c>
      <c r="Q410" s="7" t="str">
        <f t="shared" si="7"/>
        <v/>
      </c>
      <c r="T410" s="7"/>
    </row>
    <row r="411" ht="12.75" customHeight="1">
      <c r="A411" s="7">
        <v>410.0</v>
      </c>
      <c r="B411" s="7" t="s">
        <v>1265</v>
      </c>
      <c r="C411" s="7" t="s">
        <v>4837</v>
      </c>
      <c r="D411" s="7"/>
      <c r="E411" s="7"/>
      <c r="F411" s="7" t="s">
        <v>4842</v>
      </c>
      <c r="G411" s="7" t="s">
        <v>3591</v>
      </c>
      <c r="H411" s="7" t="s">
        <v>3683</v>
      </c>
      <c r="I411" s="7" t="s">
        <v>3615</v>
      </c>
      <c r="K411" s="7" t="str">
        <f t="shared" si="2"/>
        <v/>
      </c>
      <c r="L411" s="7" t="str">
        <f t="shared" si="3"/>
        <v/>
      </c>
      <c r="M411" s="7">
        <f t="shared" ref="M411:N411" si="419">IF(LEN(M$1),COUNTIF($G411:$I411,M$1),"")</f>
        <v>0</v>
      </c>
      <c r="N411" s="7" t="str">
        <f t="shared" si="419"/>
        <v/>
      </c>
      <c r="O411" s="7" t="str">
        <f t="shared" si="5"/>
        <v/>
      </c>
      <c r="P411" s="7">
        <f t="shared" si="411"/>
        <v>0</v>
      </c>
      <c r="Q411" s="7" t="str">
        <f t="shared" si="7"/>
        <v/>
      </c>
      <c r="T411" s="7"/>
    </row>
    <row r="412" ht="12.75" customHeight="1">
      <c r="A412" s="7">
        <v>411.0</v>
      </c>
      <c r="B412" s="7" t="s">
        <v>1236</v>
      </c>
      <c r="C412" s="7" t="s">
        <v>4844</v>
      </c>
      <c r="D412" s="7"/>
      <c r="E412" s="7"/>
      <c r="F412" s="7" t="s">
        <v>4842</v>
      </c>
      <c r="G412" s="7" t="s">
        <v>3595</v>
      </c>
      <c r="H412" s="7" t="s">
        <v>3570</v>
      </c>
      <c r="I412" s="7" t="s">
        <v>3488</v>
      </c>
      <c r="K412" s="7" t="str">
        <f t="shared" si="2"/>
        <v/>
      </c>
      <c r="L412" s="7" t="str">
        <f t="shared" si="3"/>
        <v/>
      </c>
      <c r="M412" s="7">
        <f t="shared" ref="M412:N412" si="420">IF(LEN(M$1),COUNTIF($G412:$I412,M$1),"")</f>
        <v>0</v>
      </c>
      <c r="N412" s="7" t="str">
        <f t="shared" si="420"/>
        <v/>
      </c>
      <c r="O412" s="7" t="str">
        <f t="shared" si="5"/>
        <v/>
      </c>
      <c r="P412" s="7">
        <f t="shared" si="411"/>
        <v>0</v>
      </c>
      <c r="Q412" s="7" t="str">
        <f t="shared" si="7"/>
        <v/>
      </c>
      <c r="T412" s="7"/>
    </row>
    <row r="413" ht="12.75" customHeight="1">
      <c r="A413" s="7">
        <v>412.0</v>
      </c>
      <c r="B413" s="7" t="s">
        <v>977</v>
      </c>
      <c r="C413" s="7" t="s">
        <v>4711</v>
      </c>
      <c r="D413" s="7"/>
      <c r="E413" s="7"/>
      <c r="F413" s="7" t="s">
        <v>4842</v>
      </c>
      <c r="G413" s="7" t="s">
        <v>3469</v>
      </c>
      <c r="H413" s="7" t="s">
        <v>3716</v>
      </c>
      <c r="I413" s="7" t="s">
        <v>3690</v>
      </c>
      <c r="K413" s="7" t="str">
        <f t="shared" si="2"/>
        <v/>
      </c>
      <c r="L413" s="7" t="str">
        <f t="shared" si="3"/>
        <v/>
      </c>
      <c r="M413" s="7">
        <f t="shared" ref="M413:N413" si="421">IF(LEN(M$1),COUNTIF($G413:$I413,M$1),"")</f>
        <v>0</v>
      </c>
      <c r="N413" s="7" t="str">
        <f t="shared" si="421"/>
        <v/>
      </c>
      <c r="O413" s="7" t="str">
        <f t="shared" si="5"/>
        <v/>
      </c>
      <c r="P413" s="7">
        <f t="shared" si="411"/>
        <v>0</v>
      </c>
      <c r="Q413" s="7" t="str">
        <f t="shared" si="7"/>
        <v/>
      </c>
      <c r="T413" s="7"/>
    </row>
    <row r="414" ht="12.75" customHeight="1">
      <c r="A414" s="7">
        <v>413.0</v>
      </c>
      <c r="B414" s="7" t="s">
        <v>977</v>
      </c>
      <c r="C414" s="7" t="s">
        <v>4711</v>
      </c>
      <c r="D414" s="7"/>
      <c r="E414" s="7"/>
      <c r="F414" s="7" t="s">
        <v>4842</v>
      </c>
      <c r="G414" s="7" t="s">
        <v>3658</v>
      </c>
      <c r="H414" s="7" t="s">
        <v>3708</v>
      </c>
      <c r="I414" s="7" t="s">
        <v>3701</v>
      </c>
      <c r="K414" s="7" t="str">
        <f t="shared" si="2"/>
        <v/>
      </c>
      <c r="L414" s="7" t="str">
        <f t="shared" si="3"/>
        <v/>
      </c>
      <c r="M414" s="7">
        <f t="shared" ref="M414:N414" si="422">IF(LEN(M$1),COUNTIF($G414:$I414,M$1),"")</f>
        <v>0</v>
      </c>
      <c r="N414" s="7" t="str">
        <f t="shared" si="422"/>
        <v/>
      </c>
      <c r="O414" s="7" t="str">
        <f t="shared" si="5"/>
        <v/>
      </c>
      <c r="P414" s="7">
        <f t="shared" si="411"/>
        <v>0</v>
      </c>
      <c r="Q414" s="7" t="str">
        <f t="shared" si="7"/>
        <v/>
      </c>
      <c r="T414" s="7"/>
    </row>
    <row r="415" ht="12.75" customHeight="1">
      <c r="A415" s="7">
        <v>414.0</v>
      </c>
      <c r="B415" s="7" t="s">
        <v>903</v>
      </c>
      <c r="C415" s="7" t="s">
        <v>3108</v>
      </c>
      <c r="D415" s="7"/>
      <c r="E415" s="7"/>
      <c r="F415" s="7" t="s">
        <v>4842</v>
      </c>
      <c r="G415" s="7" t="s">
        <v>3698</v>
      </c>
      <c r="H415" s="7" t="s">
        <v>3647</v>
      </c>
      <c r="I415" s="7" t="s">
        <v>3615</v>
      </c>
      <c r="K415" s="7" t="str">
        <f t="shared" si="2"/>
        <v/>
      </c>
      <c r="L415" s="7" t="str">
        <f t="shared" si="3"/>
        <v/>
      </c>
      <c r="M415" s="7">
        <f t="shared" ref="M415:N415" si="423">IF(LEN(M$1),COUNTIF($G415:$I415,M$1),"")</f>
        <v>0</v>
      </c>
      <c r="N415" s="7" t="str">
        <f t="shared" si="423"/>
        <v/>
      </c>
      <c r="O415" s="7" t="str">
        <f t="shared" si="5"/>
        <v/>
      </c>
      <c r="P415" s="7">
        <f t="shared" si="411"/>
        <v>0</v>
      </c>
      <c r="Q415" s="7" t="str">
        <f t="shared" si="7"/>
        <v/>
      </c>
      <c r="T415" s="7"/>
    </row>
    <row r="416" ht="12.75" customHeight="1">
      <c r="A416" s="7">
        <v>415.0</v>
      </c>
      <c r="B416" s="7" t="s">
        <v>1385</v>
      </c>
      <c r="C416" s="7" t="s">
        <v>4784</v>
      </c>
      <c r="D416" s="7"/>
      <c r="E416" s="7"/>
      <c r="F416" s="7" t="s">
        <v>4842</v>
      </c>
      <c r="G416" s="7" t="s">
        <v>3665</v>
      </c>
      <c r="H416" s="7" t="s">
        <v>3647</v>
      </c>
      <c r="I416" s="7" t="s">
        <v>3604</v>
      </c>
      <c r="K416" s="7" t="str">
        <f t="shared" si="2"/>
        <v/>
      </c>
      <c r="L416" s="7" t="str">
        <f t="shared" si="3"/>
        <v/>
      </c>
      <c r="M416" s="7">
        <f t="shared" ref="M416:N416" si="424">IF(LEN(M$1),COUNTIF($G416:$I416,M$1),"")</f>
        <v>0</v>
      </c>
      <c r="N416" s="7" t="str">
        <f t="shared" si="424"/>
        <v/>
      </c>
      <c r="O416" s="7" t="str">
        <f t="shared" si="5"/>
        <v/>
      </c>
      <c r="P416" s="7">
        <f t="shared" si="411"/>
        <v>0</v>
      </c>
      <c r="Q416" s="7" t="str">
        <f t="shared" si="7"/>
        <v/>
      </c>
      <c r="T416" s="7"/>
    </row>
    <row r="417" ht="12.75" customHeight="1">
      <c r="A417" s="7">
        <v>416.0</v>
      </c>
      <c r="B417" s="7" t="s">
        <v>1277</v>
      </c>
      <c r="C417" s="7" t="s">
        <v>4845</v>
      </c>
      <c r="D417" s="7"/>
      <c r="E417" s="7"/>
      <c r="F417" s="7" t="s">
        <v>4842</v>
      </c>
      <c r="G417" s="7" t="s">
        <v>3637</v>
      </c>
      <c r="H417" s="7" t="s">
        <v>3508</v>
      </c>
      <c r="I417" s="7" t="s">
        <v>3581</v>
      </c>
      <c r="K417" s="7" t="str">
        <f t="shared" si="2"/>
        <v/>
      </c>
      <c r="L417" s="7" t="str">
        <f t="shared" si="3"/>
        <v/>
      </c>
      <c r="M417" s="7">
        <f t="shared" ref="M417:N417" si="425">IF(LEN(M$1),COUNTIF($G417:$I417,M$1),"")</f>
        <v>0</v>
      </c>
      <c r="N417" s="7" t="str">
        <f t="shared" si="425"/>
        <v/>
      </c>
      <c r="O417" s="7" t="str">
        <f t="shared" si="5"/>
        <v/>
      </c>
      <c r="P417" s="7">
        <f t="shared" si="411"/>
        <v>0</v>
      </c>
      <c r="Q417" s="7" t="str">
        <f t="shared" si="7"/>
        <v/>
      </c>
      <c r="T417" s="7"/>
    </row>
    <row r="418" ht="12.75" customHeight="1">
      <c r="A418" s="7">
        <v>417.0</v>
      </c>
      <c r="B418" s="7" t="s">
        <v>895</v>
      </c>
      <c r="C418" s="7" t="s">
        <v>3108</v>
      </c>
      <c r="D418" s="7"/>
      <c r="E418" s="7"/>
      <c r="F418" s="7" t="s">
        <v>4842</v>
      </c>
      <c r="G418" s="7" t="s">
        <v>3491</v>
      </c>
      <c r="H418" s="7" t="s">
        <v>3601</v>
      </c>
      <c r="I418" s="7" t="s">
        <v>3585</v>
      </c>
      <c r="K418" s="7" t="str">
        <f t="shared" si="2"/>
        <v/>
      </c>
      <c r="L418" s="7" t="str">
        <f t="shared" si="3"/>
        <v/>
      </c>
      <c r="M418" s="7">
        <f t="shared" ref="M418:N418" si="426">IF(LEN(M$1),COUNTIF($G418:$I418,M$1),"")</f>
        <v>0</v>
      </c>
      <c r="N418" s="7" t="str">
        <f t="shared" si="426"/>
        <v/>
      </c>
      <c r="O418" s="7" t="str">
        <f t="shared" si="5"/>
        <v/>
      </c>
      <c r="P418" s="7">
        <f t="shared" si="411"/>
        <v>0</v>
      </c>
      <c r="Q418" s="7" t="str">
        <f t="shared" si="7"/>
        <v/>
      </c>
      <c r="T418" s="7"/>
    </row>
    <row r="419" ht="12.75" customHeight="1">
      <c r="A419" s="7">
        <v>418.0</v>
      </c>
      <c r="B419" s="7" t="s">
        <v>1251</v>
      </c>
      <c r="C419" s="7" t="s">
        <v>4843</v>
      </c>
      <c r="D419" s="7"/>
      <c r="E419" s="7"/>
      <c r="F419" s="7" t="s">
        <v>4842</v>
      </c>
      <c r="G419" s="7" t="s">
        <v>3673</v>
      </c>
      <c r="H419" s="7" t="s">
        <v>3604</v>
      </c>
      <c r="I419" s="7" t="s">
        <v>3703</v>
      </c>
      <c r="K419" s="7" t="str">
        <f t="shared" si="2"/>
        <v/>
      </c>
      <c r="L419" s="7" t="str">
        <f t="shared" si="3"/>
        <v/>
      </c>
      <c r="M419" s="7">
        <f t="shared" ref="M419:N419" si="427">IF(LEN(M$1),COUNTIF($G419:$I419,M$1),"")</f>
        <v>0</v>
      </c>
      <c r="N419" s="7" t="str">
        <f t="shared" si="427"/>
        <v/>
      </c>
      <c r="O419" s="7" t="str">
        <f t="shared" si="5"/>
        <v/>
      </c>
      <c r="P419" s="7">
        <f t="shared" si="411"/>
        <v>0</v>
      </c>
      <c r="Q419" s="7" t="str">
        <f t="shared" si="7"/>
        <v/>
      </c>
      <c r="T419" s="7"/>
    </row>
    <row r="420" ht="12.75" customHeight="1">
      <c r="A420" s="7">
        <v>419.0</v>
      </c>
      <c r="B420" s="7" t="s">
        <v>1091</v>
      </c>
      <c r="C420" s="7" t="s">
        <v>4834</v>
      </c>
      <c r="D420" s="7"/>
      <c r="E420" s="7"/>
      <c r="F420" s="7" t="s">
        <v>4842</v>
      </c>
      <c r="G420" s="7" t="s">
        <v>3688</v>
      </c>
      <c r="H420" s="7" t="s">
        <v>3679</v>
      </c>
      <c r="I420" s="7" t="s">
        <v>3654</v>
      </c>
      <c r="K420" s="7" t="str">
        <f t="shared" si="2"/>
        <v/>
      </c>
      <c r="L420" s="7" t="str">
        <f t="shared" si="3"/>
        <v/>
      </c>
      <c r="M420" s="7">
        <f t="shared" ref="M420:N420" si="428">IF(LEN(M$1),COUNTIF($G420:$I420,M$1),"")</f>
        <v>0</v>
      </c>
      <c r="N420" s="7" t="str">
        <f t="shared" si="428"/>
        <v/>
      </c>
      <c r="O420" s="7" t="str">
        <f t="shared" si="5"/>
        <v/>
      </c>
      <c r="P420" s="7">
        <f t="shared" si="411"/>
        <v>0</v>
      </c>
      <c r="Q420" s="7" t="str">
        <f t="shared" si="7"/>
        <v/>
      </c>
      <c r="T420" s="7"/>
    </row>
    <row r="421" ht="12.75" customHeight="1">
      <c r="A421" s="7">
        <v>420.0</v>
      </c>
      <c r="B421" s="7" t="s">
        <v>1123</v>
      </c>
      <c r="C421" s="7" t="s">
        <v>4832</v>
      </c>
      <c r="D421" s="7"/>
      <c r="E421" s="7"/>
      <c r="F421" s="7" t="s">
        <v>4842</v>
      </c>
      <c r="G421" s="7" t="s">
        <v>3683</v>
      </c>
      <c r="H421" s="7" t="s">
        <v>3598</v>
      </c>
      <c r="I421" s="7" t="s">
        <v>3681</v>
      </c>
      <c r="K421" s="7" t="str">
        <f t="shared" si="2"/>
        <v/>
      </c>
      <c r="L421" s="7" t="str">
        <f t="shared" si="3"/>
        <v/>
      </c>
      <c r="M421" s="7">
        <f t="shared" ref="M421:N421" si="429">IF(LEN(M$1),COUNTIF($G421:$I421,M$1),"")</f>
        <v>0</v>
      </c>
      <c r="N421" s="7" t="str">
        <f t="shared" si="429"/>
        <v/>
      </c>
      <c r="O421" s="7" t="str">
        <f t="shared" si="5"/>
        <v/>
      </c>
      <c r="P421" s="7">
        <f t="shared" si="411"/>
        <v>0</v>
      </c>
      <c r="Q421" s="7" t="str">
        <f t="shared" si="7"/>
        <v/>
      </c>
      <c r="T421" s="7"/>
    </row>
    <row r="422" ht="12.75" customHeight="1">
      <c r="A422" s="7">
        <v>421.0</v>
      </c>
      <c r="B422" s="7" t="s">
        <v>1323</v>
      </c>
      <c r="C422" s="7" t="s">
        <v>4717</v>
      </c>
      <c r="D422" s="7"/>
      <c r="E422" s="7"/>
      <c r="F422" s="7" t="s">
        <v>4842</v>
      </c>
      <c r="G422" s="7" t="s">
        <v>3618</v>
      </c>
      <c r="H422" s="7" t="s">
        <v>3494</v>
      </c>
      <c r="I422" s="7" t="s">
        <v>3513</v>
      </c>
      <c r="K422" s="7" t="str">
        <f t="shared" si="2"/>
        <v/>
      </c>
      <c r="L422" s="7" t="str">
        <f t="shared" si="3"/>
        <v/>
      </c>
      <c r="M422" s="7">
        <f t="shared" ref="M422:N422" si="430">IF(LEN(M$1),COUNTIF($G422:$I422,M$1),"")</f>
        <v>0</v>
      </c>
      <c r="N422" s="7" t="str">
        <f t="shared" si="430"/>
        <v/>
      </c>
      <c r="O422" s="7" t="str">
        <f t="shared" si="5"/>
        <v/>
      </c>
      <c r="P422" s="7">
        <f t="shared" si="411"/>
        <v>0</v>
      </c>
      <c r="Q422" s="7" t="str">
        <f t="shared" si="7"/>
        <v/>
      </c>
      <c r="T422" s="7"/>
    </row>
    <row r="423" ht="12.75" customHeight="1">
      <c r="A423" s="7">
        <v>422.0</v>
      </c>
      <c r="B423" s="7" t="s">
        <v>1330</v>
      </c>
      <c r="C423" s="7" t="s">
        <v>4724</v>
      </c>
      <c r="D423" s="7"/>
      <c r="E423" s="7"/>
      <c r="F423" s="7" t="s">
        <v>4842</v>
      </c>
      <c r="G423" s="7" t="s">
        <v>3502</v>
      </c>
      <c r="H423" s="7" t="s">
        <v>3671</v>
      </c>
      <c r="I423" s="7" t="s">
        <v>3660</v>
      </c>
      <c r="K423" s="7" t="str">
        <f t="shared" si="2"/>
        <v/>
      </c>
      <c r="L423" s="7" t="str">
        <f t="shared" si="3"/>
        <v/>
      </c>
      <c r="M423" s="7">
        <f t="shared" ref="M423:N423" si="431">IF(LEN(M$1),COUNTIF($G423:$I423,M$1),"")</f>
        <v>0</v>
      </c>
      <c r="N423" s="7" t="str">
        <f t="shared" si="431"/>
        <v/>
      </c>
      <c r="O423" s="7" t="str">
        <f t="shared" si="5"/>
        <v/>
      </c>
      <c r="P423" s="7">
        <f t="shared" si="411"/>
        <v>0</v>
      </c>
      <c r="Q423" s="7" t="str">
        <f t="shared" si="7"/>
        <v/>
      </c>
    </row>
    <row r="424" ht="12.75" customHeight="1">
      <c r="A424" s="7">
        <v>423.0</v>
      </c>
      <c r="B424" s="7" t="s">
        <v>1261</v>
      </c>
      <c r="C424" s="7" t="s">
        <v>4701</v>
      </c>
      <c r="D424" s="7"/>
      <c r="E424" s="7"/>
      <c r="F424" s="7" t="s">
        <v>4842</v>
      </c>
      <c r="G424" s="7" t="s">
        <v>3631</v>
      </c>
      <c r="H424" s="7" t="s">
        <v>3649</v>
      </c>
      <c r="I424" s="7" t="s">
        <v>3601</v>
      </c>
      <c r="K424" s="7" t="str">
        <f t="shared" si="2"/>
        <v/>
      </c>
      <c r="L424" s="7" t="str">
        <f t="shared" si="3"/>
        <v/>
      </c>
      <c r="M424" s="7">
        <f t="shared" ref="M424:N424" si="432">IF(LEN(M$1),COUNTIF($G424:$I424,M$1),"")</f>
        <v>0</v>
      </c>
      <c r="N424" s="7" t="str">
        <f t="shared" si="432"/>
        <v/>
      </c>
      <c r="O424" s="7" t="str">
        <f t="shared" si="5"/>
        <v/>
      </c>
      <c r="P424" s="7">
        <f t="shared" si="411"/>
        <v>0</v>
      </c>
      <c r="Q424" s="7" t="str">
        <f t="shared" si="7"/>
        <v/>
      </c>
    </row>
    <row r="425" ht="12.75" customHeight="1">
      <c r="A425" s="7">
        <v>424.0</v>
      </c>
      <c r="B425" s="7" t="s">
        <v>1286</v>
      </c>
      <c r="C425" s="7" t="s">
        <v>4701</v>
      </c>
      <c r="D425" s="7"/>
      <c r="E425" s="7"/>
      <c r="F425" s="7" t="s">
        <v>4842</v>
      </c>
      <c r="G425" s="7" t="s">
        <v>3588</v>
      </c>
      <c r="H425" s="7" t="s">
        <v>3708</v>
      </c>
      <c r="I425" s="7" t="s">
        <v>3649</v>
      </c>
      <c r="K425" s="7" t="str">
        <f t="shared" si="2"/>
        <v/>
      </c>
      <c r="L425" s="7" t="str">
        <f t="shared" si="3"/>
        <v/>
      </c>
      <c r="M425" s="7">
        <f t="shared" ref="M425:N425" si="433">IF(LEN(M$1),COUNTIF($G425:$I425,M$1),"")</f>
        <v>0</v>
      </c>
      <c r="N425" s="7" t="str">
        <f t="shared" si="433"/>
        <v/>
      </c>
      <c r="O425" s="7" t="str">
        <f t="shared" si="5"/>
        <v/>
      </c>
      <c r="P425" s="7">
        <f t="shared" si="411"/>
        <v>0</v>
      </c>
      <c r="Q425" s="7" t="str">
        <f t="shared" si="7"/>
        <v/>
      </c>
    </row>
    <row r="426" ht="12.75" customHeight="1">
      <c r="A426" s="7">
        <v>425.0</v>
      </c>
      <c r="B426" s="7" t="s">
        <v>1257</v>
      </c>
      <c r="C426" s="7" t="s">
        <v>4837</v>
      </c>
      <c r="D426" s="7"/>
      <c r="E426" s="7"/>
      <c r="F426" s="7" t="s">
        <v>4842</v>
      </c>
      <c r="G426" s="7" t="s">
        <v>3647</v>
      </c>
      <c r="H426" s="7" t="s">
        <v>3693</v>
      </c>
      <c r="I426" s="7" t="s">
        <v>3618</v>
      </c>
      <c r="K426" s="7" t="str">
        <f t="shared" si="2"/>
        <v/>
      </c>
      <c r="L426" s="7" t="str">
        <f t="shared" si="3"/>
        <v/>
      </c>
      <c r="M426" s="7">
        <f t="shared" ref="M426:N426" si="434">IF(LEN(M$1),COUNTIF($G426:$I426,M$1),"")</f>
        <v>0</v>
      </c>
      <c r="N426" s="7" t="str">
        <f t="shared" si="434"/>
        <v/>
      </c>
      <c r="O426" s="7" t="str">
        <f t="shared" si="5"/>
        <v/>
      </c>
      <c r="P426" s="7">
        <f t="shared" si="411"/>
        <v>0</v>
      </c>
      <c r="Q426" s="7" t="str">
        <f t="shared" si="7"/>
        <v/>
      </c>
      <c r="T426" s="7"/>
    </row>
    <row r="427" ht="12.75" customHeight="1">
      <c r="A427" s="7">
        <v>426.0</v>
      </c>
      <c r="B427" s="7" t="s">
        <v>1339</v>
      </c>
      <c r="C427" s="7" t="s">
        <v>4724</v>
      </c>
      <c r="D427" s="7"/>
      <c r="E427" s="7"/>
      <c r="F427" s="7" t="s">
        <v>4842</v>
      </c>
      <c r="G427" s="7" t="s">
        <v>3643</v>
      </c>
      <c r="H427" s="7" t="s">
        <v>3559</v>
      </c>
      <c r="I427" s="7" t="s">
        <v>3530</v>
      </c>
      <c r="K427" s="7" t="str">
        <f t="shared" si="2"/>
        <v/>
      </c>
      <c r="L427" s="7" t="str">
        <f t="shared" si="3"/>
        <v/>
      </c>
      <c r="M427" s="7">
        <f t="shared" ref="M427:N427" si="435">IF(LEN(M$1),COUNTIF($G427:$I427,M$1),"")</f>
        <v>0</v>
      </c>
      <c r="N427" s="7" t="str">
        <f t="shared" si="435"/>
        <v/>
      </c>
      <c r="O427" s="7" t="str">
        <f t="shared" si="5"/>
        <v/>
      </c>
      <c r="P427" s="7">
        <f t="shared" si="411"/>
        <v>0</v>
      </c>
      <c r="Q427" s="7" t="str">
        <f t="shared" si="7"/>
        <v/>
      </c>
      <c r="T427" s="7"/>
    </row>
    <row r="428" ht="12.75" customHeight="1">
      <c r="A428" s="7">
        <v>427.0</v>
      </c>
      <c r="B428" s="85" t="s">
        <v>1308</v>
      </c>
      <c r="C428" s="7" t="s">
        <v>4711</v>
      </c>
      <c r="D428" s="7"/>
      <c r="E428" s="7"/>
      <c r="F428" s="7" t="s">
        <v>4842</v>
      </c>
      <c r="G428" s="7" t="s">
        <v>3518</v>
      </c>
      <c r="H428" s="7" t="s">
        <v>3677</v>
      </c>
      <c r="I428" s="7" t="s">
        <v>3649</v>
      </c>
      <c r="K428" s="7" t="str">
        <f t="shared" si="2"/>
        <v/>
      </c>
      <c r="L428" s="7" t="str">
        <f t="shared" si="3"/>
        <v/>
      </c>
      <c r="M428" s="7">
        <f t="shared" ref="M428:N428" si="436">IF(LEN(M$1),COUNTIF($G428:$I428,M$1),"")</f>
        <v>0</v>
      </c>
      <c r="N428" s="7" t="str">
        <f t="shared" si="436"/>
        <v/>
      </c>
      <c r="O428" s="7" t="str">
        <f t="shared" si="5"/>
        <v/>
      </c>
      <c r="P428" s="7">
        <f t="shared" si="411"/>
        <v>0</v>
      </c>
      <c r="Q428" s="7" t="str">
        <f t="shared" si="7"/>
        <v/>
      </c>
      <c r="T428" s="7"/>
    </row>
    <row r="429" ht="12.75" customHeight="1">
      <c r="A429" s="7">
        <v>428.0</v>
      </c>
      <c r="B429" s="7" t="s">
        <v>946</v>
      </c>
      <c r="C429" s="7" t="s">
        <v>4827</v>
      </c>
      <c r="D429" s="7"/>
      <c r="E429" s="7"/>
      <c r="F429" s="7" t="s">
        <v>4842</v>
      </c>
      <c r="G429" s="7" t="s">
        <v>3612</v>
      </c>
      <c r="H429" s="7" t="s">
        <v>3627</v>
      </c>
      <c r="I429" s="7" t="s">
        <v>3606</v>
      </c>
      <c r="K429" s="7" t="str">
        <f t="shared" si="2"/>
        <v/>
      </c>
      <c r="L429" s="7" t="str">
        <f t="shared" si="3"/>
        <v/>
      </c>
      <c r="M429" s="7">
        <f t="shared" ref="M429:N429" si="437">IF(LEN(M$1),COUNTIF($G429:$I429,M$1),"")</f>
        <v>0</v>
      </c>
      <c r="N429" s="7" t="str">
        <f t="shared" si="437"/>
        <v/>
      </c>
      <c r="O429" s="7" t="str">
        <f t="shared" si="5"/>
        <v/>
      </c>
      <c r="P429" s="7">
        <f t="shared" si="411"/>
        <v>0</v>
      </c>
      <c r="Q429" s="7" t="str">
        <f t="shared" si="7"/>
        <v/>
      </c>
      <c r="T429" s="7"/>
    </row>
    <row r="430" ht="12.75" customHeight="1">
      <c r="A430" s="7">
        <v>429.0</v>
      </c>
      <c r="B430" s="7" t="s">
        <v>975</v>
      </c>
      <c r="C430" s="7" t="s">
        <v>4838</v>
      </c>
      <c r="D430" s="7"/>
      <c r="E430" s="7"/>
      <c r="F430" s="7" t="s">
        <v>4842</v>
      </c>
      <c r="G430" s="7" t="s">
        <v>3681</v>
      </c>
      <c r="H430" s="7" t="s">
        <v>3609</v>
      </c>
      <c r="I430" s="7" t="s">
        <v>3690</v>
      </c>
      <c r="K430" s="7" t="str">
        <f t="shared" si="2"/>
        <v/>
      </c>
      <c r="L430" s="7" t="str">
        <f t="shared" si="3"/>
        <v/>
      </c>
      <c r="M430" s="7">
        <f t="shared" ref="M430:N430" si="438">IF(LEN(M$1),COUNTIF($G430:$I430,M$1),"")</f>
        <v>0</v>
      </c>
      <c r="N430" s="7" t="str">
        <f t="shared" si="438"/>
        <v/>
      </c>
      <c r="O430" s="7" t="str">
        <f t="shared" si="5"/>
        <v/>
      </c>
      <c r="P430" s="7">
        <f t="shared" si="411"/>
        <v>0</v>
      </c>
      <c r="Q430" s="7" t="str">
        <f t="shared" si="7"/>
        <v/>
      </c>
      <c r="T430" s="7"/>
    </row>
    <row r="431" ht="12.75" customHeight="1">
      <c r="A431" s="7">
        <v>430.0</v>
      </c>
      <c r="B431" s="7" t="s">
        <v>379</v>
      </c>
      <c r="C431" s="7" t="s">
        <v>4845</v>
      </c>
      <c r="D431" s="7"/>
      <c r="E431" s="7"/>
      <c r="F431" s="7" t="s">
        <v>4842</v>
      </c>
      <c r="G431" s="7" t="s">
        <v>3643</v>
      </c>
      <c r="H431" s="7" t="s">
        <v>3633</v>
      </c>
      <c r="I431" s="7" t="s">
        <v>3656</v>
      </c>
      <c r="K431" s="7" t="str">
        <f t="shared" si="2"/>
        <v/>
      </c>
      <c r="L431" s="7" t="str">
        <f t="shared" si="3"/>
        <v/>
      </c>
      <c r="M431" s="7">
        <f t="shared" ref="M431:N431" si="439">IF(LEN(M$1),COUNTIF($G431:$I431,M$1),"")</f>
        <v>0</v>
      </c>
      <c r="N431" s="7" t="str">
        <f t="shared" si="439"/>
        <v/>
      </c>
      <c r="O431" s="7" t="str">
        <f t="shared" si="5"/>
        <v/>
      </c>
      <c r="P431" s="7">
        <f t="shared" si="411"/>
        <v>0</v>
      </c>
      <c r="Q431" s="7" t="str">
        <f t="shared" si="7"/>
        <v/>
      </c>
      <c r="T431" s="7"/>
    </row>
    <row r="432" ht="12.75" customHeight="1">
      <c r="A432" s="7">
        <v>431.0</v>
      </c>
      <c r="B432" s="7" t="s">
        <v>1029</v>
      </c>
      <c r="C432" s="7" t="s">
        <v>4832</v>
      </c>
      <c r="D432" s="7"/>
      <c r="E432" s="7"/>
      <c r="F432" s="7" t="s">
        <v>4842</v>
      </c>
      <c r="G432" s="7" t="s">
        <v>3658</v>
      </c>
      <c r="H432" s="7" t="s">
        <v>3469</v>
      </c>
      <c r="I432" s="7" t="s">
        <v>3518</v>
      </c>
      <c r="K432" s="7" t="str">
        <f t="shared" si="2"/>
        <v/>
      </c>
      <c r="L432" s="7" t="str">
        <f t="shared" si="3"/>
        <v/>
      </c>
      <c r="M432" s="7">
        <f t="shared" ref="M432:N432" si="440">IF(LEN(M$1),COUNTIF($G432:$I432,M$1),"")</f>
        <v>0</v>
      </c>
      <c r="N432" s="7" t="str">
        <f t="shared" si="440"/>
        <v/>
      </c>
      <c r="O432" s="7" t="str">
        <f t="shared" si="5"/>
        <v/>
      </c>
      <c r="P432" s="7">
        <f t="shared" si="411"/>
        <v>0</v>
      </c>
      <c r="Q432" s="7" t="str">
        <f t="shared" si="7"/>
        <v/>
      </c>
      <c r="T432" s="7"/>
    </row>
    <row r="433" ht="12.75" customHeight="1">
      <c r="A433" s="7">
        <v>432.0</v>
      </c>
      <c r="B433" s="7" t="s">
        <v>930</v>
      </c>
      <c r="C433" s="7" t="s">
        <v>4839</v>
      </c>
      <c r="D433" s="7"/>
      <c r="E433" s="7"/>
      <c r="F433" s="7" t="s">
        <v>4842</v>
      </c>
      <c r="G433" s="7" t="s">
        <v>3576</v>
      </c>
      <c r="H433" s="7" t="s">
        <v>3669</v>
      </c>
      <c r="I433" s="7" t="s">
        <v>3633</v>
      </c>
      <c r="K433" s="7" t="str">
        <f t="shared" si="2"/>
        <v/>
      </c>
      <c r="L433" s="7" t="str">
        <f t="shared" si="3"/>
        <v/>
      </c>
      <c r="M433" s="7">
        <f t="shared" ref="M433:N433" si="441">IF(LEN(M$1),COUNTIF($G433:$I433,M$1),"")</f>
        <v>0</v>
      </c>
      <c r="N433" s="7" t="str">
        <f t="shared" si="441"/>
        <v/>
      </c>
      <c r="O433" s="7" t="str">
        <f t="shared" si="5"/>
        <v/>
      </c>
      <c r="P433" s="7">
        <f t="shared" si="411"/>
        <v>0</v>
      </c>
      <c r="Q433" s="7" t="str">
        <f t="shared" si="7"/>
        <v/>
      </c>
      <c r="T433" s="7"/>
    </row>
    <row r="434" ht="12.75" customHeight="1">
      <c r="A434" s="7">
        <v>433.0</v>
      </c>
      <c r="B434" s="7" t="s">
        <v>1222</v>
      </c>
      <c r="C434" s="7" t="s">
        <v>4846</v>
      </c>
      <c r="D434" s="7"/>
      <c r="E434" s="7"/>
      <c r="F434" s="7" t="s">
        <v>4842</v>
      </c>
      <c r="G434" s="7" t="s">
        <v>3724</v>
      </c>
      <c r="H434" s="7" t="s">
        <v>3595</v>
      </c>
      <c r="I434" s="7" t="s">
        <v>3637</v>
      </c>
      <c r="K434" s="7" t="str">
        <f t="shared" si="2"/>
        <v/>
      </c>
      <c r="L434" s="7" t="str">
        <f t="shared" si="3"/>
        <v/>
      </c>
      <c r="M434" s="7">
        <f t="shared" ref="M434:N434" si="442">IF(LEN(M$1),COUNTIF($G434:$I434,M$1),"")</f>
        <v>0</v>
      </c>
      <c r="N434" s="7" t="str">
        <f t="shared" si="442"/>
        <v/>
      </c>
      <c r="O434" s="7" t="str">
        <f t="shared" si="5"/>
        <v/>
      </c>
      <c r="P434" s="7">
        <f t="shared" si="411"/>
        <v>0</v>
      </c>
      <c r="Q434" s="7" t="str">
        <f t="shared" si="7"/>
        <v/>
      </c>
      <c r="T434" s="7"/>
    </row>
    <row r="435" ht="12.75" customHeight="1">
      <c r="A435" s="7">
        <v>434.0</v>
      </c>
      <c r="B435" s="7" t="s">
        <v>1049</v>
      </c>
      <c r="C435" s="7" t="s">
        <v>4831</v>
      </c>
      <c r="D435" s="7"/>
      <c r="E435" s="7"/>
      <c r="F435" s="7" t="s">
        <v>4842</v>
      </c>
      <c r="G435" s="7" t="s">
        <v>3675</v>
      </c>
      <c r="H435" s="7" t="s">
        <v>3683</v>
      </c>
      <c r="I435" s="7" t="s">
        <v>3658</v>
      </c>
      <c r="K435" s="7" t="str">
        <f t="shared" si="2"/>
        <v/>
      </c>
      <c r="L435" s="7" t="str">
        <f t="shared" si="3"/>
        <v/>
      </c>
      <c r="M435" s="7">
        <f t="shared" ref="M435:N435" si="443">IF(LEN(M$1),COUNTIF($G435:$I435,M$1),"")</f>
        <v>0</v>
      </c>
      <c r="N435" s="7" t="str">
        <f t="shared" si="443"/>
        <v/>
      </c>
      <c r="O435" s="7" t="str">
        <f t="shared" si="5"/>
        <v/>
      </c>
      <c r="P435" s="7">
        <f t="shared" si="411"/>
        <v>0</v>
      </c>
      <c r="Q435" s="7" t="str">
        <f t="shared" si="7"/>
        <v/>
      </c>
      <c r="T435" s="7"/>
    </row>
    <row r="436" ht="12.75" customHeight="1">
      <c r="A436" s="7">
        <v>435.0</v>
      </c>
      <c r="B436" s="7" t="s">
        <v>1315</v>
      </c>
      <c r="C436" s="7" t="s">
        <v>4717</v>
      </c>
      <c r="D436" s="7"/>
      <c r="E436" s="7"/>
      <c r="F436" s="7" t="s">
        <v>4842</v>
      </c>
      <c r="G436" s="7" t="s">
        <v>3656</v>
      </c>
      <c r="H436" s="7" t="s">
        <v>3681</v>
      </c>
      <c r="I436" s="7" t="s">
        <v>3683</v>
      </c>
      <c r="K436" s="7" t="str">
        <f t="shared" si="2"/>
        <v/>
      </c>
      <c r="L436" s="7" t="str">
        <f t="shared" si="3"/>
        <v/>
      </c>
      <c r="M436" s="7">
        <f t="shared" ref="M436:N436" si="444">IF(LEN(M$1),COUNTIF($G436:$I436,M$1),"")</f>
        <v>0</v>
      </c>
      <c r="N436" s="7" t="str">
        <f t="shared" si="444"/>
        <v/>
      </c>
      <c r="O436" s="7" t="str">
        <f t="shared" si="5"/>
        <v/>
      </c>
      <c r="P436" s="7">
        <f t="shared" si="411"/>
        <v>0</v>
      </c>
      <c r="Q436" s="7" t="str">
        <f t="shared" si="7"/>
        <v/>
      </c>
      <c r="T436" s="7"/>
    </row>
    <row r="437" ht="12.75" customHeight="1">
      <c r="A437" s="7">
        <v>436.0</v>
      </c>
      <c r="B437" s="7" t="s">
        <v>1020</v>
      </c>
      <c r="C437" s="7" t="s">
        <v>2659</v>
      </c>
      <c r="D437" s="7"/>
      <c r="E437" s="7"/>
      <c r="F437" s="7" t="s">
        <v>4842</v>
      </c>
      <c r="G437" s="7" t="s">
        <v>3604</v>
      </c>
      <c r="H437" s="7" t="s">
        <v>3530</v>
      </c>
      <c r="I437" s="7" t="s">
        <v>3572</v>
      </c>
      <c r="K437" s="7" t="str">
        <f t="shared" si="2"/>
        <v/>
      </c>
      <c r="L437" s="7" t="str">
        <f t="shared" si="3"/>
        <v/>
      </c>
      <c r="M437" s="7">
        <f t="shared" ref="M437:N437" si="445">IF(LEN(M$1),COUNTIF($G437:$I437,M$1),"")</f>
        <v>0</v>
      </c>
      <c r="N437" s="7" t="str">
        <f t="shared" si="445"/>
        <v/>
      </c>
      <c r="O437" s="7" t="str">
        <f t="shared" si="5"/>
        <v/>
      </c>
      <c r="P437" s="7">
        <f t="shared" si="411"/>
        <v>0</v>
      </c>
      <c r="Q437" s="7" t="str">
        <f t="shared" si="7"/>
        <v/>
      </c>
      <c r="T437" s="7"/>
    </row>
    <row r="438" ht="12.75" customHeight="1">
      <c r="A438" s="7">
        <v>437.0</v>
      </c>
      <c r="B438" s="7" t="s">
        <v>379</v>
      </c>
      <c r="C438" s="7" t="s">
        <v>4845</v>
      </c>
      <c r="D438" s="7"/>
      <c r="E438" s="7"/>
      <c r="F438" s="7" t="s">
        <v>4842</v>
      </c>
      <c r="G438" s="7" t="s">
        <v>3562</v>
      </c>
      <c r="H438" s="7" t="s">
        <v>3711</v>
      </c>
      <c r="I438" s="7" t="s">
        <v>3671</v>
      </c>
      <c r="K438" s="7" t="str">
        <f t="shared" si="2"/>
        <v/>
      </c>
      <c r="L438" s="7" t="str">
        <f t="shared" si="3"/>
        <v/>
      </c>
      <c r="M438" s="7">
        <f t="shared" ref="M438:N438" si="446">IF(LEN(M$1),COUNTIF($G438:$I438,M$1),"")</f>
        <v>0</v>
      </c>
      <c r="N438" s="7" t="str">
        <f t="shared" si="446"/>
        <v/>
      </c>
      <c r="O438" s="7" t="str">
        <f t="shared" si="5"/>
        <v/>
      </c>
      <c r="P438" s="7">
        <f t="shared" si="411"/>
        <v>0</v>
      </c>
      <c r="Q438" s="7" t="str">
        <f t="shared" si="7"/>
        <v/>
      </c>
      <c r="T438" s="7"/>
    </row>
    <row r="439" ht="12.75" customHeight="1">
      <c r="A439" s="7">
        <v>438.0</v>
      </c>
      <c r="B439" s="7" t="s">
        <v>1214</v>
      </c>
      <c r="C439" s="7" t="s">
        <v>4846</v>
      </c>
      <c r="D439" s="7"/>
      <c r="E439" s="7"/>
      <c r="F439" s="7" t="s">
        <v>4842</v>
      </c>
      <c r="G439" s="7" t="s">
        <v>3665</v>
      </c>
      <c r="H439" s="7" t="s">
        <v>3637</v>
      </c>
      <c r="I439" s="7" t="s">
        <v>3675</v>
      </c>
      <c r="K439" s="7" t="str">
        <f t="shared" si="2"/>
        <v/>
      </c>
      <c r="L439" s="7" t="str">
        <f t="shared" si="3"/>
        <v/>
      </c>
      <c r="M439" s="7">
        <f t="shared" ref="M439:N439" si="447">IF(LEN(M$1),COUNTIF($G439:$I439,M$1),"")</f>
        <v>0</v>
      </c>
      <c r="N439" s="7" t="str">
        <f t="shared" si="447"/>
        <v/>
      </c>
      <c r="O439" s="7" t="str">
        <f t="shared" si="5"/>
        <v/>
      </c>
      <c r="P439" s="7">
        <f t="shared" si="411"/>
        <v>0</v>
      </c>
      <c r="Q439" s="7" t="str">
        <f t="shared" si="7"/>
        <v/>
      </c>
    </row>
    <row r="440" ht="12.75" customHeight="1">
      <c r="A440" s="7">
        <v>439.0</v>
      </c>
      <c r="B440" s="7" t="s">
        <v>1167</v>
      </c>
      <c r="C440" s="7" t="s">
        <v>4845</v>
      </c>
      <c r="D440" s="7"/>
      <c r="E440" s="7"/>
      <c r="F440" s="7" t="s">
        <v>4842</v>
      </c>
      <c r="G440" s="7" t="s">
        <v>3708</v>
      </c>
      <c r="H440" s="7" t="s">
        <v>3612</v>
      </c>
      <c r="I440" s="7" t="s">
        <v>3620</v>
      </c>
      <c r="K440" s="7" t="str">
        <f t="shared" si="2"/>
        <v/>
      </c>
      <c r="L440" s="7" t="str">
        <f t="shared" si="3"/>
        <v/>
      </c>
      <c r="M440" s="7">
        <f t="shared" ref="M440:N440" si="448">IF(LEN(M$1),COUNTIF($G440:$I440,M$1),"")</f>
        <v>0</v>
      </c>
      <c r="N440" s="7" t="str">
        <f t="shared" si="448"/>
        <v/>
      </c>
      <c r="O440" s="7" t="str">
        <f t="shared" si="5"/>
        <v/>
      </c>
      <c r="P440" s="7">
        <f t="shared" si="411"/>
        <v>0</v>
      </c>
      <c r="Q440" s="7" t="str">
        <f t="shared" si="7"/>
        <v/>
      </c>
    </row>
    <row r="441" ht="12.75" customHeight="1">
      <c r="A441" s="7">
        <v>440.0</v>
      </c>
      <c r="B441" s="7" t="s">
        <v>1041</v>
      </c>
      <c r="C441" s="7" t="s">
        <v>4830</v>
      </c>
      <c r="D441" s="7"/>
      <c r="E441" s="7"/>
      <c r="F441" s="7" t="s">
        <v>4842</v>
      </c>
      <c r="G441" s="7" t="s">
        <v>3615</v>
      </c>
      <c r="H441" s="7" t="s">
        <v>3722</v>
      </c>
      <c r="I441" s="7" t="s">
        <v>3711</v>
      </c>
      <c r="K441" s="7" t="str">
        <f t="shared" si="2"/>
        <v/>
      </c>
      <c r="L441" s="7" t="str">
        <f t="shared" si="3"/>
        <v/>
      </c>
      <c r="M441" s="7">
        <f t="shared" ref="M441:N441" si="449">IF(LEN(M$1),COUNTIF($G441:$I441,M$1),"")</f>
        <v>0</v>
      </c>
      <c r="N441" s="7" t="str">
        <f t="shared" si="449"/>
        <v/>
      </c>
      <c r="O441" s="7" t="str">
        <f t="shared" si="5"/>
        <v/>
      </c>
      <c r="P441" s="7">
        <f t="shared" si="411"/>
        <v>0</v>
      </c>
      <c r="Q441" s="7" t="str">
        <f t="shared" si="7"/>
        <v/>
      </c>
    </row>
    <row r="442" ht="12.75" customHeight="1">
      <c r="A442" s="7">
        <v>441.0</v>
      </c>
      <c r="B442" s="85" t="s">
        <v>1308</v>
      </c>
      <c r="C442" s="7" t="s">
        <v>4711</v>
      </c>
      <c r="D442" s="7"/>
      <c r="E442" s="7"/>
      <c r="F442" s="7" t="s">
        <v>4842</v>
      </c>
      <c r="G442" s="7" t="s">
        <v>3690</v>
      </c>
      <c r="H442" s="7" t="s">
        <v>3491</v>
      </c>
      <c r="I442" s="7" t="s">
        <v>3559</v>
      </c>
      <c r="K442" s="7" t="str">
        <f t="shared" si="2"/>
        <v/>
      </c>
      <c r="L442" s="7" t="str">
        <f t="shared" si="3"/>
        <v/>
      </c>
      <c r="M442" s="7">
        <f t="shared" ref="M442:N442" si="450">IF(LEN(M$1),COUNTIF($G442:$I442,M$1),"")</f>
        <v>0</v>
      </c>
      <c r="N442" s="7" t="str">
        <f t="shared" si="450"/>
        <v/>
      </c>
      <c r="O442" s="7" t="str">
        <f t="shared" si="5"/>
        <v/>
      </c>
      <c r="P442" s="7">
        <f t="shared" si="411"/>
        <v>0</v>
      </c>
      <c r="Q442" s="7" t="str">
        <f t="shared" si="7"/>
        <v/>
      </c>
      <c r="T442" s="7"/>
    </row>
    <row r="443" ht="12.75" customHeight="1">
      <c r="A443" s="7">
        <v>442.0</v>
      </c>
      <c r="B443" s="7" t="s">
        <v>1151</v>
      </c>
      <c r="C443" s="7" t="s">
        <v>4837</v>
      </c>
      <c r="D443" s="7"/>
      <c r="E443" s="7"/>
      <c r="F443" s="7" t="s">
        <v>4842</v>
      </c>
      <c r="G443" s="7" t="s">
        <v>3520</v>
      </c>
      <c r="H443" s="7" t="s">
        <v>3637</v>
      </c>
      <c r="I443" s="7" t="s">
        <v>3671</v>
      </c>
      <c r="K443" s="7" t="str">
        <f t="shared" si="2"/>
        <v/>
      </c>
      <c r="L443" s="7" t="str">
        <f t="shared" si="3"/>
        <v/>
      </c>
      <c r="M443" s="7">
        <f t="shared" ref="M443:N443" si="451">IF(LEN(M$1),COUNTIF($G443:$I443,M$1),"")</f>
        <v>0</v>
      </c>
      <c r="N443" s="7" t="str">
        <f t="shared" si="451"/>
        <v/>
      </c>
      <c r="O443" s="7" t="str">
        <f t="shared" si="5"/>
        <v/>
      </c>
      <c r="P443" s="7">
        <f t="shared" si="411"/>
        <v>0</v>
      </c>
      <c r="Q443" s="7" t="str">
        <f t="shared" si="7"/>
        <v/>
      </c>
      <c r="T443" s="7"/>
    </row>
    <row r="444" ht="12.75" customHeight="1">
      <c r="A444" s="7">
        <v>443.0</v>
      </c>
      <c r="B444" s="7" t="s">
        <v>1205</v>
      </c>
      <c r="C444" s="7" t="s">
        <v>4846</v>
      </c>
      <c r="D444" s="7"/>
      <c r="E444" s="7"/>
      <c r="F444" s="7" t="s">
        <v>4842</v>
      </c>
      <c r="G444" s="7" t="s">
        <v>3698</v>
      </c>
      <c r="H444" s="7" t="s">
        <v>3623</v>
      </c>
      <c r="I444" s="7" t="s">
        <v>3681</v>
      </c>
      <c r="K444" s="7" t="str">
        <f t="shared" si="2"/>
        <v/>
      </c>
      <c r="L444" s="7" t="str">
        <f t="shared" si="3"/>
        <v/>
      </c>
      <c r="M444" s="7">
        <f t="shared" ref="M444:N444" si="452">IF(LEN(M$1),COUNTIF($G444:$I444,M$1),"")</f>
        <v>0</v>
      </c>
      <c r="N444" s="7" t="str">
        <f t="shared" si="452"/>
        <v/>
      </c>
      <c r="O444" s="7" t="str">
        <f t="shared" si="5"/>
        <v/>
      </c>
      <c r="P444" s="7">
        <f t="shared" si="411"/>
        <v>0</v>
      </c>
      <c r="Q444" s="7" t="str">
        <f t="shared" si="7"/>
        <v/>
      </c>
      <c r="T444" s="7"/>
    </row>
    <row r="445" ht="12.75" customHeight="1">
      <c r="A445" s="7">
        <v>444.0</v>
      </c>
      <c r="B445" s="7" t="s">
        <v>969</v>
      </c>
      <c r="C445" s="7" t="s">
        <v>4838</v>
      </c>
      <c r="D445" s="7"/>
      <c r="E445" s="7"/>
      <c r="F445" s="7" t="s">
        <v>4842</v>
      </c>
      <c r="G445" s="7" t="s">
        <v>3705</v>
      </c>
      <c r="H445" s="7" t="s">
        <v>3595</v>
      </c>
      <c r="I445" s="7" t="s">
        <v>3724</v>
      </c>
      <c r="K445" s="7" t="str">
        <f t="shared" si="2"/>
        <v/>
      </c>
      <c r="L445" s="7" t="str">
        <f t="shared" si="3"/>
        <v/>
      </c>
      <c r="M445" s="7">
        <f t="shared" ref="M445:N445" si="453">IF(LEN(M$1),COUNTIF($G445:$I445,M$1),"")</f>
        <v>0</v>
      </c>
      <c r="N445" s="7" t="str">
        <f t="shared" si="453"/>
        <v/>
      </c>
      <c r="O445" s="7" t="str">
        <f t="shared" si="5"/>
        <v/>
      </c>
      <c r="P445" s="7">
        <f t="shared" si="411"/>
        <v>0</v>
      </c>
      <c r="Q445" s="7" t="str">
        <f t="shared" si="7"/>
        <v/>
      </c>
      <c r="T445" s="7"/>
    </row>
    <row r="446" ht="12.75" customHeight="1">
      <c r="A446" s="7">
        <v>445.0</v>
      </c>
      <c r="B446" s="7" t="s">
        <v>1379</v>
      </c>
      <c r="C446" s="7" t="s">
        <v>4784</v>
      </c>
      <c r="D446" s="7"/>
      <c r="E446" s="7"/>
      <c r="F446" s="7" t="s">
        <v>4842</v>
      </c>
      <c r="G446" s="7" t="s">
        <v>3627</v>
      </c>
      <c r="H446" s="7" t="s">
        <v>3673</v>
      </c>
      <c r="I446" s="7" t="s">
        <v>3705</v>
      </c>
      <c r="K446" s="7" t="str">
        <f t="shared" si="2"/>
        <v/>
      </c>
      <c r="L446" s="7" t="str">
        <f t="shared" si="3"/>
        <v/>
      </c>
      <c r="M446" s="7">
        <f t="shared" ref="M446:N446" si="454">IF(LEN(M$1),COUNTIF($G446:$I446,M$1),"")</f>
        <v>0</v>
      </c>
      <c r="N446" s="7" t="str">
        <f t="shared" si="454"/>
        <v/>
      </c>
      <c r="O446" s="7" t="str">
        <f t="shared" si="5"/>
        <v/>
      </c>
      <c r="P446" s="7">
        <f t="shared" si="411"/>
        <v>0</v>
      </c>
      <c r="Q446" s="7" t="str">
        <f t="shared" si="7"/>
        <v/>
      </c>
      <c r="T446" s="7"/>
    </row>
    <row r="447" ht="12.75" customHeight="1">
      <c r="A447" s="7">
        <v>446.0</v>
      </c>
      <c r="B447" s="7" t="s">
        <v>1244</v>
      </c>
      <c r="C447" s="7" t="s">
        <v>4843</v>
      </c>
      <c r="D447" s="7"/>
      <c r="E447" s="7"/>
      <c r="F447" s="7" t="s">
        <v>4842</v>
      </c>
      <c r="G447" s="7" t="s">
        <v>3654</v>
      </c>
      <c r="H447" s="7" t="s">
        <v>3455</v>
      </c>
      <c r="I447" s="7" t="s">
        <v>3508</v>
      </c>
      <c r="K447" s="7" t="str">
        <f t="shared" si="2"/>
        <v/>
      </c>
      <c r="L447" s="7" t="str">
        <f t="shared" si="3"/>
        <v/>
      </c>
      <c r="M447" s="7">
        <f t="shared" ref="M447:N447" si="455">IF(LEN(M$1),COUNTIF($G447:$I447,M$1),"")</f>
        <v>0</v>
      </c>
      <c r="N447" s="7" t="str">
        <f t="shared" si="455"/>
        <v/>
      </c>
      <c r="O447" s="7" t="str">
        <f t="shared" si="5"/>
        <v/>
      </c>
      <c r="P447" s="7">
        <f t="shared" si="411"/>
        <v>0</v>
      </c>
      <c r="Q447" s="7" t="str">
        <f t="shared" si="7"/>
        <v/>
      </c>
      <c r="T447" s="7"/>
    </row>
    <row r="448" ht="12.75" customHeight="1">
      <c r="A448" s="7">
        <v>447.0</v>
      </c>
      <c r="B448" s="7" t="s">
        <v>1315</v>
      </c>
      <c r="C448" s="7" t="s">
        <v>4717</v>
      </c>
      <c r="D448" s="7"/>
      <c r="E448" s="7"/>
      <c r="F448" s="7" t="s">
        <v>4842</v>
      </c>
      <c r="G448" s="7" t="s">
        <v>3469</v>
      </c>
      <c r="H448" s="7" t="s">
        <v>3606</v>
      </c>
      <c r="I448" s="7" t="s">
        <v>3693</v>
      </c>
      <c r="K448" s="7" t="str">
        <f t="shared" si="2"/>
        <v/>
      </c>
      <c r="L448" s="7" t="str">
        <f t="shared" si="3"/>
        <v/>
      </c>
      <c r="M448" s="7">
        <f t="shared" ref="M448:N448" si="456">IF(LEN(M$1),COUNTIF($G448:$I448,M$1),"")</f>
        <v>0</v>
      </c>
      <c r="N448" s="7" t="str">
        <f t="shared" si="456"/>
        <v/>
      </c>
      <c r="O448" s="7" t="str">
        <f t="shared" si="5"/>
        <v/>
      </c>
      <c r="P448" s="7">
        <f t="shared" si="411"/>
        <v>0</v>
      </c>
      <c r="Q448" s="7" t="str">
        <f t="shared" si="7"/>
        <v/>
      </c>
      <c r="T448" s="7"/>
    </row>
    <row r="449" ht="12.75" customHeight="1">
      <c r="A449" s="7">
        <v>448.0</v>
      </c>
      <c r="B449" s="7" t="s">
        <v>1277</v>
      </c>
      <c r="C449" s="7" t="s">
        <v>4845</v>
      </c>
      <c r="D449" s="7"/>
      <c r="E449" s="7"/>
      <c r="F449" s="7" t="s">
        <v>4842</v>
      </c>
      <c r="G449" s="7" t="s">
        <v>3701</v>
      </c>
      <c r="H449" s="7" t="s">
        <v>3673</v>
      </c>
      <c r="I449" s="7" t="s">
        <v>3606</v>
      </c>
      <c r="K449" s="7" t="str">
        <f t="shared" si="2"/>
        <v/>
      </c>
      <c r="L449" s="7" t="str">
        <f t="shared" si="3"/>
        <v/>
      </c>
      <c r="M449" s="7">
        <f t="shared" ref="M449:N449" si="457">IF(LEN(M$1),COUNTIF($G449:$I449,M$1),"")</f>
        <v>0</v>
      </c>
      <c r="N449" s="7" t="str">
        <f t="shared" si="457"/>
        <v/>
      </c>
      <c r="O449" s="7" t="str">
        <f t="shared" si="5"/>
        <v/>
      </c>
      <c r="P449" s="7">
        <f t="shared" si="411"/>
        <v>0</v>
      </c>
      <c r="Q449" s="7" t="str">
        <f t="shared" si="7"/>
        <v/>
      </c>
      <c r="T449" s="7"/>
    </row>
    <row r="450" ht="12.75" customHeight="1">
      <c r="A450" s="7">
        <v>449.0</v>
      </c>
      <c r="B450" s="7" t="s">
        <v>1151</v>
      </c>
      <c r="C450" s="7" t="s">
        <v>4837</v>
      </c>
      <c r="D450" s="7"/>
      <c r="E450" s="7"/>
      <c r="F450" s="7" t="s">
        <v>4842</v>
      </c>
      <c r="G450" s="7" t="s">
        <v>3663</v>
      </c>
      <c r="H450" s="7" t="s">
        <v>3720</v>
      </c>
      <c r="I450" s="7" t="s">
        <v>3618</v>
      </c>
      <c r="K450" s="7" t="str">
        <f t="shared" si="2"/>
        <v/>
      </c>
      <c r="L450" s="7" t="str">
        <f t="shared" si="3"/>
        <v/>
      </c>
      <c r="M450" s="7">
        <f t="shared" ref="M450:N450" si="458">IF(LEN(M$1),COUNTIF($G450:$I450,M$1),"")</f>
        <v>0</v>
      </c>
      <c r="N450" s="7" t="str">
        <f t="shared" si="458"/>
        <v/>
      </c>
      <c r="O450" s="7" t="str">
        <f t="shared" si="5"/>
        <v/>
      </c>
      <c r="P450" s="7">
        <f t="shared" si="411"/>
        <v>0</v>
      </c>
      <c r="Q450" s="7" t="str">
        <f t="shared" si="7"/>
        <v/>
      </c>
      <c r="T450" s="7"/>
    </row>
    <row r="451" ht="12.75" customHeight="1">
      <c r="A451" s="7">
        <v>450.0</v>
      </c>
      <c r="B451" s="7" t="s">
        <v>1257</v>
      </c>
      <c r="C451" s="7" t="s">
        <v>4837</v>
      </c>
      <c r="D451" s="7"/>
      <c r="E451" s="7"/>
      <c r="F451" s="7" t="s">
        <v>4842</v>
      </c>
      <c r="G451" s="7" t="s">
        <v>3669</v>
      </c>
      <c r="H451" s="7" t="s">
        <v>3591</v>
      </c>
      <c r="I451" s="7" t="s">
        <v>3618</v>
      </c>
      <c r="K451" s="7" t="str">
        <f t="shared" si="2"/>
        <v/>
      </c>
      <c r="L451" s="7" t="str">
        <f t="shared" si="3"/>
        <v/>
      </c>
      <c r="M451" s="7">
        <f t="shared" ref="M451:N451" si="459">IF(LEN(M$1),COUNTIF($G451:$I451,M$1),"")</f>
        <v>0</v>
      </c>
      <c r="N451" s="7" t="str">
        <f t="shared" si="459"/>
        <v/>
      </c>
      <c r="O451" s="7" t="str">
        <f t="shared" si="5"/>
        <v/>
      </c>
      <c r="P451" s="7">
        <f t="shared" si="411"/>
        <v>0</v>
      </c>
      <c r="Q451" s="7" t="str">
        <f t="shared" si="7"/>
        <v/>
      </c>
      <c r="T451" s="7"/>
    </row>
    <row r="452" ht="12.75" customHeight="1">
      <c r="A452" s="7">
        <v>451.0</v>
      </c>
      <c r="B452" s="7" t="s">
        <v>981</v>
      </c>
      <c r="C452" s="7" t="s">
        <v>2659</v>
      </c>
      <c r="D452" s="7"/>
      <c r="E452" s="7"/>
      <c r="F452" s="7" t="s">
        <v>4842</v>
      </c>
      <c r="G452" s="7" t="s">
        <v>3643</v>
      </c>
      <c r="H452" s="7" t="s">
        <v>3559</v>
      </c>
      <c r="I452" s="7" t="s">
        <v>3488</v>
      </c>
      <c r="K452" s="7" t="str">
        <f t="shared" si="2"/>
        <v/>
      </c>
      <c r="L452" s="7" t="str">
        <f t="shared" si="3"/>
        <v/>
      </c>
      <c r="M452" s="7">
        <f t="shared" ref="M452:N452" si="460">IF(LEN(M$1),COUNTIF($G452:$I452,M$1),"")</f>
        <v>0</v>
      </c>
      <c r="N452" s="7" t="str">
        <f t="shared" si="460"/>
        <v/>
      </c>
      <c r="O452" s="7" t="str">
        <f t="shared" si="5"/>
        <v/>
      </c>
      <c r="P452" s="7">
        <f t="shared" si="411"/>
        <v>0</v>
      </c>
      <c r="Q452" s="7" t="str">
        <f t="shared" si="7"/>
        <v/>
      </c>
      <c r="T452" s="7"/>
    </row>
    <row r="453" ht="12.75" customHeight="1">
      <c r="A453" s="7">
        <v>452.0</v>
      </c>
      <c r="B453" s="7" t="s">
        <v>1265</v>
      </c>
      <c r="C453" s="7" t="s">
        <v>4837</v>
      </c>
      <c r="D453" s="7"/>
      <c r="E453" s="7"/>
      <c r="F453" s="7" t="s">
        <v>4842</v>
      </c>
      <c r="G453" s="7" t="s">
        <v>3612</v>
      </c>
      <c r="H453" s="7" t="s">
        <v>3705</v>
      </c>
      <c r="I453" s="7" t="s">
        <v>3643</v>
      </c>
      <c r="K453" s="7" t="str">
        <f t="shared" si="2"/>
        <v/>
      </c>
      <c r="L453" s="7" t="str">
        <f t="shared" si="3"/>
        <v/>
      </c>
      <c r="M453" s="7">
        <f t="shared" ref="M453:N453" si="461">IF(LEN(M$1),COUNTIF($G453:$I453,M$1),"")</f>
        <v>0</v>
      </c>
      <c r="N453" s="7" t="str">
        <f t="shared" si="461"/>
        <v/>
      </c>
      <c r="O453" s="7" t="str">
        <f t="shared" si="5"/>
        <v/>
      </c>
      <c r="P453" s="7">
        <f t="shared" si="411"/>
        <v>0</v>
      </c>
      <c r="Q453" s="7" t="str">
        <f t="shared" si="7"/>
        <v/>
      </c>
      <c r="T453" s="7"/>
    </row>
    <row r="454" ht="12.75" customHeight="1">
      <c r="A454" s="7">
        <v>453.0</v>
      </c>
      <c r="B454" s="7" t="s">
        <v>1159</v>
      </c>
      <c r="C454" s="7" t="s">
        <v>4845</v>
      </c>
      <c r="D454" s="7"/>
      <c r="E454" s="7"/>
      <c r="F454" s="7" t="s">
        <v>4842</v>
      </c>
      <c r="G454" s="7" t="s">
        <v>3585</v>
      </c>
      <c r="H454" s="7" t="s">
        <v>3656</v>
      </c>
      <c r="I454" s="7" t="s">
        <v>3703</v>
      </c>
      <c r="K454" s="7" t="str">
        <f t="shared" si="2"/>
        <v/>
      </c>
      <c r="L454" s="7" t="str">
        <f t="shared" si="3"/>
        <v/>
      </c>
      <c r="M454" s="7">
        <f t="shared" ref="M454:N454" si="462">IF(LEN(M$1),COUNTIF($G454:$I454,M$1),"")</f>
        <v>0</v>
      </c>
      <c r="N454" s="7" t="str">
        <f t="shared" si="462"/>
        <v/>
      </c>
      <c r="O454" s="7" t="str">
        <f t="shared" si="5"/>
        <v/>
      </c>
      <c r="P454" s="7">
        <f t="shared" si="411"/>
        <v>0</v>
      </c>
      <c r="Q454" s="7" t="str">
        <f t="shared" si="7"/>
        <v/>
      </c>
      <c r="T454" s="7"/>
    </row>
    <row r="455" ht="12.75" customHeight="1">
      <c r="A455" s="7">
        <v>454.0</v>
      </c>
      <c r="B455" s="7" t="s">
        <v>1236</v>
      </c>
      <c r="C455" s="7" t="s">
        <v>4844</v>
      </c>
      <c r="D455" s="7"/>
      <c r="E455" s="7"/>
      <c r="F455" s="7" t="s">
        <v>4842</v>
      </c>
      <c r="G455" s="7" t="s">
        <v>3679</v>
      </c>
      <c r="H455" s="7" t="s">
        <v>3654</v>
      </c>
      <c r="I455" s="7" t="s">
        <v>3660</v>
      </c>
      <c r="K455" s="7" t="str">
        <f t="shared" si="2"/>
        <v/>
      </c>
      <c r="L455" s="7" t="str">
        <f t="shared" si="3"/>
        <v/>
      </c>
      <c r="M455" s="7">
        <f t="shared" ref="M455:N455" si="463">IF(LEN(M$1),COUNTIF($G455:$I455,M$1),"")</f>
        <v>0</v>
      </c>
      <c r="N455" s="7" t="str">
        <f t="shared" si="463"/>
        <v/>
      </c>
      <c r="O455" s="7" t="str">
        <f t="shared" si="5"/>
        <v/>
      </c>
      <c r="P455" s="7">
        <f t="shared" si="411"/>
        <v>0</v>
      </c>
      <c r="Q455" s="7" t="str">
        <f t="shared" si="7"/>
        <v/>
      </c>
      <c r="T455" s="7"/>
    </row>
    <row r="456" ht="12.75" customHeight="1">
      <c r="A456" s="7">
        <v>455.0</v>
      </c>
      <c r="B456" s="7" t="s">
        <v>1244</v>
      </c>
      <c r="C456" s="7" t="s">
        <v>4843</v>
      </c>
      <c r="D456" s="7"/>
      <c r="E456" s="7"/>
      <c r="F456" s="7" t="s">
        <v>4842</v>
      </c>
      <c r="G456" s="7" t="s">
        <v>3588</v>
      </c>
      <c r="H456" s="7" t="s">
        <v>3724</v>
      </c>
      <c r="I456" s="7" t="s">
        <v>3609</v>
      </c>
      <c r="K456" s="7" t="str">
        <f t="shared" si="2"/>
        <v/>
      </c>
      <c r="L456" s="7" t="str">
        <f t="shared" si="3"/>
        <v/>
      </c>
      <c r="M456" s="7">
        <f t="shared" ref="M456:N456" si="464">IF(LEN(M$1),COUNTIF($G456:$I456,M$1),"")</f>
        <v>0</v>
      </c>
      <c r="N456" s="7" t="str">
        <f t="shared" si="464"/>
        <v/>
      </c>
      <c r="O456" s="7" t="str">
        <f t="shared" si="5"/>
        <v/>
      </c>
      <c r="P456" s="7">
        <f t="shared" si="411"/>
        <v>0</v>
      </c>
      <c r="Q456" s="7" t="str">
        <f t="shared" si="7"/>
        <v/>
      </c>
      <c r="T456" s="7"/>
    </row>
    <row r="457" ht="12.75" customHeight="1">
      <c r="A457" s="7">
        <v>456.0</v>
      </c>
      <c r="B457" s="7" t="s">
        <v>1339</v>
      </c>
      <c r="C457" s="7" t="s">
        <v>4724</v>
      </c>
      <c r="D457" s="7"/>
      <c r="E457" s="7"/>
      <c r="F457" s="7" t="s">
        <v>4842</v>
      </c>
      <c r="G457" s="7" t="s">
        <v>3620</v>
      </c>
      <c r="H457" s="7" t="s">
        <v>3467</v>
      </c>
      <c r="I457" s="7" t="s">
        <v>3549</v>
      </c>
      <c r="K457" s="7" t="str">
        <f t="shared" si="2"/>
        <v/>
      </c>
      <c r="L457" s="7" t="str">
        <f t="shared" si="3"/>
        <v/>
      </c>
      <c r="M457" s="7">
        <f t="shared" ref="M457:N457" si="465">IF(LEN(M$1),COUNTIF($G457:$I457,M$1),"")</f>
        <v>0</v>
      </c>
      <c r="N457" s="7" t="str">
        <f t="shared" si="465"/>
        <v/>
      </c>
      <c r="O457" s="7" t="str">
        <f t="shared" si="5"/>
        <v/>
      </c>
      <c r="P457" s="7">
        <f t="shared" si="411"/>
        <v>0</v>
      </c>
      <c r="Q457" s="7" t="str">
        <f t="shared" si="7"/>
        <v/>
      </c>
      <c r="T457" s="7"/>
    </row>
    <row r="458" ht="12.75" customHeight="1">
      <c r="A458" s="7">
        <v>457.0</v>
      </c>
      <c r="B458" s="7" t="s">
        <v>961</v>
      </c>
      <c r="C458" s="7" t="s">
        <v>4838</v>
      </c>
      <c r="D458" s="7"/>
      <c r="E458" s="7"/>
      <c r="F458" s="7" t="s">
        <v>4842</v>
      </c>
      <c r="G458" s="7" t="s">
        <v>3491</v>
      </c>
      <c r="H458" s="7" t="s">
        <v>3679</v>
      </c>
      <c r="I458" s="7" t="s">
        <v>3688</v>
      </c>
      <c r="K458" s="7" t="str">
        <f t="shared" si="2"/>
        <v/>
      </c>
      <c r="L458" s="7" t="str">
        <f t="shared" si="3"/>
        <v/>
      </c>
      <c r="M458" s="7">
        <f t="shared" ref="M458:N458" si="466">IF(LEN(M$1),COUNTIF($G458:$I458,M$1),"")</f>
        <v>0</v>
      </c>
      <c r="N458" s="7" t="str">
        <f t="shared" si="466"/>
        <v/>
      </c>
      <c r="O458" s="7" t="str">
        <f t="shared" si="5"/>
        <v/>
      </c>
      <c r="P458" s="7">
        <f t="shared" si="411"/>
        <v>0</v>
      </c>
      <c r="Q458" s="7" t="str">
        <f t="shared" si="7"/>
        <v/>
      </c>
      <c r="T458" s="7"/>
    </row>
    <row r="459" ht="12.75" customHeight="1">
      <c r="A459" s="7">
        <v>458.0</v>
      </c>
      <c r="B459" s="7" t="s">
        <v>1205</v>
      </c>
      <c r="C459" s="7" t="s">
        <v>4846</v>
      </c>
      <c r="D459" s="7"/>
      <c r="E459" s="7"/>
      <c r="F459" s="7" t="s">
        <v>4842</v>
      </c>
      <c r="G459" s="7" t="s">
        <v>3591</v>
      </c>
      <c r="H459" s="7" t="s">
        <v>3615</v>
      </c>
      <c r="I459" s="7" t="s">
        <v>3663</v>
      </c>
      <c r="K459" s="7" t="str">
        <f t="shared" si="2"/>
        <v/>
      </c>
      <c r="L459" s="7" t="str">
        <f t="shared" si="3"/>
        <v/>
      </c>
      <c r="M459" s="7">
        <f t="shared" ref="M459:N459" si="467">IF(LEN(M$1),COUNTIF($G459:$I459,M$1),"")</f>
        <v>0</v>
      </c>
      <c r="N459" s="7" t="str">
        <f t="shared" si="467"/>
        <v/>
      </c>
      <c r="O459" s="7" t="str">
        <f t="shared" si="5"/>
        <v/>
      </c>
      <c r="P459" s="7">
        <f t="shared" si="411"/>
        <v>0</v>
      </c>
      <c r="Q459" s="7" t="str">
        <f t="shared" si="7"/>
        <v/>
      </c>
      <c r="T459" s="7"/>
    </row>
    <row r="460" ht="12.75" customHeight="1">
      <c r="A460" s="7">
        <v>459.0</v>
      </c>
      <c r="B460" s="7" t="s">
        <v>1330</v>
      </c>
      <c r="C460" s="7" t="s">
        <v>4724</v>
      </c>
      <c r="D460" s="7"/>
      <c r="E460" s="7"/>
      <c r="F460" s="7" t="s">
        <v>4842</v>
      </c>
      <c r="G460" s="7" t="s">
        <v>3660</v>
      </c>
      <c r="H460" s="7" t="s">
        <v>3627</v>
      </c>
      <c r="I460" s="7" t="s">
        <v>3669</v>
      </c>
      <c r="K460" s="7" t="str">
        <f t="shared" si="2"/>
        <v/>
      </c>
      <c r="L460" s="7" t="str">
        <f t="shared" si="3"/>
        <v/>
      </c>
      <c r="M460" s="7">
        <f t="shared" ref="M460:N460" si="468">IF(LEN(M$1),COUNTIF($G460:$I460,M$1),"")</f>
        <v>0</v>
      </c>
      <c r="N460" s="7" t="str">
        <f t="shared" si="468"/>
        <v/>
      </c>
      <c r="O460" s="7" t="str">
        <f t="shared" si="5"/>
        <v/>
      </c>
      <c r="P460" s="7">
        <f t="shared" si="411"/>
        <v>0</v>
      </c>
      <c r="Q460" s="7" t="str">
        <f t="shared" si="7"/>
        <v/>
      </c>
      <c r="T460" s="7"/>
    </row>
    <row r="461" ht="12.75" customHeight="1">
      <c r="A461" s="7">
        <v>460.0</v>
      </c>
      <c r="B461" s="7" t="s">
        <v>1033</v>
      </c>
      <c r="C461" s="7" t="s">
        <v>4830</v>
      </c>
      <c r="D461" s="7"/>
      <c r="E461" s="7"/>
      <c r="F461" s="7" t="s">
        <v>4842</v>
      </c>
      <c r="G461" s="7" t="s">
        <v>3663</v>
      </c>
      <c r="H461" s="7" t="s">
        <v>3595</v>
      </c>
      <c r="I461" s="7" t="s">
        <v>3695</v>
      </c>
      <c r="K461" s="7" t="str">
        <f t="shared" si="2"/>
        <v/>
      </c>
      <c r="L461" s="7" t="str">
        <f t="shared" si="3"/>
        <v/>
      </c>
      <c r="M461" s="7">
        <f t="shared" ref="M461:N461" si="469">IF(LEN(M$1),COUNTIF($G461:$I461,M$1),"")</f>
        <v>0</v>
      </c>
      <c r="N461" s="7" t="str">
        <f t="shared" si="469"/>
        <v/>
      </c>
      <c r="O461" s="7" t="str">
        <f t="shared" si="5"/>
        <v/>
      </c>
      <c r="P461" s="7">
        <f t="shared" si="411"/>
        <v>0</v>
      </c>
      <c r="Q461" s="7" t="str">
        <f t="shared" si="7"/>
        <v/>
      </c>
      <c r="T461" s="7"/>
    </row>
    <row r="462" ht="12.75" customHeight="1">
      <c r="A462" s="7">
        <v>461.0</v>
      </c>
      <c r="B462" s="7" t="s">
        <v>1098</v>
      </c>
      <c r="C462" s="7" t="s">
        <v>4834</v>
      </c>
      <c r="D462" s="7"/>
      <c r="E462" s="7"/>
      <c r="F462" s="7" t="s">
        <v>4842</v>
      </c>
      <c r="G462" s="7" t="s">
        <v>3654</v>
      </c>
      <c r="H462" s="7" t="s">
        <v>3445</v>
      </c>
      <c r="I462" s="7" t="s">
        <v>3505</v>
      </c>
      <c r="K462" s="7" t="str">
        <f t="shared" si="2"/>
        <v/>
      </c>
      <c r="L462" s="7" t="str">
        <f t="shared" si="3"/>
        <v/>
      </c>
      <c r="M462" s="7">
        <f t="shared" ref="M462:N462" si="470">IF(LEN(M$1),COUNTIF($G462:$I462,M$1),"")</f>
        <v>0</v>
      </c>
      <c r="N462" s="7" t="str">
        <f t="shared" si="470"/>
        <v/>
      </c>
      <c r="O462" s="7" t="str">
        <f t="shared" si="5"/>
        <v/>
      </c>
      <c r="P462" s="7">
        <f t="shared" si="411"/>
        <v>0</v>
      </c>
      <c r="Q462" s="7" t="str">
        <f t="shared" si="7"/>
        <v/>
      </c>
      <c r="T462" s="7"/>
    </row>
    <row r="463" ht="12.75" customHeight="1">
      <c r="A463" s="7">
        <v>462.0</v>
      </c>
      <c r="B463" s="7" t="s">
        <v>889</v>
      </c>
      <c r="C463" s="7" t="s">
        <v>4839</v>
      </c>
      <c r="D463" s="7"/>
      <c r="E463" s="7"/>
      <c r="F463" s="7" t="s">
        <v>4842</v>
      </c>
      <c r="G463" s="7" t="s">
        <v>3516</v>
      </c>
      <c r="H463" s="7" t="s">
        <v>3669</v>
      </c>
      <c r="I463" s="7" t="s">
        <v>3705</v>
      </c>
      <c r="K463" s="7" t="str">
        <f t="shared" si="2"/>
        <v/>
      </c>
      <c r="L463" s="7" t="str">
        <f t="shared" si="3"/>
        <v/>
      </c>
      <c r="M463" s="7">
        <f t="shared" ref="M463:N463" si="471">IF(LEN(M$1),COUNTIF($G463:$I463,M$1),"")</f>
        <v>0</v>
      </c>
      <c r="N463" s="7" t="str">
        <f t="shared" si="471"/>
        <v/>
      </c>
      <c r="O463" s="7" t="str">
        <f t="shared" si="5"/>
        <v/>
      </c>
      <c r="P463" s="7">
        <f t="shared" si="411"/>
        <v>0</v>
      </c>
      <c r="Q463" s="7" t="str">
        <f t="shared" si="7"/>
        <v/>
      </c>
      <c r="T463" s="7"/>
    </row>
    <row r="464" ht="12.75" customHeight="1">
      <c r="A464" s="7">
        <v>463.0</v>
      </c>
      <c r="B464" s="7" t="s">
        <v>910</v>
      </c>
      <c r="C464" s="7" t="s">
        <v>3108</v>
      </c>
      <c r="D464" s="7"/>
      <c r="E464" s="7"/>
      <c r="F464" s="7" t="s">
        <v>4842</v>
      </c>
      <c r="G464" s="7" t="s">
        <v>3681</v>
      </c>
      <c r="H464" s="7" t="s">
        <v>3647</v>
      </c>
      <c r="I464" s="7" t="s">
        <v>3604</v>
      </c>
      <c r="K464" s="7" t="str">
        <f t="shared" si="2"/>
        <v/>
      </c>
      <c r="L464" s="7" t="str">
        <f t="shared" si="3"/>
        <v/>
      </c>
      <c r="M464" s="7">
        <f t="shared" ref="M464:N464" si="472">IF(LEN(M$1),COUNTIF($G464:$I464,M$1),"")</f>
        <v>0</v>
      </c>
      <c r="N464" s="7" t="str">
        <f t="shared" si="472"/>
        <v/>
      </c>
      <c r="O464" s="7" t="str">
        <f t="shared" si="5"/>
        <v/>
      </c>
      <c r="P464" s="7">
        <f t="shared" si="411"/>
        <v>0</v>
      </c>
      <c r="Q464" s="7" t="str">
        <f t="shared" si="7"/>
        <v/>
      </c>
      <c r="T464" s="7"/>
    </row>
    <row r="465" ht="12.75" customHeight="1">
      <c r="A465" s="7">
        <v>464.0</v>
      </c>
      <c r="B465" s="7" t="s">
        <v>1182</v>
      </c>
      <c r="C465" s="7" t="s">
        <v>4841</v>
      </c>
      <c r="D465" s="7"/>
      <c r="E465" s="7"/>
      <c r="F465" s="7" t="s">
        <v>4842</v>
      </c>
      <c r="G465" s="7" t="s">
        <v>3677</v>
      </c>
      <c r="H465" s="7" t="s">
        <v>3623</v>
      </c>
      <c r="I465" s="7" t="s">
        <v>3722</v>
      </c>
      <c r="K465" s="7" t="str">
        <f t="shared" si="2"/>
        <v/>
      </c>
      <c r="L465" s="7" t="str">
        <f t="shared" si="3"/>
        <v/>
      </c>
      <c r="M465" s="7">
        <f t="shared" ref="M465:N465" si="473">IF(LEN(M$1),COUNTIF($G465:$I465,M$1),"")</f>
        <v>0</v>
      </c>
      <c r="N465" s="7" t="str">
        <f t="shared" si="473"/>
        <v/>
      </c>
      <c r="O465" s="7" t="str">
        <f t="shared" si="5"/>
        <v/>
      </c>
      <c r="P465" s="7">
        <f t="shared" si="411"/>
        <v>0</v>
      </c>
      <c r="Q465" s="7" t="str">
        <f t="shared" si="7"/>
        <v/>
      </c>
      <c r="T465" s="7"/>
    </row>
    <row r="466" ht="12.75" customHeight="1">
      <c r="A466" s="7">
        <v>465.0</v>
      </c>
      <c r="B466" s="7" t="s">
        <v>1347</v>
      </c>
      <c r="C466" s="7" t="s">
        <v>4731</v>
      </c>
      <c r="D466" s="7"/>
      <c r="E466" s="7"/>
      <c r="F466" s="7" t="s">
        <v>4842</v>
      </c>
      <c r="G466" s="7" t="s">
        <v>3598</v>
      </c>
      <c r="H466" s="7" t="s">
        <v>3683</v>
      </c>
      <c r="I466" s="7" t="s">
        <v>3658</v>
      </c>
      <c r="K466" s="7" t="str">
        <f t="shared" si="2"/>
        <v/>
      </c>
      <c r="L466" s="7" t="str">
        <f t="shared" si="3"/>
        <v/>
      </c>
      <c r="M466" s="7">
        <f t="shared" ref="M466:N466" si="474">IF(LEN(M$1),COUNTIF($G466:$I466,M$1),"")</f>
        <v>0</v>
      </c>
      <c r="N466" s="7" t="str">
        <f t="shared" si="474"/>
        <v/>
      </c>
      <c r="O466" s="7" t="str">
        <f t="shared" si="5"/>
        <v/>
      </c>
      <c r="P466" s="7">
        <f t="shared" si="411"/>
        <v>0</v>
      </c>
      <c r="Q466" s="7" t="str">
        <f t="shared" si="7"/>
        <v/>
      </c>
      <c r="T466" s="7"/>
    </row>
    <row r="467" ht="12.75" customHeight="1">
      <c r="A467" s="7">
        <v>466.0</v>
      </c>
      <c r="B467" s="7" t="s">
        <v>1222</v>
      </c>
      <c r="C467" s="7" t="s">
        <v>4846</v>
      </c>
      <c r="D467" s="7"/>
      <c r="E467" s="7"/>
      <c r="F467" s="7" t="s">
        <v>4842</v>
      </c>
      <c r="G467" s="7" t="s">
        <v>3595</v>
      </c>
      <c r="H467" s="7" t="s">
        <v>3511</v>
      </c>
      <c r="I467" s="7" t="s">
        <v>3502</v>
      </c>
      <c r="K467" s="7" t="str">
        <f t="shared" si="2"/>
        <v/>
      </c>
      <c r="L467" s="7" t="str">
        <f t="shared" si="3"/>
        <v/>
      </c>
      <c r="M467" s="7">
        <f t="shared" ref="M467:N467" si="475">IF(LEN(M$1),COUNTIF($G467:$I467,M$1),"")</f>
        <v>0</v>
      </c>
      <c r="N467" s="7" t="str">
        <f t="shared" si="475"/>
        <v/>
      </c>
      <c r="O467" s="7" t="str">
        <f t="shared" si="5"/>
        <v/>
      </c>
      <c r="P467" s="7">
        <f t="shared" si="411"/>
        <v>0</v>
      </c>
      <c r="Q467" s="7" t="str">
        <f t="shared" si="7"/>
        <v/>
      </c>
      <c r="T467" s="7"/>
    </row>
    <row r="468" ht="12.75" customHeight="1">
      <c r="A468" s="7">
        <v>467.0</v>
      </c>
      <c r="B468" s="7" t="s">
        <v>924</v>
      </c>
      <c r="C468" s="7" t="s">
        <v>4839</v>
      </c>
      <c r="D468" s="7"/>
      <c r="E468" s="7"/>
      <c r="F468" s="7" t="s">
        <v>4842</v>
      </c>
      <c r="G468" s="7" t="s">
        <v>3491</v>
      </c>
      <c r="H468" s="7" t="s">
        <v>3633</v>
      </c>
      <c r="I468" s="7" t="s">
        <v>3677</v>
      </c>
      <c r="K468" s="7" t="str">
        <f t="shared" si="2"/>
        <v/>
      </c>
      <c r="L468" s="7" t="str">
        <f t="shared" si="3"/>
        <v/>
      </c>
      <c r="M468" s="7">
        <f t="shared" ref="M468:N468" si="476">IF(LEN(M$1),COUNTIF($G468:$I468,M$1),"")</f>
        <v>0</v>
      </c>
      <c r="N468" s="7" t="str">
        <f t="shared" si="476"/>
        <v/>
      </c>
      <c r="O468" s="7" t="str">
        <f t="shared" si="5"/>
        <v/>
      </c>
      <c r="P468" s="7">
        <f t="shared" si="411"/>
        <v>0</v>
      </c>
      <c r="Q468" s="7" t="str">
        <f t="shared" si="7"/>
        <v/>
      </c>
      <c r="T468" s="7"/>
    </row>
    <row r="469" ht="12.75" customHeight="1">
      <c r="A469" s="7">
        <v>468.0</v>
      </c>
      <c r="B469" s="7" t="s">
        <v>1106</v>
      </c>
      <c r="C469" s="7" t="s">
        <v>4829</v>
      </c>
      <c r="D469" s="7"/>
      <c r="E469" s="7"/>
      <c r="F469" s="7" t="s">
        <v>4842</v>
      </c>
      <c r="G469" s="7" t="s">
        <v>3665</v>
      </c>
      <c r="H469" s="7" t="s">
        <v>3681</v>
      </c>
      <c r="I469" s="7" t="s">
        <v>3612</v>
      </c>
      <c r="K469" s="7" t="str">
        <f t="shared" si="2"/>
        <v/>
      </c>
      <c r="L469" s="7" t="str">
        <f t="shared" si="3"/>
        <v/>
      </c>
      <c r="M469" s="7">
        <f t="shared" ref="M469:N469" si="477">IF(LEN(M$1),COUNTIF($G469:$I469,M$1),"")</f>
        <v>0</v>
      </c>
      <c r="N469" s="7" t="str">
        <f t="shared" si="477"/>
        <v/>
      </c>
      <c r="O469" s="7" t="str">
        <f t="shared" si="5"/>
        <v/>
      </c>
      <c r="P469" s="7">
        <f t="shared" si="411"/>
        <v>0</v>
      </c>
      <c r="Q469" s="7" t="str">
        <f t="shared" si="7"/>
        <v/>
      </c>
      <c r="T469" s="7"/>
    </row>
    <row r="470" ht="12.75" customHeight="1">
      <c r="A470" s="7">
        <v>469.0</v>
      </c>
      <c r="B470" s="7" t="s">
        <v>989</v>
      </c>
      <c r="C470" s="7" t="s">
        <v>2659</v>
      </c>
      <c r="D470" s="7"/>
      <c r="E470" s="7"/>
      <c r="F470" s="7" t="s">
        <v>4842</v>
      </c>
      <c r="G470" s="7" t="s">
        <v>3637</v>
      </c>
      <c r="H470" s="7" t="s">
        <v>3671</v>
      </c>
      <c r="I470" s="7" t="s">
        <v>3660</v>
      </c>
      <c r="K470" s="7" t="str">
        <f t="shared" si="2"/>
        <v/>
      </c>
      <c r="L470" s="7" t="str">
        <f t="shared" si="3"/>
        <v/>
      </c>
      <c r="M470" s="7">
        <f t="shared" ref="M470:N470" si="478">IF(LEN(M$1),COUNTIF($G470:$I470,M$1),"")</f>
        <v>0</v>
      </c>
      <c r="N470" s="7" t="str">
        <f t="shared" si="478"/>
        <v/>
      </c>
      <c r="O470" s="7" t="str">
        <f t="shared" si="5"/>
        <v/>
      </c>
      <c r="P470" s="7">
        <f t="shared" si="411"/>
        <v>0</v>
      </c>
      <c r="Q470" s="7" t="str">
        <f t="shared" si="7"/>
        <v/>
      </c>
      <c r="T470" s="7"/>
    </row>
    <row r="471" ht="12.75" customHeight="1">
      <c r="A471" s="7">
        <v>470.0</v>
      </c>
      <c r="B471" s="7" t="s">
        <v>1347</v>
      </c>
      <c r="C471" s="7" t="s">
        <v>4731</v>
      </c>
      <c r="D471" s="7"/>
      <c r="E471" s="7"/>
      <c r="F471" s="7" t="s">
        <v>4842</v>
      </c>
      <c r="G471" s="7" t="s">
        <v>3698</v>
      </c>
      <c r="H471" s="7" t="s">
        <v>3669</v>
      </c>
      <c r="I471" s="7" t="s">
        <v>3649</v>
      </c>
      <c r="K471" s="7" t="str">
        <f t="shared" si="2"/>
        <v/>
      </c>
      <c r="L471" s="7" t="str">
        <f t="shared" si="3"/>
        <v/>
      </c>
      <c r="M471" s="7">
        <f t="shared" ref="M471:N471" si="479">IF(LEN(M$1),COUNTIF($G471:$I471,M$1),"")</f>
        <v>0</v>
      </c>
      <c r="N471" s="7" t="str">
        <f t="shared" si="479"/>
        <v/>
      </c>
      <c r="O471" s="7" t="str">
        <f t="shared" si="5"/>
        <v/>
      </c>
      <c r="P471" s="7">
        <f t="shared" si="411"/>
        <v>0</v>
      </c>
      <c r="Q471" s="7" t="str">
        <f t="shared" si="7"/>
        <v/>
      </c>
      <c r="T471" s="7"/>
    </row>
    <row r="472" ht="12.75" customHeight="1">
      <c r="A472" s="7">
        <v>471.0</v>
      </c>
      <c r="B472" s="7" t="s">
        <v>1198</v>
      </c>
      <c r="C472" s="7" t="s">
        <v>4841</v>
      </c>
      <c r="D472" s="7"/>
      <c r="E472" s="7"/>
      <c r="F472" s="7" t="s">
        <v>4842</v>
      </c>
      <c r="G472" s="7" t="s">
        <v>3598</v>
      </c>
      <c r="H472" s="7" t="s">
        <v>3549</v>
      </c>
      <c r="I472" s="7" t="s">
        <v>3488</v>
      </c>
      <c r="K472" s="7" t="str">
        <f t="shared" si="2"/>
        <v/>
      </c>
      <c r="L472" s="7" t="str">
        <f t="shared" si="3"/>
        <v/>
      </c>
      <c r="M472" s="7">
        <f t="shared" ref="M472:N472" si="480">IF(LEN(M$1),COUNTIF($G472:$I472,M$1),"")</f>
        <v>0</v>
      </c>
      <c r="N472" s="7" t="str">
        <f t="shared" si="480"/>
        <v/>
      </c>
      <c r="O472" s="7" t="str">
        <f t="shared" si="5"/>
        <v/>
      </c>
      <c r="P472" s="7">
        <f t="shared" si="411"/>
        <v>0</v>
      </c>
      <c r="Q472" s="7" t="str">
        <f t="shared" si="7"/>
        <v/>
      </c>
      <c r="T472" s="7"/>
    </row>
    <row r="473" ht="12.75" customHeight="1">
      <c r="A473" s="7">
        <v>472.0</v>
      </c>
      <c r="B473" s="7" t="s">
        <v>1363</v>
      </c>
      <c r="C473" s="7" t="s">
        <v>4735</v>
      </c>
      <c r="D473" s="7"/>
      <c r="E473" s="7"/>
      <c r="F473" s="7" t="s">
        <v>4842</v>
      </c>
      <c r="G473" s="7" t="s">
        <v>3520</v>
      </c>
      <c r="H473" s="7" t="s">
        <v>3601</v>
      </c>
      <c r="I473" s="7" t="s">
        <v>3663</v>
      </c>
      <c r="K473" s="7" t="str">
        <f t="shared" si="2"/>
        <v/>
      </c>
      <c r="L473" s="7" t="str">
        <f t="shared" si="3"/>
        <v/>
      </c>
      <c r="M473" s="7">
        <f t="shared" ref="M473:N473" si="481">IF(LEN(M$1),COUNTIF($G473:$I473,M$1),"")</f>
        <v>0</v>
      </c>
      <c r="N473" s="7" t="str">
        <f t="shared" si="481"/>
        <v/>
      </c>
      <c r="O473" s="7" t="str">
        <f t="shared" si="5"/>
        <v/>
      </c>
      <c r="P473" s="7">
        <f t="shared" si="411"/>
        <v>0</v>
      </c>
      <c r="Q473" s="7" t="str">
        <f t="shared" si="7"/>
        <v/>
      </c>
      <c r="T473" s="7"/>
    </row>
    <row r="474" ht="12.75" customHeight="1">
      <c r="A474" s="7">
        <v>473.0</v>
      </c>
      <c r="B474" s="7" t="s">
        <v>1159</v>
      </c>
      <c r="C474" s="7" t="s">
        <v>4845</v>
      </c>
      <c r="D474" s="7"/>
      <c r="E474" s="7"/>
      <c r="F474" s="7" t="s">
        <v>4842</v>
      </c>
      <c r="G474" s="7" t="s">
        <v>3612</v>
      </c>
      <c r="H474" s="7" t="s">
        <v>3665</v>
      </c>
      <c r="I474" s="7" t="s">
        <v>3601</v>
      </c>
      <c r="K474" s="7" t="str">
        <f t="shared" si="2"/>
        <v/>
      </c>
      <c r="L474" s="7" t="str">
        <f t="shared" si="3"/>
        <v/>
      </c>
      <c r="M474" s="7">
        <f t="shared" ref="M474:N474" si="482">IF(LEN(M$1),COUNTIF($G474:$I474,M$1),"")</f>
        <v>0</v>
      </c>
      <c r="N474" s="7" t="str">
        <f t="shared" si="482"/>
        <v/>
      </c>
      <c r="O474" s="7" t="str">
        <f t="shared" si="5"/>
        <v/>
      </c>
      <c r="P474" s="7">
        <f t="shared" si="411"/>
        <v>0</v>
      </c>
      <c r="Q474" s="7" t="str">
        <f t="shared" si="7"/>
        <v/>
      </c>
      <c r="T474" s="7"/>
    </row>
    <row r="475" ht="12.75" customHeight="1">
      <c r="A475" s="7">
        <v>474.0</v>
      </c>
      <c r="B475" s="7" t="s">
        <v>918</v>
      </c>
      <c r="C475" s="7" t="s">
        <v>4839</v>
      </c>
      <c r="D475" s="7"/>
      <c r="E475" s="7"/>
      <c r="F475" s="7" t="s">
        <v>4842</v>
      </c>
      <c r="G475" s="7" t="s">
        <v>3627</v>
      </c>
      <c r="H475" s="7" t="s">
        <v>3701</v>
      </c>
      <c r="I475" s="7" t="s">
        <v>3716</v>
      </c>
      <c r="K475" s="7" t="str">
        <f t="shared" si="2"/>
        <v/>
      </c>
      <c r="L475" s="7" t="str">
        <f t="shared" si="3"/>
        <v/>
      </c>
      <c r="M475" s="7">
        <f t="shared" ref="M475:N475" si="483">IF(LEN(M$1),COUNTIF($G475:$I475,M$1),"")</f>
        <v>0</v>
      </c>
      <c r="N475" s="7" t="str">
        <f t="shared" si="483"/>
        <v/>
      </c>
      <c r="O475" s="7" t="str">
        <f t="shared" si="5"/>
        <v/>
      </c>
      <c r="P475" s="7">
        <f t="shared" si="411"/>
        <v>0</v>
      </c>
      <c r="Q475" s="7" t="str">
        <f t="shared" si="7"/>
        <v/>
      </c>
      <c r="T475" s="7"/>
    </row>
    <row r="476" ht="12.75" customHeight="1">
      <c r="A476" s="7">
        <v>475.0</v>
      </c>
      <c r="B476" s="7" t="s">
        <v>1356</v>
      </c>
      <c r="C476" s="7" t="s">
        <v>4731</v>
      </c>
      <c r="D476" s="7"/>
      <c r="E476" s="7"/>
      <c r="F476" s="7" t="s">
        <v>4842</v>
      </c>
      <c r="G476" s="7" t="s">
        <v>3649</v>
      </c>
      <c r="H476" s="7" t="s">
        <v>3660</v>
      </c>
      <c r="I476" s="7" t="s">
        <v>3623</v>
      </c>
      <c r="K476" s="7" t="str">
        <f t="shared" si="2"/>
        <v/>
      </c>
      <c r="L476" s="7" t="str">
        <f t="shared" si="3"/>
        <v/>
      </c>
      <c r="M476" s="7">
        <f t="shared" ref="M476:N476" si="484">IF(LEN(M$1),COUNTIF($G476:$I476,M$1),"")</f>
        <v>0</v>
      </c>
      <c r="N476" s="7" t="str">
        <f t="shared" si="484"/>
        <v/>
      </c>
      <c r="O476" s="7" t="str">
        <f t="shared" si="5"/>
        <v/>
      </c>
      <c r="P476" s="7">
        <f t="shared" si="411"/>
        <v>0</v>
      </c>
      <c r="Q476" s="7" t="str">
        <f t="shared" si="7"/>
        <v/>
      </c>
      <c r="T476" s="7"/>
    </row>
    <row r="477" ht="12.75" customHeight="1">
      <c r="A477" s="7">
        <v>476.0</v>
      </c>
      <c r="B477" s="7" t="s">
        <v>882</v>
      </c>
      <c r="C477" s="7" t="s">
        <v>4839</v>
      </c>
      <c r="D477" s="7"/>
      <c r="E477" s="7"/>
      <c r="F477" s="7" t="s">
        <v>4842</v>
      </c>
      <c r="G477" s="7" t="s">
        <v>3658</v>
      </c>
      <c r="H477" s="7" t="s">
        <v>3513</v>
      </c>
      <c r="I477" s="7" t="s">
        <v>3462</v>
      </c>
      <c r="K477" s="7" t="str">
        <f t="shared" si="2"/>
        <v/>
      </c>
      <c r="L477" s="7" t="str">
        <f t="shared" si="3"/>
        <v/>
      </c>
      <c r="M477" s="7">
        <f t="shared" ref="M477:N477" si="485">IF(LEN(M$1),COUNTIF($G477:$I477,M$1),"")</f>
        <v>0</v>
      </c>
      <c r="N477" s="7" t="str">
        <f t="shared" si="485"/>
        <v/>
      </c>
      <c r="O477" s="7" t="str">
        <f t="shared" si="5"/>
        <v/>
      </c>
      <c r="P477" s="7">
        <f t="shared" si="411"/>
        <v>0</v>
      </c>
      <c r="Q477" s="7" t="str">
        <f t="shared" si="7"/>
        <v/>
      </c>
      <c r="T477" s="7"/>
    </row>
    <row r="478" ht="12.75" customHeight="1">
      <c r="A478" s="7">
        <v>477.0</v>
      </c>
      <c r="B478" s="7" t="s">
        <v>1371</v>
      </c>
      <c r="C478" s="7" t="s">
        <v>4735</v>
      </c>
      <c r="D478" s="7"/>
      <c r="E478" s="7"/>
      <c r="F478" s="7" t="s">
        <v>4842</v>
      </c>
      <c r="G478" s="7" t="s">
        <v>3570</v>
      </c>
      <c r="H478" s="7" t="s">
        <v>3713</v>
      </c>
      <c r="I478" s="7" t="s">
        <v>3698</v>
      </c>
      <c r="K478" s="7" t="str">
        <f t="shared" si="2"/>
        <v/>
      </c>
      <c r="L478" s="7" t="str">
        <f t="shared" si="3"/>
        <v/>
      </c>
      <c r="M478" s="7">
        <f t="shared" ref="M478:N478" si="486">IF(LEN(M$1),COUNTIF($G478:$I478,M$1),"")</f>
        <v>0</v>
      </c>
      <c r="N478" s="7" t="str">
        <f t="shared" si="486"/>
        <v/>
      </c>
      <c r="O478" s="7" t="str">
        <f t="shared" si="5"/>
        <v/>
      </c>
      <c r="P478" s="7">
        <f t="shared" si="411"/>
        <v>0</v>
      </c>
      <c r="Q478" s="7" t="str">
        <f t="shared" si="7"/>
        <v/>
      </c>
      <c r="T478" s="7"/>
    </row>
    <row r="479" ht="12.75" customHeight="1">
      <c r="A479" s="7">
        <v>478.0</v>
      </c>
      <c r="B479" s="7" t="s">
        <v>996</v>
      </c>
      <c r="C479" s="7" t="s">
        <v>2659</v>
      </c>
      <c r="D479" s="7"/>
      <c r="E479" s="7"/>
      <c r="F479" s="7" t="s">
        <v>4842</v>
      </c>
      <c r="G479" s="7" t="s">
        <v>3631</v>
      </c>
      <c r="H479" s="7" t="s">
        <v>3623</v>
      </c>
      <c r="I479" s="7" t="s">
        <v>3679</v>
      </c>
      <c r="K479" s="7" t="str">
        <f t="shared" si="2"/>
        <v/>
      </c>
      <c r="L479" s="7" t="str">
        <f t="shared" si="3"/>
        <v/>
      </c>
      <c r="M479" s="7">
        <f t="shared" ref="M479:N479" si="487">IF(LEN(M$1),COUNTIF($G479:$I479,M$1),"")</f>
        <v>0</v>
      </c>
      <c r="N479" s="7" t="str">
        <f t="shared" si="487"/>
        <v/>
      </c>
      <c r="O479" s="7" t="str">
        <f t="shared" si="5"/>
        <v/>
      </c>
      <c r="P479" s="7">
        <f t="shared" si="411"/>
        <v>0</v>
      </c>
      <c r="Q479" s="7" t="str">
        <f t="shared" si="7"/>
        <v/>
      </c>
      <c r="T479" s="7"/>
    </row>
    <row r="480" ht="12.75" customHeight="1">
      <c r="A480" s="7">
        <v>479.0</v>
      </c>
      <c r="B480" s="7" t="s">
        <v>1167</v>
      </c>
      <c r="C480" s="7" t="s">
        <v>4845</v>
      </c>
      <c r="D480" s="7"/>
      <c r="E480" s="7"/>
      <c r="F480" s="7" t="s">
        <v>4842</v>
      </c>
      <c r="G480" s="7" t="s">
        <v>3585</v>
      </c>
      <c r="H480" s="7" t="s">
        <v>3688</v>
      </c>
      <c r="I480" s="7" t="s">
        <v>3708</v>
      </c>
      <c r="K480" s="7" t="str">
        <f t="shared" si="2"/>
        <v/>
      </c>
      <c r="L480" s="7" t="str">
        <f t="shared" si="3"/>
        <v/>
      </c>
      <c r="M480" s="7">
        <f t="shared" ref="M480:N480" si="488">IF(LEN(M$1),COUNTIF($G480:$I480,M$1),"")</f>
        <v>0</v>
      </c>
      <c r="N480" s="7" t="str">
        <f t="shared" si="488"/>
        <v/>
      </c>
      <c r="O480" s="7" t="str">
        <f t="shared" si="5"/>
        <v/>
      </c>
      <c r="P480" s="7">
        <f t="shared" si="411"/>
        <v>0</v>
      </c>
      <c r="Q480" s="7" t="str">
        <f t="shared" si="7"/>
        <v/>
      </c>
      <c r="T480" s="7"/>
    </row>
    <row r="481" ht="12.75" customHeight="1">
      <c r="A481" s="7">
        <v>480.0</v>
      </c>
      <c r="B481" s="7" t="s">
        <v>1363</v>
      </c>
      <c r="C481" s="7" t="s">
        <v>4735</v>
      </c>
      <c r="D481" s="7"/>
      <c r="E481" s="7"/>
      <c r="F481" s="7" t="s">
        <v>4842</v>
      </c>
      <c r="G481" s="7" t="s">
        <v>3627</v>
      </c>
      <c r="H481" s="7" t="s">
        <v>3711</v>
      </c>
      <c r="I481" s="7" t="s">
        <v>3595</v>
      </c>
      <c r="K481" s="7" t="str">
        <f t="shared" si="2"/>
        <v/>
      </c>
      <c r="L481" s="7" t="str">
        <f t="shared" si="3"/>
        <v/>
      </c>
      <c r="M481" s="7">
        <f t="shared" ref="M481:N481" si="489">IF(LEN(M$1),COUNTIF($G481:$I481,M$1),"")</f>
        <v>0</v>
      </c>
      <c r="N481" s="7" t="str">
        <f t="shared" si="489"/>
        <v/>
      </c>
      <c r="O481" s="7" t="str">
        <f t="shared" si="5"/>
        <v/>
      </c>
      <c r="P481" s="7">
        <f t="shared" si="411"/>
        <v>0</v>
      </c>
      <c r="Q481" s="7" t="str">
        <f t="shared" si="7"/>
        <v/>
      </c>
      <c r="T481" s="7"/>
    </row>
    <row r="482" ht="12.75" customHeight="1">
      <c r="A482" s="7">
        <v>481.0</v>
      </c>
      <c r="B482" s="7" t="s">
        <v>1136</v>
      </c>
      <c r="C482" s="7" t="s">
        <v>4837</v>
      </c>
      <c r="D482" s="7"/>
      <c r="E482" s="7"/>
      <c r="F482" s="7" t="s">
        <v>4842</v>
      </c>
      <c r="G482" s="7" t="s">
        <v>3690</v>
      </c>
      <c r="H482" s="7" t="s">
        <v>3473</v>
      </c>
      <c r="I482" s="7" t="s">
        <v>3455</v>
      </c>
      <c r="K482" s="7" t="str">
        <f t="shared" si="2"/>
        <v/>
      </c>
      <c r="L482" s="7" t="str">
        <f t="shared" si="3"/>
        <v/>
      </c>
      <c r="M482" s="7">
        <f t="shared" ref="M482:N482" si="490">IF(LEN(M$1),COUNTIF($G482:$I482,M$1),"")</f>
        <v>0</v>
      </c>
      <c r="N482" s="7" t="str">
        <f t="shared" si="490"/>
        <v/>
      </c>
      <c r="O482" s="7" t="str">
        <f t="shared" si="5"/>
        <v/>
      </c>
      <c r="P482" s="7">
        <f t="shared" si="411"/>
        <v>0</v>
      </c>
      <c r="Q482" s="7" t="str">
        <f t="shared" si="7"/>
        <v/>
      </c>
      <c r="T482" s="7"/>
    </row>
    <row r="483" ht="12.75" customHeight="1">
      <c r="A483" s="7">
        <v>482.0</v>
      </c>
      <c r="B483" s="7" t="s">
        <v>1214</v>
      </c>
      <c r="C483" s="7" t="s">
        <v>4846</v>
      </c>
      <c r="D483" s="7"/>
      <c r="E483" s="7"/>
      <c r="F483" s="7" t="s">
        <v>4842</v>
      </c>
      <c r="G483" s="7" t="s">
        <v>3520</v>
      </c>
      <c r="H483" s="7" t="s">
        <v>3695</v>
      </c>
      <c r="I483" s="7" t="s">
        <v>3720</v>
      </c>
      <c r="K483" s="7" t="str">
        <f t="shared" si="2"/>
        <v/>
      </c>
      <c r="L483" s="7" t="str">
        <f t="shared" si="3"/>
        <v/>
      </c>
      <c r="M483" s="7">
        <f t="shared" ref="M483:N483" si="491">IF(LEN(M$1),COUNTIF($G483:$I483,M$1),"")</f>
        <v>0</v>
      </c>
      <c r="N483" s="7" t="str">
        <f t="shared" si="491"/>
        <v/>
      </c>
      <c r="O483" s="7" t="str">
        <f t="shared" si="5"/>
        <v/>
      </c>
      <c r="P483" s="7">
        <f t="shared" si="411"/>
        <v>0</v>
      </c>
      <c r="Q483" s="7" t="str">
        <f t="shared" si="7"/>
        <v/>
      </c>
      <c r="T483" s="7"/>
    </row>
    <row r="484" ht="12.75" customHeight="1">
      <c r="A484" s="7">
        <v>483.0</v>
      </c>
      <c r="B484" s="7" t="s">
        <v>1174</v>
      </c>
      <c r="C484" s="7" t="s">
        <v>4845</v>
      </c>
      <c r="D484" s="7"/>
      <c r="E484" s="7"/>
      <c r="F484" s="7" t="s">
        <v>4842</v>
      </c>
      <c r="G484" s="7" t="s">
        <v>3675</v>
      </c>
      <c r="H484" s="7" t="s">
        <v>3588</v>
      </c>
      <c r="I484" s="7" t="s">
        <v>3701</v>
      </c>
      <c r="K484" s="7" t="str">
        <f t="shared" si="2"/>
        <v/>
      </c>
      <c r="L484" s="7" t="str">
        <f t="shared" si="3"/>
        <v/>
      </c>
      <c r="M484" s="7">
        <f t="shared" ref="M484:N484" si="492">IF(LEN(M$1),COUNTIF($G484:$I484,M$1),"")</f>
        <v>0</v>
      </c>
      <c r="N484" s="7" t="str">
        <f t="shared" si="492"/>
        <v/>
      </c>
      <c r="O484" s="7" t="str">
        <f t="shared" si="5"/>
        <v/>
      </c>
      <c r="P484" s="7">
        <f t="shared" si="411"/>
        <v>0</v>
      </c>
      <c r="Q484" s="7" t="str">
        <f t="shared" si="7"/>
        <v/>
      </c>
      <c r="T484" s="7"/>
    </row>
    <row r="485" ht="12.75" customHeight="1">
      <c r="A485" s="7">
        <v>484.0</v>
      </c>
      <c r="B485" s="7" t="s">
        <v>1251</v>
      </c>
      <c r="C485" s="7" t="s">
        <v>4843</v>
      </c>
      <c r="D485" s="7"/>
      <c r="E485" s="7"/>
      <c r="F485" s="7" t="s">
        <v>4842</v>
      </c>
      <c r="G485" s="7" t="s">
        <v>3643</v>
      </c>
      <c r="H485" s="7" t="s">
        <v>3665</v>
      </c>
      <c r="I485" s="7" t="s">
        <v>3631</v>
      </c>
      <c r="K485" s="7" t="str">
        <f t="shared" si="2"/>
        <v/>
      </c>
      <c r="L485" s="7" t="str">
        <f t="shared" si="3"/>
        <v/>
      </c>
      <c r="M485" s="7">
        <f t="shared" ref="M485:N485" si="493">IF(LEN(M$1),COUNTIF($G485:$I485,M$1),"")</f>
        <v>0</v>
      </c>
      <c r="N485" s="7" t="str">
        <f t="shared" si="493"/>
        <v/>
      </c>
      <c r="O485" s="7" t="str">
        <f t="shared" si="5"/>
        <v/>
      </c>
      <c r="P485" s="7">
        <f t="shared" si="411"/>
        <v>0</v>
      </c>
      <c r="Q485" s="7" t="str">
        <f t="shared" si="7"/>
        <v/>
      </c>
      <c r="T485" s="7"/>
    </row>
    <row r="486" ht="12.75" customHeight="1">
      <c r="A486" s="7">
        <v>485.0</v>
      </c>
      <c r="B486" s="7" t="s">
        <v>1198</v>
      </c>
      <c r="C486" s="7" t="s">
        <v>4841</v>
      </c>
      <c r="D486" s="7"/>
      <c r="E486" s="7"/>
      <c r="F486" s="7" t="s">
        <v>4842</v>
      </c>
      <c r="G486" s="7" t="s">
        <v>3713</v>
      </c>
      <c r="H486" s="7" t="s">
        <v>3693</v>
      </c>
      <c r="I486" s="7" t="s">
        <v>3663</v>
      </c>
      <c r="K486" s="7" t="str">
        <f t="shared" si="2"/>
        <v/>
      </c>
      <c r="L486" s="7" t="str">
        <f t="shared" si="3"/>
        <v/>
      </c>
      <c r="M486" s="7">
        <f t="shared" ref="M486:N486" si="494">IF(LEN(M$1),COUNTIF($G486:$I486,M$1),"")</f>
        <v>0</v>
      </c>
      <c r="N486" s="7" t="str">
        <f t="shared" si="494"/>
        <v/>
      </c>
      <c r="O486" s="7" t="str">
        <f t="shared" si="5"/>
        <v/>
      </c>
      <c r="P486" s="7">
        <f t="shared" si="411"/>
        <v>0</v>
      </c>
      <c r="Q486" s="7" t="str">
        <f t="shared" si="7"/>
        <v/>
      </c>
      <c r="T486" s="7"/>
    </row>
    <row r="487" ht="12.75" customHeight="1">
      <c r="A487" s="7">
        <v>486.0</v>
      </c>
      <c r="B487" s="7" t="s">
        <v>1174</v>
      </c>
      <c r="C487" s="7" t="s">
        <v>4845</v>
      </c>
      <c r="D487" s="7"/>
      <c r="E487" s="7"/>
      <c r="F487" s="7" t="s">
        <v>4842</v>
      </c>
      <c r="G487" s="7" t="s">
        <v>3643</v>
      </c>
      <c r="H487" s="7" t="s">
        <v>3564</v>
      </c>
      <c r="I487" s="7" t="s">
        <v>3576</v>
      </c>
      <c r="K487" s="7" t="str">
        <f t="shared" si="2"/>
        <v/>
      </c>
      <c r="L487" s="7" t="str">
        <f t="shared" si="3"/>
        <v/>
      </c>
      <c r="M487" s="7">
        <f t="shared" ref="M487:N487" si="495">IF(LEN(M$1),COUNTIF($G487:$I487,M$1),"")</f>
        <v>0</v>
      </c>
      <c r="N487" s="7" t="str">
        <f t="shared" si="495"/>
        <v/>
      </c>
      <c r="O487" s="7" t="str">
        <f t="shared" si="5"/>
        <v/>
      </c>
      <c r="P487" s="7">
        <f t="shared" si="411"/>
        <v>0</v>
      </c>
      <c r="Q487" s="7" t="str">
        <f t="shared" si="7"/>
        <v/>
      </c>
      <c r="T487" s="7"/>
    </row>
    <row r="488" ht="12.75" customHeight="1">
      <c r="A488" s="7">
        <v>487.0</v>
      </c>
      <c r="B488" s="7" t="s">
        <v>1393</v>
      </c>
      <c r="C488" s="7" t="s">
        <v>4786</v>
      </c>
      <c r="D488" s="7"/>
      <c r="E488" s="7"/>
      <c r="F488" s="7" t="s">
        <v>4842</v>
      </c>
      <c r="G488" s="7" t="s">
        <v>3551</v>
      </c>
      <c r="H488" s="7" t="s">
        <v>3724</v>
      </c>
      <c r="I488" s="7" t="s">
        <v>3693</v>
      </c>
      <c r="K488" s="7" t="str">
        <f t="shared" si="2"/>
        <v/>
      </c>
      <c r="L488" s="7" t="str">
        <f t="shared" si="3"/>
        <v/>
      </c>
      <c r="M488" s="7">
        <f t="shared" ref="M488:N488" si="496">IF(LEN(M$1),COUNTIF($G488:$I488,M$1),"")</f>
        <v>0</v>
      </c>
      <c r="N488" s="7" t="str">
        <f t="shared" si="496"/>
        <v/>
      </c>
      <c r="O488" s="7" t="str">
        <f t="shared" si="5"/>
        <v/>
      </c>
      <c r="P488" s="7">
        <f t="shared" si="411"/>
        <v>0</v>
      </c>
      <c r="Q488" s="7" t="str">
        <f t="shared" si="7"/>
        <v/>
      </c>
      <c r="T488" s="7"/>
    </row>
    <row r="489" ht="12.75" customHeight="1">
      <c r="A489" s="7">
        <v>488.0</v>
      </c>
      <c r="B489" s="7" t="s">
        <v>1075</v>
      </c>
      <c r="C489" s="7" t="s">
        <v>4840</v>
      </c>
      <c r="D489" s="7"/>
      <c r="E489" s="7"/>
      <c r="F489" s="7" t="s">
        <v>4842</v>
      </c>
      <c r="G489" s="7" t="s">
        <v>3591</v>
      </c>
      <c r="H489" s="7" t="s">
        <v>3598</v>
      </c>
      <c r="I489" s="7" t="s">
        <v>3705</v>
      </c>
      <c r="K489" s="7" t="str">
        <f t="shared" si="2"/>
        <v/>
      </c>
      <c r="L489" s="7" t="str">
        <f t="shared" si="3"/>
        <v/>
      </c>
      <c r="M489" s="7">
        <f t="shared" ref="M489:N489" si="497">IF(LEN(M$1),COUNTIF($G489:$I489,M$1),"")</f>
        <v>0</v>
      </c>
      <c r="N489" s="7" t="str">
        <f t="shared" si="497"/>
        <v/>
      </c>
      <c r="O489" s="7" t="str">
        <f t="shared" si="5"/>
        <v/>
      </c>
      <c r="P489" s="7">
        <f t="shared" si="411"/>
        <v>0</v>
      </c>
      <c r="Q489" s="7" t="str">
        <f t="shared" si="7"/>
        <v/>
      </c>
      <c r="T489" s="7"/>
    </row>
    <row r="490" ht="12.75" customHeight="1">
      <c r="A490" s="7">
        <v>489.0</v>
      </c>
      <c r="B490" s="7" t="s">
        <v>1057</v>
      </c>
      <c r="C490" s="7" t="s">
        <v>4831</v>
      </c>
      <c r="D490" s="7"/>
      <c r="E490" s="7"/>
      <c r="F490" s="7" t="s">
        <v>4842</v>
      </c>
      <c r="G490" s="7" t="s">
        <v>3703</v>
      </c>
      <c r="H490" s="7" t="s">
        <v>3673</v>
      </c>
      <c r="I490" s="7" t="s">
        <v>3588</v>
      </c>
      <c r="K490" s="7" t="str">
        <f t="shared" si="2"/>
        <v/>
      </c>
      <c r="L490" s="7" t="str">
        <f t="shared" si="3"/>
        <v/>
      </c>
      <c r="M490" s="7">
        <f t="shared" ref="M490:N490" si="498">IF(LEN(M$1),COUNTIF($G490:$I490,M$1),"")</f>
        <v>0</v>
      </c>
      <c r="N490" s="7" t="str">
        <f t="shared" si="498"/>
        <v/>
      </c>
      <c r="O490" s="7" t="str">
        <f t="shared" si="5"/>
        <v/>
      </c>
      <c r="P490" s="7">
        <f t="shared" si="411"/>
        <v>0</v>
      </c>
      <c r="Q490" s="7" t="str">
        <f t="shared" si="7"/>
        <v/>
      </c>
      <c r="T490" s="7"/>
    </row>
    <row r="491" ht="12.75" customHeight="1">
      <c r="A491" s="7">
        <v>490.0</v>
      </c>
      <c r="B491" s="7" t="s">
        <v>1115</v>
      </c>
      <c r="C491" s="7" t="s">
        <v>4829</v>
      </c>
      <c r="D491" s="7"/>
      <c r="E491" s="7"/>
      <c r="F491" s="7" t="s">
        <v>4842</v>
      </c>
      <c r="G491" s="7" t="s">
        <v>3722</v>
      </c>
      <c r="H491" s="7" t="s">
        <v>3716</v>
      </c>
      <c r="I491" s="7" t="s">
        <v>3695</v>
      </c>
      <c r="K491" s="7" t="str">
        <f t="shared" si="2"/>
        <v/>
      </c>
      <c r="L491" s="7" t="str">
        <f t="shared" si="3"/>
        <v/>
      </c>
      <c r="M491" s="7">
        <f t="shared" ref="M491:N491" si="499">IF(LEN(M$1),COUNTIF($G491:$I491,M$1),"")</f>
        <v>0</v>
      </c>
      <c r="N491" s="7" t="str">
        <f t="shared" si="499"/>
        <v/>
      </c>
      <c r="O491" s="7" t="str">
        <f t="shared" si="5"/>
        <v/>
      </c>
      <c r="P491" s="7">
        <f t="shared" si="411"/>
        <v>0</v>
      </c>
      <c r="Q491" s="7" t="str">
        <f t="shared" si="7"/>
        <v/>
      </c>
      <c r="T491" s="7"/>
    </row>
    <row r="492" ht="12.75" customHeight="1">
      <c r="A492" s="7">
        <v>491.0</v>
      </c>
      <c r="B492" s="7" t="s">
        <v>1229</v>
      </c>
      <c r="C492" s="7" t="s">
        <v>4844</v>
      </c>
      <c r="D492" s="7"/>
      <c r="E492" s="7"/>
      <c r="F492" s="7" t="s">
        <v>4842</v>
      </c>
      <c r="G492" s="7" t="s">
        <v>3609</v>
      </c>
      <c r="H492" s="7" t="s">
        <v>3574</v>
      </c>
      <c r="I492" s="7" t="s">
        <v>3544</v>
      </c>
      <c r="K492" s="7" t="str">
        <f t="shared" si="2"/>
        <v/>
      </c>
      <c r="L492" s="7" t="str">
        <f t="shared" si="3"/>
        <v/>
      </c>
      <c r="M492" s="7">
        <f t="shared" ref="M492:N492" si="500">IF(LEN(M$1),COUNTIF($G492:$I492,M$1),"")</f>
        <v>0</v>
      </c>
      <c r="N492" s="7" t="str">
        <f t="shared" si="500"/>
        <v/>
      </c>
      <c r="O492" s="7" t="str">
        <f t="shared" si="5"/>
        <v/>
      </c>
      <c r="P492" s="7">
        <f t="shared" si="411"/>
        <v>0</v>
      </c>
      <c r="Q492" s="7" t="str">
        <f t="shared" si="7"/>
        <v/>
      </c>
      <c r="T492" s="7"/>
    </row>
    <row r="493" ht="12.75" customHeight="1">
      <c r="A493" s="7">
        <v>492.0</v>
      </c>
      <c r="B493" s="7" t="s">
        <v>1190</v>
      </c>
      <c r="C493" s="7" t="s">
        <v>4841</v>
      </c>
      <c r="D493" s="7"/>
      <c r="E493" s="7"/>
      <c r="F493" s="7" t="s">
        <v>4842</v>
      </c>
      <c r="G493" s="7" t="s">
        <v>3559</v>
      </c>
      <c r="H493" s="7" t="s">
        <v>3654</v>
      </c>
      <c r="I493" s="7" t="s">
        <v>3649</v>
      </c>
      <c r="K493" s="7" t="str">
        <f t="shared" si="2"/>
        <v/>
      </c>
      <c r="L493" s="7" t="str">
        <f t="shared" si="3"/>
        <v/>
      </c>
      <c r="M493" s="7">
        <f t="shared" ref="M493:N493" si="501">IF(LEN(M$1),COUNTIF($G493:$I493,M$1),"")</f>
        <v>0</v>
      </c>
      <c r="N493" s="7" t="str">
        <f t="shared" si="501"/>
        <v/>
      </c>
      <c r="O493" s="7" t="str">
        <f t="shared" si="5"/>
        <v/>
      </c>
      <c r="P493" s="7">
        <f t="shared" si="411"/>
        <v>0</v>
      </c>
      <c r="Q493" s="7" t="str">
        <f t="shared" si="7"/>
        <v/>
      </c>
      <c r="T493" s="7"/>
    </row>
    <row r="494" ht="12.75" customHeight="1">
      <c r="A494" s="7">
        <v>493.0</v>
      </c>
      <c r="B494" s="7" t="s">
        <v>1402</v>
      </c>
      <c r="C494" s="7" t="s">
        <v>4786</v>
      </c>
      <c r="D494" s="7"/>
      <c r="E494" s="7"/>
      <c r="F494" s="7" t="s">
        <v>4842</v>
      </c>
      <c r="G494" s="7" t="s">
        <v>3631</v>
      </c>
      <c r="H494" s="7" t="s">
        <v>3637</v>
      </c>
      <c r="I494" s="7" t="s">
        <v>3711</v>
      </c>
      <c r="K494" s="7" t="str">
        <f t="shared" si="2"/>
        <v/>
      </c>
      <c r="L494" s="7" t="str">
        <f t="shared" si="3"/>
        <v/>
      </c>
      <c r="M494" s="7">
        <f t="shared" ref="M494:N494" si="502">IF(LEN(M$1),COUNTIF($G494:$I494,M$1),"")</f>
        <v>0</v>
      </c>
      <c r="N494" s="7" t="str">
        <f t="shared" si="502"/>
        <v/>
      </c>
      <c r="O494" s="7" t="str">
        <f t="shared" si="5"/>
        <v/>
      </c>
      <c r="P494" s="7">
        <f t="shared" si="411"/>
        <v>0</v>
      </c>
      <c r="Q494" s="7" t="str">
        <f t="shared" si="7"/>
        <v/>
      </c>
      <c r="T494" s="7"/>
    </row>
    <row r="495" ht="12.75" customHeight="1">
      <c r="A495" s="7">
        <v>494.0</v>
      </c>
      <c r="B495" s="7" t="s">
        <v>194</v>
      </c>
      <c r="C495" s="7" t="s">
        <v>4830</v>
      </c>
      <c r="D495" s="7"/>
      <c r="E495" s="7"/>
      <c r="F495" s="7" t="s">
        <v>4842</v>
      </c>
      <c r="G495" s="7" t="s">
        <v>3656</v>
      </c>
      <c r="H495" s="7" t="s">
        <v>3688</v>
      </c>
      <c r="I495" s="7" t="s">
        <v>3588</v>
      </c>
      <c r="K495" s="7" t="str">
        <f t="shared" si="2"/>
        <v/>
      </c>
      <c r="L495" s="7" t="str">
        <f t="shared" si="3"/>
        <v/>
      </c>
      <c r="M495" s="7">
        <f t="shared" ref="M495:N495" si="503">IF(LEN(M$1),COUNTIF($G495:$I495,M$1),"")</f>
        <v>0</v>
      </c>
      <c r="N495" s="7" t="str">
        <f t="shared" si="503"/>
        <v/>
      </c>
      <c r="O495" s="7" t="str">
        <f t="shared" si="5"/>
        <v/>
      </c>
      <c r="P495" s="7">
        <f t="shared" si="411"/>
        <v>0</v>
      </c>
      <c r="Q495" s="7" t="str">
        <f t="shared" si="7"/>
        <v/>
      </c>
      <c r="T495" s="7"/>
    </row>
    <row r="496" ht="12.75" customHeight="1">
      <c r="A496" s="7">
        <v>495.0</v>
      </c>
      <c r="B496" s="7" t="s">
        <v>1323</v>
      </c>
      <c r="C496" s="7" t="s">
        <v>4717</v>
      </c>
      <c r="D496" s="7"/>
      <c r="E496" s="7"/>
      <c r="F496" s="7" t="s">
        <v>4842</v>
      </c>
      <c r="G496" s="7" t="s">
        <v>3623</v>
      </c>
      <c r="H496" s="7" t="s">
        <v>3609</v>
      </c>
      <c r="I496" s="7" t="s">
        <v>3656</v>
      </c>
      <c r="K496" s="7" t="str">
        <f t="shared" si="2"/>
        <v/>
      </c>
      <c r="L496" s="7" t="str">
        <f t="shared" si="3"/>
        <v/>
      </c>
      <c r="M496" s="7">
        <f t="shared" ref="M496:N496" si="504">IF(LEN(M$1),COUNTIF($G496:$I496,M$1),"")</f>
        <v>0</v>
      </c>
      <c r="N496" s="7" t="str">
        <f t="shared" si="504"/>
        <v/>
      </c>
      <c r="O496" s="7" t="str">
        <f t="shared" si="5"/>
        <v/>
      </c>
      <c r="P496" s="7">
        <f t="shared" si="411"/>
        <v>0</v>
      </c>
      <c r="Q496" s="7" t="str">
        <f t="shared" si="7"/>
        <v/>
      </c>
      <c r="T496" s="7"/>
    </row>
    <row r="497" ht="12.75" customHeight="1">
      <c r="A497" s="7">
        <v>496.0</v>
      </c>
      <c r="B497" s="7" t="s">
        <v>1012</v>
      </c>
      <c r="C497" s="7" t="s">
        <v>2659</v>
      </c>
      <c r="D497" s="7"/>
      <c r="E497" s="7"/>
      <c r="F497" s="7" t="s">
        <v>4842</v>
      </c>
      <c r="G497" s="7" t="s">
        <v>3677</v>
      </c>
      <c r="H497" s="7" t="s">
        <v>3525</v>
      </c>
      <c r="I497" s="7" t="s">
        <v>3546</v>
      </c>
      <c r="K497" s="7" t="str">
        <f t="shared" si="2"/>
        <v/>
      </c>
      <c r="L497" s="7" t="str">
        <f t="shared" si="3"/>
        <v/>
      </c>
      <c r="M497" s="7">
        <f t="shared" ref="M497:N497" si="505">IF(LEN(M$1),COUNTIF($G497:$I497,M$1),"")</f>
        <v>0</v>
      </c>
      <c r="N497" s="7" t="str">
        <f t="shared" si="505"/>
        <v/>
      </c>
      <c r="O497" s="7" t="str">
        <f t="shared" si="5"/>
        <v/>
      </c>
      <c r="P497" s="7">
        <f t="shared" si="411"/>
        <v>0</v>
      </c>
      <c r="Q497" s="7" t="str">
        <f t="shared" si="7"/>
        <v/>
      </c>
      <c r="T497" s="7"/>
    </row>
    <row r="498" ht="12.75" customHeight="1">
      <c r="A498" s="7">
        <v>497.0</v>
      </c>
      <c r="B498" s="7" t="s">
        <v>939</v>
      </c>
      <c r="C498" s="7" t="s">
        <v>4827</v>
      </c>
      <c r="D498" s="7"/>
      <c r="E498" s="7"/>
      <c r="F498" s="7" t="s">
        <v>4842</v>
      </c>
      <c r="G498" s="7" t="s">
        <v>3502</v>
      </c>
      <c r="H498" s="7" t="s">
        <v>3656</v>
      </c>
      <c r="I498" s="7" t="s">
        <v>3695</v>
      </c>
      <c r="K498" s="7" t="str">
        <f t="shared" si="2"/>
        <v/>
      </c>
      <c r="L498" s="7" t="str">
        <f t="shared" si="3"/>
        <v/>
      </c>
      <c r="M498" s="7">
        <f t="shared" ref="M498:N498" si="506">IF(LEN(M$1),COUNTIF($G498:$I498,M$1),"")</f>
        <v>0</v>
      </c>
      <c r="N498" s="7" t="str">
        <f t="shared" si="506"/>
        <v/>
      </c>
      <c r="O498" s="7" t="str">
        <f t="shared" si="5"/>
        <v/>
      </c>
      <c r="P498" s="7">
        <f t="shared" si="411"/>
        <v>0</v>
      </c>
      <c r="Q498" s="7" t="str">
        <f t="shared" si="7"/>
        <v/>
      </c>
      <c r="T498" s="7"/>
    </row>
    <row r="499" ht="12.75" customHeight="1">
      <c r="A499" s="7">
        <v>498.0</v>
      </c>
      <c r="B499" s="7" t="s">
        <v>1066</v>
      </c>
      <c r="C499" s="7" t="s">
        <v>4831</v>
      </c>
      <c r="D499" s="7"/>
      <c r="E499" s="7"/>
      <c r="F499" s="7" t="s">
        <v>4842</v>
      </c>
      <c r="G499" s="7" t="s">
        <v>3633</v>
      </c>
      <c r="H499" s="7" t="s">
        <v>3713</v>
      </c>
      <c r="I499" s="7" t="s">
        <v>3688</v>
      </c>
      <c r="K499" s="7" t="str">
        <f t="shared" si="2"/>
        <v/>
      </c>
      <c r="L499" s="7" t="str">
        <f t="shared" si="3"/>
        <v/>
      </c>
      <c r="M499" s="7">
        <f t="shared" ref="M499:N499" si="507">IF(LEN(M$1),COUNTIF($G499:$I499,M$1),"")</f>
        <v>0</v>
      </c>
      <c r="N499" s="7" t="str">
        <f t="shared" si="507"/>
        <v/>
      </c>
      <c r="O499" s="7" t="str">
        <f t="shared" si="5"/>
        <v/>
      </c>
      <c r="P499" s="7">
        <f t="shared" si="411"/>
        <v>0</v>
      </c>
      <c r="Q499" s="7" t="str">
        <f t="shared" si="7"/>
        <v/>
      </c>
      <c r="T499" s="7"/>
    </row>
    <row r="500" ht="12.75" customHeight="1">
      <c r="A500" s="7">
        <v>499.0</v>
      </c>
      <c r="B500" s="7" t="s">
        <v>1356</v>
      </c>
      <c r="C500" s="7" t="s">
        <v>4731</v>
      </c>
      <c r="D500" s="7"/>
      <c r="E500" s="7"/>
      <c r="F500" s="7" t="s">
        <v>4842</v>
      </c>
      <c r="G500" s="7" t="s">
        <v>3703</v>
      </c>
      <c r="H500" s="7" t="s">
        <v>3598</v>
      </c>
      <c r="I500" s="7" t="s">
        <v>3722</v>
      </c>
      <c r="K500" s="7" t="str">
        <f t="shared" si="2"/>
        <v/>
      </c>
      <c r="L500" s="7" t="str">
        <f t="shared" si="3"/>
        <v/>
      </c>
      <c r="M500" s="7">
        <f t="shared" ref="M500:N500" si="508">IF(LEN(M$1),COUNTIF($G500:$I500,M$1),"")</f>
        <v>0</v>
      </c>
      <c r="N500" s="7" t="str">
        <f t="shared" si="508"/>
        <v/>
      </c>
      <c r="O500" s="7" t="str">
        <f t="shared" si="5"/>
        <v/>
      </c>
      <c r="P500" s="7">
        <f t="shared" si="411"/>
        <v>0</v>
      </c>
      <c r="Q500" s="7" t="str">
        <f t="shared" si="7"/>
        <v/>
      </c>
      <c r="T500" s="7"/>
    </row>
    <row r="501" ht="12.75" customHeight="1">
      <c r="A501" s="7">
        <v>500.0</v>
      </c>
      <c r="B501" s="7" t="s">
        <v>1004</v>
      </c>
      <c r="C501" s="7" t="s">
        <v>2659</v>
      </c>
      <c r="D501" s="7"/>
      <c r="E501" s="7"/>
      <c r="F501" s="7" t="s">
        <v>4842</v>
      </c>
      <c r="G501" s="7" t="s">
        <v>3675</v>
      </c>
      <c r="H501" s="7" t="s">
        <v>3618</v>
      </c>
      <c r="I501" s="7" t="s">
        <v>3724</v>
      </c>
      <c r="K501" s="7" t="str">
        <f t="shared" si="2"/>
        <v/>
      </c>
      <c r="L501" s="7" t="str">
        <f t="shared" si="3"/>
        <v/>
      </c>
      <c r="M501" s="7">
        <f t="shared" ref="M501:N501" si="509">IF(LEN(M$1),COUNTIF($G501:$I501,M$1),"")</f>
        <v>0</v>
      </c>
      <c r="N501" s="7" t="str">
        <f t="shared" si="509"/>
        <v/>
      </c>
      <c r="O501" s="7" t="str">
        <f t="shared" si="5"/>
        <v/>
      </c>
      <c r="P501" s="7">
        <f t="shared" si="411"/>
        <v>0</v>
      </c>
      <c r="Q501" s="7" t="str">
        <f t="shared" si="7"/>
        <v/>
      </c>
      <c r="T501" s="7"/>
    </row>
    <row r="502" ht="12.75" customHeight="1">
      <c r="A502" s="7">
        <v>501.0</v>
      </c>
      <c r="B502" s="7" t="s">
        <v>1433</v>
      </c>
      <c r="C502" s="7" t="s">
        <v>4758</v>
      </c>
      <c r="D502" s="7"/>
      <c r="E502" s="7"/>
      <c r="F502" s="7" t="s">
        <v>4847</v>
      </c>
      <c r="G502" s="7" t="s">
        <v>3769</v>
      </c>
      <c r="H502" s="7" t="s">
        <v>3663</v>
      </c>
      <c r="I502" s="7" t="s">
        <v>3673</v>
      </c>
      <c r="K502" s="7" t="str">
        <f t="shared" si="2"/>
        <v/>
      </c>
      <c r="L502" s="7" t="str">
        <f t="shared" si="3"/>
        <v/>
      </c>
      <c r="M502" s="7">
        <f t="shared" ref="M502:N502" si="510">IF(LEN(M$1),COUNTIF($G502:$I502,M$1),"")</f>
        <v>0</v>
      </c>
      <c r="N502" s="7" t="str">
        <f t="shared" si="510"/>
        <v/>
      </c>
      <c r="O502" s="7" t="str">
        <f t="shared" si="5"/>
        <v/>
      </c>
      <c r="P502" s="7">
        <f t="shared" ref="P502:P601" si="512">IF(LEN(P$1),IF(P$1=6,1,0),"")</f>
        <v>0</v>
      </c>
      <c r="Q502" s="7" t="str">
        <f t="shared" si="7"/>
        <v/>
      </c>
      <c r="T502" s="7"/>
    </row>
    <row r="503" ht="12.75" customHeight="1">
      <c r="A503" s="7">
        <v>502.0</v>
      </c>
      <c r="B503" s="7" t="s">
        <v>1622</v>
      </c>
      <c r="C503" s="7" t="s">
        <v>4756</v>
      </c>
      <c r="D503" s="7"/>
      <c r="E503" s="7"/>
      <c r="F503" s="7" t="s">
        <v>4847</v>
      </c>
      <c r="G503" s="7" t="s">
        <v>3679</v>
      </c>
      <c r="H503" s="7" t="s">
        <v>3752</v>
      </c>
      <c r="I503" s="7" t="s">
        <v>3789</v>
      </c>
      <c r="K503" s="7" t="str">
        <f t="shared" si="2"/>
        <v/>
      </c>
      <c r="L503" s="7" t="str">
        <f t="shared" si="3"/>
        <v/>
      </c>
      <c r="M503" s="7">
        <f t="shared" ref="M503:N503" si="511">IF(LEN(M$1),COUNTIF($G503:$I503,M$1),"")</f>
        <v>0</v>
      </c>
      <c r="N503" s="7" t="str">
        <f t="shared" si="511"/>
        <v/>
      </c>
      <c r="O503" s="7" t="str">
        <f t="shared" si="5"/>
        <v/>
      </c>
      <c r="P503" s="7">
        <f t="shared" si="512"/>
        <v>0</v>
      </c>
      <c r="Q503" s="7" t="str">
        <f t="shared" si="7"/>
        <v/>
      </c>
      <c r="T503" s="7"/>
    </row>
    <row r="504" ht="12.75" customHeight="1">
      <c r="A504" s="7">
        <v>503.0</v>
      </c>
      <c r="B504" s="7" t="s">
        <v>1222</v>
      </c>
      <c r="C504" s="7" t="s">
        <v>4846</v>
      </c>
      <c r="D504" s="7"/>
      <c r="E504" s="7"/>
      <c r="F504" s="7" t="s">
        <v>4847</v>
      </c>
      <c r="G504" s="7" t="s">
        <v>3850</v>
      </c>
      <c r="H504" s="7" t="s">
        <v>3748</v>
      </c>
      <c r="I504" s="7" t="s">
        <v>3791</v>
      </c>
      <c r="K504" s="7" t="str">
        <f t="shared" si="2"/>
        <v/>
      </c>
      <c r="L504" s="7" t="str">
        <f t="shared" si="3"/>
        <v/>
      </c>
      <c r="M504" s="7">
        <f t="shared" ref="M504:N504" si="513">IF(LEN(M$1),COUNTIF($G504:$I504,M$1),"")</f>
        <v>0</v>
      </c>
      <c r="N504" s="7" t="str">
        <f t="shared" si="513"/>
        <v/>
      </c>
      <c r="O504" s="7" t="str">
        <f t="shared" si="5"/>
        <v/>
      </c>
      <c r="P504" s="7">
        <f t="shared" si="512"/>
        <v>0</v>
      </c>
      <c r="Q504" s="7" t="str">
        <f t="shared" si="7"/>
        <v/>
      </c>
      <c r="T504" s="7"/>
    </row>
    <row r="505" ht="12.75" customHeight="1">
      <c r="A505" s="7">
        <v>504.0</v>
      </c>
      <c r="B505" s="7" t="s">
        <v>1257</v>
      </c>
      <c r="C505" s="7" t="s">
        <v>4837</v>
      </c>
      <c r="D505" s="7"/>
      <c r="E505" s="7"/>
      <c r="F505" s="7" t="s">
        <v>4847</v>
      </c>
      <c r="G505" s="7" t="s">
        <v>3737</v>
      </c>
      <c r="H505" s="7" t="s">
        <v>3782</v>
      </c>
      <c r="I505" s="7" t="s">
        <v>3755</v>
      </c>
      <c r="K505" s="7" t="str">
        <f t="shared" si="2"/>
        <v/>
      </c>
      <c r="L505" s="7" t="str">
        <f t="shared" si="3"/>
        <v/>
      </c>
      <c r="M505" s="7">
        <f t="shared" ref="M505:N505" si="514">IF(LEN(M$1),COUNTIF($G505:$I505,M$1),"")</f>
        <v>0</v>
      </c>
      <c r="N505" s="7" t="str">
        <f t="shared" si="514"/>
        <v/>
      </c>
      <c r="O505" s="7" t="str">
        <f t="shared" si="5"/>
        <v/>
      </c>
      <c r="P505" s="7">
        <f t="shared" si="512"/>
        <v>0</v>
      </c>
      <c r="Q505" s="7" t="str">
        <f t="shared" si="7"/>
        <v/>
      </c>
      <c r="T505" s="7"/>
    </row>
    <row r="506" ht="12.75" customHeight="1">
      <c r="A506" s="7">
        <v>505.0</v>
      </c>
      <c r="B506" s="7" t="s">
        <v>1600</v>
      </c>
      <c r="C506" s="7" t="s">
        <v>4740</v>
      </c>
      <c r="D506" s="7"/>
      <c r="E506" s="7"/>
      <c r="F506" s="7" t="s">
        <v>4847</v>
      </c>
      <c r="G506" s="7" t="s">
        <v>3829</v>
      </c>
      <c r="H506" s="7" t="s">
        <v>3815</v>
      </c>
      <c r="I506" s="7" t="s">
        <v>3837</v>
      </c>
      <c r="K506" s="7" t="str">
        <f t="shared" si="2"/>
        <v/>
      </c>
      <c r="L506" s="7" t="str">
        <f t="shared" si="3"/>
        <v/>
      </c>
      <c r="M506" s="7">
        <f t="shared" ref="M506:N506" si="515">IF(LEN(M$1),COUNTIF($G506:$I506,M$1),"")</f>
        <v>0</v>
      </c>
      <c r="N506" s="7" t="str">
        <f t="shared" si="515"/>
        <v/>
      </c>
      <c r="O506" s="7" t="str">
        <f t="shared" si="5"/>
        <v/>
      </c>
      <c r="P506" s="7">
        <f t="shared" si="512"/>
        <v>0</v>
      </c>
      <c r="Q506" s="7" t="str">
        <f t="shared" si="7"/>
        <v/>
      </c>
      <c r="T506" s="7"/>
    </row>
    <row r="507" ht="12.75" customHeight="1">
      <c r="A507" s="7">
        <v>506.0</v>
      </c>
      <c r="B507" s="7" t="s">
        <v>1453</v>
      </c>
      <c r="C507" s="7" t="s">
        <v>4791</v>
      </c>
      <c r="D507" s="7"/>
      <c r="E507" s="7"/>
      <c r="F507" s="7" t="s">
        <v>4847</v>
      </c>
      <c r="G507" s="7" t="s">
        <v>3845</v>
      </c>
      <c r="H507" s="7" t="s">
        <v>3722</v>
      </c>
      <c r="I507" s="7" t="s">
        <v>3688</v>
      </c>
      <c r="K507" s="7" t="str">
        <f t="shared" si="2"/>
        <v/>
      </c>
      <c r="L507" s="7" t="str">
        <f t="shared" si="3"/>
        <v/>
      </c>
      <c r="M507" s="7">
        <f t="shared" ref="M507:N507" si="516">IF(LEN(M$1),COUNTIF($G507:$I507,M$1),"")</f>
        <v>0</v>
      </c>
      <c r="N507" s="7" t="str">
        <f t="shared" si="516"/>
        <v/>
      </c>
      <c r="O507" s="7" t="str">
        <f t="shared" si="5"/>
        <v/>
      </c>
      <c r="P507" s="7">
        <f t="shared" si="512"/>
        <v>0</v>
      </c>
      <c r="Q507" s="7" t="str">
        <f t="shared" si="7"/>
        <v/>
      </c>
      <c r="T507" s="7"/>
    </row>
    <row r="508" ht="12.75" customHeight="1">
      <c r="A508" s="7">
        <v>507.0</v>
      </c>
      <c r="B508" s="7" t="s">
        <v>542</v>
      </c>
      <c r="C508" s="7" t="s">
        <v>4812</v>
      </c>
      <c r="D508" s="7"/>
      <c r="E508" s="7"/>
      <c r="F508" s="7" t="s">
        <v>4847</v>
      </c>
      <c r="G508" s="7" t="s">
        <v>3631</v>
      </c>
      <c r="H508" s="7" t="s">
        <v>3778</v>
      </c>
      <c r="I508" s="7" t="s">
        <v>3766</v>
      </c>
      <c r="K508" s="7" t="str">
        <f t="shared" si="2"/>
        <v/>
      </c>
      <c r="L508" s="7" t="str">
        <f t="shared" si="3"/>
        <v/>
      </c>
      <c r="M508" s="7">
        <f t="shared" ref="M508:N508" si="517">IF(LEN(M$1),COUNTIF($G508:$I508,M$1),"")</f>
        <v>0</v>
      </c>
      <c r="N508" s="7" t="str">
        <f t="shared" si="517"/>
        <v/>
      </c>
      <c r="O508" s="7" t="str">
        <f t="shared" si="5"/>
        <v/>
      </c>
      <c r="P508" s="7">
        <f t="shared" si="512"/>
        <v>0</v>
      </c>
      <c r="Q508" s="7" t="str">
        <f t="shared" si="7"/>
        <v/>
      </c>
      <c r="T508" s="7"/>
    </row>
    <row r="509" ht="12.75" customHeight="1">
      <c r="A509" s="7">
        <v>508.0</v>
      </c>
      <c r="B509" s="7" t="s">
        <v>1445</v>
      </c>
      <c r="C509" s="7" t="s">
        <v>4815</v>
      </c>
      <c r="D509" s="7"/>
      <c r="E509" s="7"/>
      <c r="F509" s="7" t="s">
        <v>4847</v>
      </c>
      <c r="G509" s="7" t="s">
        <v>3798</v>
      </c>
      <c r="H509" s="7" t="s">
        <v>3813</v>
      </c>
      <c r="I509" s="7" t="s">
        <v>3748</v>
      </c>
      <c r="K509" s="7" t="str">
        <f t="shared" si="2"/>
        <v/>
      </c>
      <c r="L509" s="7" t="str">
        <f t="shared" si="3"/>
        <v/>
      </c>
      <c r="M509" s="7">
        <f t="shared" ref="M509:N509" si="518">IF(LEN(M$1),COUNTIF($G509:$I509,M$1),"")</f>
        <v>0</v>
      </c>
      <c r="N509" s="7" t="str">
        <f t="shared" si="518"/>
        <v/>
      </c>
      <c r="O509" s="7" t="str">
        <f t="shared" si="5"/>
        <v/>
      </c>
      <c r="P509" s="7">
        <f t="shared" si="512"/>
        <v>0</v>
      </c>
      <c r="Q509" s="7" t="str">
        <f t="shared" si="7"/>
        <v/>
      </c>
      <c r="T509" s="7"/>
    </row>
    <row r="510" ht="12.75" customHeight="1">
      <c r="A510" s="7">
        <v>509.0</v>
      </c>
      <c r="B510" s="7" t="s">
        <v>1518</v>
      </c>
      <c r="C510" s="7" t="s">
        <v>4809</v>
      </c>
      <c r="D510" s="7"/>
      <c r="E510" s="7"/>
      <c r="F510" s="7" t="s">
        <v>4847</v>
      </c>
      <c r="G510" s="7" t="s">
        <v>3750</v>
      </c>
      <c r="H510" s="7" t="s">
        <v>3752</v>
      </c>
      <c r="I510" s="7" t="s">
        <v>3806</v>
      </c>
      <c r="K510" s="7" t="str">
        <f t="shared" si="2"/>
        <v/>
      </c>
      <c r="L510" s="7" t="str">
        <f t="shared" si="3"/>
        <v/>
      </c>
      <c r="M510" s="7">
        <f t="shared" ref="M510:N510" si="519">IF(LEN(M$1),COUNTIF($G510:$I510,M$1),"")</f>
        <v>0</v>
      </c>
      <c r="N510" s="7" t="str">
        <f t="shared" si="519"/>
        <v/>
      </c>
      <c r="O510" s="7" t="str">
        <f t="shared" si="5"/>
        <v/>
      </c>
      <c r="P510" s="7">
        <f t="shared" si="512"/>
        <v>0</v>
      </c>
      <c r="Q510" s="7" t="str">
        <f t="shared" si="7"/>
        <v/>
      </c>
      <c r="T510" s="7"/>
    </row>
    <row r="511" ht="12.75" customHeight="1">
      <c r="A511" s="7">
        <v>510.0</v>
      </c>
      <c r="B511" s="7" t="s">
        <v>1433</v>
      </c>
      <c r="C511" s="7" t="s">
        <v>4758</v>
      </c>
      <c r="D511" s="7"/>
      <c r="E511" s="7"/>
      <c r="F511" s="7" t="s">
        <v>4847</v>
      </c>
      <c r="G511" s="7" t="s">
        <v>3750</v>
      </c>
      <c r="H511" s="7" t="s">
        <v>3847</v>
      </c>
      <c r="I511" s="7" t="s">
        <v>3804</v>
      </c>
      <c r="K511" s="7" t="str">
        <f t="shared" si="2"/>
        <v/>
      </c>
      <c r="L511" s="7" t="str">
        <f t="shared" si="3"/>
        <v/>
      </c>
      <c r="M511" s="7">
        <f t="shared" ref="M511:N511" si="520">IF(LEN(M$1),COUNTIF($G511:$I511,M$1),"")</f>
        <v>0</v>
      </c>
      <c r="N511" s="7" t="str">
        <f t="shared" si="520"/>
        <v/>
      </c>
      <c r="O511" s="7" t="str">
        <f t="shared" si="5"/>
        <v/>
      </c>
      <c r="P511" s="7">
        <f t="shared" si="512"/>
        <v>0</v>
      </c>
      <c r="Q511" s="7" t="str">
        <f t="shared" si="7"/>
        <v/>
      </c>
      <c r="T511" s="7"/>
    </row>
    <row r="512" ht="12.75" customHeight="1">
      <c r="A512" s="7">
        <v>511.0</v>
      </c>
      <c r="B512" s="7" t="s">
        <v>1477</v>
      </c>
      <c r="C512" s="7" t="s">
        <v>4793</v>
      </c>
      <c r="D512" s="7"/>
      <c r="E512" s="7"/>
      <c r="F512" s="7" t="s">
        <v>4847</v>
      </c>
      <c r="G512" s="7" t="s">
        <v>3741</v>
      </c>
      <c r="H512" s="7" t="s">
        <v>3722</v>
      </c>
      <c r="I512" s="7" t="s">
        <v>3631</v>
      </c>
      <c r="K512" s="7" t="str">
        <f t="shared" si="2"/>
        <v/>
      </c>
      <c r="L512" s="7" t="str">
        <f t="shared" si="3"/>
        <v/>
      </c>
      <c r="M512" s="7">
        <f t="shared" ref="M512:N512" si="521">IF(LEN(M$1),COUNTIF($G512:$I512,M$1),"")</f>
        <v>0</v>
      </c>
      <c r="N512" s="7" t="str">
        <f t="shared" si="521"/>
        <v/>
      </c>
      <c r="O512" s="7" t="str">
        <f t="shared" si="5"/>
        <v/>
      </c>
      <c r="P512" s="7">
        <f t="shared" si="512"/>
        <v>0</v>
      </c>
      <c r="Q512" s="7" t="str">
        <f t="shared" si="7"/>
        <v/>
      </c>
      <c r="T512" s="7"/>
    </row>
    <row r="513" ht="12.75" customHeight="1">
      <c r="A513" s="7">
        <v>512.0</v>
      </c>
      <c r="B513" s="7" t="s">
        <v>1214</v>
      </c>
      <c r="C513" s="7" t="s">
        <v>4846</v>
      </c>
      <c r="D513" s="7"/>
      <c r="E513" s="7"/>
      <c r="F513" s="7" t="s">
        <v>4847</v>
      </c>
      <c r="G513" s="7" t="s">
        <v>3609</v>
      </c>
      <c r="H513" s="7" t="s">
        <v>3845</v>
      </c>
      <c r="I513" s="7" t="s">
        <v>3818</v>
      </c>
      <c r="K513" s="7" t="str">
        <f t="shared" si="2"/>
        <v/>
      </c>
      <c r="L513" s="7" t="str">
        <f t="shared" si="3"/>
        <v/>
      </c>
      <c r="M513" s="7">
        <f t="shared" ref="M513:N513" si="522">IF(LEN(M$1),COUNTIF($G513:$I513,M$1),"")</f>
        <v>0</v>
      </c>
      <c r="N513" s="7" t="str">
        <f t="shared" si="522"/>
        <v/>
      </c>
      <c r="O513" s="7" t="str">
        <f t="shared" si="5"/>
        <v/>
      </c>
      <c r="P513" s="7">
        <f t="shared" si="512"/>
        <v>0</v>
      </c>
      <c r="Q513" s="7" t="str">
        <f t="shared" si="7"/>
        <v/>
      </c>
      <c r="T513" s="7"/>
    </row>
    <row r="514" ht="12.75" customHeight="1">
      <c r="A514" s="7">
        <v>513.0</v>
      </c>
      <c r="B514" s="7" t="s">
        <v>1607</v>
      </c>
      <c r="C514" s="7" t="s">
        <v>4743</v>
      </c>
      <c r="D514" s="7"/>
      <c r="E514" s="7"/>
      <c r="F514" s="7" t="s">
        <v>4847</v>
      </c>
      <c r="G514" s="7" t="s">
        <v>3743</v>
      </c>
      <c r="H514" s="7" t="s">
        <v>3831</v>
      </c>
      <c r="I514" s="7" t="s">
        <v>3752</v>
      </c>
      <c r="K514" s="7" t="str">
        <f t="shared" si="2"/>
        <v/>
      </c>
      <c r="L514" s="7" t="str">
        <f t="shared" si="3"/>
        <v/>
      </c>
      <c r="M514" s="7">
        <f t="shared" ref="M514:N514" si="523">IF(LEN(M$1),COUNTIF($G514:$I514,M$1),"")</f>
        <v>0</v>
      </c>
      <c r="N514" s="7" t="str">
        <f t="shared" si="523"/>
        <v/>
      </c>
      <c r="O514" s="7" t="str">
        <f t="shared" si="5"/>
        <v/>
      </c>
      <c r="P514" s="7">
        <f t="shared" si="512"/>
        <v>0</v>
      </c>
      <c r="Q514" s="7" t="str">
        <f t="shared" si="7"/>
        <v/>
      </c>
      <c r="T514" s="7"/>
    </row>
    <row r="515" ht="12.75" customHeight="1">
      <c r="A515" s="7">
        <v>514.0</v>
      </c>
      <c r="B515" s="7" t="s">
        <v>1630</v>
      </c>
      <c r="C515" s="7" t="s">
        <v>4756</v>
      </c>
      <c r="D515" s="7"/>
      <c r="E515" s="7"/>
      <c r="F515" s="7" t="s">
        <v>4847</v>
      </c>
      <c r="G515" s="7" t="s">
        <v>3734</v>
      </c>
      <c r="H515" s="7" t="s">
        <v>3778</v>
      </c>
      <c r="I515" s="7" t="s">
        <v>3854</v>
      </c>
      <c r="K515" s="7" t="str">
        <f t="shared" si="2"/>
        <v/>
      </c>
      <c r="L515" s="7" t="str">
        <f t="shared" si="3"/>
        <v/>
      </c>
      <c r="M515" s="7">
        <f t="shared" ref="M515:N515" si="524">IF(LEN(M$1),COUNTIF($G515:$I515,M$1),"")</f>
        <v>0</v>
      </c>
      <c r="N515" s="7" t="str">
        <f t="shared" si="524"/>
        <v/>
      </c>
      <c r="O515" s="7" t="str">
        <f t="shared" si="5"/>
        <v/>
      </c>
      <c r="P515" s="7">
        <f t="shared" si="512"/>
        <v>0</v>
      </c>
      <c r="Q515" s="7" t="str">
        <f t="shared" si="7"/>
        <v/>
      </c>
      <c r="T515" s="7"/>
    </row>
    <row r="516" ht="12.75" customHeight="1">
      <c r="A516" s="7">
        <v>515.0</v>
      </c>
      <c r="B516" s="7" t="s">
        <v>1265</v>
      </c>
      <c r="C516" s="7" t="s">
        <v>4837</v>
      </c>
      <c r="D516" s="7"/>
      <c r="E516" s="7"/>
      <c r="F516" s="7" t="s">
        <v>4847</v>
      </c>
      <c r="G516" s="7" t="s">
        <v>3837</v>
      </c>
      <c r="H516" s="7" t="s">
        <v>3794</v>
      </c>
      <c r="I516" s="7" t="s">
        <v>3842</v>
      </c>
      <c r="K516" s="7" t="str">
        <f t="shared" si="2"/>
        <v/>
      </c>
      <c r="L516" s="7" t="str">
        <f t="shared" si="3"/>
        <v/>
      </c>
      <c r="M516" s="7">
        <f t="shared" ref="M516:N516" si="525">IF(LEN(M$1),COUNTIF($G516:$I516,M$1),"")</f>
        <v>0</v>
      </c>
      <c r="N516" s="7" t="str">
        <f t="shared" si="525"/>
        <v/>
      </c>
      <c r="O516" s="7" t="str">
        <f t="shared" si="5"/>
        <v/>
      </c>
      <c r="P516" s="7">
        <f t="shared" si="512"/>
        <v>0</v>
      </c>
      <c r="Q516" s="7" t="str">
        <f t="shared" si="7"/>
        <v/>
      </c>
      <c r="T516" s="7"/>
    </row>
    <row r="517" ht="12.75" customHeight="1">
      <c r="A517" s="7">
        <v>516.0</v>
      </c>
      <c r="B517" s="7" t="s">
        <v>1205</v>
      </c>
      <c r="C517" s="7" t="s">
        <v>4846</v>
      </c>
      <c r="D517" s="7"/>
      <c r="E517" s="7"/>
      <c r="F517" s="7" t="s">
        <v>4847</v>
      </c>
      <c r="G517" s="7" t="s">
        <v>3743</v>
      </c>
      <c r="H517" s="7" t="s">
        <v>3713</v>
      </c>
      <c r="I517" s="7" t="s">
        <v>3705</v>
      </c>
      <c r="K517" s="7" t="str">
        <f t="shared" si="2"/>
        <v/>
      </c>
      <c r="L517" s="7" t="str">
        <f t="shared" si="3"/>
        <v/>
      </c>
      <c r="M517" s="7">
        <f t="shared" ref="M517:N517" si="526">IF(LEN(M$1),COUNTIF($G517:$I517,M$1),"")</f>
        <v>0</v>
      </c>
      <c r="N517" s="7" t="str">
        <f t="shared" si="526"/>
        <v/>
      </c>
      <c r="O517" s="7" t="str">
        <f t="shared" si="5"/>
        <v/>
      </c>
      <c r="P517" s="7">
        <f t="shared" si="512"/>
        <v>0</v>
      </c>
      <c r="Q517" s="7" t="str">
        <f t="shared" si="7"/>
        <v/>
      </c>
      <c r="T517" s="7"/>
    </row>
    <row r="518" ht="12.75" customHeight="1">
      <c r="A518" s="7">
        <v>517.0</v>
      </c>
      <c r="B518" s="7" t="s">
        <v>1493</v>
      </c>
      <c r="C518" s="7" t="s">
        <v>4795</v>
      </c>
      <c r="D518" s="7"/>
      <c r="E518" s="7"/>
      <c r="F518" s="7" t="s">
        <v>4847</v>
      </c>
      <c r="G518" s="7" t="s">
        <v>3620</v>
      </c>
      <c r="H518" s="7" t="s">
        <v>3785</v>
      </c>
      <c r="I518" s="7" t="s">
        <v>3833</v>
      </c>
      <c r="K518" s="7" t="str">
        <f t="shared" si="2"/>
        <v/>
      </c>
      <c r="L518" s="7" t="str">
        <f t="shared" si="3"/>
        <v/>
      </c>
      <c r="M518" s="7">
        <f t="shared" ref="M518:N518" si="527">IF(LEN(M$1),COUNTIF($G518:$I518,M$1),"")</f>
        <v>0</v>
      </c>
      <c r="N518" s="7" t="str">
        <f t="shared" si="527"/>
        <v/>
      </c>
      <c r="O518" s="7" t="str">
        <f t="shared" si="5"/>
        <v/>
      </c>
      <c r="P518" s="7">
        <f t="shared" si="512"/>
        <v>0</v>
      </c>
      <c r="Q518" s="7" t="str">
        <f t="shared" si="7"/>
        <v/>
      </c>
      <c r="T518" s="7"/>
    </row>
    <row r="519" ht="12.75" customHeight="1">
      <c r="A519" s="7">
        <v>518.0</v>
      </c>
      <c r="B519" s="7" t="s">
        <v>977</v>
      </c>
      <c r="C519" s="7" t="s">
        <v>4711</v>
      </c>
      <c r="D519" s="7"/>
      <c r="E519" s="7"/>
      <c r="F519" s="7" t="s">
        <v>4847</v>
      </c>
      <c r="G519" s="7" t="s">
        <v>3794</v>
      </c>
      <c r="H519" s="7" t="s">
        <v>3782</v>
      </c>
      <c r="I519" s="7" t="s">
        <v>3789</v>
      </c>
      <c r="K519" s="7" t="str">
        <f t="shared" si="2"/>
        <v/>
      </c>
      <c r="L519" s="7" t="str">
        <f t="shared" si="3"/>
        <v/>
      </c>
      <c r="M519" s="7">
        <f t="shared" ref="M519:N519" si="528">IF(LEN(M$1),COUNTIF($G519:$I519,M$1),"")</f>
        <v>0</v>
      </c>
      <c r="N519" s="7" t="str">
        <f t="shared" si="528"/>
        <v/>
      </c>
      <c r="O519" s="7" t="str">
        <f t="shared" si="5"/>
        <v/>
      </c>
      <c r="P519" s="7">
        <f t="shared" si="512"/>
        <v>0</v>
      </c>
      <c r="Q519" s="7" t="str">
        <f t="shared" si="7"/>
        <v/>
      </c>
      <c r="T519" s="7"/>
    </row>
    <row r="520" ht="12.75" customHeight="1">
      <c r="A520" s="7">
        <v>519.0</v>
      </c>
      <c r="B520" s="7" t="s">
        <v>542</v>
      </c>
      <c r="C520" s="7" t="s">
        <v>4812</v>
      </c>
      <c r="D520" s="7"/>
      <c r="E520" s="7"/>
      <c r="F520" s="7" t="s">
        <v>4847</v>
      </c>
      <c r="G520" s="7" t="s">
        <v>3818</v>
      </c>
      <c r="H520" s="7" t="s">
        <v>3847</v>
      </c>
      <c r="I520" s="7" t="s">
        <v>3804</v>
      </c>
      <c r="K520" s="7" t="str">
        <f t="shared" si="2"/>
        <v/>
      </c>
      <c r="L520" s="7" t="str">
        <f t="shared" si="3"/>
        <v/>
      </c>
      <c r="M520" s="7">
        <f t="shared" ref="M520:N520" si="529">IF(LEN(M$1),COUNTIF($G520:$I520,M$1),"")</f>
        <v>0</v>
      </c>
      <c r="N520" s="7" t="str">
        <f t="shared" si="529"/>
        <v/>
      </c>
      <c r="O520" s="7" t="str">
        <f t="shared" si="5"/>
        <v/>
      </c>
      <c r="P520" s="7">
        <f t="shared" si="512"/>
        <v>0</v>
      </c>
      <c r="Q520" s="7" t="str">
        <f t="shared" si="7"/>
        <v/>
      </c>
      <c r="T520" s="7"/>
    </row>
    <row r="521" ht="12.75" customHeight="1">
      <c r="A521" s="7">
        <v>520.0</v>
      </c>
      <c r="B521" s="7" t="s">
        <v>1453</v>
      </c>
      <c r="C521" s="7" t="s">
        <v>4791</v>
      </c>
      <c r="D521" s="7"/>
      <c r="E521" s="7"/>
      <c r="F521" s="7" t="s">
        <v>4847</v>
      </c>
      <c r="G521" s="7" t="s">
        <v>3796</v>
      </c>
      <c r="H521" s="7" t="s">
        <v>3764</v>
      </c>
      <c r="I521" s="7" t="s">
        <v>3741</v>
      </c>
      <c r="K521" s="7" t="str">
        <f t="shared" si="2"/>
        <v/>
      </c>
      <c r="L521" s="7" t="str">
        <f t="shared" si="3"/>
        <v/>
      </c>
      <c r="M521" s="7">
        <f t="shared" ref="M521:N521" si="530">IF(LEN(M$1),COUNTIF($G521:$I521,M$1),"")</f>
        <v>0</v>
      </c>
      <c r="N521" s="7" t="str">
        <f t="shared" si="530"/>
        <v/>
      </c>
      <c r="O521" s="7" t="str">
        <f t="shared" si="5"/>
        <v/>
      </c>
      <c r="P521" s="7">
        <f t="shared" si="512"/>
        <v>0</v>
      </c>
      <c r="Q521" s="7" t="str">
        <f t="shared" si="7"/>
        <v/>
      </c>
      <c r="T521" s="7"/>
    </row>
    <row r="522" ht="12.75" customHeight="1">
      <c r="A522" s="7">
        <v>521.0</v>
      </c>
      <c r="B522" s="7" t="s">
        <v>1159</v>
      </c>
      <c r="C522" s="7" t="s">
        <v>4845</v>
      </c>
      <c r="D522" s="7"/>
      <c r="E522" s="7"/>
      <c r="F522" s="7" t="s">
        <v>4847</v>
      </c>
      <c r="G522" s="7" t="s">
        <v>3773</v>
      </c>
      <c r="H522" s="7" t="s">
        <v>3588</v>
      </c>
      <c r="I522" s="7" t="s">
        <v>3703</v>
      </c>
      <c r="K522" s="7" t="str">
        <f t="shared" si="2"/>
        <v/>
      </c>
      <c r="L522" s="7" t="str">
        <f t="shared" si="3"/>
        <v/>
      </c>
      <c r="M522" s="7">
        <f t="shared" ref="M522:N522" si="531">IF(LEN(M$1),COUNTIF($G522:$I522,M$1),"")</f>
        <v>0</v>
      </c>
      <c r="N522" s="7" t="str">
        <f t="shared" si="531"/>
        <v/>
      </c>
      <c r="O522" s="7" t="str">
        <f t="shared" si="5"/>
        <v/>
      </c>
      <c r="P522" s="7">
        <f t="shared" si="512"/>
        <v>0</v>
      </c>
      <c r="Q522" s="7" t="str">
        <f t="shared" si="7"/>
        <v/>
      </c>
      <c r="T522" s="7"/>
    </row>
    <row r="523" ht="12.75" customHeight="1">
      <c r="A523" s="7">
        <v>522.0</v>
      </c>
      <c r="B523" s="7" t="s">
        <v>1614</v>
      </c>
      <c r="C523" s="7" t="s">
        <v>4743</v>
      </c>
      <c r="D523" s="7"/>
      <c r="E523" s="7"/>
      <c r="F523" s="7" t="s">
        <v>4847</v>
      </c>
      <c r="G523" s="7" t="s">
        <v>3612</v>
      </c>
      <c r="H523" s="7" t="s">
        <v>3727</v>
      </c>
      <c r="I523" s="7" t="s">
        <v>3734</v>
      </c>
      <c r="K523" s="7" t="str">
        <f t="shared" si="2"/>
        <v/>
      </c>
      <c r="L523" s="7" t="str">
        <f t="shared" si="3"/>
        <v/>
      </c>
      <c r="M523" s="7">
        <f t="shared" ref="M523:N523" si="532">IF(LEN(M$1),COUNTIF($G523:$I523,M$1),"")</f>
        <v>0</v>
      </c>
      <c r="N523" s="7" t="str">
        <f t="shared" si="532"/>
        <v/>
      </c>
      <c r="O523" s="7" t="str">
        <f t="shared" si="5"/>
        <v/>
      </c>
      <c r="P523" s="7">
        <f t="shared" si="512"/>
        <v>0</v>
      </c>
      <c r="Q523" s="7" t="str">
        <f t="shared" si="7"/>
        <v/>
      </c>
      <c r="T523" s="7"/>
    </row>
    <row r="524" ht="12.75" customHeight="1">
      <c r="A524" s="7">
        <v>523.0</v>
      </c>
      <c r="B524" s="7" t="s">
        <v>379</v>
      </c>
      <c r="C524" s="7" t="s">
        <v>4845</v>
      </c>
      <c r="D524" s="7"/>
      <c r="E524" s="7"/>
      <c r="F524" s="7" t="s">
        <v>4847</v>
      </c>
      <c r="G524" s="7" t="s">
        <v>3831</v>
      </c>
      <c r="H524" s="7" t="s">
        <v>3764</v>
      </c>
      <c r="I524" s="7" t="s">
        <v>3773</v>
      </c>
      <c r="K524" s="7" t="str">
        <f t="shared" si="2"/>
        <v/>
      </c>
      <c r="L524" s="7" t="str">
        <f t="shared" si="3"/>
        <v/>
      </c>
      <c r="M524" s="7">
        <f t="shared" ref="M524:N524" si="533">IF(LEN(M$1),COUNTIF($G524:$I524,M$1),"")</f>
        <v>0</v>
      </c>
      <c r="N524" s="7" t="str">
        <f t="shared" si="533"/>
        <v/>
      </c>
      <c r="O524" s="7" t="str">
        <f t="shared" si="5"/>
        <v/>
      </c>
      <c r="P524" s="7">
        <f t="shared" si="512"/>
        <v>0</v>
      </c>
      <c r="Q524" s="7" t="str">
        <f t="shared" si="7"/>
        <v/>
      </c>
      <c r="T524" s="7"/>
    </row>
    <row r="525" ht="12.75" customHeight="1">
      <c r="A525" s="7">
        <v>524.0</v>
      </c>
      <c r="B525" s="7" t="s">
        <v>1339</v>
      </c>
      <c r="C525" s="7" t="s">
        <v>4724</v>
      </c>
      <c r="D525" s="7"/>
      <c r="E525" s="7"/>
      <c r="F525" s="7" t="s">
        <v>4847</v>
      </c>
      <c r="G525" s="7" t="s">
        <v>3775</v>
      </c>
      <c r="H525" s="7" t="s">
        <v>3734</v>
      </c>
      <c r="I525" s="7" t="s">
        <v>3791</v>
      </c>
      <c r="K525" s="7" t="str">
        <f t="shared" si="2"/>
        <v/>
      </c>
      <c r="L525" s="7" t="str">
        <f t="shared" si="3"/>
        <v/>
      </c>
      <c r="M525" s="7">
        <f t="shared" ref="M525:N525" si="534">IF(LEN(M$1),COUNTIF($G525:$I525,M$1),"")</f>
        <v>0</v>
      </c>
      <c r="N525" s="7" t="str">
        <f t="shared" si="534"/>
        <v/>
      </c>
      <c r="O525" s="7" t="str">
        <f t="shared" si="5"/>
        <v/>
      </c>
      <c r="P525" s="7">
        <f t="shared" si="512"/>
        <v>0</v>
      </c>
      <c r="Q525" s="7" t="str">
        <f t="shared" si="7"/>
        <v/>
      </c>
      <c r="T525" s="7"/>
    </row>
    <row r="526" ht="12.75" customHeight="1">
      <c r="A526" s="7">
        <v>525.0</v>
      </c>
      <c r="B526" s="7" t="s">
        <v>1371</v>
      </c>
      <c r="C526" s="7" t="s">
        <v>4735</v>
      </c>
      <c r="D526" s="7"/>
      <c r="E526" s="7"/>
      <c r="F526" s="7" t="s">
        <v>4847</v>
      </c>
      <c r="G526" s="7" t="s">
        <v>3827</v>
      </c>
      <c r="H526" s="7" t="s">
        <v>3794</v>
      </c>
      <c r="I526" s="7" t="s">
        <v>3752</v>
      </c>
      <c r="K526" s="7" t="str">
        <f t="shared" si="2"/>
        <v/>
      </c>
      <c r="L526" s="7" t="str">
        <f t="shared" si="3"/>
        <v/>
      </c>
      <c r="M526" s="7">
        <f t="shared" ref="M526:N526" si="535">IF(LEN(M$1),COUNTIF($G526:$I526,M$1),"")</f>
        <v>0</v>
      </c>
      <c r="N526" s="7" t="str">
        <f t="shared" si="535"/>
        <v/>
      </c>
      <c r="O526" s="7" t="str">
        <f t="shared" si="5"/>
        <v/>
      </c>
      <c r="P526" s="7">
        <f t="shared" si="512"/>
        <v>0</v>
      </c>
      <c r="Q526" s="7" t="str">
        <f t="shared" si="7"/>
        <v/>
      </c>
      <c r="T526" s="7"/>
    </row>
    <row r="527" ht="12.75" customHeight="1">
      <c r="A527" s="7">
        <v>526.0</v>
      </c>
      <c r="B527" s="7" t="s">
        <v>1363</v>
      </c>
      <c r="C527" s="7" t="s">
        <v>4735</v>
      </c>
      <c r="D527" s="7"/>
      <c r="E527" s="7"/>
      <c r="F527" s="7" t="s">
        <v>4847</v>
      </c>
      <c r="G527" s="7" t="s">
        <v>3804</v>
      </c>
      <c r="H527" s="7" t="s">
        <v>3671</v>
      </c>
      <c r="I527" s="7" t="s">
        <v>3618</v>
      </c>
      <c r="K527" s="7" t="str">
        <f t="shared" si="2"/>
        <v/>
      </c>
      <c r="L527" s="7" t="str">
        <f t="shared" si="3"/>
        <v/>
      </c>
      <c r="M527" s="7">
        <f t="shared" ref="M527:N527" si="536">IF(LEN(M$1),COUNTIF($G527:$I527,M$1),"")</f>
        <v>0</v>
      </c>
      <c r="N527" s="7" t="str">
        <f t="shared" si="536"/>
        <v/>
      </c>
      <c r="O527" s="7" t="str">
        <f t="shared" si="5"/>
        <v/>
      </c>
      <c r="P527" s="7">
        <f t="shared" si="512"/>
        <v>0</v>
      </c>
      <c r="Q527" s="7" t="str">
        <f t="shared" si="7"/>
        <v/>
      </c>
      <c r="T527" s="7"/>
    </row>
    <row r="528" ht="12.75" customHeight="1">
      <c r="A528" s="7">
        <v>527.0</v>
      </c>
      <c r="B528" s="7" t="s">
        <v>1600</v>
      </c>
      <c r="C528" s="7" t="s">
        <v>4740</v>
      </c>
      <c r="D528" s="7"/>
      <c r="E528" s="7"/>
      <c r="F528" s="7" t="s">
        <v>4847</v>
      </c>
      <c r="G528" s="7" t="s">
        <v>3711</v>
      </c>
      <c r="H528" s="7" t="s">
        <v>3854</v>
      </c>
      <c r="I528" s="7" t="s">
        <v>3771</v>
      </c>
      <c r="K528" s="7" t="str">
        <f t="shared" si="2"/>
        <v/>
      </c>
      <c r="L528" s="7" t="str">
        <f t="shared" si="3"/>
        <v/>
      </c>
      <c r="M528" s="7">
        <f t="shared" ref="M528:N528" si="537">IF(LEN(M$1),COUNTIF($G528:$I528,M$1),"")</f>
        <v>0</v>
      </c>
      <c r="N528" s="7" t="str">
        <f t="shared" si="537"/>
        <v/>
      </c>
      <c r="O528" s="7" t="str">
        <f t="shared" si="5"/>
        <v/>
      </c>
      <c r="P528" s="7">
        <f t="shared" si="512"/>
        <v>0</v>
      </c>
      <c r="Q528" s="7" t="str">
        <f t="shared" si="7"/>
        <v/>
      </c>
      <c r="T528" s="7"/>
    </row>
    <row r="529" ht="12.75" customHeight="1">
      <c r="A529" s="7">
        <v>528.0</v>
      </c>
      <c r="B529" s="7" t="s">
        <v>1518</v>
      </c>
      <c r="C529" s="7" t="s">
        <v>4809</v>
      </c>
      <c r="D529" s="7"/>
      <c r="E529" s="7"/>
      <c r="F529" s="7" t="s">
        <v>4847</v>
      </c>
      <c r="G529" s="7" t="s">
        <v>3734</v>
      </c>
      <c r="H529" s="7" t="s">
        <v>3780</v>
      </c>
      <c r="I529" s="7" t="s">
        <v>3748</v>
      </c>
      <c r="K529" s="7" t="str">
        <f t="shared" si="2"/>
        <v/>
      </c>
      <c r="L529" s="7" t="str">
        <f t="shared" si="3"/>
        <v/>
      </c>
      <c r="M529" s="7">
        <f t="shared" ref="M529:N529" si="538">IF(LEN(M$1),COUNTIF($G529:$I529,M$1),"")</f>
        <v>0</v>
      </c>
      <c r="N529" s="7" t="str">
        <f t="shared" si="538"/>
        <v/>
      </c>
      <c r="O529" s="7" t="str">
        <f t="shared" si="5"/>
        <v/>
      </c>
      <c r="P529" s="7">
        <f t="shared" si="512"/>
        <v>0</v>
      </c>
      <c r="Q529" s="7" t="str">
        <f t="shared" si="7"/>
        <v/>
      </c>
      <c r="T529" s="7"/>
    </row>
    <row r="530" ht="12.75" customHeight="1">
      <c r="A530" s="7">
        <v>529.0</v>
      </c>
      <c r="B530" s="7" t="s">
        <v>1261</v>
      </c>
      <c r="C530" s="7" t="s">
        <v>4701</v>
      </c>
      <c r="D530" s="7"/>
      <c r="E530" s="7"/>
      <c r="F530" s="7" t="s">
        <v>4847</v>
      </c>
      <c r="G530" s="7" t="s">
        <v>3785</v>
      </c>
      <c r="H530" s="7" t="s">
        <v>3801</v>
      </c>
      <c r="I530" s="7" t="s">
        <v>3737</v>
      </c>
      <c r="K530" s="7" t="str">
        <f t="shared" si="2"/>
        <v/>
      </c>
      <c r="L530" s="7" t="str">
        <f t="shared" si="3"/>
        <v/>
      </c>
      <c r="M530" s="7">
        <f t="shared" ref="M530:N530" si="539">IF(LEN(M$1),COUNTIF($G530:$I530,M$1),"")</f>
        <v>0</v>
      </c>
      <c r="N530" s="7" t="str">
        <f t="shared" si="539"/>
        <v/>
      </c>
      <c r="O530" s="7" t="str">
        <f t="shared" si="5"/>
        <v/>
      </c>
      <c r="P530" s="7">
        <f t="shared" si="512"/>
        <v>0</v>
      </c>
      <c r="Q530" s="7" t="str">
        <f t="shared" si="7"/>
        <v/>
      </c>
      <c r="T530" s="7"/>
    </row>
    <row r="531" ht="12.75" customHeight="1">
      <c r="A531" s="7">
        <v>530.0</v>
      </c>
      <c r="B531" s="7" t="s">
        <v>1493</v>
      </c>
      <c r="C531" s="7" t="s">
        <v>4795</v>
      </c>
      <c r="D531" s="7"/>
      <c r="E531" s="7"/>
      <c r="F531" s="7" t="s">
        <v>4847</v>
      </c>
      <c r="G531" s="7" t="s">
        <v>3741</v>
      </c>
      <c r="H531" s="7" t="s">
        <v>3746</v>
      </c>
      <c r="I531" s="7" t="s">
        <v>3845</v>
      </c>
      <c r="K531" s="7" t="str">
        <f t="shared" si="2"/>
        <v/>
      </c>
      <c r="L531" s="7" t="str">
        <f t="shared" si="3"/>
        <v/>
      </c>
      <c r="M531" s="7">
        <f t="shared" ref="M531:N531" si="540">IF(LEN(M$1),COUNTIF($G531:$I531,M$1),"")</f>
        <v>0</v>
      </c>
      <c r="N531" s="7" t="str">
        <f t="shared" si="540"/>
        <v/>
      </c>
      <c r="O531" s="7" t="str">
        <f t="shared" si="5"/>
        <v/>
      </c>
      <c r="P531" s="7">
        <f t="shared" si="512"/>
        <v>0</v>
      </c>
      <c r="Q531" s="7" t="str">
        <f t="shared" si="7"/>
        <v/>
      </c>
      <c r="T531" s="7"/>
    </row>
    <row r="532" ht="12.75" customHeight="1">
      <c r="A532" s="7">
        <v>531.0</v>
      </c>
      <c r="B532" s="7" t="s">
        <v>1607</v>
      </c>
      <c r="C532" s="7" t="s">
        <v>4743</v>
      </c>
      <c r="D532" s="7"/>
      <c r="E532" s="7"/>
      <c r="F532" s="7" t="s">
        <v>4847</v>
      </c>
      <c r="G532" s="7" t="s">
        <v>3789</v>
      </c>
      <c r="H532" s="7" t="s">
        <v>3601</v>
      </c>
      <c r="I532" s="7" t="s">
        <v>3660</v>
      </c>
      <c r="K532" s="7" t="str">
        <f t="shared" si="2"/>
        <v/>
      </c>
      <c r="L532" s="7" t="str">
        <f t="shared" si="3"/>
        <v/>
      </c>
      <c r="M532" s="7">
        <f t="shared" ref="M532:N532" si="541">IF(LEN(M$1),COUNTIF($G532:$I532,M$1),"")</f>
        <v>0</v>
      </c>
      <c r="N532" s="7" t="str">
        <f t="shared" si="541"/>
        <v/>
      </c>
      <c r="O532" s="7" t="str">
        <f t="shared" si="5"/>
        <v/>
      </c>
      <c r="P532" s="7">
        <f t="shared" si="512"/>
        <v>0</v>
      </c>
      <c r="Q532" s="7" t="str">
        <f t="shared" si="7"/>
        <v/>
      </c>
      <c r="T532" s="7"/>
    </row>
    <row r="533" ht="12.75" customHeight="1">
      <c r="A533" s="7">
        <v>532.0</v>
      </c>
      <c r="B533" s="7" t="s">
        <v>1417</v>
      </c>
      <c r="C533" s="7" t="s">
        <v>4848</v>
      </c>
      <c r="D533" s="7"/>
      <c r="E533" s="7"/>
      <c r="F533" s="7" t="s">
        <v>4847</v>
      </c>
      <c r="G533" s="7" t="s">
        <v>3585</v>
      </c>
      <c r="H533" s="7" t="s">
        <v>3821</v>
      </c>
      <c r="I533" s="7" t="s">
        <v>3833</v>
      </c>
      <c r="K533" s="7" t="str">
        <f t="shared" si="2"/>
        <v/>
      </c>
      <c r="L533" s="7" t="str">
        <f t="shared" si="3"/>
        <v/>
      </c>
      <c r="M533" s="7">
        <f t="shared" ref="M533:N533" si="542">IF(LEN(M$1),COUNTIF($G533:$I533,M$1),"")</f>
        <v>0</v>
      </c>
      <c r="N533" s="7" t="str">
        <f t="shared" si="542"/>
        <v/>
      </c>
      <c r="O533" s="7" t="str">
        <f t="shared" si="5"/>
        <v/>
      </c>
      <c r="P533" s="7">
        <f t="shared" si="512"/>
        <v>0</v>
      </c>
      <c r="Q533" s="7" t="str">
        <f t="shared" si="7"/>
        <v/>
      </c>
      <c r="T533" s="7"/>
    </row>
    <row r="534" ht="12.75" customHeight="1">
      <c r="A534" s="7">
        <v>533.0</v>
      </c>
      <c r="B534" s="7" t="s">
        <v>1356</v>
      </c>
      <c r="C534" s="7" t="s">
        <v>4731</v>
      </c>
      <c r="D534" s="7"/>
      <c r="E534" s="7"/>
      <c r="F534" s="7" t="s">
        <v>4847</v>
      </c>
      <c r="G534" s="7" t="s">
        <v>3760</v>
      </c>
      <c r="H534" s="7" t="s">
        <v>3818</v>
      </c>
      <c r="I534" s="7" t="s">
        <v>3854</v>
      </c>
      <c r="K534" s="7" t="str">
        <f t="shared" si="2"/>
        <v/>
      </c>
      <c r="L534" s="7" t="str">
        <f t="shared" si="3"/>
        <v/>
      </c>
      <c r="M534" s="7">
        <f t="shared" ref="M534:N534" si="543">IF(LEN(M$1),COUNTIF($G534:$I534,M$1),"")</f>
        <v>0</v>
      </c>
      <c r="N534" s="7" t="str">
        <f t="shared" si="543"/>
        <v/>
      </c>
      <c r="O534" s="7" t="str">
        <f t="shared" si="5"/>
        <v/>
      </c>
      <c r="P534" s="7">
        <f t="shared" si="512"/>
        <v>0</v>
      </c>
      <c r="Q534" s="7" t="str">
        <f t="shared" si="7"/>
        <v/>
      </c>
      <c r="T534" s="7"/>
    </row>
    <row r="535" ht="12.75" customHeight="1">
      <c r="A535" s="7">
        <v>534.0</v>
      </c>
      <c r="B535" s="7" t="s">
        <v>1645</v>
      </c>
      <c r="C535" s="7" t="s">
        <v>4758</v>
      </c>
      <c r="D535" s="7"/>
      <c r="E535" s="7"/>
      <c r="F535" s="7" t="s">
        <v>4847</v>
      </c>
      <c r="G535" s="7" t="s">
        <v>3731</v>
      </c>
      <c r="H535" s="7" t="s">
        <v>3827</v>
      </c>
      <c r="I535" s="7" t="s">
        <v>3769</v>
      </c>
      <c r="K535" s="7" t="str">
        <f t="shared" si="2"/>
        <v/>
      </c>
      <c r="L535" s="7" t="str">
        <f t="shared" si="3"/>
        <v/>
      </c>
      <c r="M535" s="7">
        <f t="shared" ref="M535:N535" si="544">IF(LEN(M$1),COUNTIF($G535:$I535,M$1),"")</f>
        <v>0</v>
      </c>
      <c r="N535" s="7" t="str">
        <f t="shared" si="544"/>
        <v/>
      </c>
      <c r="O535" s="7" t="str">
        <f t="shared" si="5"/>
        <v/>
      </c>
      <c r="P535" s="7">
        <f t="shared" si="512"/>
        <v>0</v>
      </c>
      <c r="Q535" s="7" t="str">
        <f t="shared" si="7"/>
        <v/>
      </c>
      <c r="T535" s="7"/>
    </row>
    <row r="536" ht="12.75" customHeight="1">
      <c r="A536" s="7">
        <v>535.0</v>
      </c>
      <c r="B536" s="7" t="s">
        <v>1379</v>
      </c>
      <c r="C536" s="7" t="s">
        <v>4784</v>
      </c>
      <c r="D536" s="7"/>
      <c r="E536" s="7"/>
      <c r="F536" s="7" t="s">
        <v>4847</v>
      </c>
      <c r="G536" s="7" t="s">
        <v>3856</v>
      </c>
      <c r="H536" s="7" t="s">
        <v>3823</v>
      </c>
      <c r="I536" s="7" t="s">
        <v>3833</v>
      </c>
      <c r="K536" s="7" t="str">
        <f t="shared" si="2"/>
        <v/>
      </c>
      <c r="L536" s="7" t="str">
        <f t="shared" si="3"/>
        <v/>
      </c>
      <c r="M536" s="7">
        <f t="shared" ref="M536:N536" si="545">IF(LEN(M$1),COUNTIF($G536:$I536,M$1),"")</f>
        <v>0</v>
      </c>
      <c r="N536" s="7" t="str">
        <f t="shared" si="545"/>
        <v/>
      </c>
      <c r="O536" s="7" t="str">
        <f t="shared" si="5"/>
        <v/>
      </c>
      <c r="P536" s="7">
        <f t="shared" si="512"/>
        <v>0</v>
      </c>
      <c r="Q536" s="7" t="str">
        <f t="shared" si="7"/>
        <v/>
      </c>
      <c r="T536" s="7"/>
    </row>
    <row r="537" ht="12.75" customHeight="1">
      <c r="A537" s="7">
        <v>536.0</v>
      </c>
      <c r="B537" s="7" t="s">
        <v>1182</v>
      </c>
      <c r="C537" s="7" t="s">
        <v>4841</v>
      </c>
      <c r="D537" s="7"/>
      <c r="E537" s="7"/>
      <c r="F537" s="7" t="s">
        <v>4847</v>
      </c>
      <c r="G537" s="7" t="s">
        <v>3842</v>
      </c>
      <c r="H537" s="7" t="s">
        <v>3681</v>
      </c>
      <c r="I537" s="7" t="s">
        <v>3658</v>
      </c>
      <c r="K537" s="7" t="str">
        <f t="shared" si="2"/>
        <v/>
      </c>
      <c r="L537" s="7" t="str">
        <f t="shared" si="3"/>
        <v/>
      </c>
      <c r="M537" s="7">
        <f t="shared" ref="M537:N537" si="546">IF(LEN(M$1),COUNTIF($G537:$I537,M$1),"")</f>
        <v>0</v>
      </c>
      <c r="N537" s="7" t="str">
        <f t="shared" si="546"/>
        <v/>
      </c>
      <c r="O537" s="7" t="str">
        <f t="shared" si="5"/>
        <v/>
      </c>
      <c r="P537" s="7">
        <f t="shared" si="512"/>
        <v>0</v>
      </c>
      <c r="Q537" s="7" t="str">
        <f t="shared" si="7"/>
        <v/>
      </c>
      <c r="T537" s="7"/>
    </row>
    <row r="538" ht="12.75" customHeight="1">
      <c r="A538" s="7">
        <v>537.0</v>
      </c>
      <c r="B538" s="7" t="s">
        <v>1402</v>
      </c>
      <c r="C538" s="7" t="s">
        <v>4786</v>
      </c>
      <c r="D538" s="7"/>
      <c r="E538" s="7"/>
      <c r="F538" s="7" t="s">
        <v>4847</v>
      </c>
      <c r="G538" s="7" t="s">
        <v>3711</v>
      </c>
      <c r="H538" s="7" t="s">
        <v>3796</v>
      </c>
      <c r="I538" s="7" t="s">
        <v>3810</v>
      </c>
      <c r="K538" s="7" t="str">
        <f t="shared" si="2"/>
        <v/>
      </c>
      <c r="L538" s="7" t="str">
        <f t="shared" si="3"/>
        <v/>
      </c>
      <c r="M538" s="7">
        <f t="shared" ref="M538:N538" si="547">IF(LEN(M$1),COUNTIF($G538:$I538,M$1),"")</f>
        <v>0</v>
      </c>
      <c r="N538" s="7" t="str">
        <f t="shared" si="547"/>
        <v/>
      </c>
      <c r="O538" s="7" t="str">
        <f t="shared" si="5"/>
        <v/>
      </c>
      <c r="P538" s="7">
        <f t="shared" si="512"/>
        <v>0</v>
      </c>
      <c r="Q538" s="7" t="str">
        <f t="shared" si="7"/>
        <v/>
      </c>
      <c r="T538" s="7"/>
    </row>
    <row r="539" ht="12.75" customHeight="1">
      <c r="A539" s="7">
        <v>538.0</v>
      </c>
      <c r="B539" s="7" t="s">
        <v>1198</v>
      </c>
      <c r="C539" s="7" t="s">
        <v>4841</v>
      </c>
      <c r="D539" s="7"/>
      <c r="E539" s="7"/>
      <c r="F539" s="7" t="s">
        <v>4847</v>
      </c>
      <c r="G539" s="7" t="s">
        <v>3815</v>
      </c>
      <c r="H539" s="7" t="s">
        <v>3835</v>
      </c>
      <c r="I539" s="7" t="s">
        <v>3760</v>
      </c>
      <c r="K539" s="7" t="str">
        <f t="shared" si="2"/>
        <v/>
      </c>
      <c r="L539" s="7" t="str">
        <f t="shared" si="3"/>
        <v/>
      </c>
      <c r="M539" s="7">
        <f t="shared" ref="M539:N539" si="548">IF(LEN(M$1),COUNTIF($G539:$I539,M$1),"")</f>
        <v>0</v>
      </c>
      <c r="N539" s="7" t="str">
        <f t="shared" si="548"/>
        <v/>
      </c>
      <c r="O539" s="7" t="str">
        <f t="shared" si="5"/>
        <v/>
      </c>
      <c r="P539" s="7">
        <f t="shared" si="512"/>
        <v>0</v>
      </c>
      <c r="Q539" s="7" t="str">
        <f t="shared" si="7"/>
        <v/>
      </c>
      <c r="T539" s="7"/>
    </row>
    <row r="540" ht="12.75" customHeight="1">
      <c r="A540" s="7">
        <v>539.0</v>
      </c>
      <c r="B540" s="7" t="s">
        <v>1549</v>
      </c>
      <c r="C540" s="7" t="s">
        <v>4814</v>
      </c>
      <c r="D540" s="7"/>
      <c r="E540" s="7"/>
      <c r="F540" s="7" t="s">
        <v>4847</v>
      </c>
      <c r="G540" s="7" t="s">
        <v>3748</v>
      </c>
      <c r="H540" s="7" t="s">
        <v>3856</v>
      </c>
      <c r="I540" s="7" t="s">
        <v>3829</v>
      </c>
      <c r="K540" s="7" t="str">
        <f t="shared" si="2"/>
        <v/>
      </c>
      <c r="L540" s="7" t="str">
        <f t="shared" si="3"/>
        <v/>
      </c>
      <c r="M540" s="7">
        <f t="shared" ref="M540:N540" si="549">IF(LEN(M$1),COUNTIF($G540:$I540,M$1),"")</f>
        <v>0</v>
      </c>
      <c r="N540" s="7" t="str">
        <f t="shared" si="549"/>
        <v/>
      </c>
      <c r="O540" s="7" t="str">
        <f t="shared" si="5"/>
        <v/>
      </c>
      <c r="P540" s="7">
        <f t="shared" si="512"/>
        <v>0</v>
      </c>
      <c r="Q540" s="7" t="str">
        <f t="shared" si="7"/>
        <v/>
      </c>
      <c r="T540" s="7"/>
    </row>
    <row r="541" ht="12.75" customHeight="1">
      <c r="A541" s="7">
        <v>540.0</v>
      </c>
      <c r="B541" s="7" t="s">
        <v>1174</v>
      </c>
      <c r="C541" s="7" t="s">
        <v>4845</v>
      </c>
      <c r="D541" s="7"/>
      <c r="E541" s="7"/>
      <c r="F541" s="7" t="s">
        <v>4847</v>
      </c>
      <c r="G541" s="7" t="s">
        <v>3850</v>
      </c>
      <c r="H541" s="7" t="s">
        <v>3821</v>
      </c>
      <c r="I541" s="7" t="s">
        <v>3835</v>
      </c>
      <c r="K541" s="7" t="str">
        <f t="shared" si="2"/>
        <v/>
      </c>
      <c r="L541" s="7" t="str">
        <f t="shared" si="3"/>
        <v/>
      </c>
      <c r="M541" s="7">
        <f t="shared" ref="M541:N541" si="550">IF(LEN(M$1),COUNTIF($G541:$I541,M$1),"")</f>
        <v>0</v>
      </c>
      <c r="N541" s="7" t="str">
        <f t="shared" si="550"/>
        <v/>
      </c>
      <c r="O541" s="7" t="str">
        <f t="shared" si="5"/>
        <v/>
      </c>
      <c r="P541" s="7">
        <f t="shared" si="512"/>
        <v>0</v>
      </c>
      <c r="Q541" s="7" t="str">
        <f t="shared" si="7"/>
        <v/>
      </c>
      <c r="T541" s="7"/>
    </row>
    <row r="542" ht="12.75" customHeight="1">
      <c r="A542" s="7">
        <v>541.0</v>
      </c>
      <c r="B542" s="7" t="s">
        <v>1251</v>
      </c>
      <c r="C542" s="7" t="s">
        <v>4843</v>
      </c>
      <c r="D542" s="7"/>
      <c r="E542" s="7"/>
      <c r="F542" s="7" t="s">
        <v>4847</v>
      </c>
      <c r="G542" s="7" t="s">
        <v>3771</v>
      </c>
      <c r="H542" s="7" t="s">
        <v>3724</v>
      </c>
      <c r="I542" s="7" t="s">
        <v>3649</v>
      </c>
      <c r="K542" s="7" t="str">
        <f t="shared" si="2"/>
        <v/>
      </c>
      <c r="L542" s="7" t="str">
        <f t="shared" si="3"/>
        <v/>
      </c>
      <c r="M542" s="7">
        <f t="shared" ref="M542:N542" si="551">IF(LEN(M$1),COUNTIF($G542:$I542,M$1),"")</f>
        <v>0</v>
      </c>
      <c r="N542" s="7" t="str">
        <f t="shared" si="551"/>
        <v/>
      </c>
      <c r="O542" s="7" t="str">
        <f t="shared" si="5"/>
        <v/>
      </c>
      <c r="P542" s="7">
        <f t="shared" si="512"/>
        <v>0</v>
      </c>
      <c r="Q542" s="7" t="str">
        <f t="shared" si="7"/>
        <v/>
      </c>
      <c r="T542" s="7"/>
    </row>
    <row r="543" ht="12.75" customHeight="1">
      <c r="A543" s="7">
        <v>542.0</v>
      </c>
      <c r="B543" s="7" t="s">
        <v>1614</v>
      </c>
      <c r="C543" s="7" t="s">
        <v>4743</v>
      </c>
      <c r="D543" s="7"/>
      <c r="E543" s="7"/>
      <c r="F543" s="7" t="s">
        <v>4847</v>
      </c>
      <c r="G543" s="7" t="s">
        <v>3612</v>
      </c>
      <c r="H543" s="7" t="s">
        <v>3760</v>
      </c>
      <c r="I543" s="7" t="s">
        <v>3798</v>
      </c>
      <c r="K543" s="7" t="str">
        <f t="shared" si="2"/>
        <v/>
      </c>
      <c r="L543" s="7" t="str">
        <f t="shared" si="3"/>
        <v/>
      </c>
      <c r="M543" s="7">
        <f t="shared" ref="M543:N543" si="552">IF(LEN(M$1),COUNTIF($G543:$I543,M$1),"")</f>
        <v>0</v>
      </c>
      <c r="N543" s="7" t="str">
        <f t="shared" si="552"/>
        <v/>
      </c>
      <c r="O543" s="7" t="str">
        <f t="shared" si="5"/>
        <v/>
      </c>
      <c r="P543" s="7">
        <f t="shared" si="512"/>
        <v>0</v>
      </c>
      <c r="Q543" s="7" t="str">
        <f t="shared" si="7"/>
        <v/>
      </c>
      <c r="T543" s="7"/>
    </row>
    <row r="544" ht="12.75" customHeight="1">
      <c r="A544" s="7">
        <v>543.0</v>
      </c>
      <c r="B544" s="7" t="s">
        <v>1585</v>
      </c>
      <c r="C544" s="7" t="s">
        <v>4849</v>
      </c>
      <c r="D544" s="7"/>
      <c r="E544" s="7"/>
      <c r="F544" s="7" t="s">
        <v>4847</v>
      </c>
      <c r="G544" s="7" t="s">
        <v>3750</v>
      </c>
      <c r="H544" s="7" t="s">
        <v>3746</v>
      </c>
      <c r="I544" s="7" t="s">
        <v>3731</v>
      </c>
      <c r="K544" s="7" t="str">
        <f t="shared" si="2"/>
        <v/>
      </c>
      <c r="L544" s="7" t="str">
        <f t="shared" si="3"/>
        <v/>
      </c>
      <c r="M544" s="7">
        <f t="shared" ref="M544:N544" si="553">IF(LEN(M$1),COUNTIF($G544:$I544,M$1),"")</f>
        <v>0</v>
      </c>
      <c r="N544" s="7" t="str">
        <f t="shared" si="553"/>
        <v/>
      </c>
      <c r="O544" s="7" t="str">
        <f t="shared" si="5"/>
        <v/>
      </c>
      <c r="P544" s="7">
        <f t="shared" si="512"/>
        <v>0</v>
      </c>
      <c r="Q544" s="7" t="str">
        <f t="shared" si="7"/>
        <v/>
      </c>
      <c r="T544" s="7"/>
    </row>
    <row r="545" ht="12.75" customHeight="1">
      <c r="A545" s="7">
        <v>544.0</v>
      </c>
      <c r="B545" s="7" t="s">
        <v>1144</v>
      </c>
      <c r="C545" s="7" t="s">
        <v>4837</v>
      </c>
      <c r="D545" s="7"/>
      <c r="E545" s="7"/>
      <c r="F545" s="7" t="s">
        <v>4847</v>
      </c>
      <c r="G545" s="7" t="s">
        <v>3755</v>
      </c>
      <c r="H545" s="7" t="s">
        <v>3829</v>
      </c>
      <c r="I545" s="7" t="s">
        <v>3798</v>
      </c>
      <c r="K545" s="7" t="str">
        <f t="shared" si="2"/>
        <v/>
      </c>
      <c r="L545" s="7" t="str">
        <f t="shared" si="3"/>
        <v/>
      </c>
      <c r="M545" s="7">
        <f t="shared" ref="M545:N545" si="554">IF(LEN(M$1),COUNTIF($G545:$I545,M$1),"")</f>
        <v>0</v>
      </c>
      <c r="N545" s="7" t="str">
        <f t="shared" si="554"/>
        <v/>
      </c>
      <c r="O545" s="7" t="str">
        <f t="shared" si="5"/>
        <v/>
      </c>
      <c r="P545" s="7">
        <f t="shared" si="512"/>
        <v>0</v>
      </c>
      <c r="Q545" s="7" t="str">
        <f t="shared" si="7"/>
        <v/>
      </c>
      <c r="T545" s="7"/>
    </row>
    <row r="546" ht="12.75" customHeight="1">
      <c r="A546" s="7">
        <v>545.0</v>
      </c>
      <c r="B546" s="7" t="s">
        <v>1317</v>
      </c>
      <c r="C546" s="7" t="s">
        <v>4815</v>
      </c>
      <c r="D546" s="7"/>
      <c r="E546" s="7"/>
      <c r="F546" s="7" t="s">
        <v>4847</v>
      </c>
      <c r="G546" s="7" t="s">
        <v>3796</v>
      </c>
      <c r="H546" s="7" t="s">
        <v>3815</v>
      </c>
      <c r="I546" s="7" t="s">
        <v>3829</v>
      </c>
      <c r="K546" s="7" t="str">
        <f t="shared" si="2"/>
        <v/>
      </c>
      <c r="L546" s="7" t="str">
        <f t="shared" si="3"/>
        <v/>
      </c>
      <c r="M546" s="7">
        <f t="shared" ref="M546:N546" si="555">IF(LEN(M$1),COUNTIF($G546:$I546,M$1),"")</f>
        <v>0</v>
      </c>
      <c r="N546" s="7" t="str">
        <f t="shared" si="555"/>
        <v/>
      </c>
      <c r="O546" s="7" t="str">
        <f t="shared" si="5"/>
        <v/>
      </c>
      <c r="P546" s="7">
        <f t="shared" si="512"/>
        <v>0</v>
      </c>
      <c r="Q546" s="7" t="str">
        <f t="shared" si="7"/>
        <v/>
      </c>
      <c r="T546" s="7"/>
    </row>
    <row r="547" ht="12.75" customHeight="1">
      <c r="A547" s="7">
        <v>546.0</v>
      </c>
      <c r="B547" s="7" t="s">
        <v>1570</v>
      </c>
      <c r="C547" s="7" t="s">
        <v>4850</v>
      </c>
      <c r="D547" s="7"/>
      <c r="E547" s="7"/>
      <c r="F547" s="7" t="s">
        <v>4847</v>
      </c>
      <c r="G547" s="7" t="s">
        <v>3821</v>
      </c>
      <c r="H547" s="7" t="s">
        <v>3585</v>
      </c>
      <c r="I547" s="7" t="s">
        <v>3720</v>
      </c>
      <c r="K547" s="7" t="str">
        <f t="shared" si="2"/>
        <v/>
      </c>
      <c r="L547" s="7" t="str">
        <f t="shared" si="3"/>
        <v/>
      </c>
      <c r="M547" s="7">
        <f t="shared" ref="M547:N547" si="556">IF(LEN(M$1),COUNTIF($G547:$I547,M$1),"")</f>
        <v>0</v>
      </c>
      <c r="N547" s="7" t="str">
        <f t="shared" si="556"/>
        <v/>
      </c>
      <c r="O547" s="7" t="str">
        <f t="shared" si="5"/>
        <v/>
      </c>
      <c r="P547" s="7">
        <f t="shared" si="512"/>
        <v>0</v>
      </c>
      <c r="Q547" s="7" t="str">
        <f t="shared" si="7"/>
        <v/>
      </c>
      <c r="T547" s="7"/>
    </row>
    <row r="548" ht="12.75" customHeight="1">
      <c r="A548" s="7">
        <v>547.0</v>
      </c>
      <c r="B548" s="7" t="s">
        <v>1477</v>
      </c>
      <c r="C548" s="7" t="s">
        <v>4793</v>
      </c>
      <c r="D548" s="7"/>
      <c r="E548" s="7"/>
      <c r="F548" s="7" t="s">
        <v>4847</v>
      </c>
      <c r="G548" s="7" t="s">
        <v>3633</v>
      </c>
      <c r="H548" s="7" t="s">
        <v>3757</v>
      </c>
      <c r="I548" s="7" t="s">
        <v>3837</v>
      </c>
      <c r="K548" s="7" t="str">
        <f t="shared" si="2"/>
        <v/>
      </c>
      <c r="L548" s="7" t="str">
        <f t="shared" si="3"/>
        <v/>
      </c>
      <c r="M548" s="7">
        <f t="shared" ref="M548:N548" si="557">IF(LEN(M$1),COUNTIF($G548:$I548,M$1),"")</f>
        <v>0</v>
      </c>
      <c r="N548" s="7" t="str">
        <f t="shared" si="557"/>
        <v/>
      </c>
      <c r="O548" s="7" t="str">
        <f t="shared" si="5"/>
        <v/>
      </c>
      <c r="P548" s="7">
        <f t="shared" si="512"/>
        <v>0</v>
      </c>
      <c r="Q548" s="7" t="str">
        <f t="shared" si="7"/>
        <v/>
      </c>
      <c r="T548" s="7"/>
    </row>
    <row r="549" ht="12.75" customHeight="1">
      <c r="A549" s="7">
        <v>548.0</v>
      </c>
      <c r="B549" s="7" t="s">
        <v>1461</v>
      </c>
      <c r="C549" s="7" t="s">
        <v>4791</v>
      </c>
      <c r="D549" s="7"/>
      <c r="E549" s="7"/>
      <c r="F549" s="7" t="s">
        <v>4847</v>
      </c>
      <c r="G549" s="7" t="s">
        <v>3791</v>
      </c>
      <c r="H549" s="7" t="s">
        <v>3856</v>
      </c>
      <c r="I549" s="7" t="s">
        <v>3850</v>
      </c>
      <c r="K549" s="7" t="str">
        <f t="shared" si="2"/>
        <v/>
      </c>
      <c r="L549" s="7" t="str">
        <f t="shared" si="3"/>
        <v/>
      </c>
      <c r="M549" s="7">
        <f t="shared" ref="M549:N549" si="558">IF(LEN(M$1),COUNTIF($G549:$I549,M$1),"")</f>
        <v>0</v>
      </c>
      <c r="N549" s="7" t="str">
        <f t="shared" si="558"/>
        <v/>
      </c>
      <c r="O549" s="7" t="str">
        <f t="shared" si="5"/>
        <v/>
      </c>
      <c r="P549" s="7">
        <f t="shared" si="512"/>
        <v>0</v>
      </c>
      <c r="Q549" s="7" t="str">
        <f t="shared" si="7"/>
        <v/>
      </c>
      <c r="T549" s="7"/>
    </row>
    <row r="550" ht="12.75" customHeight="1">
      <c r="A550" s="7">
        <v>549.0</v>
      </c>
      <c r="B550" s="7" t="s">
        <v>1527</v>
      </c>
      <c r="C550" s="7" t="s">
        <v>4809</v>
      </c>
      <c r="D550" s="7"/>
      <c r="E550" s="7"/>
      <c r="F550" s="7" t="s">
        <v>4847</v>
      </c>
      <c r="G550" s="7" t="s">
        <v>3785</v>
      </c>
      <c r="H550" s="7" t="s">
        <v>3835</v>
      </c>
      <c r="I550" s="7" t="s">
        <v>3727</v>
      </c>
      <c r="K550" s="7" t="str">
        <f t="shared" si="2"/>
        <v/>
      </c>
      <c r="L550" s="7" t="str">
        <f t="shared" si="3"/>
        <v/>
      </c>
      <c r="M550" s="7">
        <f t="shared" ref="M550:N550" si="559">IF(LEN(M$1),COUNTIF($G550:$I550,M$1),"")</f>
        <v>0</v>
      </c>
      <c r="N550" s="7" t="str">
        <f t="shared" si="559"/>
        <v/>
      </c>
      <c r="O550" s="7" t="str">
        <f t="shared" si="5"/>
        <v/>
      </c>
      <c r="P550" s="7">
        <f t="shared" si="512"/>
        <v>0</v>
      </c>
      <c r="Q550" s="7" t="str">
        <f t="shared" si="7"/>
        <v/>
      </c>
      <c r="T550" s="7"/>
    </row>
    <row r="551" ht="12.75" customHeight="1">
      <c r="A551" s="7">
        <v>550.0</v>
      </c>
      <c r="B551" s="7" t="s">
        <v>1577</v>
      </c>
      <c r="C551" s="7" t="s">
        <v>4849</v>
      </c>
      <c r="D551" s="7"/>
      <c r="E551" s="7"/>
      <c r="F551" s="7" t="s">
        <v>4847</v>
      </c>
      <c r="G551" s="7" t="s">
        <v>3835</v>
      </c>
      <c r="H551" s="7" t="s">
        <v>3801</v>
      </c>
      <c r="I551" s="7" t="s">
        <v>3757</v>
      </c>
      <c r="K551" s="7" t="str">
        <f t="shared" si="2"/>
        <v/>
      </c>
      <c r="L551" s="7" t="str">
        <f t="shared" si="3"/>
        <v/>
      </c>
      <c r="M551" s="7">
        <f t="shared" ref="M551:N551" si="560">IF(LEN(M$1),COUNTIF($G551:$I551,M$1),"")</f>
        <v>0</v>
      </c>
      <c r="N551" s="7" t="str">
        <f t="shared" si="560"/>
        <v/>
      </c>
      <c r="O551" s="7" t="str">
        <f t="shared" si="5"/>
        <v/>
      </c>
      <c r="P551" s="7">
        <f t="shared" si="512"/>
        <v>0</v>
      </c>
      <c r="Q551" s="7" t="str">
        <f t="shared" si="7"/>
        <v/>
      </c>
      <c r="T551" s="7"/>
    </row>
    <row r="552" ht="12.75" customHeight="1">
      <c r="A552" s="7">
        <v>551.0</v>
      </c>
      <c r="B552" s="7" t="s">
        <v>1229</v>
      </c>
      <c r="C552" s="7" t="s">
        <v>4844</v>
      </c>
      <c r="D552" s="7"/>
      <c r="E552" s="7"/>
      <c r="F552" s="7" t="s">
        <v>4847</v>
      </c>
      <c r="G552" s="7" t="s">
        <v>3757</v>
      </c>
      <c r="H552" s="7" t="s">
        <v>3679</v>
      </c>
      <c r="I552" s="7" t="s">
        <v>3703</v>
      </c>
      <c r="K552" s="7" t="str">
        <f t="shared" si="2"/>
        <v/>
      </c>
      <c r="L552" s="7" t="str">
        <f t="shared" si="3"/>
        <v/>
      </c>
      <c r="M552" s="7">
        <f t="shared" ref="M552:N552" si="561">IF(LEN(M$1),COUNTIF($G552:$I552,M$1),"")</f>
        <v>0</v>
      </c>
      <c r="N552" s="7" t="str">
        <f t="shared" si="561"/>
        <v/>
      </c>
      <c r="O552" s="7" t="str">
        <f t="shared" si="5"/>
        <v/>
      </c>
      <c r="P552" s="7">
        <f t="shared" si="512"/>
        <v>0</v>
      </c>
      <c r="Q552" s="7" t="str">
        <f t="shared" si="7"/>
        <v/>
      </c>
      <c r="T552" s="7"/>
    </row>
    <row r="553" ht="12.75" customHeight="1">
      <c r="A553" s="7">
        <v>552.0</v>
      </c>
      <c r="B553" s="7" t="s">
        <v>1317</v>
      </c>
      <c r="C553" s="7" t="s">
        <v>4815</v>
      </c>
      <c r="D553" s="7"/>
      <c r="E553" s="7"/>
      <c r="F553" s="7" t="s">
        <v>4847</v>
      </c>
      <c r="G553" s="7" t="s">
        <v>3588</v>
      </c>
      <c r="H553" s="7" t="s">
        <v>3748</v>
      </c>
      <c r="I553" s="7" t="s">
        <v>3778</v>
      </c>
      <c r="K553" s="7" t="str">
        <f t="shared" si="2"/>
        <v/>
      </c>
      <c r="L553" s="7" t="str">
        <f t="shared" si="3"/>
        <v/>
      </c>
      <c r="M553" s="7">
        <f t="shared" ref="M553:N553" si="562">IF(LEN(M$1),COUNTIF($G553:$I553,M$1),"")</f>
        <v>0</v>
      </c>
      <c r="N553" s="7" t="str">
        <f t="shared" si="562"/>
        <v/>
      </c>
      <c r="O553" s="7" t="str">
        <f t="shared" si="5"/>
        <v/>
      </c>
      <c r="P553" s="7">
        <f t="shared" si="512"/>
        <v>0</v>
      </c>
      <c r="Q553" s="7" t="str">
        <f t="shared" si="7"/>
        <v/>
      </c>
      <c r="T553" s="7"/>
    </row>
    <row r="554" ht="12.75" customHeight="1">
      <c r="A554" s="7">
        <v>553.0</v>
      </c>
      <c r="B554" s="7" t="s">
        <v>1148</v>
      </c>
      <c r="C554" s="7" t="s">
        <v>4850</v>
      </c>
      <c r="D554" s="7"/>
      <c r="E554" s="7"/>
      <c r="F554" s="7" t="s">
        <v>4847</v>
      </c>
      <c r="G554" s="7" t="s">
        <v>3821</v>
      </c>
      <c r="H554" s="7" t="s">
        <v>3823</v>
      </c>
      <c r="I554" s="7" t="s">
        <v>3778</v>
      </c>
      <c r="K554" s="7" t="str">
        <f t="shared" si="2"/>
        <v/>
      </c>
      <c r="L554" s="7" t="str">
        <f t="shared" si="3"/>
        <v/>
      </c>
      <c r="M554" s="7">
        <f t="shared" ref="M554:N554" si="563">IF(LEN(M$1),COUNTIF($G554:$I554,M$1),"")</f>
        <v>0</v>
      </c>
      <c r="N554" s="7" t="str">
        <f t="shared" si="563"/>
        <v/>
      </c>
      <c r="O554" s="7" t="str">
        <f t="shared" si="5"/>
        <v/>
      </c>
      <c r="P554" s="7">
        <f t="shared" si="512"/>
        <v>0</v>
      </c>
      <c r="Q554" s="7" t="str">
        <f t="shared" si="7"/>
        <v/>
      </c>
      <c r="T554" s="7"/>
    </row>
    <row r="555" ht="12.75" customHeight="1">
      <c r="A555" s="7">
        <v>554.0</v>
      </c>
      <c r="B555" s="7" t="s">
        <v>1486</v>
      </c>
      <c r="C555" s="7" t="s">
        <v>4795</v>
      </c>
      <c r="D555" s="7"/>
      <c r="E555" s="7"/>
      <c r="F555" s="7" t="s">
        <v>4847</v>
      </c>
      <c r="G555" s="7" t="s">
        <v>3739</v>
      </c>
      <c r="H555" s="7" t="s">
        <v>3856</v>
      </c>
      <c r="I555" s="7" t="s">
        <v>3845</v>
      </c>
      <c r="K555" s="7" t="str">
        <f t="shared" si="2"/>
        <v/>
      </c>
      <c r="L555" s="7" t="str">
        <f t="shared" si="3"/>
        <v/>
      </c>
      <c r="M555" s="7">
        <f t="shared" ref="M555:N555" si="564">IF(LEN(M$1),COUNTIF($G555:$I555,M$1),"")</f>
        <v>0</v>
      </c>
      <c r="N555" s="7" t="str">
        <f t="shared" si="564"/>
        <v/>
      </c>
      <c r="O555" s="7" t="str">
        <f t="shared" si="5"/>
        <v/>
      </c>
      <c r="P555" s="7">
        <f t="shared" si="512"/>
        <v>0</v>
      </c>
      <c r="Q555" s="7" t="str">
        <f t="shared" si="7"/>
        <v/>
      </c>
      <c r="T555" s="7"/>
    </row>
    <row r="556" ht="12.75" customHeight="1">
      <c r="A556" s="7">
        <v>555.0</v>
      </c>
      <c r="B556" s="7" t="s">
        <v>1501</v>
      </c>
      <c r="C556" s="7" t="s">
        <v>4756</v>
      </c>
      <c r="D556" s="7"/>
      <c r="E556" s="7"/>
      <c r="F556" s="7" t="s">
        <v>4847</v>
      </c>
      <c r="G556" s="7" t="s">
        <v>3798</v>
      </c>
      <c r="H556" s="7" t="s">
        <v>3813</v>
      </c>
      <c r="I556" s="7" t="s">
        <v>3850</v>
      </c>
      <c r="K556" s="7" t="str">
        <f t="shared" si="2"/>
        <v/>
      </c>
      <c r="L556" s="7" t="str">
        <f t="shared" si="3"/>
        <v/>
      </c>
      <c r="M556" s="7">
        <f t="shared" ref="M556:N556" si="565">IF(LEN(M$1),COUNTIF($G556:$I556,M$1),"")</f>
        <v>0</v>
      </c>
      <c r="N556" s="7" t="str">
        <f t="shared" si="565"/>
        <v/>
      </c>
      <c r="O556" s="7" t="str">
        <f t="shared" si="5"/>
        <v/>
      </c>
      <c r="P556" s="7">
        <f t="shared" si="512"/>
        <v>0</v>
      </c>
      <c r="Q556" s="7" t="str">
        <f t="shared" si="7"/>
        <v/>
      </c>
      <c r="T556" s="7"/>
    </row>
    <row r="557" ht="12.75" customHeight="1">
      <c r="A557" s="7">
        <v>556.0</v>
      </c>
      <c r="B557" s="7" t="s">
        <v>1501</v>
      </c>
      <c r="C557" s="7" t="s">
        <v>4756</v>
      </c>
      <c r="D557" s="7"/>
      <c r="E557" s="7"/>
      <c r="F557" s="7" t="s">
        <v>4847</v>
      </c>
      <c r="G557" s="7" t="s">
        <v>3775</v>
      </c>
      <c r="H557" s="7" t="s">
        <v>3675</v>
      </c>
      <c r="I557" s="7" t="s">
        <v>3623</v>
      </c>
      <c r="K557" s="7" t="str">
        <f t="shared" si="2"/>
        <v/>
      </c>
      <c r="L557" s="7" t="str">
        <f t="shared" si="3"/>
        <v/>
      </c>
      <c r="M557" s="7">
        <f t="shared" ref="M557:N557" si="566">IF(LEN(M$1),COUNTIF($G557:$I557,M$1),"")</f>
        <v>0</v>
      </c>
      <c r="N557" s="7" t="str">
        <f t="shared" si="566"/>
        <v/>
      </c>
      <c r="O557" s="7" t="str">
        <f t="shared" si="5"/>
        <v/>
      </c>
      <c r="P557" s="7">
        <f t="shared" si="512"/>
        <v>0</v>
      </c>
      <c r="Q557" s="7" t="str">
        <f t="shared" si="7"/>
        <v/>
      </c>
      <c r="T557" s="7"/>
    </row>
    <row r="558" ht="12.75" customHeight="1">
      <c r="A558" s="7">
        <v>557.0</v>
      </c>
      <c r="B558" s="7" t="s">
        <v>1236</v>
      </c>
      <c r="C558" s="7" t="s">
        <v>4844</v>
      </c>
      <c r="D558" s="7"/>
      <c r="E558" s="7"/>
      <c r="F558" s="7" t="s">
        <v>4847</v>
      </c>
      <c r="G558" s="7" t="s">
        <v>3585</v>
      </c>
      <c r="H558" s="7" t="s">
        <v>3764</v>
      </c>
      <c r="I558" s="7" t="s">
        <v>3746</v>
      </c>
      <c r="K558" s="7" t="str">
        <f t="shared" si="2"/>
        <v/>
      </c>
      <c r="L558" s="7" t="str">
        <f t="shared" si="3"/>
        <v/>
      </c>
      <c r="M558" s="7">
        <f t="shared" ref="M558:N558" si="567">IF(LEN(M$1),COUNTIF($G558:$I558,M$1),"")</f>
        <v>0</v>
      </c>
      <c r="N558" s="7" t="str">
        <f t="shared" si="567"/>
        <v/>
      </c>
      <c r="O558" s="7" t="str">
        <f t="shared" si="5"/>
        <v/>
      </c>
      <c r="P558" s="7">
        <f t="shared" si="512"/>
        <v>0</v>
      </c>
      <c r="Q558" s="7" t="str">
        <f t="shared" si="7"/>
        <v/>
      </c>
      <c r="T558" s="7"/>
    </row>
    <row r="559" ht="12.75" customHeight="1">
      <c r="A559" s="7">
        <v>558.0</v>
      </c>
      <c r="B559" s="7" t="s">
        <v>1417</v>
      </c>
      <c r="C559" s="7" t="s">
        <v>4848</v>
      </c>
      <c r="D559" s="7"/>
      <c r="E559" s="7"/>
      <c r="F559" s="7" t="s">
        <v>4847</v>
      </c>
      <c r="G559" s="7" t="s">
        <v>3727</v>
      </c>
      <c r="H559" s="7" t="s">
        <v>3757</v>
      </c>
      <c r="I559" s="7" t="s">
        <v>3780</v>
      </c>
      <c r="K559" s="7" t="str">
        <f t="shared" si="2"/>
        <v/>
      </c>
      <c r="L559" s="7" t="str">
        <f t="shared" si="3"/>
        <v/>
      </c>
      <c r="M559" s="7">
        <f t="shared" ref="M559:N559" si="568">IF(LEN(M$1),COUNTIF($G559:$I559,M$1),"")</f>
        <v>0</v>
      </c>
      <c r="N559" s="7" t="str">
        <f t="shared" si="568"/>
        <v/>
      </c>
      <c r="O559" s="7" t="str">
        <f t="shared" si="5"/>
        <v/>
      </c>
      <c r="P559" s="7">
        <f t="shared" si="512"/>
        <v>0</v>
      </c>
      <c r="Q559" s="7" t="str">
        <f t="shared" si="7"/>
        <v/>
      </c>
    </row>
    <row r="560" ht="12.75" customHeight="1">
      <c r="A560" s="7">
        <v>559.0</v>
      </c>
      <c r="B560" s="7" t="s">
        <v>1347</v>
      </c>
      <c r="C560" s="7" t="s">
        <v>4731</v>
      </c>
      <c r="D560" s="7"/>
      <c r="E560" s="7"/>
      <c r="F560" s="7" t="s">
        <v>4847</v>
      </c>
      <c r="G560" s="7" t="s">
        <v>3818</v>
      </c>
      <c r="H560" s="7" t="s">
        <v>3798</v>
      </c>
      <c r="I560" s="7" t="s">
        <v>3794</v>
      </c>
      <c r="K560" s="7" t="str">
        <f t="shared" si="2"/>
        <v/>
      </c>
      <c r="L560" s="7" t="str">
        <f t="shared" si="3"/>
        <v/>
      </c>
      <c r="M560" s="7">
        <f t="shared" ref="M560:N560" si="569">IF(LEN(M$1),COUNTIF($G560:$I560,M$1),"")</f>
        <v>0</v>
      </c>
      <c r="N560" s="7" t="str">
        <f t="shared" si="569"/>
        <v/>
      </c>
      <c r="O560" s="7" t="str">
        <f t="shared" si="5"/>
        <v/>
      </c>
      <c r="P560" s="7">
        <f t="shared" si="512"/>
        <v>0</v>
      </c>
      <c r="Q560" s="7" t="str">
        <f t="shared" si="7"/>
        <v/>
      </c>
    </row>
    <row r="561" ht="12.75" customHeight="1">
      <c r="A561" s="7">
        <v>560.0</v>
      </c>
      <c r="B561" s="7" t="s">
        <v>1593</v>
      </c>
      <c r="C561" s="7" t="s">
        <v>4740</v>
      </c>
      <c r="D561" s="7"/>
      <c r="E561" s="7"/>
      <c r="F561" s="7" t="s">
        <v>4847</v>
      </c>
      <c r="G561" s="7" t="s">
        <v>3773</v>
      </c>
      <c r="H561" s="7" t="s">
        <v>3769</v>
      </c>
      <c r="I561" s="7" t="s">
        <v>3837</v>
      </c>
      <c r="K561" s="7" t="str">
        <f t="shared" si="2"/>
        <v/>
      </c>
      <c r="L561" s="7" t="str">
        <f t="shared" si="3"/>
        <v/>
      </c>
      <c r="M561" s="7">
        <f t="shared" ref="M561:N561" si="570">IF(LEN(M$1),COUNTIF($G561:$I561,M$1),"")</f>
        <v>0</v>
      </c>
      <c r="N561" s="7" t="str">
        <f t="shared" si="570"/>
        <v/>
      </c>
      <c r="O561" s="7" t="str">
        <f t="shared" si="5"/>
        <v/>
      </c>
      <c r="P561" s="7">
        <f t="shared" si="512"/>
        <v>0</v>
      </c>
      <c r="Q561" s="7" t="str">
        <f t="shared" si="7"/>
        <v/>
      </c>
    </row>
    <row r="562" ht="12.75" customHeight="1">
      <c r="A562" s="7">
        <v>561.0</v>
      </c>
      <c r="B562" s="7" t="s">
        <v>1375</v>
      </c>
      <c r="C562" s="7" t="s">
        <v>4848</v>
      </c>
      <c r="D562" s="7"/>
      <c r="E562" s="7"/>
      <c r="F562" s="7" t="s">
        <v>4847</v>
      </c>
      <c r="G562" s="7" t="s">
        <v>3782</v>
      </c>
      <c r="H562" s="7" t="s">
        <v>3606</v>
      </c>
      <c r="I562" s="7" t="s">
        <v>3673</v>
      </c>
      <c r="K562" s="7" t="str">
        <f t="shared" si="2"/>
        <v/>
      </c>
      <c r="L562" s="7" t="str">
        <f t="shared" si="3"/>
        <v/>
      </c>
      <c r="M562" s="7">
        <f t="shared" ref="M562:N562" si="571">IF(LEN(M$1),COUNTIF($G562:$I562,M$1),"")</f>
        <v>0</v>
      </c>
      <c r="N562" s="7" t="str">
        <f t="shared" si="571"/>
        <v/>
      </c>
      <c r="O562" s="7" t="str">
        <f t="shared" si="5"/>
        <v/>
      </c>
      <c r="P562" s="7">
        <f t="shared" si="512"/>
        <v>0</v>
      </c>
      <c r="Q562" s="7" t="str">
        <f t="shared" si="7"/>
        <v/>
      </c>
      <c r="T562" s="7"/>
    </row>
    <row r="563" ht="12.75" customHeight="1">
      <c r="A563" s="7">
        <v>562.0</v>
      </c>
      <c r="B563" s="7" t="s">
        <v>1330</v>
      </c>
      <c r="C563" s="7" t="s">
        <v>4724</v>
      </c>
      <c r="D563" s="7"/>
      <c r="E563" s="7"/>
      <c r="F563" s="7" t="s">
        <v>4847</v>
      </c>
      <c r="G563" s="7" t="s">
        <v>3598</v>
      </c>
      <c r="H563" s="7" t="s">
        <v>3766</v>
      </c>
      <c r="I563" s="7" t="s">
        <v>3785</v>
      </c>
      <c r="K563" s="7" t="str">
        <f t="shared" si="2"/>
        <v/>
      </c>
      <c r="L563" s="7" t="str">
        <f t="shared" si="3"/>
        <v/>
      </c>
      <c r="M563" s="7">
        <f t="shared" ref="M563:N563" si="572">IF(LEN(M$1),COUNTIF($G563:$I563,M$1),"")</f>
        <v>0</v>
      </c>
      <c r="N563" s="7" t="str">
        <f t="shared" si="572"/>
        <v/>
      </c>
      <c r="O563" s="7" t="str">
        <f t="shared" si="5"/>
        <v/>
      </c>
      <c r="P563" s="7">
        <f t="shared" si="512"/>
        <v>0</v>
      </c>
      <c r="Q563" s="7" t="str">
        <f t="shared" si="7"/>
        <v/>
      </c>
      <c r="T563" s="7"/>
    </row>
    <row r="564" ht="12.75" customHeight="1">
      <c r="A564" s="7">
        <v>563.0</v>
      </c>
      <c r="B564" s="7" t="s">
        <v>1424</v>
      </c>
      <c r="C564" s="7" t="s">
        <v>4758</v>
      </c>
      <c r="D564" s="7"/>
      <c r="E564" s="7"/>
      <c r="F564" s="7" t="s">
        <v>4847</v>
      </c>
      <c r="G564" s="7" t="s">
        <v>3810</v>
      </c>
      <c r="H564" s="7" t="s">
        <v>3847</v>
      </c>
      <c r="I564" s="7" t="s">
        <v>3833</v>
      </c>
      <c r="K564" s="7" t="str">
        <f t="shared" si="2"/>
        <v/>
      </c>
      <c r="L564" s="7" t="str">
        <f t="shared" si="3"/>
        <v/>
      </c>
      <c r="M564" s="7">
        <f t="shared" ref="M564:N564" si="573">IF(LEN(M$1),COUNTIF($G564:$I564,M$1),"")</f>
        <v>0</v>
      </c>
      <c r="N564" s="7" t="str">
        <f t="shared" si="573"/>
        <v/>
      </c>
      <c r="O564" s="7" t="str">
        <f t="shared" si="5"/>
        <v/>
      </c>
      <c r="P564" s="7">
        <f t="shared" si="512"/>
        <v>0</v>
      </c>
      <c r="Q564" s="7" t="str">
        <f t="shared" si="7"/>
        <v/>
      </c>
      <c r="T564" s="7"/>
    </row>
    <row r="565" ht="12.75" customHeight="1">
      <c r="A565" s="7">
        <v>564.0</v>
      </c>
      <c r="B565" s="7" t="s">
        <v>1190</v>
      </c>
      <c r="C565" s="7" t="s">
        <v>4841</v>
      </c>
      <c r="D565" s="7"/>
      <c r="E565" s="7"/>
      <c r="F565" s="7" t="s">
        <v>4847</v>
      </c>
      <c r="G565" s="7" t="s">
        <v>3827</v>
      </c>
      <c r="H565" s="7" t="s">
        <v>3845</v>
      </c>
      <c r="I565" s="7" t="s">
        <v>3842</v>
      </c>
      <c r="K565" s="7" t="str">
        <f t="shared" si="2"/>
        <v/>
      </c>
      <c r="L565" s="7" t="str">
        <f t="shared" si="3"/>
        <v/>
      </c>
      <c r="M565" s="7">
        <f t="shared" ref="M565:N565" si="574">IF(LEN(M$1),COUNTIF($G565:$I565,M$1),"")</f>
        <v>0</v>
      </c>
      <c r="N565" s="7" t="str">
        <f t="shared" si="574"/>
        <v/>
      </c>
      <c r="O565" s="7" t="str">
        <f t="shared" si="5"/>
        <v/>
      </c>
      <c r="P565" s="7">
        <f t="shared" si="512"/>
        <v>0</v>
      </c>
      <c r="Q565" s="7" t="str">
        <f t="shared" si="7"/>
        <v/>
      </c>
      <c r="T565" s="7"/>
    </row>
    <row r="566" ht="12.75" customHeight="1">
      <c r="A566" s="7">
        <v>565.0</v>
      </c>
      <c r="B566" s="7" t="s">
        <v>1323</v>
      </c>
      <c r="C566" s="7" t="s">
        <v>4717</v>
      </c>
      <c r="D566" s="7"/>
      <c r="E566" s="7"/>
      <c r="F566" s="7" t="s">
        <v>4847</v>
      </c>
      <c r="G566" s="7" t="s">
        <v>3773</v>
      </c>
      <c r="H566" s="7" t="s">
        <v>3743</v>
      </c>
      <c r="I566" s="7" t="s">
        <v>3827</v>
      </c>
      <c r="K566" s="7" t="str">
        <f t="shared" si="2"/>
        <v/>
      </c>
      <c r="L566" s="7" t="str">
        <f t="shared" si="3"/>
        <v/>
      </c>
      <c r="M566" s="7">
        <f t="shared" ref="M566:N566" si="575">IF(LEN(M$1),COUNTIF($G566:$I566,M$1),"")</f>
        <v>0</v>
      </c>
      <c r="N566" s="7" t="str">
        <f t="shared" si="575"/>
        <v/>
      </c>
      <c r="O566" s="7" t="str">
        <f t="shared" si="5"/>
        <v/>
      </c>
      <c r="P566" s="7">
        <f t="shared" si="512"/>
        <v>0</v>
      </c>
      <c r="Q566" s="7" t="str">
        <f t="shared" si="7"/>
        <v/>
      </c>
      <c r="T566" s="7"/>
    </row>
    <row r="567" ht="12.75" customHeight="1">
      <c r="A567" s="7">
        <v>566.0</v>
      </c>
      <c r="B567" s="7" t="s">
        <v>1653</v>
      </c>
      <c r="C567" s="7" t="s">
        <v>4775</v>
      </c>
      <c r="D567" s="7"/>
      <c r="E567" s="7"/>
      <c r="F567" s="7" t="s">
        <v>4847</v>
      </c>
      <c r="G567" s="7" t="s">
        <v>3804</v>
      </c>
      <c r="H567" s="7" t="s">
        <v>3601</v>
      </c>
      <c r="I567" s="7" t="s">
        <v>3623</v>
      </c>
      <c r="K567" s="7" t="str">
        <f t="shared" si="2"/>
        <v/>
      </c>
      <c r="L567" s="7" t="str">
        <f t="shared" si="3"/>
        <v/>
      </c>
      <c r="M567" s="7">
        <f t="shared" ref="M567:N567" si="576">IF(LEN(M$1),COUNTIF($G567:$I567,M$1),"")</f>
        <v>0</v>
      </c>
      <c r="N567" s="7" t="str">
        <f t="shared" si="576"/>
        <v/>
      </c>
      <c r="O567" s="7" t="str">
        <f t="shared" si="5"/>
        <v/>
      </c>
      <c r="P567" s="7">
        <f t="shared" si="512"/>
        <v>0</v>
      </c>
      <c r="Q567" s="7" t="str">
        <f t="shared" si="7"/>
        <v/>
      </c>
      <c r="T567" s="7"/>
    </row>
    <row r="568" ht="12.75" customHeight="1">
      <c r="A568" s="7">
        <v>567.0</v>
      </c>
      <c r="B568" s="7" t="s">
        <v>1468</v>
      </c>
      <c r="C568" s="7" t="s">
        <v>4793</v>
      </c>
      <c r="D568" s="7"/>
      <c r="E568" s="7"/>
      <c r="F568" s="7" t="s">
        <v>4847</v>
      </c>
      <c r="G568" s="7" t="s">
        <v>3722</v>
      </c>
      <c r="H568" s="7" t="s">
        <v>3810</v>
      </c>
      <c r="I568" s="7" t="s">
        <v>3739</v>
      </c>
      <c r="K568" s="7" t="str">
        <f t="shared" si="2"/>
        <v/>
      </c>
      <c r="L568" s="7" t="str">
        <f t="shared" si="3"/>
        <v/>
      </c>
      <c r="M568" s="7">
        <f t="shared" ref="M568:N568" si="577">IF(LEN(M$1),COUNTIF($G568:$I568,M$1),"")</f>
        <v>0</v>
      </c>
      <c r="N568" s="7" t="str">
        <f t="shared" si="577"/>
        <v/>
      </c>
      <c r="O568" s="7" t="str">
        <f t="shared" si="5"/>
        <v/>
      </c>
      <c r="P568" s="7">
        <f t="shared" si="512"/>
        <v>0</v>
      </c>
      <c r="Q568" s="7" t="str">
        <f t="shared" si="7"/>
        <v/>
      </c>
      <c r="T568" s="7"/>
    </row>
    <row r="569" ht="12.75" customHeight="1">
      <c r="A569" s="7">
        <v>568.0</v>
      </c>
      <c r="B569" s="7" t="s">
        <v>1510</v>
      </c>
      <c r="C569" s="7" t="s">
        <v>4756</v>
      </c>
      <c r="D569" s="7"/>
      <c r="E569" s="7"/>
      <c r="F569" s="7" t="s">
        <v>4847</v>
      </c>
      <c r="G569" s="7" t="s">
        <v>3737</v>
      </c>
      <c r="H569" s="7" t="s">
        <v>3771</v>
      </c>
      <c r="I569" s="7" t="s">
        <v>3755</v>
      </c>
      <c r="K569" s="7" t="str">
        <f t="shared" si="2"/>
        <v/>
      </c>
      <c r="L569" s="7" t="str">
        <f t="shared" si="3"/>
        <v/>
      </c>
      <c r="M569" s="7">
        <f t="shared" ref="M569:N569" si="578">IF(LEN(M$1),COUNTIF($G569:$I569,M$1),"")</f>
        <v>0</v>
      </c>
      <c r="N569" s="7" t="str">
        <f t="shared" si="578"/>
        <v/>
      </c>
      <c r="O569" s="7" t="str">
        <f t="shared" si="5"/>
        <v/>
      </c>
      <c r="P569" s="7">
        <f t="shared" si="512"/>
        <v>0</v>
      </c>
      <c r="Q569" s="7" t="str">
        <f t="shared" si="7"/>
        <v/>
      </c>
      <c r="T569" s="7"/>
    </row>
    <row r="570" ht="12.75" customHeight="1">
      <c r="A570" s="7">
        <v>569.0</v>
      </c>
      <c r="B570" s="7" t="s">
        <v>1577</v>
      </c>
      <c r="C570" s="7" t="s">
        <v>4849</v>
      </c>
      <c r="D570" s="7"/>
      <c r="E570" s="7"/>
      <c r="F570" s="7" t="s">
        <v>4847</v>
      </c>
      <c r="G570" s="7" t="s">
        <v>3750</v>
      </c>
      <c r="H570" s="7" t="s">
        <v>3739</v>
      </c>
      <c r="I570" s="7" t="s">
        <v>3755</v>
      </c>
      <c r="K570" s="7" t="str">
        <f t="shared" si="2"/>
        <v/>
      </c>
      <c r="L570" s="7" t="str">
        <f t="shared" si="3"/>
        <v/>
      </c>
      <c r="M570" s="7">
        <f t="shared" ref="M570:N570" si="579">IF(LEN(M$1),COUNTIF($G570:$I570,M$1),"")</f>
        <v>0</v>
      </c>
      <c r="N570" s="7" t="str">
        <f t="shared" si="579"/>
        <v/>
      </c>
      <c r="O570" s="7" t="str">
        <f t="shared" si="5"/>
        <v/>
      </c>
      <c r="P570" s="7">
        <f t="shared" si="512"/>
        <v>0</v>
      </c>
      <c r="Q570" s="7" t="str">
        <f t="shared" si="7"/>
        <v/>
      </c>
      <c r="T570" s="7"/>
    </row>
    <row r="571" ht="12.75" customHeight="1">
      <c r="A571" s="7">
        <v>570.0</v>
      </c>
      <c r="B571" s="7" t="s">
        <v>1486</v>
      </c>
      <c r="C571" s="7" t="s">
        <v>4795</v>
      </c>
      <c r="D571" s="7"/>
      <c r="E571" s="7"/>
      <c r="F571" s="7" t="s">
        <v>4847</v>
      </c>
      <c r="G571" s="7" t="s">
        <v>3769</v>
      </c>
      <c r="H571" s="7" t="s">
        <v>3837</v>
      </c>
      <c r="I571" s="7" t="s">
        <v>3798</v>
      </c>
      <c r="K571" s="7" t="str">
        <f t="shared" si="2"/>
        <v/>
      </c>
      <c r="L571" s="7" t="str">
        <f t="shared" si="3"/>
        <v/>
      </c>
      <c r="M571" s="7">
        <f t="shared" ref="M571:N571" si="580">IF(LEN(M$1),COUNTIF($G571:$I571,M$1),"")</f>
        <v>0</v>
      </c>
      <c r="N571" s="7" t="str">
        <f t="shared" si="580"/>
        <v/>
      </c>
      <c r="O571" s="7" t="str">
        <f t="shared" si="5"/>
        <v/>
      </c>
      <c r="P571" s="7">
        <f t="shared" si="512"/>
        <v>0</v>
      </c>
      <c r="Q571" s="7" t="str">
        <f t="shared" si="7"/>
        <v/>
      </c>
      <c r="T571" s="7"/>
    </row>
    <row r="572" ht="12.75" customHeight="1">
      <c r="A572" s="7">
        <v>571.0</v>
      </c>
      <c r="B572" s="7" t="s">
        <v>1638</v>
      </c>
      <c r="C572" s="7" t="s">
        <v>4758</v>
      </c>
      <c r="D572" s="7"/>
      <c r="E572" s="7"/>
      <c r="F572" s="7" t="s">
        <v>4847</v>
      </c>
      <c r="G572" s="7" t="s">
        <v>3755</v>
      </c>
      <c r="H572" s="7" t="s">
        <v>3591</v>
      </c>
      <c r="I572" s="7" t="s">
        <v>3705</v>
      </c>
      <c r="K572" s="7" t="str">
        <f t="shared" si="2"/>
        <v/>
      </c>
      <c r="L572" s="7" t="str">
        <f t="shared" si="3"/>
        <v/>
      </c>
      <c r="M572" s="7">
        <f t="shared" ref="M572:N572" si="581">IF(LEN(M$1),COUNTIF($G572:$I572,M$1),"")</f>
        <v>0</v>
      </c>
      <c r="N572" s="7" t="str">
        <f t="shared" si="581"/>
        <v/>
      </c>
      <c r="O572" s="7" t="str">
        <f t="shared" si="5"/>
        <v/>
      </c>
      <c r="P572" s="7">
        <f t="shared" si="512"/>
        <v>0</v>
      </c>
      <c r="Q572" s="7" t="str">
        <f t="shared" si="7"/>
        <v/>
      </c>
      <c r="T572" s="7"/>
    </row>
    <row r="573" ht="12.75" customHeight="1">
      <c r="A573" s="7">
        <v>572.0</v>
      </c>
      <c r="B573" s="7" t="s">
        <v>1527</v>
      </c>
      <c r="C573" s="7" t="s">
        <v>4809</v>
      </c>
      <c r="D573" s="7"/>
      <c r="E573" s="7"/>
      <c r="F573" s="7" t="s">
        <v>4847</v>
      </c>
      <c r="G573" s="7" t="s">
        <v>3591</v>
      </c>
      <c r="H573" s="7" t="s">
        <v>3731</v>
      </c>
      <c r="I573" s="7" t="s">
        <v>3847</v>
      </c>
      <c r="K573" s="7" t="str">
        <f t="shared" si="2"/>
        <v/>
      </c>
      <c r="L573" s="7" t="str">
        <f t="shared" si="3"/>
        <v/>
      </c>
      <c r="M573" s="7">
        <f t="shared" ref="M573:N573" si="582">IF(LEN(M$1),COUNTIF($G573:$I573,M$1),"")</f>
        <v>0</v>
      </c>
      <c r="N573" s="7" t="str">
        <f t="shared" si="582"/>
        <v/>
      </c>
      <c r="O573" s="7" t="str">
        <f t="shared" si="5"/>
        <v/>
      </c>
      <c r="P573" s="7">
        <f t="shared" si="512"/>
        <v>0</v>
      </c>
      <c r="Q573" s="7" t="str">
        <f t="shared" si="7"/>
        <v/>
      </c>
      <c r="T573" s="7"/>
    </row>
    <row r="574" ht="12.75" customHeight="1">
      <c r="A574" s="7">
        <v>573.0</v>
      </c>
      <c r="B574" s="7" t="s">
        <v>1244</v>
      </c>
      <c r="C574" s="7" t="s">
        <v>4843</v>
      </c>
      <c r="D574" s="7"/>
      <c r="E574" s="7"/>
      <c r="F574" s="7" t="s">
        <v>4847</v>
      </c>
      <c r="G574" s="7" t="s">
        <v>3789</v>
      </c>
      <c r="H574" s="7" t="s">
        <v>3766</v>
      </c>
      <c r="I574" s="7" t="s">
        <v>3829</v>
      </c>
      <c r="K574" s="7" t="str">
        <f t="shared" si="2"/>
        <v/>
      </c>
      <c r="L574" s="7" t="str">
        <f t="shared" si="3"/>
        <v/>
      </c>
      <c r="M574" s="7">
        <f t="shared" ref="M574:N574" si="583">IF(LEN(M$1),COUNTIF($G574:$I574,M$1),"")</f>
        <v>0</v>
      </c>
      <c r="N574" s="7" t="str">
        <f t="shared" si="583"/>
        <v/>
      </c>
      <c r="O574" s="7" t="str">
        <f t="shared" si="5"/>
        <v/>
      </c>
      <c r="P574" s="7">
        <f t="shared" si="512"/>
        <v>0</v>
      </c>
      <c r="Q574" s="7" t="str">
        <f t="shared" si="7"/>
        <v/>
      </c>
      <c r="T574" s="7"/>
    </row>
    <row r="575" ht="12.75" customHeight="1">
      <c r="A575" s="7">
        <v>574.0</v>
      </c>
      <c r="B575" s="85" t="s">
        <v>1308</v>
      </c>
      <c r="C575" s="7" t="s">
        <v>4711</v>
      </c>
      <c r="D575" s="7"/>
      <c r="E575" s="7"/>
      <c r="F575" s="7" t="s">
        <v>4847</v>
      </c>
      <c r="G575" s="7" t="s">
        <v>3796</v>
      </c>
      <c r="H575" s="7" t="s">
        <v>3818</v>
      </c>
      <c r="I575" s="7" t="s">
        <v>3771</v>
      </c>
      <c r="K575" s="7" t="str">
        <f t="shared" si="2"/>
        <v/>
      </c>
      <c r="L575" s="7" t="str">
        <f t="shared" si="3"/>
        <v/>
      </c>
      <c r="M575" s="7">
        <f t="shared" ref="M575:N575" si="584">IF(LEN(M$1),COUNTIF($G575:$I575,M$1),"")</f>
        <v>0</v>
      </c>
      <c r="N575" s="7" t="str">
        <f t="shared" si="584"/>
        <v/>
      </c>
      <c r="O575" s="7" t="str">
        <f t="shared" si="5"/>
        <v/>
      </c>
      <c r="P575" s="7">
        <f t="shared" si="512"/>
        <v>0</v>
      </c>
      <c r="Q575" s="7" t="str">
        <f t="shared" si="7"/>
        <v/>
      </c>
      <c r="T575" s="7"/>
    </row>
    <row r="576" ht="12.75" customHeight="1">
      <c r="A576" s="7">
        <v>575.0</v>
      </c>
      <c r="B576" s="7" t="s">
        <v>1638</v>
      </c>
      <c r="C576" s="7" t="s">
        <v>4758</v>
      </c>
      <c r="D576" s="7"/>
      <c r="E576" s="7"/>
      <c r="F576" s="7" t="s">
        <v>4847</v>
      </c>
      <c r="G576" s="7" t="s">
        <v>3780</v>
      </c>
      <c r="H576" s="7" t="s">
        <v>3847</v>
      </c>
      <c r="I576" s="7" t="s">
        <v>3731</v>
      </c>
      <c r="K576" s="7" t="str">
        <f t="shared" si="2"/>
        <v/>
      </c>
      <c r="L576" s="7" t="str">
        <f t="shared" si="3"/>
        <v/>
      </c>
      <c r="M576" s="7">
        <f t="shared" ref="M576:N576" si="585">IF(LEN(M$1),COUNTIF($G576:$I576,M$1),"")</f>
        <v>0</v>
      </c>
      <c r="N576" s="7" t="str">
        <f t="shared" si="585"/>
        <v/>
      </c>
      <c r="O576" s="7" t="str">
        <f t="shared" si="5"/>
        <v/>
      </c>
      <c r="P576" s="7">
        <f t="shared" si="512"/>
        <v>0</v>
      </c>
      <c r="Q576" s="7" t="str">
        <f t="shared" si="7"/>
        <v/>
      </c>
      <c r="T576" s="7"/>
    </row>
    <row r="577" ht="12.75" customHeight="1">
      <c r="A577" s="7">
        <v>576.0</v>
      </c>
      <c r="B577" s="7" t="s">
        <v>1510</v>
      </c>
      <c r="C577" s="7" t="s">
        <v>4756</v>
      </c>
      <c r="D577" s="7"/>
      <c r="E577" s="7"/>
      <c r="F577" s="7" t="s">
        <v>4847</v>
      </c>
      <c r="G577" s="7" t="s">
        <v>3850</v>
      </c>
      <c r="H577" s="7" t="s">
        <v>3780</v>
      </c>
      <c r="I577" s="7" t="s">
        <v>3588</v>
      </c>
      <c r="K577" s="7" t="str">
        <f t="shared" si="2"/>
        <v/>
      </c>
      <c r="L577" s="7" t="str">
        <f t="shared" si="3"/>
        <v/>
      </c>
      <c r="M577" s="7">
        <f t="shared" ref="M577:N577" si="586">IF(LEN(M$1),COUNTIF($G577:$I577,M$1),"")</f>
        <v>0</v>
      </c>
      <c r="N577" s="7" t="str">
        <f t="shared" si="586"/>
        <v/>
      </c>
      <c r="O577" s="7" t="str">
        <f t="shared" si="5"/>
        <v/>
      </c>
      <c r="P577" s="7">
        <f t="shared" si="512"/>
        <v>0</v>
      </c>
      <c r="Q577" s="7" t="str">
        <f t="shared" si="7"/>
        <v/>
      </c>
      <c r="T577" s="7"/>
    </row>
    <row r="578" ht="12.75" customHeight="1">
      <c r="A578" s="7">
        <v>577.0</v>
      </c>
      <c r="B578" s="7" t="s">
        <v>1556</v>
      </c>
      <c r="C578" s="7" t="s">
        <v>4814</v>
      </c>
      <c r="D578" s="7"/>
      <c r="E578" s="7"/>
      <c r="F578" s="7" t="s">
        <v>4847</v>
      </c>
      <c r="G578" s="7" t="s">
        <v>3618</v>
      </c>
      <c r="H578" s="7" t="s">
        <v>3845</v>
      </c>
      <c r="I578" s="7" t="s">
        <v>3791</v>
      </c>
      <c r="K578" s="7" t="str">
        <f t="shared" si="2"/>
        <v/>
      </c>
      <c r="L578" s="7" t="str">
        <f t="shared" si="3"/>
        <v/>
      </c>
      <c r="M578" s="7">
        <f t="shared" ref="M578:N578" si="587">IF(LEN(M$1),COUNTIF($G578:$I578,M$1),"")</f>
        <v>0</v>
      </c>
      <c r="N578" s="7" t="str">
        <f t="shared" si="587"/>
        <v/>
      </c>
      <c r="O578" s="7" t="str">
        <f t="shared" si="5"/>
        <v/>
      </c>
      <c r="P578" s="7">
        <f t="shared" si="512"/>
        <v>0</v>
      </c>
      <c r="Q578" s="7" t="str">
        <f t="shared" si="7"/>
        <v/>
      </c>
      <c r="T578" s="7"/>
    </row>
    <row r="579" ht="12.75" customHeight="1">
      <c r="A579" s="7">
        <v>578.0</v>
      </c>
      <c r="B579" s="7" t="s">
        <v>1151</v>
      </c>
      <c r="C579" s="7" t="s">
        <v>4837</v>
      </c>
      <c r="D579" s="7"/>
      <c r="E579" s="7"/>
      <c r="F579" s="7" t="s">
        <v>4847</v>
      </c>
      <c r="G579" s="7" t="s">
        <v>3764</v>
      </c>
      <c r="H579" s="7" t="s">
        <v>3854</v>
      </c>
      <c r="I579" s="7" t="s">
        <v>3739</v>
      </c>
      <c r="K579" s="7" t="str">
        <f t="shared" si="2"/>
        <v/>
      </c>
      <c r="L579" s="7" t="str">
        <f t="shared" si="3"/>
        <v/>
      </c>
      <c r="M579" s="7">
        <f t="shared" ref="M579:N579" si="588">IF(LEN(M$1),COUNTIF($G579:$I579,M$1),"")</f>
        <v>0</v>
      </c>
      <c r="N579" s="7" t="str">
        <f t="shared" si="588"/>
        <v/>
      </c>
      <c r="O579" s="7" t="str">
        <f t="shared" si="5"/>
        <v/>
      </c>
      <c r="P579" s="7">
        <f t="shared" si="512"/>
        <v>0</v>
      </c>
      <c r="Q579" s="7" t="str">
        <f t="shared" si="7"/>
        <v/>
      </c>
      <c r="T579" s="7"/>
    </row>
    <row r="580" ht="12.75" customHeight="1">
      <c r="A580" s="7">
        <v>579.0</v>
      </c>
      <c r="B580" s="7" t="s">
        <v>1549</v>
      </c>
      <c r="C580" s="7" t="s">
        <v>4814</v>
      </c>
      <c r="D580" s="7"/>
      <c r="E580" s="7"/>
      <c r="F580" s="7" t="s">
        <v>4847</v>
      </c>
      <c r="G580" s="7" t="s">
        <v>3743</v>
      </c>
      <c r="H580" s="7" t="s">
        <v>3827</v>
      </c>
      <c r="I580" s="7" t="s">
        <v>3837</v>
      </c>
      <c r="K580" s="7" t="str">
        <f t="shared" si="2"/>
        <v/>
      </c>
      <c r="L580" s="7" t="str">
        <f t="shared" si="3"/>
        <v/>
      </c>
      <c r="M580" s="7">
        <f t="shared" ref="M580:N580" si="589">IF(LEN(M$1),COUNTIF($G580:$I580,M$1),"")</f>
        <v>0</v>
      </c>
      <c r="N580" s="7" t="str">
        <f t="shared" si="589"/>
        <v/>
      </c>
      <c r="O580" s="7" t="str">
        <f t="shared" si="5"/>
        <v/>
      </c>
      <c r="P580" s="7">
        <f t="shared" si="512"/>
        <v>0</v>
      </c>
      <c r="Q580" s="7" t="str">
        <f t="shared" si="7"/>
        <v/>
      </c>
      <c r="T580" s="7"/>
    </row>
    <row r="581" ht="12.75" customHeight="1">
      <c r="A581" s="7">
        <v>580.0</v>
      </c>
      <c r="B581" s="7" t="s">
        <v>1445</v>
      </c>
      <c r="C581" s="7" t="s">
        <v>4815</v>
      </c>
      <c r="D581" s="7"/>
      <c r="E581" s="7"/>
      <c r="F581" s="7" t="s">
        <v>4847</v>
      </c>
      <c r="G581" s="7" t="s">
        <v>3806</v>
      </c>
      <c r="H581" s="7" t="s">
        <v>3829</v>
      </c>
      <c r="I581" s="7" t="s">
        <v>3823</v>
      </c>
      <c r="K581" s="7" t="str">
        <f t="shared" si="2"/>
        <v/>
      </c>
      <c r="L581" s="7" t="str">
        <f t="shared" si="3"/>
        <v/>
      </c>
      <c r="M581" s="7">
        <f t="shared" ref="M581:N581" si="590">IF(LEN(M$1),COUNTIF($G581:$I581,M$1),"")</f>
        <v>0</v>
      </c>
      <c r="N581" s="7" t="str">
        <f t="shared" si="590"/>
        <v/>
      </c>
      <c r="O581" s="7" t="str">
        <f t="shared" si="5"/>
        <v/>
      </c>
      <c r="P581" s="7">
        <f t="shared" si="512"/>
        <v>0</v>
      </c>
      <c r="Q581" s="7" t="str">
        <f t="shared" si="7"/>
        <v/>
      </c>
      <c r="T581" s="7"/>
    </row>
    <row r="582" ht="12.75" customHeight="1">
      <c r="A582" s="7">
        <v>581.0</v>
      </c>
      <c r="B582" s="7" t="s">
        <v>1660</v>
      </c>
      <c r="C582" s="7" t="s">
        <v>4775</v>
      </c>
      <c r="D582" s="7"/>
      <c r="E582" s="7"/>
      <c r="F582" s="7" t="s">
        <v>4847</v>
      </c>
      <c r="G582" s="7" t="s">
        <v>3847</v>
      </c>
      <c r="H582" s="7" t="s">
        <v>3806</v>
      </c>
      <c r="I582" s="7" t="s">
        <v>3698</v>
      </c>
      <c r="K582" s="7" t="str">
        <f t="shared" si="2"/>
        <v/>
      </c>
      <c r="L582" s="7" t="str">
        <f t="shared" si="3"/>
        <v/>
      </c>
      <c r="M582" s="7">
        <f t="shared" ref="M582:N582" si="591">IF(LEN(M$1),COUNTIF($G582:$I582,M$1),"")</f>
        <v>0</v>
      </c>
      <c r="N582" s="7" t="str">
        <f t="shared" si="591"/>
        <v/>
      </c>
      <c r="O582" s="7" t="str">
        <f t="shared" si="5"/>
        <v/>
      </c>
      <c r="P582" s="7">
        <f t="shared" si="512"/>
        <v>0</v>
      </c>
      <c r="Q582" s="7" t="str">
        <f t="shared" si="7"/>
        <v/>
      </c>
      <c r="T582" s="7"/>
    </row>
    <row r="583" ht="12.75" customHeight="1">
      <c r="A583" s="7">
        <v>582.0</v>
      </c>
      <c r="B583" s="7" t="s">
        <v>1375</v>
      </c>
      <c r="C583" s="7" t="s">
        <v>4848</v>
      </c>
      <c r="D583" s="7"/>
      <c r="E583" s="7"/>
      <c r="F583" s="7" t="s">
        <v>4847</v>
      </c>
      <c r="G583" s="7" t="s">
        <v>3713</v>
      </c>
      <c r="H583" s="7" t="s">
        <v>3746</v>
      </c>
      <c r="I583" s="7" t="s">
        <v>3815</v>
      </c>
      <c r="K583" s="7" t="str">
        <f t="shared" si="2"/>
        <v/>
      </c>
      <c r="L583" s="7" t="str">
        <f t="shared" si="3"/>
        <v/>
      </c>
      <c r="M583" s="7">
        <f t="shared" ref="M583:N583" si="592">IF(LEN(M$1),COUNTIF($G583:$I583,M$1),"")</f>
        <v>0</v>
      </c>
      <c r="N583" s="7" t="str">
        <f t="shared" si="592"/>
        <v/>
      </c>
      <c r="O583" s="7" t="str">
        <f t="shared" si="5"/>
        <v/>
      </c>
      <c r="P583" s="7">
        <f t="shared" si="512"/>
        <v>0</v>
      </c>
      <c r="Q583" s="7" t="str">
        <f t="shared" si="7"/>
        <v/>
      </c>
      <c r="T583" s="7"/>
    </row>
    <row r="584" ht="12.75" customHeight="1">
      <c r="A584" s="7">
        <v>583.0</v>
      </c>
      <c r="B584" s="7" t="s">
        <v>85</v>
      </c>
      <c r="C584" s="7" t="s">
        <v>4778</v>
      </c>
      <c r="D584" s="7"/>
      <c r="E584" s="7"/>
      <c r="F584" s="7" t="s">
        <v>4847</v>
      </c>
      <c r="G584" s="7" t="s">
        <v>3801</v>
      </c>
      <c r="H584" s="7" t="s">
        <v>3766</v>
      </c>
      <c r="I584" s="7" t="s">
        <v>3842</v>
      </c>
      <c r="K584" s="7" t="str">
        <f t="shared" si="2"/>
        <v/>
      </c>
      <c r="L584" s="7" t="str">
        <f t="shared" si="3"/>
        <v/>
      </c>
      <c r="M584" s="7">
        <f t="shared" ref="M584:N584" si="593">IF(LEN(M$1),COUNTIF($G584:$I584,M$1),"")</f>
        <v>0</v>
      </c>
      <c r="N584" s="7" t="str">
        <f t="shared" si="593"/>
        <v/>
      </c>
      <c r="O584" s="7" t="str">
        <f t="shared" si="5"/>
        <v/>
      </c>
      <c r="P584" s="7">
        <f t="shared" si="512"/>
        <v>0</v>
      </c>
      <c r="Q584" s="7" t="str">
        <f t="shared" si="7"/>
        <v/>
      </c>
      <c r="T584" s="7"/>
    </row>
    <row r="585" ht="12.75" customHeight="1">
      <c r="A585" s="7">
        <v>584.0</v>
      </c>
      <c r="B585" s="7" t="s">
        <v>1468</v>
      </c>
      <c r="C585" s="7" t="s">
        <v>4793</v>
      </c>
      <c r="D585" s="7"/>
      <c r="E585" s="7"/>
      <c r="F585" s="7" t="s">
        <v>4847</v>
      </c>
      <c r="G585" s="7" t="s">
        <v>3801</v>
      </c>
      <c r="H585" s="7" t="s">
        <v>3775</v>
      </c>
      <c r="I585" s="7" t="s">
        <v>3755</v>
      </c>
      <c r="K585" s="7" t="str">
        <f t="shared" si="2"/>
        <v/>
      </c>
      <c r="L585" s="7" t="str">
        <f t="shared" si="3"/>
        <v/>
      </c>
      <c r="M585" s="7">
        <f t="shared" ref="M585:N585" si="594">IF(LEN(M$1),COUNTIF($G585:$I585,M$1),"")</f>
        <v>0</v>
      </c>
      <c r="N585" s="7" t="str">
        <f t="shared" si="594"/>
        <v/>
      </c>
      <c r="O585" s="7" t="str">
        <f t="shared" si="5"/>
        <v/>
      </c>
      <c r="P585" s="7">
        <f t="shared" si="512"/>
        <v>0</v>
      </c>
      <c r="Q585" s="7" t="str">
        <f t="shared" si="7"/>
        <v/>
      </c>
      <c r="T585" s="7"/>
    </row>
    <row r="586" ht="12.75" customHeight="1">
      <c r="A586" s="7">
        <v>585.0</v>
      </c>
      <c r="B586" s="7" t="s">
        <v>85</v>
      </c>
      <c r="C586" s="7" t="s">
        <v>4778</v>
      </c>
      <c r="D586" s="7"/>
      <c r="E586" s="7"/>
      <c r="F586" s="7" t="s">
        <v>4847</v>
      </c>
      <c r="G586" s="7" t="s">
        <v>3734</v>
      </c>
      <c r="H586" s="7" t="s">
        <v>3806</v>
      </c>
      <c r="I586" s="7" t="s">
        <v>3815</v>
      </c>
      <c r="K586" s="7" t="str">
        <f t="shared" si="2"/>
        <v/>
      </c>
      <c r="L586" s="7" t="str">
        <f t="shared" si="3"/>
        <v/>
      </c>
      <c r="M586" s="7">
        <f t="shared" ref="M586:N586" si="595">IF(LEN(M$1),COUNTIF($G586:$I586,M$1),"")</f>
        <v>0</v>
      </c>
      <c r="N586" s="7" t="str">
        <f t="shared" si="595"/>
        <v/>
      </c>
      <c r="O586" s="7" t="str">
        <f t="shared" si="5"/>
        <v/>
      </c>
      <c r="P586" s="7">
        <f t="shared" si="512"/>
        <v>0</v>
      </c>
      <c r="Q586" s="7" t="str">
        <f t="shared" si="7"/>
        <v/>
      </c>
      <c r="T586" s="7"/>
    </row>
    <row r="587" ht="12.75" customHeight="1">
      <c r="A587" s="7">
        <v>586.0</v>
      </c>
      <c r="B587" s="7" t="s">
        <v>1167</v>
      </c>
      <c r="C587" s="7" t="s">
        <v>4845</v>
      </c>
      <c r="D587" s="7"/>
      <c r="E587" s="7"/>
      <c r="F587" s="7" t="s">
        <v>4847</v>
      </c>
      <c r="G587" s="7" t="s">
        <v>3791</v>
      </c>
      <c r="H587" s="7" t="s">
        <v>3669</v>
      </c>
      <c r="I587" s="7" t="s">
        <v>3612</v>
      </c>
      <c r="K587" s="7" t="str">
        <f t="shared" si="2"/>
        <v/>
      </c>
      <c r="L587" s="7" t="str">
        <f t="shared" si="3"/>
        <v/>
      </c>
      <c r="M587" s="7">
        <f t="shared" ref="M587:N587" si="596">IF(LEN(M$1),COUNTIF($G587:$I587,M$1),"")</f>
        <v>0</v>
      </c>
      <c r="N587" s="7" t="str">
        <f t="shared" si="596"/>
        <v/>
      </c>
      <c r="O587" s="7" t="str">
        <f t="shared" si="5"/>
        <v/>
      </c>
      <c r="P587" s="7">
        <f t="shared" si="512"/>
        <v>0</v>
      </c>
      <c r="Q587" s="7" t="str">
        <f t="shared" si="7"/>
        <v/>
      </c>
      <c r="T587" s="7"/>
    </row>
    <row r="588" ht="12.75" customHeight="1">
      <c r="A588" s="7">
        <v>587.0</v>
      </c>
      <c r="B588" s="7" t="s">
        <v>1556</v>
      </c>
      <c r="C588" s="7" t="s">
        <v>4814</v>
      </c>
      <c r="D588" s="7"/>
      <c r="E588" s="7"/>
      <c r="F588" s="7" t="s">
        <v>4847</v>
      </c>
      <c r="G588" s="7" t="s">
        <v>3598</v>
      </c>
      <c r="H588" s="7" t="s">
        <v>3739</v>
      </c>
      <c r="I588" s="7" t="s">
        <v>3835</v>
      </c>
      <c r="K588" s="7" t="str">
        <f t="shared" si="2"/>
        <v/>
      </c>
      <c r="L588" s="7" t="str">
        <f t="shared" si="3"/>
        <v/>
      </c>
      <c r="M588" s="7">
        <f t="shared" ref="M588:N588" si="597">IF(LEN(M$1),COUNTIF($G588:$I588,M$1),"")</f>
        <v>0</v>
      </c>
      <c r="N588" s="7" t="str">
        <f t="shared" si="597"/>
        <v/>
      </c>
      <c r="O588" s="7" t="str">
        <f t="shared" si="5"/>
        <v/>
      </c>
      <c r="P588" s="7">
        <f t="shared" si="512"/>
        <v>0</v>
      </c>
      <c r="Q588" s="7" t="str">
        <f t="shared" si="7"/>
        <v/>
      </c>
      <c r="T588" s="7"/>
    </row>
    <row r="589" ht="12.75" customHeight="1">
      <c r="A589" s="7">
        <v>588.0</v>
      </c>
      <c r="B589" s="7" t="s">
        <v>1424</v>
      </c>
      <c r="C589" s="7" t="s">
        <v>4758</v>
      </c>
      <c r="D589" s="7"/>
      <c r="E589" s="7"/>
      <c r="F589" s="7" t="s">
        <v>4847</v>
      </c>
      <c r="G589" s="7" t="s">
        <v>3831</v>
      </c>
      <c r="H589" s="7" t="s">
        <v>3813</v>
      </c>
      <c r="I589" s="7" t="s">
        <v>3764</v>
      </c>
      <c r="K589" s="7" t="str">
        <f t="shared" si="2"/>
        <v/>
      </c>
      <c r="L589" s="7" t="str">
        <f t="shared" si="3"/>
        <v/>
      </c>
      <c r="M589" s="7">
        <f t="shared" ref="M589:N589" si="598">IF(LEN(M$1),COUNTIF($G589:$I589,M$1),"")</f>
        <v>0</v>
      </c>
      <c r="N589" s="7" t="str">
        <f t="shared" si="598"/>
        <v/>
      </c>
      <c r="O589" s="7" t="str">
        <f t="shared" si="5"/>
        <v/>
      </c>
      <c r="P589" s="7">
        <f t="shared" si="512"/>
        <v>0</v>
      </c>
      <c r="Q589" s="7" t="str">
        <f t="shared" si="7"/>
        <v/>
      </c>
      <c r="T589" s="7"/>
    </row>
    <row r="590" ht="12.75" customHeight="1">
      <c r="A590" s="7">
        <v>589.0</v>
      </c>
      <c r="B590" s="7" t="s">
        <v>1286</v>
      </c>
      <c r="C590" s="7" t="s">
        <v>4701</v>
      </c>
      <c r="D590" s="7"/>
      <c r="E590" s="7"/>
      <c r="F590" s="7" t="s">
        <v>4847</v>
      </c>
      <c r="G590" s="7" t="s">
        <v>3739</v>
      </c>
      <c r="H590" s="7" t="s">
        <v>3827</v>
      </c>
      <c r="I590" s="7" t="s">
        <v>3737</v>
      </c>
      <c r="K590" s="7" t="str">
        <f t="shared" si="2"/>
        <v/>
      </c>
      <c r="L590" s="7" t="str">
        <f t="shared" si="3"/>
        <v/>
      </c>
      <c r="M590" s="7">
        <f t="shared" ref="M590:N590" si="599">IF(LEN(M$1),COUNTIF($G590:$I590,M$1),"")</f>
        <v>0</v>
      </c>
      <c r="N590" s="7" t="str">
        <f t="shared" si="599"/>
        <v/>
      </c>
      <c r="O590" s="7" t="str">
        <f t="shared" si="5"/>
        <v/>
      </c>
      <c r="P590" s="7">
        <f t="shared" si="512"/>
        <v>0</v>
      </c>
      <c r="Q590" s="7" t="str">
        <f t="shared" si="7"/>
        <v/>
      </c>
      <c r="T590" s="7"/>
    </row>
    <row r="591" ht="12.75" customHeight="1">
      <c r="A591" s="7">
        <v>590.0</v>
      </c>
      <c r="B591" s="7" t="s">
        <v>1630</v>
      </c>
      <c r="C591" s="7" t="s">
        <v>4756</v>
      </c>
      <c r="D591" s="7"/>
      <c r="E591" s="7"/>
      <c r="F591" s="7" t="s">
        <v>4847</v>
      </c>
      <c r="G591" s="7" t="s">
        <v>3810</v>
      </c>
      <c r="H591" s="7" t="s">
        <v>3831</v>
      </c>
      <c r="I591" s="7" t="s">
        <v>3766</v>
      </c>
      <c r="K591" s="7" t="str">
        <f t="shared" si="2"/>
        <v/>
      </c>
      <c r="L591" s="7" t="str">
        <f t="shared" si="3"/>
        <v/>
      </c>
      <c r="M591" s="7">
        <f t="shared" ref="M591:N591" si="600">IF(LEN(M$1),COUNTIF($G591:$I591,M$1),"")</f>
        <v>0</v>
      </c>
      <c r="N591" s="7" t="str">
        <f t="shared" si="600"/>
        <v/>
      </c>
      <c r="O591" s="7" t="str">
        <f t="shared" si="5"/>
        <v/>
      </c>
      <c r="P591" s="7">
        <f t="shared" si="512"/>
        <v>0</v>
      </c>
      <c r="Q591" s="7" t="str">
        <f t="shared" si="7"/>
        <v/>
      </c>
      <c r="T591" s="7"/>
    </row>
    <row r="592" ht="12.75" customHeight="1">
      <c r="A592" s="7">
        <v>591.0</v>
      </c>
      <c r="B592" s="7" t="s">
        <v>1315</v>
      </c>
      <c r="C592" s="7" t="s">
        <v>4717</v>
      </c>
      <c r="D592" s="7"/>
      <c r="E592" s="7"/>
      <c r="F592" s="7" t="s">
        <v>4847</v>
      </c>
      <c r="G592" s="7" t="s">
        <v>3813</v>
      </c>
      <c r="H592" s="7" t="s">
        <v>3720</v>
      </c>
      <c r="I592" s="7" t="s">
        <v>3633</v>
      </c>
      <c r="K592" s="7" t="str">
        <f t="shared" si="2"/>
        <v/>
      </c>
      <c r="L592" s="7" t="str">
        <f t="shared" si="3"/>
        <v/>
      </c>
      <c r="M592" s="7">
        <f t="shared" ref="M592:N592" si="601">IF(LEN(M$1),COUNTIF($G592:$I592,M$1),"")</f>
        <v>0</v>
      </c>
      <c r="N592" s="7" t="str">
        <f t="shared" si="601"/>
        <v/>
      </c>
      <c r="O592" s="7" t="str">
        <f t="shared" si="5"/>
        <v/>
      </c>
      <c r="P592" s="7">
        <f t="shared" si="512"/>
        <v>0</v>
      </c>
      <c r="Q592" s="7" t="str">
        <f t="shared" si="7"/>
        <v/>
      </c>
      <c r="T592" s="7"/>
    </row>
    <row r="593" ht="12.75" customHeight="1">
      <c r="A593" s="7">
        <v>592.0</v>
      </c>
      <c r="B593" s="7" t="s">
        <v>1645</v>
      </c>
      <c r="C593" s="7" t="s">
        <v>4758</v>
      </c>
      <c r="D593" s="7"/>
      <c r="E593" s="7"/>
      <c r="F593" s="7" t="s">
        <v>4847</v>
      </c>
      <c r="G593" s="7" t="s">
        <v>3637</v>
      </c>
      <c r="H593" s="7" t="s">
        <v>3766</v>
      </c>
      <c r="I593" s="7" t="s">
        <v>3750</v>
      </c>
      <c r="K593" s="7" t="str">
        <f t="shared" si="2"/>
        <v/>
      </c>
      <c r="L593" s="7" t="str">
        <f t="shared" si="3"/>
        <v/>
      </c>
      <c r="M593" s="7">
        <f t="shared" ref="M593:N593" si="602">IF(LEN(M$1),COUNTIF($G593:$I593,M$1),"")</f>
        <v>0</v>
      </c>
      <c r="N593" s="7" t="str">
        <f t="shared" si="602"/>
        <v/>
      </c>
      <c r="O593" s="7" t="str">
        <f t="shared" si="5"/>
        <v/>
      </c>
      <c r="P593" s="7">
        <f t="shared" si="512"/>
        <v>0</v>
      </c>
      <c r="Q593" s="7" t="str">
        <f t="shared" si="7"/>
        <v/>
      </c>
      <c r="T593" s="7"/>
    </row>
    <row r="594" ht="12.75" customHeight="1">
      <c r="A594" s="7">
        <v>593.0</v>
      </c>
      <c r="B594" s="7" t="s">
        <v>1540</v>
      </c>
      <c r="C594" s="7" t="s">
        <v>4812</v>
      </c>
      <c r="D594" s="7"/>
      <c r="E594" s="7"/>
      <c r="F594" s="7" t="s">
        <v>4847</v>
      </c>
      <c r="G594" s="7" t="s">
        <v>3741</v>
      </c>
      <c r="H594" s="7" t="s">
        <v>3794</v>
      </c>
      <c r="I594" s="7" t="s">
        <v>3775</v>
      </c>
      <c r="K594" s="7" t="str">
        <f t="shared" si="2"/>
        <v/>
      </c>
      <c r="L594" s="7" t="str">
        <f t="shared" si="3"/>
        <v/>
      </c>
      <c r="M594" s="7">
        <f t="shared" ref="M594:N594" si="603">IF(LEN(M$1),COUNTIF($G594:$I594,M$1),"")</f>
        <v>0</v>
      </c>
      <c r="N594" s="7" t="str">
        <f t="shared" si="603"/>
        <v/>
      </c>
      <c r="O594" s="7" t="str">
        <f t="shared" si="5"/>
        <v/>
      </c>
      <c r="P594" s="7">
        <f t="shared" si="512"/>
        <v>0</v>
      </c>
      <c r="Q594" s="7" t="str">
        <f t="shared" si="7"/>
        <v/>
      </c>
      <c r="T594" s="7"/>
    </row>
    <row r="595" ht="12.75" customHeight="1">
      <c r="A595" s="7">
        <v>594.0</v>
      </c>
      <c r="B595" s="7" t="s">
        <v>1540</v>
      </c>
      <c r="C595" s="7" t="s">
        <v>4812</v>
      </c>
      <c r="D595" s="7"/>
      <c r="E595" s="7"/>
      <c r="F595" s="7" t="s">
        <v>4847</v>
      </c>
      <c r="G595" s="7" t="s">
        <v>3727</v>
      </c>
      <c r="H595" s="7" t="s">
        <v>3821</v>
      </c>
      <c r="I595" s="7" t="s">
        <v>3752</v>
      </c>
      <c r="K595" s="7" t="str">
        <f t="shared" si="2"/>
        <v/>
      </c>
      <c r="L595" s="7" t="str">
        <f t="shared" si="3"/>
        <v/>
      </c>
      <c r="M595" s="7">
        <f t="shared" ref="M595:N595" si="604">IF(LEN(M$1),COUNTIF($G595:$I595,M$1),"")</f>
        <v>0</v>
      </c>
      <c r="N595" s="7" t="str">
        <f t="shared" si="604"/>
        <v/>
      </c>
      <c r="O595" s="7" t="str">
        <f t="shared" si="5"/>
        <v/>
      </c>
      <c r="P595" s="7">
        <f t="shared" si="512"/>
        <v>0</v>
      </c>
      <c r="Q595" s="7" t="str">
        <f t="shared" si="7"/>
        <v/>
      </c>
      <c r="T595" s="7"/>
    </row>
    <row r="596" ht="12.75" customHeight="1">
      <c r="A596" s="7">
        <v>595.0</v>
      </c>
      <c r="B596" s="7" t="s">
        <v>1277</v>
      </c>
      <c r="C596" s="7" t="s">
        <v>4845</v>
      </c>
      <c r="D596" s="7"/>
      <c r="E596" s="7"/>
      <c r="F596" s="7" t="s">
        <v>4847</v>
      </c>
      <c r="G596" s="7" t="s">
        <v>3818</v>
      </c>
      <c r="H596" s="7" t="s">
        <v>3731</v>
      </c>
      <c r="I596" s="7" t="s">
        <v>3856</v>
      </c>
      <c r="K596" s="7" t="str">
        <f t="shared" si="2"/>
        <v/>
      </c>
      <c r="L596" s="7" t="str">
        <f t="shared" si="3"/>
        <v/>
      </c>
      <c r="M596" s="7">
        <f t="shared" ref="M596:N596" si="605">IF(LEN(M$1),COUNTIF($G596:$I596,M$1),"")</f>
        <v>0</v>
      </c>
      <c r="N596" s="7" t="str">
        <f t="shared" si="605"/>
        <v/>
      </c>
      <c r="O596" s="7" t="str">
        <f t="shared" si="5"/>
        <v/>
      </c>
      <c r="P596" s="7">
        <f t="shared" si="512"/>
        <v>0</v>
      </c>
      <c r="Q596" s="7" t="str">
        <f t="shared" si="7"/>
        <v/>
      </c>
      <c r="T596" s="7"/>
    </row>
    <row r="597" ht="12.75" customHeight="1">
      <c r="A597" s="7">
        <v>596.0</v>
      </c>
      <c r="B597" s="7" t="s">
        <v>1461</v>
      </c>
      <c r="C597" s="7" t="s">
        <v>4791</v>
      </c>
      <c r="D597" s="7"/>
      <c r="E597" s="7"/>
      <c r="F597" s="7" t="s">
        <v>4847</v>
      </c>
      <c r="G597" s="7" t="s">
        <v>3831</v>
      </c>
      <c r="H597" s="7" t="s">
        <v>3690</v>
      </c>
      <c r="I597" s="7" t="s">
        <v>3665</v>
      </c>
      <c r="K597" s="7" t="str">
        <f t="shared" si="2"/>
        <v/>
      </c>
      <c r="L597" s="7" t="str">
        <f t="shared" si="3"/>
        <v/>
      </c>
      <c r="M597" s="7">
        <f t="shared" ref="M597:N597" si="606">IF(LEN(M$1),COUNTIF($G597:$I597,M$1),"")</f>
        <v>0</v>
      </c>
      <c r="N597" s="7" t="str">
        <f t="shared" si="606"/>
        <v/>
      </c>
      <c r="O597" s="7" t="str">
        <f t="shared" si="5"/>
        <v/>
      </c>
      <c r="P597" s="7">
        <f t="shared" si="512"/>
        <v>0</v>
      </c>
      <c r="Q597" s="7" t="str">
        <f t="shared" si="7"/>
        <v/>
      </c>
      <c r="T597" s="7"/>
    </row>
    <row r="598" ht="12.75" customHeight="1">
      <c r="A598" s="7">
        <v>597.0</v>
      </c>
      <c r="B598" s="7" t="s">
        <v>1385</v>
      </c>
      <c r="C598" s="7" t="s">
        <v>4784</v>
      </c>
      <c r="D598" s="7"/>
      <c r="E598" s="7"/>
      <c r="F598" s="7" t="s">
        <v>4847</v>
      </c>
      <c r="G598" s="7" t="s">
        <v>3656</v>
      </c>
      <c r="H598" s="7" t="s">
        <v>3760</v>
      </c>
      <c r="I598" s="7" t="s">
        <v>3823</v>
      </c>
      <c r="K598" s="7" t="str">
        <f t="shared" si="2"/>
        <v/>
      </c>
      <c r="L598" s="7" t="str">
        <f t="shared" si="3"/>
        <v/>
      </c>
      <c r="M598" s="7">
        <f t="shared" ref="M598:N598" si="607">IF(LEN(M$1),COUNTIF($G598:$I598,M$1),"")</f>
        <v>0</v>
      </c>
      <c r="N598" s="7" t="str">
        <f t="shared" si="607"/>
        <v/>
      </c>
      <c r="O598" s="7" t="str">
        <f t="shared" si="5"/>
        <v/>
      </c>
      <c r="P598" s="7">
        <f t="shared" si="512"/>
        <v>0</v>
      </c>
      <c r="Q598" s="7" t="str">
        <f t="shared" si="7"/>
        <v/>
      </c>
      <c r="T598" s="7"/>
    </row>
    <row r="599" ht="12.75" customHeight="1">
      <c r="A599" s="7">
        <v>598.0</v>
      </c>
      <c r="B599" s="7" t="s">
        <v>1148</v>
      </c>
      <c r="C599" s="7" t="s">
        <v>4850</v>
      </c>
      <c r="D599" s="7"/>
      <c r="E599" s="7"/>
      <c r="F599" s="7" t="s">
        <v>4847</v>
      </c>
      <c r="G599" s="7" t="s">
        <v>3821</v>
      </c>
      <c r="H599" s="7" t="s">
        <v>3750</v>
      </c>
      <c r="I599" s="7" t="s">
        <v>3831</v>
      </c>
      <c r="K599" s="7" t="str">
        <f t="shared" si="2"/>
        <v/>
      </c>
      <c r="L599" s="7" t="str">
        <f t="shared" si="3"/>
        <v/>
      </c>
      <c r="M599" s="7">
        <f t="shared" ref="M599:N599" si="608">IF(LEN(M$1),COUNTIF($G599:$I599,M$1),"")</f>
        <v>0</v>
      </c>
      <c r="N599" s="7" t="str">
        <f t="shared" si="608"/>
        <v/>
      </c>
      <c r="O599" s="7" t="str">
        <f t="shared" si="5"/>
        <v/>
      </c>
      <c r="P599" s="7">
        <f t="shared" si="512"/>
        <v>0</v>
      </c>
      <c r="Q599" s="7" t="str">
        <f t="shared" si="7"/>
        <v/>
      </c>
      <c r="T599" s="7"/>
    </row>
    <row r="600" ht="12.75" customHeight="1">
      <c r="A600" s="7">
        <v>599.0</v>
      </c>
      <c r="B600" s="7" t="s">
        <v>1393</v>
      </c>
      <c r="C600" s="7" t="s">
        <v>4786</v>
      </c>
      <c r="D600" s="7"/>
      <c r="E600" s="7"/>
      <c r="F600" s="7" t="s">
        <v>4847</v>
      </c>
      <c r="G600" s="7" t="s">
        <v>3769</v>
      </c>
      <c r="H600" s="7" t="s">
        <v>3854</v>
      </c>
      <c r="I600" s="7" t="s">
        <v>3789</v>
      </c>
      <c r="K600" s="7" t="str">
        <f t="shared" si="2"/>
        <v/>
      </c>
      <c r="L600" s="7" t="str">
        <f t="shared" si="3"/>
        <v/>
      </c>
      <c r="M600" s="7">
        <f t="shared" ref="M600:N600" si="609">IF(LEN(M$1),COUNTIF($G600:$I600,M$1),"")</f>
        <v>0</v>
      </c>
      <c r="N600" s="7" t="str">
        <f t="shared" si="609"/>
        <v/>
      </c>
      <c r="O600" s="7" t="str">
        <f t="shared" si="5"/>
        <v/>
      </c>
      <c r="P600" s="7">
        <f t="shared" si="512"/>
        <v>0</v>
      </c>
      <c r="Q600" s="7" t="str">
        <f t="shared" si="7"/>
        <v/>
      </c>
      <c r="T600" s="7"/>
    </row>
    <row r="601" ht="12.75" customHeight="1">
      <c r="A601" s="7">
        <v>600.0</v>
      </c>
      <c r="B601" s="7" t="s">
        <v>1570</v>
      </c>
      <c r="C601" s="7" t="s">
        <v>4850</v>
      </c>
      <c r="D601" s="7"/>
      <c r="E601" s="7"/>
      <c r="F601" s="7" t="s">
        <v>4847</v>
      </c>
      <c r="G601" s="7" t="s">
        <v>3727</v>
      </c>
      <c r="H601" s="7" t="s">
        <v>3782</v>
      </c>
      <c r="I601" s="7" t="s">
        <v>3731</v>
      </c>
      <c r="K601" s="7" t="str">
        <f t="shared" si="2"/>
        <v/>
      </c>
      <c r="L601" s="7" t="str">
        <f t="shared" si="3"/>
        <v/>
      </c>
      <c r="M601" s="7">
        <f t="shared" ref="M601:N601" si="610">IF(LEN(M$1),COUNTIF($G601:$I601,M$1),"")</f>
        <v>0</v>
      </c>
      <c r="N601" s="7" t="str">
        <f t="shared" si="610"/>
        <v/>
      </c>
      <c r="O601" s="7" t="str">
        <f t="shared" si="5"/>
        <v/>
      </c>
      <c r="P601" s="7">
        <f t="shared" si="512"/>
        <v>0</v>
      </c>
      <c r="Q601" s="7" t="str">
        <f t="shared" si="7"/>
        <v/>
      </c>
      <c r="T601" s="7"/>
    </row>
    <row r="602" ht="12.75" customHeight="1">
      <c r="A602" s="7">
        <v>601.0</v>
      </c>
      <c r="B602" s="7" t="s">
        <v>1600</v>
      </c>
      <c r="C602" s="7" t="s">
        <v>4740</v>
      </c>
      <c r="D602" s="7"/>
      <c r="E602" s="7"/>
      <c r="F602" s="7" t="s">
        <v>4851</v>
      </c>
      <c r="G602" s="7" t="s">
        <v>3935</v>
      </c>
      <c r="H602" s="7" t="s">
        <v>3842</v>
      </c>
      <c r="I602" s="7" t="s">
        <v>3782</v>
      </c>
      <c r="K602" s="7" t="str">
        <f t="shared" si="2"/>
        <v/>
      </c>
      <c r="L602" s="7" t="str">
        <f t="shared" si="3"/>
        <v/>
      </c>
      <c r="M602" s="7">
        <f t="shared" ref="M602:N602" si="611">IF(LEN(M$1),COUNTIF($G602:$I602,M$1),"")</f>
        <v>0</v>
      </c>
      <c r="N602" s="7" t="str">
        <f t="shared" si="611"/>
        <v/>
      </c>
      <c r="O602" s="7" t="str">
        <f t="shared" si="5"/>
        <v/>
      </c>
      <c r="P602" s="7">
        <f t="shared" ref="P602:P701" si="613">IF(LEN(P$1),IF(P$1=7,1,0),"")</f>
        <v>0</v>
      </c>
      <c r="Q602" s="7" t="str">
        <f t="shared" si="7"/>
        <v/>
      </c>
      <c r="T602" s="7"/>
    </row>
    <row r="603" ht="12.75" customHeight="1">
      <c r="A603" s="7">
        <v>602.0</v>
      </c>
      <c r="B603" s="7" t="s">
        <v>1770</v>
      </c>
      <c r="C603" s="7" t="s">
        <v>4837</v>
      </c>
      <c r="D603" s="7"/>
      <c r="E603" s="7"/>
      <c r="F603" s="7" t="s">
        <v>4851</v>
      </c>
      <c r="G603" s="7" t="s">
        <v>3801</v>
      </c>
      <c r="H603" s="7" t="s">
        <v>3928</v>
      </c>
      <c r="I603" s="7" t="s">
        <v>3870</v>
      </c>
      <c r="K603" s="7" t="str">
        <f t="shared" si="2"/>
        <v/>
      </c>
      <c r="L603" s="7" t="str">
        <f t="shared" si="3"/>
        <v/>
      </c>
      <c r="M603" s="7">
        <f t="shared" ref="M603:N603" si="612">IF(LEN(M$1),COUNTIF($G603:$I603,M$1),"")</f>
        <v>0</v>
      </c>
      <c r="N603" s="7" t="str">
        <f t="shared" si="612"/>
        <v/>
      </c>
      <c r="O603" s="7" t="str">
        <f t="shared" si="5"/>
        <v/>
      </c>
      <c r="P603" s="7">
        <f t="shared" si="613"/>
        <v>0</v>
      </c>
      <c r="Q603" s="7" t="str">
        <f t="shared" si="7"/>
        <v/>
      </c>
      <c r="T603" s="7"/>
    </row>
    <row r="604" ht="12.75" customHeight="1">
      <c r="A604" s="7">
        <v>603.0</v>
      </c>
      <c r="B604" s="7" t="s">
        <v>1902</v>
      </c>
      <c r="C604" s="7" t="s">
        <v>2659</v>
      </c>
      <c r="D604" s="7"/>
      <c r="E604" s="7"/>
      <c r="F604" s="7" t="s">
        <v>4851</v>
      </c>
      <c r="G604" s="7" t="s">
        <v>3922</v>
      </c>
      <c r="H604" s="7" t="s">
        <v>3942</v>
      </c>
      <c r="I604" s="7" t="s">
        <v>3895</v>
      </c>
      <c r="K604" s="7" t="str">
        <f t="shared" si="2"/>
        <v/>
      </c>
      <c r="L604" s="7" t="str">
        <f t="shared" si="3"/>
        <v/>
      </c>
      <c r="M604" s="7">
        <f t="shared" ref="M604:N604" si="614">IF(LEN(M$1),COUNTIF($G604:$I604,M$1),"")</f>
        <v>0</v>
      </c>
      <c r="N604" s="7" t="str">
        <f t="shared" si="614"/>
        <v/>
      </c>
      <c r="O604" s="7" t="str">
        <f t="shared" si="5"/>
        <v/>
      </c>
      <c r="P604" s="7">
        <f t="shared" si="613"/>
        <v>0</v>
      </c>
      <c r="Q604" s="7" t="str">
        <f t="shared" si="7"/>
        <v/>
      </c>
      <c r="T604" s="7"/>
    </row>
    <row r="605" ht="12.75" customHeight="1">
      <c r="A605" s="7">
        <v>604.0</v>
      </c>
      <c r="B605" s="7" t="s">
        <v>1710</v>
      </c>
      <c r="C605" s="7" t="s">
        <v>4830</v>
      </c>
      <c r="D605" s="7"/>
      <c r="E605" s="7"/>
      <c r="F605" s="7" t="s">
        <v>4851</v>
      </c>
      <c r="G605" s="7" t="s">
        <v>3953</v>
      </c>
      <c r="H605" s="7" t="s">
        <v>3949</v>
      </c>
      <c r="I605" s="7" t="s">
        <v>3872</v>
      </c>
      <c r="K605" s="7" t="str">
        <f t="shared" si="2"/>
        <v/>
      </c>
      <c r="L605" s="7" t="str">
        <f t="shared" si="3"/>
        <v/>
      </c>
      <c r="M605" s="7">
        <f t="shared" ref="M605:N605" si="615">IF(LEN(M$1),COUNTIF($G605:$I605,M$1),"")</f>
        <v>0</v>
      </c>
      <c r="N605" s="7" t="str">
        <f t="shared" si="615"/>
        <v/>
      </c>
      <c r="O605" s="7" t="str">
        <f t="shared" si="5"/>
        <v/>
      </c>
      <c r="P605" s="7">
        <f t="shared" si="613"/>
        <v>0</v>
      </c>
      <c r="Q605" s="7" t="str">
        <f t="shared" si="7"/>
        <v/>
      </c>
      <c r="T605" s="7"/>
    </row>
    <row r="606" ht="12.75" customHeight="1">
      <c r="A606" s="7">
        <v>605.0</v>
      </c>
      <c r="B606" s="7" t="s">
        <v>1577</v>
      </c>
      <c r="C606" s="7" t="s">
        <v>4849</v>
      </c>
      <c r="D606" s="7"/>
      <c r="E606" s="7"/>
      <c r="F606" s="7" t="s">
        <v>4851</v>
      </c>
      <c r="G606" s="7" t="s">
        <v>3953</v>
      </c>
      <c r="H606" s="7" t="s">
        <v>3949</v>
      </c>
      <c r="I606" s="7" t="s">
        <v>3919</v>
      </c>
      <c r="K606" s="7" t="str">
        <f t="shared" si="2"/>
        <v/>
      </c>
      <c r="L606" s="7" t="str">
        <f t="shared" si="3"/>
        <v/>
      </c>
      <c r="M606" s="7">
        <f t="shared" ref="M606:N606" si="616">IF(LEN(M$1),COUNTIF($G606:$I606,M$1),"")</f>
        <v>0</v>
      </c>
      <c r="N606" s="7" t="str">
        <f t="shared" si="616"/>
        <v/>
      </c>
      <c r="O606" s="7" t="str">
        <f t="shared" si="5"/>
        <v/>
      </c>
      <c r="P606" s="7">
        <f t="shared" si="613"/>
        <v>0</v>
      </c>
      <c r="Q606" s="7" t="str">
        <f t="shared" si="7"/>
        <v/>
      </c>
      <c r="T606" s="7"/>
    </row>
    <row r="607" ht="12.75" customHeight="1">
      <c r="A607" s="7">
        <v>606.0</v>
      </c>
      <c r="B607" s="7" t="s">
        <v>1680</v>
      </c>
      <c r="C607" s="7" t="s">
        <v>4819</v>
      </c>
      <c r="D607" s="7"/>
      <c r="E607" s="7"/>
      <c r="F607" s="7" t="s">
        <v>4851</v>
      </c>
      <c r="G607" s="7" t="s">
        <v>3944</v>
      </c>
      <c r="H607" s="7" t="s">
        <v>3743</v>
      </c>
      <c r="I607" s="7" t="s">
        <v>3734</v>
      </c>
      <c r="K607" s="7" t="str">
        <f t="shared" si="2"/>
        <v/>
      </c>
      <c r="L607" s="7" t="str">
        <f t="shared" si="3"/>
        <v/>
      </c>
      <c r="M607" s="7">
        <f t="shared" ref="M607:N607" si="617">IF(LEN(M$1),COUNTIF($G607:$I607,M$1),"")</f>
        <v>0</v>
      </c>
      <c r="N607" s="7" t="str">
        <f t="shared" si="617"/>
        <v/>
      </c>
      <c r="O607" s="7" t="str">
        <f t="shared" si="5"/>
        <v/>
      </c>
      <c r="P607" s="7">
        <f t="shared" si="613"/>
        <v>0</v>
      </c>
      <c r="Q607" s="7" t="str">
        <f t="shared" si="7"/>
        <v/>
      </c>
      <c r="T607" s="7"/>
    </row>
    <row r="608" ht="12.75" customHeight="1">
      <c r="A608" s="7">
        <v>607.0</v>
      </c>
      <c r="B608" s="7" t="s">
        <v>1477</v>
      </c>
      <c r="C608" s="7" t="s">
        <v>4793</v>
      </c>
      <c r="D608" s="7"/>
      <c r="E608" s="7"/>
      <c r="F608" s="7" t="s">
        <v>4851</v>
      </c>
      <c r="G608" s="7" t="s">
        <v>3850</v>
      </c>
      <c r="H608" s="7" t="s">
        <v>3940</v>
      </c>
      <c r="I608" s="7" t="s">
        <v>3928</v>
      </c>
      <c r="K608" s="7" t="str">
        <f t="shared" si="2"/>
        <v/>
      </c>
      <c r="L608" s="7" t="str">
        <f t="shared" si="3"/>
        <v/>
      </c>
      <c r="M608" s="7">
        <f t="shared" ref="M608:N608" si="618">IF(LEN(M$1),COUNTIF($G608:$I608,M$1),"")</f>
        <v>0</v>
      </c>
      <c r="N608" s="7" t="str">
        <f t="shared" si="618"/>
        <v/>
      </c>
      <c r="O608" s="7" t="str">
        <f t="shared" si="5"/>
        <v/>
      </c>
      <c r="P608" s="7">
        <f t="shared" si="613"/>
        <v>0</v>
      </c>
      <c r="Q608" s="7" t="str">
        <f t="shared" si="7"/>
        <v/>
      </c>
      <c r="T608" s="7"/>
    </row>
    <row r="609" ht="12.75" customHeight="1">
      <c r="A609" s="7">
        <v>608.0</v>
      </c>
      <c r="B609" s="7" t="s">
        <v>1770</v>
      </c>
      <c r="C609" s="7" t="s">
        <v>4837</v>
      </c>
      <c r="D609" s="7"/>
      <c r="E609" s="7"/>
      <c r="F609" s="7" t="s">
        <v>4851</v>
      </c>
      <c r="G609" s="7" t="s">
        <v>3899</v>
      </c>
      <c r="H609" s="7" t="s">
        <v>3870</v>
      </c>
      <c r="I609" s="7" t="s">
        <v>3943</v>
      </c>
      <c r="K609" s="7" t="str">
        <f t="shared" si="2"/>
        <v/>
      </c>
      <c r="L609" s="7" t="str">
        <f t="shared" si="3"/>
        <v/>
      </c>
      <c r="M609" s="7">
        <f t="shared" ref="M609:N609" si="619">IF(LEN(M$1),COUNTIF($G609:$I609,M$1),"")</f>
        <v>0</v>
      </c>
      <c r="N609" s="7" t="str">
        <f t="shared" si="619"/>
        <v/>
      </c>
      <c r="O609" s="7" t="str">
        <f t="shared" si="5"/>
        <v/>
      </c>
      <c r="P609" s="7">
        <f t="shared" si="613"/>
        <v>0</v>
      </c>
      <c r="Q609" s="7" t="str">
        <f t="shared" si="7"/>
        <v/>
      </c>
      <c r="T609" s="7"/>
    </row>
    <row r="610" ht="12.75" customHeight="1">
      <c r="A610" s="7">
        <v>609.0</v>
      </c>
      <c r="B610" s="7" t="s">
        <v>1710</v>
      </c>
      <c r="C610" s="7" t="s">
        <v>4830</v>
      </c>
      <c r="D610" s="7"/>
      <c r="E610" s="7"/>
      <c r="F610" s="7" t="s">
        <v>4851</v>
      </c>
      <c r="G610" s="7" t="s">
        <v>3890</v>
      </c>
      <c r="H610" s="7" t="s">
        <v>3954</v>
      </c>
      <c r="I610" s="7" t="s">
        <v>3901</v>
      </c>
      <c r="K610" s="7" t="str">
        <f t="shared" si="2"/>
        <v/>
      </c>
      <c r="L610" s="7" t="str">
        <f t="shared" si="3"/>
        <v/>
      </c>
      <c r="M610" s="7">
        <f t="shared" ref="M610:N610" si="620">IF(LEN(M$1),COUNTIF($G610:$I610,M$1),"")</f>
        <v>0</v>
      </c>
      <c r="N610" s="7" t="str">
        <f t="shared" si="620"/>
        <v/>
      </c>
      <c r="O610" s="7" t="str">
        <f t="shared" si="5"/>
        <v/>
      </c>
      <c r="P610" s="7">
        <f t="shared" si="613"/>
        <v>0</v>
      </c>
      <c r="Q610" s="7" t="str">
        <f t="shared" si="7"/>
        <v/>
      </c>
      <c r="T610" s="7"/>
    </row>
    <row r="611" ht="12.75" customHeight="1">
      <c r="A611" s="7">
        <v>610.0</v>
      </c>
      <c r="B611" s="7" t="s">
        <v>1726</v>
      </c>
      <c r="C611" s="7" t="s">
        <v>4831</v>
      </c>
      <c r="D611" s="7"/>
      <c r="E611" s="7"/>
      <c r="F611" s="7" t="s">
        <v>4851</v>
      </c>
      <c r="G611" s="7" t="s">
        <v>3935</v>
      </c>
      <c r="H611" s="7" t="s">
        <v>3864</v>
      </c>
      <c r="I611" s="7" t="s">
        <v>3930</v>
      </c>
      <c r="K611" s="7" t="str">
        <f t="shared" si="2"/>
        <v/>
      </c>
      <c r="L611" s="7" t="str">
        <f t="shared" si="3"/>
        <v/>
      </c>
      <c r="M611" s="7">
        <f t="shared" ref="M611:N611" si="621">IF(LEN(M$1),COUNTIF($G611:$I611,M$1),"")</f>
        <v>0</v>
      </c>
      <c r="N611" s="7" t="str">
        <f t="shared" si="621"/>
        <v/>
      </c>
      <c r="O611" s="7" t="str">
        <f t="shared" si="5"/>
        <v/>
      </c>
      <c r="P611" s="7">
        <f t="shared" si="613"/>
        <v>0</v>
      </c>
      <c r="Q611" s="7" t="str">
        <f t="shared" si="7"/>
        <v/>
      </c>
      <c r="T611" s="7"/>
    </row>
    <row r="612" ht="12.75" customHeight="1">
      <c r="A612" s="7">
        <v>611.0</v>
      </c>
      <c r="B612" s="7" t="s">
        <v>1424</v>
      </c>
      <c r="C612" s="7" t="s">
        <v>4758</v>
      </c>
      <c r="D612" s="7"/>
      <c r="E612" s="7"/>
      <c r="F612" s="7" t="s">
        <v>4851</v>
      </c>
      <c r="G612" s="7" t="s">
        <v>3935</v>
      </c>
      <c r="H612" s="7" t="s">
        <v>3922</v>
      </c>
      <c r="I612" s="7" t="s">
        <v>3856</v>
      </c>
      <c r="K612" s="7" t="str">
        <f t="shared" si="2"/>
        <v/>
      </c>
      <c r="L612" s="7" t="str">
        <f t="shared" si="3"/>
        <v/>
      </c>
      <c r="M612" s="7">
        <f t="shared" ref="M612:N612" si="622">IF(LEN(M$1),COUNTIF($G612:$I612,M$1),"")</f>
        <v>0</v>
      </c>
      <c r="N612" s="7" t="str">
        <f t="shared" si="622"/>
        <v/>
      </c>
      <c r="O612" s="7" t="str">
        <f t="shared" si="5"/>
        <v/>
      </c>
      <c r="P612" s="7">
        <f t="shared" si="613"/>
        <v>0</v>
      </c>
      <c r="Q612" s="7" t="str">
        <f t="shared" si="7"/>
        <v/>
      </c>
      <c r="T612" s="7"/>
    </row>
    <row r="613" ht="12.75" customHeight="1">
      <c r="A613" s="7">
        <v>612.0</v>
      </c>
      <c r="B613" s="7" t="s">
        <v>1851</v>
      </c>
      <c r="C613" s="7" t="s">
        <v>3108</v>
      </c>
      <c r="D613" s="7"/>
      <c r="E613" s="7"/>
      <c r="F613" s="7" t="s">
        <v>4851</v>
      </c>
      <c r="G613" s="7" t="s">
        <v>3727</v>
      </c>
      <c r="H613" s="7" t="s">
        <v>3954</v>
      </c>
      <c r="I613" s="7" t="s">
        <v>3930</v>
      </c>
      <c r="K613" s="7" t="str">
        <f t="shared" si="2"/>
        <v/>
      </c>
      <c r="L613" s="7" t="str">
        <f t="shared" si="3"/>
        <v/>
      </c>
      <c r="M613" s="7">
        <f t="shared" ref="M613:N613" si="623">IF(LEN(M$1),COUNTIF($G613:$I613,M$1),"")</f>
        <v>0</v>
      </c>
      <c r="N613" s="7" t="str">
        <f t="shared" si="623"/>
        <v/>
      </c>
      <c r="O613" s="7" t="str">
        <f t="shared" si="5"/>
        <v/>
      </c>
      <c r="P613" s="7">
        <f t="shared" si="613"/>
        <v>0</v>
      </c>
      <c r="Q613" s="7" t="str">
        <f t="shared" si="7"/>
        <v/>
      </c>
      <c r="T613" s="7"/>
    </row>
    <row r="614" ht="12.75" customHeight="1">
      <c r="A614" s="7">
        <v>613.0</v>
      </c>
      <c r="B614" s="7" t="s">
        <v>1895</v>
      </c>
      <c r="C614" s="7" t="s">
        <v>4838</v>
      </c>
      <c r="D614" s="7"/>
      <c r="E614" s="7"/>
      <c r="F614" s="7" t="s">
        <v>4851</v>
      </c>
      <c r="G614" s="7" t="s">
        <v>3862</v>
      </c>
      <c r="H614" s="7" t="s">
        <v>3955</v>
      </c>
      <c r="I614" s="7" t="s">
        <v>3940</v>
      </c>
      <c r="K614" s="7" t="str">
        <f t="shared" si="2"/>
        <v/>
      </c>
      <c r="L614" s="7" t="str">
        <f t="shared" si="3"/>
        <v/>
      </c>
      <c r="M614" s="7">
        <f t="shared" ref="M614:N614" si="624">IF(LEN(M$1),COUNTIF($G614:$I614,M$1),"")</f>
        <v>0</v>
      </c>
      <c r="N614" s="7" t="str">
        <f t="shared" si="624"/>
        <v/>
      </c>
      <c r="O614" s="7" t="str">
        <f t="shared" si="5"/>
        <v/>
      </c>
      <c r="P614" s="7">
        <f t="shared" si="613"/>
        <v>0</v>
      </c>
      <c r="Q614" s="7" t="str">
        <f t="shared" si="7"/>
        <v/>
      </c>
      <c r="T614" s="7"/>
    </row>
    <row r="615" ht="12.75" customHeight="1">
      <c r="A615" s="7">
        <v>614.0</v>
      </c>
      <c r="B615" s="7" t="s">
        <v>1607</v>
      </c>
      <c r="C615" s="7" t="s">
        <v>4743</v>
      </c>
      <c r="D615" s="7"/>
      <c r="E615" s="7"/>
      <c r="F615" s="7" t="s">
        <v>4851</v>
      </c>
      <c r="G615" s="7" t="s">
        <v>3955</v>
      </c>
      <c r="H615" s="7" t="s">
        <v>3897</v>
      </c>
      <c r="I615" s="7" t="s">
        <v>3908</v>
      </c>
      <c r="K615" s="7" t="str">
        <f t="shared" si="2"/>
        <v/>
      </c>
      <c r="L615" s="7" t="str">
        <f t="shared" si="3"/>
        <v/>
      </c>
      <c r="M615" s="7">
        <f t="shared" ref="M615:N615" si="625">IF(LEN(M$1),COUNTIF($G615:$I615,M$1),"")</f>
        <v>0</v>
      </c>
      <c r="N615" s="7" t="str">
        <f t="shared" si="625"/>
        <v/>
      </c>
      <c r="O615" s="7" t="str">
        <f t="shared" si="5"/>
        <v/>
      </c>
      <c r="P615" s="7">
        <f t="shared" si="613"/>
        <v>0</v>
      </c>
      <c r="Q615" s="7" t="str">
        <f t="shared" si="7"/>
        <v/>
      </c>
      <c r="T615" s="7"/>
    </row>
    <row r="616" ht="12.75" customHeight="1">
      <c r="A616" s="7">
        <v>615.0</v>
      </c>
      <c r="B616" s="7" t="s">
        <v>487</v>
      </c>
      <c r="C616" s="7" t="s">
        <v>2659</v>
      </c>
      <c r="D616" s="7"/>
      <c r="E616" s="7"/>
      <c r="F616" s="7" t="s">
        <v>4851</v>
      </c>
      <c r="G616" s="7" t="s">
        <v>3901</v>
      </c>
      <c r="H616" s="7" t="s">
        <v>3878</v>
      </c>
      <c r="I616" s="7" t="s">
        <v>3943</v>
      </c>
      <c r="K616" s="7" t="str">
        <f t="shared" si="2"/>
        <v/>
      </c>
      <c r="L616" s="7" t="str">
        <f t="shared" si="3"/>
        <v/>
      </c>
      <c r="M616" s="7">
        <f t="shared" ref="M616:N616" si="626">IF(LEN(M$1),COUNTIF($G616:$I616,M$1),"")</f>
        <v>0</v>
      </c>
      <c r="N616" s="7" t="str">
        <f t="shared" si="626"/>
        <v/>
      </c>
      <c r="O616" s="7" t="str">
        <f t="shared" si="5"/>
        <v/>
      </c>
      <c r="P616" s="7">
        <f t="shared" si="613"/>
        <v>0</v>
      </c>
      <c r="Q616" s="7" t="str">
        <f t="shared" si="7"/>
        <v/>
      </c>
      <c r="T616" s="7"/>
    </row>
    <row r="617" ht="12.75" customHeight="1">
      <c r="A617" s="7">
        <v>616.0</v>
      </c>
      <c r="B617" s="7" t="s">
        <v>1886</v>
      </c>
      <c r="C617" s="7" t="s">
        <v>4838</v>
      </c>
      <c r="D617" s="7"/>
      <c r="E617" s="7"/>
      <c r="F617" s="7" t="s">
        <v>4851</v>
      </c>
      <c r="G617" s="7" t="s">
        <v>3930</v>
      </c>
      <c r="H617" s="7" t="s">
        <v>3835</v>
      </c>
      <c r="I617" s="7" t="s">
        <v>3821</v>
      </c>
      <c r="K617" s="7" t="str">
        <f t="shared" si="2"/>
        <v/>
      </c>
      <c r="L617" s="7" t="str">
        <f t="shared" si="3"/>
        <v/>
      </c>
      <c r="M617" s="7">
        <f t="shared" ref="M617:N617" si="627">IF(LEN(M$1),COUNTIF($G617:$I617,M$1),"")</f>
        <v>0</v>
      </c>
      <c r="N617" s="7" t="str">
        <f t="shared" si="627"/>
        <v/>
      </c>
      <c r="O617" s="7" t="str">
        <f t="shared" si="5"/>
        <v/>
      </c>
      <c r="P617" s="7">
        <f t="shared" si="613"/>
        <v>0</v>
      </c>
      <c r="Q617" s="7" t="str">
        <f t="shared" si="7"/>
        <v/>
      </c>
      <c r="T617" s="7"/>
    </row>
    <row r="618" ht="12.75" customHeight="1">
      <c r="A618" s="7">
        <v>617.0</v>
      </c>
      <c r="B618" s="7" t="s">
        <v>1886</v>
      </c>
      <c r="C618" s="7" t="s">
        <v>4838</v>
      </c>
      <c r="D618" s="7"/>
      <c r="E618" s="7"/>
      <c r="F618" s="7" t="s">
        <v>4851</v>
      </c>
      <c r="G618" s="7" t="s">
        <v>3810</v>
      </c>
      <c r="H618" s="7" t="s">
        <v>3911</v>
      </c>
      <c r="I618" s="7" t="s">
        <v>3943</v>
      </c>
      <c r="K618" s="7" t="str">
        <f t="shared" si="2"/>
        <v/>
      </c>
      <c r="L618" s="7" t="str">
        <f t="shared" si="3"/>
        <v/>
      </c>
      <c r="M618" s="7">
        <f t="shared" ref="M618:N618" si="628">IF(LEN(M$1),COUNTIF($G618:$I618,M$1),"")</f>
        <v>0</v>
      </c>
      <c r="N618" s="7" t="str">
        <f t="shared" si="628"/>
        <v/>
      </c>
      <c r="O618" s="7" t="str">
        <f t="shared" si="5"/>
        <v/>
      </c>
      <c r="P618" s="7">
        <f t="shared" si="613"/>
        <v>0</v>
      </c>
      <c r="Q618" s="7" t="str">
        <f t="shared" si="7"/>
        <v/>
      </c>
      <c r="T618" s="7"/>
    </row>
    <row r="619" ht="12.75" customHeight="1">
      <c r="A619" s="7">
        <v>618.0</v>
      </c>
      <c r="B619" s="7" t="s">
        <v>1688</v>
      </c>
      <c r="C619" s="7" t="s">
        <v>4819</v>
      </c>
      <c r="D619" s="7"/>
      <c r="E619" s="7"/>
      <c r="F619" s="7" t="s">
        <v>4851</v>
      </c>
      <c r="G619" s="7" t="s">
        <v>3866</v>
      </c>
      <c r="H619" s="7" t="s">
        <v>3951</v>
      </c>
      <c r="I619" s="7" t="s">
        <v>3870</v>
      </c>
      <c r="K619" s="7" t="str">
        <f t="shared" si="2"/>
        <v/>
      </c>
      <c r="L619" s="7" t="str">
        <f t="shared" si="3"/>
        <v/>
      </c>
      <c r="M619" s="7">
        <f t="shared" ref="M619:N619" si="629">IF(LEN(M$1),COUNTIF($G619:$I619,M$1),"")</f>
        <v>0</v>
      </c>
      <c r="N619" s="7" t="str">
        <f t="shared" si="629"/>
        <v/>
      </c>
      <c r="O619" s="7" t="str">
        <f t="shared" si="5"/>
        <v/>
      </c>
      <c r="P619" s="7">
        <f t="shared" si="613"/>
        <v>0</v>
      </c>
      <c r="Q619" s="7" t="str">
        <f t="shared" si="7"/>
        <v/>
      </c>
      <c r="T619" s="7"/>
    </row>
    <row r="620" ht="12.75" customHeight="1">
      <c r="A620" s="7">
        <v>619.0</v>
      </c>
      <c r="B620" s="7" t="s">
        <v>1726</v>
      </c>
      <c r="C620" s="7" t="s">
        <v>4831</v>
      </c>
      <c r="D620" s="7"/>
      <c r="E620" s="7"/>
      <c r="F620" s="7" t="s">
        <v>4851</v>
      </c>
      <c r="G620" s="7" t="s">
        <v>3872</v>
      </c>
      <c r="H620" s="7" t="s">
        <v>3928</v>
      </c>
      <c r="I620" s="7" t="s">
        <v>3864</v>
      </c>
      <c r="K620" s="7" t="str">
        <f t="shared" si="2"/>
        <v/>
      </c>
      <c r="L620" s="7" t="str">
        <f t="shared" si="3"/>
        <v/>
      </c>
      <c r="M620" s="7">
        <f t="shared" ref="M620:N620" si="630">IF(LEN(M$1),COUNTIF($G620:$I620,M$1),"")</f>
        <v>0</v>
      </c>
      <c r="N620" s="7" t="str">
        <f t="shared" si="630"/>
        <v/>
      </c>
      <c r="O620" s="7" t="str">
        <f t="shared" si="5"/>
        <v/>
      </c>
      <c r="P620" s="7">
        <f t="shared" si="613"/>
        <v>0</v>
      </c>
      <c r="Q620" s="7" t="str">
        <f t="shared" si="7"/>
        <v/>
      </c>
      <c r="T620" s="7"/>
    </row>
    <row r="621" ht="12.75" customHeight="1">
      <c r="A621" s="7">
        <v>620.0</v>
      </c>
      <c r="B621" s="7" t="s">
        <v>1786</v>
      </c>
      <c r="C621" s="7" t="s">
        <v>4845</v>
      </c>
      <c r="D621" s="7"/>
      <c r="E621" s="7"/>
      <c r="F621" s="7" t="s">
        <v>4851</v>
      </c>
      <c r="G621" s="7" t="s">
        <v>3951</v>
      </c>
      <c r="H621" s="7" t="s">
        <v>3930</v>
      </c>
      <c r="I621" s="7" t="s">
        <v>3911</v>
      </c>
      <c r="K621" s="7" t="str">
        <f t="shared" si="2"/>
        <v/>
      </c>
      <c r="L621" s="7" t="str">
        <f t="shared" si="3"/>
        <v/>
      </c>
      <c r="M621" s="7">
        <f t="shared" ref="M621:N621" si="631">IF(LEN(M$1),COUNTIF($G621:$I621,M$1),"")</f>
        <v>0</v>
      </c>
      <c r="N621" s="7" t="str">
        <f t="shared" si="631"/>
        <v/>
      </c>
      <c r="O621" s="7" t="str">
        <f t="shared" si="5"/>
        <v/>
      </c>
      <c r="P621" s="7">
        <f t="shared" si="613"/>
        <v>0</v>
      </c>
      <c r="Q621" s="7" t="str">
        <f t="shared" si="7"/>
        <v/>
      </c>
      <c r="T621" s="7"/>
    </row>
    <row r="622" ht="12.75" customHeight="1">
      <c r="A622" s="7">
        <v>621.0</v>
      </c>
      <c r="B622" s="7" t="s">
        <v>1688</v>
      </c>
      <c r="C622" s="7" t="s">
        <v>4819</v>
      </c>
      <c r="D622" s="7"/>
      <c r="E622" s="7"/>
      <c r="F622" s="7" t="s">
        <v>4851</v>
      </c>
      <c r="G622" s="7" t="s">
        <v>3955</v>
      </c>
      <c r="H622" s="7" t="s">
        <v>3823</v>
      </c>
      <c r="I622" s="7" t="s">
        <v>3766</v>
      </c>
      <c r="K622" s="7" t="str">
        <f t="shared" si="2"/>
        <v/>
      </c>
      <c r="L622" s="7" t="str">
        <f t="shared" si="3"/>
        <v/>
      </c>
      <c r="M622" s="7">
        <f t="shared" ref="M622:N622" si="632">IF(LEN(M$1),COUNTIF($G622:$I622,M$1),"")</f>
        <v>0</v>
      </c>
      <c r="N622" s="7" t="str">
        <f t="shared" si="632"/>
        <v/>
      </c>
      <c r="O622" s="7" t="str">
        <f t="shared" si="5"/>
        <v/>
      </c>
      <c r="P622" s="7">
        <f t="shared" si="613"/>
        <v>0</v>
      </c>
      <c r="Q622" s="7" t="str">
        <f t="shared" si="7"/>
        <v/>
      </c>
      <c r="T622" s="7"/>
    </row>
    <row r="623" ht="12.75" customHeight="1">
      <c r="A623" s="7">
        <v>622.0</v>
      </c>
      <c r="B623" s="7" t="s">
        <v>266</v>
      </c>
      <c r="C623" s="7" t="s">
        <v>4820</v>
      </c>
      <c r="D623" s="7"/>
      <c r="E623" s="7"/>
      <c r="F623" s="7" t="s">
        <v>4851</v>
      </c>
      <c r="G623" s="7" t="s">
        <v>3760</v>
      </c>
      <c r="H623" s="7" t="s">
        <v>3890</v>
      </c>
      <c r="I623" s="7" t="s">
        <v>3875</v>
      </c>
      <c r="K623" s="7" t="str">
        <f t="shared" si="2"/>
        <v/>
      </c>
      <c r="L623" s="7" t="str">
        <f t="shared" si="3"/>
        <v/>
      </c>
      <c r="M623" s="7">
        <f t="shared" ref="M623:N623" si="633">IF(LEN(M$1),COUNTIF($G623:$I623,M$1),"")</f>
        <v>0</v>
      </c>
      <c r="N623" s="7" t="str">
        <f t="shared" si="633"/>
        <v/>
      </c>
      <c r="O623" s="7" t="str">
        <f t="shared" si="5"/>
        <v/>
      </c>
      <c r="P623" s="7">
        <f t="shared" si="613"/>
        <v>0</v>
      </c>
      <c r="Q623" s="7" t="str">
        <f t="shared" si="7"/>
        <v/>
      </c>
      <c r="T623" s="7"/>
    </row>
    <row r="624" ht="12.75" customHeight="1">
      <c r="A624" s="7">
        <v>623.0</v>
      </c>
      <c r="B624" s="7" t="s">
        <v>1540</v>
      </c>
      <c r="C624" s="7" t="s">
        <v>4812</v>
      </c>
      <c r="D624" s="7"/>
      <c r="E624" s="7"/>
      <c r="F624" s="7" t="s">
        <v>4851</v>
      </c>
      <c r="G624" s="7" t="s">
        <v>3932</v>
      </c>
      <c r="H624" s="7" t="s">
        <v>3862</v>
      </c>
      <c r="I624" s="7" t="s">
        <v>3864</v>
      </c>
      <c r="K624" s="7" t="str">
        <f t="shared" si="2"/>
        <v/>
      </c>
      <c r="L624" s="7" t="str">
        <f t="shared" si="3"/>
        <v/>
      </c>
      <c r="M624" s="7">
        <f t="shared" ref="M624:N624" si="634">IF(LEN(M$1),COUNTIF($G624:$I624,M$1),"")</f>
        <v>0</v>
      </c>
      <c r="N624" s="7" t="str">
        <f t="shared" si="634"/>
        <v/>
      </c>
      <c r="O624" s="7" t="str">
        <f t="shared" si="5"/>
        <v/>
      </c>
      <c r="P624" s="7">
        <f t="shared" si="613"/>
        <v>0</v>
      </c>
      <c r="Q624" s="7" t="str">
        <f t="shared" si="7"/>
        <v/>
      </c>
      <c r="T624" s="7"/>
    </row>
    <row r="625" ht="12.75" customHeight="1">
      <c r="A625" s="7">
        <v>624.0</v>
      </c>
      <c r="B625" s="7" t="s">
        <v>1703</v>
      </c>
      <c r="C625" s="7" t="s">
        <v>4820</v>
      </c>
      <c r="D625" s="7"/>
      <c r="E625" s="7"/>
      <c r="F625" s="7" t="s">
        <v>4851</v>
      </c>
      <c r="G625" s="7" t="s">
        <v>3864</v>
      </c>
      <c r="H625" s="7" t="s">
        <v>3858</v>
      </c>
      <c r="I625" s="7" t="s">
        <v>3944</v>
      </c>
      <c r="K625" s="7" t="str">
        <f t="shared" si="2"/>
        <v/>
      </c>
      <c r="L625" s="7" t="str">
        <f t="shared" si="3"/>
        <v/>
      </c>
      <c r="M625" s="7">
        <f t="shared" ref="M625:N625" si="635">IF(LEN(M$1),COUNTIF($G625:$I625,M$1),"")</f>
        <v>0</v>
      </c>
      <c r="N625" s="7" t="str">
        <f t="shared" si="635"/>
        <v/>
      </c>
      <c r="O625" s="7" t="str">
        <f t="shared" si="5"/>
        <v/>
      </c>
      <c r="P625" s="7">
        <f t="shared" si="613"/>
        <v>0</v>
      </c>
      <c r="Q625" s="7" t="str">
        <f t="shared" si="7"/>
        <v/>
      </c>
      <c r="T625" s="7"/>
    </row>
    <row r="626" ht="12.75" customHeight="1">
      <c r="A626" s="7">
        <v>625.0</v>
      </c>
      <c r="B626" s="7" t="s">
        <v>542</v>
      </c>
      <c r="C626" s="7" t="s">
        <v>4812</v>
      </c>
      <c r="D626" s="7"/>
      <c r="E626" s="7"/>
      <c r="F626" s="7" t="s">
        <v>4851</v>
      </c>
      <c r="G626" s="7" t="s">
        <v>3949</v>
      </c>
      <c r="H626" s="7" t="s">
        <v>3860</v>
      </c>
      <c r="I626" s="7" t="s">
        <v>3892</v>
      </c>
      <c r="K626" s="7" t="str">
        <f t="shared" si="2"/>
        <v/>
      </c>
      <c r="L626" s="7" t="str">
        <f t="shared" si="3"/>
        <v/>
      </c>
      <c r="M626" s="7">
        <f t="shared" ref="M626:N626" si="636">IF(LEN(M$1),COUNTIF($G626:$I626,M$1),"")</f>
        <v>0</v>
      </c>
      <c r="N626" s="7" t="str">
        <f t="shared" si="636"/>
        <v/>
      </c>
      <c r="O626" s="7" t="str">
        <f t="shared" si="5"/>
        <v/>
      </c>
      <c r="P626" s="7">
        <f t="shared" si="613"/>
        <v>0</v>
      </c>
      <c r="Q626" s="7" t="str">
        <f t="shared" si="7"/>
        <v/>
      </c>
      <c r="T626" s="7"/>
    </row>
    <row r="627" ht="12.75" customHeight="1">
      <c r="A627" s="7">
        <v>626.0</v>
      </c>
      <c r="B627" s="7" t="s">
        <v>1851</v>
      </c>
      <c r="C627" s="7" t="s">
        <v>3108</v>
      </c>
      <c r="D627" s="7"/>
      <c r="E627" s="7"/>
      <c r="F627" s="7" t="s">
        <v>4851</v>
      </c>
      <c r="G627" s="7" t="s">
        <v>3927</v>
      </c>
      <c r="H627" s="7" t="s">
        <v>3810</v>
      </c>
      <c r="I627" s="7" t="s">
        <v>3741</v>
      </c>
      <c r="K627" s="7" t="str">
        <f t="shared" si="2"/>
        <v/>
      </c>
      <c r="L627" s="7" t="str">
        <f t="shared" si="3"/>
        <v/>
      </c>
      <c r="M627" s="7">
        <f t="shared" ref="M627:N627" si="637">IF(LEN(M$1),COUNTIF($G627:$I627,M$1),"")</f>
        <v>0</v>
      </c>
      <c r="N627" s="7" t="str">
        <f t="shared" si="637"/>
        <v/>
      </c>
      <c r="O627" s="7" t="str">
        <f t="shared" si="5"/>
        <v/>
      </c>
      <c r="P627" s="7">
        <f t="shared" si="613"/>
        <v>0</v>
      </c>
      <c r="Q627" s="7" t="str">
        <f t="shared" si="7"/>
        <v/>
      </c>
      <c r="T627" s="7"/>
    </row>
    <row r="628" ht="12.75" customHeight="1">
      <c r="A628" s="7">
        <v>627.0</v>
      </c>
      <c r="B628" s="7" t="s">
        <v>1433</v>
      </c>
      <c r="C628" s="7" t="s">
        <v>4758</v>
      </c>
      <c r="D628" s="7"/>
      <c r="E628" s="7"/>
      <c r="F628" s="7" t="s">
        <v>4851</v>
      </c>
      <c r="G628" s="7" t="s">
        <v>3899</v>
      </c>
      <c r="H628" s="7" t="s">
        <v>3951</v>
      </c>
      <c r="I628" s="7" t="s">
        <v>3906</v>
      </c>
      <c r="K628" s="7" t="str">
        <f t="shared" si="2"/>
        <v/>
      </c>
      <c r="L628" s="7" t="str">
        <f t="shared" si="3"/>
        <v/>
      </c>
      <c r="M628" s="7">
        <f t="shared" ref="M628:N628" si="638">IF(LEN(M$1),COUNTIF($G628:$I628,M$1),"")</f>
        <v>0</v>
      </c>
      <c r="N628" s="7" t="str">
        <f t="shared" si="638"/>
        <v/>
      </c>
      <c r="O628" s="7" t="str">
        <f t="shared" si="5"/>
        <v/>
      </c>
      <c r="P628" s="7">
        <f t="shared" si="613"/>
        <v>0</v>
      </c>
      <c r="Q628" s="7" t="str">
        <f t="shared" si="7"/>
        <v/>
      </c>
      <c r="T628" s="7"/>
    </row>
    <row r="629" ht="12.75" customHeight="1">
      <c r="A629" s="7">
        <v>628.0</v>
      </c>
      <c r="B629" s="7" t="s">
        <v>1778</v>
      </c>
      <c r="C629" s="7" t="s">
        <v>4837</v>
      </c>
      <c r="D629" s="7"/>
      <c r="E629" s="7"/>
      <c r="F629" s="7" t="s">
        <v>4851</v>
      </c>
      <c r="G629" s="7" t="s">
        <v>3948</v>
      </c>
      <c r="H629" s="7" t="s">
        <v>3942</v>
      </c>
      <c r="I629" s="7" t="s">
        <v>3947</v>
      </c>
      <c r="K629" s="7" t="str">
        <f t="shared" si="2"/>
        <v/>
      </c>
      <c r="L629" s="7" t="str">
        <f t="shared" si="3"/>
        <v/>
      </c>
      <c r="M629" s="7">
        <f t="shared" ref="M629:N629" si="639">IF(LEN(M$1),COUNTIF($G629:$I629,M$1),"")</f>
        <v>0</v>
      </c>
      <c r="N629" s="7" t="str">
        <f t="shared" si="639"/>
        <v/>
      </c>
      <c r="O629" s="7" t="str">
        <f t="shared" si="5"/>
        <v/>
      </c>
      <c r="P629" s="7">
        <f t="shared" si="613"/>
        <v>0</v>
      </c>
      <c r="Q629" s="7" t="str">
        <f t="shared" si="7"/>
        <v/>
      </c>
      <c r="T629" s="7"/>
    </row>
    <row r="630" ht="12.75" customHeight="1">
      <c r="A630" s="7">
        <v>629.0</v>
      </c>
      <c r="B630" s="7" t="s">
        <v>853</v>
      </c>
      <c r="C630" s="7" t="s">
        <v>2659</v>
      </c>
      <c r="D630" s="7"/>
      <c r="E630" s="7"/>
      <c r="F630" s="7" t="s">
        <v>4851</v>
      </c>
      <c r="G630" s="7" t="s">
        <v>3943</v>
      </c>
      <c r="H630" s="7" t="s">
        <v>3927</v>
      </c>
      <c r="I630" s="7" t="s">
        <v>3870</v>
      </c>
      <c r="K630" s="7" t="str">
        <f t="shared" si="2"/>
        <v/>
      </c>
      <c r="L630" s="7" t="str">
        <f t="shared" si="3"/>
        <v/>
      </c>
      <c r="M630" s="7">
        <f t="shared" ref="M630:N630" si="640">IF(LEN(M$1),COUNTIF($G630:$I630,M$1),"")</f>
        <v>0</v>
      </c>
      <c r="N630" s="7" t="str">
        <f t="shared" si="640"/>
        <v/>
      </c>
      <c r="O630" s="7" t="str">
        <f t="shared" si="5"/>
        <v/>
      </c>
      <c r="P630" s="7">
        <f t="shared" si="613"/>
        <v>0</v>
      </c>
      <c r="Q630" s="7" t="str">
        <f t="shared" si="7"/>
        <v/>
      </c>
      <c r="T630" s="7"/>
    </row>
    <row r="631" ht="12.75" customHeight="1">
      <c r="A631" s="7">
        <v>630.0</v>
      </c>
      <c r="B631" s="7" t="s">
        <v>1673</v>
      </c>
      <c r="C631" s="7" t="s">
        <v>4778</v>
      </c>
      <c r="D631" s="7"/>
      <c r="E631" s="7"/>
      <c r="F631" s="7" t="s">
        <v>4851</v>
      </c>
      <c r="G631" s="7" t="s">
        <v>3904</v>
      </c>
      <c r="H631" s="7" t="s">
        <v>3895</v>
      </c>
      <c r="I631" s="7" t="s">
        <v>3922</v>
      </c>
      <c r="K631" s="7" t="str">
        <f t="shared" si="2"/>
        <v/>
      </c>
      <c r="L631" s="7" t="str">
        <f t="shared" si="3"/>
        <v/>
      </c>
      <c r="M631" s="7">
        <f t="shared" ref="M631:N631" si="641">IF(LEN(M$1),COUNTIF($G631:$I631,M$1),"")</f>
        <v>0</v>
      </c>
      <c r="N631" s="7" t="str">
        <f t="shared" si="641"/>
        <v/>
      </c>
      <c r="O631" s="7" t="str">
        <f t="shared" si="5"/>
        <v/>
      </c>
      <c r="P631" s="7">
        <f t="shared" si="613"/>
        <v>0</v>
      </c>
      <c r="Q631" s="7" t="str">
        <f t="shared" si="7"/>
        <v/>
      </c>
      <c r="T631" s="7"/>
    </row>
    <row r="632" ht="12.75" customHeight="1">
      <c r="A632" s="7">
        <v>631.0</v>
      </c>
      <c r="B632" s="7" t="s">
        <v>1095</v>
      </c>
      <c r="C632" s="7" t="s">
        <v>4837</v>
      </c>
      <c r="D632" s="7"/>
      <c r="E632" s="7"/>
      <c r="F632" s="7" t="s">
        <v>4851</v>
      </c>
      <c r="G632" s="7" t="s">
        <v>3782</v>
      </c>
      <c r="H632" s="7" t="s">
        <v>3778</v>
      </c>
      <c r="I632" s="7" t="s">
        <v>3887</v>
      </c>
      <c r="K632" s="7" t="str">
        <f t="shared" si="2"/>
        <v/>
      </c>
      <c r="L632" s="7" t="str">
        <f t="shared" si="3"/>
        <v/>
      </c>
      <c r="M632" s="7">
        <f t="shared" ref="M632:N632" si="642">IF(LEN(M$1),COUNTIF($G632:$I632,M$1),"")</f>
        <v>0</v>
      </c>
      <c r="N632" s="7" t="str">
        <f t="shared" si="642"/>
        <v/>
      </c>
      <c r="O632" s="7" t="str">
        <f t="shared" si="5"/>
        <v/>
      </c>
      <c r="P632" s="7">
        <f t="shared" si="613"/>
        <v>0</v>
      </c>
      <c r="Q632" s="7" t="str">
        <f t="shared" si="7"/>
        <v/>
      </c>
      <c r="T632" s="7"/>
    </row>
    <row r="633" ht="12.75" customHeight="1">
      <c r="A633" s="7">
        <v>632.0</v>
      </c>
      <c r="B633" s="7" t="s">
        <v>1585</v>
      </c>
      <c r="C633" s="7" t="s">
        <v>4849</v>
      </c>
      <c r="D633" s="7"/>
      <c r="E633" s="7"/>
      <c r="F633" s="7" t="s">
        <v>4851</v>
      </c>
      <c r="G633" s="7" t="s">
        <v>3773</v>
      </c>
      <c r="H633" s="7" t="s">
        <v>3919</v>
      </c>
      <c r="I633" s="7" t="s">
        <v>3884</v>
      </c>
      <c r="K633" s="7" t="str">
        <f t="shared" si="2"/>
        <v/>
      </c>
      <c r="L633" s="7" t="str">
        <f t="shared" si="3"/>
        <v/>
      </c>
      <c r="M633" s="7">
        <f t="shared" ref="M633:N633" si="643">IF(LEN(M$1),COUNTIF($G633:$I633,M$1),"")</f>
        <v>0</v>
      </c>
      <c r="N633" s="7" t="str">
        <f t="shared" si="643"/>
        <v/>
      </c>
      <c r="O633" s="7" t="str">
        <f t="shared" si="5"/>
        <v/>
      </c>
      <c r="P633" s="7">
        <f t="shared" si="613"/>
        <v>0</v>
      </c>
      <c r="Q633" s="7" t="str">
        <f t="shared" si="7"/>
        <v/>
      </c>
      <c r="T633" s="7"/>
    </row>
    <row r="634" ht="12.75" customHeight="1">
      <c r="A634" s="7">
        <v>633.0</v>
      </c>
      <c r="B634" s="7" t="s">
        <v>329</v>
      </c>
      <c r="C634" s="7" t="s">
        <v>4845</v>
      </c>
      <c r="D634" s="7"/>
      <c r="E634" s="7"/>
      <c r="F634" s="7" t="s">
        <v>4851</v>
      </c>
      <c r="G634" s="7" t="s">
        <v>3946</v>
      </c>
      <c r="H634" s="7" t="s">
        <v>3884</v>
      </c>
      <c r="I634" s="7" t="s">
        <v>3908</v>
      </c>
      <c r="K634" s="7" t="str">
        <f t="shared" si="2"/>
        <v/>
      </c>
      <c r="L634" s="7" t="str">
        <f t="shared" si="3"/>
        <v/>
      </c>
      <c r="M634" s="7">
        <f t="shared" ref="M634:N634" si="644">IF(LEN(M$1),COUNTIF($G634:$I634,M$1),"")</f>
        <v>0</v>
      </c>
      <c r="N634" s="7" t="str">
        <f t="shared" si="644"/>
        <v/>
      </c>
      <c r="O634" s="7" t="str">
        <f t="shared" si="5"/>
        <v/>
      </c>
      <c r="P634" s="7">
        <f t="shared" si="613"/>
        <v>0</v>
      </c>
      <c r="Q634" s="7" t="str">
        <f t="shared" si="7"/>
        <v/>
      </c>
      <c r="T634" s="7"/>
    </row>
    <row r="635" ht="12.75" customHeight="1">
      <c r="A635" s="7">
        <v>634.0</v>
      </c>
      <c r="B635" s="7" t="s">
        <v>1813</v>
      </c>
      <c r="C635" s="7" t="s">
        <v>4846</v>
      </c>
      <c r="D635" s="7"/>
      <c r="E635" s="7"/>
      <c r="F635" s="7" t="s">
        <v>4851</v>
      </c>
      <c r="G635" s="7" t="s">
        <v>3941</v>
      </c>
      <c r="H635" s="7" t="s">
        <v>3944</v>
      </c>
      <c r="I635" s="7" t="s">
        <v>3954</v>
      </c>
      <c r="K635" s="7" t="str">
        <f t="shared" si="2"/>
        <v/>
      </c>
      <c r="L635" s="7" t="str">
        <f t="shared" si="3"/>
        <v/>
      </c>
      <c r="M635" s="7">
        <f t="shared" ref="M635:N635" si="645">IF(LEN(M$1),COUNTIF($G635:$I635,M$1),"")</f>
        <v>0</v>
      </c>
      <c r="N635" s="7" t="str">
        <f t="shared" si="645"/>
        <v/>
      </c>
      <c r="O635" s="7" t="str">
        <f t="shared" si="5"/>
        <v/>
      </c>
      <c r="P635" s="7">
        <f t="shared" si="613"/>
        <v>0</v>
      </c>
      <c r="Q635" s="7" t="str">
        <f t="shared" si="7"/>
        <v/>
      </c>
      <c r="T635" s="7"/>
    </row>
    <row r="636" ht="12.75" customHeight="1">
      <c r="A636" s="7">
        <v>635.0</v>
      </c>
      <c r="B636" s="7" t="s">
        <v>85</v>
      </c>
      <c r="C636" s="7" t="s">
        <v>4778</v>
      </c>
      <c r="D636" s="7"/>
      <c r="E636" s="7"/>
      <c r="F636" s="7" t="s">
        <v>4851</v>
      </c>
      <c r="G636" s="7" t="s">
        <v>3864</v>
      </c>
      <c r="H636" s="7" t="s">
        <v>3868</v>
      </c>
      <c r="I636" s="7" t="s">
        <v>3932</v>
      </c>
      <c r="K636" s="7" t="str">
        <f t="shared" si="2"/>
        <v/>
      </c>
      <c r="L636" s="7" t="str">
        <f t="shared" si="3"/>
        <v/>
      </c>
      <c r="M636" s="7">
        <f t="shared" ref="M636:N636" si="646">IF(LEN(M$1),COUNTIF($G636:$I636,M$1),"")</f>
        <v>0</v>
      </c>
      <c r="N636" s="7" t="str">
        <f t="shared" si="646"/>
        <v/>
      </c>
      <c r="O636" s="7" t="str">
        <f t="shared" si="5"/>
        <v/>
      </c>
      <c r="P636" s="7">
        <f t="shared" si="613"/>
        <v>0</v>
      </c>
      <c r="Q636" s="7" t="str">
        <f t="shared" si="7"/>
        <v/>
      </c>
      <c r="T636" s="7"/>
    </row>
    <row r="637" ht="12.75" customHeight="1">
      <c r="A637" s="7">
        <v>636.0</v>
      </c>
      <c r="B637" s="7" t="s">
        <v>1911</v>
      </c>
      <c r="C637" s="7" t="s">
        <v>2659</v>
      </c>
      <c r="D637" s="7"/>
      <c r="E637" s="7"/>
      <c r="F637" s="7" t="s">
        <v>4851</v>
      </c>
      <c r="G637" s="7" t="s">
        <v>3906</v>
      </c>
      <c r="H637" s="7" t="s">
        <v>3821</v>
      </c>
      <c r="I637" s="7" t="s">
        <v>3755</v>
      </c>
      <c r="K637" s="7" t="str">
        <f t="shared" si="2"/>
        <v/>
      </c>
      <c r="L637" s="7" t="str">
        <f t="shared" si="3"/>
        <v/>
      </c>
      <c r="M637" s="7">
        <f t="shared" ref="M637:N637" si="647">IF(LEN(M$1),COUNTIF($G637:$I637,M$1),"")</f>
        <v>0</v>
      </c>
      <c r="N637" s="7" t="str">
        <f t="shared" si="647"/>
        <v/>
      </c>
      <c r="O637" s="7" t="str">
        <f t="shared" si="5"/>
        <v/>
      </c>
      <c r="P637" s="7">
        <f t="shared" si="613"/>
        <v>0</v>
      </c>
      <c r="Q637" s="7" t="str">
        <f t="shared" si="7"/>
        <v/>
      </c>
      <c r="T637" s="7"/>
    </row>
    <row r="638" ht="12.75" customHeight="1">
      <c r="A638" s="7">
        <v>637.0</v>
      </c>
      <c r="B638" s="7" t="s">
        <v>1895</v>
      </c>
      <c r="C638" s="7" t="s">
        <v>4838</v>
      </c>
      <c r="D638" s="7"/>
      <c r="E638" s="7"/>
      <c r="F638" s="7" t="s">
        <v>4851</v>
      </c>
      <c r="G638" s="7" t="s">
        <v>3794</v>
      </c>
      <c r="H638" s="7" t="s">
        <v>3904</v>
      </c>
      <c r="I638" s="7" t="s">
        <v>3948</v>
      </c>
      <c r="K638" s="7" t="str">
        <f t="shared" si="2"/>
        <v/>
      </c>
      <c r="L638" s="7" t="str">
        <f t="shared" si="3"/>
        <v/>
      </c>
      <c r="M638" s="7">
        <f t="shared" ref="M638:N638" si="648">IF(LEN(M$1),COUNTIF($G638:$I638,M$1),"")</f>
        <v>0</v>
      </c>
      <c r="N638" s="7" t="str">
        <f t="shared" si="648"/>
        <v/>
      </c>
      <c r="O638" s="7" t="str">
        <f t="shared" si="5"/>
        <v/>
      </c>
      <c r="P638" s="7">
        <f t="shared" si="613"/>
        <v>0</v>
      </c>
      <c r="Q638" s="7" t="str">
        <f t="shared" si="7"/>
        <v/>
      </c>
      <c r="T638" s="7"/>
    </row>
    <row r="639" ht="12.75" customHeight="1">
      <c r="A639" s="7">
        <v>638.0</v>
      </c>
      <c r="B639" s="7" t="s">
        <v>1878</v>
      </c>
      <c r="C639" s="7" t="s">
        <v>4827</v>
      </c>
      <c r="D639" s="7"/>
      <c r="E639" s="7"/>
      <c r="F639" s="7" t="s">
        <v>4851</v>
      </c>
      <c r="G639" s="7" t="s">
        <v>3922</v>
      </c>
      <c r="H639" s="7" t="s">
        <v>3937</v>
      </c>
      <c r="I639" s="7" t="s">
        <v>3956</v>
      </c>
      <c r="K639" s="7" t="str">
        <f t="shared" si="2"/>
        <v/>
      </c>
      <c r="L639" s="7" t="str">
        <f t="shared" si="3"/>
        <v/>
      </c>
      <c r="M639" s="7">
        <f t="shared" ref="M639:N639" si="649">IF(LEN(M$1),COUNTIF($G639:$I639,M$1),"")</f>
        <v>0</v>
      </c>
      <c r="N639" s="7" t="str">
        <f t="shared" si="649"/>
        <v/>
      </c>
      <c r="O639" s="7" t="str">
        <f t="shared" si="5"/>
        <v/>
      </c>
      <c r="P639" s="7">
        <f t="shared" si="613"/>
        <v>0</v>
      </c>
      <c r="Q639" s="7" t="str">
        <f t="shared" si="7"/>
        <v/>
      </c>
      <c r="T639" s="7"/>
    </row>
    <row r="640" ht="12.75" customHeight="1">
      <c r="A640" s="7">
        <v>639.0</v>
      </c>
      <c r="B640" s="7" t="s">
        <v>1673</v>
      </c>
      <c r="C640" s="7" t="s">
        <v>4778</v>
      </c>
      <c r="D640" s="7"/>
      <c r="E640" s="7"/>
      <c r="F640" s="7" t="s">
        <v>4851</v>
      </c>
      <c r="G640" s="7" t="s">
        <v>3916</v>
      </c>
      <c r="H640" s="7" t="s">
        <v>3892</v>
      </c>
      <c r="I640" s="7" t="s">
        <v>3899</v>
      </c>
      <c r="K640" s="7" t="str">
        <f t="shared" si="2"/>
        <v/>
      </c>
      <c r="L640" s="7" t="str">
        <f t="shared" si="3"/>
        <v/>
      </c>
      <c r="M640" s="7">
        <f t="shared" ref="M640:N640" si="650">IF(LEN(M$1),COUNTIF($G640:$I640,M$1),"")</f>
        <v>0</v>
      </c>
      <c r="N640" s="7" t="str">
        <f t="shared" si="650"/>
        <v/>
      </c>
      <c r="O640" s="7" t="str">
        <f t="shared" si="5"/>
        <v/>
      </c>
      <c r="P640" s="7">
        <f t="shared" si="613"/>
        <v>0</v>
      </c>
      <c r="Q640" s="7" t="str">
        <f t="shared" si="7"/>
        <v/>
      </c>
      <c r="T640" s="7"/>
    </row>
    <row r="641" ht="12.75" customHeight="1">
      <c r="A641" s="7">
        <v>640.0</v>
      </c>
      <c r="B641" s="7" t="s">
        <v>1734</v>
      </c>
      <c r="C641" s="7" t="s">
        <v>4831</v>
      </c>
      <c r="D641" s="7"/>
      <c r="E641" s="7"/>
      <c r="F641" s="7" t="s">
        <v>4851</v>
      </c>
      <c r="G641" s="7" t="s">
        <v>3947</v>
      </c>
      <c r="H641" s="7" t="s">
        <v>3858</v>
      </c>
      <c r="I641" s="7" t="s">
        <v>3937</v>
      </c>
      <c r="K641" s="7" t="str">
        <f t="shared" si="2"/>
        <v/>
      </c>
      <c r="L641" s="7" t="str">
        <f t="shared" si="3"/>
        <v/>
      </c>
      <c r="M641" s="7">
        <f t="shared" ref="M641:N641" si="651">IF(LEN(M$1),COUNTIF($G641:$I641,M$1),"")</f>
        <v>0</v>
      </c>
      <c r="N641" s="7" t="str">
        <f t="shared" si="651"/>
        <v/>
      </c>
      <c r="O641" s="7" t="str">
        <f t="shared" si="5"/>
        <v/>
      </c>
      <c r="P641" s="7">
        <f t="shared" si="613"/>
        <v>0</v>
      </c>
      <c r="Q641" s="7" t="str">
        <f t="shared" si="7"/>
        <v/>
      </c>
      <c r="T641" s="7"/>
    </row>
    <row r="642" ht="12.75" customHeight="1">
      <c r="A642" s="7">
        <v>641.0</v>
      </c>
      <c r="B642" s="7" t="s">
        <v>1800</v>
      </c>
      <c r="C642" s="7" t="s">
        <v>4841</v>
      </c>
      <c r="D642" s="7"/>
      <c r="E642" s="7"/>
      <c r="F642" s="7" t="s">
        <v>4851</v>
      </c>
      <c r="G642" s="7" t="s">
        <v>3872</v>
      </c>
      <c r="H642" s="7" t="s">
        <v>3847</v>
      </c>
      <c r="I642" s="7" t="s">
        <v>3798</v>
      </c>
      <c r="K642" s="7" t="str">
        <f t="shared" si="2"/>
        <v/>
      </c>
      <c r="L642" s="7" t="str">
        <f t="shared" si="3"/>
        <v/>
      </c>
      <c r="M642" s="7">
        <f t="shared" ref="M642:N642" si="652">IF(LEN(M$1),COUNTIF($G642:$I642,M$1),"")</f>
        <v>0</v>
      </c>
      <c r="N642" s="7" t="str">
        <f t="shared" si="652"/>
        <v/>
      </c>
      <c r="O642" s="7" t="str">
        <f t="shared" si="5"/>
        <v/>
      </c>
      <c r="P642" s="7">
        <f t="shared" si="613"/>
        <v>0</v>
      </c>
      <c r="Q642" s="7" t="str">
        <f t="shared" si="7"/>
        <v/>
      </c>
      <c r="T642" s="7"/>
    </row>
    <row r="643" ht="12.75" customHeight="1">
      <c r="A643" s="7">
        <v>642.0</v>
      </c>
      <c r="B643" s="7" t="s">
        <v>1680</v>
      </c>
      <c r="C643" s="7" t="s">
        <v>4819</v>
      </c>
      <c r="D643" s="7"/>
      <c r="E643" s="7"/>
      <c r="F643" s="7" t="s">
        <v>4851</v>
      </c>
      <c r="G643" s="7" t="s">
        <v>3773</v>
      </c>
      <c r="H643" s="7" t="s">
        <v>3895</v>
      </c>
      <c r="I643" s="7" t="s">
        <v>3948</v>
      </c>
      <c r="K643" s="7" t="str">
        <f t="shared" si="2"/>
        <v/>
      </c>
      <c r="L643" s="7" t="str">
        <f t="shared" si="3"/>
        <v/>
      </c>
      <c r="M643" s="7">
        <f t="shared" ref="M643:N643" si="653">IF(LEN(M$1),COUNTIF($G643:$I643,M$1),"")</f>
        <v>0</v>
      </c>
      <c r="N643" s="7" t="str">
        <f t="shared" si="653"/>
        <v/>
      </c>
      <c r="O643" s="7" t="str">
        <f t="shared" si="5"/>
        <v/>
      </c>
      <c r="P643" s="7">
        <f t="shared" si="613"/>
        <v>0</v>
      </c>
      <c r="Q643" s="7" t="str">
        <f t="shared" si="7"/>
        <v/>
      </c>
      <c r="T643" s="7"/>
    </row>
    <row r="644" ht="12.75" customHeight="1">
      <c r="A644" s="7">
        <v>643.0</v>
      </c>
      <c r="B644" s="7" t="s">
        <v>1843</v>
      </c>
      <c r="C644" s="7" t="s">
        <v>3108</v>
      </c>
      <c r="D644" s="7"/>
      <c r="E644" s="7"/>
      <c r="F644" s="7" t="s">
        <v>4851</v>
      </c>
      <c r="G644" s="7" t="s">
        <v>3951</v>
      </c>
      <c r="H644" s="7" t="s">
        <v>3860</v>
      </c>
      <c r="I644" s="7" t="s">
        <v>3875</v>
      </c>
      <c r="K644" s="7" t="str">
        <f t="shared" si="2"/>
        <v/>
      </c>
      <c r="L644" s="7" t="str">
        <f t="shared" si="3"/>
        <v/>
      </c>
      <c r="M644" s="7">
        <f t="shared" ref="M644:N644" si="654">IF(LEN(M$1),COUNTIF($G644:$I644,M$1),"")</f>
        <v>0</v>
      </c>
      <c r="N644" s="7" t="str">
        <f t="shared" si="654"/>
        <v/>
      </c>
      <c r="O644" s="7" t="str">
        <f t="shared" si="5"/>
        <v/>
      </c>
      <c r="P644" s="7">
        <f t="shared" si="613"/>
        <v>0</v>
      </c>
      <c r="Q644" s="7" t="str">
        <f t="shared" si="7"/>
        <v/>
      </c>
      <c r="T644" s="7"/>
    </row>
    <row r="645" ht="12.75" customHeight="1">
      <c r="A645" s="7">
        <v>644.0</v>
      </c>
      <c r="B645" s="7" t="s">
        <v>266</v>
      </c>
      <c r="C645" s="7" t="s">
        <v>4820</v>
      </c>
      <c r="D645" s="7"/>
      <c r="E645" s="7"/>
      <c r="F645" s="7" t="s">
        <v>4851</v>
      </c>
      <c r="G645" s="7" t="s">
        <v>3860</v>
      </c>
      <c r="H645" s="7" t="s">
        <v>3932</v>
      </c>
      <c r="I645" s="7" t="s">
        <v>3947</v>
      </c>
      <c r="K645" s="7" t="str">
        <f t="shared" si="2"/>
        <v/>
      </c>
      <c r="L645" s="7" t="str">
        <f t="shared" si="3"/>
        <v/>
      </c>
      <c r="M645" s="7">
        <f t="shared" ref="M645:N645" si="655">IF(LEN(M$1),COUNTIF($G645:$I645,M$1),"")</f>
        <v>0</v>
      </c>
      <c r="N645" s="7" t="str">
        <f t="shared" si="655"/>
        <v/>
      </c>
      <c r="O645" s="7" t="str">
        <f t="shared" si="5"/>
        <v/>
      </c>
      <c r="P645" s="7">
        <f t="shared" si="613"/>
        <v>0</v>
      </c>
      <c r="Q645" s="7" t="str">
        <f t="shared" si="7"/>
        <v/>
      </c>
      <c r="T645" s="7"/>
    </row>
    <row r="646" ht="12.75" customHeight="1">
      <c r="A646" s="7">
        <v>645.0</v>
      </c>
      <c r="B646" s="7" t="s">
        <v>1630</v>
      </c>
      <c r="C646" s="7" t="s">
        <v>4756</v>
      </c>
      <c r="D646" s="7"/>
      <c r="E646" s="7"/>
      <c r="F646" s="7" t="s">
        <v>4851</v>
      </c>
      <c r="G646" s="7" t="s">
        <v>3908</v>
      </c>
      <c r="H646" s="7" t="s">
        <v>3866</v>
      </c>
      <c r="I646" s="7" t="s">
        <v>3904</v>
      </c>
      <c r="K646" s="7" t="str">
        <f t="shared" si="2"/>
        <v/>
      </c>
      <c r="L646" s="7" t="str">
        <f t="shared" si="3"/>
        <v/>
      </c>
      <c r="M646" s="7">
        <f t="shared" ref="M646:N646" si="656">IF(LEN(M$1),COUNTIF($G646:$I646,M$1),"")</f>
        <v>0</v>
      </c>
      <c r="N646" s="7" t="str">
        <f t="shared" si="656"/>
        <v/>
      </c>
      <c r="O646" s="7" t="str">
        <f t="shared" si="5"/>
        <v/>
      </c>
      <c r="P646" s="7">
        <f t="shared" si="613"/>
        <v>0</v>
      </c>
      <c r="Q646" s="7" t="str">
        <f t="shared" si="7"/>
        <v/>
      </c>
      <c r="T646" s="7"/>
    </row>
    <row r="647" ht="12.75" customHeight="1">
      <c r="A647" s="7">
        <v>646.0</v>
      </c>
      <c r="B647" s="7" t="s">
        <v>1703</v>
      </c>
      <c r="C647" s="7" t="s">
        <v>4820</v>
      </c>
      <c r="D647" s="7"/>
      <c r="E647" s="7"/>
      <c r="F647" s="7" t="s">
        <v>4851</v>
      </c>
      <c r="G647" s="7" t="s">
        <v>3954</v>
      </c>
      <c r="H647" s="7" t="s">
        <v>3821</v>
      </c>
      <c r="I647" s="7" t="s">
        <v>3778</v>
      </c>
      <c r="K647" s="7" t="str">
        <f t="shared" si="2"/>
        <v/>
      </c>
      <c r="L647" s="7" t="str">
        <f t="shared" si="3"/>
        <v/>
      </c>
      <c r="M647" s="7">
        <f t="shared" ref="M647:N647" si="657">IF(LEN(M$1),COUNTIF($G647:$I647,M$1),"")</f>
        <v>0</v>
      </c>
      <c r="N647" s="7" t="str">
        <f t="shared" si="657"/>
        <v/>
      </c>
      <c r="O647" s="7" t="str">
        <f t="shared" si="5"/>
        <v/>
      </c>
      <c r="P647" s="7">
        <f t="shared" si="613"/>
        <v>0</v>
      </c>
      <c r="Q647" s="7" t="str">
        <f t="shared" si="7"/>
        <v/>
      </c>
      <c r="T647" s="7"/>
    </row>
    <row r="648" ht="12.75" customHeight="1">
      <c r="A648" s="7">
        <v>647.0</v>
      </c>
      <c r="B648" s="7" t="s">
        <v>1660</v>
      </c>
      <c r="C648" s="7" t="s">
        <v>4775</v>
      </c>
      <c r="D648" s="7"/>
      <c r="E648" s="7"/>
      <c r="F648" s="7" t="s">
        <v>4851</v>
      </c>
      <c r="G648" s="7" t="s">
        <v>3734</v>
      </c>
      <c r="H648" s="7" t="s">
        <v>3941</v>
      </c>
      <c r="I648" s="7" t="s">
        <v>3956</v>
      </c>
      <c r="K648" s="7" t="str">
        <f t="shared" si="2"/>
        <v/>
      </c>
      <c r="L648" s="7" t="str">
        <f t="shared" si="3"/>
        <v/>
      </c>
      <c r="M648" s="7">
        <f t="shared" ref="M648:N648" si="658">IF(LEN(M$1),COUNTIF($G648:$I648,M$1),"")</f>
        <v>0</v>
      </c>
      <c r="N648" s="7" t="str">
        <f t="shared" si="658"/>
        <v/>
      </c>
      <c r="O648" s="7" t="str">
        <f t="shared" si="5"/>
        <v/>
      </c>
      <c r="P648" s="7">
        <f t="shared" si="613"/>
        <v>0</v>
      </c>
      <c r="Q648" s="7" t="str">
        <f t="shared" si="7"/>
        <v/>
      </c>
      <c r="T648" s="7"/>
    </row>
    <row r="649" ht="12.75" customHeight="1">
      <c r="A649" s="7">
        <v>648.0</v>
      </c>
      <c r="B649" s="7" t="s">
        <v>1148</v>
      </c>
      <c r="C649" s="7" t="s">
        <v>4850</v>
      </c>
      <c r="D649" s="7"/>
      <c r="E649" s="7"/>
      <c r="F649" s="7" t="s">
        <v>4851</v>
      </c>
      <c r="G649" s="7" t="s">
        <v>3919</v>
      </c>
      <c r="H649" s="7" t="s">
        <v>3941</v>
      </c>
      <c r="I649" s="7" t="s">
        <v>3868</v>
      </c>
      <c r="K649" s="7" t="str">
        <f t="shared" si="2"/>
        <v/>
      </c>
      <c r="L649" s="7" t="str">
        <f t="shared" si="3"/>
        <v/>
      </c>
      <c r="M649" s="7">
        <f t="shared" ref="M649:N649" si="659">IF(LEN(M$1),COUNTIF($G649:$I649,M$1),"")</f>
        <v>0</v>
      </c>
      <c r="N649" s="7" t="str">
        <f t="shared" si="659"/>
        <v/>
      </c>
      <c r="O649" s="7" t="str">
        <f t="shared" si="5"/>
        <v/>
      </c>
      <c r="P649" s="7">
        <f t="shared" si="613"/>
        <v>0</v>
      </c>
      <c r="Q649" s="7" t="str">
        <f t="shared" si="7"/>
        <v/>
      </c>
      <c r="T649" s="7"/>
    </row>
    <row r="650" ht="12.75" customHeight="1">
      <c r="A650" s="7">
        <v>649.0</v>
      </c>
      <c r="B650" s="7" t="s">
        <v>1761</v>
      </c>
      <c r="C650" s="7" t="s">
        <v>4845</v>
      </c>
      <c r="D650" s="7"/>
      <c r="E650" s="7"/>
      <c r="F650" s="7" t="s">
        <v>4851</v>
      </c>
      <c r="G650" s="7" t="s">
        <v>3868</v>
      </c>
      <c r="H650" s="7" t="s">
        <v>3946</v>
      </c>
      <c r="I650" s="7" t="s">
        <v>3953</v>
      </c>
      <c r="K650" s="7" t="str">
        <f t="shared" si="2"/>
        <v/>
      </c>
      <c r="L650" s="7" t="str">
        <f t="shared" si="3"/>
        <v/>
      </c>
      <c r="M650" s="7">
        <f t="shared" ref="M650:N650" si="660">IF(LEN(M$1),COUNTIF($G650:$I650,M$1),"")</f>
        <v>0</v>
      </c>
      <c r="N650" s="7" t="str">
        <f t="shared" si="660"/>
        <v/>
      </c>
      <c r="O650" s="7" t="str">
        <f t="shared" si="5"/>
        <v/>
      </c>
      <c r="P650" s="7">
        <f t="shared" si="613"/>
        <v>0</v>
      </c>
      <c r="Q650" s="7" t="str">
        <f t="shared" si="7"/>
        <v/>
      </c>
      <c r="T650" s="7"/>
    </row>
    <row r="651" ht="12.75" customHeight="1">
      <c r="A651" s="7">
        <v>650.0</v>
      </c>
      <c r="B651" s="7" t="s">
        <v>1468</v>
      </c>
      <c r="C651" s="7" t="s">
        <v>4793</v>
      </c>
      <c r="D651" s="7"/>
      <c r="E651" s="7"/>
      <c r="F651" s="7" t="s">
        <v>4851</v>
      </c>
      <c r="G651" s="7" t="s">
        <v>3884</v>
      </c>
      <c r="H651" s="7" t="s">
        <v>3949</v>
      </c>
      <c r="I651" s="7" t="s">
        <v>3947</v>
      </c>
      <c r="K651" s="7" t="str">
        <f t="shared" si="2"/>
        <v/>
      </c>
      <c r="L651" s="7" t="str">
        <f t="shared" si="3"/>
        <v/>
      </c>
      <c r="M651" s="7">
        <f t="shared" ref="M651:N651" si="661">IF(LEN(M$1),COUNTIF($G651:$I651,M$1),"")</f>
        <v>0</v>
      </c>
      <c r="N651" s="7" t="str">
        <f t="shared" si="661"/>
        <v/>
      </c>
      <c r="O651" s="7" t="str">
        <f t="shared" si="5"/>
        <v/>
      </c>
      <c r="P651" s="7">
        <f t="shared" si="613"/>
        <v>0</v>
      </c>
      <c r="Q651" s="7" t="str">
        <f t="shared" si="7"/>
        <v/>
      </c>
      <c r="T651" s="7"/>
    </row>
    <row r="652" ht="12.75" customHeight="1">
      <c r="A652" s="7">
        <v>651.0</v>
      </c>
      <c r="B652" s="7" t="s">
        <v>346</v>
      </c>
      <c r="C652" s="7" t="s">
        <v>4827</v>
      </c>
      <c r="D652" s="7"/>
      <c r="E652" s="7"/>
      <c r="F652" s="7" t="s">
        <v>4851</v>
      </c>
      <c r="G652" s="7" t="s">
        <v>3913</v>
      </c>
      <c r="H652" s="7" t="s">
        <v>3850</v>
      </c>
      <c r="I652" s="7" t="s">
        <v>3773</v>
      </c>
      <c r="K652" s="7" t="str">
        <f t="shared" si="2"/>
        <v/>
      </c>
      <c r="L652" s="7" t="str">
        <f t="shared" si="3"/>
        <v/>
      </c>
      <c r="M652" s="7">
        <f t="shared" ref="M652:N652" si="662">IF(LEN(M$1),COUNTIF($G652:$I652,M$1),"")</f>
        <v>0</v>
      </c>
      <c r="N652" s="7" t="str">
        <f t="shared" si="662"/>
        <v/>
      </c>
      <c r="O652" s="7" t="str">
        <f t="shared" si="5"/>
        <v/>
      </c>
      <c r="P652" s="7">
        <f t="shared" si="613"/>
        <v>0</v>
      </c>
      <c r="Q652" s="7" t="str">
        <f t="shared" si="7"/>
        <v/>
      </c>
      <c r="T652" s="7"/>
    </row>
    <row r="653" ht="12.75" customHeight="1">
      <c r="A653" s="7">
        <v>652.0</v>
      </c>
      <c r="B653" s="7" t="s">
        <v>346</v>
      </c>
      <c r="C653" s="7" t="s">
        <v>4827</v>
      </c>
      <c r="D653" s="7"/>
      <c r="E653" s="7"/>
      <c r="F653" s="7" t="s">
        <v>4851</v>
      </c>
      <c r="G653" s="7" t="s">
        <v>3750</v>
      </c>
      <c r="H653" s="7" t="s">
        <v>3872</v>
      </c>
      <c r="I653" s="7" t="s">
        <v>3875</v>
      </c>
      <c r="K653" s="7" t="str">
        <f t="shared" si="2"/>
        <v/>
      </c>
      <c r="L653" s="7" t="str">
        <f t="shared" si="3"/>
        <v/>
      </c>
      <c r="M653" s="7">
        <f t="shared" ref="M653:N653" si="663">IF(LEN(M$1),COUNTIF($G653:$I653,M$1),"")</f>
        <v>0</v>
      </c>
      <c r="N653" s="7" t="str">
        <f t="shared" si="663"/>
        <v/>
      </c>
      <c r="O653" s="7" t="str">
        <f t="shared" si="5"/>
        <v/>
      </c>
      <c r="P653" s="7">
        <f t="shared" si="613"/>
        <v>0</v>
      </c>
      <c r="Q653" s="7" t="str">
        <f t="shared" si="7"/>
        <v/>
      </c>
      <c r="T653" s="7"/>
    </row>
    <row r="654" ht="12.75" customHeight="1">
      <c r="A654" s="7">
        <v>653.0</v>
      </c>
      <c r="B654" s="7" t="s">
        <v>1718</v>
      </c>
      <c r="C654" s="7" t="s">
        <v>4830</v>
      </c>
      <c r="D654" s="7"/>
      <c r="E654" s="7"/>
      <c r="F654" s="7" t="s">
        <v>4851</v>
      </c>
      <c r="G654" s="7" t="s">
        <v>3944</v>
      </c>
      <c r="H654" s="7" t="s">
        <v>3906</v>
      </c>
      <c r="I654" s="7" t="s">
        <v>3862</v>
      </c>
      <c r="K654" s="7" t="str">
        <f t="shared" si="2"/>
        <v/>
      </c>
      <c r="L654" s="7" t="str">
        <f t="shared" si="3"/>
        <v/>
      </c>
      <c r="M654" s="7">
        <f t="shared" ref="M654:N654" si="664">IF(LEN(M$1),COUNTIF($G654:$I654,M$1),"")</f>
        <v>0</v>
      </c>
      <c r="N654" s="7" t="str">
        <f t="shared" si="664"/>
        <v/>
      </c>
      <c r="O654" s="7" t="str">
        <f t="shared" si="5"/>
        <v/>
      </c>
      <c r="P654" s="7">
        <f t="shared" si="613"/>
        <v>0</v>
      </c>
      <c r="Q654" s="7" t="str">
        <f t="shared" si="7"/>
        <v/>
      </c>
      <c r="T654" s="7"/>
    </row>
    <row r="655" ht="12.75" customHeight="1">
      <c r="A655" s="7">
        <v>654.0</v>
      </c>
      <c r="B655" s="7" t="s">
        <v>1734</v>
      </c>
      <c r="C655" s="7" t="s">
        <v>4831</v>
      </c>
      <c r="D655" s="7"/>
      <c r="E655" s="7"/>
      <c r="F655" s="7" t="s">
        <v>4851</v>
      </c>
      <c r="G655" s="7" t="s">
        <v>3942</v>
      </c>
      <c r="H655" s="7" t="s">
        <v>3884</v>
      </c>
      <c r="I655" s="7" t="s">
        <v>3925</v>
      </c>
      <c r="K655" s="7" t="str">
        <f t="shared" si="2"/>
        <v/>
      </c>
      <c r="L655" s="7" t="str">
        <f t="shared" si="3"/>
        <v/>
      </c>
      <c r="M655" s="7">
        <f t="shared" ref="M655:N655" si="665">IF(LEN(M$1),COUNTIF($G655:$I655,M$1),"")</f>
        <v>0</v>
      </c>
      <c r="N655" s="7" t="str">
        <f t="shared" si="665"/>
        <v/>
      </c>
      <c r="O655" s="7" t="str">
        <f t="shared" si="5"/>
        <v/>
      </c>
      <c r="P655" s="7">
        <f t="shared" si="613"/>
        <v>0</v>
      </c>
      <c r="Q655" s="7" t="str">
        <f t="shared" si="7"/>
        <v/>
      </c>
      <c r="T655" s="7"/>
    </row>
    <row r="656" ht="12.75" customHeight="1">
      <c r="A656" s="7">
        <v>655.0</v>
      </c>
      <c r="B656" s="7" t="s">
        <v>1807</v>
      </c>
      <c r="C656" s="7" t="s">
        <v>4841</v>
      </c>
      <c r="D656" s="7"/>
      <c r="E656" s="7"/>
      <c r="F656" s="7" t="s">
        <v>4851</v>
      </c>
      <c r="G656" s="7" t="s">
        <v>3890</v>
      </c>
      <c r="H656" s="7" t="s">
        <v>3908</v>
      </c>
      <c r="I656" s="7" t="s">
        <v>3955</v>
      </c>
      <c r="K656" s="7" t="str">
        <f t="shared" si="2"/>
        <v/>
      </c>
      <c r="L656" s="7" t="str">
        <f t="shared" si="3"/>
        <v/>
      </c>
      <c r="M656" s="7">
        <f t="shared" ref="M656:N656" si="666">IF(LEN(M$1),COUNTIF($G656:$I656,M$1),"")</f>
        <v>0</v>
      </c>
      <c r="N656" s="7" t="str">
        <f t="shared" si="666"/>
        <v/>
      </c>
      <c r="O656" s="7" t="str">
        <f t="shared" si="5"/>
        <v/>
      </c>
      <c r="P656" s="7">
        <f t="shared" si="613"/>
        <v>0</v>
      </c>
      <c r="Q656" s="7" t="str">
        <f t="shared" si="7"/>
        <v/>
      </c>
      <c r="T656" s="7"/>
    </row>
    <row r="657" ht="12.75" customHeight="1">
      <c r="A657" s="7">
        <v>656.0</v>
      </c>
      <c r="B657" s="7" t="s">
        <v>1878</v>
      </c>
      <c r="C657" s="7" t="s">
        <v>4827</v>
      </c>
      <c r="D657" s="7"/>
      <c r="E657" s="7"/>
      <c r="F657" s="7" t="s">
        <v>4851</v>
      </c>
      <c r="G657" s="7" t="s">
        <v>3919</v>
      </c>
      <c r="H657" s="7" t="s">
        <v>3804</v>
      </c>
      <c r="I657" s="7" t="s">
        <v>3727</v>
      </c>
      <c r="K657" s="7" t="str">
        <f t="shared" si="2"/>
        <v/>
      </c>
      <c r="L657" s="7" t="str">
        <f t="shared" si="3"/>
        <v/>
      </c>
      <c r="M657" s="7">
        <f t="shared" ref="M657:N657" si="667">IF(LEN(M$1),COUNTIF($G657:$I657,M$1),"")</f>
        <v>0</v>
      </c>
      <c r="N657" s="7" t="str">
        <f t="shared" si="667"/>
        <v/>
      </c>
      <c r="O657" s="7" t="str">
        <f t="shared" si="5"/>
        <v/>
      </c>
      <c r="P657" s="7">
        <f t="shared" si="613"/>
        <v>0</v>
      </c>
      <c r="Q657" s="7" t="str">
        <f t="shared" si="7"/>
        <v/>
      </c>
      <c r="T657" s="7"/>
    </row>
    <row r="658" ht="12.75" customHeight="1">
      <c r="A658" s="7">
        <v>657.0</v>
      </c>
      <c r="B658" s="7" t="s">
        <v>1527</v>
      </c>
      <c r="C658" s="7" t="s">
        <v>4809</v>
      </c>
      <c r="D658" s="7"/>
      <c r="E658" s="7"/>
      <c r="F658" s="7" t="s">
        <v>4851</v>
      </c>
      <c r="G658" s="7" t="s">
        <v>3760</v>
      </c>
      <c r="H658" s="7" t="s">
        <v>3941</v>
      </c>
      <c r="I658" s="7" t="s">
        <v>3897</v>
      </c>
      <c r="K658" s="7" t="str">
        <f t="shared" si="2"/>
        <v/>
      </c>
      <c r="L658" s="7" t="str">
        <f t="shared" si="3"/>
        <v/>
      </c>
      <c r="M658" s="7">
        <f t="shared" ref="M658:N658" si="668">IF(LEN(M$1),COUNTIF($G658:$I658,M$1),"")</f>
        <v>0</v>
      </c>
      <c r="N658" s="7" t="str">
        <f t="shared" si="668"/>
        <v/>
      </c>
      <c r="O658" s="7" t="str">
        <f t="shared" si="5"/>
        <v/>
      </c>
      <c r="P658" s="7">
        <f t="shared" si="613"/>
        <v>0</v>
      </c>
      <c r="Q658" s="7" t="str">
        <f t="shared" si="7"/>
        <v/>
      </c>
      <c r="T658" s="7"/>
    </row>
    <row r="659" ht="12.75" customHeight="1">
      <c r="A659" s="7">
        <v>658.0</v>
      </c>
      <c r="B659" s="7" t="s">
        <v>1501</v>
      </c>
      <c r="C659" s="7" t="s">
        <v>4756</v>
      </c>
      <c r="D659" s="7"/>
      <c r="E659" s="7"/>
      <c r="F659" s="7" t="s">
        <v>4851</v>
      </c>
      <c r="G659" s="7" t="s">
        <v>3922</v>
      </c>
      <c r="H659" s="7" t="s">
        <v>3949</v>
      </c>
      <c r="I659" s="7" t="s">
        <v>3913</v>
      </c>
      <c r="K659" s="7" t="str">
        <f t="shared" si="2"/>
        <v/>
      </c>
      <c r="L659" s="7" t="str">
        <f t="shared" si="3"/>
        <v/>
      </c>
      <c r="M659" s="7">
        <f t="shared" ref="M659:N659" si="669">IF(LEN(M$1),COUNTIF($G659:$I659,M$1),"")</f>
        <v>0</v>
      </c>
      <c r="N659" s="7" t="str">
        <f t="shared" si="669"/>
        <v/>
      </c>
      <c r="O659" s="7" t="str">
        <f t="shared" si="5"/>
        <v/>
      </c>
      <c r="P659" s="7">
        <f t="shared" si="613"/>
        <v>0</v>
      </c>
      <c r="Q659" s="7" t="str">
        <f t="shared" si="7"/>
        <v/>
      </c>
      <c r="T659" s="7"/>
    </row>
    <row r="660" ht="12.75" customHeight="1">
      <c r="A660" s="7">
        <v>659.0</v>
      </c>
      <c r="B660" s="7" t="s">
        <v>1486</v>
      </c>
      <c r="C660" s="7" t="s">
        <v>4795</v>
      </c>
      <c r="D660" s="7"/>
      <c r="E660" s="7"/>
      <c r="F660" s="7" t="s">
        <v>4851</v>
      </c>
      <c r="G660" s="7" t="s">
        <v>3880</v>
      </c>
      <c r="H660" s="7" t="s">
        <v>3948</v>
      </c>
      <c r="I660" s="7" t="s">
        <v>3927</v>
      </c>
      <c r="K660" s="7" t="str">
        <f t="shared" si="2"/>
        <v/>
      </c>
      <c r="L660" s="7" t="str">
        <f t="shared" si="3"/>
        <v/>
      </c>
      <c r="M660" s="7">
        <f t="shared" ref="M660:N660" si="670">IF(LEN(M$1),COUNTIF($G660:$I660,M$1),"")</f>
        <v>0</v>
      </c>
      <c r="N660" s="7" t="str">
        <f t="shared" si="670"/>
        <v/>
      </c>
      <c r="O660" s="7" t="str">
        <f t="shared" si="5"/>
        <v/>
      </c>
      <c r="P660" s="7">
        <f t="shared" si="613"/>
        <v>0</v>
      </c>
      <c r="Q660" s="7" t="str">
        <f t="shared" si="7"/>
        <v/>
      </c>
      <c r="T660" s="7"/>
    </row>
    <row r="661" ht="12.75" customHeight="1">
      <c r="A661" s="7">
        <v>660.0</v>
      </c>
      <c r="B661" s="7" t="s">
        <v>1461</v>
      </c>
      <c r="C661" s="7" t="s">
        <v>4791</v>
      </c>
      <c r="D661" s="7"/>
      <c r="E661" s="7"/>
      <c r="F661" s="7" t="s">
        <v>4851</v>
      </c>
      <c r="G661" s="7" t="s">
        <v>3953</v>
      </c>
      <c r="H661" s="7" t="s">
        <v>3925</v>
      </c>
      <c r="I661" s="7" t="s">
        <v>3866</v>
      </c>
      <c r="K661" s="7" t="str">
        <f t="shared" si="2"/>
        <v/>
      </c>
      <c r="L661" s="7" t="str">
        <f t="shared" si="3"/>
        <v/>
      </c>
      <c r="M661" s="7">
        <f t="shared" ref="M661:N661" si="671">IF(LEN(M$1),COUNTIF($G661:$I661,M$1),"")</f>
        <v>0</v>
      </c>
      <c r="N661" s="7" t="str">
        <f t="shared" si="671"/>
        <v/>
      </c>
      <c r="O661" s="7" t="str">
        <f t="shared" si="5"/>
        <v/>
      </c>
      <c r="P661" s="7">
        <f t="shared" si="613"/>
        <v>0</v>
      </c>
      <c r="Q661" s="7" t="str">
        <f t="shared" si="7"/>
        <v/>
      </c>
      <c r="T661" s="7"/>
    </row>
    <row r="662" ht="12.75" customHeight="1">
      <c r="A662" s="7">
        <v>661.0</v>
      </c>
      <c r="B662" s="7" t="s">
        <v>1835</v>
      </c>
      <c r="C662" s="7" t="s">
        <v>4852</v>
      </c>
      <c r="D662" s="7"/>
      <c r="E662" s="7"/>
      <c r="F662" s="7" t="s">
        <v>4851</v>
      </c>
      <c r="G662" s="7" t="s">
        <v>3946</v>
      </c>
      <c r="H662" s="7" t="s">
        <v>3856</v>
      </c>
      <c r="I662" s="7" t="s">
        <v>3810</v>
      </c>
      <c r="K662" s="7" t="str">
        <f t="shared" si="2"/>
        <v/>
      </c>
      <c r="L662" s="7" t="str">
        <f t="shared" si="3"/>
        <v/>
      </c>
      <c r="M662" s="7">
        <f t="shared" ref="M662:N662" si="672">IF(LEN(M$1),COUNTIF($G662:$I662,M$1),"")</f>
        <v>0</v>
      </c>
      <c r="N662" s="7" t="str">
        <f t="shared" si="672"/>
        <v/>
      </c>
      <c r="O662" s="7" t="str">
        <f t="shared" si="5"/>
        <v/>
      </c>
      <c r="P662" s="7">
        <f t="shared" si="613"/>
        <v>0</v>
      </c>
      <c r="Q662" s="7" t="str">
        <f t="shared" si="7"/>
        <v/>
      </c>
      <c r="T662" s="7"/>
    </row>
    <row r="663" ht="12.75" customHeight="1">
      <c r="A663" s="7">
        <v>662.0</v>
      </c>
      <c r="B663" s="7" t="s">
        <v>1317</v>
      </c>
      <c r="C663" s="7" t="s">
        <v>4815</v>
      </c>
      <c r="D663" s="7"/>
      <c r="E663" s="7"/>
      <c r="F663" s="7" t="s">
        <v>4851</v>
      </c>
      <c r="G663" s="7" t="s">
        <v>3775</v>
      </c>
      <c r="H663" s="7" t="s">
        <v>3902</v>
      </c>
      <c r="I663" s="7" t="s">
        <v>3904</v>
      </c>
      <c r="K663" s="7" t="str">
        <f t="shared" si="2"/>
        <v/>
      </c>
      <c r="L663" s="7" t="str">
        <f t="shared" si="3"/>
        <v/>
      </c>
      <c r="M663" s="7">
        <f t="shared" ref="M663:N663" si="673">IF(LEN(M$1),COUNTIF($G663:$I663,M$1),"")</f>
        <v>0</v>
      </c>
      <c r="N663" s="7" t="str">
        <f t="shared" si="673"/>
        <v/>
      </c>
      <c r="O663" s="7" t="str">
        <f t="shared" si="5"/>
        <v/>
      </c>
      <c r="P663" s="7">
        <f t="shared" si="613"/>
        <v>0</v>
      </c>
      <c r="Q663" s="7" t="str">
        <f t="shared" si="7"/>
        <v/>
      </c>
      <c r="T663" s="7"/>
    </row>
    <row r="664" ht="12.75" customHeight="1">
      <c r="A664" s="7">
        <v>663.0</v>
      </c>
      <c r="B664" s="7" t="s">
        <v>1807</v>
      </c>
      <c r="C664" s="7" t="s">
        <v>4841</v>
      </c>
      <c r="D664" s="7"/>
      <c r="E664" s="7"/>
      <c r="F664" s="7" t="s">
        <v>4851</v>
      </c>
      <c r="G664" s="7" t="s">
        <v>3956</v>
      </c>
      <c r="H664" s="7" t="s">
        <v>3887</v>
      </c>
      <c r="I664" s="7" t="s">
        <v>3902</v>
      </c>
      <c r="K664" s="7" t="str">
        <f t="shared" si="2"/>
        <v/>
      </c>
      <c r="L664" s="7" t="str">
        <f t="shared" si="3"/>
        <v/>
      </c>
      <c r="M664" s="7">
        <f t="shared" ref="M664:N664" si="674">IF(LEN(M$1),COUNTIF($G664:$I664,M$1),"")</f>
        <v>0</v>
      </c>
      <c r="N664" s="7" t="str">
        <f t="shared" si="674"/>
        <v/>
      </c>
      <c r="O664" s="7" t="str">
        <f t="shared" si="5"/>
        <v/>
      </c>
      <c r="P664" s="7">
        <f t="shared" si="613"/>
        <v>0</v>
      </c>
      <c r="Q664" s="7" t="str">
        <f t="shared" si="7"/>
        <v/>
      </c>
      <c r="T664" s="7"/>
    </row>
    <row r="665" ht="12.75" customHeight="1">
      <c r="A665" s="7">
        <v>664.0</v>
      </c>
      <c r="B665" s="7" t="s">
        <v>1828</v>
      </c>
      <c r="C665" s="7" t="s">
        <v>4852</v>
      </c>
      <c r="D665" s="7"/>
      <c r="E665" s="7"/>
      <c r="F665" s="7" t="s">
        <v>4851</v>
      </c>
      <c r="G665" s="7" t="s">
        <v>3897</v>
      </c>
      <c r="H665" s="7" t="s">
        <v>3927</v>
      </c>
      <c r="I665" s="7" t="s">
        <v>3880</v>
      </c>
      <c r="K665" s="7" t="str">
        <f t="shared" si="2"/>
        <v/>
      </c>
      <c r="L665" s="7" t="str">
        <f t="shared" si="3"/>
        <v/>
      </c>
      <c r="M665" s="7">
        <f t="shared" ref="M665:N665" si="675">IF(LEN(M$1),COUNTIF($G665:$I665,M$1),"")</f>
        <v>0</v>
      </c>
      <c r="N665" s="7" t="str">
        <f t="shared" si="675"/>
        <v/>
      </c>
      <c r="O665" s="7" t="str">
        <f t="shared" si="5"/>
        <v/>
      </c>
      <c r="P665" s="7">
        <f t="shared" si="613"/>
        <v>0</v>
      </c>
      <c r="Q665" s="7" t="str">
        <f t="shared" si="7"/>
        <v/>
      </c>
      <c r="T665" s="7"/>
    </row>
    <row r="666" ht="12.75" customHeight="1">
      <c r="A666" s="7">
        <v>665.0</v>
      </c>
      <c r="B666" s="7" t="s">
        <v>1718</v>
      </c>
      <c r="C666" s="7" t="s">
        <v>4830</v>
      </c>
      <c r="D666" s="7"/>
      <c r="E666" s="7"/>
      <c r="F666" s="7" t="s">
        <v>4851</v>
      </c>
      <c r="G666" s="7" t="s">
        <v>3930</v>
      </c>
      <c r="H666" s="7" t="s">
        <v>3908</v>
      </c>
      <c r="I666" s="7" t="s">
        <v>3890</v>
      </c>
      <c r="K666" s="7" t="str">
        <f t="shared" si="2"/>
        <v/>
      </c>
      <c r="L666" s="7" t="str">
        <f t="shared" si="3"/>
        <v/>
      </c>
      <c r="M666" s="7">
        <f t="shared" ref="M666:N666" si="676">IF(LEN(M$1),COUNTIF($G666:$I666,M$1),"")</f>
        <v>0</v>
      </c>
      <c r="N666" s="7" t="str">
        <f t="shared" si="676"/>
        <v/>
      </c>
      <c r="O666" s="7" t="str">
        <f t="shared" si="5"/>
        <v/>
      </c>
      <c r="P666" s="7">
        <f t="shared" si="613"/>
        <v>0</v>
      </c>
      <c r="Q666" s="7" t="str">
        <f t="shared" si="7"/>
        <v/>
      </c>
      <c r="T666" s="7"/>
    </row>
    <row r="667" ht="12.75" customHeight="1">
      <c r="A667" s="7">
        <v>666.0</v>
      </c>
      <c r="B667" s="7" t="s">
        <v>1778</v>
      </c>
      <c r="C667" s="7" t="s">
        <v>4837</v>
      </c>
      <c r="D667" s="7"/>
      <c r="E667" s="7"/>
      <c r="F667" s="7" t="s">
        <v>4851</v>
      </c>
      <c r="G667" s="7" t="s">
        <v>3880</v>
      </c>
      <c r="H667" s="7" t="s">
        <v>3739</v>
      </c>
      <c r="I667" s="7" t="s">
        <v>3804</v>
      </c>
      <c r="K667" s="7" t="str">
        <f t="shared" si="2"/>
        <v/>
      </c>
      <c r="L667" s="7" t="str">
        <f t="shared" si="3"/>
        <v/>
      </c>
      <c r="M667" s="7">
        <f t="shared" ref="M667:N667" si="677">IF(LEN(M$1),COUNTIF($G667:$I667,M$1),"")</f>
        <v>0</v>
      </c>
      <c r="N667" s="7" t="str">
        <f t="shared" si="677"/>
        <v/>
      </c>
      <c r="O667" s="7" t="str">
        <f t="shared" si="5"/>
        <v/>
      </c>
      <c r="P667" s="7">
        <f t="shared" si="613"/>
        <v>0</v>
      </c>
      <c r="Q667" s="7" t="str">
        <f t="shared" si="7"/>
        <v/>
      </c>
      <c r="T667" s="7"/>
    </row>
    <row r="668" ht="12.75" customHeight="1">
      <c r="A668" s="7">
        <v>667.0</v>
      </c>
      <c r="B668" s="7" t="s">
        <v>1549</v>
      </c>
      <c r="C668" s="7" t="s">
        <v>4814</v>
      </c>
      <c r="D668" s="7"/>
      <c r="E668" s="7"/>
      <c r="F668" s="7" t="s">
        <v>4851</v>
      </c>
      <c r="G668" s="7" t="s">
        <v>3773</v>
      </c>
      <c r="H668" s="7" t="s">
        <v>3878</v>
      </c>
      <c r="I668" s="7" t="s">
        <v>3892</v>
      </c>
      <c r="K668" s="7" t="str">
        <f t="shared" si="2"/>
        <v/>
      </c>
      <c r="L668" s="7" t="str">
        <f t="shared" si="3"/>
        <v/>
      </c>
      <c r="M668" s="7">
        <f t="shared" ref="M668:N668" si="678">IF(LEN(M$1),COUNTIF($G668:$I668,M$1),"")</f>
        <v>0</v>
      </c>
      <c r="N668" s="7" t="str">
        <f t="shared" si="678"/>
        <v/>
      </c>
      <c r="O668" s="7" t="str">
        <f t="shared" si="5"/>
        <v/>
      </c>
      <c r="P668" s="7">
        <f t="shared" si="613"/>
        <v>0</v>
      </c>
      <c r="Q668" s="7" t="str">
        <f t="shared" si="7"/>
        <v/>
      </c>
      <c r="T668" s="7"/>
    </row>
    <row r="669" ht="12.75" customHeight="1">
      <c r="A669" s="7">
        <v>668.0</v>
      </c>
      <c r="B669" s="7" t="s">
        <v>1095</v>
      </c>
      <c r="C669" s="7" t="s">
        <v>4837</v>
      </c>
      <c r="D669" s="7"/>
      <c r="E669" s="7"/>
      <c r="F669" s="7" t="s">
        <v>4851</v>
      </c>
      <c r="G669" s="7" t="s">
        <v>3942</v>
      </c>
      <c r="H669" s="7" t="s">
        <v>3927</v>
      </c>
      <c r="I669" s="7" t="s">
        <v>3878</v>
      </c>
      <c r="K669" s="7" t="str">
        <f t="shared" si="2"/>
        <v/>
      </c>
      <c r="L669" s="7" t="str">
        <f t="shared" si="3"/>
        <v/>
      </c>
      <c r="M669" s="7">
        <f t="shared" ref="M669:N669" si="679">IF(LEN(M$1),COUNTIF($G669:$I669,M$1),"")</f>
        <v>0</v>
      </c>
      <c r="N669" s="7" t="str">
        <f t="shared" si="679"/>
        <v/>
      </c>
      <c r="O669" s="7" t="str">
        <f t="shared" si="5"/>
        <v/>
      </c>
      <c r="P669" s="7">
        <f t="shared" si="613"/>
        <v>0</v>
      </c>
      <c r="Q669" s="7" t="str">
        <f t="shared" si="7"/>
        <v/>
      </c>
      <c r="T669" s="7"/>
    </row>
    <row r="670" ht="12.75" customHeight="1">
      <c r="A670" s="7">
        <v>669.0</v>
      </c>
      <c r="B670" s="7" t="s">
        <v>1800</v>
      </c>
      <c r="C670" s="7" t="s">
        <v>4841</v>
      </c>
      <c r="D670" s="7"/>
      <c r="E670" s="7"/>
      <c r="F670" s="7" t="s">
        <v>4851</v>
      </c>
      <c r="G670" s="7" t="s">
        <v>3887</v>
      </c>
      <c r="H670" s="7" t="s">
        <v>3932</v>
      </c>
      <c r="I670" s="7" t="s">
        <v>3858</v>
      </c>
      <c r="K670" s="7" t="str">
        <f t="shared" si="2"/>
        <v/>
      </c>
      <c r="L670" s="7" t="str">
        <f t="shared" si="3"/>
        <v/>
      </c>
      <c r="M670" s="7">
        <f t="shared" ref="M670:N670" si="680">IF(LEN(M$1),COUNTIF($G670:$I670,M$1),"")</f>
        <v>0</v>
      </c>
      <c r="N670" s="7" t="str">
        <f t="shared" si="680"/>
        <v/>
      </c>
      <c r="O670" s="7" t="str">
        <f t="shared" si="5"/>
        <v/>
      </c>
      <c r="P670" s="7">
        <f t="shared" si="613"/>
        <v>0</v>
      </c>
      <c r="Q670" s="7" t="str">
        <f t="shared" si="7"/>
        <v/>
      </c>
      <c r="T670" s="7"/>
    </row>
    <row r="671" ht="12.75" customHeight="1">
      <c r="A671" s="7">
        <v>670.0</v>
      </c>
      <c r="B671" s="7" t="s">
        <v>1510</v>
      </c>
      <c r="C671" s="7" t="s">
        <v>4756</v>
      </c>
      <c r="D671" s="7"/>
      <c r="E671" s="7"/>
      <c r="F671" s="7" t="s">
        <v>4851</v>
      </c>
      <c r="G671" s="7" t="s">
        <v>3895</v>
      </c>
      <c r="H671" s="7" t="s">
        <v>3941</v>
      </c>
      <c r="I671" s="7" t="s">
        <v>3913</v>
      </c>
      <c r="K671" s="7" t="str">
        <f t="shared" si="2"/>
        <v/>
      </c>
      <c r="L671" s="7" t="str">
        <f t="shared" si="3"/>
        <v/>
      </c>
      <c r="M671" s="7">
        <f t="shared" ref="M671:N671" si="681">IF(LEN(M$1),COUNTIF($G671:$I671,M$1),"")</f>
        <v>0</v>
      </c>
      <c r="N671" s="7" t="str">
        <f t="shared" si="681"/>
        <v/>
      </c>
      <c r="O671" s="7" t="str">
        <f t="shared" si="5"/>
        <v/>
      </c>
      <c r="P671" s="7">
        <f t="shared" si="613"/>
        <v>0</v>
      </c>
      <c r="Q671" s="7" t="str">
        <f t="shared" si="7"/>
        <v/>
      </c>
      <c r="T671" s="7"/>
    </row>
    <row r="672" ht="12.75" customHeight="1">
      <c r="A672" s="7">
        <v>671.0</v>
      </c>
      <c r="B672" s="7" t="s">
        <v>1653</v>
      </c>
      <c r="C672" s="7" t="s">
        <v>4775</v>
      </c>
      <c r="D672" s="7"/>
      <c r="E672" s="7"/>
      <c r="F672" s="7" t="s">
        <v>4851</v>
      </c>
      <c r="G672" s="7" t="s">
        <v>3866</v>
      </c>
      <c r="H672" s="7" t="s">
        <v>3831</v>
      </c>
      <c r="I672" s="7" t="s">
        <v>3746</v>
      </c>
      <c r="K672" s="7" t="str">
        <f t="shared" si="2"/>
        <v/>
      </c>
      <c r="L672" s="7" t="str">
        <f t="shared" si="3"/>
        <v/>
      </c>
      <c r="M672" s="7">
        <f t="shared" ref="M672:N672" si="682">IF(LEN(M$1),COUNTIF($G672:$I672,M$1),"")</f>
        <v>0</v>
      </c>
      <c r="N672" s="7" t="str">
        <f t="shared" si="682"/>
        <v/>
      </c>
      <c r="O672" s="7" t="str">
        <f t="shared" si="5"/>
        <v/>
      </c>
      <c r="P672" s="7">
        <f t="shared" si="613"/>
        <v>0</v>
      </c>
      <c r="Q672" s="7" t="str">
        <f t="shared" si="7"/>
        <v/>
      </c>
      <c r="T672" s="7"/>
    </row>
    <row r="673" ht="12.75" customHeight="1">
      <c r="A673" s="7">
        <v>672.0</v>
      </c>
      <c r="B673" s="7" t="s">
        <v>1518</v>
      </c>
      <c r="C673" s="7" t="s">
        <v>4809</v>
      </c>
      <c r="D673" s="7"/>
      <c r="E673" s="7"/>
      <c r="F673" s="7" t="s">
        <v>4851</v>
      </c>
      <c r="G673" s="7" t="s">
        <v>3806</v>
      </c>
      <c r="H673" s="7" t="s">
        <v>3956</v>
      </c>
      <c r="I673" s="7" t="s">
        <v>3860</v>
      </c>
      <c r="K673" s="7" t="str">
        <f t="shared" si="2"/>
        <v/>
      </c>
      <c r="L673" s="7" t="str">
        <f t="shared" si="3"/>
        <v/>
      </c>
      <c r="M673" s="7">
        <f t="shared" ref="M673:N673" si="683">IF(LEN(M$1),COUNTIF($G673:$I673,M$1),"")</f>
        <v>0</v>
      </c>
      <c r="N673" s="7" t="str">
        <f t="shared" si="683"/>
        <v/>
      </c>
      <c r="O673" s="7" t="str">
        <f t="shared" si="5"/>
        <v/>
      </c>
      <c r="P673" s="7">
        <f t="shared" si="613"/>
        <v>0</v>
      </c>
      <c r="Q673" s="7" t="str">
        <f t="shared" si="7"/>
        <v/>
      </c>
      <c r="T673" s="7"/>
    </row>
    <row r="674" ht="12.75" customHeight="1">
      <c r="A674" s="7">
        <v>673.0</v>
      </c>
      <c r="B674" s="7" t="s">
        <v>329</v>
      </c>
      <c r="C674" s="7" t="s">
        <v>4845</v>
      </c>
      <c r="D674" s="7"/>
      <c r="E674" s="7"/>
      <c r="F674" s="7" t="s">
        <v>4851</v>
      </c>
      <c r="G674" s="7" t="s">
        <v>3892</v>
      </c>
      <c r="H674" s="7" t="s">
        <v>3916</v>
      </c>
      <c r="I674" s="7" t="s">
        <v>3875</v>
      </c>
      <c r="K674" s="7" t="str">
        <f t="shared" si="2"/>
        <v/>
      </c>
      <c r="L674" s="7" t="str">
        <f t="shared" si="3"/>
        <v/>
      </c>
      <c r="M674" s="7">
        <f t="shared" ref="M674:N674" si="684">IF(LEN(M$1),COUNTIF($G674:$I674,M$1),"")</f>
        <v>0</v>
      </c>
      <c r="N674" s="7" t="str">
        <f t="shared" si="684"/>
        <v/>
      </c>
      <c r="O674" s="7" t="str">
        <f t="shared" si="5"/>
        <v/>
      </c>
      <c r="P674" s="7">
        <f t="shared" si="613"/>
        <v>0</v>
      </c>
      <c r="Q674" s="7" t="str">
        <f t="shared" si="7"/>
        <v/>
      </c>
      <c r="T674" s="7"/>
    </row>
    <row r="675" ht="12.75" customHeight="1">
      <c r="A675" s="7">
        <v>674.0</v>
      </c>
      <c r="B675" s="7" t="s">
        <v>1453</v>
      </c>
      <c r="C675" s="7" t="s">
        <v>4791</v>
      </c>
      <c r="D675" s="7"/>
      <c r="E675" s="7"/>
      <c r="F675" s="7" t="s">
        <v>4851</v>
      </c>
      <c r="G675" s="7" t="s">
        <v>3872</v>
      </c>
      <c r="H675" s="7" t="s">
        <v>3880</v>
      </c>
      <c r="I675" s="7" t="s">
        <v>3862</v>
      </c>
      <c r="K675" s="7" t="str">
        <f t="shared" si="2"/>
        <v/>
      </c>
      <c r="L675" s="7" t="str">
        <f t="shared" si="3"/>
        <v/>
      </c>
      <c r="M675" s="7">
        <f t="shared" ref="M675:N675" si="685">IF(LEN(M$1),COUNTIF($G675:$I675,M$1),"")</f>
        <v>0</v>
      </c>
      <c r="N675" s="7" t="str">
        <f t="shared" si="685"/>
        <v/>
      </c>
      <c r="O675" s="7" t="str">
        <f t="shared" si="5"/>
        <v/>
      </c>
      <c r="P675" s="7">
        <f t="shared" si="613"/>
        <v>0</v>
      </c>
      <c r="Q675" s="7" t="str">
        <f t="shared" si="7"/>
        <v/>
      </c>
      <c r="T675" s="7"/>
    </row>
    <row r="676" ht="12.75" customHeight="1">
      <c r="A676" s="7">
        <v>675.0</v>
      </c>
      <c r="B676" s="7" t="s">
        <v>1614</v>
      </c>
      <c r="C676" s="7" t="s">
        <v>4743</v>
      </c>
      <c r="D676" s="7"/>
      <c r="E676" s="7"/>
      <c r="F676" s="7" t="s">
        <v>4851</v>
      </c>
      <c r="G676" s="7" t="s">
        <v>3944</v>
      </c>
      <c r="H676" s="7" t="s">
        <v>3901</v>
      </c>
      <c r="I676" s="7" t="s">
        <v>3916</v>
      </c>
      <c r="K676" s="7" t="str">
        <f t="shared" si="2"/>
        <v/>
      </c>
      <c r="L676" s="7" t="str">
        <f t="shared" si="3"/>
        <v/>
      </c>
      <c r="M676" s="7">
        <f t="shared" ref="M676:N676" si="686">IF(LEN(M$1),COUNTIF($G676:$I676,M$1),"")</f>
        <v>0</v>
      </c>
      <c r="N676" s="7" t="str">
        <f t="shared" si="686"/>
        <v/>
      </c>
      <c r="O676" s="7" t="str">
        <f t="shared" si="5"/>
        <v/>
      </c>
      <c r="P676" s="7">
        <f t="shared" si="613"/>
        <v>0</v>
      </c>
      <c r="Q676" s="7" t="str">
        <f t="shared" si="7"/>
        <v/>
      </c>
      <c r="T676" s="7"/>
    </row>
    <row r="677" ht="12.75" customHeight="1">
      <c r="A677" s="7">
        <v>676.0</v>
      </c>
      <c r="B677" s="7" t="s">
        <v>1828</v>
      </c>
      <c r="C677" s="7" t="s">
        <v>4852</v>
      </c>
      <c r="D677" s="7"/>
      <c r="E677" s="7"/>
      <c r="F677" s="7" t="s">
        <v>4851</v>
      </c>
      <c r="G677" s="7" t="s">
        <v>3915</v>
      </c>
      <c r="H677" s="7" t="s">
        <v>3731</v>
      </c>
      <c r="I677" s="7" t="s">
        <v>3829</v>
      </c>
      <c r="K677" s="7" t="str">
        <f t="shared" si="2"/>
        <v/>
      </c>
      <c r="L677" s="7" t="str">
        <f t="shared" si="3"/>
        <v/>
      </c>
      <c r="M677" s="7">
        <f t="shared" ref="M677:N677" si="687">IF(LEN(M$1),COUNTIF($G677:$I677,M$1),"")</f>
        <v>0</v>
      </c>
      <c r="N677" s="7" t="str">
        <f t="shared" si="687"/>
        <v/>
      </c>
      <c r="O677" s="7" t="str">
        <f t="shared" si="5"/>
        <v/>
      </c>
      <c r="P677" s="7">
        <f t="shared" si="613"/>
        <v>0</v>
      </c>
      <c r="Q677" s="7" t="str">
        <f t="shared" si="7"/>
        <v/>
      </c>
      <c r="T677" s="7"/>
    </row>
    <row r="678" ht="12.75" customHeight="1">
      <c r="A678" s="7">
        <v>677.0</v>
      </c>
      <c r="B678" s="7" t="s">
        <v>1375</v>
      </c>
      <c r="C678" s="7" t="s">
        <v>4848</v>
      </c>
      <c r="D678" s="7"/>
      <c r="E678" s="7"/>
      <c r="F678" s="7" t="s">
        <v>4851</v>
      </c>
      <c r="G678" s="7" t="s">
        <v>3775</v>
      </c>
      <c r="H678" s="7" t="s">
        <v>3928</v>
      </c>
      <c r="I678" s="7" t="s">
        <v>3944</v>
      </c>
      <c r="K678" s="7" t="str">
        <f t="shared" si="2"/>
        <v/>
      </c>
      <c r="L678" s="7" t="str">
        <f t="shared" si="3"/>
        <v/>
      </c>
      <c r="M678" s="7">
        <f t="shared" ref="M678:N678" si="688">IF(LEN(M$1),COUNTIF($G678:$I678,M$1),"")</f>
        <v>0</v>
      </c>
      <c r="N678" s="7" t="str">
        <f t="shared" si="688"/>
        <v/>
      </c>
      <c r="O678" s="7" t="str">
        <f t="shared" si="5"/>
        <v/>
      </c>
      <c r="P678" s="7">
        <f t="shared" si="613"/>
        <v>0</v>
      </c>
      <c r="Q678" s="7" t="str">
        <f t="shared" si="7"/>
        <v/>
      </c>
      <c r="T678" s="7"/>
    </row>
    <row r="679" ht="12.75" customHeight="1">
      <c r="A679" s="7">
        <v>678.0</v>
      </c>
      <c r="B679" s="7" t="s">
        <v>547</v>
      </c>
      <c r="C679" s="7" t="s">
        <v>4845</v>
      </c>
      <c r="D679" s="7"/>
      <c r="E679" s="7"/>
      <c r="F679" s="7" t="s">
        <v>4851</v>
      </c>
      <c r="G679" s="7" t="s">
        <v>3956</v>
      </c>
      <c r="H679" s="7" t="s">
        <v>3868</v>
      </c>
      <c r="I679" s="7" t="s">
        <v>3925</v>
      </c>
      <c r="K679" s="7" t="str">
        <f t="shared" si="2"/>
        <v/>
      </c>
      <c r="L679" s="7" t="str">
        <f t="shared" si="3"/>
        <v/>
      </c>
      <c r="M679" s="7">
        <f t="shared" ref="M679:N679" si="689">IF(LEN(M$1),COUNTIF($G679:$I679,M$1),"")</f>
        <v>0</v>
      </c>
      <c r="N679" s="7" t="str">
        <f t="shared" si="689"/>
        <v/>
      </c>
      <c r="O679" s="7" t="str">
        <f t="shared" si="5"/>
        <v/>
      </c>
      <c r="P679" s="7">
        <f t="shared" si="613"/>
        <v>0</v>
      </c>
      <c r="Q679" s="7" t="str">
        <f t="shared" si="7"/>
        <v/>
      </c>
      <c r="T679" s="7"/>
    </row>
    <row r="680" ht="12.75" customHeight="1">
      <c r="A680" s="7">
        <v>679.0</v>
      </c>
      <c r="B680" s="7" t="s">
        <v>1857</v>
      </c>
      <c r="C680" s="7" t="s">
        <v>4839</v>
      </c>
      <c r="D680" s="7"/>
      <c r="E680" s="7"/>
      <c r="F680" s="7" t="s">
        <v>4851</v>
      </c>
      <c r="G680" s="7" t="s">
        <v>3940</v>
      </c>
      <c r="H680" s="7" t="s">
        <v>3862</v>
      </c>
      <c r="I680" s="7" t="s">
        <v>3956</v>
      </c>
      <c r="K680" s="7" t="str">
        <f t="shared" si="2"/>
        <v/>
      </c>
      <c r="L680" s="7" t="str">
        <f t="shared" si="3"/>
        <v/>
      </c>
      <c r="M680" s="7">
        <f t="shared" ref="M680:N680" si="690">IF(LEN(M$1),COUNTIF($G680:$I680,M$1),"")</f>
        <v>0</v>
      </c>
      <c r="N680" s="7" t="str">
        <f t="shared" si="690"/>
        <v/>
      </c>
      <c r="O680" s="7" t="str">
        <f t="shared" si="5"/>
        <v/>
      </c>
      <c r="P680" s="7">
        <f t="shared" si="613"/>
        <v>0</v>
      </c>
      <c r="Q680" s="7" t="str">
        <f t="shared" si="7"/>
        <v/>
      </c>
      <c r="T680" s="7"/>
    </row>
    <row r="681" ht="12.75" customHeight="1">
      <c r="A681" s="7">
        <v>680.0</v>
      </c>
      <c r="B681" s="7" t="s">
        <v>1622</v>
      </c>
      <c r="C681" s="7" t="s">
        <v>4756</v>
      </c>
      <c r="D681" s="7"/>
      <c r="E681" s="7"/>
      <c r="F681" s="7" t="s">
        <v>4851</v>
      </c>
      <c r="G681" s="7" t="s">
        <v>3946</v>
      </c>
      <c r="H681" s="7" t="s">
        <v>3928</v>
      </c>
      <c r="I681" s="7" t="s">
        <v>3862</v>
      </c>
      <c r="K681" s="7" t="str">
        <f t="shared" si="2"/>
        <v/>
      </c>
      <c r="L681" s="7" t="str">
        <f t="shared" si="3"/>
        <v/>
      </c>
      <c r="M681" s="7">
        <f t="shared" ref="M681:N681" si="691">IF(LEN(M$1),COUNTIF($G681:$I681,M$1),"")</f>
        <v>0</v>
      </c>
      <c r="N681" s="7" t="str">
        <f t="shared" si="691"/>
        <v/>
      </c>
      <c r="O681" s="7" t="str">
        <f t="shared" si="5"/>
        <v/>
      </c>
      <c r="P681" s="7">
        <f t="shared" si="613"/>
        <v>0</v>
      </c>
      <c r="Q681" s="7" t="str">
        <f t="shared" si="7"/>
        <v/>
      </c>
      <c r="T681" s="7"/>
    </row>
    <row r="682" ht="12.75" customHeight="1">
      <c r="A682" s="7">
        <v>681.0</v>
      </c>
      <c r="B682" s="7" t="s">
        <v>1820</v>
      </c>
      <c r="C682" s="7" t="s">
        <v>4846</v>
      </c>
      <c r="D682" s="7"/>
      <c r="E682" s="7"/>
      <c r="F682" s="7" t="s">
        <v>4851</v>
      </c>
      <c r="G682" s="7" t="s">
        <v>3875</v>
      </c>
      <c r="H682" s="7" t="s">
        <v>3823</v>
      </c>
      <c r="I682" s="7" t="s">
        <v>3850</v>
      </c>
      <c r="K682" s="7" t="str">
        <f t="shared" si="2"/>
        <v/>
      </c>
      <c r="L682" s="7" t="str">
        <f t="shared" si="3"/>
        <v/>
      </c>
      <c r="M682" s="7">
        <f t="shared" ref="M682:N682" si="692">IF(LEN(M$1),COUNTIF($G682:$I682,M$1),"")</f>
        <v>0</v>
      </c>
      <c r="N682" s="7" t="str">
        <f t="shared" si="692"/>
        <v/>
      </c>
      <c r="O682" s="7" t="str">
        <f t="shared" si="5"/>
        <v/>
      </c>
      <c r="P682" s="7">
        <f t="shared" si="613"/>
        <v>0</v>
      </c>
      <c r="Q682" s="7" t="str">
        <f t="shared" si="7"/>
        <v/>
      </c>
      <c r="T682" s="7"/>
    </row>
    <row r="683" ht="12.75" customHeight="1">
      <c r="A683" s="7">
        <v>682.0</v>
      </c>
      <c r="B683" s="7" t="s">
        <v>1556</v>
      </c>
      <c r="C683" s="7" t="s">
        <v>4814</v>
      </c>
      <c r="D683" s="7"/>
      <c r="E683" s="7"/>
      <c r="F683" s="7" t="s">
        <v>4851</v>
      </c>
      <c r="G683" s="7" t="s">
        <v>3746</v>
      </c>
      <c r="H683" s="7" t="s">
        <v>3913</v>
      </c>
      <c r="I683" s="7" t="s">
        <v>3953</v>
      </c>
      <c r="K683" s="7" t="str">
        <f t="shared" si="2"/>
        <v/>
      </c>
      <c r="L683" s="7" t="str">
        <f t="shared" si="3"/>
        <v/>
      </c>
      <c r="M683" s="7">
        <f t="shared" ref="M683:N683" si="693">IF(LEN(M$1),COUNTIF($G683:$I683,M$1),"")</f>
        <v>0</v>
      </c>
      <c r="N683" s="7" t="str">
        <f t="shared" si="693"/>
        <v/>
      </c>
      <c r="O683" s="7" t="str">
        <f t="shared" si="5"/>
        <v/>
      </c>
      <c r="P683" s="7">
        <f t="shared" si="613"/>
        <v>0</v>
      </c>
      <c r="Q683" s="7" t="str">
        <f t="shared" si="7"/>
        <v/>
      </c>
      <c r="T683" s="7"/>
    </row>
    <row r="684" ht="12.75" customHeight="1">
      <c r="A684" s="7">
        <v>683.0</v>
      </c>
      <c r="B684" s="7" t="s">
        <v>1911</v>
      </c>
      <c r="C684" s="7" t="s">
        <v>2659</v>
      </c>
      <c r="D684" s="7"/>
      <c r="E684" s="7"/>
      <c r="F684" s="7" t="s">
        <v>4851</v>
      </c>
      <c r="G684" s="7" t="s">
        <v>3915</v>
      </c>
      <c r="H684" s="7" t="s">
        <v>3899</v>
      </c>
      <c r="I684" s="7" t="s">
        <v>3868</v>
      </c>
      <c r="K684" s="7" t="str">
        <f t="shared" si="2"/>
        <v/>
      </c>
      <c r="L684" s="7" t="str">
        <f t="shared" si="3"/>
        <v/>
      </c>
      <c r="M684" s="7">
        <f t="shared" ref="M684:N684" si="694">IF(LEN(M$1),COUNTIF($G684:$I684,M$1),"")</f>
        <v>0</v>
      </c>
      <c r="N684" s="7" t="str">
        <f t="shared" si="694"/>
        <v/>
      </c>
      <c r="O684" s="7" t="str">
        <f t="shared" si="5"/>
        <v/>
      </c>
      <c r="P684" s="7">
        <f t="shared" si="613"/>
        <v>0</v>
      </c>
      <c r="Q684" s="7" t="str">
        <f t="shared" si="7"/>
        <v/>
      </c>
      <c r="T684" s="7"/>
    </row>
    <row r="685" ht="12.75" customHeight="1">
      <c r="A685" s="7">
        <v>684.0</v>
      </c>
      <c r="B685" s="7" t="s">
        <v>1748</v>
      </c>
      <c r="C685" s="7" t="s">
        <v>4837</v>
      </c>
      <c r="D685" s="7"/>
      <c r="E685" s="7"/>
      <c r="F685" s="7" t="s">
        <v>4851</v>
      </c>
      <c r="G685" s="7" t="s">
        <v>3892</v>
      </c>
      <c r="H685" s="7" t="s">
        <v>3927</v>
      </c>
      <c r="I685" s="7" t="s">
        <v>3901</v>
      </c>
      <c r="K685" s="7" t="str">
        <f t="shared" si="2"/>
        <v/>
      </c>
      <c r="L685" s="7" t="str">
        <f t="shared" si="3"/>
        <v/>
      </c>
      <c r="M685" s="7">
        <f t="shared" ref="M685:N685" si="695">IF(LEN(M$1),COUNTIF($G685:$I685,M$1),"")</f>
        <v>0</v>
      </c>
      <c r="N685" s="7" t="str">
        <f t="shared" si="695"/>
        <v/>
      </c>
      <c r="O685" s="7" t="str">
        <f t="shared" si="5"/>
        <v/>
      </c>
      <c r="P685" s="7">
        <f t="shared" si="613"/>
        <v>0</v>
      </c>
      <c r="Q685" s="7" t="str">
        <f t="shared" si="7"/>
        <v/>
      </c>
      <c r="T685" s="7"/>
    </row>
    <row r="686" ht="12.75" customHeight="1">
      <c r="A686" s="7">
        <v>685.0</v>
      </c>
      <c r="B686" s="7" t="s">
        <v>1786</v>
      </c>
      <c r="C686" s="7" t="s">
        <v>4845</v>
      </c>
      <c r="D686" s="7"/>
      <c r="E686" s="7"/>
      <c r="F686" s="7" t="s">
        <v>4851</v>
      </c>
      <c r="G686" s="7" t="s">
        <v>3911</v>
      </c>
      <c r="H686" s="7" t="s">
        <v>3946</v>
      </c>
      <c r="I686" s="7" t="s">
        <v>3860</v>
      </c>
      <c r="K686" s="7" t="str">
        <f t="shared" si="2"/>
        <v/>
      </c>
      <c r="L686" s="7" t="str">
        <f t="shared" si="3"/>
        <v/>
      </c>
      <c r="M686" s="7">
        <f t="shared" ref="M686:N686" si="696">IF(LEN(M$1),COUNTIF($G686:$I686,M$1),"")</f>
        <v>0</v>
      </c>
      <c r="N686" s="7" t="str">
        <f t="shared" si="696"/>
        <v/>
      </c>
      <c r="O686" s="7" t="str">
        <f t="shared" si="5"/>
        <v/>
      </c>
      <c r="P686" s="7">
        <f t="shared" si="613"/>
        <v>0</v>
      </c>
      <c r="Q686" s="7" t="str">
        <f t="shared" si="7"/>
        <v/>
      </c>
      <c r="T686" s="7"/>
    </row>
    <row r="687" ht="12.75" customHeight="1">
      <c r="A687" s="7">
        <v>686.0</v>
      </c>
      <c r="B687" s="7" t="s">
        <v>1813</v>
      </c>
      <c r="C687" s="7" t="s">
        <v>4846</v>
      </c>
      <c r="D687" s="7"/>
      <c r="E687" s="7"/>
      <c r="F687" s="7" t="s">
        <v>4851</v>
      </c>
      <c r="G687" s="7" t="s">
        <v>3906</v>
      </c>
      <c r="H687" s="7" t="s">
        <v>3850</v>
      </c>
      <c r="I687" s="7" t="s">
        <v>3815</v>
      </c>
      <c r="K687" s="7" t="str">
        <f t="shared" si="2"/>
        <v/>
      </c>
      <c r="L687" s="7" t="str">
        <f t="shared" si="3"/>
        <v/>
      </c>
      <c r="M687" s="7">
        <f t="shared" ref="M687:N687" si="697">IF(LEN(M$1),COUNTIF($G687:$I687,M$1),"")</f>
        <v>0</v>
      </c>
      <c r="N687" s="7" t="str">
        <f t="shared" si="697"/>
        <v/>
      </c>
      <c r="O687" s="7" t="str">
        <f t="shared" si="5"/>
        <v/>
      </c>
      <c r="P687" s="7">
        <f t="shared" si="613"/>
        <v>0</v>
      </c>
      <c r="Q687" s="7" t="str">
        <f t="shared" si="7"/>
        <v/>
      </c>
      <c r="T687" s="7"/>
    </row>
    <row r="688" ht="12.75" customHeight="1">
      <c r="A688" s="7">
        <v>687.0</v>
      </c>
      <c r="B688" s="7" t="s">
        <v>1445</v>
      </c>
      <c r="C688" s="7" t="s">
        <v>4815</v>
      </c>
      <c r="D688" s="7"/>
      <c r="E688" s="7"/>
      <c r="F688" s="7" t="s">
        <v>4851</v>
      </c>
      <c r="G688" s="7" t="s">
        <v>3785</v>
      </c>
      <c r="H688" s="7" t="s">
        <v>3860</v>
      </c>
      <c r="I688" s="7" t="s">
        <v>3902</v>
      </c>
      <c r="K688" s="7" t="str">
        <f t="shared" si="2"/>
        <v/>
      </c>
      <c r="L688" s="7" t="str">
        <f t="shared" si="3"/>
        <v/>
      </c>
      <c r="M688" s="7">
        <f t="shared" ref="M688:N688" si="698">IF(LEN(M$1),COUNTIF($G688:$I688,M$1),"")</f>
        <v>0</v>
      </c>
      <c r="N688" s="7" t="str">
        <f t="shared" si="698"/>
        <v/>
      </c>
      <c r="O688" s="7" t="str">
        <f t="shared" si="5"/>
        <v/>
      </c>
      <c r="P688" s="7">
        <f t="shared" si="613"/>
        <v>0</v>
      </c>
      <c r="Q688" s="7" t="str">
        <f t="shared" si="7"/>
        <v/>
      </c>
      <c r="T688" s="7"/>
    </row>
    <row r="689" ht="12.75" customHeight="1">
      <c r="A689" s="7">
        <v>688.0</v>
      </c>
      <c r="B689" s="7" t="s">
        <v>1835</v>
      </c>
      <c r="C689" s="7" t="s">
        <v>4852</v>
      </c>
      <c r="D689" s="7"/>
      <c r="E689" s="7"/>
      <c r="F689" s="7" t="s">
        <v>4851</v>
      </c>
      <c r="G689" s="7" t="s">
        <v>3915</v>
      </c>
      <c r="H689" s="7" t="s">
        <v>3906</v>
      </c>
      <c r="I689" s="7" t="s">
        <v>3868</v>
      </c>
      <c r="K689" s="7" t="str">
        <f t="shared" si="2"/>
        <v/>
      </c>
      <c r="L689" s="7" t="str">
        <f t="shared" si="3"/>
        <v/>
      </c>
      <c r="M689" s="7">
        <f t="shared" ref="M689:N689" si="699">IF(LEN(M$1),COUNTIF($G689:$I689,M$1),"")</f>
        <v>0</v>
      </c>
      <c r="N689" s="7" t="str">
        <f t="shared" si="699"/>
        <v/>
      </c>
      <c r="O689" s="7" t="str">
        <f t="shared" si="5"/>
        <v/>
      </c>
      <c r="P689" s="7">
        <f t="shared" si="613"/>
        <v>0</v>
      </c>
      <c r="Q689" s="7" t="str">
        <f t="shared" si="7"/>
        <v/>
      </c>
      <c r="T689" s="7"/>
    </row>
    <row r="690" ht="12.75" customHeight="1">
      <c r="A690" s="7">
        <v>689.0</v>
      </c>
      <c r="B690" s="7" t="s">
        <v>1820</v>
      </c>
      <c r="C690" s="7" t="s">
        <v>4846</v>
      </c>
      <c r="D690" s="7"/>
      <c r="E690" s="7"/>
      <c r="F690" s="7" t="s">
        <v>4851</v>
      </c>
      <c r="G690" s="7" t="s">
        <v>3875</v>
      </c>
      <c r="H690" s="7" t="s">
        <v>3892</v>
      </c>
      <c r="I690" s="7" t="s">
        <v>3941</v>
      </c>
      <c r="K690" s="7" t="str">
        <f t="shared" si="2"/>
        <v/>
      </c>
      <c r="L690" s="7" t="str">
        <f t="shared" si="3"/>
        <v/>
      </c>
      <c r="M690" s="7">
        <f t="shared" ref="M690:N690" si="700">IF(LEN(M$1),COUNTIF($G690:$I690,M$1),"")</f>
        <v>0</v>
      </c>
      <c r="N690" s="7" t="str">
        <f t="shared" si="700"/>
        <v/>
      </c>
      <c r="O690" s="7" t="str">
        <f t="shared" si="5"/>
        <v/>
      </c>
      <c r="P690" s="7">
        <f t="shared" si="613"/>
        <v>0</v>
      </c>
      <c r="Q690" s="7" t="str">
        <f t="shared" si="7"/>
        <v/>
      </c>
      <c r="T690" s="7"/>
    </row>
    <row r="691" ht="12.75" customHeight="1">
      <c r="A691" s="7">
        <v>690.0</v>
      </c>
      <c r="B691" s="7" t="s">
        <v>547</v>
      </c>
      <c r="C691" s="7" t="s">
        <v>4845</v>
      </c>
      <c r="D691" s="7"/>
      <c r="E691" s="7"/>
      <c r="F691" s="7" t="s">
        <v>4851</v>
      </c>
      <c r="G691" s="7" t="s">
        <v>3904</v>
      </c>
      <c r="H691" s="7" t="s">
        <v>3948</v>
      </c>
      <c r="I691" s="7" t="s">
        <v>3897</v>
      </c>
      <c r="K691" s="7" t="str">
        <f t="shared" si="2"/>
        <v/>
      </c>
      <c r="L691" s="7" t="str">
        <f t="shared" si="3"/>
        <v/>
      </c>
      <c r="M691" s="7">
        <f t="shared" ref="M691:N691" si="701">IF(LEN(M$1),COUNTIF($G691:$I691,M$1),"")</f>
        <v>0</v>
      </c>
      <c r="N691" s="7" t="str">
        <f t="shared" si="701"/>
        <v/>
      </c>
      <c r="O691" s="7" t="str">
        <f t="shared" si="5"/>
        <v/>
      </c>
      <c r="P691" s="7">
        <f t="shared" si="613"/>
        <v>0</v>
      </c>
      <c r="Q691" s="7" t="str">
        <f t="shared" si="7"/>
        <v/>
      </c>
      <c r="T691" s="7"/>
    </row>
    <row r="692" ht="12.75" customHeight="1">
      <c r="A692" s="7">
        <v>691.0</v>
      </c>
      <c r="B692" s="7" t="s">
        <v>1761</v>
      </c>
      <c r="C692" s="7" t="s">
        <v>4845</v>
      </c>
      <c r="D692" s="7"/>
      <c r="E692" s="7"/>
      <c r="F692" s="7" t="s">
        <v>4851</v>
      </c>
      <c r="G692" s="7" t="s">
        <v>3880</v>
      </c>
      <c r="H692" s="7" t="s">
        <v>3766</v>
      </c>
      <c r="I692" s="7" t="s">
        <v>3750</v>
      </c>
      <c r="K692" s="7" t="str">
        <f t="shared" si="2"/>
        <v/>
      </c>
      <c r="L692" s="7" t="str">
        <f t="shared" si="3"/>
        <v/>
      </c>
      <c r="M692" s="7">
        <f t="shared" ref="M692:N692" si="702">IF(LEN(M$1),COUNTIF($G692:$I692,M$1),"")</f>
        <v>0</v>
      </c>
      <c r="N692" s="7" t="str">
        <f t="shared" si="702"/>
        <v/>
      </c>
      <c r="O692" s="7" t="str">
        <f t="shared" si="5"/>
        <v/>
      </c>
      <c r="P692" s="7">
        <f t="shared" si="613"/>
        <v>0</v>
      </c>
      <c r="Q692" s="7" t="str">
        <f t="shared" si="7"/>
        <v/>
      </c>
      <c r="T692" s="7"/>
    </row>
    <row r="693" ht="12.75" customHeight="1">
      <c r="A693" s="7">
        <v>692.0</v>
      </c>
      <c r="B693" s="7" t="s">
        <v>1864</v>
      </c>
      <c r="C693" s="7" t="s">
        <v>4839</v>
      </c>
      <c r="D693" s="7"/>
      <c r="E693" s="7"/>
      <c r="F693" s="7" t="s">
        <v>4851</v>
      </c>
      <c r="G693" s="7" t="s">
        <v>3796</v>
      </c>
      <c r="H693" s="7" t="s">
        <v>3899</v>
      </c>
      <c r="I693" s="7" t="s">
        <v>3913</v>
      </c>
      <c r="K693" s="7" t="str">
        <f t="shared" si="2"/>
        <v/>
      </c>
      <c r="L693" s="7" t="str">
        <f t="shared" si="3"/>
        <v/>
      </c>
      <c r="M693" s="7">
        <f t="shared" ref="M693:N693" si="703">IF(LEN(M$1),COUNTIF($G693:$I693,M$1),"")</f>
        <v>0</v>
      </c>
      <c r="N693" s="7" t="str">
        <f t="shared" si="703"/>
        <v/>
      </c>
      <c r="O693" s="7" t="str">
        <f t="shared" si="5"/>
        <v/>
      </c>
      <c r="P693" s="7">
        <f t="shared" si="613"/>
        <v>0</v>
      </c>
      <c r="Q693" s="7" t="str">
        <f t="shared" si="7"/>
        <v/>
      </c>
      <c r="T693" s="7"/>
    </row>
    <row r="694" ht="12.75" customHeight="1">
      <c r="A694" s="7">
        <v>693.0</v>
      </c>
      <c r="B694" s="7" t="s">
        <v>1593</v>
      </c>
      <c r="C694" s="7" t="s">
        <v>4740</v>
      </c>
      <c r="D694" s="7"/>
      <c r="E694" s="7"/>
      <c r="F694" s="7" t="s">
        <v>4851</v>
      </c>
      <c r="G694" s="7" t="s">
        <v>3925</v>
      </c>
      <c r="H694" s="7" t="s">
        <v>3935</v>
      </c>
      <c r="I694" s="7" t="s">
        <v>3913</v>
      </c>
      <c r="K694" s="7" t="str">
        <f t="shared" si="2"/>
        <v/>
      </c>
      <c r="L694" s="7" t="str">
        <f t="shared" si="3"/>
        <v/>
      </c>
      <c r="M694" s="7">
        <f t="shared" ref="M694:N694" si="704">IF(LEN(M$1),COUNTIF($G694:$I694,M$1),"")</f>
        <v>0</v>
      </c>
      <c r="N694" s="7" t="str">
        <f t="shared" si="704"/>
        <v/>
      </c>
      <c r="O694" s="7" t="str">
        <f t="shared" si="5"/>
        <v/>
      </c>
      <c r="P694" s="7">
        <f t="shared" si="613"/>
        <v>0</v>
      </c>
      <c r="Q694" s="7" t="str">
        <f t="shared" si="7"/>
        <v/>
      </c>
      <c r="T694" s="7"/>
    </row>
    <row r="695" ht="12.75" customHeight="1">
      <c r="A695" s="7">
        <v>694.0</v>
      </c>
      <c r="B695" s="7" t="s">
        <v>1645</v>
      </c>
      <c r="C695" s="7" t="s">
        <v>4758</v>
      </c>
      <c r="D695" s="7"/>
      <c r="E695" s="7"/>
      <c r="F695" s="7" t="s">
        <v>4851</v>
      </c>
      <c r="G695" s="7" t="s">
        <v>3953</v>
      </c>
      <c r="H695" s="7" t="s">
        <v>3927</v>
      </c>
      <c r="I695" s="7" t="s">
        <v>3913</v>
      </c>
      <c r="K695" s="7" t="str">
        <f t="shared" si="2"/>
        <v/>
      </c>
      <c r="L695" s="7" t="str">
        <f t="shared" si="3"/>
        <v/>
      </c>
      <c r="M695" s="7">
        <f t="shared" ref="M695:N695" si="705">IF(LEN(M$1),COUNTIF($G695:$I695,M$1),"")</f>
        <v>0</v>
      </c>
      <c r="N695" s="7" t="str">
        <f t="shared" si="705"/>
        <v/>
      </c>
      <c r="O695" s="7" t="str">
        <f t="shared" si="5"/>
        <v/>
      </c>
      <c r="P695" s="7">
        <f t="shared" si="613"/>
        <v>0</v>
      </c>
      <c r="Q695" s="7" t="str">
        <f t="shared" si="7"/>
        <v/>
      </c>
      <c r="T695" s="7"/>
    </row>
    <row r="696" ht="12.75" customHeight="1">
      <c r="A696" s="7">
        <v>695.0</v>
      </c>
      <c r="B696" s="7" t="s">
        <v>1570</v>
      </c>
      <c r="C696" s="7" t="s">
        <v>4850</v>
      </c>
      <c r="D696" s="7"/>
      <c r="E696" s="7"/>
      <c r="F696" s="7" t="s">
        <v>4851</v>
      </c>
      <c r="G696" s="7" t="s">
        <v>3872</v>
      </c>
      <c r="H696" s="7" t="s">
        <v>3899</v>
      </c>
      <c r="I696" s="7" t="s">
        <v>3878</v>
      </c>
      <c r="K696" s="7" t="str">
        <f t="shared" si="2"/>
        <v/>
      </c>
      <c r="L696" s="7" t="str">
        <f t="shared" si="3"/>
        <v/>
      </c>
      <c r="M696" s="7">
        <f t="shared" ref="M696:N696" si="706">IF(LEN(M$1),COUNTIF($G696:$I696,M$1),"")</f>
        <v>0</v>
      </c>
      <c r="N696" s="7" t="str">
        <f t="shared" si="706"/>
        <v/>
      </c>
      <c r="O696" s="7" t="str">
        <f t="shared" si="5"/>
        <v/>
      </c>
      <c r="P696" s="7">
        <f t="shared" si="613"/>
        <v>0</v>
      </c>
      <c r="Q696" s="7" t="str">
        <f t="shared" si="7"/>
        <v/>
      </c>
      <c r="T696" s="7"/>
    </row>
    <row r="697" ht="12.75" customHeight="1">
      <c r="A697" s="7">
        <v>696.0</v>
      </c>
      <c r="B697" s="7" t="s">
        <v>1417</v>
      </c>
      <c r="C697" s="7" t="s">
        <v>4848</v>
      </c>
      <c r="D697" s="7"/>
      <c r="E697" s="7"/>
      <c r="F697" s="7" t="s">
        <v>4851</v>
      </c>
      <c r="G697" s="7" t="s">
        <v>3954</v>
      </c>
      <c r="H697" s="7" t="s">
        <v>3835</v>
      </c>
      <c r="I697" s="7" t="s">
        <v>3847</v>
      </c>
      <c r="K697" s="7" t="str">
        <f t="shared" si="2"/>
        <v/>
      </c>
      <c r="L697" s="7" t="str">
        <f t="shared" si="3"/>
        <v/>
      </c>
      <c r="M697" s="7">
        <f t="shared" ref="M697:N697" si="707">IF(LEN(M$1),COUNTIF($G697:$I697,M$1),"")</f>
        <v>0</v>
      </c>
      <c r="N697" s="7" t="str">
        <f t="shared" si="707"/>
        <v/>
      </c>
      <c r="O697" s="7" t="str">
        <f t="shared" si="5"/>
        <v/>
      </c>
      <c r="P697" s="7">
        <f t="shared" si="613"/>
        <v>0</v>
      </c>
      <c r="Q697" s="7" t="str">
        <f t="shared" si="7"/>
        <v/>
      </c>
      <c r="T697" s="7"/>
    </row>
    <row r="698" ht="12.75" customHeight="1">
      <c r="A698" s="7">
        <v>697.0</v>
      </c>
      <c r="B698" s="7" t="s">
        <v>1748</v>
      </c>
      <c r="C698" s="7" t="s">
        <v>4837</v>
      </c>
      <c r="D698" s="7"/>
      <c r="E698" s="7"/>
      <c r="F698" s="7" t="s">
        <v>4851</v>
      </c>
      <c r="G698" s="7" t="s">
        <v>3831</v>
      </c>
      <c r="H698" s="7" t="s">
        <v>3911</v>
      </c>
      <c r="I698" s="7" t="s">
        <v>3940</v>
      </c>
      <c r="K698" s="7" t="str">
        <f t="shared" si="2"/>
        <v/>
      </c>
      <c r="L698" s="7" t="str">
        <f t="shared" si="3"/>
        <v/>
      </c>
      <c r="M698" s="7">
        <f t="shared" ref="M698:N698" si="708">IF(LEN(M$1),COUNTIF($G698:$I698,M$1),"")</f>
        <v>0</v>
      </c>
      <c r="N698" s="7" t="str">
        <f t="shared" si="708"/>
        <v/>
      </c>
      <c r="O698" s="7" t="str">
        <f t="shared" si="5"/>
        <v/>
      </c>
      <c r="P698" s="7">
        <f t="shared" si="613"/>
        <v>0</v>
      </c>
      <c r="Q698" s="7" t="str">
        <f t="shared" si="7"/>
        <v/>
      </c>
      <c r="T698" s="7"/>
    </row>
    <row r="699" ht="12.75" customHeight="1">
      <c r="A699" s="7">
        <v>698.0</v>
      </c>
      <c r="B699" s="7" t="s">
        <v>853</v>
      </c>
      <c r="C699" s="7" t="s">
        <v>2659</v>
      </c>
      <c r="D699" s="7"/>
      <c r="E699" s="7"/>
      <c r="F699" s="7" t="s">
        <v>4851</v>
      </c>
      <c r="G699" s="7" t="s">
        <v>3902</v>
      </c>
      <c r="H699" s="7" t="s">
        <v>3937</v>
      </c>
      <c r="I699" s="7" t="s">
        <v>3943</v>
      </c>
      <c r="K699" s="7" t="str">
        <f t="shared" si="2"/>
        <v/>
      </c>
      <c r="L699" s="7" t="str">
        <f t="shared" si="3"/>
        <v/>
      </c>
      <c r="M699" s="7">
        <f t="shared" ref="M699:N699" si="709">IF(LEN(M$1),COUNTIF($G699:$I699,M$1),"")</f>
        <v>0</v>
      </c>
      <c r="N699" s="7" t="str">
        <f t="shared" si="709"/>
        <v/>
      </c>
      <c r="O699" s="7" t="str">
        <f t="shared" si="5"/>
        <v/>
      </c>
      <c r="P699" s="7">
        <f t="shared" si="613"/>
        <v>0</v>
      </c>
      <c r="Q699" s="7" t="str">
        <f t="shared" si="7"/>
        <v/>
      </c>
      <c r="T699" s="7"/>
    </row>
    <row r="700" ht="12.75" customHeight="1">
      <c r="A700" s="7">
        <v>699.0</v>
      </c>
      <c r="B700" s="7" t="s">
        <v>1638</v>
      </c>
      <c r="C700" s="7" t="s">
        <v>4758</v>
      </c>
      <c r="D700" s="7"/>
      <c r="E700" s="7"/>
      <c r="F700" s="7" t="s">
        <v>4851</v>
      </c>
      <c r="G700" s="7" t="s">
        <v>3948</v>
      </c>
      <c r="H700" s="7" t="s">
        <v>3915</v>
      </c>
      <c r="I700" s="7" t="s">
        <v>4282</v>
      </c>
      <c r="K700" s="7" t="str">
        <f t="shared" si="2"/>
        <v/>
      </c>
      <c r="L700" s="7" t="str">
        <f t="shared" si="3"/>
        <v/>
      </c>
      <c r="M700" s="7">
        <f t="shared" ref="M700:N700" si="710">IF(LEN(M$1),COUNTIF($G700:$I700,M$1),"")</f>
        <v>0</v>
      </c>
      <c r="N700" s="7" t="str">
        <f t="shared" si="710"/>
        <v/>
      </c>
      <c r="O700" s="7" t="str">
        <f t="shared" si="5"/>
        <v/>
      </c>
      <c r="P700" s="7">
        <f t="shared" si="613"/>
        <v>0</v>
      </c>
      <c r="Q700" s="7" t="str">
        <f t="shared" si="7"/>
        <v/>
      </c>
      <c r="T700" s="7"/>
    </row>
    <row r="701" ht="12.75" customHeight="1">
      <c r="A701" s="7">
        <v>700.0</v>
      </c>
      <c r="B701" s="7" t="s">
        <v>1493</v>
      </c>
      <c r="C701" s="7" t="s">
        <v>4795</v>
      </c>
      <c r="D701" s="7"/>
      <c r="E701" s="7"/>
      <c r="F701" s="7" t="s">
        <v>4851</v>
      </c>
      <c r="G701" s="7" t="s">
        <v>3955</v>
      </c>
      <c r="H701" s="7" t="s">
        <v>3887</v>
      </c>
      <c r="I701" s="7" t="s">
        <v>3864</v>
      </c>
      <c r="K701" s="7" t="str">
        <f t="shared" si="2"/>
        <v/>
      </c>
      <c r="L701" s="7" t="str">
        <f t="shared" si="3"/>
        <v/>
      </c>
      <c r="M701" s="7">
        <f t="shared" ref="M701:N701" si="711">IF(LEN(M$1),COUNTIF($G701:$I701,M$1),"")</f>
        <v>0</v>
      </c>
      <c r="N701" s="7" t="str">
        <f t="shared" si="711"/>
        <v/>
      </c>
      <c r="O701" s="7" t="str">
        <f t="shared" si="5"/>
        <v/>
      </c>
      <c r="P701" s="7">
        <f t="shared" si="613"/>
        <v>0</v>
      </c>
      <c r="Q701" s="7" t="str">
        <f t="shared" si="7"/>
        <v/>
      </c>
      <c r="T701" s="7"/>
    </row>
    <row r="702" ht="12.75" customHeight="1">
      <c r="A702" s="7">
        <v>701.0</v>
      </c>
      <c r="B702" s="7" t="s">
        <v>1136</v>
      </c>
      <c r="C702" s="7" t="s">
        <v>4837</v>
      </c>
      <c r="D702" s="7"/>
      <c r="E702" s="7"/>
      <c r="F702" s="7" t="s">
        <v>4853</v>
      </c>
      <c r="G702" s="7" t="s">
        <v>4282</v>
      </c>
      <c r="H702" s="7" t="s">
        <v>4283</v>
      </c>
      <c r="I702" s="7" t="s">
        <v>4284</v>
      </c>
      <c r="K702" s="7" t="str">
        <f t="shared" si="2"/>
        <v/>
      </c>
      <c r="L702" s="7" t="str">
        <f t="shared" si="3"/>
        <v/>
      </c>
      <c r="M702" s="7">
        <f t="shared" ref="M702:N702" si="712">IF(LEN(M$1),COUNTIF($G702:$I702,M$1),"")</f>
        <v>0</v>
      </c>
      <c r="N702" s="7" t="str">
        <f t="shared" si="712"/>
        <v/>
      </c>
      <c r="O702" s="7" t="str">
        <f t="shared" si="5"/>
        <v/>
      </c>
      <c r="P702" s="7">
        <f t="shared" ref="P702:P976" si="714">IF(LEN(P$1),IF(P$1="M",1,0),"")</f>
        <v>1</v>
      </c>
      <c r="Q702" s="7" t="str">
        <f t="shared" si="7"/>
        <v/>
      </c>
      <c r="T702" s="7"/>
    </row>
    <row r="703" ht="12.75" customHeight="1">
      <c r="A703" s="7">
        <v>702.0</v>
      </c>
      <c r="B703" s="7" t="s">
        <v>1136</v>
      </c>
      <c r="C703" s="7" t="s">
        <v>4837</v>
      </c>
      <c r="D703" s="7"/>
      <c r="E703" s="7"/>
      <c r="F703" s="7" t="s">
        <v>4853</v>
      </c>
      <c r="G703" s="7" t="s">
        <v>4283</v>
      </c>
      <c r="H703" s="7" t="s">
        <v>4282</v>
      </c>
      <c r="I703" s="7" t="s">
        <v>4284</v>
      </c>
      <c r="K703" s="7" t="str">
        <f t="shared" si="2"/>
        <v/>
      </c>
      <c r="L703" s="7" t="str">
        <f t="shared" si="3"/>
        <v/>
      </c>
      <c r="M703" s="7">
        <f t="shared" ref="M703:N703" si="713">IF(LEN(M$1),COUNTIF($G703:$I703,M$1),"")</f>
        <v>0</v>
      </c>
      <c r="N703" s="7" t="str">
        <f t="shared" si="713"/>
        <v/>
      </c>
      <c r="O703" s="7" t="str">
        <f t="shared" si="5"/>
        <v/>
      </c>
      <c r="P703" s="7">
        <f t="shared" si="714"/>
        <v>1</v>
      </c>
      <c r="Q703" s="7" t="str">
        <f t="shared" si="7"/>
        <v/>
      </c>
      <c r="T703" s="7"/>
    </row>
    <row r="704" ht="12.75" customHeight="1">
      <c r="A704" s="7">
        <v>703.0</v>
      </c>
      <c r="B704" s="7" t="s">
        <v>1144</v>
      </c>
      <c r="C704" s="7" t="s">
        <v>4837</v>
      </c>
      <c r="D704" s="7"/>
      <c r="E704" s="7"/>
      <c r="F704" s="7" t="s">
        <v>4853</v>
      </c>
      <c r="G704" s="7" t="s">
        <v>4291</v>
      </c>
      <c r="H704" s="7" t="s">
        <v>4287</v>
      </c>
      <c r="I704" s="7" t="s">
        <v>4290</v>
      </c>
      <c r="K704" s="7" t="str">
        <f t="shared" si="2"/>
        <v/>
      </c>
      <c r="L704" s="7" t="str">
        <f t="shared" si="3"/>
        <v/>
      </c>
      <c r="M704" s="7">
        <f t="shared" ref="M704:N704" si="715">IF(LEN(M$1),COUNTIF($G704:$I704,M$1),"")</f>
        <v>0</v>
      </c>
      <c r="N704" s="7" t="str">
        <f t="shared" si="715"/>
        <v/>
      </c>
      <c r="O704" s="7" t="str">
        <f t="shared" si="5"/>
        <v/>
      </c>
      <c r="P704" s="7">
        <f t="shared" si="714"/>
        <v>1</v>
      </c>
      <c r="Q704" s="7" t="str">
        <f t="shared" si="7"/>
        <v/>
      </c>
      <c r="T704" s="7"/>
    </row>
    <row r="705" ht="12.75" customHeight="1">
      <c r="A705" s="7">
        <v>704.0</v>
      </c>
      <c r="B705" s="7" t="s">
        <v>1144</v>
      </c>
      <c r="C705" s="7" t="s">
        <v>4837</v>
      </c>
      <c r="D705" s="7"/>
      <c r="E705" s="7"/>
      <c r="F705" s="7" t="s">
        <v>4853</v>
      </c>
      <c r="G705" s="7" t="s">
        <v>4291</v>
      </c>
      <c r="H705" s="7" t="s">
        <v>4294</v>
      </c>
      <c r="I705" s="7" t="s">
        <v>4290</v>
      </c>
      <c r="K705" s="7" t="str">
        <f t="shared" si="2"/>
        <v/>
      </c>
      <c r="L705" s="7" t="str">
        <f t="shared" si="3"/>
        <v/>
      </c>
      <c r="M705" s="7">
        <f t="shared" ref="M705:N705" si="716">IF(LEN(M$1),COUNTIF($G705:$I705,M$1),"")</f>
        <v>0</v>
      </c>
      <c r="N705" s="7" t="str">
        <f t="shared" si="716"/>
        <v/>
      </c>
      <c r="O705" s="7" t="str">
        <f t="shared" si="5"/>
        <v/>
      </c>
      <c r="P705" s="7">
        <f t="shared" si="714"/>
        <v>1</v>
      </c>
      <c r="Q705" s="7" t="str">
        <f t="shared" si="7"/>
        <v/>
      </c>
      <c r="T705" s="7"/>
    </row>
    <row r="706" ht="12.75" customHeight="1">
      <c r="A706" s="7">
        <v>705.0</v>
      </c>
      <c r="B706" s="7" t="s">
        <v>1151</v>
      </c>
      <c r="C706" s="7" t="s">
        <v>4837</v>
      </c>
      <c r="D706" s="7"/>
      <c r="E706" s="7"/>
      <c r="F706" s="7" t="s">
        <v>4853</v>
      </c>
      <c r="G706" s="7" t="s">
        <v>4285</v>
      </c>
      <c r="H706" s="7" t="s">
        <v>4272</v>
      </c>
      <c r="I706" s="7" t="s">
        <v>4284</v>
      </c>
      <c r="K706" s="7" t="str">
        <f t="shared" si="2"/>
        <v/>
      </c>
      <c r="L706" s="7" t="str">
        <f t="shared" si="3"/>
        <v/>
      </c>
      <c r="M706" s="7">
        <f t="shared" ref="M706:N706" si="717">IF(LEN(M$1),COUNTIF($G706:$I706,M$1),"")</f>
        <v>0</v>
      </c>
      <c r="N706" s="7" t="str">
        <f t="shared" si="717"/>
        <v/>
      </c>
      <c r="O706" s="7" t="str">
        <f t="shared" si="5"/>
        <v/>
      </c>
      <c r="P706" s="7">
        <f t="shared" si="714"/>
        <v>1</v>
      </c>
      <c r="Q706" s="7" t="str">
        <f t="shared" si="7"/>
        <v/>
      </c>
      <c r="T706" s="7"/>
    </row>
    <row r="707" ht="12.75" customHeight="1">
      <c r="A707" s="7">
        <v>706.0</v>
      </c>
      <c r="B707" s="7" t="s">
        <v>1151</v>
      </c>
      <c r="C707" s="7" t="s">
        <v>4837</v>
      </c>
      <c r="D707" s="7"/>
      <c r="E707" s="7"/>
      <c r="F707" s="7" t="s">
        <v>4853</v>
      </c>
      <c r="G707" s="7" t="s">
        <v>4285</v>
      </c>
      <c r="H707" s="7" t="s">
        <v>4272</v>
      </c>
      <c r="I707" s="7" t="s">
        <v>4299</v>
      </c>
      <c r="K707" s="7" t="str">
        <f t="shared" si="2"/>
        <v/>
      </c>
      <c r="L707" s="7" t="str">
        <f t="shared" si="3"/>
        <v/>
      </c>
      <c r="M707" s="7">
        <f t="shared" ref="M707:N707" si="718">IF(LEN(M$1),COUNTIF($G707:$I707,M$1),"")</f>
        <v>0</v>
      </c>
      <c r="N707" s="7" t="str">
        <f t="shared" si="718"/>
        <v/>
      </c>
      <c r="O707" s="7" t="str">
        <f t="shared" si="5"/>
        <v/>
      </c>
      <c r="P707" s="7">
        <f t="shared" si="714"/>
        <v>1</v>
      </c>
      <c r="Q707" s="7" t="str">
        <f t="shared" si="7"/>
        <v/>
      </c>
      <c r="T707" s="7"/>
    </row>
    <row r="708" ht="12.75" customHeight="1">
      <c r="A708" s="7">
        <v>707.0</v>
      </c>
      <c r="B708" s="7" t="s">
        <v>1159</v>
      </c>
      <c r="C708" s="7" t="s">
        <v>4845</v>
      </c>
      <c r="D708" s="7"/>
      <c r="E708" s="7"/>
      <c r="F708" s="7" t="s">
        <v>4853</v>
      </c>
      <c r="G708" s="7" t="s">
        <v>4300</v>
      </c>
      <c r="H708" s="7" t="s">
        <v>4303</v>
      </c>
      <c r="I708" s="7" t="s">
        <v>4283</v>
      </c>
      <c r="K708" s="7" t="str">
        <f t="shared" si="2"/>
        <v/>
      </c>
      <c r="L708" s="7" t="str">
        <f t="shared" si="3"/>
        <v/>
      </c>
      <c r="M708" s="7">
        <f t="shared" ref="M708:N708" si="719">IF(LEN(M$1),COUNTIF($G708:$I708,M$1),"")</f>
        <v>0</v>
      </c>
      <c r="N708" s="7" t="str">
        <f t="shared" si="719"/>
        <v/>
      </c>
      <c r="O708" s="7" t="str">
        <f t="shared" si="5"/>
        <v/>
      </c>
      <c r="P708" s="7">
        <f t="shared" si="714"/>
        <v>1</v>
      </c>
      <c r="Q708" s="7" t="str">
        <f t="shared" si="7"/>
        <v/>
      </c>
      <c r="T708" s="7"/>
    </row>
    <row r="709" ht="12.75" customHeight="1">
      <c r="A709" s="7">
        <v>708.0</v>
      </c>
      <c r="B709" s="7" t="s">
        <v>1159</v>
      </c>
      <c r="C709" s="7" t="s">
        <v>4845</v>
      </c>
      <c r="D709" s="7"/>
      <c r="E709" s="7"/>
      <c r="F709" s="7" t="s">
        <v>4853</v>
      </c>
      <c r="G709" s="7" t="s">
        <v>4302</v>
      </c>
      <c r="H709" s="7" t="s">
        <v>4304</v>
      </c>
      <c r="I709" s="7" t="s">
        <v>4299</v>
      </c>
      <c r="K709" s="7" t="str">
        <f t="shared" si="2"/>
        <v/>
      </c>
      <c r="L709" s="7" t="str">
        <f t="shared" si="3"/>
        <v/>
      </c>
      <c r="M709" s="7">
        <f t="shared" ref="M709:N709" si="720">IF(LEN(M$1),COUNTIF($G709:$I709,M$1),"")</f>
        <v>0</v>
      </c>
      <c r="N709" s="7" t="str">
        <f t="shared" si="720"/>
        <v/>
      </c>
      <c r="O709" s="7" t="str">
        <f t="shared" si="5"/>
        <v/>
      </c>
      <c r="P709" s="7">
        <f t="shared" si="714"/>
        <v>1</v>
      </c>
      <c r="Q709" s="7" t="str">
        <f t="shared" si="7"/>
        <v/>
      </c>
      <c r="T709" s="7"/>
    </row>
    <row r="710" ht="12.75" customHeight="1">
      <c r="A710" s="7">
        <v>709.0</v>
      </c>
      <c r="B710" s="7" t="s">
        <v>1167</v>
      </c>
      <c r="C710" s="7" t="s">
        <v>4845</v>
      </c>
      <c r="D710" s="7"/>
      <c r="E710" s="7"/>
      <c r="F710" s="7" t="s">
        <v>4853</v>
      </c>
      <c r="G710" s="7" t="s">
        <v>4305</v>
      </c>
      <c r="H710" s="7" t="s">
        <v>4307</v>
      </c>
      <c r="I710" s="7" t="s">
        <v>4288</v>
      </c>
      <c r="K710" s="7" t="str">
        <f t="shared" si="2"/>
        <v/>
      </c>
      <c r="L710" s="7" t="str">
        <f t="shared" si="3"/>
        <v/>
      </c>
      <c r="M710" s="7">
        <f t="shared" ref="M710:N710" si="721">IF(LEN(M$1),COUNTIF($G710:$I710,M$1),"")</f>
        <v>0</v>
      </c>
      <c r="N710" s="7" t="str">
        <f t="shared" si="721"/>
        <v/>
      </c>
      <c r="O710" s="7" t="str">
        <f t="shared" si="5"/>
        <v/>
      </c>
      <c r="P710" s="7">
        <f t="shared" si="714"/>
        <v>1</v>
      </c>
      <c r="Q710" s="7" t="str">
        <f t="shared" si="7"/>
        <v/>
      </c>
      <c r="T710" s="7"/>
    </row>
    <row r="711" ht="12.75" customHeight="1">
      <c r="A711" s="7">
        <v>710.0</v>
      </c>
      <c r="B711" s="7" t="s">
        <v>1167</v>
      </c>
      <c r="C711" s="7" t="s">
        <v>4845</v>
      </c>
      <c r="D711" s="7"/>
      <c r="E711" s="7"/>
      <c r="F711" s="7" t="s">
        <v>4853</v>
      </c>
      <c r="G711" s="7" t="s">
        <v>4306</v>
      </c>
      <c r="H711" s="7" t="s">
        <v>4308</v>
      </c>
      <c r="I711" s="7" t="s">
        <v>4309</v>
      </c>
      <c r="K711" s="7" t="str">
        <f t="shared" si="2"/>
        <v/>
      </c>
      <c r="L711" s="7" t="str">
        <f t="shared" si="3"/>
        <v/>
      </c>
      <c r="M711" s="7">
        <f t="shared" ref="M711:N711" si="722">IF(LEN(M$1),COUNTIF($G711:$I711,M$1),"")</f>
        <v>0</v>
      </c>
      <c r="N711" s="7" t="str">
        <f t="shared" si="722"/>
        <v/>
      </c>
      <c r="O711" s="7" t="str">
        <f t="shared" si="5"/>
        <v/>
      </c>
      <c r="P711" s="7">
        <f t="shared" si="714"/>
        <v>1</v>
      </c>
      <c r="Q711" s="7" t="str">
        <f t="shared" si="7"/>
        <v/>
      </c>
      <c r="T711" s="7"/>
    </row>
    <row r="712" ht="12.75" customHeight="1">
      <c r="A712" s="7">
        <v>711.0</v>
      </c>
      <c r="B712" s="7" t="s">
        <v>1174</v>
      </c>
      <c r="C712" s="7" t="s">
        <v>4845</v>
      </c>
      <c r="D712" s="7"/>
      <c r="E712" s="7"/>
      <c r="F712" s="7" t="s">
        <v>4853</v>
      </c>
      <c r="G712" s="7" t="s">
        <v>4289</v>
      </c>
      <c r="H712" s="7" t="s">
        <v>4297</v>
      </c>
      <c r="I712" s="7" t="s">
        <v>4272</v>
      </c>
      <c r="K712" s="7" t="str">
        <f t="shared" si="2"/>
        <v/>
      </c>
      <c r="L712" s="7" t="str">
        <f t="shared" si="3"/>
        <v/>
      </c>
      <c r="M712" s="7">
        <f t="shared" ref="M712:N712" si="723">IF(LEN(M$1),COUNTIF($G712:$I712,M$1),"")</f>
        <v>0</v>
      </c>
      <c r="N712" s="7" t="str">
        <f t="shared" si="723"/>
        <v/>
      </c>
      <c r="O712" s="7" t="str">
        <f t="shared" si="5"/>
        <v/>
      </c>
      <c r="P712" s="7">
        <f t="shared" si="714"/>
        <v>1</v>
      </c>
      <c r="Q712" s="7" t="str">
        <f t="shared" si="7"/>
        <v/>
      </c>
      <c r="T712" s="7"/>
    </row>
    <row r="713" ht="12.75" customHeight="1">
      <c r="A713" s="7">
        <v>712.0</v>
      </c>
      <c r="B713" s="7" t="s">
        <v>1174</v>
      </c>
      <c r="C713" s="7" t="s">
        <v>4845</v>
      </c>
      <c r="D713" s="7"/>
      <c r="E713" s="7"/>
      <c r="F713" s="7" t="s">
        <v>4853</v>
      </c>
      <c r="G713" s="7" t="s">
        <v>4282</v>
      </c>
      <c r="H713" s="7" t="s">
        <v>4294</v>
      </c>
      <c r="I713" s="7" t="s">
        <v>4289</v>
      </c>
      <c r="K713" s="7" t="str">
        <f t="shared" si="2"/>
        <v/>
      </c>
      <c r="L713" s="7" t="str">
        <f t="shared" si="3"/>
        <v/>
      </c>
      <c r="M713" s="7">
        <f t="shared" ref="M713:N713" si="724">IF(LEN(M$1),COUNTIF($G713:$I713,M$1),"")</f>
        <v>0</v>
      </c>
      <c r="N713" s="7" t="str">
        <f t="shared" si="724"/>
        <v/>
      </c>
      <c r="O713" s="7" t="str">
        <f t="shared" si="5"/>
        <v/>
      </c>
      <c r="P713" s="7">
        <f t="shared" si="714"/>
        <v>1</v>
      </c>
      <c r="Q713" s="7" t="str">
        <f t="shared" si="7"/>
        <v/>
      </c>
      <c r="T713" s="7"/>
    </row>
    <row r="714" ht="12.75" customHeight="1">
      <c r="A714" s="7">
        <v>713.0</v>
      </c>
      <c r="B714" s="7" t="s">
        <v>1673</v>
      </c>
      <c r="C714" s="7" t="s">
        <v>4778</v>
      </c>
      <c r="D714" s="7"/>
      <c r="E714" s="7"/>
      <c r="F714" s="7" t="s">
        <v>4853</v>
      </c>
      <c r="G714" s="7" t="s">
        <v>4252</v>
      </c>
      <c r="H714" s="7" t="s">
        <v>4193</v>
      </c>
      <c r="I714" s="7" t="s">
        <v>4063</v>
      </c>
      <c r="K714" s="7" t="str">
        <f t="shared" si="2"/>
        <v/>
      </c>
      <c r="L714" s="7" t="str">
        <f t="shared" si="3"/>
        <v/>
      </c>
      <c r="M714" s="7">
        <f t="shared" ref="M714:N714" si="725">IF(LEN(M$1),COUNTIF($G714:$I714,M$1),"")</f>
        <v>0</v>
      </c>
      <c r="N714" s="7" t="str">
        <f t="shared" si="725"/>
        <v/>
      </c>
      <c r="O714" s="7" t="str">
        <f t="shared" si="5"/>
        <v/>
      </c>
      <c r="P714" s="7">
        <f t="shared" si="714"/>
        <v>1</v>
      </c>
      <c r="Q714" s="7" t="str">
        <f t="shared" si="7"/>
        <v/>
      </c>
      <c r="T714" s="7"/>
    </row>
    <row r="715" ht="12.75" customHeight="1">
      <c r="A715" s="7">
        <v>714.0</v>
      </c>
      <c r="B715" s="7" t="s">
        <v>1680</v>
      </c>
      <c r="C715" s="7" t="s">
        <v>4819</v>
      </c>
      <c r="D715" s="7"/>
      <c r="E715" s="7"/>
      <c r="F715" s="7" t="s">
        <v>4853</v>
      </c>
      <c r="G715" s="7" t="s">
        <v>4118</v>
      </c>
      <c r="H715" s="7" t="s">
        <v>3985</v>
      </c>
      <c r="I715" s="7" t="s">
        <v>3986</v>
      </c>
      <c r="K715" s="7" t="str">
        <f t="shared" si="2"/>
        <v/>
      </c>
      <c r="L715" s="7" t="str">
        <f t="shared" si="3"/>
        <v/>
      </c>
      <c r="M715" s="7">
        <f t="shared" ref="M715:N715" si="726">IF(LEN(M$1),COUNTIF($G715:$I715,M$1),"")</f>
        <v>0</v>
      </c>
      <c r="N715" s="7" t="str">
        <f t="shared" si="726"/>
        <v/>
      </c>
      <c r="O715" s="7" t="str">
        <f t="shared" si="5"/>
        <v/>
      </c>
      <c r="P715" s="7">
        <f t="shared" si="714"/>
        <v>1</v>
      </c>
      <c r="Q715" s="7" t="str">
        <f t="shared" si="7"/>
        <v/>
      </c>
      <c r="T715" s="7"/>
    </row>
    <row r="716" ht="12.75" customHeight="1">
      <c r="A716" s="7">
        <v>715.0</v>
      </c>
      <c r="B716" s="7" t="s">
        <v>1688</v>
      </c>
      <c r="C716" s="7" t="s">
        <v>4819</v>
      </c>
      <c r="D716" s="7"/>
      <c r="E716" s="7"/>
      <c r="F716" s="7" t="s">
        <v>4853</v>
      </c>
      <c r="G716" s="7" t="s">
        <v>3980</v>
      </c>
      <c r="H716" s="7" t="s">
        <v>4158</v>
      </c>
      <c r="I716" s="7" t="s">
        <v>4267</v>
      </c>
      <c r="K716" s="7" t="str">
        <f t="shared" si="2"/>
        <v/>
      </c>
      <c r="L716" s="7" t="str">
        <f t="shared" si="3"/>
        <v/>
      </c>
      <c r="M716" s="7">
        <f t="shared" ref="M716:N716" si="727">IF(LEN(M$1),COUNTIF($G716:$I716,M$1),"")</f>
        <v>0</v>
      </c>
      <c r="N716" s="7" t="str">
        <f t="shared" si="727"/>
        <v/>
      </c>
      <c r="O716" s="7" t="str">
        <f t="shared" si="5"/>
        <v/>
      </c>
      <c r="P716" s="7">
        <f t="shared" si="714"/>
        <v>1</v>
      </c>
      <c r="Q716" s="7" t="str">
        <f t="shared" si="7"/>
        <v/>
      </c>
      <c r="T716" s="7"/>
    </row>
    <row r="717" ht="12.75" customHeight="1">
      <c r="A717" s="7">
        <v>716.0</v>
      </c>
      <c r="B717" s="7" t="s">
        <v>1688</v>
      </c>
      <c r="C717" s="7" t="s">
        <v>4819</v>
      </c>
      <c r="D717" s="7"/>
      <c r="E717" s="7"/>
      <c r="F717" s="7" t="s">
        <v>4853</v>
      </c>
      <c r="G717" s="7" t="s">
        <v>4041</v>
      </c>
      <c r="H717" s="7" t="s">
        <v>4200</v>
      </c>
      <c r="I717" s="7" t="s">
        <v>4110</v>
      </c>
      <c r="K717" s="7" t="str">
        <f t="shared" si="2"/>
        <v/>
      </c>
      <c r="L717" s="7" t="str">
        <f t="shared" si="3"/>
        <v/>
      </c>
      <c r="M717" s="7">
        <f t="shared" ref="M717:N717" si="728">IF(LEN(M$1),COUNTIF($G717:$I717,M$1),"")</f>
        <v>0</v>
      </c>
      <c r="N717" s="7" t="str">
        <f t="shared" si="728"/>
        <v/>
      </c>
      <c r="O717" s="7" t="str">
        <f t="shared" si="5"/>
        <v/>
      </c>
      <c r="P717" s="7">
        <f t="shared" si="714"/>
        <v>1</v>
      </c>
      <c r="Q717" s="7" t="str">
        <f t="shared" si="7"/>
        <v/>
      </c>
      <c r="T717" s="7"/>
    </row>
    <row r="718" ht="12.75" customHeight="1">
      <c r="A718" s="7">
        <v>717.0</v>
      </c>
      <c r="B718" s="7" t="s">
        <v>266</v>
      </c>
      <c r="C718" s="7" t="s">
        <v>4820</v>
      </c>
      <c r="D718" s="7"/>
      <c r="E718" s="7"/>
      <c r="F718" s="7" t="s">
        <v>4853</v>
      </c>
      <c r="G718" s="7" t="s">
        <v>3982</v>
      </c>
      <c r="H718" s="7" t="s">
        <v>4086</v>
      </c>
      <c r="I718" s="7" t="s">
        <v>4127</v>
      </c>
      <c r="K718" s="7" t="str">
        <f t="shared" si="2"/>
        <v/>
      </c>
      <c r="L718" s="7" t="str">
        <f t="shared" si="3"/>
        <v/>
      </c>
      <c r="M718" s="7">
        <f t="shared" ref="M718:N718" si="729">IF(LEN(M$1),COUNTIF($G718:$I718,M$1),"")</f>
        <v>0</v>
      </c>
      <c r="N718" s="7" t="str">
        <f t="shared" si="729"/>
        <v/>
      </c>
      <c r="O718" s="7" t="str">
        <f t="shared" si="5"/>
        <v/>
      </c>
      <c r="P718" s="7">
        <f t="shared" si="714"/>
        <v>1</v>
      </c>
      <c r="Q718" s="7" t="str">
        <f t="shared" si="7"/>
        <v/>
      </c>
      <c r="T718" s="7"/>
    </row>
    <row r="719" ht="12.75" customHeight="1">
      <c r="A719" s="7">
        <v>718.0</v>
      </c>
      <c r="B719" s="7" t="s">
        <v>266</v>
      </c>
      <c r="C719" s="7" t="s">
        <v>4820</v>
      </c>
      <c r="D719" s="7"/>
      <c r="E719" s="7"/>
      <c r="F719" s="7" t="s">
        <v>4853</v>
      </c>
      <c r="G719" s="7" t="s">
        <v>4026</v>
      </c>
      <c r="H719" s="7" t="s">
        <v>4175</v>
      </c>
      <c r="I719" s="7" t="s">
        <v>4206</v>
      </c>
      <c r="K719" s="7" t="str">
        <f t="shared" si="2"/>
        <v/>
      </c>
      <c r="L719" s="7" t="str">
        <f t="shared" si="3"/>
        <v/>
      </c>
      <c r="M719" s="7">
        <f t="shared" ref="M719:N719" si="730">IF(LEN(M$1),COUNTIF($G719:$I719,M$1),"")</f>
        <v>0</v>
      </c>
      <c r="N719" s="7" t="str">
        <f t="shared" si="730"/>
        <v/>
      </c>
      <c r="O719" s="7" t="str">
        <f t="shared" si="5"/>
        <v/>
      </c>
      <c r="P719" s="7">
        <f t="shared" si="714"/>
        <v>1</v>
      </c>
      <c r="Q719" s="7" t="str">
        <f t="shared" si="7"/>
        <v/>
      </c>
      <c r="T719" s="7"/>
    </row>
    <row r="720" ht="12.75" customHeight="1">
      <c r="A720" s="7">
        <v>719.0</v>
      </c>
      <c r="B720" s="7" t="s">
        <v>1703</v>
      </c>
      <c r="C720" s="7" t="s">
        <v>4820</v>
      </c>
      <c r="D720" s="7"/>
      <c r="E720" s="7"/>
      <c r="F720" s="7" t="s">
        <v>4853</v>
      </c>
      <c r="G720" s="7" t="s">
        <v>4065</v>
      </c>
      <c r="H720" s="7" t="s">
        <v>4066</v>
      </c>
      <c r="I720" s="7" t="s">
        <v>4257</v>
      </c>
      <c r="K720" s="7" t="str">
        <f t="shared" si="2"/>
        <v/>
      </c>
      <c r="L720" s="7" t="str">
        <f t="shared" si="3"/>
        <v/>
      </c>
      <c r="M720" s="7">
        <f t="shared" ref="M720:N720" si="731">IF(LEN(M$1),COUNTIF($G720:$I720,M$1),"")</f>
        <v>0</v>
      </c>
      <c r="N720" s="7" t="str">
        <f t="shared" si="731"/>
        <v/>
      </c>
      <c r="O720" s="7" t="str">
        <f t="shared" si="5"/>
        <v/>
      </c>
      <c r="P720" s="7">
        <f t="shared" si="714"/>
        <v>1</v>
      </c>
      <c r="Q720" s="7" t="str">
        <f t="shared" si="7"/>
        <v/>
      </c>
      <c r="T720" s="7"/>
    </row>
    <row r="721" ht="12.75" customHeight="1">
      <c r="A721" s="7">
        <v>720.0</v>
      </c>
      <c r="B721" s="7" t="s">
        <v>1710</v>
      </c>
      <c r="C721" s="7" t="s">
        <v>4830</v>
      </c>
      <c r="D721" s="7"/>
      <c r="E721" s="7"/>
      <c r="F721" s="7" t="s">
        <v>4853</v>
      </c>
      <c r="G721" s="7" t="s">
        <v>3995</v>
      </c>
      <c r="H721" s="7" t="s">
        <v>4150</v>
      </c>
      <c r="I721" s="7" t="s">
        <v>4130</v>
      </c>
      <c r="K721" s="7" t="str">
        <f t="shared" si="2"/>
        <v/>
      </c>
      <c r="L721" s="7" t="str">
        <f t="shared" si="3"/>
        <v/>
      </c>
      <c r="M721" s="7">
        <f t="shared" ref="M721:N721" si="732">IF(LEN(M$1),COUNTIF($G721:$I721,M$1),"")</f>
        <v>0</v>
      </c>
      <c r="N721" s="7" t="str">
        <f t="shared" si="732"/>
        <v/>
      </c>
      <c r="O721" s="7" t="str">
        <f t="shared" si="5"/>
        <v/>
      </c>
      <c r="P721" s="7">
        <f t="shared" si="714"/>
        <v>1</v>
      </c>
      <c r="Q721" s="7" t="str">
        <f t="shared" si="7"/>
        <v/>
      </c>
      <c r="T721" s="7"/>
    </row>
    <row r="722" ht="12.75" customHeight="1">
      <c r="A722" s="7">
        <v>721.0</v>
      </c>
      <c r="B722" s="7" t="s">
        <v>1718</v>
      </c>
      <c r="C722" s="7" t="s">
        <v>4830</v>
      </c>
      <c r="D722" s="7"/>
      <c r="E722" s="7"/>
      <c r="F722" s="7" t="s">
        <v>4853</v>
      </c>
      <c r="G722" s="7" t="s">
        <v>4191</v>
      </c>
      <c r="H722" s="7" t="s">
        <v>4167</v>
      </c>
      <c r="I722" s="7" t="s">
        <v>4209</v>
      </c>
      <c r="K722" s="7" t="str">
        <f t="shared" si="2"/>
        <v/>
      </c>
      <c r="L722" s="7" t="str">
        <f t="shared" si="3"/>
        <v/>
      </c>
      <c r="M722" s="7">
        <f t="shared" ref="M722:N722" si="733">IF(LEN(M$1),COUNTIF($G722:$I722,M$1),"")</f>
        <v>0</v>
      </c>
      <c r="N722" s="7" t="str">
        <f t="shared" si="733"/>
        <v/>
      </c>
      <c r="O722" s="7" t="str">
        <f t="shared" si="5"/>
        <v/>
      </c>
      <c r="P722" s="7">
        <f t="shared" si="714"/>
        <v>1</v>
      </c>
      <c r="Q722" s="7" t="str">
        <f t="shared" si="7"/>
        <v/>
      </c>
      <c r="T722" s="7"/>
    </row>
    <row r="723" ht="12.75" customHeight="1">
      <c r="A723" s="7">
        <v>722.0</v>
      </c>
      <c r="B723" s="7" t="s">
        <v>1726</v>
      </c>
      <c r="C723" s="7" t="s">
        <v>4831</v>
      </c>
      <c r="D723" s="7"/>
      <c r="E723" s="7"/>
      <c r="F723" s="7" t="s">
        <v>4853</v>
      </c>
      <c r="G723" s="7" t="s">
        <v>4265</v>
      </c>
      <c r="H723" s="7" t="s">
        <v>4151</v>
      </c>
      <c r="I723" s="7" t="s">
        <v>4036</v>
      </c>
      <c r="K723" s="7" t="str">
        <f t="shared" si="2"/>
        <v/>
      </c>
      <c r="L723" s="7" t="str">
        <f t="shared" si="3"/>
        <v/>
      </c>
      <c r="M723" s="7">
        <f t="shared" ref="M723:N723" si="734">IF(LEN(M$1),COUNTIF($G723:$I723,M$1),"")</f>
        <v>0</v>
      </c>
      <c r="N723" s="7" t="str">
        <f t="shared" si="734"/>
        <v/>
      </c>
      <c r="O723" s="7" t="str">
        <f t="shared" si="5"/>
        <v/>
      </c>
      <c r="P723" s="7">
        <f t="shared" si="714"/>
        <v>1</v>
      </c>
      <c r="Q723" s="7" t="str">
        <f t="shared" si="7"/>
        <v/>
      </c>
      <c r="T723" s="7"/>
    </row>
    <row r="724" ht="12.75" customHeight="1">
      <c r="A724" s="7">
        <v>723.0</v>
      </c>
      <c r="B724" s="7" t="s">
        <v>1726</v>
      </c>
      <c r="C724" s="7" t="s">
        <v>4831</v>
      </c>
      <c r="D724" s="7"/>
      <c r="E724" s="7"/>
      <c r="F724" s="7" t="s">
        <v>4853</v>
      </c>
      <c r="G724" s="7" t="s">
        <v>4082</v>
      </c>
      <c r="H724" s="7" t="s">
        <v>4252</v>
      </c>
      <c r="I724" s="7" t="s">
        <v>4015</v>
      </c>
      <c r="K724" s="7" t="str">
        <f t="shared" si="2"/>
        <v/>
      </c>
      <c r="L724" s="7" t="str">
        <f t="shared" si="3"/>
        <v/>
      </c>
      <c r="M724" s="7">
        <f t="shared" ref="M724:N724" si="735">IF(LEN(M$1),COUNTIF($G724:$I724,M$1),"")</f>
        <v>0</v>
      </c>
      <c r="N724" s="7" t="str">
        <f t="shared" si="735"/>
        <v/>
      </c>
      <c r="O724" s="7" t="str">
        <f t="shared" si="5"/>
        <v/>
      </c>
      <c r="P724" s="7">
        <f t="shared" si="714"/>
        <v>1</v>
      </c>
      <c r="Q724" s="7" t="str">
        <f t="shared" si="7"/>
        <v/>
      </c>
      <c r="T724" s="7"/>
    </row>
    <row r="725" ht="12.75" customHeight="1">
      <c r="A725" s="7">
        <v>724.0</v>
      </c>
      <c r="B725" s="7" t="s">
        <v>1734</v>
      </c>
      <c r="C725" s="7" t="s">
        <v>4831</v>
      </c>
      <c r="D725" s="7"/>
      <c r="E725" s="7"/>
      <c r="F725" s="7" t="s">
        <v>4853</v>
      </c>
      <c r="G725" s="7" t="s">
        <v>4193</v>
      </c>
      <c r="H725" s="7" t="s">
        <v>4168</v>
      </c>
      <c r="I725" s="7" t="s">
        <v>4092</v>
      </c>
      <c r="K725" s="7" t="str">
        <f t="shared" si="2"/>
        <v/>
      </c>
      <c r="L725" s="7" t="str">
        <f t="shared" si="3"/>
        <v/>
      </c>
      <c r="M725" s="7">
        <f t="shared" ref="M725:N725" si="736">IF(LEN(M$1),COUNTIF($G725:$I725,M$1),"")</f>
        <v>0</v>
      </c>
      <c r="N725" s="7" t="str">
        <f t="shared" si="736"/>
        <v/>
      </c>
      <c r="O725" s="7" t="str">
        <f t="shared" si="5"/>
        <v/>
      </c>
      <c r="P725" s="7">
        <f t="shared" si="714"/>
        <v>1</v>
      </c>
      <c r="Q725" s="7" t="str">
        <f t="shared" si="7"/>
        <v/>
      </c>
      <c r="T725" s="7"/>
    </row>
    <row r="726" ht="12.75" customHeight="1">
      <c r="A726" s="7">
        <v>725.0</v>
      </c>
      <c r="B726" s="7" t="s">
        <v>1095</v>
      </c>
      <c r="C726" s="7" t="s">
        <v>4837</v>
      </c>
      <c r="D726" s="7"/>
      <c r="E726" s="7"/>
      <c r="F726" s="7" t="s">
        <v>4853</v>
      </c>
      <c r="G726" s="7" t="s">
        <v>4311</v>
      </c>
      <c r="H726" s="7" t="s">
        <v>4295</v>
      </c>
      <c r="I726" s="7" t="s">
        <v>4283</v>
      </c>
      <c r="K726" s="7" t="str">
        <f t="shared" si="2"/>
        <v/>
      </c>
      <c r="L726" s="7" t="str">
        <f t="shared" si="3"/>
        <v/>
      </c>
      <c r="M726" s="7">
        <f t="shared" ref="M726:N726" si="737">IF(LEN(M$1),COUNTIF($G726:$I726,M$1),"")</f>
        <v>0</v>
      </c>
      <c r="N726" s="7" t="str">
        <f t="shared" si="737"/>
        <v/>
      </c>
      <c r="O726" s="7" t="str">
        <f t="shared" si="5"/>
        <v/>
      </c>
      <c r="P726" s="7">
        <f t="shared" si="714"/>
        <v>1</v>
      </c>
      <c r="Q726" s="7" t="str">
        <f t="shared" si="7"/>
        <v/>
      </c>
      <c r="T726" s="7"/>
    </row>
    <row r="727" ht="12.75" customHeight="1">
      <c r="A727" s="7">
        <v>726.0</v>
      </c>
      <c r="B727" s="7" t="s">
        <v>1095</v>
      </c>
      <c r="C727" s="7" t="s">
        <v>4837</v>
      </c>
      <c r="D727" s="7"/>
      <c r="E727" s="7"/>
      <c r="F727" s="7" t="s">
        <v>4853</v>
      </c>
      <c r="G727" s="7" t="s">
        <v>4311</v>
      </c>
      <c r="H727" s="7" t="s">
        <v>4312</v>
      </c>
      <c r="I727" s="7" t="s">
        <v>4297</v>
      </c>
      <c r="K727" s="7" t="str">
        <f t="shared" si="2"/>
        <v/>
      </c>
      <c r="L727" s="7" t="str">
        <f t="shared" si="3"/>
        <v/>
      </c>
      <c r="M727" s="7">
        <f t="shared" ref="M727:N727" si="738">IF(LEN(M$1),COUNTIF($G727:$I727,M$1),"")</f>
        <v>0</v>
      </c>
      <c r="N727" s="7" t="str">
        <f t="shared" si="738"/>
        <v/>
      </c>
      <c r="O727" s="7" t="str">
        <f t="shared" si="5"/>
        <v/>
      </c>
      <c r="P727" s="7">
        <f t="shared" si="714"/>
        <v>1</v>
      </c>
      <c r="Q727" s="7" t="str">
        <f t="shared" si="7"/>
        <v/>
      </c>
      <c r="T727" s="7"/>
    </row>
    <row r="728" ht="12.75" customHeight="1">
      <c r="A728" s="7">
        <v>727.0</v>
      </c>
      <c r="B728" s="7" t="s">
        <v>1748</v>
      </c>
      <c r="C728" s="7" t="s">
        <v>4837</v>
      </c>
      <c r="D728" s="7"/>
      <c r="E728" s="7"/>
      <c r="F728" s="7" t="s">
        <v>4853</v>
      </c>
      <c r="G728" s="7" t="s">
        <v>4445</v>
      </c>
      <c r="H728" s="7" t="s">
        <v>4317</v>
      </c>
      <c r="I728" s="7" t="s">
        <v>4318</v>
      </c>
      <c r="K728" s="7" t="str">
        <f t="shared" si="2"/>
        <v/>
      </c>
      <c r="L728" s="7" t="str">
        <f t="shared" si="3"/>
        <v/>
      </c>
      <c r="M728" s="7">
        <f t="shared" ref="M728:N728" si="739">IF(LEN(M$1),COUNTIF($G728:$I728,M$1),"")</f>
        <v>0</v>
      </c>
      <c r="N728" s="7" t="str">
        <f t="shared" si="739"/>
        <v/>
      </c>
      <c r="O728" s="7" t="str">
        <f t="shared" si="5"/>
        <v/>
      </c>
      <c r="P728" s="7">
        <f t="shared" si="714"/>
        <v>1</v>
      </c>
      <c r="Q728" s="7" t="str">
        <f t="shared" si="7"/>
        <v/>
      </c>
      <c r="T728" s="7"/>
    </row>
    <row r="729" ht="12.75" customHeight="1">
      <c r="A729" s="7">
        <v>728.0</v>
      </c>
      <c r="B729" s="7" t="s">
        <v>1748</v>
      </c>
      <c r="C729" s="7" t="s">
        <v>4837</v>
      </c>
      <c r="D729" s="7"/>
      <c r="E729" s="7"/>
      <c r="F729" s="7" t="s">
        <v>4853</v>
      </c>
      <c r="G729" s="7" t="s">
        <v>4445</v>
      </c>
      <c r="H729" s="7" t="s">
        <v>4320</v>
      </c>
      <c r="I729" s="7" t="s">
        <v>4468</v>
      </c>
      <c r="K729" s="7" t="str">
        <f t="shared" si="2"/>
        <v/>
      </c>
      <c r="L729" s="7" t="str">
        <f t="shared" si="3"/>
        <v/>
      </c>
      <c r="M729" s="7">
        <f t="shared" ref="M729:N729" si="740">IF(LEN(M$1),COUNTIF($G729:$I729,M$1),"")</f>
        <v>0</v>
      </c>
      <c r="N729" s="7" t="str">
        <f t="shared" si="740"/>
        <v/>
      </c>
      <c r="O729" s="7" t="str">
        <f t="shared" si="5"/>
        <v/>
      </c>
      <c r="P729" s="7">
        <f t="shared" si="714"/>
        <v>1</v>
      </c>
      <c r="Q729" s="7" t="str">
        <f t="shared" si="7"/>
        <v/>
      </c>
      <c r="T729" s="7"/>
    </row>
    <row r="730" ht="12.75" customHeight="1">
      <c r="A730" s="7">
        <v>729.0</v>
      </c>
      <c r="B730" s="7" t="s">
        <v>547</v>
      </c>
      <c r="C730" s="7" t="s">
        <v>4845</v>
      </c>
      <c r="D730" s="7"/>
      <c r="E730" s="7"/>
      <c r="F730" s="7" t="s">
        <v>4853</v>
      </c>
      <c r="G730" s="7" t="s">
        <v>4313</v>
      </c>
      <c r="H730" s="7" t="s">
        <v>4314</v>
      </c>
      <c r="I730" s="7" t="s">
        <v>4270</v>
      </c>
      <c r="K730" s="7" t="str">
        <f t="shared" si="2"/>
        <v/>
      </c>
      <c r="L730" s="7" t="str">
        <f t="shared" si="3"/>
        <v/>
      </c>
      <c r="M730" s="7">
        <f t="shared" ref="M730:N730" si="741">IF(LEN(M$1),COUNTIF($G730:$I730,M$1),"")</f>
        <v>0</v>
      </c>
      <c r="N730" s="7" t="str">
        <f t="shared" si="741"/>
        <v/>
      </c>
      <c r="O730" s="7" t="str">
        <f t="shared" si="5"/>
        <v/>
      </c>
      <c r="P730" s="7">
        <f t="shared" si="714"/>
        <v>1</v>
      </c>
      <c r="Q730" s="7" t="str">
        <f t="shared" si="7"/>
        <v/>
      </c>
      <c r="T730" s="7"/>
    </row>
    <row r="731" ht="12.75" customHeight="1">
      <c r="A731" s="7">
        <v>730.0</v>
      </c>
      <c r="B731" s="7" t="s">
        <v>547</v>
      </c>
      <c r="C731" s="7" t="s">
        <v>4845</v>
      </c>
      <c r="D731" s="7"/>
      <c r="E731" s="7"/>
      <c r="F731" s="7" t="s">
        <v>4853</v>
      </c>
      <c r="G731" s="7" t="s">
        <v>4313</v>
      </c>
      <c r="H731" s="7" t="s">
        <v>4315</v>
      </c>
      <c r="I731" s="7" t="s">
        <v>4316</v>
      </c>
      <c r="K731" s="7" t="str">
        <f t="shared" si="2"/>
        <v/>
      </c>
      <c r="L731" s="7" t="str">
        <f t="shared" si="3"/>
        <v/>
      </c>
      <c r="M731" s="7">
        <f t="shared" ref="M731:N731" si="742">IF(LEN(M$1),COUNTIF($G731:$I731,M$1),"")</f>
        <v>0</v>
      </c>
      <c r="N731" s="7" t="str">
        <f t="shared" si="742"/>
        <v/>
      </c>
      <c r="O731" s="7" t="str">
        <f t="shared" si="5"/>
        <v/>
      </c>
      <c r="P731" s="7">
        <f t="shared" si="714"/>
        <v>1</v>
      </c>
      <c r="Q731" s="7" t="str">
        <f t="shared" si="7"/>
        <v/>
      </c>
      <c r="T731" s="7"/>
    </row>
    <row r="732" ht="12.75" customHeight="1">
      <c r="A732" s="7">
        <v>731.0</v>
      </c>
      <c r="B732" s="7" t="s">
        <v>1761</v>
      </c>
      <c r="C732" s="7" t="s">
        <v>4845</v>
      </c>
      <c r="D732" s="7"/>
      <c r="E732" s="7"/>
      <c r="F732" s="7" t="s">
        <v>4853</v>
      </c>
      <c r="G732" s="7" t="s">
        <v>4439</v>
      </c>
      <c r="H732" s="7" t="s">
        <v>4321</v>
      </c>
      <c r="I732" s="7" t="s">
        <v>4322</v>
      </c>
      <c r="K732" s="7" t="str">
        <f t="shared" si="2"/>
        <v/>
      </c>
      <c r="L732" s="7" t="str">
        <f t="shared" si="3"/>
        <v/>
      </c>
      <c r="M732" s="7">
        <f t="shared" ref="M732:N732" si="743">IF(LEN(M$1),COUNTIF($G732:$I732,M$1),"")</f>
        <v>0</v>
      </c>
      <c r="N732" s="7" t="str">
        <f t="shared" si="743"/>
        <v/>
      </c>
      <c r="O732" s="7" t="str">
        <f t="shared" si="5"/>
        <v/>
      </c>
      <c r="P732" s="7">
        <f t="shared" si="714"/>
        <v>1</v>
      </c>
      <c r="Q732" s="7" t="str">
        <f t="shared" si="7"/>
        <v/>
      </c>
      <c r="T732" s="7"/>
    </row>
    <row r="733" ht="12.75" customHeight="1">
      <c r="A733" s="7">
        <v>732.0</v>
      </c>
      <c r="B733" s="7" t="s">
        <v>1761</v>
      </c>
      <c r="C733" s="7" t="s">
        <v>4845</v>
      </c>
      <c r="D733" s="7"/>
      <c r="E733" s="7"/>
      <c r="F733" s="7" t="s">
        <v>4853</v>
      </c>
      <c r="G733" s="7" t="s">
        <v>4439</v>
      </c>
      <c r="H733" s="7" t="s">
        <v>4323</v>
      </c>
      <c r="I733" s="7" t="s">
        <v>4321</v>
      </c>
      <c r="K733" s="7" t="str">
        <f t="shared" si="2"/>
        <v/>
      </c>
      <c r="L733" s="7" t="str">
        <f t="shared" si="3"/>
        <v/>
      </c>
      <c r="M733" s="7">
        <f t="shared" ref="M733:N733" si="744">IF(LEN(M$1),COUNTIF($G733:$I733,M$1),"")</f>
        <v>0</v>
      </c>
      <c r="N733" s="7" t="str">
        <f t="shared" si="744"/>
        <v/>
      </c>
      <c r="O733" s="7" t="str">
        <f t="shared" si="5"/>
        <v/>
      </c>
      <c r="P733" s="7">
        <f t="shared" si="714"/>
        <v>1</v>
      </c>
      <c r="Q733" s="7" t="str">
        <f t="shared" si="7"/>
        <v/>
      </c>
      <c r="T733" s="7"/>
    </row>
    <row r="734" ht="12.75" customHeight="1">
      <c r="A734" s="7">
        <v>733.0</v>
      </c>
      <c r="B734" s="7" t="s">
        <v>1770</v>
      </c>
      <c r="C734" s="7" t="s">
        <v>4837</v>
      </c>
      <c r="D734" s="7"/>
      <c r="E734" s="7"/>
      <c r="F734" s="7" t="s">
        <v>4853</v>
      </c>
      <c r="G734" s="7" t="s">
        <v>4055</v>
      </c>
      <c r="H734" s="7" t="s">
        <v>3982</v>
      </c>
      <c r="I734" s="7" t="s">
        <v>4166</v>
      </c>
      <c r="K734" s="7" t="str">
        <f t="shared" si="2"/>
        <v/>
      </c>
      <c r="L734" s="7" t="str">
        <f t="shared" si="3"/>
        <v/>
      </c>
      <c r="M734" s="7">
        <f t="shared" ref="M734:N734" si="745">IF(LEN(M$1),COUNTIF($G734:$I734,M$1),"")</f>
        <v>0</v>
      </c>
      <c r="N734" s="7" t="str">
        <f t="shared" si="745"/>
        <v/>
      </c>
      <c r="O734" s="7" t="str">
        <f t="shared" si="5"/>
        <v/>
      </c>
      <c r="P734" s="7">
        <f t="shared" si="714"/>
        <v>1</v>
      </c>
      <c r="Q734" s="7" t="str">
        <f t="shared" si="7"/>
        <v/>
      </c>
      <c r="T734" s="7"/>
    </row>
    <row r="735" ht="12.75" customHeight="1">
      <c r="A735" s="7">
        <v>734.0</v>
      </c>
      <c r="B735" s="7" t="s">
        <v>1770</v>
      </c>
      <c r="C735" s="7" t="s">
        <v>4837</v>
      </c>
      <c r="D735" s="7"/>
      <c r="E735" s="7"/>
      <c r="F735" s="7" t="s">
        <v>4853</v>
      </c>
      <c r="G735" s="7" t="s">
        <v>3999</v>
      </c>
      <c r="H735" s="7" t="s">
        <v>4062</v>
      </c>
      <c r="I735" s="7" t="s">
        <v>4162</v>
      </c>
      <c r="K735" s="7" t="str">
        <f t="shared" si="2"/>
        <v/>
      </c>
      <c r="L735" s="7" t="str">
        <f t="shared" si="3"/>
        <v/>
      </c>
      <c r="M735" s="7">
        <f t="shared" ref="M735:N735" si="746">IF(LEN(M$1),COUNTIF($G735:$I735,M$1),"")</f>
        <v>0</v>
      </c>
      <c r="N735" s="7" t="str">
        <f t="shared" si="746"/>
        <v/>
      </c>
      <c r="O735" s="7" t="str">
        <f t="shared" si="5"/>
        <v/>
      </c>
      <c r="P735" s="7">
        <f t="shared" si="714"/>
        <v>1</v>
      </c>
      <c r="Q735" s="7" t="str">
        <f t="shared" si="7"/>
        <v/>
      </c>
      <c r="T735" s="7"/>
    </row>
    <row r="736" ht="12.75" customHeight="1">
      <c r="A736" s="7">
        <v>735.0</v>
      </c>
      <c r="B736" s="7" t="s">
        <v>1778</v>
      </c>
      <c r="C736" s="7" t="s">
        <v>4837</v>
      </c>
      <c r="D736" s="7"/>
      <c r="E736" s="7"/>
      <c r="F736" s="7" t="s">
        <v>4853</v>
      </c>
      <c r="G736" s="7" t="s">
        <v>4145</v>
      </c>
      <c r="H736" s="7" t="s">
        <v>4216</v>
      </c>
      <c r="I736" s="7" t="s">
        <v>4161</v>
      </c>
      <c r="K736" s="7" t="str">
        <f t="shared" si="2"/>
        <v/>
      </c>
      <c r="L736" s="7" t="str">
        <f t="shared" si="3"/>
        <v/>
      </c>
      <c r="M736" s="7">
        <f t="shared" ref="M736:N736" si="747">IF(LEN(M$1),COUNTIF($G736:$I736,M$1),"")</f>
        <v>0</v>
      </c>
      <c r="N736" s="7" t="str">
        <f t="shared" si="747"/>
        <v/>
      </c>
      <c r="O736" s="7" t="str">
        <f t="shared" si="5"/>
        <v/>
      </c>
      <c r="P736" s="7">
        <f t="shared" si="714"/>
        <v>1</v>
      </c>
      <c r="Q736" s="7" t="str">
        <f t="shared" si="7"/>
        <v/>
      </c>
      <c r="T736" s="7"/>
    </row>
    <row r="737" ht="12.75" customHeight="1">
      <c r="A737" s="7">
        <v>736.0</v>
      </c>
      <c r="B737" s="7" t="s">
        <v>1778</v>
      </c>
      <c r="C737" s="7" t="s">
        <v>4837</v>
      </c>
      <c r="D737" s="7"/>
      <c r="E737" s="7"/>
      <c r="F737" s="7" t="s">
        <v>4853</v>
      </c>
      <c r="G737" s="7" t="s">
        <v>4191</v>
      </c>
      <c r="H737" s="7" t="s">
        <v>4140</v>
      </c>
      <c r="I737" s="7" t="s">
        <v>4192</v>
      </c>
      <c r="K737" s="7" t="str">
        <f t="shared" si="2"/>
        <v/>
      </c>
      <c r="L737" s="7" t="str">
        <f t="shared" si="3"/>
        <v/>
      </c>
      <c r="M737" s="7">
        <f t="shared" ref="M737:N737" si="748">IF(LEN(M$1),COUNTIF($G737:$I737,M$1),"")</f>
        <v>0</v>
      </c>
      <c r="N737" s="7" t="str">
        <f t="shared" si="748"/>
        <v/>
      </c>
      <c r="O737" s="7" t="str">
        <f t="shared" si="5"/>
        <v/>
      </c>
      <c r="P737" s="7">
        <f t="shared" si="714"/>
        <v>1</v>
      </c>
      <c r="Q737" s="7" t="str">
        <f t="shared" si="7"/>
        <v/>
      </c>
      <c r="T737" s="7"/>
    </row>
    <row r="738" ht="12.75" customHeight="1">
      <c r="A738" s="7">
        <v>737.0</v>
      </c>
      <c r="B738" s="7" t="s">
        <v>1786</v>
      </c>
      <c r="C738" s="7" t="s">
        <v>4845</v>
      </c>
      <c r="D738" s="7"/>
      <c r="E738" s="7"/>
      <c r="F738" s="7" t="s">
        <v>4853</v>
      </c>
      <c r="G738" s="7" t="s">
        <v>4268</v>
      </c>
      <c r="H738" s="7" t="s">
        <v>4092</v>
      </c>
      <c r="I738" s="7" t="s">
        <v>4021</v>
      </c>
      <c r="K738" s="7" t="str">
        <f t="shared" si="2"/>
        <v/>
      </c>
      <c r="L738" s="7" t="str">
        <f t="shared" si="3"/>
        <v/>
      </c>
      <c r="M738" s="7">
        <f t="shared" ref="M738:N738" si="749">IF(LEN(M$1),COUNTIF($G738:$I738,M$1),"")</f>
        <v>0</v>
      </c>
      <c r="N738" s="7" t="str">
        <f t="shared" si="749"/>
        <v/>
      </c>
      <c r="O738" s="7" t="str">
        <f t="shared" si="5"/>
        <v/>
      </c>
      <c r="P738" s="7">
        <f t="shared" si="714"/>
        <v>1</v>
      </c>
      <c r="Q738" s="7" t="str">
        <f t="shared" si="7"/>
        <v/>
      </c>
      <c r="T738" s="7"/>
    </row>
    <row r="739" ht="12.75" customHeight="1">
      <c r="A739" s="7">
        <v>738.0</v>
      </c>
      <c r="B739" s="7" t="s">
        <v>1786</v>
      </c>
      <c r="C739" s="7" t="s">
        <v>4845</v>
      </c>
      <c r="D739" s="7"/>
      <c r="E739" s="7"/>
      <c r="F739" s="7" t="s">
        <v>4853</v>
      </c>
      <c r="G739" s="7" t="s">
        <v>4104</v>
      </c>
      <c r="H739" s="7" t="s">
        <v>4271</v>
      </c>
      <c r="I739" s="7" t="s">
        <v>4117</v>
      </c>
      <c r="K739" s="7" t="str">
        <f t="shared" si="2"/>
        <v/>
      </c>
      <c r="L739" s="7" t="str">
        <f t="shared" si="3"/>
        <v/>
      </c>
      <c r="M739" s="7">
        <f t="shared" ref="M739:N739" si="750">IF(LEN(M$1),COUNTIF($G739:$I739,M$1),"")</f>
        <v>0</v>
      </c>
      <c r="N739" s="7" t="str">
        <f t="shared" si="750"/>
        <v/>
      </c>
      <c r="O739" s="7" t="str">
        <f t="shared" si="5"/>
        <v/>
      </c>
      <c r="P739" s="7">
        <f t="shared" si="714"/>
        <v>1</v>
      </c>
      <c r="Q739" s="7" t="str">
        <f t="shared" si="7"/>
        <v/>
      </c>
      <c r="T739" s="7"/>
    </row>
    <row r="740" ht="12.75" customHeight="1">
      <c r="A740" s="7">
        <v>739.0</v>
      </c>
      <c r="B740" s="7" t="s">
        <v>329</v>
      </c>
      <c r="C740" s="7" t="s">
        <v>4845</v>
      </c>
      <c r="D740" s="7"/>
      <c r="E740" s="7"/>
      <c r="F740" s="7" t="s">
        <v>4853</v>
      </c>
      <c r="G740" s="7" t="s">
        <v>4112</v>
      </c>
      <c r="H740" s="7" t="s">
        <v>3993</v>
      </c>
      <c r="I740" s="7" t="s">
        <v>4194</v>
      </c>
      <c r="K740" s="7" t="str">
        <f t="shared" si="2"/>
        <v/>
      </c>
      <c r="L740" s="7" t="str">
        <f t="shared" si="3"/>
        <v/>
      </c>
      <c r="M740" s="7">
        <f t="shared" ref="M740:N740" si="751">IF(LEN(M$1),COUNTIF($G740:$I740,M$1),"")</f>
        <v>0</v>
      </c>
      <c r="N740" s="7" t="str">
        <f t="shared" si="751"/>
        <v/>
      </c>
      <c r="O740" s="7" t="str">
        <f t="shared" si="5"/>
        <v/>
      </c>
      <c r="P740" s="7">
        <f t="shared" si="714"/>
        <v>1</v>
      </c>
      <c r="Q740" s="7" t="str">
        <f t="shared" si="7"/>
        <v/>
      </c>
      <c r="T740" s="7"/>
    </row>
    <row r="741" ht="12.75" customHeight="1">
      <c r="A741" s="7">
        <v>740.0</v>
      </c>
      <c r="B741" s="7" t="s">
        <v>1800</v>
      </c>
      <c r="C741" s="7" t="s">
        <v>4841</v>
      </c>
      <c r="D741" s="7"/>
      <c r="E741" s="7"/>
      <c r="F741" s="7" t="s">
        <v>4853</v>
      </c>
      <c r="G741" s="7" t="s">
        <v>3973</v>
      </c>
      <c r="H741" s="7" t="s">
        <v>4128</v>
      </c>
      <c r="I741" s="7" t="s">
        <v>4020</v>
      </c>
      <c r="K741" s="7" t="str">
        <f t="shared" si="2"/>
        <v/>
      </c>
      <c r="L741" s="7" t="str">
        <f t="shared" si="3"/>
        <v/>
      </c>
      <c r="M741" s="7">
        <f t="shared" ref="M741:N741" si="752">IF(LEN(M$1),COUNTIF($G741:$I741,M$1),"")</f>
        <v>0</v>
      </c>
      <c r="N741" s="7" t="str">
        <f t="shared" si="752"/>
        <v/>
      </c>
      <c r="O741" s="7" t="str">
        <f t="shared" si="5"/>
        <v/>
      </c>
      <c r="P741" s="7">
        <f t="shared" si="714"/>
        <v>1</v>
      </c>
      <c r="Q741" s="7" t="str">
        <f t="shared" si="7"/>
        <v/>
      </c>
      <c r="T741" s="7"/>
    </row>
    <row r="742" ht="12.75" customHeight="1">
      <c r="A742" s="7">
        <v>741.0</v>
      </c>
      <c r="B742" s="7" t="s">
        <v>1800</v>
      </c>
      <c r="C742" s="7" t="s">
        <v>4841</v>
      </c>
      <c r="D742" s="7"/>
      <c r="E742" s="7"/>
      <c r="F742" s="7" t="s">
        <v>4853</v>
      </c>
      <c r="G742" s="7" t="s">
        <v>4201</v>
      </c>
      <c r="H742" s="7" t="s">
        <v>4108</v>
      </c>
      <c r="I742" s="7" t="s">
        <v>4211</v>
      </c>
      <c r="K742" s="7" t="str">
        <f t="shared" si="2"/>
        <v/>
      </c>
      <c r="L742" s="7" t="str">
        <f t="shared" si="3"/>
        <v/>
      </c>
      <c r="M742" s="7">
        <f t="shared" ref="M742:N742" si="753">IF(LEN(M$1),COUNTIF($G742:$I742,M$1),"")</f>
        <v>0</v>
      </c>
      <c r="N742" s="7" t="str">
        <f t="shared" si="753"/>
        <v/>
      </c>
      <c r="O742" s="7" t="str">
        <f t="shared" si="5"/>
        <v/>
      </c>
      <c r="P742" s="7">
        <f t="shared" si="714"/>
        <v>1</v>
      </c>
      <c r="Q742" s="7" t="str">
        <f t="shared" si="7"/>
        <v/>
      </c>
      <c r="T742" s="7"/>
    </row>
    <row r="743" ht="12.75" customHeight="1">
      <c r="A743" s="7">
        <v>742.0</v>
      </c>
      <c r="B743" s="7" t="s">
        <v>1807</v>
      </c>
      <c r="C743" s="7" t="s">
        <v>4841</v>
      </c>
      <c r="D743" s="7"/>
      <c r="E743" s="7"/>
      <c r="F743" s="7" t="s">
        <v>4853</v>
      </c>
      <c r="G743" s="7" t="s">
        <v>4010</v>
      </c>
      <c r="H743" s="7" t="s">
        <v>4095</v>
      </c>
      <c r="I743" s="7" t="s">
        <v>4125</v>
      </c>
      <c r="K743" s="7" t="str">
        <f t="shared" si="2"/>
        <v/>
      </c>
      <c r="L743" s="7" t="str">
        <f t="shared" si="3"/>
        <v/>
      </c>
      <c r="M743" s="7">
        <f t="shared" ref="M743:N743" si="754">IF(LEN(M$1),COUNTIF($G743:$I743,M$1),"")</f>
        <v>0</v>
      </c>
      <c r="N743" s="7" t="str">
        <f t="shared" si="754"/>
        <v/>
      </c>
      <c r="O743" s="7" t="str">
        <f t="shared" si="5"/>
        <v/>
      </c>
      <c r="P743" s="7">
        <f t="shared" si="714"/>
        <v>1</v>
      </c>
      <c r="Q743" s="7" t="str">
        <f t="shared" si="7"/>
        <v/>
      </c>
      <c r="T743" s="7"/>
    </row>
    <row r="744" ht="12.75" customHeight="1">
      <c r="A744" s="7">
        <v>743.0</v>
      </c>
      <c r="B744" s="7" t="s">
        <v>1807</v>
      </c>
      <c r="C744" s="7" t="s">
        <v>4841</v>
      </c>
      <c r="D744" s="7"/>
      <c r="E744" s="7"/>
      <c r="F744" s="7" t="s">
        <v>4853</v>
      </c>
      <c r="G744" s="7" t="s">
        <v>4037</v>
      </c>
      <c r="H744" s="7" t="s">
        <v>4257</v>
      </c>
      <c r="I744" s="7" t="s">
        <v>4135</v>
      </c>
      <c r="K744" s="7" t="str">
        <f t="shared" si="2"/>
        <v/>
      </c>
      <c r="L744" s="7" t="str">
        <f t="shared" si="3"/>
        <v/>
      </c>
      <c r="M744" s="7">
        <f t="shared" ref="M744:N744" si="755">IF(LEN(M$1),COUNTIF($G744:$I744,M$1),"")</f>
        <v>0</v>
      </c>
      <c r="N744" s="7" t="str">
        <f t="shared" si="755"/>
        <v/>
      </c>
      <c r="O744" s="7" t="str">
        <f t="shared" si="5"/>
        <v/>
      </c>
      <c r="P744" s="7">
        <f t="shared" si="714"/>
        <v>1</v>
      </c>
      <c r="Q744" s="7" t="str">
        <f t="shared" si="7"/>
        <v/>
      </c>
      <c r="T744" s="7"/>
    </row>
    <row r="745" ht="12.75" customHeight="1">
      <c r="A745" s="7">
        <v>744.0</v>
      </c>
      <c r="B745" s="7" t="s">
        <v>1813</v>
      </c>
      <c r="C745" s="7" t="s">
        <v>4846</v>
      </c>
      <c r="D745" s="7"/>
      <c r="E745" s="7"/>
      <c r="F745" s="7" t="s">
        <v>4853</v>
      </c>
      <c r="G745" s="7" t="s">
        <v>4061</v>
      </c>
      <c r="H745" s="7" t="s">
        <v>4119</v>
      </c>
      <c r="I745" s="7" t="s">
        <v>4000</v>
      </c>
      <c r="K745" s="7" t="str">
        <f t="shared" si="2"/>
        <v/>
      </c>
      <c r="L745" s="7" t="str">
        <f t="shared" si="3"/>
        <v/>
      </c>
      <c r="M745" s="7">
        <f t="shared" ref="M745:N745" si="756">IF(LEN(M$1),COUNTIF($G745:$I745,M$1),"")</f>
        <v>0</v>
      </c>
      <c r="N745" s="7" t="str">
        <f t="shared" si="756"/>
        <v/>
      </c>
      <c r="O745" s="7" t="str">
        <f t="shared" si="5"/>
        <v/>
      </c>
      <c r="P745" s="7">
        <f t="shared" si="714"/>
        <v>1</v>
      </c>
      <c r="Q745" s="7" t="str">
        <f t="shared" si="7"/>
        <v/>
      </c>
      <c r="T745" s="7"/>
    </row>
    <row r="746" ht="12.75" customHeight="1">
      <c r="A746" s="7">
        <v>745.0</v>
      </c>
      <c r="B746" s="7" t="s">
        <v>1813</v>
      </c>
      <c r="C746" s="7" t="s">
        <v>4846</v>
      </c>
      <c r="D746" s="7"/>
      <c r="E746" s="7"/>
      <c r="F746" s="7" t="s">
        <v>4853</v>
      </c>
      <c r="G746" s="7" t="s">
        <v>4167</v>
      </c>
      <c r="H746" s="7" t="s">
        <v>4120</v>
      </c>
      <c r="I746" s="7" t="s">
        <v>4084</v>
      </c>
      <c r="K746" s="7" t="str">
        <f t="shared" si="2"/>
        <v/>
      </c>
      <c r="L746" s="7" t="str">
        <f t="shared" si="3"/>
        <v/>
      </c>
      <c r="M746" s="7">
        <f t="shared" ref="M746:N746" si="757">IF(LEN(M$1),COUNTIF($G746:$I746,M$1),"")</f>
        <v>0</v>
      </c>
      <c r="N746" s="7" t="str">
        <f t="shared" si="757"/>
        <v/>
      </c>
      <c r="O746" s="7" t="str">
        <f t="shared" si="5"/>
        <v/>
      </c>
      <c r="P746" s="7">
        <f t="shared" si="714"/>
        <v>1</v>
      </c>
      <c r="Q746" s="7" t="str">
        <f t="shared" si="7"/>
        <v/>
      </c>
      <c r="T746" s="7"/>
    </row>
    <row r="747" ht="12.75" customHeight="1">
      <c r="A747" s="7">
        <v>746.0</v>
      </c>
      <c r="B747" s="7" t="s">
        <v>1820</v>
      </c>
      <c r="C747" s="7" t="s">
        <v>4846</v>
      </c>
      <c r="D747" s="7"/>
      <c r="E747" s="7"/>
      <c r="F747" s="7" t="s">
        <v>4853</v>
      </c>
      <c r="G747" s="7" t="s">
        <v>4017</v>
      </c>
      <c r="H747" s="7" t="s">
        <v>4052</v>
      </c>
      <c r="I747" s="7" t="s">
        <v>4070</v>
      </c>
      <c r="K747" s="7" t="str">
        <f t="shared" si="2"/>
        <v/>
      </c>
      <c r="L747" s="7" t="str">
        <f t="shared" si="3"/>
        <v/>
      </c>
      <c r="M747" s="7">
        <f t="shared" ref="M747:N747" si="758">IF(LEN(M$1),COUNTIF($G747:$I747,M$1),"")</f>
        <v>0</v>
      </c>
      <c r="N747" s="7" t="str">
        <f t="shared" si="758"/>
        <v/>
      </c>
      <c r="O747" s="7" t="str">
        <f t="shared" si="5"/>
        <v/>
      </c>
      <c r="P747" s="7">
        <f t="shared" si="714"/>
        <v>1</v>
      </c>
      <c r="Q747" s="7" t="str">
        <f t="shared" si="7"/>
        <v/>
      </c>
      <c r="T747" s="7"/>
    </row>
    <row r="748" ht="12.75" customHeight="1">
      <c r="A748" s="7">
        <v>747.0</v>
      </c>
      <c r="B748" s="7" t="s">
        <v>1820</v>
      </c>
      <c r="C748" s="7" t="s">
        <v>4846</v>
      </c>
      <c r="D748" s="7"/>
      <c r="E748" s="7"/>
      <c r="F748" s="7" t="s">
        <v>4853</v>
      </c>
      <c r="G748" s="7" t="s">
        <v>4259</v>
      </c>
      <c r="H748" s="7" t="s">
        <v>4022</v>
      </c>
      <c r="I748" s="7" t="s">
        <v>4203</v>
      </c>
      <c r="K748" s="7" t="str">
        <f t="shared" si="2"/>
        <v/>
      </c>
      <c r="L748" s="7" t="str">
        <f t="shared" si="3"/>
        <v/>
      </c>
      <c r="M748" s="7">
        <f t="shared" ref="M748:N748" si="759">IF(LEN(M$1),COUNTIF($G748:$I748,M$1),"")</f>
        <v>0</v>
      </c>
      <c r="N748" s="7" t="str">
        <f t="shared" si="759"/>
        <v/>
      </c>
      <c r="O748" s="7" t="str">
        <f t="shared" si="5"/>
        <v/>
      </c>
      <c r="P748" s="7">
        <f t="shared" si="714"/>
        <v>1</v>
      </c>
      <c r="Q748" s="7" t="str">
        <f t="shared" si="7"/>
        <v/>
      </c>
      <c r="T748" s="7"/>
    </row>
    <row r="749" ht="12.75" customHeight="1">
      <c r="A749" s="7">
        <v>748.0</v>
      </c>
      <c r="B749" s="7" t="s">
        <v>1828</v>
      </c>
      <c r="C749" s="7" t="s">
        <v>4852</v>
      </c>
      <c r="D749" s="7"/>
      <c r="E749" s="7"/>
      <c r="F749" s="7" t="s">
        <v>4853</v>
      </c>
      <c r="G749" s="7" t="s">
        <v>4044</v>
      </c>
      <c r="H749" s="7" t="s">
        <v>4146</v>
      </c>
      <c r="I749" s="7" t="s">
        <v>4043</v>
      </c>
      <c r="K749" s="7" t="str">
        <f t="shared" si="2"/>
        <v/>
      </c>
      <c r="L749" s="7" t="str">
        <f t="shared" si="3"/>
        <v/>
      </c>
      <c r="M749" s="7">
        <f t="shared" ref="M749:N749" si="760">IF(LEN(M$1),COUNTIF($G749:$I749,M$1),"")</f>
        <v>0</v>
      </c>
      <c r="N749" s="7" t="str">
        <f t="shared" si="760"/>
        <v/>
      </c>
      <c r="O749" s="7" t="str">
        <f t="shared" si="5"/>
        <v/>
      </c>
      <c r="P749" s="7">
        <f t="shared" si="714"/>
        <v>1</v>
      </c>
      <c r="Q749" s="7" t="str">
        <f t="shared" si="7"/>
        <v/>
      </c>
      <c r="T749" s="7"/>
    </row>
    <row r="750" ht="12.75" customHeight="1">
      <c r="A750" s="7">
        <v>749.0</v>
      </c>
      <c r="B750" s="7" t="s">
        <v>1835</v>
      </c>
      <c r="C750" s="7" t="s">
        <v>4852</v>
      </c>
      <c r="D750" s="7"/>
      <c r="E750" s="7"/>
      <c r="F750" s="7" t="s">
        <v>4853</v>
      </c>
      <c r="G750" s="7" t="s">
        <v>3978</v>
      </c>
      <c r="H750" s="7" t="s">
        <v>4040</v>
      </c>
      <c r="I750" s="7" t="s">
        <v>4165</v>
      </c>
      <c r="K750" s="7" t="str">
        <f t="shared" si="2"/>
        <v/>
      </c>
      <c r="L750" s="7" t="str">
        <f t="shared" si="3"/>
        <v/>
      </c>
      <c r="M750" s="7">
        <f t="shared" ref="M750:N750" si="761">IF(LEN(M$1),COUNTIF($G750:$I750,M$1),"")</f>
        <v>0</v>
      </c>
      <c r="N750" s="7" t="str">
        <f t="shared" si="761"/>
        <v/>
      </c>
      <c r="O750" s="7" t="str">
        <f t="shared" si="5"/>
        <v/>
      </c>
      <c r="P750" s="7">
        <f t="shared" si="714"/>
        <v>1</v>
      </c>
      <c r="Q750" s="7" t="str">
        <f t="shared" si="7"/>
        <v/>
      </c>
      <c r="T750" s="7"/>
    </row>
    <row r="751" ht="12.75" customHeight="1">
      <c r="A751" s="7">
        <v>750.0</v>
      </c>
      <c r="B751" s="7" t="s">
        <v>1835</v>
      </c>
      <c r="C751" s="7" t="s">
        <v>4852</v>
      </c>
      <c r="D751" s="7"/>
      <c r="E751" s="7"/>
      <c r="F751" s="7" t="s">
        <v>4853</v>
      </c>
      <c r="G751" s="7" t="s">
        <v>4240</v>
      </c>
      <c r="H751" s="7" t="s">
        <v>4225</v>
      </c>
      <c r="I751" s="7" t="s">
        <v>4260</v>
      </c>
      <c r="K751" s="7" t="str">
        <f t="shared" si="2"/>
        <v/>
      </c>
      <c r="L751" s="7" t="str">
        <f t="shared" si="3"/>
        <v/>
      </c>
      <c r="M751" s="7">
        <f t="shared" ref="M751:N751" si="762">IF(LEN(M$1),COUNTIF($G751:$I751,M$1),"")</f>
        <v>0</v>
      </c>
      <c r="N751" s="7" t="str">
        <f t="shared" si="762"/>
        <v/>
      </c>
      <c r="O751" s="7" t="str">
        <f t="shared" si="5"/>
        <v/>
      </c>
      <c r="P751" s="7">
        <f t="shared" si="714"/>
        <v>1</v>
      </c>
      <c r="Q751" s="7" t="str">
        <f t="shared" si="7"/>
        <v/>
      </c>
      <c r="T751" s="7"/>
    </row>
    <row r="752" ht="12.75" customHeight="1">
      <c r="A752" s="7">
        <v>751.0</v>
      </c>
      <c r="B752" s="7" t="s">
        <v>1843</v>
      </c>
      <c r="C752" s="7" t="s">
        <v>3108</v>
      </c>
      <c r="D752" s="7"/>
      <c r="E752" s="7"/>
      <c r="F752" s="7" t="s">
        <v>4853</v>
      </c>
      <c r="G752" s="7" t="s">
        <v>4088</v>
      </c>
      <c r="H752" s="7" t="s">
        <v>4113</v>
      </c>
      <c r="I752" s="7" t="s">
        <v>4163</v>
      </c>
      <c r="K752" s="7" t="str">
        <f t="shared" si="2"/>
        <v/>
      </c>
      <c r="L752" s="7" t="str">
        <f t="shared" si="3"/>
        <v/>
      </c>
      <c r="M752" s="7">
        <f t="shared" ref="M752:N752" si="763">IF(LEN(M$1),COUNTIF($G752:$I752,M$1),"")</f>
        <v>0</v>
      </c>
      <c r="N752" s="7" t="str">
        <f t="shared" si="763"/>
        <v/>
      </c>
      <c r="O752" s="7" t="str">
        <f t="shared" si="5"/>
        <v/>
      </c>
      <c r="P752" s="7">
        <f t="shared" si="714"/>
        <v>1</v>
      </c>
      <c r="Q752" s="7" t="str">
        <f t="shared" si="7"/>
        <v/>
      </c>
      <c r="T752" s="7"/>
    </row>
    <row r="753" ht="12.75" customHeight="1">
      <c r="A753" s="7">
        <v>752.0</v>
      </c>
      <c r="B753" s="7" t="s">
        <v>1851</v>
      </c>
      <c r="C753" s="7" t="s">
        <v>3108</v>
      </c>
      <c r="D753" s="7"/>
      <c r="E753" s="7"/>
      <c r="F753" s="7" t="s">
        <v>4853</v>
      </c>
      <c r="G753" s="7" t="s">
        <v>4139</v>
      </c>
      <c r="H753" s="7" t="s">
        <v>4117</v>
      </c>
      <c r="I753" s="7" t="s">
        <v>3979</v>
      </c>
      <c r="K753" s="7" t="str">
        <f t="shared" si="2"/>
        <v/>
      </c>
      <c r="L753" s="7" t="str">
        <f t="shared" si="3"/>
        <v/>
      </c>
      <c r="M753" s="7">
        <f t="shared" ref="M753:N753" si="764">IF(LEN(M$1),COUNTIF($G753:$I753,M$1),"")</f>
        <v>0</v>
      </c>
      <c r="N753" s="7" t="str">
        <f t="shared" si="764"/>
        <v/>
      </c>
      <c r="O753" s="7" t="str">
        <f t="shared" si="5"/>
        <v/>
      </c>
      <c r="P753" s="7">
        <f t="shared" si="714"/>
        <v>1</v>
      </c>
      <c r="Q753" s="7" t="str">
        <f t="shared" si="7"/>
        <v/>
      </c>
      <c r="T753" s="7"/>
    </row>
    <row r="754" ht="12.75" customHeight="1">
      <c r="A754" s="7">
        <v>753.0</v>
      </c>
      <c r="B754" s="7" t="s">
        <v>1857</v>
      </c>
      <c r="C754" s="7" t="s">
        <v>4839</v>
      </c>
      <c r="D754" s="7"/>
      <c r="E754" s="7"/>
      <c r="F754" s="7" t="s">
        <v>4853</v>
      </c>
      <c r="G754" s="7" t="s">
        <v>4013</v>
      </c>
      <c r="H754" s="7" t="s">
        <v>3972</v>
      </c>
      <c r="I754" s="7" t="s">
        <v>4079</v>
      </c>
      <c r="K754" s="7" t="str">
        <f t="shared" si="2"/>
        <v/>
      </c>
      <c r="L754" s="7" t="str">
        <f t="shared" si="3"/>
        <v/>
      </c>
      <c r="M754" s="7">
        <f t="shared" ref="M754:N754" si="765">IF(LEN(M$1),COUNTIF($G754:$I754,M$1),"")</f>
        <v>0</v>
      </c>
      <c r="N754" s="7" t="str">
        <f t="shared" si="765"/>
        <v/>
      </c>
      <c r="O754" s="7" t="str">
        <f t="shared" si="5"/>
        <v/>
      </c>
      <c r="P754" s="7">
        <f t="shared" si="714"/>
        <v>1</v>
      </c>
      <c r="Q754" s="7" t="str">
        <f t="shared" si="7"/>
        <v/>
      </c>
      <c r="T754" s="7"/>
    </row>
    <row r="755" ht="12.75" customHeight="1">
      <c r="A755" s="7">
        <v>754.0</v>
      </c>
      <c r="B755" s="7" t="s">
        <v>1857</v>
      </c>
      <c r="C755" s="7" t="s">
        <v>4839</v>
      </c>
      <c r="D755" s="7"/>
      <c r="E755" s="7"/>
      <c r="F755" s="7" t="s">
        <v>4853</v>
      </c>
      <c r="G755" s="7" t="s">
        <v>4254</v>
      </c>
      <c r="H755" s="7" t="s">
        <v>4012</v>
      </c>
      <c r="I755" s="7" t="s">
        <v>4042</v>
      </c>
      <c r="K755" s="7" t="str">
        <f t="shared" si="2"/>
        <v/>
      </c>
      <c r="L755" s="7" t="str">
        <f t="shared" si="3"/>
        <v/>
      </c>
      <c r="M755" s="7">
        <f t="shared" ref="M755:N755" si="766">IF(LEN(M$1),COUNTIF($G755:$I755,M$1),"")</f>
        <v>0</v>
      </c>
      <c r="N755" s="7" t="str">
        <f t="shared" si="766"/>
        <v/>
      </c>
      <c r="O755" s="7" t="str">
        <f t="shared" si="5"/>
        <v/>
      </c>
      <c r="P755" s="7">
        <f t="shared" si="714"/>
        <v>1</v>
      </c>
      <c r="Q755" s="7" t="str">
        <f t="shared" si="7"/>
        <v/>
      </c>
      <c r="T755" s="7"/>
    </row>
    <row r="756" ht="12.75" customHeight="1">
      <c r="A756" s="7">
        <v>755.0</v>
      </c>
      <c r="B756" s="7" t="s">
        <v>1864</v>
      </c>
      <c r="C756" s="7" t="s">
        <v>4839</v>
      </c>
      <c r="D756" s="7"/>
      <c r="E756" s="7"/>
      <c r="F756" s="7" t="s">
        <v>4853</v>
      </c>
      <c r="G756" s="7" t="s">
        <v>4077</v>
      </c>
      <c r="H756" s="7" t="s">
        <v>4171</v>
      </c>
      <c r="I756" s="7" t="s">
        <v>4237</v>
      </c>
      <c r="K756" s="7" t="str">
        <f t="shared" si="2"/>
        <v/>
      </c>
      <c r="L756" s="7" t="str">
        <f t="shared" si="3"/>
        <v/>
      </c>
      <c r="M756" s="7">
        <f t="shared" ref="M756:N756" si="767">IF(LEN(M$1),COUNTIF($G756:$I756,M$1),"")</f>
        <v>0</v>
      </c>
      <c r="N756" s="7" t="str">
        <f t="shared" si="767"/>
        <v/>
      </c>
      <c r="O756" s="7" t="str">
        <f t="shared" si="5"/>
        <v/>
      </c>
      <c r="P756" s="7">
        <f t="shared" si="714"/>
        <v>1</v>
      </c>
      <c r="Q756" s="7" t="str">
        <f t="shared" si="7"/>
        <v/>
      </c>
      <c r="T756" s="7"/>
    </row>
    <row r="757" ht="12.75" customHeight="1">
      <c r="A757" s="7">
        <v>756.0</v>
      </c>
      <c r="B757" s="7" t="s">
        <v>1864</v>
      </c>
      <c r="C757" s="7" t="s">
        <v>4839</v>
      </c>
      <c r="D757" s="7"/>
      <c r="E757" s="7"/>
      <c r="F757" s="7" t="s">
        <v>4853</v>
      </c>
      <c r="G757" s="7" t="s">
        <v>4200</v>
      </c>
      <c r="H757" s="7" t="s">
        <v>4245</v>
      </c>
      <c r="I757" s="7" t="s">
        <v>4111</v>
      </c>
      <c r="K757" s="7" t="str">
        <f t="shared" si="2"/>
        <v/>
      </c>
      <c r="L757" s="7" t="str">
        <f t="shared" si="3"/>
        <v/>
      </c>
      <c r="M757" s="7">
        <f t="shared" ref="M757:N757" si="768">IF(LEN(M$1),COUNTIF($G757:$I757,M$1),"")</f>
        <v>0</v>
      </c>
      <c r="N757" s="7" t="str">
        <f t="shared" si="768"/>
        <v/>
      </c>
      <c r="O757" s="7" t="str">
        <f t="shared" si="5"/>
        <v/>
      </c>
      <c r="P757" s="7">
        <f t="shared" si="714"/>
        <v>1</v>
      </c>
      <c r="Q757" s="7" t="str">
        <f t="shared" si="7"/>
        <v/>
      </c>
      <c r="T757" s="7"/>
    </row>
    <row r="758" ht="12.75" customHeight="1">
      <c r="A758" s="7">
        <v>757.0</v>
      </c>
      <c r="B758" s="7" t="s">
        <v>346</v>
      </c>
      <c r="C758" s="7" t="s">
        <v>4827</v>
      </c>
      <c r="D758" s="7"/>
      <c r="E758" s="7"/>
      <c r="F758" s="7" t="s">
        <v>4853</v>
      </c>
      <c r="G758" s="7" t="s">
        <v>3989</v>
      </c>
      <c r="H758" s="7" t="s">
        <v>4136</v>
      </c>
      <c r="I758" s="7" t="s">
        <v>4093</v>
      </c>
      <c r="K758" s="7" t="str">
        <f t="shared" si="2"/>
        <v/>
      </c>
      <c r="L758" s="7" t="str">
        <f t="shared" si="3"/>
        <v/>
      </c>
      <c r="M758" s="7">
        <f t="shared" ref="M758:N758" si="769">IF(LEN(M$1),COUNTIF($G758:$I758,M$1),"")</f>
        <v>0</v>
      </c>
      <c r="N758" s="7" t="str">
        <f t="shared" si="769"/>
        <v/>
      </c>
      <c r="O758" s="7" t="str">
        <f t="shared" si="5"/>
        <v/>
      </c>
      <c r="P758" s="7">
        <f t="shared" si="714"/>
        <v>1</v>
      </c>
      <c r="Q758" s="7" t="str">
        <f t="shared" si="7"/>
        <v/>
      </c>
      <c r="T758" s="7"/>
    </row>
    <row r="759" ht="12.75" customHeight="1">
      <c r="A759" s="7">
        <v>758.0</v>
      </c>
      <c r="B759" s="7" t="s">
        <v>1878</v>
      </c>
      <c r="C759" s="7" t="s">
        <v>4827</v>
      </c>
      <c r="D759" s="7"/>
      <c r="E759" s="7"/>
      <c r="F759" s="7" t="s">
        <v>4853</v>
      </c>
      <c r="G759" s="7" t="s">
        <v>4160</v>
      </c>
      <c r="H759" s="7" t="s">
        <v>4076</v>
      </c>
      <c r="I759" s="7" t="s">
        <v>4266</v>
      </c>
      <c r="K759" s="7" t="str">
        <f t="shared" si="2"/>
        <v/>
      </c>
      <c r="L759" s="7" t="str">
        <f t="shared" si="3"/>
        <v/>
      </c>
      <c r="M759" s="7">
        <f t="shared" ref="M759:N759" si="770">IF(LEN(M$1),COUNTIF($G759:$I759,M$1),"")</f>
        <v>0</v>
      </c>
      <c r="N759" s="7" t="str">
        <f t="shared" si="770"/>
        <v/>
      </c>
      <c r="O759" s="7" t="str">
        <f t="shared" si="5"/>
        <v/>
      </c>
      <c r="P759" s="7">
        <f t="shared" si="714"/>
        <v>1</v>
      </c>
      <c r="Q759" s="7" t="str">
        <f t="shared" si="7"/>
        <v/>
      </c>
      <c r="T759" s="7"/>
    </row>
    <row r="760" ht="12.75" customHeight="1">
      <c r="A760" s="7">
        <v>759.0</v>
      </c>
      <c r="B760" s="7" t="s">
        <v>1886</v>
      </c>
      <c r="C760" s="7" t="s">
        <v>4838</v>
      </c>
      <c r="D760" s="7"/>
      <c r="E760" s="7"/>
      <c r="F760" s="7" t="s">
        <v>4853</v>
      </c>
      <c r="G760" s="7" t="s">
        <v>4094</v>
      </c>
      <c r="H760" s="7" t="s">
        <v>4027</v>
      </c>
      <c r="I760" s="7" t="s">
        <v>4122</v>
      </c>
      <c r="K760" s="7" t="str">
        <f t="shared" si="2"/>
        <v/>
      </c>
      <c r="L760" s="7" t="str">
        <f t="shared" si="3"/>
        <v/>
      </c>
      <c r="M760" s="7">
        <f t="shared" ref="M760:N760" si="771">IF(LEN(M$1),COUNTIF($G760:$I760,M$1),"")</f>
        <v>0</v>
      </c>
      <c r="N760" s="7" t="str">
        <f t="shared" si="771"/>
        <v/>
      </c>
      <c r="O760" s="7" t="str">
        <f t="shared" si="5"/>
        <v/>
      </c>
      <c r="P760" s="7">
        <f t="shared" si="714"/>
        <v>1</v>
      </c>
      <c r="Q760" s="7" t="str">
        <f t="shared" si="7"/>
        <v/>
      </c>
      <c r="T760" s="7"/>
    </row>
    <row r="761" ht="12.75" customHeight="1">
      <c r="A761" s="7">
        <v>760.0</v>
      </c>
      <c r="B761" s="7" t="s">
        <v>1895</v>
      </c>
      <c r="C761" s="7" t="s">
        <v>4838</v>
      </c>
      <c r="D761" s="7"/>
      <c r="E761" s="7"/>
      <c r="F761" s="7" t="s">
        <v>4853</v>
      </c>
      <c r="G761" s="7" t="s">
        <v>4071</v>
      </c>
      <c r="H761" s="7" t="s">
        <v>4120</v>
      </c>
      <c r="I761" s="7" t="s">
        <v>4214</v>
      </c>
      <c r="K761" s="7" t="str">
        <f t="shared" si="2"/>
        <v/>
      </c>
      <c r="L761" s="7" t="str">
        <f t="shared" si="3"/>
        <v/>
      </c>
      <c r="M761" s="7">
        <f t="shared" ref="M761:N761" si="772">IF(LEN(M$1),COUNTIF($G761:$I761,M$1),"")</f>
        <v>0</v>
      </c>
      <c r="N761" s="7" t="str">
        <f t="shared" si="772"/>
        <v/>
      </c>
      <c r="O761" s="7" t="str">
        <f t="shared" si="5"/>
        <v/>
      </c>
      <c r="P761" s="7">
        <f t="shared" si="714"/>
        <v>1</v>
      </c>
      <c r="Q761" s="7" t="str">
        <f t="shared" si="7"/>
        <v/>
      </c>
      <c r="T761" s="7"/>
    </row>
    <row r="762" ht="12.75" customHeight="1">
      <c r="A762" s="7">
        <v>761.0</v>
      </c>
      <c r="B762" s="7" t="s">
        <v>1902</v>
      </c>
      <c r="C762" s="7" t="s">
        <v>2659</v>
      </c>
      <c r="D762" s="7"/>
      <c r="E762" s="7"/>
      <c r="F762" s="7" t="s">
        <v>4853</v>
      </c>
      <c r="G762" s="7" t="s">
        <v>4073</v>
      </c>
      <c r="H762" s="7" t="s">
        <v>4159</v>
      </c>
      <c r="I762" s="7" t="s">
        <v>4165</v>
      </c>
      <c r="K762" s="7" t="str">
        <f t="shared" si="2"/>
        <v/>
      </c>
      <c r="L762" s="7" t="str">
        <f t="shared" si="3"/>
        <v/>
      </c>
      <c r="M762" s="7">
        <f t="shared" ref="M762:N762" si="773">IF(LEN(M$1),COUNTIF($G762:$I762,M$1),"")</f>
        <v>0</v>
      </c>
      <c r="N762" s="7" t="str">
        <f t="shared" si="773"/>
        <v/>
      </c>
      <c r="O762" s="7" t="str">
        <f t="shared" si="5"/>
        <v/>
      </c>
      <c r="P762" s="7">
        <f t="shared" si="714"/>
        <v>1</v>
      </c>
      <c r="Q762" s="7" t="str">
        <f t="shared" si="7"/>
        <v/>
      </c>
      <c r="T762" s="7"/>
    </row>
    <row r="763" ht="12.75" customHeight="1">
      <c r="A763" s="7">
        <v>762.0</v>
      </c>
      <c r="B763" s="7" t="s">
        <v>1902</v>
      </c>
      <c r="C763" s="7" t="s">
        <v>2659</v>
      </c>
      <c r="D763" s="7"/>
      <c r="E763" s="7"/>
      <c r="F763" s="7" t="s">
        <v>4853</v>
      </c>
      <c r="G763" s="7" t="s">
        <v>4059</v>
      </c>
      <c r="H763" s="7" t="s">
        <v>3998</v>
      </c>
      <c r="I763" s="7" t="s">
        <v>4080</v>
      </c>
      <c r="K763" s="7" t="str">
        <f t="shared" si="2"/>
        <v/>
      </c>
      <c r="L763" s="7" t="str">
        <f t="shared" si="3"/>
        <v/>
      </c>
      <c r="M763" s="7">
        <f t="shared" ref="M763:N763" si="774">IF(LEN(M$1),COUNTIF($G763:$I763,M$1),"")</f>
        <v>0</v>
      </c>
      <c r="N763" s="7" t="str">
        <f t="shared" si="774"/>
        <v/>
      </c>
      <c r="O763" s="7" t="str">
        <f t="shared" si="5"/>
        <v/>
      </c>
      <c r="P763" s="7">
        <f t="shared" si="714"/>
        <v>1</v>
      </c>
      <c r="Q763" s="7" t="str">
        <f t="shared" si="7"/>
        <v/>
      </c>
      <c r="T763" s="7"/>
    </row>
    <row r="764" ht="12.75" customHeight="1">
      <c r="A764" s="7">
        <v>763.0</v>
      </c>
      <c r="B764" s="7" t="s">
        <v>1911</v>
      </c>
      <c r="C764" s="7" t="s">
        <v>2659</v>
      </c>
      <c r="D764" s="7"/>
      <c r="E764" s="7"/>
      <c r="F764" s="7" t="s">
        <v>4853</v>
      </c>
      <c r="G764" s="7" t="s">
        <v>4142</v>
      </c>
      <c r="H764" s="7" t="s">
        <v>4223</v>
      </c>
      <c r="I764" s="7" t="s">
        <v>3980</v>
      </c>
      <c r="K764" s="7" t="str">
        <f t="shared" si="2"/>
        <v/>
      </c>
      <c r="L764" s="7" t="str">
        <f t="shared" si="3"/>
        <v/>
      </c>
      <c r="M764" s="7">
        <f t="shared" ref="M764:N764" si="775">IF(LEN(M$1),COUNTIF($G764:$I764,M$1),"")</f>
        <v>0</v>
      </c>
      <c r="N764" s="7" t="str">
        <f t="shared" si="775"/>
        <v/>
      </c>
      <c r="O764" s="7" t="str">
        <f t="shared" si="5"/>
        <v/>
      </c>
      <c r="P764" s="7">
        <f t="shared" si="714"/>
        <v>1</v>
      </c>
      <c r="Q764" s="7" t="str">
        <f t="shared" si="7"/>
        <v/>
      </c>
      <c r="T764" s="7"/>
    </row>
    <row r="765" ht="12.75" customHeight="1">
      <c r="A765" s="7">
        <v>764.0</v>
      </c>
      <c r="B765" s="7" t="s">
        <v>487</v>
      </c>
      <c r="C765" s="7" t="s">
        <v>2659</v>
      </c>
      <c r="D765" s="7"/>
      <c r="E765" s="7"/>
      <c r="F765" s="7" t="s">
        <v>4853</v>
      </c>
      <c r="G765" s="7" t="s">
        <v>3989</v>
      </c>
      <c r="H765" s="7" t="s">
        <v>4166</v>
      </c>
      <c r="I765" s="7" t="s">
        <v>4014</v>
      </c>
      <c r="K765" s="7" t="str">
        <f t="shared" si="2"/>
        <v/>
      </c>
      <c r="L765" s="7" t="str">
        <f t="shared" si="3"/>
        <v/>
      </c>
      <c r="M765" s="7">
        <f t="shared" ref="M765:N765" si="776">IF(LEN(M$1),COUNTIF($G765:$I765,M$1),"")</f>
        <v>0</v>
      </c>
      <c r="N765" s="7" t="str">
        <f t="shared" si="776"/>
        <v/>
      </c>
      <c r="O765" s="7" t="str">
        <f t="shared" si="5"/>
        <v/>
      </c>
      <c r="P765" s="7">
        <f t="shared" si="714"/>
        <v>1</v>
      </c>
      <c r="Q765" s="7" t="str">
        <f t="shared" si="7"/>
        <v/>
      </c>
      <c r="T765" s="7"/>
    </row>
    <row r="766" ht="12.75" customHeight="1">
      <c r="A766" s="7">
        <v>765.0</v>
      </c>
      <c r="B766" s="7" t="s">
        <v>487</v>
      </c>
      <c r="C766" s="7" t="s">
        <v>2659</v>
      </c>
      <c r="D766" s="7"/>
      <c r="E766" s="7"/>
      <c r="F766" s="7" t="s">
        <v>4853</v>
      </c>
      <c r="G766" s="7" t="s">
        <v>4246</v>
      </c>
      <c r="H766" s="7" t="s">
        <v>3969</v>
      </c>
      <c r="I766" s="7" t="s">
        <v>4131</v>
      </c>
      <c r="K766" s="7" t="str">
        <f t="shared" si="2"/>
        <v/>
      </c>
      <c r="L766" s="7" t="str">
        <f t="shared" si="3"/>
        <v/>
      </c>
      <c r="M766" s="7">
        <f t="shared" ref="M766:N766" si="777">IF(LEN(M$1),COUNTIF($G766:$I766,M$1),"")</f>
        <v>0</v>
      </c>
      <c r="N766" s="7" t="str">
        <f t="shared" si="777"/>
        <v/>
      </c>
      <c r="O766" s="7" t="str">
        <f t="shared" si="5"/>
        <v/>
      </c>
      <c r="P766" s="7">
        <f t="shared" si="714"/>
        <v>1</v>
      </c>
      <c r="Q766" s="7" t="str">
        <f t="shared" si="7"/>
        <v/>
      </c>
      <c r="T766" s="7"/>
    </row>
    <row r="767" ht="12.75" customHeight="1">
      <c r="A767" s="7">
        <v>766.0</v>
      </c>
      <c r="B767" s="7" t="s">
        <v>853</v>
      </c>
      <c r="C767" s="7" t="s">
        <v>2659</v>
      </c>
      <c r="D767" s="7"/>
      <c r="E767" s="7"/>
      <c r="F767" s="7" t="s">
        <v>4853</v>
      </c>
      <c r="G767" s="7" t="s">
        <v>3970</v>
      </c>
      <c r="H767" s="7" t="s">
        <v>4273</v>
      </c>
      <c r="I767" s="7" t="s">
        <v>4250</v>
      </c>
      <c r="K767" s="7" t="str">
        <f t="shared" si="2"/>
        <v/>
      </c>
      <c r="L767" s="7" t="str">
        <f t="shared" si="3"/>
        <v/>
      </c>
      <c r="M767" s="7">
        <f t="shared" ref="M767:N767" si="778">IF(LEN(M$1),COUNTIF($G767:$I767,M$1),"")</f>
        <v>0</v>
      </c>
      <c r="N767" s="7" t="str">
        <f t="shared" si="778"/>
        <v/>
      </c>
      <c r="O767" s="7" t="str">
        <f t="shared" si="5"/>
        <v/>
      </c>
      <c r="P767" s="7">
        <f t="shared" si="714"/>
        <v>1</v>
      </c>
      <c r="Q767" s="7" t="str">
        <f t="shared" si="7"/>
        <v/>
      </c>
      <c r="T767" s="7"/>
    </row>
    <row r="768" ht="12.75" customHeight="1">
      <c r="A768" s="7">
        <v>767.0</v>
      </c>
      <c r="B768" s="7" t="s">
        <v>1933</v>
      </c>
      <c r="C768" s="7" t="s">
        <v>4780</v>
      </c>
      <c r="D768" s="7"/>
      <c r="E768" s="7"/>
      <c r="F768" s="7" t="s">
        <v>4853</v>
      </c>
      <c r="G768" s="7" t="s">
        <v>4240</v>
      </c>
      <c r="H768" s="7" t="s">
        <v>4246</v>
      </c>
      <c r="I768" s="7" t="s">
        <v>4050</v>
      </c>
      <c r="K768" s="7" t="str">
        <f t="shared" si="2"/>
        <v/>
      </c>
      <c r="L768" s="7" t="str">
        <f t="shared" si="3"/>
        <v/>
      </c>
      <c r="M768" s="7">
        <f t="shared" ref="M768:N768" si="779">IF(LEN(M$1),COUNTIF($G768:$I768,M$1),"")</f>
        <v>0</v>
      </c>
      <c r="N768" s="7" t="str">
        <f t="shared" si="779"/>
        <v/>
      </c>
      <c r="O768" s="7" t="str">
        <f t="shared" si="5"/>
        <v/>
      </c>
      <c r="P768" s="7">
        <f t="shared" si="714"/>
        <v>1</v>
      </c>
      <c r="Q768" s="7" t="str">
        <f t="shared" si="7"/>
        <v/>
      </c>
      <c r="T768" s="7"/>
    </row>
    <row r="769" ht="12.75" customHeight="1">
      <c r="A769" s="7">
        <v>768.0</v>
      </c>
      <c r="B769" s="7" t="s">
        <v>1933</v>
      </c>
      <c r="C769" s="7" t="s">
        <v>4780</v>
      </c>
      <c r="D769" s="7"/>
      <c r="E769" s="7"/>
      <c r="F769" s="7" t="s">
        <v>4853</v>
      </c>
      <c r="G769" s="7" t="s">
        <v>4254</v>
      </c>
      <c r="H769" s="7" t="s">
        <v>3997</v>
      </c>
      <c r="I769" s="7" t="s">
        <v>4279</v>
      </c>
      <c r="K769" s="7" t="str">
        <f t="shared" si="2"/>
        <v/>
      </c>
      <c r="L769" s="7" t="str">
        <f t="shared" si="3"/>
        <v/>
      </c>
      <c r="M769" s="7">
        <f t="shared" ref="M769:N769" si="780">IF(LEN(M$1),COUNTIF($G769:$I769,M$1),"")</f>
        <v>0</v>
      </c>
      <c r="N769" s="7" t="str">
        <f t="shared" si="780"/>
        <v/>
      </c>
      <c r="O769" s="7" t="str">
        <f t="shared" si="5"/>
        <v/>
      </c>
      <c r="P769" s="7">
        <f t="shared" si="714"/>
        <v>1</v>
      </c>
      <c r="Q769" s="7" t="str">
        <f t="shared" si="7"/>
        <v/>
      </c>
      <c r="T769" s="7"/>
    </row>
    <row r="770" ht="12.75" customHeight="1">
      <c r="A770" s="7">
        <v>769.0</v>
      </c>
      <c r="B770" s="7" t="s">
        <v>1933</v>
      </c>
      <c r="C770" s="7" t="s">
        <v>4780</v>
      </c>
      <c r="D770" s="7"/>
      <c r="E770" s="7"/>
      <c r="F770" s="7" t="s">
        <v>4853</v>
      </c>
      <c r="G770" s="7" t="s">
        <v>4360</v>
      </c>
      <c r="H770" s="7" t="s">
        <v>4355</v>
      </c>
      <c r="I770" s="7" t="s">
        <v>4397</v>
      </c>
      <c r="K770" s="7" t="str">
        <f t="shared" si="2"/>
        <v/>
      </c>
      <c r="L770" s="7" t="str">
        <f t="shared" si="3"/>
        <v/>
      </c>
      <c r="M770" s="7">
        <f t="shared" ref="M770:N770" si="781">IF(LEN(M$1),COUNTIF($G770:$I770,M$1),"")</f>
        <v>0</v>
      </c>
      <c r="N770" s="7" t="str">
        <f t="shared" si="781"/>
        <v/>
      </c>
      <c r="O770" s="7" t="str">
        <f t="shared" si="5"/>
        <v/>
      </c>
      <c r="P770" s="7">
        <f t="shared" si="714"/>
        <v>1</v>
      </c>
      <c r="Q770" s="7" t="str">
        <f t="shared" si="7"/>
        <v/>
      </c>
      <c r="T770" s="7"/>
    </row>
    <row r="771" ht="12.75" customHeight="1">
      <c r="A771" s="7">
        <v>770.0</v>
      </c>
      <c r="B771" s="7" t="s">
        <v>1933</v>
      </c>
      <c r="C771" s="7" t="s">
        <v>4780</v>
      </c>
      <c r="D771" s="7"/>
      <c r="E771" s="7"/>
      <c r="F771" s="7" t="s">
        <v>4853</v>
      </c>
      <c r="G771" s="7" t="s">
        <v>4360</v>
      </c>
      <c r="H771" s="7" t="s">
        <v>4050</v>
      </c>
      <c r="I771" s="7" t="s">
        <v>4394</v>
      </c>
      <c r="K771" s="7" t="str">
        <f t="shared" si="2"/>
        <v/>
      </c>
      <c r="L771" s="7" t="str">
        <f t="shared" si="3"/>
        <v/>
      </c>
      <c r="M771" s="7">
        <f t="shared" ref="M771:N771" si="782">IF(LEN(M$1),COUNTIF($G771:$I771,M$1),"")</f>
        <v>0</v>
      </c>
      <c r="N771" s="7" t="str">
        <f t="shared" si="782"/>
        <v/>
      </c>
      <c r="O771" s="7" t="str">
        <f t="shared" si="5"/>
        <v/>
      </c>
      <c r="P771" s="7">
        <f t="shared" si="714"/>
        <v>1</v>
      </c>
      <c r="Q771" s="7" t="str">
        <f t="shared" si="7"/>
        <v/>
      </c>
      <c r="T771" s="7"/>
    </row>
    <row r="772" ht="12.75" customHeight="1">
      <c r="A772" s="7">
        <v>771.0</v>
      </c>
      <c r="B772" s="7" t="s">
        <v>1941</v>
      </c>
      <c r="C772" s="7" t="s">
        <v>4780</v>
      </c>
      <c r="D772" s="7"/>
      <c r="E772" s="7"/>
      <c r="F772" s="7" t="s">
        <v>4853</v>
      </c>
      <c r="G772" s="7" t="s">
        <v>3987</v>
      </c>
      <c r="H772" s="7" t="s">
        <v>4133</v>
      </c>
      <c r="I772" s="7" t="s">
        <v>4190</v>
      </c>
      <c r="K772" s="7" t="str">
        <f t="shared" si="2"/>
        <v/>
      </c>
      <c r="L772" s="7" t="str">
        <f t="shared" si="3"/>
        <v/>
      </c>
      <c r="M772" s="7">
        <f t="shared" ref="M772:N772" si="783">IF(LEN(M$1),COUNTIF($G772:$I772,M$1),"")</f>
        <v>0</v>
      </c>
      <c r="N772" s="7" t="str">
        <f t="shared" si="783"/>
        <v/>
      </c>
      <c r="O772" s="7" t="str">
        <f t="shared" si="5"/>
        <v/>
      </c>
      <c r="P772" s="7">
        <f t="shared" si="714"/>
        <v>1</v>
      </c>
      <c r="Q772" s="7" t="str">
        <f t="shared" si="7"/>
        <v/>
      </c>
      <c r="T772" s="7"/>
    </row>
    <row r="773" ht="12.75" customHeight="1">
      <c r="A773" s="7">
        <v>772.0</v>
      </c>
      <c r="B773" s="7" t="s">
        <v>1941</v>
      </c>
      <c r="C773" s="7" t="s">
        <v>4780</v>
      </c>
      <c r="D773" s="7"/>
      <c r="E773" s="7"/>
      <c r="F773" s="7" t="s">
        <v>4853</v>
      </c>
      <c r="G773" s="7" t="s">
        <v>4145</v>
      </c>
      <c r="H773" s="7" t="s">
        <v>4116</v>
      </c>
      <c r="I773" s="7" t="s">
        <v>4195</v>
      </c>
      <c r="K773" s="7" t="str">
        <f t="shared" si="2"/>
        <v/>
      </c>
      <c r="L773" s="7" t="str">
        <f t="shared" si="3"/>
        <v/>
      </c>
      <c r="M773" s="7">
        <f t="shared" ref="M773:N773" si="784">IF(LEN(M$1),COUNTIF($G773:$I773,M$1),"")</f>
        <v>0</v>
      </c>
      <c r="N773" s="7" t="str">
        <f t="shared" si="784"/>
        <v/>
      </c>
      <c r="O773" s="7" t="str">
        <f t="shared" si="5"/>
        <v/>
      </c>
      <c r="P773" s="7">
        <f t="shared" si="714"/>
        <v>1</v>
      </c>
      <c r="Q773" s="7" t="str">
        <f t="shared" si="7"/>
        <v/>
      </c>
      <c r="T773" s="7"/>
    </row>
    <row r="774" ht="12.75" customHeight="1">
      <c r="A774" s="7">
        <v>773.0</v>
      </c>
      <c r="B774" s="7" t="s">
        <v>1941</v>
      </c>
      <c r="C774" s="7" t="s">
        <v>4780</v>
      </c>
      <c r="D774" s="7"/>
      <c r="E774" s="7"/>
      <c r="F774" s="7" t="s">
        <v>4853</v>
      </c>
      <c r="G774" s="7" t="s">
        <v>4419</v>
      </c>
      <c r="H774" s="7" t="s">
        <v>4363</v>
      </c>
      <c r="I774" s="7" t="s">
        <v>4416</v>
      </c>
      <c r="K774" s="7" t="str">
        <f t="shared" si="2"/>
        <v/>
      </c>
      <c r="L774" s="7" t="str">
        <f t="shared" si="3"/>
        <v/>
      </c>
      <c r="M774" s="7">
        <f t="shared" ref="M774:N774" si="785">IF(LEN(M$1),COUNTIF($G774:$I774,M$1),"")</f>
        <v>0</v>
      </c>
      <c r="N774" s="7" t="str">
        <f t="shared" si="785"/>
        <v/>
      </c>
      <c r="O774" s="7" t="str">
        <f t="shared" si="5"/>
        <v/>
      </c>
      <c r="P774" s="7">
        <f t="shared" si="714"/>
        <v>1</v>
      </c>
      <c r="Q774" s="7" t="str">
        <f t="shared" si="7"/>
        <v/>
      </c>
      <c r="T774" s="7"/>
    </row>
    <row r="775" ht="12.75" customHeight="1">
      <c r="A775" s="7">
        <v>774.0</v>
      </c>
      <c r="B775" s="7" t="s">
        <v>1941</v>
      </c>
      <c r="C775" s="7" t="s">
        <v>4780</v>
      </c>
      <c r="D775" s="7"/>
      <c r="E775" s="7"/>
      <c r="F775" s="7" t="s">
        <v>4853</v>
      </c>
      <c r="G775" s="7" t="s">
        <v>4419</v>
      </c>
      <c r="H775" s="7" t="s">
        <v>4145</v>
      </c>
      <c r="I775" s="7" t="s">
        <v>3999</v>
      </c>
      <c r="K775" s="7" t="str">
        <f t="shared" si="2"/>
        <v/>
      </c>
      <c r="L775" s="7" t="str">
        <f t="shared" si="3"/>
        <v/>
      </c>
      <c r="M775" s="7">
        <f t="shared" ref="M775:N775" si="786">IF(LEN(M$1),COUNTIF($G775:$I775,M$1),"")</f>
        <v>0</v>
      </c>
      <c r="N775" s="7" t="str">
        <f t="shared" si="786"/>
        <v/>
      </c>
      <c r="O775" s="7" t="str">
        <f t="shared" si="5"/>
        <v/>
      </c>
      <c r="P775" s="7">
        <f t="shared" si="714"/>
        <v>1</v>
      </c>
      <c r="Q775" s="7" t="str">
        <f t="shared" si="7"/>
        <v/>
      </c>
      <c r="T775" s="7"/>
    </row>
    <row r="776" ht="12.75" customHeight="1">
      <c r="A776" s="7">
        <v>775.0</v>
      </c>
      <c r="B776" s="7" t="s">
        <v>1948</v>
      </c>
      <c r="C776" s="7" t="s">
        <v>4782</v>
      </c>
      <c r="D776" s="7"/>
      <c r="E776" s="7"/>
      <c r="F776" s="7" t="s">
        <v>4853</v>
      </c>
      <c r="G776" s="7" t="s">
        <v>4035</v>
      </c>
      <c r="H776" s="7" t="s">
        <v>4149</v>
      </c>
      <c r="I776" s="7" t="s">
        <v>4151</v>
      </c>
      <c r="K776" s="7" t="str">
        <f t="shared" si="2"/>
        <v/>
      </c>
      <c r="L776" s="7" t="str">
        <f t="shared" si="3"/>
        <v/>
      </c>
      <c r="M776" s="7">
        <f t="shared" ref="M776:N776" si="787">IF(LEN(M$1),COUNTIF($G776:$I776,M$1),"")</f>
        <v>0</v>
      </c>
      <c r="N776" s="7" t="str">
        <f t="shared" si="787"/>
        <v/>
      </c>
      <c r="O776" s="7" t="str">
        <f t="shared" si="5"/>
        <v/>
      </c>
      <c r="P776" s="7">
        <f t="shared" si="714"/>
        <v>1</v>
      </c>
      <c r="Q776" s="7" t="str">
        <f t="shared" si="7"/>
        <v/>
      </c>
      <c r="T776" s="7"/>
    </row>
    <row r="777" ht="12.75" customHeight="1">
      <c r="A777" s="7">
        <v>776.0</v>
      </c>
      <c r="B777" s="7" t="s">
        <v>1948</v>
      </c>
      <c r="C777" s="7" t="s">
        <v>4782</v>
      </c>
      <c r="D777" s="7"/>
      <c r="E777" s="7"/>
      <c r="F777" s="7" t="s">
        <v>4853</v>
      </c>
      <c r="G777" s="7" t="s">
        <v>3988</v>
      </c>
      <c r="H777" s="7" t="s">
        <v>4204</v>
      </c>
      <c r="I777" s="7" t="s">
        <v>4061</v>
      </c>
      <c r="K777" s="7" t="str">
        <f t="shared" si="2"/>
        <v/>
      </c>
      <c r="L777" s="7" t="str">
        <f t="shared" si="3"/>
        <v/>
      </c>
      <c r="M777" s="7">
        <f t="shared" ref="M777:N777" si="788">IF(LEN(M$1),COUNTIF($G777:$I777,M$1),"")</f>
        <v>0</v>
      </c>
      <c r="N777" s="7" t="str">
        <f t="shared" si="788"/>
        <v/>
      </c>
      <c r="O777" s="7" t="str">
        <f t="shared" si="5"/>
        <v/>
      </c>
      <c r="P777" s="7">
        <f t="shared" si="714"/>
        <v>1</v>
      </c>
      <c r="Q777" s="7" t="str">
        <f t="shared" si="7"/>
        <v/>
      </c>
      <c r="T777" s="7"/>
    </row>
    <row r="778" ht="12.75" customHeight="1">
      <c r="A778" s="7">
        <v>777.0</v>
      </c>
      <c r="B778" s="7" t="s">
        <v>1948</v>
      </c>
      <c r="C778" s="7" t="s">
        <v>4782</v>
      </c>
      <c r="D778" s="7"/>
      <c r="E778" s="7"/>
      <c r="F778" s="7" t="s">
        <v>4853</v>
      </c>
      <c r="G778" s="7" t="s">
        <v>4401</v>
      </c>
      <c r="H778" s="7" t="s">
        <v>4380</v>
      </c>
      <c r="I778" s="7" t="s">
        <v>4372</v>
      </c>
      <c r="K778" s="7" t="str">
        <f t="shared" si="2"/>
        <v/>
      </c>
      <c r="L778" s="7" t="str">
        <f t="shared" si="3"/>
        <v/>
      </c>
      <c r="M778" s="7">
        <f t="shared" ref="M778:N778" si="789">IF(LEN(M$1),COUNTIF($G778:$I778,M$1),"")</f>
        <v>0</v>
      </c>
      <c r="N778" s="7" t="str">
        <f t="shared" si="789"/>
        <v/>
      </c>
      <c r="O778" s="7" t="str">
        <f t="shared" si="5"/>
        <v/>
      </c>
      <c r="P778" s="7">
        <f t="shared" si="714"/>
        <v>1</v>
      </c>
      <c r="Q778" s="7" t="str">
        <f t="shared" si="7"/>
        <v/>
      </c>
      <c r="T778" s="7"/>
    </row>
    <row r="779" ht="12.75" customHeight="1">
      <c r="A779" s="7">
        <v>778.0</v>
      </c>
      <c r="B779" s="7" t="s">
        <v>1948</v>
      </c>
      <c r="C779" s="7" t="s">
        <v>4782</v>
      </c>
      <c r="D779" s="7"/>
      <c r="E779" s="7"/>
      <c r="F779" s="7" t="s">
        <v>4853</v>
      </c>
      <c r="G779" s="7" t="s">
        <v>4401</v>
      </c>
      <c r="H779" s="7" t="s">
        <v>4393</v>
      </c>
      <c r="I779" s="7" t="s">
        <v>4372</v>
      </c>
      <c r="K779" s="7" t="str">
        <f t="shared" si="2"/>
        <v/>
      </c>
      <c r="L779" s="7" t="str">
        <f t="shared" si="3"/>
        <v/>
      </c>
      <c r="M779" s="7">
        <f t="shared" ref="M779:N779" si="790">IF(LEN(M$1),COUNTIF($G779:$I779,M$1),"")</f>
        <v>0</v>
      </c>
      <c r="N779" s="7" t="str">
        <f t="shared" si="790"/>
        <v/>
      </c>
      <c r="O779" s="7" t="str">
        <f t="shared" si="5"/>
        <v/>
      </c>
      <c r="P779" s="7">
        <f t="shared" si="714"/>
        <v>1</v>
      </c>
      <c r="Q779" s="7" t="str">
        <f t="shared" si="7"/>
        <v/>
      </c>
      <c r="T779" s="7"/>
    </row>
    <row r="780" ht="12.75" customHeight="1">
      <c r="A780" s="7">
        <v>779.0</v>
      </c>
      <c r="B780" s="7" t="s">
        <v>1874</v>
      </c>
      <c r="C780" s="7" t="s">
        <v>4782</v>
      </c>
      <c r="D780" s="7"/>
      <c r="E780" s="7"/>
      <c r="F780" s="7" t="s">
        <v>4853</v>
      </c>
      <c r="G780" s="7" t="s">
        <v>4043</v>
      </c>
      <c r="H780" s="7" t="s">
        <v>4266</v>
      </c>
      <c r="I780" s="7" t="s">
        <v>4147</v>
      </c>
      <c r="K780" s="7" t="str">
        <f t="shared" si="2"/>
        <v/>
      </c>
      <c r="L780" s="7" t="str">
        <f t="shared" si="3"/>
        <v/>
      </c>
      <c r="M780" s="7">
        <f t="shared" ref="M780:N780" si="791">IF(LEN(M$1),COUNTIF($G780:$I780,M$1),"")</f>
        <v>0</v>
      </c>
      <c r="N780" s="7" t="str">
        <f t="shared" si="791"/>
        <v/>
      </c>
      <c r="O780" s="7" t="str">
        <f t="shared" si="5"/>
        <v/>
      </c>
      <c r="P780" s="7">
        <f t="shared" si="714"/>
        <v>1</v>
      </c>
      <c r="Q780" s="7" t="str">
        <f t="shared" si="7"/>
        <v/>
      </c>
      <c r="T780" s="7"/>
    </row>
    <row r="781" ht="12.75" customHeight="1">
      <c r="A781" s="7">
        <v>780.0</v>
      </c>
      <c r="B781" s="7" t="s">
        <v>1874</v>
      </c>
      <c r="C781" s="7" t="s">
        <v>4782</v>
      </c>
      <c r="D781" s="7"/>
      <c r="E781" s="7"/>
      <c r="F781" s="7" t="s">
        <v>4853</v>
      </c>
      <c r="G781" s="7" t="s">
        <v>4069</v>
      </c>
      <c r="H781" s="7" t="s">
        <v>4119</v>
      </c>
      <c r="I781" s="7" t="s">
        <v>4150</v>
      </c>
      <c r="K781" s="7" t="str">
        <f t="shared" si="2"/>
        <v/>
      </c>
      <c r="L781" s="7" t="str">
        <f t="shared" si="3"/>
        <v/>
      </c>
      <c r="M781" s="7">
        <f t="shared" ref="M781:N781" si="792">IF(LEN(M$1),COUNTIF($G781:$I781,M$1),"")</f>
        <v>0</v>
      </c>
      <c r="N781" s="7" t="str">
        <f t="shared" si="792"/>
        <v/>
      </c>
      <c r="O781" s="7" t="str">
        <f t="shared" si="5"/>
        <v/>
      </c>
      <c r="P781" s="7">
        <f t="shared" si="714"/>
        <v>1</v>
      </c>
      <c r="Q781" s="7" t="str">
        <f t="shared" si="7"/>
        <v/>
      </c>
      <c r="T781" s="7"/>
    </row>
    <row r="782" ht="12.75" customHeight="1">
      <c r="A782" s="7">
        <v>781.0</v>
      </c>
      <c r="B782" s="7" t="s">
        <v>1874</v>
      </c>
      <c r="C782" s="7" t="s">
        <v>4782</v>
      </c>
      <c r="D782" s="7"/>
      <c r="E782" s="7"/>
      <c r="F782" s="7" t="s">
        <v>4853</v>
      </c>
      <c r="G782" s="7" t="s">
        <v>4380</v>
      </c>
      <c r="H782" s="7" t="s">
        <v>4359</v>
      </c>
      <c r="I782" s="7" t="s">
        <v>4369</v>
      </c>
      <c r="K782" s="7" t="str">
        <f t="shared" si="2"/>
        <v/>
      </c>
      <c r="L782" s="7" t="str">
        <f t="shared" si="3"/>
        <v/>
      </c>
      <c r="M782" s="7">
        <f t="shared" ref="M782:N782" si="793">IF(LEN(M$1),COUNTIF($G782:$I782,M$1),"")</f>
        <v>0</v>
      </c>
      <c r="N782" s="7" t="str">
        <f t="shared" si="793"/>
        <v/>
      </c>
      <c r="O782" s="7" t="str">
        <f t="shared" si="5"/>
        <v/>
      </c>
      <c r="P782" s="7">
        <f t="shared" si="714"/>
        <v>1</v>
      </c>
      <c r="Q782" s="7" t="str">
        <f t="shared" si="7"/>
        <v/>
      </c>
      <c r="T782" s="7"/>
    </row>
    <row r="783" ht="12.75" customHeight="1">
      <c r="A783" s="7">
        <v>782.0</v>
      </c>
      <c r="B783" s="7" t="s">
        <v>1874</v>
      </c>
      <c r="C783" s="7" t="s">
        <v>4782</v>
      </c>
      <c r="D783" s="7"/>
      <c r="E783" s="7"/>
      <c r="F783" s="7" t="s">
        <v>4853</v>
      </c>
      <c r="G783" s="7" t="s">
        <v>4380</v>
      </c>
      <c r="H783" s="7" t="s">
        <v>4139</v>
      </c>
      <c r="I783" s="7" t="s">
        <v>4369</v>
      </c>
      <c r="K783" s="7" t="str">
        <f t="shared" si="2"/>
        <v/>
      </c>
      <c r="L783" s="7" t="str">
        <f t="shared" si="3"/>
        <v/>
      </c>
      <c r="M783" s="7">
        <f t="shared" ref="M783:N783" si="794">IF(LEN(M$1),COUNTIF($G783:$I783,M$1),"")</f>
        <v>0</v>
      </c>
      <c r="N783" s="7" t="str">
        <f t="shared" si="794"/>
        <v/>
      </c>
      <c r="O783" s="7" t="str">
        <f t="shared" si="5"/>
        <v/>
      </c>
      <c r="P783" s="7">
        <f t="shared" si="714"/>
        <v>1</v>
      </c>
      <c r="Q783" s="7" t="str">
        <f t="shared" si="7"/>
        <v/>
      </c>
      <c r="T783" s="7"/>
    </row>
    <row r="784" ht="12.75" customHeight="1">
      <c r="A784" s="7">
        <v>783.0</v>
      </c>
      <c r="B784" s="7" t="s">
        <v>1962</v>
      </c>
      <c r="C784" s="7" t="s">
        <v>4822</v>
      </c>
      <c r="D784" s="7"/>
      <c r="E784" s="7"/>
      <c r="F784" s="7" t="s">
        <v>4853</v>
      </c>
      <c r="G784" s="7" t="s">
        <v>4171</v>
      </c>
      <c r="H784" s="7" t="s">
        <v>3973</v>
      </c>
      <c r="I784" s="7" t="s">
        <v>4258</v>
      </c>
      <c r="K784" s="7" t="str">
        <f t="shared" si="2"/>
        <v/>
      </c>
      <c r="L784" s="7" t="str">
        <f t="shared" si="3"/>
        <v/>
      </c>
      <c r="M784" s="7">
        <f t="shared" ref="M784:N784" si="795">IF(LEN(M$1),COUNTIF($G784:$I784,M$1),"")</f>
        <v>0</v>
      </c>
      <c r="N784" s="7" t="str">
        <f t="shared" si="795"/>
        <v/>
      </c>
      <c r="O784" s="7" t="str">
        <f t="shared" si="5"/>
        <v/>
      </c>
      <c r="P784" s="7">
        <f t="shared" si="714"/>
        <v>1</v>
      </c>
      <c r="Q784" s="7" t="str">
        <f t="shared" si="7"/>
        <v/>
      </c>
      <c r="T784" s="7"/>
    </row>
    <row r="785" ht="12.75" customHeight="1">
      <c r="A785" s="7">
        <v>784.0</v>
      </c>
      <c r="B785" s="7" t="s">
        <v>1962</v>
      </c>
      <c r="C785" s="7" t="s">
        <v>4822</v>
      </c>
      <c r="D785" s="7"/>
      <c r="E785" s="7"/>
      <c r="F785" s="7" t="s">
        <v>4853</v>
      </c>
      <c r="G785" s="7" t="s">
        <v>4156</v>
      </c>
      <c r="H785" s="7" t="s">
        <v>4175</v>
      </c>
      <c r="I785" s="7" t="s">
        <v>3972</v>
      </c>
      <c r="K785" s="7" t="str">
        <f t="shared" si="2"/>
        <v/>
      </c>
      <c r="L785" s="7" t="str">
        <f t="shared" si="3"/>
        <v/>
      </c>
      <c r="M785" s="7">
        <f t="shared" ref="M785:N785" si="796">IF(LEN(M$1),COUNTIF($G785:$I785,M$1),"")</f>
        <v>0</v>
      </c>
      <c r="N785" s="7" t="str">
        <f t="shared" si="796"/>
        <v/>
      </c>
      <c r="O785" s="7" t="str">
        <f t="shared" si="5"/>
        <v/>
      </c>
      <c r="P785" s="7">
        <f t="shared" si="714"/>
        <v>1</v>
      </c>
      <c r="Q785" s="7" t="str">
        <f t="shared" si="7"/>
        <v/>
      </c>
      <c r="T785" s="7"/>
    </row>
    <row r="786" ht="12.75" customHeight="1">
      <c r="A786" s="7">
        <v>785.0</v>
      </c>
      <c r="B786" s="7" t="s">
        <v>1962</v>
      </c>
      <c r="C786" s="7" t="s">
        <v>4822</v>
      </c>
      <c r="D786" s="7"/>
      <c r="E786" s="7"/>
      <c r="F786" s="7" t="s">
        <v>4853</v>
      </c>
      <c r="G786" s="7" t="s">
        <v>4385</v>
      </c>
      <c r="H786" s="7" t="s">
        <v>4399</v>
      </c>
      <c r="I786" s="7" t="s">
        <v>4397</v>
      </c>
      <c r="K786" s="7" t="str">
        <f t="shared" si="2"/>
        <v/>
      </c>
      <c r="L786" s="7" t="str">
        <f t="shared" si="3"/>
        <v/>
      </c>
      <c r="M786" s="7">
        <f t="shared" ref="M786:N786" si="797">IF(LEN(M$1),COUNTIF($G786:$I786,M$1),"")</f>
        <v>0</v>
      </c>
      <c r="N786" s="7" t="str">
        <f t="shared" si="797"/>
        <v/>
      </c>
      <c r="O786" s="7" t="str">
        <f t="shared" si="5"/>
        <v/>
      </c>
      <c r="P786" s="7">
        <f t="shared" si="714"/>
        <v>1</v>
      </c>
      <c r="Q786" s="7" t="str">
        <f t="shared" si="7"/>
        <v/>
      </c>
      <c r="T786" s="7"/>
    </row>
    <row r="787" ht="12.75" customHeight="1">
      <c r="A787" s="7">
        <v>786.0</v>
      </c>
      <c r="B787" s="7" t="s">
        <v>1962</v>
      </c>
      <c r="C787" s="7" t="s">
        <v>4822</v>
      </c>
      <c r="D787" s="7"/>
      <c r="E787" s="7"/>
      <c r="F787" s="7" t="s">
        <v>4853</v>
      </c>
      <c r="G787" s="7" t="s">
        <v>4385</v>
      </c>
      <c r="H787" s="7" t="s">
        <v>4399</v>
      </c>
      <c r="I787" s="7" t="s">
        <v>4058</v>
      </c>
      <c r="K787" s="7" t="str">
        <f t="shared" si="2"/>
        <v/>
      </c>
      <c r="L787" s="7" t="str">
        <f t="shared" si="3"/>
        <v/>
      </c>
      <c r="M787" s="7">
        <f t="shared" ref="M787:N787" si="798">IF(LEN(M$1),COUNTIF($G787:$I787,M$1),"")</f>
        <v>0</v>
      </c>
      <c r="N787" s="7" t="str">
        <f t="shared" si="798"/>
        <v/>
      </c>
      <c r="O787" s="7" t="str">
        <f t="shared" si="5"/>
        <v/>
      </c>
      <c r="P787" s="7">
        <f t="shared" si="714"/>
        <v>1</v>
      </c>
      <c r="Q787" s="7" t="str">
        <f t="shared" si="7"/>
        <v/>
      </c>
      <c r="T787" s="7"/>
    </row>
    <row r="788" ht="12.75" customHeight="1">
      <c r="A788" s="7">
        <v>787.0</v>
      </c>
      <c r="B788" s="7" t="s">
        <v>1969</v>
      </c>
      <c r="C788" s="7" t="s">
        <v>4822</v>
      </c>
      <c r="D788" s="7"/>
      <c r="E788" s="7"/>
      <c r="F788" s="7" t="s">
        <v>4853</v>
      </c>
      <c r="G788" s="7" t="s">
        <v>4170</v>
      </c>
      <c r="H788" s="7" t="s">
        <v>4132</v>
      </c>
      <c r="I788" s="7" t="s">
        <v>4097</v>
      </c>
      <c r="K788" s="7" t="str">
        <f t="shared" si="2"/>
        <v/>
      </c>
      <c r="L788" s="7" t="str">
        <f t="shared" si="3"/>
        <v/>
      </c>
      <c r="M788" s="7">
        <f t="shared" ref="M788:N788" si="799">IF(LEN(M$1),COUNTIF($G788:$I788,M$1),"")</f>
        <v>0</v>
      </c>
      <c r="N788" s="7" t="str">
        <f t="shared" si="799"/>
        <v/>
      </c>
      <c r="O788" s="7" t="str">
        <f t="shared" si="5"/>
        <v/>
      </c>
      <c r="P788" s="7">
        <f t="shared" si="714"/>
        <v>1</v>
      </c>
      <c r="Q788" s="7" t="str">
        <f t="shared" si="7"/>
        <v/>
      </c>
      <c r="T788" s="7"/>
    </row>
    <row r="789" ht="12.75" customHeight="1">
      <c r="A789" s="7">
        <v>788.0</v>
      </c>
      <c r="B789" s="7" t="s">
        <v>1969</v>
      </c>
      <c r="C789" s="7" t="s">
        <v>4822</v>
      </c>
      <c r="D789" s="7"/>
      <c r="E789" s="7"/>
      <c r="F789" s="7" t="s">
        <v>4853</v>
      </c>
      <c r="G789" s="7" t="s">
        <v>4259</v>
      </c>
      <c r="H789" s="7" t="s">
        <v>4112</v>
      </c>
      <c r="I789" s="7" t="s">
        <v>3988</v>
      </c>
      <c r="K789" s="7" t="str">
        <f t="shared" si="2"/>
        <v/>
      </c>
      <c r="L789" s="7" t="str">
        <f t="shared" si="3"/>
        <v/>
      </c>
      <c r="M789" s="7">
        <f t="shared" ref="M789:N789" si="800">IF(LEN(M$1),COUNTIF($G789:$I789,M$1),"")</f>
        <v>0</v>
      </c>
      <c r="N789" s="7" t="str">
        <f t="shared" si="800"/>
        <v/>
      </c>
      <c r="O789" s="7" t="str">
        <f t="shared" si="5"/>
        <v/>
      </c>
      <c r="P789" s="7">
        <f t="shared" si="714"/>
        <v>1</v>
      </c>
      <c r="Q789" s="7" t="str">
        <f t="shared" si="7"/>
        <v/>
      </c>
      <c r="T789" s="7"/>
    </row>
    <row r="790" ht="12.75" customHeight="1">
      <c r="A790" s="7">
        <v>789.0</v>
      </c>
      <c r="B790" s="7" t="s">
        <v>1969</v>
      </c>
      <c r="C790" s="7" t="s">
        <v>4822</v>
      </c>
      <c r="D790" s="7"/>
      <c r="E790" s="7"/>
      <c r="F790" s="7" t="s">
        <v>4853</v>
      </c>
      <c r="G790" s="7" t="s">
        <v>4430</v>
      </c>
      <c r="H790" s="7" t="s">
        <v>4369</v>
      </c>
      <c r="I790" s="7" t="s">
        <v>4399</v>
      </c>
      <c r="K790" s="7" t="str">
        <f t="shared" si="2"/>
        <v/>
      </c>
      <c r="L790" s="7" t="str">
        <f t="shared" si="3"/>
        <v/>
      </c>
      <c r="M790" s="7">
        <f t="shared" ref="M790:N790" si="801">IF(LEN(M$1),COUNTIF($G790:$I790,M$1),"")</f>
        <v>0</v>
      </c>
      <c r="N790" s="7" t="str">
        <f t="shared" si="801"/>
        <v/>
      </c>
      <c r="O790" s="7" t="str">
        <f t="shared" si="5"/>
        <v/>
      </c>
      <c r="P790" s="7">
        <f t="shared" si="714"/>
        <v>1</v>
      </c>
      <c r="Q790" s="7" t="str">
        <f t="shared" si="7"/>
        <v/>
      </c>
      <c r="T790" s="7"/>
    </row>
    <row r="791" ht="12.75" customHeight="1">
      <c r="A791" s="7">
        <v>790.0</v>
      </c>
      <c r="B791" s="7" t="s">
        <v>1969</v>
      </c>
      <c r="C791" s="7" t="s">
        <v>4822</v>
      </c>
      <c r="D791" s="7"/>
      <c r="E791" s="7"/>
      <c r="F791" s="7" t="s">
        <v>4853</v>
      </c>
      <c r="G791" s="7" t="s">
        <v>4272</v>
      </c>
      <c r="H791" s="7" t="s">
        <v>4397</v>
      </c>
      <c r="I791" s="7" t="s">
        <v>4078</v>
      </c>
      <c r="K791" s="7" t="str">
        <f t="shared" si="2"/>
        <v/>
      </c>
      <c r="L791" s="7" t="str">
        <f t="shared" si="3"/>
        <v/>
      </c>
      <c r="M791" s="7">
        <f t="shared" ref="M791:N791" si="802">IF(LEN(M$1),COUNTIF($G791:$I791,M$1),"")</f>
        <v>0</v>
      </c>
      <c r="N791" s="7" t="str">
        <f t="shared" si="802"/>
        <v/>
      </c>
      <c r="O791" s="7" t="str">
        <f t="shared" si="5"/>
        <v/>
      </c>
      <c r="P791" s="7">
        <f t="shared" si="714"/>
        <v>1</v>
      </c>
      <c r="Q791" s="7" t="str">
        <f t="shared" si="7"/>
        <v/>
      </c>
      <c r="T791" s="7"/>
    </row>
    <row r="792" ht="12.75" customHeight="1">
      <c r="A792" s="7">
        <v>791.0</v>
      </c>
      <c r="B792" s="7" t="s">
        <v>1794</v>
      </c>
      <c r="C792" s="7" t="s">
        <v>4823</v>
      </c>
      <c r="D792" s="7"/>
      <c r="E792" s="7"/>
      <c r="F792" s="7" t="s">
        <v>4853</v>
      </c>
      <c r="G792" s="7" t="s">
        <v>4234</v>
      </c>
      <c r="H792" s="7" t="s">
        <v>4281</v>
      </c>
      <c r="I792" s="7" t="s">
        <v>4034</v>
      </c>
      <c r="K792" s="7" t="str">
        <f t="shared" si="2"/>
        <v/>
      </c>
      <c r="L792" s="7" t="str">
        <f t="shared" si="3"/>
        <v/>
      </c>
      <c r="M792" s="7">
        <f t="shared" ref="M792:N792" si="803">IF(LEN(M$1),COUNTIF($G792:$I792,M$1),"")</f>
        <v>0</v>
      </c>
      <c r="N792" s="7" t="str">
        <f t="shared" si="803"/>
        <v/>
      </c>
      <c r="O792" s="7" t="str">
        <f t="shared" si="5"/>
        <v/>
      </c>
      <c r="P792" s="7">
        <f t="shared" si="714"/>
        <v>1</v>
      </c>
      <c r="Q792" s="7" t="str">
        <f t="shared" si="7"/>
        <v/>
      </c>
      <c r="T792" s="7"/>
    </row>
    <row r="793" ht="12.75" customHeight="1">
      <c r="A793" s="7">
        <v>792.0</v>
      </c>
      <c r="B793" s="7" t="s">
        <v>1794</v>
      </c>
      <c r="C793" s="7" t="s">
        <v>4823</v>
      </c>
      <c r="D793" s="7"/>
      <c r="E793" s="7"/>
      <c r="F793" s="7" t="s">
        <v>4853</v>
      </c>
      <c r="G793" s="7" t="s">
        <v>4121</v>
      </c>
      <c r="H793" s="7" t="s">
        <v>4027</v>
      </c>
      <c r="I793" s="7" t="s">
        <v>4095</v>
      </c>
      <c r="K793" s="7" t="str">
        <f t="shared" si="2"/>
        <v/>
      </c>
      <c r="L793" s="7" t="str">
        <f t="shared" si="3"/>
        <v/>
      </c>
      <c r="M793" s="7">
        <f t="shared" ref="M793:N793" si="804">IF(LEN(M$1),COUNTIF($G793:$I793,M$1),"")</f>
        <v>0</v>
      </c>
      <c r="N793" s="7" t="str">
        <f t="shared" si="804"/>
        <v/>
      </c>
      <c r="O793" s="7" t="str">
        <f t="shared" si="5"/>
        <v/>
      </c>
      <c r="P793" s="7">
        <f t="shared" si="714"/>
        <v>1</v>
      </c>
      <c r="Q793" s="7" t="str">
        <f t="shared" si="7"/>
        <v/>
      </c>
      <c r="T793" s="7"/>
    </row>
    <row r="794" ht="12.75" customHeight="1">
      <c r="A794" s="7">
        <v>793.0</v>
      </c>
      <c r="B794" s="7" t="s">
        <v>1794</v>
      </c>
      <c r="C794" s="7" t="s">
        <v>4823</v>
      </c>
      <c r="D794" s="7"/>
      <c r="E794" s="7"/>
      <c r="F794" s="7" t="s">
        <v>4853</v>
      </c>
      <c r="G794" s="7" t="s">
        <v>4424</v>
      </c>
      <c r="H794" s="7" t="s">
        <v>4428</v>
      </c>
      <c r="I794" s="7" t="s">
        <v>4417</v>
      </c>
      <c r="K794" s="7" t="str">
        <f t="shared" si="2"/>
        <v/>
      </c>
      <c r="L794" s="7" t="str">
        <f t="shared" si="3"/>
        <v/>
      </c>
      <c r="M794" s="7">
        <f t="shared" ref="M794:N794" si="805">IF(LEN(M$1),COUNTIF($G794:$I794,M$1),"")</f>
        <v>0</v>
      </c>
      <c r="N794" s="7" t="str">
        <f t="shared" si="805"/>
        <v/>
      </c>
      <c r="O794" s="7" t="str">
        <f t="shared" si="5"/>
        <v/>
      </c>
      <c r="P794" s="7">
        <f t="shared" si="714"/>
        <v>1</v>
      </c>
      <c r="Q794" s="7" t="str">
        <f t="shared" si="7"/>
        <v/>
      </c>
      <c r="T794" s="7"/>
    </row>
    <row r="795" ht="12.75" customHeight="1">
      <c r="A795" s="7">
        <v>794.0</v>
      </c>
      <c r="B795" s="7" t="s">
        <v>1794</v>
      </c>
      <c r="C795" s="7" t="s">
        <v>4823</v>
      </c>
      <c r="D795" s="7"/>
      <c r="E795" s="7"/>
      <c r="F795" s="7" t="s">
        <v>4853</v>
      </c>
      <c r="G795" s="7" t="s">
        <v>4424</v>
      </c>
      <c r="H795" s="7" t="s">
        <v>4428</v>
      </c>
      <c r="I795" s="7" t="s">
        <v>4431</v>
      </c>
      <c r="K795" s="7" t="str">
        <f t="shared" si="2"/>
        <v/>
      </c>
      <c r="L795" s="7" t="str">
        <f t="shared" si="3"/>
        <v/>
      </c>
      <c r="M795" s="7">
        <f t="shared" ref="M795:N795" si="806">IF(LEN(M$1),COUNTIF($G795:$I795,M$1),"")</f>
        <v>0</v>
      </c>
      <c r="N795" s="7" t="str">
        <f t="shared" si="806"/>
        <v/>
      </c>
      <c r="O795" s="7" t="str">
        <f t="shared" si="5"/>
        <v/>
      </c>
      <c r="P795" s="7">
        <f t="shared" si="714"/>
        <v>1</v>
      </c>
      <c r="Q795" s="7" t="str">
        <f t="shared" si="7"/>
        <v/>
      </c>
      <c r="T795" s="7"/>
    </row>
    <row r="796" ht="12.75" customHeight="1">
      <c r="A796" s="7">
        <v>795.0</v>
      </c>
      <c r="B796" s="7" t="s">
        <v>1982</v>
      </c>
      <c r="C796" s="7" t="s">
        <v>4823</v>
      </c>
      <c r="D796" s="7"/>
      <c r="E796" s="7"/>
      <c r="F796" s="7" t="s">
        <v>4853</v>
      </c>
      <c r="G796" s="7" t="s">
        <v>4155</v>
      </c>
      <c r="H796" s="7" t="s">
        <v>4023</v>
      </c>
      <c r="I796" s="7" t="s">
        <v>4131</v>
      </c>
      <c r="K796" s="7" t="str">
        <f t="shared" si="2"/>
        <v/>
      </c>
      <c r="L796" s="7" t="str">
        <f t="shared" si="3"/>
        <v/>
      </c>
      <c r="M796" s="7">
        <f t="shared" ref="M796:N796" si="807">IF(LEN(M$1),COUNTIF($G796:$I796,M$1),"")</f>
        <v>0</v>
      </c>
      <c r="N796" s="7" t="str">
        <f t="shared" si="807"/>
        <v/>
      </c>
      <c r="O796" s="7" t="str">
        <f t="shared" si="5"/>
        <v/>
      </c>
      <c r="P796" s="7">
        <f t="shared" si="714"/>
        <v>1</v>
      </c>
      <c r="Q796" s="7" t="str">
        <f t="shared" si="7"/>
        <v/>
      </c>
      <c r="T796" s="7"/>
    </row>
    <row r="797" ht="12.75" customHeight="1">
      <c r="A797" s="7">
        <v>796.0</v>
      </c>
      <c r="B797" s="7" t="s">
        <v>1982</v>
      </c>
      <c r="C797" s="7" t="s">
        <v>4823</v>
      </c>
      <c r="D797" s="7"/>
      <c r="E797" s="7"/>
      <c r="F797" s="7" t="s">
        <v>4853</v>
      </c>
      <c r="G797" s="7" t="s">
        <v>4046</v>
      </c>
      <c r="H797" s="7" t="s">
        <v>4077</v>
      </c>
      <c r="I797" s="7" t="s">
        <v>4059</v>
      </c>
      <c r="K797" s="7" t="str">
        <f t="shared" si="2"/>
        <v/>
      </c>
      <c r="L797" s="7" t="str">
        <f t="shared" si="3"/>
        <v/>
      </c>
      <c r="M797" s="7">
        <f t="shared" ref="M797:N797" si="808">IF(LEN(M$1),COUNTIF($G797:$I797,M$1),"")</f>
        <v>0</v>
      </c>
      <c r="N797" s="7" t="str">
        <f t="shared" si="808"/>
        <v/>
      </c>
      <c r="O797" s="7" t="str">
        <f t="shared" si="5"/>
        <v/>
      </c>
      <c r="P797" s="7">
        <f t="shared" si="714"/>
        <v>1</v>
      </c>
      <c r="Q797" s="7" t="str">
        <f t="shared" si="7"/>
        <v/>
      </c>
      <c r="T797" s="7"/>
    </row>
    <row r="798" ht="12.75" customHeight="1">
      <c r="A798" s="7">
        <v>797.0</v>
      </c>
      <c r="B798" s="7" t="s">
        <v>1982</v>
      </c>
      <c r="C798" s="7" t="s">
        <v>4823</v>
      </c>
      <c r="D798" s="7"/>
      <c r="E798" s="7"/>
      <c r="F798" s="7" t="s">
        <v>4853</v>
      </c>
      <c r="G798" s="7" t="s">
        <v>4434</v>
      </c>
      <c r="H798" s="7" t="s">
        <v>4378</v>
      </c>
      <c r="I798" s="7" t="s">
        <v>4407</v>
      </c>
      <c r="K798" s="7" t="str">
        <f t="shared" si="2"/>
        <v/>
      </c>
      <c r="L798" s="7" t="str">
        <f t="shared" si="3"/>
        <v/>
      </c>
      <c r="M798" s="7">
        <f t="shared" ref="M798:N798" si="809">IF(LEN(M$1),COUNTIF($G798:$I798,M$1),"")</f>
        <v>0</v>
      </c>
      <c r="N798" s="7" t="str">
        <f t="shared" si="809"/>
        <v/>
      </c>
      <c r="O798" s="7" t="str">
        <f t="shared" si="5"/>
        <v/>
      </c>
      <c r="P798" s="7">
        <f t="shared" si="714"/>
        <v>1</v>
      </c>
      <c r="Q798" s="7" t="str">
        <f t="shared" si="7"/>
        <v/>
      </c>
      <c r="T798" s="7"/>
    </row>
    <row r="799" ht="12.75" customHeight="1">
      <c r="A799" s="7">
        <v>798.0</v>
      </c>
      <c r="B799" s="7" t="s">
        <v>1982</v>
      </c>
      <c r="C799" s="7" t="s">
        <v>4823</v>
      </c>
      <c r="D799" s="7"/>
      <c r="E799" s="7"/>
      <c r="F799" s="7" t="s">
        <v>4853</v>
      </c>
      <c r="G799" s="7" t="s">
        <v>4260</v>
      </c>
      <c r="H799" s="7" t="s">
        <v>4097</v>
      </c>
      <c r="I799" s="7" t="s">
        <v>4407</v>
      </c>
      <c r="K799" s="7" t="str">
        <f t="shared" si="2"/>
        <v/>
      </c>
      <c r="L799" s="7" t="str">
        <f t="shared" si="3"/>
        <v/>
      </c>
      <c r="M799" s="7">
        <f t="shared" ref="M799:N799" si="810">IF(LEN(M$1),COUNTIF($G799:$I799,M$1),"")</f>
        <v>0</v>
      </c>
      <c r="N799" s="7" t="str">
        <f t="shared" si="810"/>
        <v/>
      </c>
      <c r="O799" s="7" t="str">
        <f t="shared" si="5"/>
        <v/>
      </c>
      <c r="P799" s="7">
        <f t="shared" si="714"/>
        <v>1</v>
      </c>
      <c r="Q799" s="7" t="str">
        <f t="shared" si="7"/>
        <v/>
      </c>
      <c r="T799" s="7"/>
    </row>
    <row r="800" ht="12.75" customHeight="1">
      <c r="A800" s="7">
        <v>799.0</v>
      </c>
      <c r="B800" s="7" t="s">
        <v>1990</v>
      </c>
      <c r="C800" s="7" t="s">
        <v>4854</v>
      </c>
      <c r="D800" s="7"/>
      <c r="E800" s="7"/>
      <c r="F800" s="7" t="s">
        <v>4853</v>
      </c>
      <c r="G800" s="7" t="s">
        <v>4086</v>
      </c>
      <c r="H800" s="7" t="s">
        <v>4080</v>
      </c>
      <c r="I800" s="7" t="s">
        <v>4253</v>
      </c>
      <c r="K800" s="7" t="str">
        <f t="shared" si="2"/>
        <v/>
      </c>
      <c r="L800" s="7" t="str">
        <f t="shared" si="3"/>
        <v/>
      </c>
      <c r="M800" s="7">
        <f t="shared" ref="M800:N800" si="811">IF(LEN(M$1),COUNTIF($G800:$I800,M$1),"")</f>
        <v>0</v>
      </c>
      <c r="N800" s="7" t="str">
        <f t="shared" si="811"/>
        <v/>
      </c>
      <c r="O800" s="7" t="str">
        <f t="shared" si="5"/>
        <v/>
      </c>
      <c r="P800" s="7">
        <f t="shared" si="714"/>
        <v>1</v>
      </c>
      <c r="Q800" s="7" t="str">
        <f t="shared" si="7"/>
        <v/>
      </c>
      <c r="T800" s="7"/>
    </row>
    <row r="801" ht="12.75" customHeight="1">
      <c r="A801" s="7">
        <v>800.0</v>
      </c>
      <c r="B801" s="7" t="s">
        <v>1990</v>
      </c>
      <c r="C801" s="7" t="s">
        <v>4854</v>
      </c>
      <c r="D801" s="7"/>
      <c r="E801" s="7"/>
      <c r="F801" s="7" t="s">
        <v>4853</v>
      </c>
      <c r="G801" s="7" t="s">
        <v>4251</v>
      </c>
      <c r="H801" s="7" t="s">
        <v>4255</v>
      </c>
      <c r="I801" s="7" t="s">
        <v>4135</v>
      </c>
      <c r="K801" s="7" t="str">
        <f t="shared" si="2"/>
        <v/>
      </c>
      <c r="L801" s="7" t="str">
        <f t="shared" si="3"/>
        <v/>
      </c>
      <c r="M801" s="7">
        <f t="shared" ref="M801:N801" si="812">IF(LEN(M$1),COUNTIF($G801:$I801,M$1),"")</f>
        <v>0</v>
      </c>
      <c r="N801" s="7" t="str">
        <f t="shared" si="812"/>
        <v/>
      </c>
      <c r="O801" s="7" t="str">
        <f t="shared" si="5"/>
        <v/>
      </c>
      <c r="P801" s="7">
        <f t="shared" si="714"/>
        <v>1</v>
      </c>
      <c r="Q801" s="7" t="str">
        <f t="shared" si="7"/>
        <v/>
      </c>
      <c r="T801" s="7"/>
    </row>
    <row r="802" ht="12.75" customHeight="1">
      <c r="A802" s="7">
        <v>801.0</v>
      </c>
      <c r="B802" s="7" t="s">
        <v>1990</v>
      </c>
      <c r="C802" s="7" t="s">
        <v>4854</v>
      </c>
      <c r="D802" s="7"/>
      <c r="E802" s="7"/>
      <c r="F802" s="7" t="s">
        <v>4853</v>
      </c>
      <c r="G802" s="7" t="s">
        <v>4387</v>
      </c>
      <c r="H802" s="7" t="s">
        <v>4437</v>
      </c>
      <c r="I802" s="7" t="s">
        <v>4359</v>
      </c>
      <c r="K802" s="7" t="str">
        <f t="shared" si="2"/>
        <v/>
      </c>
      <c r="L802" s="7" t="str">
        <f t="shared" si="3"/>
        <v/>
      </c>
      <c r="M802" s="7">
        <f t="shared" ref="M802:N802" si="813">IF(LEN(M$1),COUNTIF($G802:$I802,M$1),"")</f>
        <v>0</v>
      </c>
      <c r="N802" s="7" t="str">
        <f t="shared" si="813"/>
        <v/>
      </c>
      <c r="O802" s="7" t="str">
        <f t="shared" si="5"/>
        <v/>
      </c>
      <c r="P802" s="7">
        <f t="shared" si="714"/>
        <v>1</v>
      </c>
      <c r="Q802" s="7" t="str">
        <f t="shared" si="7"/>
        <v/>
      </c>
      <c r="T802" s="7"/>
    </row>
    <row r="803" ht="12.75" customHeight="1">
      <c r="A803" s="7">
        <v>802.0</v>
      </c>
      <c r="B803" s="7" t="s">
        <v>1990</v>
      </c>
      <c r="C803" s="7" t="s">
        <v>4854</v>
      </c>
      <c r="D803" s="7"/>
      <c r="E803" s="7"/>
      <c r="F803" s="7" t="s">
        <v>4853</v>
      </c>
      <c r="G803" s="7" t="s">
        <v>4387</v>
      </c>
      <c r="H803" s="7" t="s">
        <v>4437</v>
      </c>
      <c r="I803" s="7" t="s">
        <v>4158</v>
      </c>
      <c r="K803" s="7" t="str">
        <f t="shared" si="2"/>
        <v/>
      </c>
      <c r="L803" s="7" t="str">
        <f t="shared" si="3"/>
        <v/>
      </c>
      <c r="M803" s="7">
        <f t="shared" ref="M803:N803" si="814">IF(LEN(M$1),COUNTIF($G803:$I803,M$1),"")</f>
        <v>0</v>
      </c>
      <c r="N803" s="7" t="str">
        <f t="shared" si="814"/>
        <v/>
      </c>
      <c r="O803" s="7" t="str">
        <f t="shared" si="5"/>
        <v/>
      </c>
      <c r="P803" s="7">
        <f t="shared" si="714"/>
        <v>1</v>
      </c>
      <c r="Q803" s="7" t="str">
        <f t="shared" si="7"/>
        <v/>
      </c>
      <c r="T803" s="7"/>
    </row>
    <row r="804" ht="12.75" customHeight="1">
      <c r="A804" s="7">
        <v>803.0</v>
      </c>
      <c r="B804" s="7" t="s">
        <v>1996</v>
      </c>
      <c r="C804" s="7" t="s">
        <v>4854</v>
      </c>
      <c r="D804" s="7"/>
      <c r="E804" s="7"/>
      <c r="F804" s="7" t="s">
        <v>4853</v>
      </c>
      <c r="G804" s="7" t="s">
        <v>3992</v>
      </c>
      <c r="H804" s="7" t="s">
        <v>4017</v>
      </c>
      <c r="I804" s="7" t="s">
        <v>4084</v>
      </c>
      <c r="K804" s="7" t="str">
        <f t="shared" si="2"/>
        <v/>
      </c>
      <c r="L804" s="7" t="str">
        <f t="shared" si="3"/>
        <v/>
      </c>
      <c r="M804" s="7">
        <f t="shared" ref="M804:N804" si="815">IF(LEN(M$1),COUNTIF($G804:$I804,M$1),"")</f>
        <v>0</v>
      </c>
      <c r="N804" s="7" t="str">
        <f t="shared" si="815"/>
        <v/>
      </c>
      <c r="O804" s="7" t="str">
        <f t="shared" si="5"/>
        <v/>
      </c>
      <c r="P804" s="7">
        <f t="shared" si="714"/>
        <v>1</v>
      </c>
      <c r="Q804" s="7" t="str">
        <f t="shared" si="7"/>
        <v/>
      </c>
      <c r="T804" s="7"/>
    </row>
    <row r="805" ht="12.75" customHeight="1">
      <c r="A805" s="7">
        <v>804.0</v>
      </c>
      <c r="B805" s="7" t="s">
        <v>1996</v>
      </c>
      <c r="C805" s="7" t="s">
        <v>4854</v>
      </c>
      <c r="D805" s="7"/>
      <c r="E805" s="7"/>
      <c r="F805" s="7" t="s">
        <v>4853</v>
      </c>
      <c r="G805" s="7" t="s">
        <v>4121</v>
      </c>
      <c r="H805" s="7" t="s">
        <v>4052</v>
      </c>
      <c r="I805" s="7" t="s">
        <v>4276</v>
      </c>
      <c r="K805" s="7" t="str">
        <f t="shared" si="2"/>
        <v/>
      </c>
      <c r="L805" s="7" t="str">
        <f t="shared" si="3"/>
        <v/>
      </c>
      <c r="M805" s="7">
        <f t="shared" ref="M805:N805" si="816">IF(LEN(M$1),COUNTIF($G805:$I805,M$1),"")</f>
        <v>0</v>
      </c>
      <c r="N805" s="7" t="str">
        <f t="shared" si="816"/>
        <v/>
      </c>
      <c r="O805" s="7" t="str">
        <f t="shared" si="5"/>
        <v/>
      </c>
      <c r="P805" s="7">
        <f t="shared" si="714"/>
        <v>1</v>
      </c>
      <c r="Q805" s="7" t="str">
        <f t="shared" si="7"/>
        <v/>
      </c>
      <c r="T805" s="7"/>
    </row>
    <row r="806" ht="12.75" customHeight="1">
      <c r="A806" s="7">
        <v>805.0</v>
      </c>
      <c r="B806" s="7" t="s">
        <v>1996</v>
      </c>
      <c r="C806" s="7" t="s">
        <v>4854</v>
      </c>
      <c r="D806" s="7"/>
      <c r="E806" s="7"/>
      <c r="F806" s="7" t="s">
        <v>4853</v>
      </c>
      <c r="G806" s="7" t="s">
        <v>4423</v>
      </c>
      <c r="H806" s="7" t="s">
        <v>4361</v>
      </c>
      <c r="I806" s="7" t="s">
        <v>4381</v>
      </c>
      <c r="K806" s="7" t="str">
        <f t="shared" si="2"/>
        <v/>
      </c>
      <c r="L806" s="7" t="str">
        <f t="shared" si="3"/>
        <v/>
      </c>
      <c r="M806" s="7">
        <f t="shared" ref="M806:N806" si="817">IF(LEN(M$1),COUNTIF($G806:$I806,M$1),"")</f>
        <v>0</v>
      </c>
      <c r="N806" s="7" t="str">
        <f t="shared" si="817"/>
        <v/>
      </c>
      <c r="O806" s="7" t="str">
        <f t="shared" si="5"/>
        <v/>
      </c>
      <c r="P806" s="7">
        <f t="shared" si="714"/>
        <v>1</v>
      </c>
      <c r="Q806" s="7" t="str">
        <f t="shared" si="7"/>
        <v/>
      </c>
      <c r="T806" s="7"/>
    </row>
    <row r="807" ht="12.75" customHeight="1">
      <c r="A807" s="7">
        <v>806.0</v>
      </c>
      <c r="B807" s="7" t="s">
        <v>1996</v>
      </c>
      <c r="C807" s="7" t="s">
        <v>4854</v>
      </c>
      <c r="D807" s="7"/>
      <c r="E807" s="7"/>
      <c r="F807" s="7" t="s">
        <v>4853</v>
      </c>
      <c r="G807" s="7" t="s">
        <v>4423</v>
      </c>
      <c r="H807" s="7" t="s">
        <v>4431</v>
      </c>
      <c r="I807" s="7" t="s">
        <v>4415</v>
      </c>
      <c r="K807" s="7" t="str">
        <f t="shared" si="2"/>
        <v/>
      </c>
      <c r="L807" s="7" t="str">
        <f t="shared" si="3"/>
        <v/>
      </c>
      <c r="M807" s="7">
        <f t="shared" ref="M807:N807" si="818">IF(LEN(M$1),COUNTIF($G807:$I807,M$1),"")</f>
        <v>0</v>
      </c>
      <c r="N807" s="7" t="str">
        <f t="shared" si="818"/>
        <v/>
      </c>
      <c r="O807" s="7" t="str">
        <f t="shared" si="5"/>
        <v/>
      </c>
      <c r="P807" s="7">
        <f t="shared" si="714"/>
        <v>1</v>
      </c>
      <c r="Q807" s="7" t="str">
        <f t="shared" si="7"/>
        <v/>
      </c>
    </row>
    <row r="808" ht="12.75" customHeight="1">
      <c r="A808" s="7">
        <v>807.0</v>
      </c>
      <c r="B808" s="7" t="s">
        <v>2005</v>
      </c>
      <c r="C808" s="7" t="s">
        <v>4854</v>
      </c>
      <c r="D808" s="7"/>
      <c r="E808" s="7"/>
      <c r="F808" s="7" t="s">
        <v>4853</v>
      </c>
      <c r="G808" s="7" t="s">
        <v>4173</v>
      </c>
      <c r="H808" s="7" t="s">
        <v>4231</v>
      </c>
      <c r="I808" s="7" t="s">
        <v>4006</v>
      </c>
      <c r="K808" s="7" t="str">
        <f t="shared" si="2"/>
        <v/>
      </c>
      <c r="L808" s="7" t="str">
        <f t="shared" si="3"/>
        <v/>
      </c>
      <c r="M808" s="7">
        <f t="shared" ref="M808:N808" si="819">IF(LEN(M$1),COUNTIF($G808:$I808,M$1),"")</f>
        <v>0</v>
      </c>
      <c r="N808" s="7" t="str">
        <f t="shared" si="819"/>
        <v/>
      </c>
      <c r="O808" s="7" t="str">
        <f t="shared" si="5"/>
        <v/>
      </c>
      <c r="P808" s="7">
        <f t="shared" si="714"/>
        <v>1</v>
      </c>
      <c r="Q808" s="7" t="str">
        <f t="shared" si="7"/>
        <v/>
      </c>
    </row>
    <row r="809" ht="12.75" customHeight="1">
      <c r="A809" s="7">
        <v>808.0</v>
      </c>
      <c r="B809" s="7" t="s">
        <v>2005</v>
      </c>
      <c r="C809" s="7" t="s">
        <v>4854</v>
      </c>
      <c r="D809" s="7"/>
      <c r="E809" s="7"/>
      <c r="F809" s="7" t="s">
        <v>4853</v>
      </c>
      <c r="G809" s="7" t="s">
        <v>4275</v>
      </c>
      <c r="H809" s="7" t="s">
        <v>4009</v>
      </c>
      <c r="I809" s="7" t="s">
        <v>4208</v>
      </c>
      <c r="K809" s="7" t="str">
        <f t="shared" si="2"/>
        <v/>
      </c>
      <c r="L809" s="7" t="str">
        <f t="shared" si="3"/>
        <v/>
      </c>
      <c r="M809" s="7">
        <f t="shared" ref="M809:N809" si="820">IF(LEN(M$1),COUNTIF($G809:$I809,M$1),"")</f>
        <v>0</v>
      </c>
      <c r="N809" s="7" t="str">
        <f t="shared" si="820"/>
        <v/>
      </c>
      <c r="O809" s="7" t="str">
        <f t="shared" si="5"/>
        <v/>
      </c>
      <c r="P809" s="7">
        <f t="shared" si="714"/>
        <v>1</v>
      </c>
      <c r="Q809" s="7" t="str">
        <f t="shared" si="7"/>
        <v/>
      </c>
    </row>
    <row r="810" ht="12.75" customHeight="1">
      <c r="A810" s="7">
        <v>809.0</v>
      </c>
      <c r="B810" s="7" t="s">
        <v>2005</v>
      </c>
      <c r="C810" s="7" t="s">
        <v>4854</v>
      </c>
      <c r="D810" s="7"/>
      <c r="E810" s="7"/>
      <c r="F810" s="7" t="s">
        <v>4853</v>
      </c>
      <c r="G810" s="7" t="s">
        <v>4424</v>
      </c>
      <c r="H810" s="7" t="s">
        <v>4394</v>
      </c>
      <c r="I810" s="7" t="s">
        <v>4383</v>
      </c>
      <c r="K810" s="7" t="str">
        <f t="shared" si="2"/>
        <v/>
      </c>
      <c r="L810" s="7" t="str">
        <f t="shared" si="3"/>
        <v/>
      </c>
      <c r="M810" s="7">
        <f t="shared" ref="M810:N810" si="821">IF(LEN(M$1),COUNTIF($G810:$I810,M$1),"")</f>
        <v>0</v>
      </c>
      <c r="N810" s="7" t="str">
        <f t="shared" si="821"/>
        <v/>
      </c>
      <c r="O810" s="7" t="str">
        <f t="shared" si="5"/>
        <v/>
      </c>
      <c r="P810" s="7">
        <f t="shared" si="714"/>
        <v>1</v>
      </c>
      <c r="Q810" s="7" t="str">
        <f t="shared" si="7"/>
        <v/>
      </c>
      <c r="T810" s="7"/>
    </row>
    <row r="811" ht="12.75" customHeight="1">
      <c r="A811" s="7">
        <v>810.0</v>
      </c>
      <c r="B811" s="7" t="s">
        <v>2005</v>
      </c>
      <c r="C811" s="7" t="s">
        <v>4854</v>
      </c>
      <c r="D811" s="7"/>
      <c r="E811" s="7"/>
      <c r="F811" s="7" t="s">
        <v>4853</v>
      </c>
      <c r="G811" s="7" t="s">
        <v>4424</v>
      </c>
      <c r="H811" s="7" t="s">
        <v>4394</v>
      </c>
      <c r="I811" s="7" t="s">
        <v>4105</v>
      </c>
      <c r="K811" s="7" t="str">
        <f t="shared" si="2"/>
        <v/>
      </c>
      <c r="L811" s="7" t="str">
        <f t="shared" si="3"/>
        <v/>
      </c>
      <c r="M811" s="7">
        <f t="shared" ref="M811:N811" si="822">IF(LEN(M$1),COUNTIF($G811:$I811,M$1),"")</f>
        <v>0</v>
      </c>
      <c r="N811" s="7" t="str">
        <f t="shared" si="822"/>
        <v/>
      </c>
      <c r="O811" s="7" t="str">
        <f t="shared" si="5"/>
        <v/>
      </c>
      <c r="P811" s="7">
        <f t="shared" si="714"/>
        <v>1</v>
      </c>
      <c r="Q811" s="7" t="str">
        <f t="shared" si="7"/>
        <v/>
      </c>
      <c r="T811" s="7"/>
    </row>
    <row r="812" ht="12.75" customHeight="1">
      <c r="A812" s="7">
        <v>811.0</v>
      </c>
      <c r="B812" s="7" t="s">
        <v>1520</v>
      </c>
      <c r="C812" s="7" t="s">
        <v>4854</v>
      </c>
      <c r="D812" s="7"/>
      <c r="E812" s="7"/>
      <c r="F812" s="7" t="s">
        <v>4853</v>
      </c>
      <c r="G812" s="7" t="s">
        <v>4275</v>
      </c>
      <c r="H812" s="7" t="s">
        <v>4034</v>
      </c>
      <c r="I812" s="7" t="s">
        <v>4048</v>
      </c>
      <c r="K812" s="7" t="str">
        <f t="shared" si="2"/>
        <v/>
      </c>
      <c r="L812" s="7" t="str">
        <f t="shared" si="3"/>
        <v/>
      </c>
      <c r="M812" s="7">
        <f t="shared" ref="M812:N812" si="823">IF(LEN(M$1),COUNTIF($G812:$I812,M$1),"")</f>
        <v>0</v>
      </c>
      <c r="N812" s="7" t="str">
        <f t="shared" si="823"/>
        <v/>
      </c>
      <c r="O812" s="7" t="str">
        <f t="shared" si="5"/>
        <v/>
      </c>
      <c r="P812" s="7">
        <f t="shared" si="714"/>
        <v>1</v>
      </c>
      <c r="Q812" s="7" t="str">
        <f t="shared" si="7"/>
        <v/>
      </c>
      <c r="T812" s="7"/>
    </row>
    <row r="813" ht="12.75" customHeight="1">
      <c r="A813" s="7">
        <v>812.0</v>
      </c>
      <c r="B813" s="7" t="s">
        <v>1520</v>
      </c>
      <c r="C813" s="7" t="s">
        <v>4854</v>
      </c>
      <c r="D813" s="7"/>
      <c r="E813" s="7"/>
      <c r="F813" s="7" t="s">
        <v>4853</v>
      </c>
      <c r="G813" s="7" t="s">
        <v>4046</v>
      </c>
      <c r="H813" s="7" t="s">
        <v>4205</v>
      </c>
      <c r="I813" s="7" t="s">
        <v>4188</v>
      </c>
      <c r="K813" s="7" t="str">
        <f t="shared" si="2"/>
        <v/>
      </c>
      <c r="L813" s="7" t="str">
        <f t="shared" si="3"/>
        <v/>
      </c>
      <c r="M813" s="7">
        <f t="shared" ref="M813:N813" si="824">IF(LEN(M$1),COUNTIF($G813:$I813,M$1),"")</f>
        <v>0</v>
      </c>
      <c r="N813" s="7" t="str">
        <f t="shared" si="824"/>
        <v/>
      </c>
      <c r="O813" s="7" t="str">
        <f t="shared" si="5"/>
        <v/>
      </c>
      <c r="P813" s="7">
        <f t="shared" si="714"/>
        <v>1</v>
      </c>
      <c r="Q813" s="7" t="str">
        <f t="shared" si="7"/>
        <v/>
      </c>
      <c r="T813" s="7"/>
    </row>
    <row r="814" ht="12.75" customHeight="1">
      <c r="A814" s="7">
        <v>813.0</v>
      </c>
      <c r="B814" s="7" t="s">
        <v>1520</v>
      </c>
      <c r="C814" s="7" t="s">
        <v>4854</v>
      </c>
      <c r="D814" s="7"/>
      <c r="E814" s="7"/>
      <c r="F814" s="7" t="s">
        <v>4853</v>
      </c>
      <c r="G814" s="7" t="s">
        <v>4416</v>
      </c>
      <c r="H814" s="7" t="s">
        <v>4402</v>
      </c>
      <c r="I814" s="7" t="s">
        <v>4406</v>
      </c>
      <c r="K814" s="7" t="str">
        <f t="shared" si="2"/>
        <v/>
      </c>
      <c r="L814" s="7" t="str">
        <f t="shared" si="3"/>
        <v/>
      </c>
      <c r="M814" s="7">
        <f t="shared" ref="M814:N814" si="825">IF(LEN(M$1),COUNTIF($G814:$I814,M$1),"")</f>
        <v>0</v>
      </c>
      <c r="N814" s="7" t="str">
        <f t="shared" si="825"/>
        <v/>
      </c>
      <c r="O814" s="7" t="str">
        <f t="shared" si="5"/>
        <v/>
      </c>
      <c r="P814" s="7">
        <f t="shared" si="714"/>
        <v>1</v>
      </c>
      <c r="Q814" s="7" t="str">
        <f t="shared" si="7"/>
        <v/>
      </c>
      <c r="T814" s="7"/>
    </row>
    <row r="815" ht="12.75" customHeight="1">
      <c r="A815" s="7">
        <v>814.0</v>
      </c>
      <c r="B815" s="7" t="s">
        <v>1520</v>
      </c>
      <c r="C815" s="7" t="s">
        <v>4854</v>
      </c>
      <c r="D815" s="7"/>
      <c r="E815" s="7"/>
      <c r="F815" s="7" t="s">
        <v>4853</v>
      </c>
      <c r="G815" s="7" t="s">
        <v>4416</v>
      </c>
      <c r="H815" s="7" t="s">
        <v>4402</v>
      </c>
      <c r="I815" s="7" t="s">
        <v>4382</v>
      </c>
      <c r="K815" s="7" t="str">
        <f t="shared" si="2"/>
        <v/>
      </c>
      <c r="L815" s="7" t="str">
        <f t="shared" si="3"/>
        <v/>
      </c>
      <c r="M815" s="7">
        <f t="shared" ref="M815:N815" si="826">IF(LEN(M$1),COUNTIF($G815:$I815,M$1),"")</f>
        <v>0</v>
      </c>
      <c r="N815" s="7" t="str">
        <f t="shared" si="826"/>
        <v/>
      </c>
      <c r="O815" s="7" t="str">
        <f t="shared" si="5"/>
        <v/>
      </c>
      <c r="P815" s="7">
        <f t="shared" si="714"/>
        <v>1</v>
      </c>
      <c r="Q815" s="7" t="str">
        <f t="shared" si="7"/>
        <v/>
      </c>
      <c r="T815" s="7"/>
    </row>
    <row r="816" ht="12.75" customHeight="1">
      <c r="A816" s="7">
        <v>815.0</v>
      </c>
      <c r="B816" s="7" t="s">
        <v>2019</v>
      </c>
      <c r="C816" s="7" t="s">
        <v>4849</v>
      </c>
      <c r="D816" s="7"/>
      <c r="E816" s="7"/>
      <c r="F816" s="7" t="s">
        <v>4853</v>
      </c>
      <c r="G816" s="7" t="s">
        <v>4188</v>
      </c>
      <c r="H816" s="7" t="s">
        <v>4176</v>
      </c>
      <c r="I816" s="7" t="s">
        <v>4239</v>
      </c>
      <c r="K816" s="7">
        <f t="shared" si="2"/>
        <v>815</v>
      </c>
      <c r="L816" s="7" t="str">
        <f t="shared" si="3"/>
        <v/>
      </c>
      <c r="M816" s="7">
        <f t="shared" ref="M816:N816" si="827">IF(LEN(M$1),COUNTIF($G816:$I816,M$1),"")</f>
        <v>0</v>
      </c>
      <c r="N816" s="7" t="str">
        <f t="shared" si="827"/>
        <v/>
      </c>
      <c r="O816" s="7" t="str">
        <f t="shared" si="5"/>
        <v/>
      </c>
      <c r="P816" s="7">
        <f t="shared" si="714"/>
        <v>1</v>
      </c>
      <c r="Q816" s="7" t="str">
        <f t="shared" si="7"/>
        <v/>
      </c>
      <c r="T816" s="7"/>
    </row>
    <row r="817" ht="12.75" customHeight="1">
      <c r="A817" s="7">
        <v>816.0</v>
      </c>
      <c r="B817" s="7" t="s">
        <v>2019</v>
      </c>
      <c r="C817" s="7" t="s">
        <v>4849</v>
      </c>
      <c r="D817" s="7"/>
      <c r="E817" s="7"/>
      <c r="F817" s="7" t="s">
        <v>4853</v>
      </c>
      <c r="G817" s="7" t="s">
        <v>4101</v>
      </c>
      <c r="H817" s="7" t="s">
        <v>3969</v>
      </c>
      <c r="I817" s="7" t="s">
        <v>3993</v>
      </c>
      <c r="K817" s="7">
        <f t="shared" si="2"/>
        <v>816</v>
      </c>
      <c r="L817" s="7" t="str">
        <f t="shared" si="3"/>
        <v/>
      </c>
      <c r="M817" s="7">
        <f t="shared" ref="M817:N817" si="828">IF(LEN(M$1),COUNTIF($G817:$I817,M$1),"")</f>
        <v>0</v>
      </c>
      <c r="N817" s="7" t="str">
        <f t="shared" si="828"/>
        <v/>
      </c>
      <c r="O817" s="7" t="str">
        <f t="shared" si="5"/>
        <v/>
      </c>
      <c r="P817" s="7">
        <f t="shared" si="714"/>
        <v>1</v>
      </c>
      <c r="Q817" s="7" t="str">
        <f t="shared" si="7"/>
        <v/>
      </c>
      <c r="T817" s="7"/>
    </row>
    <row r="818" ht="12.75" customHeight="1">
      <c r="A818" s="7">
        <v>817.0</v>
      </c>
      <c r="B818" s="7" t="s">
        <v>2019</v>
      </c>
      <c r="C818" s="7" t="s">
        <v>4849</v>
      </c>
      <c r="D818" s="7"/>
      <c r="E818" s="7"/>
      <c r="F818" s="7" t="s">
        <v>4853</v>
      </c>
      <c r="G818" s="7" t="s">
        <v>4419</v>
      </c>
      <c r="H818" s="7" t="s">
        <v>4426</v>
      </c>
      <c r="I818" s="7" t="s">
        <v>4435</v>
      </c>
      <c r="K818" s="7">
        <f t="shared" si="2"/>
        <v>817</v>
      </c>
      <c r="L818" s="7" t="str">
        <f t="shared" si="3"/>
        <v/>
      </c>
      <c r="M818" s="7">
        <f t="shared" ref="M818:N818" si="829">IF(LEN(M$1),COUNTIF($G818:$I818,M$1),"")</f>
        <v>0</v>
      </c>
      <c r="N818" s="7" t="str">
        <f t="shared" si="829"/>
        <v/>
      </c>
      <c r="O818" s="7" t="str">
        <f t="shared" si="5"/>
        <v/>
      </c>
      <c r="P818" s="7">
        <f t="shared" si="714"/>
        <v>1</v>
      </c>
      <c r="Q818" s="7" t="str">
        <f t="shared" si="7"/>
        <v/>
      </c>
      <c r="T818" s="7"/>
    </row>
    <row r="819" ht="12.75" customHeight="1">
      <c r="A819" s="7">
        <v>818.0</v>
      </c>
      <c r="B819" s="7" t="s">
        <v>2019</v>
      </c>
      <c r="C819" s="7" t="s">
        <v>4849</v>
      </c>
      <c r="D819" s="7"/>
      <c r="E819" s="7"/>
      <c r="F819" s="7" t="s">
        <v>4853</v>
      </c>
      <c r="G819" s="7" t="s">
        <v>4419</v>
      </c>
      <c r="H819" s="7" t="s">
        <v>4395</v>
      </c>
      <c r="I819" s="7" t="s">
        <v>4392</v>
      </c>
      <c r="K819" s="7">
        <f t="shared" si="2"/>
        <v>818</v>
      </c>
      <c r="L819" s="7" t="str">
        <f t="shared" si="3"/>
        <v/>
      </c>
      <c r="M819" s="7">
        <f t="shared" ref="M819:N819" si="830">IF(LEN(M$1),COUNTIF($G819:$I819,M$1),"")</f>
        <v>0</v>
      </c>
      <c r="N819" s="7" t="str">
        <f t="shared" si="830"/>
        <v/>
      </c>
      <c r="O819" s="7" t="str">
        <f t="shared" si="5"/>
        <v/>
      </c>
      <c r="P819" s="7">
        <f t="shared" si="714"/>
        <v>1</v>
      </c>
      <c r="Q819" s="7" t="str">
        <f t="shared" si="7"/>
        <v/>
      </c>
      <c r="T819" s="7"/>
    </row>
    <row r="820" ht="12.75" customHeight="1">
      <c r="A820" s="7">
        <v>819.0</v>
      </c>
      <c r="B820" s="7" t="s">
        <v>2026</v>
      </c>
      <c r="C820" s="7" t="s">
        <v>4849</v>
      </c>
      <c r="D820" s="7"/>
      <c r="E820" s="7"/>
      <c r="F820" s="7" t="s">
        <v>4853</v>
      </c>
      <c r="G820" s="7" t="s">
        <v>3998</v>
      </c>
      <c r="H820" s="7" t="s">
        <v>4214</v>
      </c>
      <c r="I820" s="7" t="s">
        <v>4036</v>
      </c>
      <c r="K820" s="7" t="str">
        <f t="shared" si="2"/>
        <v/>
      </c>
      <c r="L820" s="7" t="str">
        <f t="shared" si="3"/>
        <v/>
      </c>
      <c r="M820" s="7">
        <f t="shared" ref="M820:N820" si="831">IF(LEN(M$1),COUNTIF($G820:$I820,M$1),"")</f>
        <v>0</v>
      </c>
      <c r="N820" s="7" t="str">
        <f t="shared" si="831"/>
        <v/>
      </c>
      <c r="O820" s="7" t="str">
        <f t="shared" si="5"/>
        <v/>
      </c>
      <c r="P820" s="7">
        <f t="shared" si="714"/>
        <v>1</v>
      </c>
      <c r="Q820" s="7" t="str">
        <f t="shared" si="7"/>
        <v/>
      </c>
      <c r="T820" s="7"/>
    </row>
    <row r="821" ht="12.75" customHeight="1">
      <c r="A821" s="7">
        <v>820.0</v>
      </c>
      <c r="B821" s="7" t="s">
        <v>2026</v>
      </c>
      <c r="C821" s="7" t="s">
        <v>4849</v>
      </c>
      <c r="D821" s="7"/>
      <c r="E821" s="7"/>
      <c r="F821" s="7" t="s">
        <v>4853</v>
      </c>
      <c r="G821" s="7" t="s">
        <v>3991</v>
      </c>
      <c r="H821" s="7" t="s">
        <v>3983</v>
      </c>
      <c r="I821" s="7" t="s">
        <v>4258</v>
      </c>
      <c r="K821" s="7" t="str">
        <f t="shared" si="2"/>
        <v/>
      </c>
      <c r="L821" s="7" t="str">
        <f t="shared" si="3"/>
        <v/>
      </c>
      <c r="M821" s="7">
        <f t="shared" ref="M821:N821" si="832">IF(LEN(M$1),COUNTIF($G821:$I821,M$1),"")</f>
        <v>0</v>
      </c>
      <c r="N821" s="7" t="str">
        <f t="shared" si="832"/>
        <v/>
      </c>
      <c r="O821" s="7" t="str">
        <f t="shared" si="5"/>
        <v/>
      </c>
      <c r="P821" s="7">
        <f t="shared" si="714"/>
        <v>1</v>
      </c>
      <c r="Q821" s="7" t="str">
        <f t="shared" si="7"/>
        <v/>
      </c>
      <c r="T821" s="7"/>
    </row>
    <row r="822" ht="12.75" customHeight="1">
      <c r="A822" s="7">
        <v>821.0</v>
      </c>
      <c r="B822" s="7" t="s">
        <v>2026</v>
      </c>
      <c r="C822" s="7" t="s">
        <v>4849</v>
      </c>
      <c r="D822" s="7"/>
      <c r="E822" s="7"/>
      <c r="F822" s="7" t="s">
        <v>4853</v>
      </c>
      <c r="G822" s="7" t="s">
        <v>4373</v>
      </c>
      <c r="H822" s="7" t="s">
        <v>4412</v>
      </c>
      <c r="I822" s="7" t="s">
        <v>4392</v>
      </c>
      <c r="K822" s="7" t="str">
        <f t="shared" si="2"/>
        <v/>
      </c>
      <c r="L822" s="7" t="str">
        <f t="shared" si="3"/>
        <v/>
      </c>
      <c r="M822" s="7">
        <f t="shared" ref="M822:N822" si="833">IF(LEN(M$1),COUNTIF($G822:$I822,M$1),"")</f>
        <v>0</v>
      </c>
      <c r="N822" s="7" t="str">
        <f t="shared" si="833"/>
        <v/>
      </c>
      <c r="O822" s="7" t="str">
        <f t="shared" si="5"/>
        <v/>
      </c>
      <c r="P822" s="7">
        <f t="shared" si="714"/>
        <v>1</v>
      </c>
      <c r="Q822" s="7" t="str">
        <f t="shared" si="7"/>
        <v/>
      </c>
      <c r="T822" s="7"/>
    </row>
    <row r="823" ht="12.75" customHeight="1">
      <c r="A823" s="7">
        <v>822.0</v>
      </c>
      <c r="B823" s="7" t="s">
        <v>2026</v>
      </c>
      <c r="C823" s="7" t="s">
        <v>4849</v>
      </c>
      <c r="D823" s="7"/>
      <c r="E823" s="7"/>
      <c r="F823" s="7" t="s">
        <v>4853</v>
      </c>
      <c r="G823" s="7" t="s">
        <v>4392</v>
      </c>
      <c r="H823" s="7" t="s">
        <v>4412</v>
      </c>
      <c r="I823" s="7" t="s">
        <v>4357</v>
      </c>
      <c r="K823" s="7" t="str">
        <f t="shared" si="2"/>
        <v/>
      </c>
      <c r="L823" s="7" t="str">
        <f t="shared" si="3"/>
        <v/>
      </c>
      <c r="M823" s="7">
        <f t="shared" ref="M823:N823" si="834">IF(LEN(M$1),COUNTIF($G823:$I823,M$1),"")</f>
        <v>0</v>
      </c>
      <c r="N823" s="7" t="str">
        <f t="shared" si="834"/>
        <v/>
      </c>
      <c r="O823" s="7" t="str">
        <f t="shared" si="5"/>
        <v/>
      </c>
      <c r="P823" s="7">
        <f t="shared" si="714"/>
        <v>1</v>
      </c>
      <c r="Q823" s="7" t="str">
        <f t="shared" si="7"/>
        <v/>
      </c>
      <c r="T823" s="7"/>
    </row>
    <row r="824" ht="12.75" customHeight="1">
      <c r="A824" s="7">
        <v>823.0</v>
      </c>
      <c r="B824" s="7" t="s">
        <v>2035</v>
      </c>
      <c r="C824" s="7" t="s">
        <v>4758</v>
      </c>
      <c r="D824" s="7"/>
      <c r="E824" s="7"/>
      <c r="F824" s="7" t="s">
        <v>4853</v>
      </c>
      <c r="G824" s="7" t="s">
        <v>4250</v>
      </c>
      <c r="H824" s="7" t="s">
        <v>4242</v>
      </c>
      <c r="I824" s="7" t="s">
        <v>4237</v>
      </c>
      <c r="K824" s="7" t="str">
        <f t="shared" si="2"/>
        <v/>
      </c>
      <c r="L824" s="7" t="str">
        <f t="shared" si="3"/>
        <v/>
      </c>
      <c r="M824" s="7">
        <f t="shared" ref="M824:N824" si="835">IF(LEN(M$1),COUNTIF($G824:$I824,M$1),"")</f>
        <v>0</v>
      </c>
      <c r="N824" s="7" t="str">
        <f t="shared" si="835"/>
        <v/>
      </c>
      <c r="O824" s="7" t="str">
        <f t="shared" si="5"/>
        <v/>
      </c>
      <c r="P824" s="7">
        <f t="shared" si="714"/>
        <v>1</v>
      </c>
      <c r="Q824" s="7" t="str">
        <f t="shared" si="7"/>
        <v/>
      </c>
      <c r="T824" s="7"/>
    </row>
    <row r="825" ht="12.75" customHeight="1">
      <c r="A825" s="7">
        <v>824.0</v>
      </c>
      <c r="B825" s="7" t="s">
        <v>2035</v>
      </c>
      <c r="C825" s="7" t="s">
        <v>4758</v>
      </c>
      <c r="D825" s="7"/>
      <c r="E825" s="7"/>
      <c r="F825" s="7" t="s">
        <v>4853</v>
      </c>
      <c r="G825" s="7" t="s">
        <v>4106</v>
      </c>
      <c r="H825" s="7" t="s">
        <v>4279</v>
      </c>
      <c r="I825" s="7" t="s">
        <v>4117</v>
      </c>
      <c r="K825" s="7" t="str">
        <f t="shared" si="2"/>
        <v/>
      </c>
      <c r="L825" s="7" t="str">
        <f t="shared" si="3"/>
        <v/>
      </c>
      <c r="M825" s="7">
        <f t="shared" ref="M825:N825" si="836">IF(LEN(M$1),COUNTIF($G825:$I825,M$1),"")</f>
        <v>0</v>
      </c>
      <c r="N825" s="7" t="str">
        <f t="shared" si="836"/>
        <v/>
      </c>
      <c r="O825" s="7" t="str">
        <f t="shared" si="5"/>
        <v/>
      </c>
      <c r="P825" s="7">
        <f t="shared" si="714"/>
        <v>1</v>
      </c>
      <c r="Q825" s="7" t="str">
        <f t="shared" si="7"/>
        <v/>
      </c>
      <c r="T825" s="7"/>
    </row>
    <row r="826" ht="12.75" customHeight="1">
      <c r="A826" s="7">
        <v>825.0</v>
      </c>
      <c r="B826" s="7" t="s">
        <v>2035</v>
      </c>
      <c r="C826" s="7" t="s">
        <v>4758</v>
      </c>
      <c r="D826" s="7"/>
      <c r="E826" s="7"/>
      <c r="F826" s="7" t="s">
        <v>4853</v>
      </c>
      <c r="G826" s="7" t="s">
        <v>4382</v>
      </c>
      <c r="H826" s="7" t="s">
        <v>4418</v>
      </c>
      <c r="I826" s="7" t="s">
        <v>4395</v>
      </c>
      <c r="K826" s="7" t="str">
        <f t="shared" si="2"/>
        <v/>
      </c>
      <c r="L826" s="7" t="str">
        <f t="shared" si="3"/>
        <v/>
      </c>
      <c r="M826" s="7">
        <f t="shared" ref="M826:N826" si="837">IF(LEN(M$1),COUNTIF($G826:$I826,M$1),"")</f>
        <v>0</v>
      </c>
      <c r="N826" s="7" t="str">
        <f t="shared" si="837"/>
        <v/>
      </c>
      <c r="O826" s="7" t="str">
        <f t="shared" si="5"/>
        <v/>
      </c>
      <c r="P826" s="7">
        <f t="shared" si="714"/>
        <v>1</v>
      </c>
      <c r="Q826" s="7" t="str">
        <f t="shared" si="7"/>
        <v/>
      </c>
      <c r="T826" s="7"/>
    </row>
    <row r="827" ht="12.75" customHeight="1">
      <c r="A827" s="7">
        <v>826.0</v>
      </c>
      <c r="B827" s="7" t="s">
        <v>2035</v>
      </c>
      <c r="C827" s="7" t="s">
        <v>4758</v>
      </c>
      <c r="D827" s="7"/>
      <c r="E827" s="7"/>
      <c r="F827" s="7" t="s">
        <v>4853</v>
      </c>
      <c r="G827" s="7" t="s">
        <v>4382</v>
      </c>
      <c r="H827" s="7" t="s">
        <v>4199</v>
      </c>
      <c r="I827" s="7" t="s">
        <v>4395</v>
      </c>
      <c r="K827" s="7" t="str">
        <f t="shared" si="2"/>
        <v/>
      </c>
      <c r="L827" s="7" t="str">
        <f t="shared" si="3"/>
        <v/>
      </c>
      <c r="M827" s="7">
        <f t="shared" ref="M827:N827" si="838">IF(LEN(M$1),COUNTIF($G827:$I827,M$1),"")</f>
        <v>0</v>
      </c>
      <c r="N827" s="7" t="str">
        <f t="shared" si="838"/>
        <v/>
      </c>
      <c r="O827" s="7" t="str">
        <f t="shared" si="5"/>
        <v/>
      </c>
      <c r="P827" s="7">
        <f t="shared" si="714"/>
        <v>1</v>
      </c>
      <c r="Q827" s="7" t="str">
        <f t="shared" si="7"/>
        <v/>
      </c>
      <c r="T827" s="7"/>
    </row>
    <row r="828" ht="12.75" customHeight="1">
      <c r="A828" s="7">
        <v>827.0</v>
      </c>
      <c r="B828" s="7" t="s">
        <v>2043</v>
      </c>
      <c r="C828" s="7" t="s">
        <v>4758</v>
      </c>
      <c r="D828" s="7"/>
      <c r="E828" s="7"/>
      <c r="F828" s="7" t="s">
        <v>4853</v>
      </c>
      <c r="G828" s="7" t="s">
        <v>4081</v>
      </c>
      <c r="H828" s="7" t="s">
        <v>4238</v>
      </c>
      <c r="I828" s="7" t="s">
        <v>4236</v>
      </c>
      <c r="K828" s="7" t="str">
        <f t="shared" si="2"/>
        <v/>
      </c>
      <c r="L828" s="7" t="str">
        <f t="shared" si="3"/>
        <v/>
      </c>
      <c r="M828" s="7">
        <f t="shared" ref="M828:N828" si="839">IF(LEN(M$1),COUNTIF($G828:$I828,M$1),"")</f>
        <v>0</v>
      </c>
      <c r="N828" s="7" t="str">
        <f t="shared" si="839"/>
        <v/>
      </c>
      <c r="O828" s="7" t="str">
        <f t="shared" si="5"/>
        <v/>
      </c>
      <c r="P828" s="7">
        <f t="shared" si="714"/>
        <v>1</v>
      </c>
      <c r="Q828" s="7" t="str">
        <f t="shared" si="7"/>
        <v/>
      </c>
      <c r="T828" s="7"/>
    </row>
    <row r="829" ht="12.75" customHeight="1">
      <c r="A829" s="7">
        <v>828.0</v>
      </c>
      <c r="B829" s="7" t="s">
        <v>2043</v>
      </c>
      <c r="C829" s="7" t="s">
        <v>4758</v>
      </c>
      <c r="D829" s="7"/>
      <c r="E829" s="7"/>
      <c r="F829" s="7" t="s">
        <v>4853</v>
      </c>
      <c r="G829" s="7" t="s">
        <v>4000</v>
      </c>
      <c r="H829" s="7" t="s">
        <v>4218</v>
      </c>
      <c r="I829" s="7" t="s">
        <v>4186</v>
      </c>
      <c r="K829" s="7" t="str">
        <f t="shared" si="2"/>
        <v/>
      </c>
      <c r="L829" s="7" t="str">
        <f t="shared" si="3"/>
        <v/>
      </c>
      <c r="M829" s="7">
        <f t="shared" ref="M829:N829" si="840">IF(LEN(M$1),COUNTIF($G829:$I829,M$1),"")</f>
        <v>0</v>
      </c>
      <c r="N829" s="7" t="str">
        <f t="shared" si="840"/>
        <v/>
      </c>
      <c r="O829" s="7" t="str">
        <f t="shared" si="5"/>
        <v/>
      </c>
      <c r="P829" s="7">
        <f t="shared" si="714"/>
        <v>1</v>
      </c>
      <c r="Q829" s="7" t="str">
        <f t="shared" si="7"/>
        <v/>
      </c>
      <c r="T829" s="7"/>
    </row>
    <row r="830" ht="12.75" customHeight="1">
      <c r="A830" s="7">
        <v>829.0</v>
      </c>
      <c r="B830" s="7" t="s">
        <v>2043</v>
      </c>
      <c r="C830" s="7" t="s">
        <v>4758</v>
      </c>
      <c r="D830" s="7"/>
      <c r="E830" s="7"/>
      <c r="F830" s="7" t="s">
        <v>4853</v>
      </c>
      <c r="G830" s="7" t="s">
        <v>4421</v>
      </c>
      <c r="H830" s="7" t="s">
        <v>4358</v>
      </c>
      <c r="I830" s="7" t="s">
        <v>4404</v>
      </c>
      <c r="K830" s="7" t="str">
        <f t="shared" si="2"/>
        <v/>
      </c>
      <c r="L830" s="7" t="str">
        <f t="shared" si="3"/>
        <v/>
      </c>
      <c r="M830" s="7">
        <f t="shared" ref="M830:N830" si="841">IF(LEN(M$1),COUNTIF($G830:$I830,M$1),"")</f>
        <v>0</v>
      </c>
      <c r="N830" s="7" t="str">
        <f t="shared" si="841"/>
        <v/>
      </c>
      <c r="O830" s="7" t="str">
        <f t="shared" si="5"/>
        <v/>
      </c>
      <c r="P830" s="7">
        <f t="shared" si="714"/>
        <v>1</v>
      </c>
      <c r="Q830" s="7" t="str">
        <f t="shared" si="7"/>
        <v/>
      </c>
      <c r="T830" s="7"/>
    </row>
    <row r="831" ht="12.75" customHeight="1">
      <c r="A831" s="7">
        <v>830.0</v>
      </c>
      <c r="B831" s="7" t="s">
        <v>2043</v>
      </c>
      <c r="C831" s="7" t="s">
        <v>4758</v>
      </c>
      <c r="D831" s="7"/>
      <c r="E831" s="7"/>
      <c r="F831" s="7" t="s">
        <v>4853</v>
      </c>
      <c r="G831" s="7" t="s">
        <v>4421</v>
      </c>
      <c r="H831" s="7" t="s">
        <v>4358</v>
      </c>
      <c r="I831" s="7" t="s">
        <v>4392</v>
      </c>
      <c r="K831" s="7" t="str">
        <f t="shared" si="2"/>
        <v/>
      </c>
      <c r="L831" s="7" t="str">
        <f t="shared" si="3"/>
        <v/>
      </c>
      <c r="M831" s="7">
        <f t="shared" ref="M831:N831" si="842">IF(LEN(M$1),COUNTIF($G831:$I831,M$1),"")</f>
        <v>0</v>
      </c>
      <c r="N831" s="7" t="str">
        <f t="shared" si="842"/>
        <v/>
      </c>
      <c r="O831" s="7" t="str">
        <f t="shared" si="5"/>
        <v/>
      </c>
      <c r="P831" s="7">
        <f t="shared" si="714"/>
        <v>1</v>
      </c>
      <c r="Q831" s="7" t="str">
        <f t="shared" si="7"/>
        <v/>
      </c>
      <c r="T831" s="7"/>
    </row>
    <row r="832" ht="12.75" customHeight="1">
      <c r="A832" s="7">
        <v>831.0</v>
      </c>
      <c r="B832" s="7" t="s">
        <v>2051</v>
      </c>
      <c r="C832" s="7" t="s">
        <v>4815</v>
      </c>
      <c r="D832" s="7"/>
      <c r="E832" s="7"/>
      <c r="F832" s="7" t="s">
        <v>4853</v>
      </c>
      <c r="G832" s="7" t="s">
        <v>4244</v>
      </c>
      <c r="H832" s="7" t="s">
        <v>3981</v>
      </c>
      <c r="I832" s="7" t="s">
        <v>4103</v>
      </c>
      <c r="K832" s="7" t="str">
        <f t="shared" si="2"/>
        <v/>
      </c>
      <c r="L832" s="7" t="str">
        <f t="shared" si="3"/>
        <v/>
      </c>
      <c r="M832" s="7">
        <f t="shared" ref="M832:N832" si="843">IF(LEN(M$1),COUNTIF($G832:$I832,M$1),"")</f>
        <v>0</v>
      </c>
      <c r="N832" s="7" t="str">
        <f t="shared" si="843"/>
        <v/>
      </c>
      <c r="O832" s="7" t="str">
        <f t="shared" si="5"/>
        <v/>
      </c>
      <c r="P832" s="7">
        <f t="shared" si="714"/>
        <v>1</v>
      </c>
      <c r="Q832" s="7" t="str">
        <f t="shared" si="7"/>
        <v/>
      </c>
      <c r="T832" s="7"/>
    </row>
    <row r="833" ht="12.75" customHeight="1">
      <c r="A833" s="7">
        <v>832.0</v>
      </c>
      <c r="B833" s="7" t="s">
        <v>2051</v>
      </c>
      <c r="C833" s="7" t="s">
        <v>4815</v>
      </c>
      <c r="D833" s="7"/>
      <c r="E833" s="7"/>
      <c r="F833" s="7" t="s">
        <v>4853</v>
      </c>
      <c r="G833" s="7" t="s">
        <v>4155</v>
      </c>
      <c r="H833" s="7" t="s">
        <v>4029</v>
      </c>
      <c r="I833" s="7" t="s">
        <v>4076</v>
      </c>
      <c r="K833" s="7" t="str">
        <f t="shared" si="2"/>
        <v/>
      </c>
      <c r="L833" s="7" t="str">
        <f t="shared" si="3"/>
        <v/>
      </c>
      <c r="M833" s="7">
        <f t="shared" ref="M833:N833" si="844">IF(LEN(M$1),COUNTIF($G833:$I833,M$1),"")</f>
        <v>0</v>
      </c>
      <c r="N833" s="7" t="str">
        <f t="shared" si="844"/>
        <v/>
      </c>
      <c r="O833" s="7" t="str">
        <f t="shared" si="5"/>
        <v/>
      </c>
      <c r="P833" s="7">
        <f t="shared" si="714"/>
        <v>1</v>
      </c>
      <c r="Q833" s="7" t="str">
        <f t="shared" si="7"/>
        <v/>
      </c>
      <c r="T833" s="7"/>
    </row>
    <row r="834" ht="12.75" customHeight="1">
      <c r="A834" s="7">
        <v>833.0</v>
      </c>
      <c r="B834" s="7" t="s">
        <v>2051</v>
      </c>
      <c r="C834" s="7" t="s">
        <v>4815</v>
      </c>
      <c r="D834" s="7"/>
      <c r="E834" s="7"/>
      <c r="F834" s="7" t="s">
        <v>4853</v>
      </c>
      <c r="G834" s="7" t="s">
        <v>4422</v>
      </c>
      <c r="H834" s="7" t="s">
        <v>4373</v>
      </c>
      <c r="I834" s="7" t="s">
        <v>4420</v>
      </c>
      <c r="K834" s="7" t="str">
        <f t="shared" si="2"/>
        <v/>
      </c>
      <c r="L834" s="7" t="str">
        <f t="shared" si="3"/>
        <v/>
      </c>
      <c r="M834" s="7">
        <f t="shared" ref="M834:N834" si="845">IF(LEN(M$1),COUNTIF($G834:$I834,M$1),"")</f>
        <v>1</v>
      </c>
      <c r="N834" s="7" t="str">
        <f t="shared" si="845"/>
        <v/>
      </c>
      <c r="O834" s="7" t="str">
        <f t="shared" si="5"/>
        <v/>
      </c>
      <c r="P834" s="7">
        <f t="shared" si="714"/>
        <v>1</v>
      </c>
      <c r="Q834" s="7" t="str">
        <f t="shared" si="7"/>
        <v>Sherman</v>
      </c>
      <c r="T834" s="7"/>
    </row>
    <row r="835" ht="12.75" customHeight="1">
      <c r="A835" s="7">
        <v>834.0</v>
      </c>
      <c r="B835" s="7" t="s">
        <v>2051</v>
      </c>
      <c r="C835" s="7" t="s">
        <v>4815</v>
      </c>
      <c r="D835" s="7"/>
      <c r="E835" s="7"/>
      <c r="F835" s="7" t="s">
        <v>4853</v>
      </c>
      <c r="G835" s="7" t="s">
        <v>4422</v>
      </c>
      <c r="H835" s="7" t="s">
        <v>4411</v>
      </c>
      <c r="I835" s="7" t="s">
        <v>4420</v>
      </c>
      <c r="K835" s="7" t="str">
        <f t="shared" si="2"/>
        <v/>
      </c>
      <c r="L835" s="7" t="str">
        <f t="shared" si="3"/>
        <v/>
      </c>
      <c r="M835" s="7">
        <f t="shared" ref="M835:N835" si="846">IF(LEN(M$1),COUNTIF($G835:$I835,M$1),"")</f>
        <v>1</v>
      </c>
      <c r="N835" s="7" t="str">
        <f t="shared" si="846"/>
        <v/>
      </c>
      <c r="O835" s="7" t="str">
        <f t="shared" si="5"/>
        <v/>
      </c>
      <c r="P835" s="7">
        <f t="shared" si="714"/>
        <v>1</v>
      </c>
      <c r="Q835" s="7" t="str">
        <f t="shared" si="7"/>
        <v>Sherman</v>
      </c>
      <c r="T835" s="7"/>
    </row>
    <row r="836" ht="12.75" customHeight="1">
      <c r="A836" s="7">
        <v>835.0</v>
      </c>
      <c r="B836" s="7" t="s">
        <v>2059</v>
      </c>
      <c r="C836" s="7" t="s">
        <v>4815</v>
      </c>
      <c r="D836" s="7"/>
      <c r="E836" s="7"/>
      <c r="F836" s="7" t="s">
        <v>4853</v>
      </c>
      <c r="G836" s="7" t="s">
        <v>4260</v>
      </c>
      <c r="H836" s="7" t="s">
        <v>4261</v>
      </c>
      <c r="I836" s="7" t="s">
        <v>4233</v>
      </c>
      <c r="K836" s="7" t="str">
        <f t="shared" si="2"/>
        <v/>
      </c>
      <c r="L836" s="7" t="str">
        <f t="shared" si="3"/>
        <v/>
      </c>
      <c r="M836" s="7">
        <f t="shared" ref="M836:N836" si="847">IF(LEN(M$1),COUNTIF($G836:$I836,M$1),"")</f>
        <v>0</v>
      </c>
      <c r="N836" s="7" t="str">
        <f t="shared" si="847"/>
        <v/>
      </c>
      <c r="O836" s="7" t="str">
        <f t="shared" si="5"/>
        <v/>
      </c>
      <c r="P836" s="7">
        <f t="shared" si="714"/>
        <v>1</v>
      </c>
      <c r="Q836" s="7" t="str">
        <f t="shared" si="7"/>
        <v/>
      </c>
      <c r="T836" s="7"/>
    </row>
    <row r="837" ht="12.75" customHeight="1">
      <c r="A837" s="7">
        <v>836.0</v>
      </c>
      <c r="B837" s="7" t="s">
        <v>2059</v>
      </c>
      <c r="C837" s="7" t="s">
        <v>4815</v>
      </c>
      <c r="D837" s="7"/>
      <c r="E837" s="7"/>
      <c r="F837" s="7" t="s">
        <v>4853</v>
      </c>
      <c r="G837" s="7" t="s">
        <v>4129</v>
      </c>
      <c r="H837" s="7" t="s">
        <v>4189</v>
      </c>
      <c r="I837" s="7" t="s">
        <v>4113</v>
      </c>
      <c r="K837" s="7" t="str">
        <f t="shared" si="2"/>
        <v/>
      </c>
      <c r="L837" s="7" t="str">
        <f t="shared" si="3"/>
        <v/>
      </c>
      <c r="M837" s="7">
        <f t="shared" ref="M837:N837" si="848">IF(LEN(M$1),COUNTIF($G837:$I837,M$1),"")</f>
        <v>0</v>
      </c>
      <c r="N837" s="7" t="str">
        <f t="shared" si="848"/>
        <v/>
      </c>
      <c r="O837" s="7" t="str">
        <f t="shared" si="5"/>
        <v/>
      </c>
      <c r="P837" s="7">
        <f t="shared" si="714"/>
        <v>1</v>
      </c>
      <c r="Q837" s="7" t="str">
        <f t="shared" si="7"/>
        <v/>
      </c>
      <c r="T837" s="7"/>
    </row>
    <row r="838" ht="12.75" customHeight="1">
      <c r="A838" s="7">
        <v>837.0</v>
      </c>
      <c r="B838" s="7" t="s">
        <v>2059</v>
      </c>
      <c r="C838" s="7" t="s">
        <v>4815</v>
      </c>
      <c r="D838" s="7"/>
      <c r="E838" s="7"/>
      <c r="F838" s="7" t="s">
        <v>4853</v>
      </c>
      <c r="G838" s="7" t="s">
        <v>4388</v>
      </c>
      <c r="H838" s="7" t="s">
        <v>4386</v>
      </c>
      <c r="I838" s="7" t="s">
        <v>4425</v>
      </c>
      <c r="K838" s="7" t="str">
        <f t="shared" si="2"/>
        <v/>
      </c>
      <c r="L838" s="7" t="str">
        <f t="shared" si="3"/>
        <v/>
      </c>
      <c r="M838" s="7">
        <f t="shared" ref="M838:N838" si="849">IF(LEN(M$1),COUNTIF($G838:$I838,M$1),"")</f>
        <v>0</v>
      </c>
      <c r="N838" s="7" t="str">
        <f t="shared" si="849"/>
        <v/>
      </c>
      <c r="O838" s="7" t="str">
        <f t="shared" si="5"/>
        <v/>
      </c>
      <c r="P838" s="7">
        <f t="shared" si="714"/>
        <v>1</v>
      </c>
      <c r="Q838" s="7" t="str">
        <f t="shared" si="7"/>
        <v/>
      </c>
      <c r="T838" s="7"/>
    </row>
    <row r="839" ht="12.75" customHeight="1">
      <c r="A839" s="7">
        <v>838.0</v>
      </c>
      <c r="B839" s="7" t="s">
        <v>2059</v>
      </c>
      <c r="C839" s="7" t="s">
        <v>4815</v>
      </c>
      <c r="D839" s="7"/>
      <c r="E839" s="7"/>
      <c r="F839" s="7" t="s">
        <v>4853</v>
      </c>
      <c r="G839" s="7" t="s">
        <v>4386</v>
      </c>
      <c r="H839" s="7" t="s">
        <v>4388</v>
      </c>
      <c r="I839" s="7" t="s">
        <v>4425</v>
      </c>
      <c r="K839" s="7" t="str">
        <f t="shared" si="2"/>
        <v/>
      </c>
      <c r="L839" s="7" t="str">
        <f t="shared" si="3"/>
        <v/>
      </c>
      <c r="M839" s="7">
        <f t="shared" ref="M839:N839" si="850">IF(LEN(M$1),COUNTIF($G839:$I839,M$1),"")</f>
        <v>0</v>
      </c>
      <c r="N839" s="7" t="str">
        <f t="shared" si="850"/>
        <v/>
      </c>
      <c r="O839" s="7" t="str">
        <f t="shared" si="5"/>
        <v/>
      </c>
      <c r="P839" s="7">
        <f t="shared" si="714"/>
        <v>1</v>
      </c>
      <c r="Q839" s="7" t="str">
        <f t="shared" si="7"/>
        <v/>
      </c>
      <c r="T839" s="7"/>
    </row>
    <row r="840" ht="12.75" customHeight="1">
      <c r="A840" s="7">
        <v>839.0</v>
      </c>
      <c r="B840" s="7" t="s">
        <v>2065</v>
      </c>
      <c r="C840" s="7" t="s">
        <v>4791</v>
      </c>
      <c r="D840" s="7"/>
      <c r="E840" s="7"/>
      <c r="F840" s="7" t="s">
        <v>4853</v>
      </c>
      <c r="G840" s="7" t="s">
        <v>4040</v>
      </c>
      <c r="H840" s="7" t="s">
        <v>4099</v>
      </c>
      <c r="I840" s="7" t="s">
        <v>4001</v>
      </c>
      <c r="K840" s="7" t="str">
        <f t="shared" si="2"/>
        <v/>
      </c>
      <c r="L840" s="7" t="str">
        <f t="shared" si="3"/>
        <v/>
      </c>
      <c r="M840" s="7">
        <f t="shared" ref="M840:N840" si="851">IF(LEN(M$1),COUNTIF($G840:$I840,M$1),"")</f>
        <v>0</v>
      </c>
      <c r="N840" s="7" t="str">
        <f t="shared" si="851"/>
        <v/>
      </c>
      <c r="O840" s="7" t="str">
        <f t="shared" si="5"/>
        <v/>
      </c>
      <c r="P840" s="7">
        <f t="shared" si="714"/>
        <v>1</v>
      </c>
      <c r="Q840" s="7" t="str">
        <f t="shared" si="7"/>
        <v/>
      </c>
      <c r="T840" s="7"/>
    </row>
    <row r="841" ht="12.75" customHeight="1">
      <c r="A841" s="7">
        <v>840.0</v>
      </c>
      <c r="B841" s="7" t="s">
        <v>2065</v>
      </c>
      <c r="C841" s="7" t="s">
        <v>4791</v>
      </c>
      <c r="D841" s="7"/>
      <c r="E841" s="7"/>
      <c r="F841" s="7" t="s">
        <v>4853</v>
      </c>
      <c r="G841" s="7" t="s">
        <v>3970</v>
      </c>
      <c r="H841" s="7" t="s">
        <v>4197</v>
      </c>
      <c r="I841" s="7" t="s">
        <v>4221</v>
      </c>
      <c r="K841" s="7" t="str">
        <f t="shared" si="2"/>
        <v/>
      </c>
      <c r="L841" s="7" t="str">
        <f t="shared" si="3"/>
        <v/>
      </c>
      <c r="M841" s="7">
        <f t="shared" ref="M841:N841" si="852">IF(LEN(M$1),COUNTIF($G841:$I841,M$1),"")</f>
        <v>0</v>
      </c>
      <c r="N841" s="7" t="str">
        <f t="shared" si="852"/>
        <v/>
      </c>
      <c r="O841" s="7" t="str">
        <f t="shared" si="5"/>
        <v/>
      </c>
      <c r="P841" s="7">
        <f t="shared" si="714"/>
        <v>1</v>
      </c>
      <c r="Q841" s="7" t="str">
        <f t="shared" si="7"/>
        <v/>
      </c>
      <c r="T841" s="7"/>
    </row>
    <row r="842" ht="12.75" customHeight="1">
      <c r="A842" s="7">
        <v>841.0</v>
      </c>
      <c r="B842" s="7" t="s">
        <v>2065</v>
      </c>
      <c r="C842" s="7" t="s">
        <v>4791</v>
      </c>
      <c r="D842" s="7"/>
      <c r="E842" s="7"/>
      <c r="F842" s="7" t="s">
        <v>4853</v>
      </c>
      <c r="G842" s="7" t="s">
        <v>4426</v>
      </c>
      <c r="H842" s="7" t="s">
        <v>4425</v>
      </c>
      <c r="I842" s="7" t="s">
        <v>4392</v>
      </c>
      <c r="K842" s="7" t="str">
        <f t="shared" si="2"/>
        <v/>
      </c>
      <c r="L842" s="7" t="str">
        <f t="shared" si="3"/>
        <v/>
      </c>
      <c r="M842" s="7">
        <f t="shared" ref="M842:N842" si="853">IF(LEN(M$1),COUNTIF($G842:$I842,M$1),"")</f>
        <v>0</v>
      </c>
      <c r="N842" s="7" t="str">
        <f t="shared" si="853"/>
        <v/>
      </c>
      <c r="O842" s="7" t="str">
        <f t="shared" si="5"/>
        <v/>
      </c>
      <c r="P842" s="7">
        <f t="shared" si="714"/>
        <v>1</v>
      </c>
      <c r="Q842" s="7" t="str">
        <f t="shared" si="7"/>
        <v/>
      </c>
      <c r="T842" s="7"/>
    </row>
    <row r="843" ht="12.75" customHeight="1">
      <c r="A843" s="7">
        <v>842.0</v>
      </c>
      <c r="B843" s="7" t="s">
        <v>2065</v>
      </c>
      <c r="C843" s="7" t="s">
        <v>4791</v>
      </c>
      <c r="D843" s="7"/>
      <c r="E843" s="7"/>
      <c r="F843" s="7" t="s">
        <v>4853</v>
      </c>
      <c r="G843" s="7" t="s">
        <v>4426</v>
      </c>
      <c r="H843" s="7" t="s">
        <v>4425</v>
      </c>
      <c r="I843" s="7" t="s">
        <v>4424</v>
      </c>
      <c r="K843" s="7" t="str">
        <f t="shared" si="2"/>
        <v/>
      </c>
      <c r="L843" s="7" t="str">
        <f t="shared" si="3"/>
        <v/>
      </c>
      <c r="M843" s="7">
        <f t="shared" ref="M843:N843" si="854">IF(LEN(M$1),COUNTIF($G843:$I843,M$1),"")</f>
        <v>0</v>
      </c>
      <c r="N843" s="7" t="str">
        <f t="shared" si="854"/>
        <v/>
      </c>
      <c r="O843" s="7" t="str">
        <f t="shared" si="5"/>
        <v/>
      </c>
      <c r="P843" s="7">
        <f t="shared" si="714"/>
        <v>1</v>
      </c>
      <c r="Q843" s="7" t="str">
        <f t="shared" si="7"/>
        <v/>
      </c>
      <c r="T843" s="7"/>
    </row>
    <row r="844" ht="12.75" customHeight="1">
      <c r="A844" s="7">
        <v>843.0</v>
      </c>
      <c r="B844" s="7" t="s">
        <v>2073</v>
      </c>
      <c r="C844" s="7" t="s">
        <v>4791</v>
      </c>
      <c r="D844" s="7"/>
      <c r="E844" s="7"/>
      <c r="F844" s="7" t="s">
        <v>4853</v>
      </c>
      <c r="G844" s="7" t="s">
        <v>4051</v>
      </c>
      <c r="H844" s="7" t="s">
        <v>4024</v>
      </c>
      <c r="I844" s="7" t="s">
        <v>4248</v>
      </c>
      <c r="K844" s="7" t="str">
        <f t="shared" si="2"/>
        <v/>
      </c>
      <c r="L844" s="7" t="str">
        <f t="shared" si="3"/>
        <v/>
      </c>
      <c r="M844" s="7">
        <f t="shared" ref="M844:N844" si="855">IF(LEN(M$1),COUNTIF($G844:$I844,M$1),"")</f>
        <v>0</v>
      </c>
      <c r="N844" s="7" t="str">
        <f t="shared" si="855"/>
        <v/>
      </c>
      <c r="O844" s="7" t="str">
        <f t="shared" si="5"/>
        <v/>
      </c>
      <c r="P844" s="7">
        <f t="shared" si="714"/>
        <v>1</v>
      </c>
      <c r="Q844" s="7" t="str">
        <f t="shared" si="7"/>
        <v/>
      </c>
      <c r="T844" s="7"/>
    </row>
    <row r="845" ht="12.75" customHeight="1">
      <c r="A845" s="7">
        <v>844.0</v>
      </c>
      <c r="B845" s="7" t="s">
        <v>2073</v>
      </c>
      <c r="C845" s="7" t="s">
        <v>4791</v>
      </c>
      <c r="D845" s="7"/>
      <c r="E845" s="7"/>
      <c r="F845" s="7" t="s">
        <v>4853</v>
      </c>
      <c r="G845" s="7" t="s">
        <v>4208</v>
      </c>
      <c r="H845" s="7" t="s">
        <v>4066</v>
      </c>
      <c r="I845" s="7" t="s">
        <v>4149</v>
      </c>
      <c r="K845" s="7" t="str">
        <f t="shared" si="2"/>
        <v/>
      </c>
      <c r="L845" s="7" t="str">
        <f t="shared" si="3"/>
        <v/>
      </c>
      <c r="M845" s="7">
        <f t="shared" ref="M845:N845" si="856">IF(LEN(M$1),COUNTIF($G845:$I845,M$1),"")</f>
        <v>0</v>
      </c>
      <c r="N845" s="7" t="str">
        <f t="shared" si="856"/>
        <v/>
      </c>
      <c r="O845" s="7" t="str">
        <f t="shared" si="5"/>
        <v/>
      </c>
      <c r="P845" s="7">
        <f t="shared" si="714"/>
        <v>1</v>
      </c>
      <c r="Q845" s="7" t="str">
        <f t="shared" si="7"/>
        <v/>
      </c>
      <c r="T845" s="7"/>
    </row>
    <row r="846" ht="12.75" customHeight="1">
      <c r="A846" s="7">
        <v>845.0</v>
      </c>
      <c r="B846" s="7" t="s">
        <v>2073</v>
      </c>
      <c r="C846" s="7" t="s">
        <v>4791</v>
      </c>
      <c r="D846" s="7"/>
      <c r="E846" s="7"/>
      <c r="F846" s="7" t="s">
        <v>4853</v>
      </c>
      <c r="G846" s="7" t="s">
        <v>4401</v>
      </c>
      <c r="H846" s="7" t="s">
        <v>4383</v>
      </c>
      <c r="I846" s="7" t="s">
        <v>4435</v>
      </c>
      <c r="K846" s="7" t="str">
        <f t="shared" si="2"/>
        <v/>
      </c>
      <c r="L846" s="7" t="str">
        <f t="shared" si="3"/>
        <v/>
      </c>
      <c r="M846" s="7">
        <f t="shared" ref="M846:N846" si="857">IF(LEN(M$1),COUNTIF($G846:$I846,M$1),"")</f>
        <v>0</v>
      </c>
      <c r="N846" s="7" t="str">
        <f t="shared" si="857"/>
        <v/>
      </c>
      <c r="O846" s="7" t="str">
        <f t="shared" si="5"/>
        <v/>
      </c>
      <c r="P846" s="7">
        <f t="shared" si="714"/>
        <v>1</v>
      </c>
      <c r="Q846" s="7" t="str">
        <f t="shared" si="7"/>
        <v/>
      </c>
    </row>
    <row r="847" ht="12.75" customHeight="1">
      <c r="A847" s="7">
        <v>846.0</v>
      </c>
      <c r="B847" s="7" t="s">
        <v>2073</v>
      </c>
      <c r="C847" s="7" t="s">
        <v>4791</v>
      </c>
      <c r="D847" s="7"/>
      <c r="E847" s="7"/>
      <c r="F847" s="7" t="s">
        <v>4853</v>
      </c>
      <c r="G847" s="7" t="s">
        <v>4401</v>
      </c>
      <c r="H847" s="7" t="s">
        <v>4383</v>
      </c>
      <c r="I847" s="7" t="s">
        <v>4430</v>
      </c>
      <c r="K847" s="7" t="str">
        <f t="shared" si="2"/>
        <v/>
      </c>
      <c r="L847" s="7" t="str">
        <f t="shared" si="3"/>
        <v/>
      </c>
      <c r="M847" s="7">
        <f t="shared" ref="M847:N847" si="858">IF(LEN(M$1),COUNTIF($G847:$I847,M$1),"")</f>
        <v>0</v>
      </c>
      <c r="N847" s="7" t="str">
        <f t="shared" si="858"/>
        <v/>
      </c>
      <c r="O847" s="7" t="str">
        <f t="shared" si="5"/>
        <v/>
      </c>
      <c r="P847" s="7">
        <f t="shared" si="714"/>
        <v>1</v>
      </c>
      <c r="Q847" s="7" t="str">
        <f t="shared" si="7"/>
        <v/>
      </c>
    </row>
    <row r="848" ht="12.75" customHeight="1">
      <c r="A848" s="7">
        <v>847.0</v>
      </c>
      <c r="B848" s="7" t="s">
        <v>2081</v>
      </c>
      <c r="C848" s="7" t="s">
        <v>4812</v>
      </c>
      <c r="D848" s="7"/>
      <c r="E848" s="7"/>
      <c r="F848" s="7" t="s">
        <v>4853</v>
      </c>
      <c r="G848" s="7" t="s">
        <v>4243</v>
      </c>
      <c r="H848" s="7" t="s">
        <v>4192</v>
      </c>
      <c r="I848" s="7" t="s">
        <v>4241</v>
      </c>
      <c r="K848" s="7" t="str">
        <f t="shared" si="2"/>
        <v/>
      </c>
      <c r="L848" s="7" t="str">
        <f t="shared" si="3"/>
        <v/>
      </c>
      <c r="M848" s="7">
        <f t="shared" ref="M848:N848" si="859">IF(LEN(M$1),COUNTIF($G848:$I848,M$1),"")</f>
        <v>0</v>
      </c>
      <c r="N848" s="7" t="str">
        <f t="shared" si="859"/>
        <v/>
      </c>
      <c r="O848" s="7" t="str">
        <f t="shared" si="5"/>
        <v/>
      </c>
      <c r="P848" s="7">
        <f t="shared" si="714"/>
        <v>1</v>
      </c>
      <c r="Q848" s="7" t="str">
        <f t="shared" si="7"/>
        <v/>
      </c>
      <c r="T848" s="7"/>
    </row>
    <row r="849" ht="12.75" customHeight="1">
      <c r="A849" s="7">
        <v>848.0</v>
      </c>
      <c r="B849" s="7" t="s">
        <v>2081</v>
      </c>
      <c r="C849" s="7" t="s">
        <v>4812</v>
      </c>
      <c r="D849" s="7"/>
      <c r="E849" s="7"/>
      <c r="F849" s="7" t="s">
        <v>4853</v>
      </c>
      <c r="G849" s="7" t="s">
        <v>4225</v>
      </c>
      <c r="H849" s="7" t="s">
        <v>4190</v>
      </c>
      <c r="I849" s="7" t="s">
        <v>4256</v>
      </c>
      <c r="K849" s="7" t="str">
        <f t="shared" si="2"/>
        <v/>
      </c>
      <c r="L849" s="7" t="str">
        <f t="shared" si="3"/>
        <v/>
      </c>
      <c r="M849" s="7">
        <f t="shared" ref="M849:N849" si="860">IF(LEN(M$1),COUNTIF($G849:$I849,M$1),"")</f>
        <v>0</v>
      </c>
      <c r="N849" s="7" t="str">
        <f t="shared" si="860"/>
        <v/>
      </c>
      <c r="O849" s="7" t="str">
        <f t="shared" si="5"/>
        <v/>
      </c>
      <c r="P849" s="7">
        <f t="shared" si="714"/>
        <v>1</v>
      </c>
      <c r="Q849" s="7" t="str">
        <f t="shared" si="7"/>
        <v/>
      </c>
      <c r="T849" s="7"/>
    </row>
    <row r="850" ht="12.75" customHeight="1">
      <c r="A850" s="7">
        <v>849.0</v>
      </c>
      <c r="B850" s="7" t="s">
        <v>2081</v>
      </c>
      <c r="C850" s="7" t="s">
        <v>4812</v>
      </c>
      <c r="D850" s="7"/>
      <c r="E850" s="7"/>
      <c r="F850" s="7" t="s">
        <v>4853</v>
      </c>
      <c r="G850" s="7" t="s">
        <v>4385</v>
      </c>
      <c r="H850" s="7" t="s">
        <v>4386</v>
      </c>
      <c r="I850" s="7" t="s">
        <v>4422</v>
      </c>
      <c r="K850" s="7" t="str">
        <f t="shared" si="2"/>
        <v/>
      </c>
      <c r="L850" s="7" t="str">
        <f t="shared" si="3"/>
        <v/>
      </c>
      <c r="M850" s="7">
        <f t="shared" ref="M850:N850" si="861">IF(LEN(M$1),COUNTIF($G850:$I850,M$1),"")</f>
        <v>1</v>
      </c>
      <c r="N850" s="7" t="str">
        <f t="shared" si="861"/>
        <v/>
      </c>
      <c r="O850" s="7" t="str">
        <f t="shared" si="5"/>
        <v/>
      </c>
      <c r="P850" s="7">
        <f t="shared" si="714"/>
        <v>1</v>
      </c>
      <c r="Q850" s="7" t="str">
        <f t="shared" si="7"/>
        <v>Cain</v>
      </c>
      <c r="T850" s="7"/>
    </row>
    <row r="851" ht="12.75" customHeight="1">
      <c r="A851" s="7">
        <v>850.0</v>
      </c>
      <c r="B851" s="7" t="s">
        <v>2081</v>
      </c>
      <c r="C851" s="7" t="s">
        <v>4812</v>
      </c>
      <c r="D851" s="7"/>
      <c r="E851" s="7"/>
      <c r="F851" s="7" t="s">
        <v>4853</v>
      </c>
      <c r="G851" s="7" t="s">
        <v>4110</v>
      </c>
      <c r="H851" s="7" t="s">
        <v>4386</v>
      </c>
      <c r="I851" s="7" t="s">
        <v>4422</v>
      </c>
      <c r="K851" s="7" t="str">
        <f t="shared" si="2"/>
        <v/>
      </c>
      <c r="L851" s="7" t="str">
        <f t="shared" si="3"/>
        <v/>
      </c>
      <c r="M851" s="7">
        <f t="shared" ref="M851:N851" si="862">IF(LEN(M$1),COUNTIF($G851:$I851,M$1),"")</f>
        <v>1</v>
      </c>
      <c r="N851" s="7" t="str">
        <f t="shared" si="862"/>
        <v/>
      </c>
      <c r="O851" s="7" t="str">
        <f t="shared" si="5"/>
        <v/>
      </c>
      <c r="P851" s="7">
        <f t="shared" si="714"/>
        <v>1</v>
      </c>
      <c r="Q851" s="7" t="str">
        <f t="shared" si="7"/>
        <v>Cain</v>
      </c>
      <c r="T851" s="7"/>
    </row>
    <row r="852" ht="12.75" customHeight="1">
      <c r="A852" s="7">
        <v>851.0</v>
      </c>
      <c r="B852" s="7" t="s">
        <v>2089</v>
      </c>
      <c r="C852" s="7" t="s">
        <v>4812</v>
      </c>
      <c r="D852" s="7"/>
      <c r="E852" s="7"/>
      <c r="F852" s="7" t="s">
        <v>4853</v>
      </c>
      <c r="G852" s="7" t="s">
        <v>4133</v>
      </c>
      <c r="H852" s="7" t="s">
        <v>4229</v>
      </c>
      <c r="I852" s="7" t="s">
        <v>4270</v>
      </c>
      <c r="K852" s="7" t="str">
        <f t="shared" si="2"/>
        <v/>
      </c>
      <c r="L852" s="7" t="str">
        <f t="shared" si="3"/>
        <v/>
      </c>
      <c r="M852" s="7">
        <f t="shared" ref="M852:N852" si="863">IF(LEN(M$1),COUNTIF($G852:$I852,M$1),"")</f>
        <v>0</v>
      </c>
      <c r="N852" s="7" t="str">
        <f t="shared" si="863"/>
        <v/>
      </c>
      <c r="O852" s="7" t="str">
        <f t="shared" si="5"/>
        <v/>
      </c>
      <c r="P852" s="7">
        <f t="shared" si="714"/>
        <v>1</v>
      </c>
      <c r="Q852" s="7" t="str">
        <f t="shared" si="7"/>
        <v/>
      </c>
      <c r="T852" s="7"/>
    </row>
    <row r="853" ht="12.75" customHeight="1">
      <c r="A853" s="7">
        <v>852.0</v>
      </c>
      <c r="B853" s="7" t="s">
        <v>2089</v>
      </c>
      <c r="C853" s="7" t="s">
        <v>4812</v>
      </c>
      <c r="D853" s="7"/>
      <c r="E853" s="7"/>
      <c r="F853" s="7" t="s">
        <v>4853</v>
      </c>
      <c r="G853" s="7" t="s">
        <v>4242</v>
      </c>
      <c r="H853" s="7" t="s">
        <v>4270</v>
      </c>
      <c r="I853" s="7" t="s">
        <v>4174</v>
      </c>
      <c r="K853" s="7" t="str">
        <f t="shared" si="2"/>
        <v/>
      </c>
      <c r="L853" s="7" t="str">
        <f t="shared" si="3"/>
        <v/>
      </c>
      <c r="M853" s="7">
        <f t="shared" ref="M853:N853" si="864">IF(LEN(M$1),COUNTIF($G853:$I853,M$1),"")</f>
        <v>0</v>
      </c>
      <c r="N853" s="7" t="str">
        <f t="shared" si="864"/>
        <v/>
      </c>
      <c r="O853" s="7" t="str">
        <f t="shared" si="5"/>
        <v/>
      </c>
      <c r="P853" s="7">
        <f t="shared" si="714"/>
        <v>1</v>
      </c>
      <c r="Q853" s="7" t="str">
        <f t="shared" si="7"/>
        <v/>
      </c>
    </row>
    <row r="854" ht="12.75" customHeight="1">
      <c r="A854" s="7">
        <v>853.0</v>
      </c>
      <c r="B854" s="7" t="s">
        <v>2089</v>
      </c>
      <c r="C854" s="7" t="s">
        <v>4812</v>
      </c>
      <c r="D854" s="7"/>
      <c r="E854" s="7"/>
      <c r="F854" s="7" t="s">
        <v>4853</v>
      </c>
      <c r="G854" s="7" t="s">
        <v>4437</v>
      </c>
      <c r="H854" s="7" t="s">
        <v>4398</v>
      </c>
      <c r="I854" s="7" t="s">
        <v>4431</v>
      </c>
      <c r="K854" s="7" t="str">
        <f t="shared" si="2"/>
        <v/>
      </c>
      <c r="L854" s="7" t="str">
        <f t="shared" si="3"/>
        <v/>
      </c>
      <c r="M854" s="7">
        <f t="shared" ref="M854:N854" si="865">IF(LEN(M$1),COUNTIF($G854:$I854,M$1),"")</f>
        <v>0</v>
      </c>
      <c r="N854" s="7" t="str">
        <f t="shared" si="865"/>
        <v/>
      </c>
      <c r="O854" s="7" t="str">
        <f t="shared" si="5"/>
        <v/>
      </c>
      <c r="P854" s="7">
        <f t="shared" si="714"/>
        <v>1</v>
      </c>
      <c r="Q854" s="7" t="str">
        <f t="shared" si="7"/>
        <v/>
      </c>
    </row>
    <row r="855" ht="12.75" customHeight="1">
      <c r="A855" s="7">
        <v>854.0</v>
      </c>
      <c r="B855" s="7" t="s">
        <v>2089</v>
      </c>
      <c r="C855" s="7" t="s">
        <v>4812</v>
      </c>
      <c r="D855" s="7"/>
      <c r="E855" s="7"/>
      <c r="F855" s="7" t="s">
        <v>4853</v>
      </c>
      <c r="G855" s="7" t="s">
        <v>4437</v>
      </c>
      <c r="H855" s="7" t="s">
        <v>4398</v>
      </c>
      <c r="I855" s="7" t="s">
        <v>4415</v>
      </c>
      <c r="K855" s="7" t="str">
        <f t="shared" si="2"/>
        <v/>
      </c>
      <c r="L855" s="7" t="str">
        <f t="shared" si="3"/>
        <v/>
      </c>
      <c r="M855" s="7">
        <f t="shared" ref="M855:N855" si="866">IF(LEN(M$1),COUNTIF($G855:$I855,M$1),"")</f>
        <v>0</v>
      </c>
      <c r="N855" s="7" t="str">
        <f t="shared" si="866"/>
        <v/>
      </c>
      <c r="O855" s="7" t="str">
        <f t="shared" si="5"/>
        <v/>
      </c>
      <c r="P855" s="7">
        <f t="shared" si="714"/>
        <v>1</v>
      </c>
      <c r="Q855" s="7" t="str">
        <f t="shared" si="7"/>
        <v/>
      </c>
    </row>
    <row r="856" ht="12.75" customHeight="1">
      <c r="A856" s="7">
        <v>855.0</v>
      </c>
      <c r="B856" s="7" t="s">
        <v>1360</v>
      </c>
      <c r="C856" s="7" t="s">
        <v>4814</v>
      </c>
      <c r="D856" s="7"/>
      <c r="E856" s="7"/>
      <c r="F856" s="7" t="s">
        <v>4853</v>
      </c>
      <c r="G856" s="7" t="s">
        <v>4181</v>
      </c>
      <c r="H856" s="7" t="s">
        <v>4002</v>
      </c>
      <c r="I856" s="7" t="s">
        <v>4243</v>
      </c>
      <c r="K856" s="7" t="str">
        <f t="shared" si="2"/>
        <v/>
      </c>
      <c r="L856" s="7" t="str">
        <f t="shared" si="3"/>
        <v/>
      </c>
      <c r="M856" s="7">
        <f t="shared" ref="M856:N856" si="867">IF(LEN(M$1),COUNTIF($G856:$I856,M$1),"")</f>
        <v>0</v>
      </c>
      <c r="N856" s="7" t="str">
        <f t="shared" si="867"/>
        <v/>
      </c>
      <c r="O856" s="7" t="str">
        <f t="shared" si="5"/>
        <v/>
      </c>
      <c r="P856" s="7">
        <f t="shared" si="714"/>
        <v>1</v>
      </c>
      <c r="Q856" s="7" t="str">
        <f t="shared" si="7"/>
        <v/>
      </c>
      <c r="T856" s="7"/>
    </row>
    <row r="857" ht="12.75" customHeight="1">
      <c r="A857" s="7">
        <v>856.0</v>
      </c>
      <c r="B857" s="7" t="s">
        <v>1360</v>
      </c>
      <c r="C857" s="7" t="s">
        <v>4814</v>
      </c>
      <c r="D857" s="7"/>
      <c r="E857" s="7"/>
      <c r="F857" s="7" t="s">
        <v>4853</v>
      </c>
      <c r="G857" s="7" t="s">
        <v>4199</v>
      </c>
      <c r="H857" s="7" t="s">
        <v>4002</v>
      </c>
      <c r="I857" s="7" t="s">
        <v>4276</v>
      </c>
      <c r="K857" s="7" t="str">
        <f t="shared" si="2"/>
        <v/>
      </c>
      <c r="L857" s="7" t="str">
        <f t="shared" si="3"/>
        <v/>
      </c>
      <c r="M857" s="7">
        <f t="shared" ref="M857:N857" si="868">IF(LEN(M$1),COUNTIF($G857:$I857,M$1),"")</f>
        <v>0</v>
      </c>
      <c r="N857" s="7" t="str">
        <f t="shared" si="868"/>
        <v/>
      </c>
      <c r="O857" s="7" t="str">
        <f t="shared" si="5"/>
        <v/>
      </c>
      <c r="P857" s="7">
        <f t="shared" si="714"/>
        <v>1</v>
      </c>
      <c r="Q857" s="7" t="str">
        <f t="shared" si="7"/>
        <v/>
      </c>
      <c r="T857" s="7"/>
    </row>
    <row r="858" ht="12.75" customHeight="1">
      <c r="A858" s="7">
        <v>857.0</v>
      </c>
      <c r="B858" s="7" t="s">
        <v>1360</v>
      </c>
      <c r="C858" s="7" t="s">
        <v>4814</v>
      </c>
      <c r="D858" s="7"/>
      <c r="E858" s="7"/>
      <c r="F858" s="7" t="s">
        <v>4853</v>
      </c>
      <c r="G858" s="7" t="s">
        <v>4400</v>
      </c>
      <c r="H858" s="7" t="s">
        <v>4411</v>
      </c>
      <c r="I858" s="7" t="s">
        <v>4374</v>
      </c>
      <c r="K858" s="7" t="str">
        <f t="shared" si="2"/>
        <v/>
      </c>
      <c r="L858" s="7" t="str">
        <f t="shared" si="3"/>
        <v/>
      </c>
      <c r="M858" s="7">
        <f t="shared" ref="M858:N858" si="869">IF(LEN(M$1),COUNTIF($G858:$I858,M$1),"")</f>
        <v>0</v>
      </c>
      <c r="N858" s="7" t="str">
        <f t="shared" si="869"/>
        <v/>
      </c>
      <c r="O858" s="7" t="str">
        <f t="shared" si="5"/>
        <v/>
      </c>
      <c r="P858" s="7">
        <f t="shared" si="714"/>
        <v>1</v>
      </c>
      <c r="Q858" s="7" t="str">
        <f t="shared" si="7"/>
        <v/>
      </c>
      <c r="T858" s="7"/>
    </row>
    <row r="859" ht="12.75" customHeight="1">
      <c r="A859" s="7">
        <v>858.0</v>
      </c>
      <c r="B859" s="7" t="s">
        <v>1360</v>
      </c>
      <c r="C859" s="7" t="s">
        <v>4814</v>
      </c>
      <c r="D859" s="7"/>
      <c r="E859" s="7"/>
      <c r="F859" s="7" t="s">
        <v>4853</v>
      </c>
      <c r="G859" s="7" t="s">
        <v>4400</v>
      </c>
      <c r="H859" s="7" t="s">
        <v>4363</v>
      </c>
      <c r="I859" s="7" t="s">
        <v>4118</v>
      </c>
      <c r="K859" s="7" t="str">
        <f t="shared" si="2"/>
        <v/>
      </c>
      <c r="L859" s="7" t="str">
        <f t="shared" si="3"/>
        <v/>
      </c>
      <c r="M859" s="7">
        <f t="shared" ref="M859:N859" si="870">IF(LEN(M$1),COUNTIF($G859:$I859,M$1),"")</f>
        <v>0</v>
      </c>
      <c r="N859" s="7" t="str">
        <f t="shared" si="870"/>
        <v/>
      </c>
      <c r="O859" s="7" t="str">
        <f t="shared" si="5"/>
        <v/>
      </c>
      <c r="P859" s="7">
        <f t="shared" si="714"/>
        <v>1</v>
      </c>
      <c r="Q859" s="7" t="str">
        <f t="shared" si="7"/>
        <v/>
      </c>
      <c r="T859" s="7"/>
    </row>
    <row r="860" ht="12.75" customHeight="1">
      <c r="A860" s="7">
        <v>859.0</v>
      </c>
      <c r="B860" s="7" t="s">
        <v>2103</v>
      </c>
      <c r="C860" s="7" t="s">
        <v>4814</v>
      </c>
      <c r="D860" s="7"/>
      <c r="E860" s="7"/>
      <c r="F860" s="7" t="s">
        <v>4853</v>
      </c>
      <c r="G860" s="7" t="s">
        <v>4227</v>
      </c>
      <c r="H860" s="7" t="s">
        <v>4041</v>
      </c>
      <c r="I860" s="7" t="s">
        <v>4123</v>
      </c>
      <c r="K860" s="7" t="str">
        <f t="shared" si="2"/>
        <v/>
      </c>
      <c r="L860" s="7" t="str">
        <f t="shared" si="3"/>
        <v/>
      </c>
      <c r="M860" s="7">
        <f t="shared" ref="M860:N860" si="871">IF(LEN(M$1),COUNTIF($G860:$I860,M$1),"")</f>
        <v>0</v>
      </c>
      <c r="N860" s="7" t="str">
        <f t="shared" si="871"/>
        <v/>
      </c>
      <c r="O860" s="7" t="str">
        <f t="shared" si="5"/>
        <v/>
      </c>
      <c r="P860" s="7">
        <f t="shared" si="714"/>
        <v>1</v>
      </c>
      <c r="Q860" s="7" t="str">
        <f t="shared" si="7"/>
        <v/>
      </c>
      <c r="T860" s="7"/>
    </row>
    <row r="861" ht="12.75" customHeight="1">
      <c r="A861" s="7">
        <v>860.0</v>
      </c>
      <c r="B861" s="7" t="s">
        <v>2103</v>
      </c>
      <c r="C861" s="7" t="s">
        <v>4814</v>
      </c>
      <c r="D861" s="7"/>
      <c r="E861" s="7"/>
      <c r="F861" s="7" t="s">
        <v>4853</v>
      </c>
      <c r="G861" s="7" t="s">
        <v>4272</v>
      </c>
      <c r="H861" s="7" t="s">
        <v>4281</v>
      </c>
      <c r="I861" s="7" t="s">
        <v>4123</v>
      </c>
      <c r="K861" s="7" t="str">
        <f t="shared" si="2"/>
        <v/>
      </c>
      <c r="L861" s="7" t="str">
        <f t="shared" si="3"/>
        <v/>
      </c>
      <c r="M861" s="7">
        <f t="shared" ref="M861:N861" si="872">IF(LEN(M$1),COUNTIF($G861:$I861,M$1),"")</f>
        <v>0</v>
      </c>
      <c r="N861" s="7" t="str">
        <f t="shared" si="872"/>
        <v/>
      </c>
      <c r="O861" s="7" t="str">
        <f t="shared" si="5"/>
        <v/>
      </c>
      <c r="P861" s="7">
        <f t="shared" si="714"/>
        <v>1</v>
      </c>
      <c r="Q861" s="7" t="str">
        <f t="shared" si="7"/>
        <v/>
      </c>
      <c r="T861" s="7"/>
    </row>
    <row r="862" ht="12.75" customHeight="1">
      <c r="A862" s="7">
        <v>861.0</v>
      </c>
      <c r="B862" s="7" t="s">
        <v>2103</v>
      </c>
      <c r="C862" s="7" t="s">
        <v>4814</v>
      </c>
      <c r="D862" s="7"/>
      <c r="E862" s="7"/>
      <c r="F862" s="7" t="s">
        <v>4853</v>
      </c>
      <c r="G862" s="7" t="s">
        <v>4376</v>
      </c>
      <c r="H862" s="7" t="s">
        <v>4404</v>
      </c>
      <c r="I862" s="7" t="s">
        <v>4371</v>
      </c>
      <c r="K862" s="7" t="str">
        <f t="shared" si="2"/>
        <v/>
      </c>
      <c r="L862" s="7" t="str">
        <f t="shared" si="3"/>
        <v/>
      </c>
      <c r="M862" s="7">
        <f t="shared" ref="M862:N862" si="873">IF(LEN(M$1),COUNTIF($G862:$I862,M$1),"")</f>
        <v>0</v>
      </c>
      <c r="N862" s="7" t="str">
        <f t="shared" si="873"/>
        <v/>
      </c>
      <c r="O862" s="7" t="str">
        <f t="shared" si="5"/>
        <v/>
      </c>
      <c r="P862" s="7">
        <f t="shared" si="714"/>
        <v>1</v>
      </c>
      <c r="Q862" s="7" t="str">
        <f t="shared" si="7"/>
        <v/>
      </c>
      <c r="T862" s="7"/>
    </row>
    <row r="863" ht="12.75" customHeight="1">
      <c r="A863" s="7">
        <v>862.0</v>
      </c>
      <c r="B863" s="7" t="s">
        <v>2103</v>
      </c>
      <c r="C863" s="7" t="s">
        <v>4814</v>
      </c>
      <c r="D863" s="7"/>
      <c r="E863" s="7"/>
      <c r="F863" s="7" t="s">
        <v>4853</v>
      </c>
      <c r="G863" s="7" t="s">
        <v>4376</v>
      </c>
      <c r="H863" s="7" t="s">
        <v>4381</v>
      </c>
      <c r="I863" s="7" t="s">
        <v>4430</v>
      </c>
      <c r="K863" s="7" t="str">
        <f t="shared" si="2"/>
        <v/>
      </c>
      <c r="L863" s="7" t="str">
        <f t="shared" si="3"/>
        <v/>
      </c>
      <c r="M863" s="7">
        <f t="shared" ref="M863:N863" si="874">IF(LEN(M$1),COUNTIF($G863:$I863,M$1),"")</f>
        <v>0</v>
      </c>
      <c r="N863" s="7" t="str">
        <f t="shared" si="874"/>
        <v/>
      </c>
      <c r="O863" s="7" t="str">
        <f t="shared" si="5"/>
        <v/>
      </c>
      <c r="P863" s="7">
        <f t="shared" si="714"/>
        <v>1</v>
      </c>
      <c r="Q863" s="7" t="str">
        <f t="shared" si="7"/>
        <v/>
      </c>
      <c r="T863" s="7"/>
    </row>
    <row r="864" ht="12.75" customHeight="1">
      <c r="A864" s="7">
        <v>863.0</v>
      </c>
      <c r="B864" s="7" t="s">
        <v>2110</v>
      </c>
      <c r="C864" s="7" t="s">
        <v>4793</v>
      </c>
      <c r="D864" s="7"/>
      <c r="E864" s="7"/>
      <c r="F864" s="7" t="s">
        <v>4853</v>
      </c>
      <c r="G864" s="7" t="s">
        <v>4004</v>
      </c>
      <c r="H864" s="7" t="s">
        <v>4127</v>
      </c>
      <c r="I864" s="7" t="s">
        <v>4125</v>
      </c>
      <c r="K864" s="7" t="str">
        <f t="shared" si="2"/>
        <v/>
      </c>
      <c r="L864" s="7" t="str">
        <f t="shared" si="3"/>
        <v/>
      </c>
      <c r="M864" s="7">
        <f t="shared" ref="M864:N864" si="875">IF(LEN(M$1),COUNTIF($G864:$I864,M$1),"")</f>
        <v>0</v>
      </c>
      <c r="N864" s="7" t="str">
        <f t="shared" si="875"/>
        <v/>
      </c>
      <c r="O864" s="7" t="str">
        <f t="shared" si="5"/>
        <v/>
      </c>
      <c r="P864" s="7">
        <f t="shared" si="714"/>
        <v>1</v>
      </c>
      <c r="Q864" s="7" t="str">
        <f t="shared" si="7"/>
        <v/>
      </c>
      <c r="T864" s="7"/>
    </row>
    <row r="865" ht="12.75" customHeight="1">
      <c r="A865" s="7">
        <v>864.0</v>
      </c>
      <c r="B865" s="7" t="s">
        <v>2110</v>
      </c>
      <c r="C865" s="7" t="s">
        <v>4793</v>
      </c>
      <c r="D865" s="7"/>
      <c r="E865" s="7"/>
      <c r="F865" s="7" t="s">
        <v>4853</v>
      </c>
      <c r="G865" s="7" t="s">
        <v>4201</v>
      </c>
      <c r="H865" s="7" t="s">
        <v>4065</v>
      </c>
      <c r="I865" s="7" t="s">
        <v>4256</v>
      </c>
      <c r="K865" s="7" t="str">
        <f t="shared" si="2"/>
        <v/>
      </c>
      <c r="L865" s="7" t="str">
        <f t="shared" si="3"/>
        <v/>
      </c>
      <c r="M865" s="7">
        <f t="shared" ref="M865:N865" si="876">IF(LEN(M$1),COUNTIF($G865:$I865,M$1),"")</f>
        <v>0</v>
      </c>
      <c r="N865" s="7" t="str">
        <f t="shared" si="876"/>
        <v/>
      </c>
      <c r="O865" s="7" t="str">
        <f t="shared" si="5"/>
        <v/>
      </c>
      <c r="P865" s="7">
        <f t="shared" si="714"/>
        <v>1</v>
      </c>
      <c r="Q865" s="7" t="str">
        <f t="shared" si="7"/>
        <v/>
      </c>
      <c r="T865" s="7"/>
    </row>
    <row r="866" ht="12.75" customHeight="1">
      <c r="A866" s="7">
        <v>865.0</v>
      </c>
      <c r="B866" s="7" t="s">
        <v>2110</v>
      </c>
      <c r="C866" s="7" t="s">
        <v>4793</v>
      </c>
      <c r="D866" s="7"/>
      <c r="E866" s="7"/>
      <c r="F866" s="7" t="s">
        <v>4853</v>
      </c>
      <c r="G866" s="7" t="s">
        <v>4409</v>
      </c>
      <c r="H866" s="7" t="s">
        <v>4418</v>
      </c>
      <c r="I866" s="7" t="s">
        <v>4412</v>
      </c>
      <c r="K866" s="7" t="str">
        <f t="shared" si="2"/>
        <v/>
      </c>
      <c r="L866" s="7" t="str">
        <f t="shared" si="3"/>
        <v/>
      </c>
      <c r="M866" s="7">
        <f t="shared" ref="M866:N866" si="877">IF(LEN(M$1),COUNTIF($G866:$I866,M$1),"")</f>
        <v>0</v>
      </c>
      <c r="N866" s="7" t="str">
        <f t="shared" si="877"/>
        <v/>
      </c>
      <c r="O866" s="7" t="str">
        <f t="shared" si="5"/>
        <v/>
      </c>
      <c r="P866" s="7">
        <f t="shared" si="714"/>
        <v>1</v>
      </c>
      <c r="Q866" s="7" t="str">
        <f t="shared" si="7"/>
        <v/>
      </c>
      <c r="T866" s="7"/>
    </row>
    <row r="867" ht="12.75" customHeight="1">
      <c r="A867" s="7">
        <v>866.0</v>
      </c>
      <c r="B867" s="7" t="s">
        <v>2110</v>
      </c>
      <c r="C867" s="7" t="s">
        <v>4793</v>
      </c>
      <c r="D867" s="7"/>
      <c r="E867" s="7"/>
      <c r="F867" s="7" t="s">
        <v>4853</v>
      </c>
      <c r="G867" s="7" t="s">
        <v>4409</v>
      </c>
      <c r="H867" s="7" t="s">
        <v>4378</v>
      </c>
      <c r="I867" s="7" t="s">
        <v>4389</v>
      </c>
      <c r="K867" s="7" t="str">
        <f t="shared" si="2"/>
        <v/>
      </c>
      <c r="L867" s="7" t="str">
        <f t="shared" si="3"/>
        <v/>
      </c>
      <c r="M867" s="7">
        <f t="shared" ref="M867:N867" si="878">IF(LEN(M$1),COUNTIF($G867:$I867,M$1),"")</f>
        <v>0</v>
      </c>
      <c r="N867" s="7" t="str">
        <f t="shared" si="878"/>
        <v/>
      </c>
      <c r="O867" s="7" t="str">
        <f t="shared" si="5"/>
        <v/>
      </c>
      <c r="P867" s="7">
        <f t="shared" si="714"/>
        <v>1</v>
      </c>
      <c r="Q867" s="7" t="str">
        <f t="shared" si="7"/>
        <v/>
      </c>
      <c r="T867" s="7"/>
    </row>
    <row r="868" ht="12.75" customHeight="1">
      <c r="A868" s="7">
        <v>867.0</v>
      </c>
      <c r="B868" s="7" t="s">
        <v>2118</v>
      </c>
      <c r="C868" s="7" t="s">
        <v>4793</v>
      </c>
      <c r="D868" s="7"/>
      <c r="E868" s="7"/>
      <c r="F868" s="7" t="s">
        <v>4853</v>
      </c>
      <c r="G868" s="7" t="s">
        <v>4194</v>
      </c>
      <c r="H868" s="7" t="s">
        <v>4097</v>
      </c>
      <c r="I868" s="7" t="s">
        <v>4231</v>
      </c>
      <c r="K868" s="7" t="str">
        <f t="shared" si="2"/>
        <v/>
      </c>
      <c r="L868" s="7" t="str">
        <f t="shared" si="3"/>
        <v/>
      </c>
      <c r="M868" s="7">
        <f t="shared" ref="M868:N868" si="879">IF(LEN(M$1),COUNTIF($G868:$I868,M$1),"")</f>
        <v>0</v>
      </c>
      <c r="N868" s="7" t="str">
        <f t="shared" si="879"/>
        <v/>
      </c>
      <c r="O868" s="7" t="str">
        <f t="shared" si="5"/>
        <v/>
      </c>
      <c r="P868" s="7">
        <f t="shared" si="714"/>
        <v>1</v>
      </c>
      <c r="Q868" s="7" t="str">
        <f t="shared" si="7"/>
        <v/>
      </c>
      <c r="T868" s="7"/>
    </row>
    <row r="869" ht="12.75" customHeight="1">
      <c r="A869" s="7">
        <v>868.0</v>
      </c>
      <c r="B869" s="7" t="s">
        <v>2118</v>
      </c>
      <c r="C869" s="7" t="s">
        <v>4793</v>
      </c>
      <c r="D869" s="7"/>
      <c r="E869" s="7"/>
      <c r="F869" s="7" t="s">
        <v>4853</v>
      </c>
      <c r="G869" s="7" t="s">
        <v>4138</v>
      </c>
      <c r="H869" s="7" t="s">
        <v>4106</v>
      </c>
      <c r="I869" s="7" t="s">
        <v>4180</v>
      </c>
      <c r="K869" s="7" t="str">
        <f t="shared" si="2"/>
        <v/>
      </c>
      <c r="L869" s="7" t="str">
        <f t="shared" si="3"/>
        <v/>
      </c>
      <c r="M869" s="7">
        <f t="shared" ref="M869:N869" si="880">IF(LEN(M$1),COUNTIF($G869:$I869,M$1),"")</f>
        <v>0</v>
      </c>
      <c r="N869" s="7" t="str">
        <f t="shared" si="880"/>
        <v/>
      </c>
      <c r="O869" s="7" t="str">
        <f t="shared" si="5"/>
        <v/>
      </c>
      <c r="P869" s="7">
        <f t="shared" si="714"/>
        <v>1</v>
      </c>
      <c r="Q869" s="7" t="str">
        <f t="shared" si="7"/>
        <v/>
      </c>
      <c r="T869" s="7"/>
    </row>
    <row r="870" ht="12.75" customHeight="1">
      <c r="A870" s="7">
        <v>869.0</v>
      </c>
      <c r="B870" s="7" t="s">
        <v>2118</v>
      </c>
      <c r="C870" s="7" t="s">
        <v>4793</v>
      </c>
      <c r="D870" s="7"/>
      <c r="E870" s="7"/>
      <c r="F870" s="7" t="s">
        <v>4853</v>
      </c>
      <c r="G870" s="7" t="s">
        <v>4356</v>
      </c>
      <c r="H870" s="7" t="s">
        <v>4391</v>
      </c>
      <c r="I870" s="7" t="s">
        <v>4360</v>
      </c>
      <c r="K870" s="7" t="str">
        <f t="shared" si="2"/>
        <v/>
      </c>
      <c r="L870" s="7" t="str">
        <f t="shared" si="3"/>
        <v/>
      </c>
      <c r="M870" s="7">
        <f t="shared" ref="M870:N870" si="881">IF(LEN(M$1),COUNTIF($G870:$I870,M$1),"")</f>
        <v>0</v>
      </c>
      <c r="N870" s="7" t="str">
        <f t="shared" si="881"/>
        <v/>
      </c>
      <c r="O870" s="7" t="str">
        <f t="shared" si="5"/>
        <v/>
      </c>
      <c r="P870" s="7">
        <f t="shared" si="714"/>
        <v>1</v>
      </c>
      <c r="Q870" s="7" t="str">
        <f t="shared" si="7"/>
        <v/>
      </c>
      <c r="T870" s="7"/>
    </row>
    <row r="871" ht="12.75" customHeight="1">
      <c r="A871" s="7">
        <v>870.0</v>
      </c>
      <c r="B871" s="7" t="s">
        <v>2118</v>
      </c>
      <c r="C871" s="7" t="s">
        <v>4793</v>
      </c>
      <c r="D871" s="7"/>
      <c r="E871" s="7"/>
      <c r="F871" s="7" t="s">
        <v>4853</v>
      </c>
      <c r="G871" s="7" t="s">
        <v>4356</v>
      </c>
      <c r="H871" s="7" t="s">
        <v>4391</v>
      </c>
      <c r="I871" s="7" t="s">
        <v>4413</v>
      </c>
      <c r="K871" s="7" t="str">
        <f t="shared" si="2"/>
        <v/>
      </c>
      <c r="L871" s="7" t="str">
        <f t="shared" si="3"/>
        <v/>
      </c>
      <c r="M871" s="7">
        <f t="shared" ref="M871:N871" si="882">IF(LEN(M$1),COUNTIF($G871:$I871,M$1),"")</f>
        <v>0</v>
      </c>
      <c r="N871" s="7" t="str">
        <f t="shared" si="882"/>
        <v/>
      </c>
      <c r="O871" s="7" t="str">
        <f t="shared" si="5"/>
        <v/>
      </c>
      <c r="P871" s="7">
        <f t="shared" si="714"/>
        <v>1</v>
      </c>
      <c r="Q871" s="7" t="str">
        <f t="shared" si="7"/>
        <v/>
      </c>
      <c r="T871" s="7"/>
    </row>
    <row r="872" ht="12.75" customHeight="1">
      <c r="A872" s="7">
        <v>871.0</v>
      </c>
      <c r="B872" s="7" t="s">
        <v>2125</v>
      </c>
      <c r="C872" s="7" t="s">
        <v>4756</v>
      </c>
      <c r="D872" s="7"/>
      <c r="E872" s="7"/>
      <c r="F872" s="7" t="s">
        <v>4853</v>
      </c>
      <c r="G872" s="7" t="s">
        <v>4082</v>
      </c>
      <c r="H872" s="7" t="s">
        <v>4249</v>
      </c>
      <c r="I872" s="7" t="s">
        <v>4001</v>
      </c>
      <c r="K872" s="7" t="str">
        <f t="shared" si="2"/>
        <v/>
      </c>
      <c r="L872" s="7" t="str">
        <f t="shared" si="3"/>
        <v/>
      </c>
      <c r="M872" s="7">
        <f t="shared" ref="M872:N872" si="883">IF(LEN(M$1),COUNTIF($G872:$I872,M$1),"")</f>
        <v>0</v>
      </c>
      <c r="N872" s="7" t="str">
        <f t="shared" si="883"/>
        <v/>
      </c>
      <c r="O872" s="7" t="str">
        <f t="shared" si="5"/>
        <v/>
      </c>
      <c r="P872" s="7">
        <f t="shared" si="714"/>
        <v>1</v>
      </c>
      <c r="Q872" s="7" t="str">
        <f t="shared" si="7"/>
        <v/>
      </c>
      <c r="T872" s="7"/>
    </row>
    <row r="873" ht="12.75" customHeight="1">
      <c r="A873" s="7">
        <v>872.0</v>
      </c>
      <c r="B873" s="7" t="s">
        <v>2125</v>
      </c>
      <c r="C873" s="7" t="s">
        <v>4756</v>
      </c>
      <c r="D873" s="7"/>
      <c r="E873" s="7"/>
      <c r="F873" s="7" t="s">
        <v>4853</v>
      </c>
      <c r="G873" s="7" t="s">
        <v>4024</v>
      </c>
      <c r="H873" s="7" t="s">
        <v>4105</v>
      </c>
      <c r="I873" s="7" t="s">
        <v>4182</v>
      </c>
      <c r="K873" s="7" t="str">
        <f t="shared" si="2"/>
        <v/>
      </c>
      <c r="L873" s="7" t="str">
        <f t="shared" si="3"/>
        <v/>
      </c>
      <c r="M873" s="7">
        <f t="shared" ref="M873:N873" si="884">IF(LEN(M$1),COUNTIF($G873:$I873,M$1),"")</f>
        <v>0</v>
      </c>
      <c r="N873" s="7" t="str">
        <f t="shared" si="884"/>
        <v/>
      </c>
      <c r="O873" s="7" t="str">
        <f t="shared" si="5"/>
        <v/>
      </c>
      <c r="P873" s="7">
        <f t="shared" si="714"/>
        <v>1</v>
      </c>
      <c r="Q873" s="7" t="str">
        <f t="shared" si="7"/>
        <v/>
      </c>
      <c r="T873" s="7"/>
    </row>
    <row r="874" ht="12.75" customHeight="1">
      <c r="A874" s="7">
        <v>873.0</v>
      </c>
      <c r="B874" s="7" t="s">
        <v>2125</v>
      </c>
      <c r="C874" s="7" t="s">
        <v>4756</v>
      </c>
      <c r="D874" s="7"/>
      <c r="E874" s="7"/>
      <c r="F874" s="7" t="s">
        <v>4853</v>
      </c>
      <c r="G874" s="7" t="s">
        <v>4378</v>
      </c>
      <c r="H874" s="7" t="s">
        <v>4414</v>
      </c>
      <c r="I874" s="7" t="s">
        <v>4428</v>
      </c>
      <c r="K874" s="7" t="str">
        <f t="shared" si="2"/>
        <v/>
      </c>
      <c r="L874" s="7" t="str">
        <f t="shared" si="3"/>
        <v/>
      </c>
      <c r="M874" s="7">
        <f t="shared" ref="M874:N874" si="885">IF(LEN(M$1),COUNTIF($G874:$I874,M$1),"")</f>
        <v>0</v>
      </c>
      <c r="N874" s="7" t="str">
        <f t="shared" si="885"/>
        <v/>
      </c>
      <c r="O874" s="7" t="str">
        <f t="shared" si="5"/>
        <v/>
      </c>
      <c r="P874" s="7">
        <f t="shared" si="714"/>
        <v>1</v>
      </c>
      <c r="Q874" s="7" t="str">
        <f t="shared" si="7"/>
        <v/>
      </c>
      <c r="T874" s="7"/>
    </row>
    <row r="875" ht="12.75" customHeight="1">
      <c r="A875" s="7">
        <v>874.0</v>
      </c>
      <c r="B875" s="7" t="s">
        <v>2125</v>
      </c>
      <c r="C875" s="7" t="s">
        <v>4756</v>
      </c>
      <c r="D875" s="7"/>
      <c r="E875" s="7"/>
      <c r="F875" s="7" t="s">
        <v>4853</v>
      </c>
      <c r="G875" s="7" t="s">
        <v>4378</v>
      </c>
      <c r="H875" s="7" t="s">
        <v>4422</v>
      </c>
      <c r="I875" s="7" t="s">
        <v>4428</v>
      </c>
      <c r="K875" s="7" t="str">
        <f t="shared" si="2"/>
        <v/>
      </c>
      <c r="L875" s="7" t="str">
        <f t="shared" si="3"/>
        <v/>
      </c>
      <c r="M875" s="7">
        <f t="shared" ref="M875:N875" si="886">IF(LEN(M$1),COUNTIF($G875:$I875,M$1),"")</f>
        <v>1</v>
      </c>
      <c r="N875" s="7" t="str">
        <f t="shared" si="886"/>
        <v/>
      </c>
      <c r="O875" s="7" t="str">
        <f t="shared" si="5"/>
        <v/>
      </c>
      <c r="P875" s="7">
        <f t="shared" si="714"/>
        <v>1</v>
      </c>
      <c r="Q875" s="7" t="str">
        <f t="shared" si="7"/>
        <v>Tyrell</v>
      </c>
      <c r="T875" s="7"/>
    </row>
    <row r="876" ht="12.75" customHeight="1">
      <c r="A876" s="7">
        <v>875.0</v>
      </c>
      <c r="B876" s="7" t="s">
        <v>2133</v>
      </c>
      <c r="C876" s="7" t="s">
        <v>4756</v>
      </c>
      <c r="D876" s="7"/>
      <c r="E876" s="7"/>
      <c r="F876" s="7" t="s">
        <v>4853</v>
      </c>
      <c r="G876" s="7" t="s">
        <v>4178</v>
      </c>
      <c r="H876" s="7" t="s">
        <v>4204</v>
      </c>
      <c r="I876" s="7" t="s">
        <v>4073</v>
      </c>
      <c r="K876" s="7" t="str">
        <f t="shared" si="2"/>
        <v/>
      </c>
      <c r="L876" s="7" t="str">
        <f t="shared" si="3"/>
        <v/>
      </c>
      <c r="M876" s="7">
        <f t="shared" ref="M876:N876" si="887">IF(LEN(M$1),COUNTIF($G876:$I876,M$1),"")</f>
        <v>0</v>
      </c>
      <c r="N876" s="7" t="str">
        <f t="shared" si="887"/>
        <v/>
      </c>
      <c r="O876" s="7" t="str">
        <f t="shared" si="5"/>
        <v/>
      </c>
      <c r="P876" s="7">
        <f t="shared" si="714"/>
        <v>1</v>
      </c>
      <c r="Q876" s="7" t="str">
        <f t="shared" si="7"/>
        <v/>
      </c>
      <c r="T876" s="7"/>
    </row>
    <row r="877" ht="12.75" customHeight="1">
      <c r="A877" s="7">
        <v>876.0</v>
      </c>
      <c r="B877" s="7" t="s">
        <v>2133</v>
      </c>
      <c r="C877" s="7" t="s">
        <v>4756</v>
      </c>
      <c r="D877" s="7"/>
      <c r="E877" s="7"/>
      <c r="F877" s="7" t="s">
        <v>4853</v>
      </c>
      <c r="G877" s="7" t="s">
        <v>4202</v>
      </c>
      <c r="H877" s="7" t="s">
        <v>3975</v>
      </c>
      <c r="I877" s="7" t="s">
        <v>3990</v>
      </c>
      <c r="K877" s="7" t="str">
        <f t="shared" si="2"/>
        <v/>
      </c>
      <c r="L877" s="7" t="str">
        <f t="shared" si="3"/>
        <v/>
      </c>
      <c r="M877" s="7">
        <f t="shared" ref="M877:N877" si="888">IF(LEN(M$1),COUNTIF($G877:$I877,M$1),"")</f>
        <v>0</v>
      </c>
      <c r="N877" s="7" t="str">
        <f t="shared" si="888"/>
        <v/>
      </c>
      <c r="O877" s="7" t="str">
        <f t="shared" si="5"/>
        <v/>
      </c>
      <c r="P877" s="7">
        <f t="shared" si="714"/>
        <v>1</v>
      </c>
      <c r="Q877" s="7" t="str">
        <f t="shared" si="7"/>
        <v/>
      </c>
      <c r="T877" s="7"/>
    </row>
    <row r="878" ht="12.75" customHeight="1">
      <c r="A878" s="7">
        <v>877.0</v>
      </c>
      <c r="B878" s="7" t="s">
        <v>2133</v>
      </c>
      <c r="C878" s="7" t="s">
        <v>4756</v>
      </c>
      <c r="D878" s="7"/>
      <c r="E878" s="7"/>
      <c r="F878" s="7" t="s">
        <v>4853</v>
      </c>
      <c r="G878" s="7" t="s">
        <v>4365</v>
      </c>
      <c r="H878" s="7" t="s">
        <v>4370</v>
      </c>
      <c r="I878" s="7" t="s">
        <v>4425</v>
      </c>
      <c r="K878" s="7" t="str">
        <f t="shared" si="2"/>
        <v/>
      </c>
      <c r="L878" s="7" t="str">
        <f t="shared" si="3"/>
        <v/>
      </c>
      <c r="M878" s="7">
        <f t="shared" ref="M878:N878" si="889">IF(LEN(M$1),COUNTIF($G878:$I878,M$1),"")</f>
        <v>0</v>
      </c>
      <c r="N878" s="7" t="str">
        <f t="shared" si="889"/>
        <v/>
      </c>
      <c r="O878" s="7" t="str">
        <f t="shared" si="5"/>
        <v/>
      </c>
      <c r="P878" s="7">
        <f t="shared" si="714"/>
        <v>1</v>
      </c>
      <c r="Q878" s="7" t="str">
        <f t="shared" si="7"/>
        <v/>
      </c>
      <c r="T878" s="7"/>
    </row>
    <row r="879" ht="12.75" customHeight="1">
      <c r="A879" s="7">
        <v>878.0</v>
      </c>
      <c r="B879" s="7" t="s">
        <v>2133</v>
      </c>
      <c r="C879" s="7" t="s">
        <v>4756</v>
      </c>
      <c r="D879" s="7"/>
      <c r="E879" s="7"/>
      <c r="F879" s="7" t="s">
        <v>4853</v>
      </c>
      <c r="G879" s="7" t="s">
        <v>4365</v>
      </c>
      <c r="H879" s="7" t="s">
        <v>4370</v>
      </c>
      <c r="I879" s="7" t="s">
        <v>4211</v>
      </c>
      <c r="K879" s="7" t="str">
        <f t="shared" si="2"/>
        <v/>
      </c>
      <c r="L879" s="7" t="str">
        <f t="shared" si="3"/>
        <v/>
      </c>
      <c r="M879" s="7">
        <f t="shared" ref="M879:N879" si="890">IF(LEN(M$1),COUNTIF($G879:$I879,M$1),"")</f>
        <v>0</v>
      </c>
      <c r="N879" s="7" t="str">
        <f t="shared" si="890"/>
        <v/>
      </c>
      <c r="O879" s="7" t="str">
        <f t="shared" si="5"/>
        <v/>
      </c>
      <c r="P879" s="7">
        <f t="shared" si="714"/>
        <v>1</v>
      </c>
      <c r="Q879" s="7" t="str">
        <f t="shared" si="7"/>
        <v/>
      </c>
      <c r="T879" s="7"/>
    </row>
    <row r="880" ht="12.75" customHeight="1">
      <c r="A880" s="7">
        <v>879.0</v>
      </c>
      <c r="B880" s="7" t="s">
        <v>2139</v>
      </c>
      <c r="C880" s="7" t="s">
        <v>4795</v>
      </c>
      <c r="D880" s="7"/>
      <c r="E880" s="7"/>
      <c r="F880" s="7" t="s">
        <v>4853</v>
      </c>
      <c r="G880" s="7" t="s">
        <v>4062</v>
      </c>
      <c r="H880" s="7" t="s">
        <v>4100</v>
      </c>
      <c r="I880" s="7" t="s">
        <v>4248</v>
      </c>
      <c r="K880" s="7" t="str">
        <f t="shared" si="2"/>
        <v/>
      </c>
      <c r="L880" s="7" t="str">
        <f t="shared" si="3"/>
        <v/>
      </c>
      <c r="M880" s="7">
        <f t="shared" ref="M880:N880" si="891">IF(LEN(M$1),COUNTIF($G880:$I880,M$1),"")</f>
        <v>0</v>
      </c>
      <c r="N880" s="7" t="str">
        <f t="shared" si="891"/>
        <v/>
      </c>
      <c r="O880" s="7" t="str">
        <f t="shared" si="5"/>
        <v/>
      </c>
      <c r="P880" s="7">
        <f t="shared" si="714"/>
        <v>1</v>
      </c>
      <c r="Q880" s="7" t="str">
        <f t="shared" si="7"/>
        <v/>
      </c>
      <c r="T880" s="7"/>
    </row>
    <row r="881" ht="12.75" customHeight="1">
      <c r="A881" s="7">
        <v>880.0</v>
      </c>
      <c r="B881" s="7" t="s">
        <v>2139</v>
      </c>
      <c r="C881" s="7" t="s">
        <v>4795</v>
      </c>
      <c r="D881" s="7"/>
      <c r="E881" s="7"/>
      <c r="F881" s="7" t="s">
        <v>4853</v>
      </c>
      <c r="G881" s="7" t="s">
        <v>4118</v>
      </c>
      <c r="H881" s="7" t="s">
        <v>4265</v>
      </c>
      <c r="I881" s="7" t="s">
        <v>4067</v>
      </c>
      <c r="K881" s="7" t="str">
        <f t="shared" si="2"/>
        <v/>
      </c>
      <c r="L881" s="7" t="str">
        <f t="shared" si="3"/>
        <v/>
      </c>
      <c r="M881" s="7">
        <f t="shared" ref="M881:N881" si="892">IF(LEN(M$1),COUNTIF($G881:$I881,M$1),"")</f>
        <v>0</v>
      </c>
      <c r="N881" s="7" t="str">
        <f t="shared" si="892"/>
        <v/>
      </c>
      <c r="O881" s="7" t="str">
        <f t="shared" si="5"/>
        <v/>
      </c>
      <c r="P881" s="7">
        <f t="shared" si="714"/>
        <v>1</v>
      </c>
      <c r="Q881" s="7" t="str">
        <f t="shared" si="7"/>
        <v/>
      </c>
      <c r="T881" s="7"/>
    </row>
    <row r="882" ht="12.75" customHeight="1">
      <c r="A882" s="7">
        <v>881.0</v>
      </c>
      <c r="B882" s="7" t="s">
        <v>2139</v>
      </c>
      <c r="C882" s="7" t="s">
        <v>4795</v>
      </c>
      <c r="D882" s="7"/>
      <c r="E882" s="7"/>
      <c r="F882" s="7" t="s">
        <v>4853</v>
      </c>
      <c r="G882" s="7" t="s">
        <v>4409</v>
      </c>
      <c r="H882" s="7" t="s">
        <v>4366</v>
      </c>
      <c r="I882" s="7" t="s">
        <v>4405</v>
      </c>
      <c r="K882" s="7" t="str">
        <f t="shared" si="2"/>
        <v/>
      </c>
      <c r="L882" s="7" t="str">
        <f t="shared" si="3"/>
        <v/>
      </c>
      <c r="M882" s="7">
        <f t="shared" ref="M882:N882" si="893">IF(LEN(M$1),COUNTIF($G882:$I882,M$1),"")</f>
        <v>0</v>
      </c>
      <c r="N882" s="7" t="str">
        <f t="shared" si="893"/>
        <v/>
      </c>
      <c r="O882" s="7" t="str">
        <f t="shared" si="5"/>
        <v/>
      </c>
      <c r="P882" s="7">
        <f t="shared" si="714"/>
        <v>1</v>
      </c>
      <c r="Q882" s="7" t="str">
        <f t="shared" si="7"/>
        <v/>
      </c>
      <c r="T882" s="7"/>
    </row>
    <row r="883" ht="12.75" customHeight="1">
      <c r="A883" s="7">
        <v>882.0</v>
      </c>
      <c r="B883" s="7" t="s">
        <v>2139</v>
      </c>
      <c r="C883" s="7" t="s">
        <v>4795</v>
      </c>
      <c r="D883" s="7"/>
      <c r="E883" s="7"/>
      <c r="F883" s="7" t="s">
        <v>4853</v>
      </c>
      <c r="G883" s="7" t="s">
        <v>4409</v>
      </c>
      <c r="H883" s="7" t="s">
        <v>4366</v>
      </c>
      <c r="I883" s="7" t="s">
        <v>4395</v>
      </c>
      <c r="K883" s="7" t="str">
        <f t="shared" si="2"/>
        <v/>
      </c>
      <c r="L883" s="7" t="str">
        <f t="shared" si="3"/>
        <v/>
      </c>
      <c r="M883" s="7">
        <f t="shared" ref="M883:N883" si="894">IF(LEN(M$1),COUNTIF($G883:$I883,M$1),"")</f>
        <v>0</v>
      </c>
      <c r="N883" s="7" t="str">
        <f t="shared" si="894"/>
        <v/>
      </c>
      <c r="O883" s="7" t="str">
        <f t="shared" si="5"/>
        <v/>
      </c>
      <c r="P883" s="7">
        <f t="shared" si="714"/>
        <v>1</v>
      </c>
      <c r="Q883" s="7" t="str">
        <f t="shared" si="7"/>
        <v/>
      </c>
      <c r="T883" s="7"/>
    </row>
    <row r="884" ht="12.75" customHeight="1">
      <c r="A884" s="7">
        <v>883.0</v>
      </c>
      <c r="B884" s="7" t="s">
        <v>2146</v>
      </c>
      <c r="C884" s="7" t="s">
        <v>4795</v>
      </c>
      <c r="D884" s="7"/>
      <c r="E884" s="7"/>
      <c r="F884" s="7" t="s">
        <v>4853</v>
      </c>
      <c r="G884" s="7" t="s">
        <v>4196</v>
      </c>
      <c r="H884" s="7" t="s">
        <v>4198</v>
      </c>
      <c r="I884" s="7" t="s">
        <v>4009</v>
      </c>
      <c r="K884" s="7" t="str">
        <f t="shared" si="2"/>
        <v/>
      </c>
      <c r="L884" s="7" t="str">
        <f t="shared" si="3"/>
        <v/>
      </c>
      <c r="M884" s="7">
        <f t="shared" ref="M884:N884" si="895">IF(LEN(M$1),COUNTIF($G884:$I884,M$1),"")</f>
        <v>0</v>
      </c>
      <c r="N884" s="7" t="str">
        <f t="shared" si="895"/>
        <v/>
      </c>
      <c r="O884" s="7" t="str">
        <f t="shared" si="5"/>
        <v/>
      </c>
      <c r="P884" s="7">
        <f t="shared" si="714"/>
        <v>1</v>
      </c>
      <c r="Q884" s="7" t="str">
        <f t="shared" si="7"/>
        <v/>
      </c>
      <c r="T884" s="7"/>
    </row>
    <row r="885" ht="12.75" customHeight="1">
      <c r="A885" s="7">
        <v>884.0</v>
      </c>
      <c r="B885" s="7" t="s">
        <v>2146</v>
      </c>
      <c r="C885" s="7" t="s">
        <v>4795</v>
      </c>
      <c r="D885" s="7"/>
      <c r="E885" s="7"/>
      <c r="F885" s="7" t="s">
        <v>4853</v>
      </c>
      <c r="G885" s="7" t="s">
        <v>4098</v>
      </c>
      <c r="H885" s="7" t="s">
        <v>3984</v>
      </c>
      <c r="I885" s="7" t="s">
        <v>3985</v>
      </c>
      <c r="K885" s="7" t="str">
        <f t="shared" si="2"/>
        <v/>
      </c>
      <c r="L885" s="7" t="str">
        <f t="shared" si="3"/>
        <v/>
      </c>
      <c r="M885" s="7">
        <f t="shared" ref="M885:N885" si="896">IF(LEN(M$1),COUNTIF($G885:$I885,M$1),"")</f>
        <v>0</v>
      </c>
      <c r="N885" s="7" t="str">
        <f t="shared" si="896"/>
        <v/>
      </c>
      <c r="O885" s="7" t="str">
        <f t="shared" si="5"/>
        <v/>
      </c>
      <c r="P885" s="7">
        <f t="shared" si="714"/>
        <v>1</v>
      </c>
      <c r="Q885" s="7" t="str">
        <f t="shared" si="7"/>
        <v/>
      </c>
      <c r="T885" s="7"/>
    </row>
    <row r="886" ht="12.75" customHeight="1">
      <c r="A886" s="7">
        <v>885.0</v>
      </c>
      <c r="B886" s="7" t="s">
        <v>2146</v>
      </c>
      <c r="C886" s="7" t="s">
        <v>4795</v>
      </c>
      <c r="D886" s="7"/>
      <c r="E886" s="7"/>
      <c r="F886" s="7" t="s">
        <v>4853</v>
      </c>
      <c r="G886" s="7" t="s">
        <v>4365</v>
      </c>
      <c r="H886" s="7" t="s">
        <v>4408</v>
      </c>
      <c r="I886" s="7" t="s">
        <v>4415</v>
      </c>
      <c r="K886" s="7" t="str">
        <f t="shared" si="2"/>
        <v/>
      </c>
      <c r="L886" s="7" t="str">
        <f t="shared" si="3"/>
        <v/>
      </c>
      <c r="M886" s="7">
        <f t="shared" ref="M886:N886" si="897">IF(LEN(M$1),COUNTIF($G886:$I886,M$1),"")</f>
        <v>0</v>
      </c>
      <c r="N886" s="7" t="str">
        <f t="shared" si="897"/>
        <v/>
      </c>
      <c r="O886" s="7" t="str">
        <f t="shared" si="5"/>
        <v/>
      </c>
      <c r="P886" s="7">
        <f t="shared" si="714"/>
        <v>1</v>
      </c>
      <c r="Q886" s="7" t="str">
        <f t="shared" si="7"/>
        <v/>
      </c>
      <c r="T886" s="7"/>
    </row>
    <row r="887" ht="12.75" customHeight="1">
      <c r="A887" s="7">
        <v>886.0</v>
      </c>
      <c r="B887" s="7" t="s">
        <v>2146</v>
      </c>
      <c r="C887" s="7" t="s">
        <v>4795</v>
      </c>
      <c r="D887" s="7"/>
      <c r="E887" s="7"/>
      <c r="F887" s="7" t="s">
        <v>4853</v>
      </c>
      <c r="G887" s="7" t="s">
        <v>4069</v>
      </c>
      <c r="H887" s="7" t="s">
        <v>4145</v>
      </c>
      <c r="I887" s="7" t="s">
        <v>4386</v>
      </c>
      <c r="K887" s="7" t="str">
        <f t="shared" si="2"/>
        <v/>
      </c>
      <c r="L887" s="7" t="str">
        <f t="shared" si="3"/>
        <v/>
      </c>
      <c r="M887" s="7">
        <f t="shared" ref="M887:N887" si="898">IF(LEN(M$1),COUNTIF($G887:$I887,M$1),"")</f>
        <v>0</v>
      </c>
      <c r="N887" s="7" t="str">
        <f t="shared" si="898"/>
        <v/>
      </c>
      <c r="O887" s="7" t="str">
        <f t="shared" si="5"/>
        <v/>
      </c>
      <c r="P887" s="7">
        <f t="shared" si="714"/>
        <v>1</v>
      </c>
      <c r="Q887" s="7" t="str">
        <f t="shared" si="7"/>
        <v/>
      </c>
      <c r="T887" s="7"/>
    </row>
    <row r="888" ht="12.75" customHeight="1">
      <c r="A888" s="7">
        <v>887.0</v>
      </c>
      <c r="B888" s="7" t="s">
        <v>2152</v>
      </c>
      <c r="C888" s="7" t="s">
        <v>4834</v>
      </c>
      <c r="D888" s="7"/>
      <c r="E888" s="7"/>
      <c r="F888" s="7" t="s">
        <v>4853</v>
      </c>
      <c r="G888" s="7" t="s">
        <v>4099</v>
      </c>
      <c r="H888" s="7" t="s">
        <v>4234</v>
      </c>
      <c r="I888" s="7" t="s">
        <v>4177</v>
      </c>
      <c r="K888" s="7" t="str">
        <f t="shared" si="2"/>
        <v/>
      </c>
      <c r="L888" s="7" t="str">
        <f t="shared" si="3"/>
        <v/>
      </c>
      <c r="M888" s="7">
        <f t="shared" ref="M888:N888" si="899">IF(LEN(M$1),COUNTIF($G888:$I888,M$1),"")</f>
        <v>0</v>
      </c>
      <c r="N888" s="7" t="str">
        <f t="shared" si="899"/>
        <v/>
      </c>
      <c r="O888" s="7" t="str">
        <f t="shared" si="5"/>
        <v/>
      </c>
      <c r="P888" s="7">
        <f t="shared" si="714"/>
        <v>1</v>
      </c>
      <c r="Q888" s="7" t="str">
        <f t="shared" si="7"/>
        <v/>
      </c>
      <c r="T888" s="7"/>
    </row>
    <row r="889" ht="12.75" customHeight="1">
      <c r="A889" s="7">
        <v>888.0</v>
      </c>
      <c r="B889" s="7" t="s">
        <v>2152</v>
      </c>
      <c r="C889" s="7" t="s">
        <v>4834</v>
      </c>
      <c r="D889" s="7"/>
      <c r="E889" s="7"/>
      <c r="F889" s="7" t="s">
        <v>4853</v>
      </c>
      <c r="G889" s="7" t="s">
        <v>3992</v>
      </c>
      <c r="H889" s="7" t="s">
        <v>4269</v>
      </c>
      <c r="I889" s="7" t="s">
        <v>4161</v>
      </c>
      <c r="K889" s="7" t="str">
        <f t="shared" si="2"/>
        <v/>
      </c>
      <c r="L889" s="7" t="str">
        <f t="shared" si="3"/>
        <v/>
      </c>
      <c r="M889" s="7">
        <f t="shared" ref="M889:N889" si="900">IF(LEN(M$1),COUNTIF($G889:$I889,M$1),"")</f>
        <v>0</v>
      </c>
      <c r="N889" s="7" t="str">
        <f t="shared" si="900"/>
        <v/>
      </c>
      <c r="O889" s="7" t="str">
        <f t="shared" si="5"/>
        <v/>
      </c>
      <c r="P889" s="7">
        <f t="shared" si="714"/>
        <v>1</v>
      </c>
      <c r="Q889" s="7" t="str">
        <f t="shared" si="7"/>
        <v/>
      </c>
      <c r="T889" s="7"/>
    </row>
    <row r="890" ht="12.75" customHeight="1">
      <c r="A890" s="7">
        <v>889.0</v>
      </c>
      <c r="B890" s="7" t="s">
        <v>2152</v>
      </c>
      <c r="C890" s="7" t="s">
        <v>4834</v>
      </c>
      <c r="D890" s="7"/>
      <c r="E890" s="7"/>
      <c r="F890" s="7" t="s">
        <v>4853</v>
      </c>
      <c r="G890" s="7" t="s">
        <v>4427</v>
      </c>
      <c r="H890" s="7" t="s">
        <v>4384</v>
      </c>
      <c r="I890" s="7" t="s">
        <v>4428</v>
      </c>
      <c r="K890" s="7" t="str">
        <f t="shared" si="2"/>
        <v/>
      </c>
      <c r="L890" s="7" t="str">
        <f t="shared" si="3"/>
        <v/>
      </c>
      <c r="M890" s="7">
        <f t="shared" ref="M890:N890" si="901">IF(LEN(M$1),COUNTIF($G890:$I890,M$1),"")</f>
        <v>0</v>
      </c>
      <c r="N890" s="7" t="str">
        <f t="shared" si="901"/>
        <v/>
      </c>
      <c r="O890" s="7" t="str">
        <f t="shared" si="5"/>
        <v/>
      </c>
      <c r="P890" s="7">
        <f t="shared" si="714"/>
        <v>1</v>
      </c>
      <c r="Q890" s="7" t="str">
        <f t="shared" si="7"/>
        <v/>
      </c>
      <c r="T890" s="7"/>
    </row>
    <row r="891" ht="12.75" customHeight="1">
      <c r="A891" s="7">
        <v>890.0</v>
      </c>
      <c r="B891" s="7" t="s">
        <v>2152</v>
      </c>
      <c r="C891" s="7" t="s">
        <v>4834</v>
      </c>
      <c r="D891" s="7"/>
      <c r="E891" s="7"/>
      <c r="F891" s="7" t="s">
        <v>4853</v>
      </c>
      <c r="G891" s="7" t="s">
        <v>4427</v>
      </c>
      <c r="H891" s="7" t="s">
        <v>4430</v>
      </c>
      <c r="I891" s="7" t="s">
        <v>4428</v>
      </c>
      <c r="K891" s="7" t="str">
        <f t="shared" si="2"/>
        <v/>
      </c>
      <c r="L891" s="7" t="str">
        <f t="shared" si="3"/>
        <v/>
      </c>
      <c r="M891" s="7">
        <f t="shared" ref="M891:N891" si="902">IF(LEN(M$1),COUNTIF($G891:$I891,M$1),"")</f>
        <v>0</v>
      </c>
      <c r="N891" s="7" t="str">
        <f t="shared" si="902"/>
        <v/>
      </c>
      <c r="O891" s="7" t="str">
        <f t="shared" si="5"/>
        <v/>
      </c>
      <c r="P891" s="7">
        <f t="shared" si="714"/>
        <v>1</v>
      </c>
      <c r="Q891" s="7" t="str">
        <f t="shared" si="7"/>
        <v/>
      </c>
      <c r="T891" s="7"/>
    </row>
    <row r="892" ht="12.75" customHeight="1">
      <c r="A892" s="7">
        <v>891.0</v>
      </c>
      <c r="B892" s="7" t="s">
        <v>2160</v>
      </c>
      <c r="C892" s="7" t="s">
        <v>4834</v>
      </c>
      <c r="D892" s="7"/>
      <c r="E892" s="7"/>
      <c r="F892" s="7" t="s">
        <v>4853</v>
      </c>
      <c r="G892" s="7" t="s">
        <v>4010</v>
      </c>
      <c r="H892" s="7" t="s">
        <v>3997</v>
      </c>
      <c r="I892" s="7" t="s">
        <v>4103</v>
      </c>
      <c r="K892" s="7" t="str">
        <f t="shared" si="2"/>
        <v/>
      </c>
      <c r="L892" s="7" t="str">
        <f t="shared" si="3"/>
        <v/>
      </c>
      <c r="M892" s="7">
        <f t="shared" ref="M892:N892" si="903">IF(LEN(M$1),COUNTIF($G892:$I892,M$1),"")</f>
        <v>0</v>
      </c>
      <c r="N892" s="7" t="str">
        <f t="shared" si="903"/>
        <v/>
      </c>
      <c r="O892" s="7" t="str">
        <f t="shared" si="5"/>
        <v/>
      </c>
      <c r="P892" s="7">
        <f t="shared" si="714"/>
        <v>1</v>
      </c>
      <c r="Q892" s="7" t="str">
        <f t="shared" si="7"/>
        <v/>
      </c>
      <c r="T892" s="7"/>
    </row>
    <row r="893" ht="12.75" customHeight="1">
      <c r="A893" s="7">
        <v>892.0</v>
      </c>
      <c r="B893" s="7" t="s">
        <v>2160</v>
      </c>
      <c r="C893" s="7" t="s">
        <v>4834</v>
      </c>
      <c r="D893" s="7"/>
      <c r="E893" s="7"/>
      <c r="F893" s="7" t="s">
        <v>4853</v>
      </c>
      <c r="G893" s="7" t="s">
        <v>4271</v>
      </c>
      <c r="H893" s="7" t="s">
        <v>4011</v>
      </c>
      <c r="I893" s="7" t="s">
        <v>4142</v>
      </c>
      <c r="K893" s="7" t="str">
        <f t="shared" si="2"/>
        <v/>
      </c>
      <c r="L893" s="7" t="str">
        <f t="shared" si="3"/>
        <v/>
      </c>
      <c r="M893" s="7">
        <f t="shared" ref="M893:N893" si="904">IF(LEN(M$1),COUNTIF($G893:$I893,M$1),"")</f>
        <v>0</v>
      </c>
      <c r="N893" s="7" t="str">
        <f t="shared" si="904"/>
        <v/>
      </c>
      <c r="O893" s="7" t="str">
        <f t="shared" si="5"/>
        <v/>
      </c>
      <c r="P893" s="7">
        <f t="shared" si="714"/>
        <v>1</v>
      </c>
      <c r="Q893" s="7" t="str">
        <f t="shared" si="7"/>
        <v/>
      </c>
      <c r="T893" s="7"/>
    </row>
    <row r="894" ht="12.75" customHeight="1">
      <c r="A894" s="7">
        <v>893.0</v>
      </c>
      <c r="B894" s="7" t="s">
        <v>2160</v>
      </c>
      <c r="C894" s="7" t="s">
        <v>4834</v>
      </c>
      <c r="D894" s="7"/>
      <c r="E894" s="7"/>
      <c r="F894" s="7" t="s">
        <v>4853</v>
      </c>
      <c r="G894" s="7" t="s">
        <v>4394</v>
      </c>
      <c r="H894" s="7" t="s">
        <v>4396</v>
      </c>
      <c r="I894" s="7" t="s">
        <v>4406</v>
      </c>
      <c r="K894" s="7" t="str">
        <f t="shared" si="2"/>
        <v/>
      </c>
      <c r="L894" s="7" t="str">
        <f t="shared" si="3"/>
        <v/>
      </c>
      <c r="M894" s="7">
        <f t="shared" ref="M894:N894" si="905">IF(LEN(M$1),COUNTIF($G894:$I894,M$1),"")</f>
        <v>0</v>
      </c>
      <c r="N894" s="7" t="str">
        <f t="shared" si="905"/>
        <v/>
      </c>
      <c r="O894" s="7" t="str">
        <f t="shared" si="5"/>
        <v/>
      </c>
      <c r="P894" s="7">
        <f t="shared" si="714"/>
        <v>1</v>
      </c>
      <c r="Q894" s="7" t="str">
        <f t="shared" si="7"/>
        <v/>
      </c>
      <c r="T894" s="7"/>
    </row>
    <row r="895" ht="12.75" customHeight="1">
      <c r="A895" s="7">
        <v>894.0</v>
      </c>
      <c r="B895" s="7" t="s">
        <v>2160</v>
      </c>
      <c r="C895" s="7" t="s">
        <v>4834</v>
      </c>
      <c r="D895" s="7"/>
      <c r="E895" s="7"/>
      <c r="F895" s="7" t="s">
        <v>4853</v>
      </c>
      <c r="G895" s="7" t="s">
        <v>4394</v>
      </c>
      <c r="H895" s="7" t="s">
        <v>4391</v>
      </c>
      <c r="I895" s="7" t="s">
        <v>4406</v>
      </c>
      <c r="K895" s="7" t="str">
        <f t="shared" si="2"/>
        <v/>
      </c>
      <c r="L895" s="7" t="str">
        <f t="shared" si="3"/>
        <v/>
      </c>
      <c r="M895" s="7">
        <f t="shared" ref="M895:N895" si="906">IF(LEN(M$1),COUNTIF($G895:$I895,M$1),"")</f>
        <v>0</v>
      </c>
      <c r="N895" s="7" t="str">
        <f t="shared" si="906"/>
        <v/>
      </c>
      <c r="O895" s="7" t="str">
        <f t="shared" si="5"/>
        <v/>
      </c>
      <c r="P895" s="7">
        <f t="shared" si="714"/>
        <v>1</v>
      </c>
      <c r="Q895" s="7" t="str">
        <f t="shared" si="7"/>
        <v/>
      </c>
      <c r="T895" s="7"/>
    </row>
    <row r="896" ht="12.75" customHeight="1">
      <c r="A896" s="7">
        <v>895.0</v>
      </c>
      <c r="B896" s="7" t="s">
        <v>2168</v>
      </c>
      <c r="C896" s="7" t="s">
        <v>4829</v>
      </c>
      <c r="D896" s="7"/>
      <c r="E896" s="7"/>
      <c r="F896" s="7" t="s">
        <v>4853</v>
      </c>
      <c r="G896" s="7" t="s">
        <v>4264</v>
      </c>
      <c r="H896" s="7" t="s">
        <v>4116</v>
      </c>
      <c r="I896" s="7" t="s">
        <v>4247</v>
      </c>
      <c r="K896" s="7" t="str">
        <f t="shared" si="2"/>
        <v/>
      </c>
      <c r="L896" s="7" t="str">
        <f t="shared" si="3"/>
        <v/>
      </c>
      <c r="M896" s="7">
        <f t="shared" ref="M896:N896" si="907">IF(LEN(M$1),COUNTIF($G896:$I896,M$1),"")</f>
        <v>0</v>
      </c>
      <c r="N896" s="7" t="str">
        <f t="shared" si="907"/>
        <v/>
      </c>
      <c r="O896" s="7" t="str">
        <f t="shared" si="5"/>
        <v/>
      </c>
      <c r="P896" s="7">
        <f t="shared" si="714"/>
        <v>1</v>
      </c>
      <c r="Q896" s="7" t="str">
        <f t="shared" si="7"/>
        <v/>
      </c>
      <c r="T896" s="7"/>
    </row>
    <row r="897" ht="12.75" customHeight="1">
      <c r="A897" s="7">
        <v>896.0</v>
      </c>
      <c r="B897" s="7" t="s">
        <v>2168</v>
      </c>
      <c r="C897" s="7" t="s">
        <v>4829</v>
      </c>
      <c r="D897" s="7"/>
      <c r="E897" s="7"/>
      <c r="F897" s="7" t="s">
        <v>4853</v>
      </c>
      <c r="G897" s="7" t="s">
        <v>4179</v>
      </c>
      <c r="H897" s="7" t="s">
        <v>4008</v>
      </c>
      <c r="I897" s="7" t="s">
        <v>4273</v>
      </c>
      <c r="K897" s="7" t="str">
        <f t="shared" si="2"/>
        <v/>
      </c>
      <c r="L897" s="7" t="str">
        <f t="shared" si="3"/>
        <v/>
      </c>
      <c r="M897" s="7">
        <f t="shared" ref="M897:N897" si="908">IF(LEN(M$1),COUNTIF($G897:$I897,M$1),"")</f>
        <v>0</v>
      </c>
      <c r="N897" s="7" t="str">
        <f t="shared" si="908"/>
        <v/>
      </c>
      <c r="O897" s="7" t="str">
        <f t="shared" si="5"/>
        <v/>
      </c>
      <c r="P897" s="7">
        <f t="shared" si="714"/>
        <v>1</v>
      </c>
      <c r="Q897" s="7" t="str">
        <f t="shared" si="7"/>
        <v/>
      </c>
      <c r="T897" s="7"/>
    </row>
    <row r="898" ht="12.75" customHeight="1">
      <c r="A898" s="7">
        <v>897.0</v>
      </c>
      <c r="B898" s="7" t="s">
        <v>2168</v>
      </c>
      <c r="C898" s="7" t="s">
        <v>4829</v>
      </c>
      <c r="D898" s="7"/>
      <c r="E898" s="7"/>
      <c r="F898" s="7" t="s">
        <v>4853</v>
      </c>
      <c r="G898" s="7" t="s">
        <v>4427</v>
      </c>
      <c r="H898" s="7" t="s">
        <v>4405</v>
      </c>
      <c r="I898" s="7" t="s">
        <v>4371</v>
      </c>
      <c r="K898" s="7" t="str">
        <f t="shared" si="2"/>
        <v/>
      </c>
      <c r="L898" s="7" t="str">
        <f t="shared" si="3"/>
        <v/>
      </c>
      <c r="M898" s="7">
        <f t="shared" ref="M898:N898" si="909">IF(LEN(M$1),COUNTIF($G898:$I898,M$1),"")</f>
        <v>0</v>
      </c>
      <c r="N898" s="7" t="str">
        <f t="shared" si="909"/>
        <v/>
      </c>
      <c r="O898" s="7" t="str">
        <f t="shared" si="5"/>
        <v/>
      </c>
      <c r="P898" s="7">
        <f t="shared" si="714"/>
        <v>1</v>
      </c>
      <c r="Q898" s="7" t="str">
        <f t="shared" si="7"/>
        <v/>
      </c>
      <c r="T898" s="7"/>
    </row>
    <row r="899" ht="12.75" customHeight="1">
      <c r="A899" s="7">
        <v>898.0</v>
      </c>
      <c r="B899" s="7" t="s">
        <v>2168</v>
      </c>
      <c r="C899" s="7" t="s">
        <v>4829</v>
      </c>
      <c r="D899" s="7"/>
      <c r="E899" s="7"/>
      <c r="F899" s="7" t="s">
        <v>4853</v>
      </c>
      <c r="G899" s="7" t="s">
        <v>4270</v>
      </c>
      <c r="H899" s="7" t="s">
        <v>4374</v>
      </c>
      <c r="I899" s="7" t="s">
        <v>4383</v>
      </c>
      <c r="K899" s="7" t="str">
        <f t="shared" si="2"/>
        <v/>
      </c>
      <c r="L899" s="7" t="str">
        <f t="shared" si="3"/>
        <v/>
      </c>
      <c r="M899" s="7">
        <f t="shared" ref="M899:N899" si="910">IF(LEN(M$1),COUNTIF($G899:$I899,M$1),"")</f>
        <v>0</v>
      </c>
      <c r="N899" s="7" t="str">
        <f t="shared" si="910"/>
        <v/>
      </c>
      <c r="O899" s="7" t="str">
        <f t="shared" si="5"/>
        <v/>
      </c>
      <c r="P899" s="7">
        <f t="shared" si="714"/>
        <v>1</v>
      </c>
      <c r="Q899" s="7" t="str">
        <f t="shared" si="7"/>
        <v/>
      </c>
      <c r="T899" s="7"/>
    </row>
    <row r="900" ht="12.75" customHeight="1">
      <c r="A900" s="7">
        <v>899.0</v>
      </c>
      <c r="B900" s="7" t="s">
        <v>2174</v>
      </c>
      <c r="C900" s="7" t="s">
        <v>4829</v>
      </c>
      <c r="D900" s="7"/>
      <c r="E900" s="7"/>
      <c r="F900" s="7" t="s">
        <v>4853</v>
      </c>
      <c r="G900" s="7" t="s">
        <v>4221</v>
      </c>
      <c r="H900" s="7" t="s">
        <v>4115</v>
      </c>
      <c r="I900" s="7" t="s">
        <v>4168</v>
      </c>
      <c r="K900" s="7" t="str">
        <f t="shared" si="2"/>
        <v/>
      </c>
      <c r="L900" s="7" t="str">
        <f t="shared" si="3"/>
        <v/>
      </c>
      <c r="M900" s="7">
        <f t="shared" ref="M900:N900" si="911">IF(LEN(M$1),COUNTIF($G900:$I900,M$1),"")</f>
        <v>0</v>
      </c>
      <c r="N900" s="7" t="str">
        <f t="shared" si="911"/>
        <v/>
      </c>
      <c r="O900" s="7" t="str">
        <f t="shared" si="5"/>
        <v/>
      </c>
      <c r="P900" s="7">
        <f t="shared" si="714"/>
        <v>1</v>
      </c>
      <c r="Q900" s="7" t="str">
        <f t="shared" si="7"/>
        <v/>
      </c>
      <c r="T900" s="7"/>
    </row>
    <row r="901" ht="12.75" customHeight="1">
      <c r="A901" s="7">
        <v>900.0</v>
      </c>
      <c r="B901" s="7" t="s">
        <v>2174</v>
      </c>
      <c r="C901" s="7" t="s">
        <v>4829</v>
      </c>
      <c r="D901" s="7"/>
      <c r="E901" s="7"/>
      <c r="F901" s="7" t="s">
        <v>4853</v>
      </c>
      <c r="G901" s="7" t="s">
        <v>4158</v>
      </c>
      <c r="H901" s="7" t="s">
        <v>3986</v>
      </c>
      <c r="I901" s="7" t="s">
        <v>4069</v>
      </c>
      <c r="K901" s="7" t="str">
        <f t="shared" si="2"/>
        <v/>
      </c>
      <c r="L901" s="7" t="str">
        <f t="shared" si="3"/>
        <v/>
      </c>
      <c r="M901" s="7">
        <f t="shared" ref="M901:N901" si="912">IF(LEN(M$1),COUNTIF($G901:$I901,M$1),"")</f>
        <v>0</v>
      </c>
      <c r="N901" s="7" t="str">
        <f t="shared" si="912"/>
        <v/>
      </c>
      <c r="O901" s="7" t="str">
        <f t="shared" si="5"/>
        <v/>
      </c>
      <c r="P901" s="7">
        <f t="shared" si="714"/>
        <v>1</v>
      </c>
      <c r="Q901" s="7" t="str">
        <f t="shared" si="7"/>
        <v/>
      </c>
      <c r="T901" s="7"/>
    </row>
    <row r="902" ht="12.75" customHeight="1">
      <c r="A902" s="7">
        <v>901.0</v>
      </c>
      <c r="B902" s="7" t="s">
        <v>2174</v>
      </c>
      <c r="C902" s="7" t="s">
        <v>4829</v>
      </c>
      <c r="D902" s="7"/>
      <c r="E902" s="7"/>
      <c r="F902" s="7" t="s">
        <v>4853</v>
      </c>
      <c r="G902" s="7" t="s">
        <v>4375</v>
      </c>
      <c r="H902" s="7" t="s">
        <v>4370</v>
      </c>
      <c r="I902" s="7" t="s">
        <v>4367</v>
      </c>
      <c r="K902" s="7" t="str">
        <f t="shared" si="2"/>
        <v/>
      </c>
      <c r="L902" s="7" t="str">
        <f t="shared" si="3"/>
        <v/>
      </c>
      <c r="M902" s="7">
        <f t="shared" ref="M902:N902" si="913">IF(LEN(M$1),COUNTIF($G902:$I902,M$1),"")</f>
        <v>0</v>
      </c>
      <c r="N902" s="7" t="str">
        <f t="shared" si="913"/>
        <v/>
      </c>
      <c r="O902" s="7" t="str">
        <f t="shared" si="5"/>
        <v/>
      </c>
      <c r="P902" s="7">
        <f t="shared" si="714"/>
        <v>1</v>
      </c>
      <c r="Q902" s="7" t="str">
        <f t="shared" si="7"/>
        <v/>
      </c>
      <c r="T902" s="7"/>
    </row>
    <row r="903" ht="12.75" customHeight="1">
      <c r="A903" s="7">
        <v>902.0</v>
      </c>
      <c r="B903" s="7" t="s">
        <v>2174</v>
      </c>
      <c r="C903" s="7" t="s">
        <v>4829</v>
      </c>
      <c r="D903" s="7"/>
      <c r="E903" s="7"/>
      <c r="F903" s="7" t="s">
        <v>4853</v>
      </c>
      <c r="G903" s="7" t="s">
        <v>4375</v>
      </c>
      <c r="H903" s="7" t="s">
        <v>4078</v>
      </c>
      <c r="I903" s="7" t="s">
        <v>4382</v>
      </c>
      <c r="K903" s="7" t="str">
        <f t="shared" si="2"/>
        <v/>
      </c>
      <c r="L903" s="7" t="str">
        <f t="shared" si="3"/>
        <v/>
      </c>
      <c r="M903" s="7">
        <f t="shared" ref="M903:N903" si="914">IF(LEN(M$1),COUNTIF($G903:$I903,M$1),"")</f>
        <v>0</v>
      </c>
      <c r="N903" s="7" t="str">
        <f t="shared" si="914"/>
        <v/>
      </c>
      <c r="O903" s="7" t="str">
        <f t="shared" si="5"/>
        <v/>
      </c>
      <c r="P903" s="7">
        <f t="shared" si="714"/>
        <v>1</v>
      </c>
      <c r="Q903" s="7" t="str">
        <f t="shared" si="7"/>
        <v/>
      </c>
      <c r="T903" s="7"/>
    </row>
    <row r="904" ht="12.75" customHeight="1">
      <c r="A904" s="7">
        <v>903.0</v>
      </c>
      <c r="B904" s="7" t="s">
        <v>2182</v>
      </c>
      <c r="C904" s="7" t="s">
        <v>4840</v>
      </c>
      <c r="D904" s="7"/>
      <c r="E904" s="7"/>
      <c r="F904" s="7" t="s">
        <v>4853</v>
      </c>
      <c r="G904" s="7" t="s">
        <v>4104</v>
      </c>
      <c r="H904" s="7" t="s">
        <v>3983</v>
      </c>
      <c r="I904" s="7" t="s">
        <v>4227</v>
      </c>
      <c r="K904" s="7" t="str">
        <f t="shared" si="2"/>
        <v/>
      </c>
      <c r="L904" s="7" t="str">
        <f t="shared" si="3"/>
        <v/>
      </c>
      <c r="M904" s="7">
        <f t="shared" ref="M904:N904" si="915">IF(LEN(M$1),COUNTIF($G904:$I904,M$1),"")</f>
        <v>0</v>
      </c>
      <c r="N904" s="7" t="str">
        <f t="shared" si="915"/>
        <v/>
      </c>
      <c r="O904" s="7" t="str">
        <f t="shared" si="5"/>
        <v/>
      </c>
      <c r="P904" s="7">
        <f t="shared" si="714"/>
        <v>1</v>
      </c>
      <c r="Q904" s="7" t="str">
        <f t="shared" si="7"/>
        <v/>
      </c>
      <c r="T904" s="7"/>
    </row>
    <row r="905" ht="12.75" customHeight="1">
      <c r="A905" s="7">
        <v>904.0</v>
      </c>
      <c r="B905" s="7" t="s">
        <v>2182</v>
      </c>
      <c r="C905" s="7" t="s">
        <v>4840</v>
      </c>
      <c r="D905" s="7"/>
      <c r="E905" s="7"/>
      <c r="F905" s="7" t="s">
        <v>4853</v>
      </c>
      <c r="G905" s="7" t="s">
        <v>4272</v>
      </c>
      <c r="H905" s="7" t="s">
        <v>4058</v>
      </c>
      <c r="I905" s="7" t="s">
        <v>4029</v>
      </c>
      <c r="K905" s="7" t="str">
        <f t="shared" si="2"/>
        <v/>
      </c>
      <c r="L905" s="7" t="str">
        <f t="shared" si="3"/>
        <v/>
      </c>
      <c r="M905" s="7">
        <f t="shared" ref="M905:N905" si="916">IF(LEN(M$1),COUNTIF($G905:$I905,M$1),"")</f>
        <v>0</v>
      </c>
      <c r="N905" s="7" t="str">
        <f t="shared" si="916"/>
        <v/>
      </c>
      <c r="O905" s="7" t="str">
        <f t="shared" si="5"/>
        <v/>
      </c>
      <c r="P905" s="7">
        <f t="shared" si="714"/>
        <v>1</v>
      </c>
      <c r="Q905" s="7" t="str">
        <f t="shared" si="7"/>
        <v/>
      </c>
      <c r="T905" s="7"/>
    </row>
    <row r="906" ht="12.75" customHeight="1">
      <c r="A906" s="7">
        <v>905.0</v>
      </c>
      <c r="B906" s="7" t="s">
        <v>2182</v>
      </c>
      <c r="C906" s="7" t="s">
        <v>4840</v>
      </c>
      <c r="D906" s="7"/>
      <c r="E906" s="7"/>
      <c r="F906" s="7" t="s">
        <v>4853</v>
      </c>
      <c r="G906" s="7" t="s">
        <v>4422</v>
      </c>
      <c r="H906" s="7" t="s">
        <v>4375</v>
      </c>
      <c r="I906" s="7" t="s">
        <v>4408</v>
      </c>
      <c r="K906" s="7" t="str">
        <f t="shared" si="2"/>
        <v/>
      </c>
      <c r="L906" s="7" t="str">
        <f t="shared" si="3"/>
        <v/>
      </c>
      <c r="M906" s="7">
        <f t="shared" ref="M906:N906" si="917">IF(LEN(M$1),COUNTIF($G906:$I906,M$1),"")</f>
        <v>1</v>
      </c>
      <c r="N906" s="7" t="str">
        <f t="shared" si="917"/>
        <v/>
      </c>
      <c r="O906" s="7" t="str">
        <f t="shared" si="5"/>
        <v/>
      </c>
      <c r="P906" s="7">
        <f t="shared" si="714"/>
        <v>1</v>
      </c>
      <c r="Q906" s="7" t="str">
        <f t="shared" si="7"/>
        <v>Jerrell</v>
      </c>
      <c r="T906" s="7"/>
    </row>
    <row r="907" ht="12.75" customHeight="1">
      <c r="A907" s="7">
        <v>906.0</v>
      </c>
      <c r="B907" s="7" t="s">
        <v>2182</v>
      </c>
      <c r="C907" s="7" t="s">
        <v>4840</v>
      </c>
      <c r="D907" s="7"/>
      <c r="E907" s="7"/>
      <c r="F907" s="7" t="s">
        <v>4853</v>
      </c>
      <c r="G907" s="7" t="s">
        <v>4422</v>
      </c>
      <c r="H907" s="7" t="s">
        <v>4090</v>
      </c>
      <c r="I907" s="7" t="s">
        <v>4397</v>
      </c>
      <c r="K907" s="7" t="str">
        <f t="shared" si="2"/>
        <v/>
      </c>
      <c r="L907" s="7" t="str">
        <f t="shared" si="3"/>
        <v/>
      </c>
      <c r="M907" s="7">
        <f t="shared" ref="M907:N907" si="918">IF(LEN(M$1),COUNTIF($G907:$I907,M$1),"")</f>
        <v>1</v>
      </c>
      <c r="N907" s="7" t="str">
        <f t="shared" si="918"/>
        <v/>
      </c>
      <c r="O907" s="7" t="str">
        <f t="shared" si="5"/>
        <v/>
      </c>
      <c r="P907" s="7">
        <f t="shared" si="714"/>
        <v>1</v>
      </c>
      <c r="Q907" s="7" t="str">
        <f t="shared" si="7"/>
        <v>Jerrell</v>
      </c>
      <c r="T907" s="7"/>
    </row>
    <row r="908" ht="12.75" customHeight="1">
      <c r="A908" s="7">
        <v>907.0</v>
      </c>
      <c r="B908" s="7" t="s">
        <v>2189</v>
      </c>
      <c r="C908" s="7" t="s">
        <v>4840</v>
      </c>
      <c r="D908" s="7"/>
      <c r="E908" s="7"/>
      <c r="F908" s="7" t="s">
        <v>4853</v>
      </c>
      <c r="G908" s="7" t="s">
        <v>4126</v>
      </c>
      <c r="H908" s="7" t="s">
        <v>4081</v>
      </c>
      <c r="I908" s="7" t="s">
        <v>4274</v>
      </c>
      <c r="K908" s="7" t="str">
        <f t="shared" si="2"/>
        <v/>
      </c>
      <c r="L908" s="7" t="str">
        <f t="shared" si="3"/>
        <v/>
      </c>
      <c r="M908" s="7">
        <f t="shared" ref="M908:N908" si="919">IF(LEN(M$1),COUNTIF($G908:$I908,M$1),"")</f>
        <v>0</v>
      </c>
      <c r="N908" s="7" t="str">
        <f t="shared" si="919"/>
        <v/>
      </c>
      <c r="O908" s="7" t="str">
        <f t="shared" si="5"/>
        <v/>
      </c>
      <c r="P908" s="7">
        <f t="shared" si="714"/>
        <v>1</v>
      </c>
      <c r="Q908" s="7" t="str">
        <f t="shared" si="7"/>
        <v/>
      </c>
      <c r="T908" s="7"/>
    </row>
    <row r="909" ht="12.75" customHeight="1">
      <c r="A909" s="7">
        <v>908.0</v>
      </c>
      <c r="B909" s="7" t="s">
        <v>2189</v>
      </c>
      <c r="C909" s="7" t="s">
        <v>4840</v>
      </c>
      <c r="D909" s="7"/>
      <c r="E909" s="7"/>
      <c r="F909" s="7" t="s">
        <v>4853</v>
      </c>
      <c r="G909" s="7" t="s">
        <v>4169</v>
      </c>
      <c r="H909" s="7" t="s">
        <v>4044</v>
      </c>
      <c r="I909" s="7" t="s">
        <v>4064</v>
      </c>
      <c r="K909" s="7" t="str">
        <f t="shared" si="2"/>
        <v/>
      </c>
      <c r="L909" s="7" t="str">
        <f t="shared" si="3"/>
        <v/>
      </c>
      <c r="M909" s="7">
        <f t="shared" ref="M909:N909" si="920">IF(LEN(M$1),COUNTIF($G909:$I909,M$1),"")</f>
        <v>0</v>
      </c>
      <c r="N909" s="7" t="str">
        <f t="shared" si="920"/>
        <v/>
      </c>
      <c r="O909" s="7" t="str">
        <f t="shared" si="5"/>
        <v/>
      </c>
      <c r="P909" s="7">
        <f t="shared" si="714"/>
        <v>1</v>
      </c>
      <c r="Q909" s="7" t="str">
        <f t="shared" si="7"/>
        <v/>
      </c>
      <c r="T909" s="7"/>
    </row>
    <row r="910" ht="12.75" customHeight="1">
      <c r="A910" s="7">
        <v>909.0</v>
      </c>
      <c r="B910" s="7" t="s">
        <v>2189</v>
      </c>
      <c r="C910" s="7" t="s">
        <v>4840</v>
      </c>
      <c r="D910" s="7"/>
      <c r="E910" s="7"/>
      <c r="F910" s="7" t="s">
        <v>4853</v>
      </c>
      <c r="G910" s="7" t="s">
        <v>4407</v>
      </c>
      <c r="H910" s="7" t="s">
        <v>4377</v>
      </c>
      <c r="I910" s="7" t="s">
        <v>4436</v>
      </c>
      <c r="K910" s="7" t="str">
        <f t="shared" si="2"/>
        <v/>
      </c>
      <c r="L910" s="7" t="str">
        <f t="shared" si="3"/>
        <v/>
      </c>
      <c r="M910" s="7">
        <f t="shared" ref="M910:N910" si="921">IF(LEN(M$1),COUNTIF($G910:$I910,M$1),"")</f>
        <v>0</v>
      </c>
      <c r="N910" s="7" t="str">
        <f t="shared" si="921"/>
        <v/>
      </c>
      <c r="O910" s="7" t="str">
        <f t="shared" si="5"/>
        <v/>
      </c>
      <c r="P910" s="7">
        <f t="shared" si="714"/>
        <v>1</v>
      </c>
      <c r="Q910" s="7" t="str">
        <f t="shared" si="7"/>
        <v/>
      </c>
      <c r="T910" s="7"/>
    </row>
    <row r="911" ht="12.75" customHeight="1">
      <c r="A911" s="7">
        <v>910.0</v>
      </c>
      <c r="B911" s="7" t="s">
        <v>2189</v>
      </c>
      <c r="C911" s="7" t="s">
        <v>4840</v>
      </c>
      <c r="D911" s="7"/>
      <c r="E911" s="7"/>
      <c r="F911" s="7" t="s">
        <v>4853</v>
      </c>
      <c r="G911" s="7" t="s">
        <v>4386</v>
      </c>
      <c r="H911" s="7" t="s">
        <v>4392</v>
      </c>
      <c r="I911" s="7" t="s">
        <v>4435</v>
      </c>
      <c r="K911" s="7" t="str">
        <f t="shared" si="2"/>
        <v/>
      </c>
      <c r="L911" s="7" t="str">
        <f t="shared" si="3"/>
        <v/>
      </c>
      <c r="M911" s="7">
        <f t="shared" ref="M911:N911" si="922">IF(LEN(M$1),COUNTIF($G911:$I911,M$1),"")</f>
        <v>0</v>
      </c>
      <c r="N911" s="7" t="str">
        <f t="shared" si="922"/>
        <v/>
      </c>
      <c r="O911" s="7" t="str">
        <f t="shared" si="5"/>
        <v/>
      </c>
      <c r="P911" s="7">
        <f t="shared" si="714"/>
        <v>1</v>
      </c>
      <c r="Q911" s="7" t="str">
        <f t="shared" si="7"/>
        <v/>
      </c>
      <c r="T911" s="7"/>
    </row>
    <row r="912" ht="12.75" customHeight="1">
      <c r="A912" s="7">
        <v>911.0</v>
      </c>
      <c r="B912" s="7" t="s">
        <v>791</v>
      </c>
      <c r="C912" s="7" t="s">
        <v>4818</v>
      </c>
      <c r="D912" s="7"/>
      <c r="E912" s="7"/>
      <c r="F912" s="7" t="s">
        <v>4853</v>
      </c>
      <c r="G912" s="7" t="s">
        <v>4183</v>
      </c>
      <c r="H912" s="7" t="s">
        <v>4187</v>
      </c>
      <c r="I912" s="7" t="s">
        <v>3987</v>
      </c>
      <c r="K912" s="7" t="str">
        <f t="shared" si="2"/>
        <v/>
      </c>
      <c r="L912" s="7" t="str">
        <f t="shared" si="3"/>
        <v/>
      </c>
      <c r="M912" s="7">
        <f t="shared" ref="M912:N912" si="923">IF(LEN(M$1),COUNTIF($G912:$I912,M$1),"")</f>
        <v>0</v>
      </c>
      <c r="N912" s="7" t="str">
        <f t="shared" si="923"/>
        <v/>
      </c>
      <c r="O912" s="7" t="str">
        <f t="shared" si="5"/>
        <v/>
      </c>
      <c r="P912" s="7">
        <f t="shared" si="714"/>
        <v>1</v>
      </c>
      <c r="Q912" s="7" t="str">
        <f t="shared" si="7"/>
        <v/>
      </c>
      <c r="T912" s="7"/>
    </row>
    <row r="913" ht="12.75" customHeight="1">
      <c r="A913" s="7">
        <v>912.0</v>
      </c>
      <c r="B913" s="7" t="s">
        <v>791</v>
      </c>
      <c r="C913" s="7" t="s">
        <v>4818</v>
      </c>
      <c r="D913" s="7"/>
      <c r="E913" s="7"/>
      <c r="F913" s="7" t="s">
        <v>4853</v>
      </c>
      <c r="G913" s="7" t="s">
        <v>4267</v>
      </c>
      <c r="H913" s="7" t="s">
        <v>4264</v>
      </c>
      <c r="I913" s="7" t="s">
        <v>4268</v>
      </c>
      <c r="K913" s="7" t="str">
        <f t="shared" si="2"/>
        <v/>
      </c>
      <c r="L913" s="7" t="str">
        <f t="shared" si="3"/>
        <v/>
      </c>
      <c r="M913" s="7">
        <f t="shared" ref="M913:N913" si="924">IF(LEN(M$1),COUNTIF($G913:$I913,M$1),"")</f>
        <v>0</v>
      </c>
      <c r="N913" s="7" t="str">
        <f t="shared" si="924"/>
        <v/>
      </c>
      <c r="O913" s="7" t="str">
        <f t="shared" si="5"/>
        <v/>
      </c>
      <c r="P913" s="7">
        <f t="shared" si="714"/>
        <v>1</v>
      </c>
      <c r="Q913" s="7" t="str">
        <f t="shared" si="7"/>
        <v/>
      </c>
      <c r="T913" s="7"/>
    </row>
    <row r="914" ht="12.75" customHeight="1">
      <c r="A914" s="7">
        <v>913.0</v>
      </c>
      <c r="B914" s="7" t="s">
        <v>791</v>
      </c>
      <c r="C914" s="7" t="s">
        <v>4818</v>
      </c>
      <c r="D914" s="7"/>
      <c r="E914" s="7"/>
      <c r="F914" s="7" t="s">
        <v>4853</v>
      </c>
      <c r="G914" s="7" t="s">
        <v>4421</v>
      </c>
      <c r="H914" s="7" t="s">
        <v>4433</v>
      </c>
      <c r="I914" s="7" t="s">
        <v>4355</v>
      </c>
      <c r="K914" s="7" t="str">
        <f t="shared" si="2"/>
        <v/>
      </c>
      <c r="L914" s="7" t="str">
        <f t="shared" si="3"/>
        <v/>
      </c>
      <c r="M914" s="7">
        <f t="shared" ref="M914:N914" si="925">IF(LEN(M$1),COUNTIF($G914:$I914,M$1),"")</f>
        <v>0</v>
      </c>
      <c r="N914" s="7" t="str">
        <f t="shared" si="925"/>
        <v/>
      </c>
      <c r="O914" s="7" t="str">
        <f t="shared" si="5"/>
        <v/>
      </c>
      <c r="P914" s="7">
        <f t="shared" si="714"/>
        <v>1</v>
      </c>
      <c r="Q914" s="7" t="str">
        <f t="shared" si="7"/>
        <v/>
      </c>
    </row>
    <row r="915" ht="12.75" customHeight="1">
      <c r="A915" s="7">
        <v>914.0</v>
      </c>
      <c r="B915" s="7" t="s">
        <v>791</v>
      </c>
      <c r="C915" s="7" t="s">
        <v>4818</v>
      </c>
      <c r="D915" s="7"/>
      <c r="E915" s="7"/>
      <c r="F915" s="7" t="s">
        <v>4853</v>
      </c>
      <c r="G915" s="7" t="s">
        <v>4421</v>
      </c>
      <c r="H915" s="7" t="s">
        <v>4108</v>
      </c>
      <c r="I915" s="7" t="s">
        <v>4332</v>
      </c>
      <c r="K915" s="7" t="str">
        <f t="shared" si="2"/>
        <v/>
      </c>
      <c r="L915" s="7" t="str">
        <f t="shared" si="3"/>
        <v/>
      </c>
      <c r="M915" s="7">
        <f t="shared" ref="M915:N915" si="926">IF(LEN(M$1),COUNTIF($G915:$I915,M$1),"")</f>
        <v>0</v>
      </c>
      <c r="N915" s="7" t="str">
        <f t="shared" si="926"/>
        <v/>
      </c>
      <c r="O915" s="7" t="str">
        <f t="shared" si="5"/>
        <v/>
      </c>
      <c r="P915" s="7">
        <f t="shared" si="714"/>
        <v>1</v>
      </c>
      <c r="Q915" s="7" t="str">
        <f t="shared" si="7"/>
        <v/>
      </c>
    </row>
    <row r="916" ht="12.75" customHeight="1">
      <c r="A916" s="7">
        <v>915.0</v>
      </c>
      <c r="B916" s="7" t="s">
        <v>2203</v>
      </c>
      <c r="C916" s="7" t="s">
        <v>4818</v>
      </c>
      <c r="D916" s="7"/>
      <c r="E916" s="7"/>
      <c r="F916" s="7" t="s">
        <v>4853</v>
      </c>
      <c r="G916" s="7" t="s">
        <v>3977</v>
      </c>
      <c r="H916" s="7" t="s">
        <v>4088</v>
      </c>
      <c r="I916" s="7" t="s">
        <v>4057</v>
      </c>
      <c r="K916" s="7" t="str">
        <f t="shared" si="2"/>
        <v/>
      </c>
      <c r="L916" s="7" t="str">
        <f t="shared" si="3"/>
        <v/>
      </c>
      <c r="M916" s="7">
        <f t="shared" ref="M916:N916" si="927">IF(LEN(M$1),COUNTIF($G916:$I916,M$1),"")</f>
        <v>0</v>
      </c>
      <c r="N916" s="7" t="str">
        <f t="shared" si="927"/>
        <v/>
      </c>
      <c r="O916" s="7" t="str">
        <f t="shared" si="5"/>
        <v/>
      </c>
      <c r="P916" s="7">
        <f t="shared" si="714"/>
        <v>1</v>
      </c>
      <c r="Q916" s="7" t="str">
        <f t="shared" si="7"/>
        <v/>
      </c>
    </row>
    <row r="917" ht="12.75" customHeight="1">
      <c r="A917" s="7">
        <v>916.0</v>
      </c>
      <c r="B917" s="7" t="s">
        <v>2203</v>
      </c>
      <c r="C917" s="7" t="s">
        <v>4818</v>
      </c>
      <c r="D917" s="7"/>
      <c r="E917" s="7"/>
      <c r="F917" s="7" t="s">
        <v>4853</v>
      </c>
      <c r="G917" s="7" t="s">
        <v>4035</v>
      </c>
      <c r="H917" s="7" t="s">
        <v>4037</v>
      </c>
      <c r="I917" s="7" t="s">
        <v>4280</v>
      </c>
      <c r="K917" s="7" t="str">
        <f t="shared" si="2"/>
        <v/>
      </c>
      <c r="L917" s="7" t="str">
        <f t="shared" si="3"/>
        <v/>
      </c>
      <c r="M917" s="7">
        <f t="shared" ref="M917:N917" si="928">IF(LEN(M$1),COUNTIF($G917:$I917,M$1),"")</f>
        <v>0</v>
      </c>
      <c r="N917" s="7" t="str">
        <f t="shared" si="928"/>
        <v/>
      </c>
      <c r="O917" s="7" t="str">
        <f t="shared" si="5"/>
        <v/>
      </c>
      <c r="P917" s="7">
        <f t="shared" si="714"/>
        <v>1</v>
      </c>
      <c r="Q917" s="7" t="str">
        <f t="shared" si="7"/>
        <v/>
      </c>
      <c r="T917" s="7"/>
    </row>
    <row r="918" ht="12.75" customHeight="1">
      <c r="A918" s="7">
        <v>917.0</v>
      </c>
      <c r="B918" s="7" t="s">
        <v>2203</v>
      </c>
      <c r="C918" s="7" t="s">
        <v>4818</v>
      </c>
      <c r="D918" s="7"/>
      <c r="E918" s="7"/>
      <c r="F918" s="7" t="s">
        <v>4853</v>
      </c>
      <c r="G918" s="7" t="s">
        <v>4357</v>
      </c>
      <c r="H918" s="7" t="s">
        <v>4362</v>
      </c>
      <c r="I918" s="7" t="s">
        <v>4388</v>
      </c>
      <c r="K918" s="7" t="str">
        <f t="shared" si="2"/>
        <v/>
      </c>
      <c r="L918" s="7" t="str">
        <f t="shared" si="3"/>
        <v/>
      </c>
      <c r="M918" s="7">
        <f t="shared" ref="M918:N918" si="929">IF(LEN(M$1),COUNTIF($G918:$I918,M$1),"")</f>
        <v>0</v>
      </c>
      <c r="N918" s="7" t="str">
        <f t="shared" si="929"/>
        <v/>
      </c>
      <c r="O918" s="7" t="str">
        <f t="shared" si="5"/>
        <v/>
      </c>
      <c r="P918" s="7">
        <f t="shared" si="714"/>
        <v>1</v>
      </c>
      <c r="Q918" s="7" t="str">
        <f t="shared" si="7"/>
        <v/>
      </c>
      <c r="T918" s="7"/>
    </row>
    <row r="919" ht="12.75" customHeight="1">
      <c r="A919" s="7">
        <v>918.0</v>
      </c>
      <c r="B919" s="7" t="s">
        <v>2203</v>
      </c>
      <c r="C919" s="7" t="s">
        <v>4818</v>
      </c>
      <c r="D919" s="7"/>
      <c r="E919" s="7"/>
      <c r="F919" s="7" t="s">
        <v>4853</v>
      </c>
      <c r="G919" s="7" t="s">
        <v>4357</v>
      </c>
      <c r="H919" s="7" t="s">
        <v>4064</v>
      </c>
      <c r="I919" s="7" t="s">
        <v>4393</v>
      </c>
      <c r="K919" s="7" t="str">
        <f t="shared" si="2"/>
        <v/>
      </c>
      <c r="L919" s="7" t="str">
        <f t="shared" si="3"/>
        <v/>
      </c>
      <c r="M919" s="7">
        <f t="shared" ref="M919:N919" si="930">IF(LEN(M$1),COUNTIF($G919:$I919,M$1),"")</f>
        <v>0</v>
      </c>
      <c r="N919" s="7" t="str">
        <f t="shared" si="930"/>
        <v/>
      </c>
      <c r="O919" s="7" t="str">
        <f t="shared" si="5"/>
        <v/>
      </c>
      <c r="P919" s="7">
        <f t="shared" si="714"/>
        <v>1</v>
      </c>
      <c r="Q919" s="7" t="str">
        <f t="shared" si="7"/>
        <v/>
      </c>
      <c r="T919" s="7"/>
    </row>
    <row r="920" ht="12.75" customHeight="1">
      <c r="A920" s="7">
        <v>919.0</v>
      </c>
      <c r="B920" s="7" t="s">
        <v>2210</v>
      </c>
      <c r="C920" s="7" t="s">
        <v>4832</v>
      </c>
      <c r="D920" s="7"/>
      <c r="E920" s="7"/>
      <c r="F920" s="7" t="s">
        <v>4853</v>
      </c>
      <c r="G920" s="7" t="s">
        <v>4045</v>
      </c>
      <c r="H920" s="7" t="s">
        <v>4068</v>
      </c>
      <c r="I920" s="7" t="s">
        <v>4141</v>
      </c>
      <c r="K920" s="7" t="str">
        <f t="shared" si="2"/>
        <v/>
      </c>
      <c r="L920" s="7" t="str">
        <f t="shared" si="3"/>
        <v/>
      </c>
      <c r="M920" s="7">
        <f t="shared" ref="M920:N920" si="931">IF(LEN(M$1),COUNTIF($G920:$I920,M$1),"")</f>
        <v>0</v>
      </c>
      <c r="N920" s="7" t="str">
        <f t="shared" si="931"/>
        <v/>
      </c>
      <c r="O920" s="7" t="str">
        <f t="shared" si="5"/>
        <v/>
      </c>
      <c r="P920" s="7">
        <f t="shared" si="714"/>
        <v>1</v>
      </c>
      <c r="Q920" s="7" t="str">
        <f t="shared" si="7"/>
        <v/>
      </c>
      <c r="T920" s="7"/>
    </row>
    <row r="921" ht="12.75" customHeight="1">
      <c r="A921" s="7">
        <v>920.0</v>
      </c>
      <c r="B921" s="7" t="s">
        <v>2210</v>
      </c>
      <c r="C921" s="7" t="s">
        <v>4832</v>
      </c>
      <c r="D921" s="7"/>
      <c r="E921" s="7"/>
      <c r="F921" s="7" t="s">
        <v>4853</v>
      </c>
      <c r="G921" s="7" t="s">
        <v>4096</v>
      </c>
      <c r="H921" s="7" t="s">
        <v>4186</v>
      </c>
      <c r="I921" s="7" t="s">
        <v>4045</v>
      </c>
      <c r="K921" s="7" t="str">
        <f t="shared" si="2"/>
        <v/>
      </c>
      <c r="L921" s="7" t="str">
        <f t="shared" si="3"/>
        <v/>
      </c>
      <c r="M921" s="7">
        <f t="shared" ref="M921:N921" si="932">IF(LEN(M$1),COUNTIF($G921:$I921,M$1),"")</f>
        <v>0</v>
      </c>
      <c r="N921" s="7" t="str">
        <f t="shared" si="932"/>
        <v/>
      </c>
      <c r="O921" s="7" t="str">
        <f t="shared" si="5"/>
        <v/>
      </c>
      <c r="P921" s="7">
        <f t="shared" si="714"/>
        <v>1</v>
      </c>
      <c r="Q921" s="7" t="str">
        <f t="shared" si="7"/>
        <v/>
      </c>
      <c r="T921" s="7"/>
    </row>
    <row r="922" ht="12.75" customHeight="1">
      <c r="A922" s="7">
        <v>921.0</v>
      </c>
      <c r="B922" s="7" t="s">
        <v>2210</v>
      </c>
      <c r="C922" s="7" t="s">
        <v>4832</v>
      </c>
      <c r="D922" s="7"/>
      <c r="E922" s="7"/>
      <c r="F922" s="7" t="s">
        <v>4853</v>
      </c>
      <c r="G922" s="7" t="s">
        <v>4362</v>
      </c>
      <c r="H922" s="7" t="s">
        <v>4396</v>
      </c>
      <c r="I922" s="7" t="s">
        <v>4430</v>
      </c>
      <c r="K922" s="7" t="str">
        <f t="shared" si="2"/>
        <v/>
      </c>
      <c r="L922" s="7" t="str">
        <f t="shared" si="3"/>
        <v/>
      </c>
      <c r="M922" s="7">
        <f t="shared" ref="M922:N922" si="933">IF(LEN(M$1),COUNTIF($G922:$I922,M$1),"")</f>
        <v>0</v>
      </c>
      <c r="N922" s="7" t="str">
        <f t="shared" si="933"/>
        <v/>
      </c>
      <c r="O922" s="7" t="str">
        <f t="shared" si="5"/>
        <v/>
      </c>
      <c r="P922" s="7">
        <f t="shared" si="714"/>
        <v>1</v>
      </c>
      <c r="Q922" s="7" t="str">
        <f t="shared" si="7"/>
        <v/>
      </c>
      <c r="T922" s="7"/>
    </row>
    <row r="923" ht="12.75" customHeight="1">
      <c r="A923" s="7">
        <v>922.0</v>
      </c>
      <c r="B923" s="7" t="s">
        <v>2210</v>
      </c>
      <c r="C923" s="7" t="s">
        <v>4832</v>
      </c>
      <c r="D923" s="7"/>
      <c r="E923" s="7"/>
      <c r="F923" s="7" t="s">
        <v>4853</v>
      </c>
      <c r="G923" s="7" t="s">
        <v>4362</v>
      </c>
      <c r="H923" s="7" t="s">
        <v>4400</v>
      </c>
      <c r="I923" s="7" t="s">
        <v>4427</v>
      </c>
      <c r="K923" s="7" t="str">
        <f t="shared" si="2"/>
        <v/>
      </c>
      <c r="L923" s="7" t="str">
        <f t="shared" si="3"/>
        <v/>
      </c>
      <c r="M923" s="7">
        <f t="shared" ref="M923:N923" si="934">IF(LEN(M$1),COUNTIF($G923:$I923,M$1),"")</f>
        <v>0</v>
      </c>
      <c r="N923" s="7" t="str">
        <f t="shared" si="934"/>
        <v/>
      </c>
      <c r="O923" s="7" t="str">
        <f t="shared" si="5"/>
        <v/>
      </c>
      <c r="P923" s="7">
        <f t="shared" si="714"/>
        <v>1</v>
      </c>
      <c r="Q923" s="7" t="str">
        <f t="shared" si="7"/>
        <v/>
      </c>
      <c r="T923" s="7"/>
    </row>
    <row r="924" ht="12.75" customHeight="1">
      <c r="A924" s="7">
        <v>923.0</v>
      </c>
      <c r="B924" s="7" t="s">
        <v>2218</v>
      </c>
      <c r="C924" s="7" t="s">
        <v>4832</v>
      </c>
      <c r="D924" s="7"/>
      <c r="E924" s="7"/>
      <c r="F924" s="7" t="s">
        <v>4853</v>
      </c>
      <c r="G924" s="7" t="s">
        <v>4090</v>
      </c>
      <c r="H924" s="7" t="s">
        <v>4021</v>
      </c>
      <c r="I924" s="7" t="s">
        <v>4101</v>
      </c>
      <c r="K924" s="7" t="str">
        <f t="shared" si="2"/>
        <v/>
      </c>
      <c r="L924" s="7" t="str">
        <f t="shared" si="3"/>
        <v/>
      </c>
      <c r="M924" s="7">
        <f t="shared" ref="M924:N924" si="935">IF(LEN(M$1),COUNTIF($G924:$I924,M$1),"")</f>
        <v>0</v>
      </c>
      <c r="N924" s="7" t="str">
        <f t="shared" si="935"/>
        <v/>
      </c>
      <c r="O924" s="7" t="str">
        <f t="shared" si="5"/>
        <v/>
      </c>
      <c r="P924" s="7">
        <f t="shared" si="714"/>
        <v>1</v>
      </c>
      <c r="Q924" s="7" t="str">
        <f t="shared" si="7"/>
        <v/>
      </c>
      <c r="T924" s="7"/>
    </row>
    <row r="925" ht="12.75" customHeight="1">
      <c r="A925" s="7">
        <v>924.0</v>
      </c>
      <c r="B925" s="7" t="s">
        <v>2218</v>
      </c>
      <c r="C925" s="7" t="s">
        <v>4832</v>
      </c>
      <c r="D925" s="7"/>
      <c r="E925" s="7"/>
      <c r="F925" s="7" t="s">
        <v>4853</v>
      </c>
      <c r="G925" s="7" t="s">
        <v>4189</v>
      </c>
      <c r="H925" s="7" t="s">
        <v>4223</v>
      </c>
      <c r="I925" s="7" t="s">
        <v>4054</v>
      </c>
      <c r="K925" s="7" t="str">
        <f t="shared" si="2"/>
        <v/>
      </c>
      <c r="L925" s="7" t="str">
        <f t="shared" si="3"/>
        <v/>
      </c>
      <c r="M925" s="7">
        <f t="shared" ref="M925:N925" si="936">IF(LEN(M$1),COUNTIF($G925:$I925,M$1),"")</f>
        <v>0</v>
      </c>
      <c r="N925" s="7" t="str">
        <f t="shared" si="936"/>
        <v/>
      </c>
      <c r="O925" s="7" t="str">
        <f t="shared" si="5"/>
        <v/>
      </c>
      <c r="P925" s="7">
        <f t="shared" si="714"/>
        <v>1</v>
      </c>
      <c r="Q925" s="7" t="str">
        <f t="shared" si="7"/>
        <v/>
      </c>
      <c r="T925" s="7"/>
    </row>
    <row r="926" ht="12.75" customHeight="1">
      <c r="A926" s="7">
        <v>925.0</v>
      </c>
      <c r="B926" s="7" t="s">
        <v>2218</v>
      </c>
      <c r="C926" s="7" t="s">
        <v>4832</v>
      </c>
      <c r="D926" s="7"/>
      <c r="E926" s="7"/>
      <c r="F926" s="7" t="s">
        <v>4853</v>
      </c>
      <c r="G926" s="7" t="s">
        <v>4381</v>
      </c>
      <c r="H926" s="7" t="s">
        <v>4374</v>
      </c>
      <c r="I926" s="7" t="s">
        <v>4357</v>
      </c>
      <c r="K926" s="7" t="str">
        <f t="shared" si="2"/>
        <v/>
      </c>
      <c r="L926" s="7" t="str">
        <f t="shared" si="3"/>
        <v/>
      </c>
      <c r="M926" s="7">
        <f t="shared" ref="M926:N926" si="937">IF(LEN(M$1),COUNTIF($G926:$I926,M$1),"")</f>
        <v>0</v>
      </c>
      <c r="N926" s="7" t="str">
        <f t="shared" si="937"/>
        <v/>
      </c>
      <c r="O926" s="7" t="str">
        <f t="shared" si="5"/>
        <v/>
      </c>
      <c r="P926" s="7">
        <f t="shared" si="714"/>
        <v>1</v>
      </c>
      <c r="Q926" s="7" t="str">
        <f t="shared" si="7"/>
        <v/>
      </c>
      <c r="T926" s="7"/>
    </row>
    <row r="927" ht="12.75" customHeight="1">
      <c r="A927" s="7">
        <v>926.0</v>
      </c>
      <c r="B927" s="7" t="s">
        <v>2218</v>
      </c>
      <c r="C927" s="7" t="s">
        <v>4832</v>
      </c>
      <c r="D927" s="7"/>
      <c r="E927" s="7"/>
      <c r="F927" s="7" t="s">
        <v>4853</v>
      </c>
      <c r="G927" s="7" t="s">
        <v>4103</v>
      </c>
      <c r="H927" s="7" t="s">
        <v>4384</v>
      </c>
      <c r="I927" s="7" t="s">
        <v>4399</v>
      </c>
      <c r="K927" s="7" t="str">
        <f t="shared" si="2"/>
        <v/>
      </c>
      <c r="L927" s="7" t="str">
        <f t="shared" si="3"/>
        <v/>
      </c>
      <c r="M927" s="7">
        <f t="shared" ref="M927:N927" si="938">IF(LEN(M$1),COUNTIF($G927:$I927,M$1),"")</f>
        <v>0</v>
      </c>
      <c r="N927" s="7" t="str">
        <f t="shared" si="938"/>
        <v/>
      </c>
      <c r="O927" s="7" t="str">
        <f t="shared" si="5"/>
        <v/>
      </c>
      <c r="P927" s="7">
        <f t="shared" si="714"/>
        <v>1</v>
      </c>
      <c r="Q927" s="7" t="str">
        <f t="shared" si="7"/>
        <v/>
      </c>
      <c r="T927" s="7"/>
    </row>
    <row r="928" ht="12.75" customHeight="1">
      <c r="A928" s="7">
        <v>927.0</v>
      </c>
      <c r="B928" s="7" t="s">
        <v>2225</v>
      </c>
      <c r="C928" s="7" t="s">
        <v>4850</v>
      </c>
      <c r="D928" s="7"/>
      <c r="E928" s="7"/>
      <c r="F928" s="7" t="s">
        <v>4853</v>
      </c>
      <c r="G928" s="7" t="s">
        <v>4042</v>
      </c>
      <c r="H928" s="7" t="s">
        <v>4245</v>
      </c>
      <c r="I928" s="7" t="s">
        <v>3984</v>
      </c>
      <c r="K928" s="7" t="str">
        <f t="shared" si="2"/>
        <v/>
      </c>
      <c r="L928" s="7" t="str">
        <f t="shared" si="3"/>
        <v/>
      </c>
      <c r="M928" s="7">
        <f t="shared" ref="M928:N928" si="939">IF(LEN(M$1),COUNTIF($G928:$I928,M$1),"")</f>
        <v>0</v>
      </c>
      <c r="N928" s="7" t="str">
        <f t="shared" si="939"/>
        <v/>
      </c>
      <c r="O928" s="7" t="str">
        <f t="shared" si="5"/>
        <v/>
      </c>
      <c r="P928" s="7">
        <f t="shared" si="714"/>
        <v>1</v>
      </c>
      <c r="Q928" s="7" t="str">
        <f t="shared" si="7"/>
        <v/>
      </c>
      <c r="T928" s="7"/>
    </row>
    <row r="929" ht="12.75" customHeight="1">
      <c r="A929" s="7">
        <v>928.0</v>
      </c>
      <c r="B929" s="7" t="s">
        <v>2225</v>
      </c>
      <c r="C929" s="7" t="s">
        <v>4850</v>
      </c>
      <c r="D929" s="7"/>
      <c r="E929" s="7"/>
      <c r="F929" s="7" t="s">
        <v>4853</v>
      </c>
      <c r="G929" s="7" t="s">
        <v>4280</v>
      </c>
      <c r="H929" s="7" t="s">
        <v>4229</v>
      </c>
      <c r="I929" s="7" t="s">
        <v>4064</v>
      </c>
      <c r="K929" s="7" t="str">
        <f t="shared" si="2"/>
        <v/>
      </c>
      <c r="L929" s="7" t="str">
        <f t="shared" si="3"/>
        <v/>
      </c>
      <c r="M929" s="7">
        <f t="shared" ref="M929:N929" si="940">IF(LEN(M$1),COUNTIF($G929:$I929,M$1),"")</f>
        <v>0</v>
      </c>
      <c r="N929" s="7" t="str">
        <f t="shared" si="940"/>
        <v/>
      </c>
      <c r="O929" s="7" t="str">
        <f t="shared" si="5"/>
        <v/>
      </c>
      <c r="P929" s="7">
        <f t="shared" si="714"/>
        <v>1</v>
      </c>
      <c r="Q929" s="7" t="str">
        <f t="shared" si="7"/>
        <v/>
      </c>
      <c r="T929" s="7"/>
    </row>
    <row r="930" ht="12.75" customHeight="1">
      <c r="A930" s="7">
        <v>929.0</v>
      </c>
      <c r="B930" s="7" t="s">
        <v>2225</v>
      </c>
      <c r="C930" s="7" t="s">
        <v>4850</v>
      </c>
      <c r="D930" s="7"/>
      <c r="E930" s="7"/>
      <c r="F930" s="7" t="s">
        <v>4853</v>
      </c>
      <c r="G930" s="7" t="s">
        <v>4366</v>
      </c>
      <c r="H930" s="7" t="s">
        <v>4398</v>
      </c>
      <c r="I930" s="7" t="s">
        <v>4356</v>
      </c>
      <c r="K930" s="7" t="str">
        <f t="shared" si="2"/>
        <v/>
      </c>
      <c r="L930" s="7" t="str">
        <f t="shared" si="3"/>
        <v/>
      </c>
      <c r="M930" s="7">
        <f t="shared" ref="M930:N930" si="941">IF(LEN(M$1),COUNTIF($G930:$I930,M$1),"")</f>
        <v>0</v>
      </c>
      <c r="N930" s="7" t="str">
        <f t="shared" si="941"/>
        <v/>
      </c>
      <c r="O930" s="7" t="str">
        <f t="shared" si="5"/>
        <v/>
      </c>
      <c r="P930" s="7">
        <f t="shared" si="714"/>
        <v>1</v>
      </c>
      <c r="Q930" s="7" t="str">
        <f t="shared" si="7"/>
        <v/>
      </c>
      <c r="T930" s="7"/>
    </row>
    <row r="931" ht="12.75" customHeight="1">
      <c r="A931" s="7">
        <v>930.0</v>
      </c>
      <c r="B931" s="7" t="s">
        <v>2225</v>
      </c>
      <c r="C931" s="7" t="s">
        <v>4850</v>
      </c>
      <c r="D931" s="7"/>
      <c r="E931" s="7"/>
      <c r="F931" s="7" t="s">
        <v>4853</v>
      </c>
      <c r="G931" s="7" t="s">
        <v>4356</v>
      </c>
      <c r="H931" s="7" t="s">
        <v>4398</v>
      </c>
      <c r="I931" s="7" t="s">
        <v>4082</v>
      </c>
      <c r="K931" s="7" t="str">
        <f t="shared" si="2"/>
        <v/>
      </c>
      <c r="L931" s="7" t="str">
        <f t="shared" si="3"/>
        <v/>
      </c>
      <c r="M931" s="7">
        <f t="shared" ref="M931:N931" si="942">IF(LEN(M$1),COUNTIF($G931:$I931,M$1),"")</f>
        <v>0</v>
      </c>
      <c r="N931" s="7" t="str">
        <f t="shared" si="942"/>
        <v/>
      </c>
      <c r="O931" s="7" t="str">
        <f t="shared" si="5"/>
        <v/>
      </c>
      <c r="P931" s="7">
        <f t="shared" si="714"/>
        <v>1</v>
      </c>
      <c r="Q931" s="7" t="str">
        <f t="shared" si="7"/>
        <v/>
      </c>
      <c r="T931" s="7"/>
    </row>
    <row r="932" ht="12.75" customHeight="1">
      <c r="A932" s="7">
        <v>931.0</v>
      </c>
      <c r="B932" s="7" t="s">
        <v>2232</v>
      </c>
      <c r="C932" s="7" t="s">
        <v>4850</v>
      </c>
      <c r="D932" s="7"/>
      <c r="E932" s="7"/>
      <c r="F932" s="7" t="s">
        <v>4853</v>
      </c>
      <c r="G932" s="7" t="s">
        <v>4183</v>
      </c>
      <c r="H932" s="7" t="s">
        <v>4110</v>
      </c>
      <c r="I932" s="7" t="s">
        <v>4261</v>
      </c>
      <c r="K932" s="7" t="str">
        <f t="shared" si="2"/>
        <v/>
      </c>
      <c r="L932" s="7" t="str">
        <f t="shared" si="3"/>
        <v/>
      </c>
      <c r="M932" s="7">
        <f t="shared" ref="M932:N932" si="943">IF(LEN(M$1),COUNTIF($G932:$I932,M$1),"")</f>
        <v>0</v>
      </c>
      <c r="N932" s="7" t="str">
        <f t="shared" si="943"/>
        <v/>
      </c>
      <c r="O932" s="7" t="str">
        <f t="shared" si="5"/>
        <v/>
      </c>
      <c r="P932" s="7">
        <f t="shared" si="714"/>
        <v>1</v>
      </c>
      <c r="Q932" s="7" t="str">
        <f t="shared" si="7"/>
        <v/>
      </c>
      <c r="T932" s="7"/>
    </row>
    <row r="933" ht="12.75" customHeight="1">
      <c r="A933" s="7">
        <v>932.0</v>
      </c>
      <c r="B933" s="7" t="s">
        <v>2232</v>
      </c>
      <c r="C933" s="7" t="s">
        <v>4850</v>
      </c>
      <c r="D933" s="7"/>
      <c r="E933" s="7"/>
      <c r="F933" s="7" t="s">
        <v>4853</v>
      </c>
      <c r="G933" s="7" t="s">
        <v>4211</v>
      </c>
      <c r="H933" s="7" t="s">
        <v>4239</v>
      </c>
      <c r="I933" s="7" t="s">
        <v>4202</v>
      </c>
      <c r="K933" s="7" t="str">
        <f t="shared" si="2"/>
        <v/>
      </c>
      <c r="L933" s="7" t="str">
        <f t="shared" si="3"/>
        <v/>
      </c>
      <c r="M933" s="7">
        <f t="shared" ref="M933:N933" si="944">IF(LEN(M$1),COUNTIF($G933:$I933,M$1),"")</f>
        <v>0</v>
      </c>
      <c r="N933" s="7" t="str">
        <f t="shared" si="944"/>
        <v/>
      </c>
      <c r="O933" s="7" t="str">
        <f t="shared" si="5"/>
        <v/>
      </c>
      <c r="P933" s="7">
        <f t="shared" si="714"/>
        <v>1</v>
      </c>
      <c r="Q933" s="7" t="str">
        <f t="shared" si="7"/>
        <v/>
      </c>
      <c r="T933" s="7"/>
    </row>
    <row r="934" ht="12.75" customHeight="1">
      <c r="A934" s="7">
        <v>933.0</v>
      </c>
      <c r="B934" s="7" t="s">
        <v>2232</v>
      </c>
      <c r="C934" s="7" t="s">
        <v>4850</v>
      </c>
      <c r="D934" s="7"/>
      <c r="E934" s="7"/>
      <c r="F934" s="7" t="s">
        <v>4853</v>
      </c>
      <c r="G934" s="7" t="s">
        <v>4379</v>
      </c>
      <c r="H934" s="7" t="s">
        <v>4414</v>
      </c>
      <c r="I934" s="7" t="s">
        <v>4438</v>
      </c>
      <c r="K934" s="7" t="str">
        <f t="shared" si="2"/>
        <v/>
      </c>
      <c r="L934" s="7" t="str">
        <f t="shared" si="3"/>
        <v/>
      </c>
      <c r="M934" s="7">
        <f t="shared" ref="M934:N934" si="945">IF(LEN(M$1),COUNTIF($G934:$I934,M$1),"")</f>
        <v>0</v>
      </c>
      <c r="N934" s="7" t="str">
        <f t="shared" si="945"/>
        <v/>
      </c>
      <c r="O934" s="7" t="str">
        <f t="shared" si="5"/>
        <v/>
      </c>
      <c r="P934" s="7">
        <f t="shared" si="714"/>
        <v>1</v>
      </c>
      <c r="Q934" s="7" t="str">
        <f t="shared" si="7"/>
        <v/>
      </c>
      <c r="T934" s="7"/>
    </row>
    <row r="935" ht="12.75" customHeight="1">
      <c r="A935" s="7">
        <v>934.0</v>
      </c>
      <c r="B935" s="7" t="s">
        <v>2232</v>
      </c>
      <c r="C935" s="7" t="s">
        <v>4850</v>
      </c>
      <c r="D935" s="7"/>
      <c r="E935" s="7"/>
      <c r="F935" s="7" t="s">
        <v>4853</v>
      </c>
      <c r="G935" s="7" t="s">
        <v>4379</v>
      </c>
      <c r="H935" s="7" t="s">
        <v>4414</v>
      </c>
      <c r="I935" s="7" t="s">
        <v>4420</v>
      </c>
      <c r="K935" s="7" t="str">
        <f t="shared" si="2"/>
        <v/>
      </c>
      <c r="L935" s="7" t="str">
        <f t="shared" si="3"/>
        <v/>
      </c>
      <c r="M935" s="7">
        <f t="shared" ref="M935:N935" si="946">IF(LEN(M$1),COUNTIF($G935:$I935,M$1),"")</f>
        <v>0</v>
      </c>
      <c r="N935" s="7" t="str">
        <f t="shared" si="946"/>
        <v/>
      </c>
      <c r="O935" s="7" t="str">
        <f t="shared" si="5"/>
        <v/>
      </c>
      <c r="P935" s="7">
        <f t="shared" si="714"/>
        <v>1</v>
      </c>
      <c r="Q935" s="7" t="str">
        <f t="shared" si="7"/>
        <v/>
      </c>
      <c r="T935" s="7"/>
    </row>
    <row r="936" ht="12.75" customHeight="1">
      <c r="A936" s="7">
        <v>935.0</v>
      </c>
      <c r="B936" s="7" t="s">
        <v>2240</v>
      </c>
      <c r="C936" s="7" t="s">
        <v>4849</v>
      </c>
      <c r="D936" s="7"/>
      <c r="E936" s="7"/>
      <c r="F936" s="7" t="s">
        <v>4853</v>
      </c>
      <c r="G936" s="7" t="s">
        <v>3975</v>
      </c>
      <c r="H936" s="7" t="s">
        <v>4251</v>
      </c>
      <c r="I936" s="7" t="s">
        <v>4003</v>
      </c>
      <c r="K936" s="7" t="str">
        <f t="shared" si="2"/>
        <v/>
      </c>
      <c r="L936" s="7" t="str">
        <f t="shared" si="3"/>
        <v/>
      </c>
      <c r="M936" s="7">
        <f t="shared" ref="M936:N936" si="947">IF(LEN(M$1),COUNTIF($G936:$I936,M$1),"")</f>
        <v>0</v>
      </c>
      <c r="N936" s="7" t="str">
        <f t="shared" si="947"/>
        <v/>
      </c>
      <c r="O936" s="7" t="str">
        <f t="shared" si="5"/>
        <v/>
      </c>
      <c r="P936" s="7">
        <f t="shared" si="714"/>
        <v>1</v>
      </c>
      <c r="Q936" s="7" t="str">
        <f t="shared" si="7"/>
        <v/>
      </c>
      <c r="T936" s="7"/>
    </row>
    <row r="937" ht="12.75" customHeight="1">
      <c r="A937" s="7">
        <v>936.0</v>
      </c>
      <c r="B937" s="7" t="s">
        <v>2240</v>
      </c>
      <c r="C937" s="7" t="s">
        <v>4849</v>
      </c>
      <c r="D937" s="7"/>
      <c r="E937" s="7"/>
      <c r="F937" s="7" t="s">
        <v>4853</v>
      </c>
      <c r="G937" s="7" t="s">
        <v>4003</v>
      </c>
      <c r="H937" s="7" t="s">
        <v>3979</v>
      </c>
      <c r="I937" s="7" t="s">
        <v>4269</v>
      </c>
      <c r="K937" s="7" t="str">
        <f t="shared" si="2"/>
        <v/>
      </c>
      <c r="L937" s="7" t="str">
        <f t="shared" si="3"/>
        <v/>
      </c>
      <c r="M937" s="7">
        <f t="shared" ref="M937:N937" si="948">IF(LEN(M$1),COUNTIF($G937:$I937,M$1),"")</f>
        <v>0</v>
      </c>
      <c r="N937" s="7" t="str">
        <f t="shared" si="948"/>
        <v/>
      </c>
      <c r="O937" s="7" t="str">
        <f t="shared" si="5"/>
        <v/>
      </c>
      <c r="P937" s="7">
        <f t="shared" si="714"/>
        <v>1</v>
      </c>
      <c r="Q937" s="7" t="str">
        <f t="shared" si="7"/>
        <v/>
      </c>
      <c r="T937" s="7"/>
    </row>
    <row r="938" ht="12.75" customHeight="1">
      <c r="A938" s="7">
        <v>937.0</v>
      </c>
      <c r="B938" s="7" t="s">
        <v>2240</v>
      </c>
      <c r="C938" s="7" t="s">
        <v>4849</v>
      </c>
      <c r="D938" s="7"/>
      <c r="E938" s="7"/>
      <c r="F938" s="7" t="s">
        <v>4853</v>
      </c>
      <c r="G938" s="7" t="s">
        <v>4411</v>
      </c>
      <c r="H938" s="7" t="s">
        <v>4424</v>
      </c>
      <c r="I938" s="7" t="s">
        <v>4431</v>
      </c>
      <c r="K938" s="7" t="str">
        <f t="shared" si="2"/>
        <v/>
      </c>
      <c r="L938" s="7" t="str">
        <f t="shared" si="3"/>
        <v/>
      </c>
      <c r="M938" s="7">
        <f t="shared" ref="M938:N938" si="949">IF(LEN(M$1),COUNTIF($G938:$I938,M$1),"")</f>
        <v>0</v>
      </c>
      <c r="N938" s="7" t="str">
        <f t="shared" si="949"/>
        <v/>
      </c>
      <c r="O938" s="7" t="str">
        <f t="shared" si="5"/>
        <v/>
      </c>
      <c r="P938" s="7">
        <f t="shared" si="714"/>
        <v>1</v>
      </c>
      <c r="Q938" s="7" t="str">
        <f t="shared" si="7"/>
        <v/>
      </c>
      <c r="T938" s="7"/>
    </row>
    <row r="939" ht="12.75" customHeight="1">
      <c r="A939" s="7">
        <v>938.0</v>
      </c>
      <c r="B939" s="7" t="s">
        <v>2240</v>
      </c>
      <c r="C939" s="7" t="s">
        <v>4849</v>
      </c>
      <c r="D939" s="7"/>
      <c r="E939" s="7"/>
      <c r="F939" s="7" t="s">
        <v>4853</v>
      </c>
      <c r="G939" s="7" t="s">
        <v>4159</v>
      </c>
      <c r="H939" s="7" t="s">
        <v>4424</v>
      </c>
      <c r="I939" s="7" t="s">
        <v>4363</v>
      </c>
      <c r="K939" s="7" t="str">
        <f t="shared" si="2"/>
        <v/>
      </c>
      <c r="L939" s="7" t="str">
        <f t="shared" si="3"/>
        <v/>
      </c>
      <c r="M939" s="7">
        <f t="shared" ref="M939:N939" si="950">IF(LEN(M$1),COUNTIF($G939:$I939,M$1),"")</f>
        <v>0</v>
      </c>
      <c r="N939" s="7" t="str">
        <f t="shared" si="950"/>
        <v/>
      </c>
      <c r="O939" s="7" t="str">
        <f t="shared" si="5"/>
        <v/>
      </c>
      <c r="P939" s="7">
        <f t="shared" si="714"/>
        <v>1</v>
      </c>
      <c r="Q939" s="7" t="str">
        <f t="shared" si="7"/>
        <v/>
      </c>
      <c r="T939" s="7"/>
    </row>
    <row r="940" ht="12.75" customHeight="1">
      <c r="A940" s="7">
        <v>939.0</v>
      </c>
      <c r="B940" s="7" t="s">
        <v>2248</v>
      </c>
      <c r="C940" s="7" t="s">
        <v>4849</v>
      </c>
      <c r="D940" s="7"/>
      <c r="E940" s="7"/>
      <c r="F940" s="7" t="s">
        <v>4853</v>
      </c>
      <c r="G940" s="7" t="s">
        <v>4138</v>
      </c>
      <c r="H940" s="7" t="s">
        <v>4218</v>
      </c>
      <c r="I940" s="7" t="s">
        <v>4139</v>
      </c>
      <c r="K940" s="7" t="str">
        <f t="shared" si="2"/>
        <v/>
      </c>
      <c r="L940" s="7" t="str">
        <f t="shared" si="3"/>
        <v/>
      </c>
      <c r="M940" s="7">
        <f t="shared" ref="M940:N940" si="951">IF(LEN(M$1),COUNTIF($G940:$I940,M$1),"")</f>
        <v>0</v>
      </c>
      <c r="N940" s="7" t="str">
        <f t="shared" si="951"/>
        <v/>
      </c>
      <c r="O940" s="7" t="str">
        <f t="shared" si="5"/>
        <v/>
      </c>
      <c r="P940" s="7">
        <f t="shared" si="714"/>
        <v>1</v>
      </c>
      <c r="Q940" s="7" t="str">
        <f t="shared" si="7"/>
        <v/>
      </c>
      <c r="T940" s="7"/>
    </row>
    <row r="941" ht="12.75" customHeight="1">
      <c r="A941" s="7">
        <v>940.0</v>
      </c>
      <c r="B941" s="7" t="s">
        <v>2248</v>
      </c>
      <c r="C941" s="7" t="s">
        <v>4849</v>
      </c>
      <c r="D941" s="7"/>
      <c r="E941" s="7"/>
      <c r="F941" s="7" t="s">
        <v>4853</v>
      </c>
      <c r="G941" s="7" t="s">
        <v>4201</v>
      </c>
      <c r="H941" s="7" t="s">
        <v>4108</v>
      </c>
      <c r="I941" s="7" t="s">
        <v>4187</v>
      </c>
      <c r="K941" s="7" t="str">
        <f t="shared" si="2"/>
        <v/>
      </c>
      <c r="L941" s="7" t="str">
        <f t="shared" si="3"/>
        <v/>
      </c>
      <c r="M941" s="7">
        <f t="shared" ref="M941:N941" si="952">IF(LEN(M$1),COUNTIF($G941:$I941,M$1),"")</f>
        <v>0</v>
      </c>
      <c r="N941" s="7" t="str">
        <f t="shared" si="952"/>
        <v/>
      </c>
      <c r="O941" s="7" t="str">
        <f t="shared" si="5"/>
        <v/>
      </c>
      <c r="P941" s="7">
        <f t="shared" si="714"/>
        <v>1</v>
      </c>
      <c r="Q941" s="7" t="str">
        <f t="shared" si="7"/>
        <v/>
      </c>
      <c r="T941" s="7"/>
    </row>
    <row r="942" ht="12.75" customHeight="1">
      <c r="A942" s="7">
        <v>941.0</v>
      </c>
      <c r="B942" s="7" t="s">
        <v>2248</v>
      </c>
      <c r="C942" s="7" t="s">
        <v>4849</v>
      </c>
      <c r="D942" s="7"/>
      <c r="E942" s="7"/>
      <c r="F942" s="7" t="s">
        <v>4853</v>
      </c>
      <c r="G942" s="7" t="s">
        <v>4413</v>
      </c>
      <c r="H942" s="7" t="s">
        <v>4393</v>
      </c>
      <c r="I942" s="7" t="s">
        <v>4367</v>
      </c>
      <c r="K942" s="7" t="str">
        <f t="shared" si="2"/>
        <v/>
      </c>
      <c r="L942" s="7" t="str">
        <f t="shared" si="3"/>
        <v/>
      </c>
      <c r="M942" s="7">
        <f t="shared" ref="M942:N942" si="953">IF(LEN(M$1),COUNTIF($G942:$I942,M$1),"")</f>
        <v>0</v>
      </c>
      <c r="N942" s="7" t="str">
        <f t="shared" si="953"/>
        <v/>
      </c>
      <c r="O942" s="7" t="str">
        <f t="shared" si="5"/>
        <v/>
      </c>
      <c r="P942" s="7">
        <f t="shared" si="714"/>
        <v>1</v>
      </c>
      <c r="Q942" s="7" t="str">
        <f t="shared" si="7"/>
        <v/>
      </c>
      <c r="T942" s="7"/>
    </row>
    <row r="943" ht="12.75" customHeight="1">
      <c r="A943" s="7">
        <v>942.0</v>
      </c>
      <c r="B943" s="7" t="s">
        <v>2248</v>
      </c>
      <c r="C943" s="7" t="s">
        <v>4849</v>
      </c>
      <c r="D943" s="7"/>
      <c r="E943" s="7"/>
      <c r="F943" s="7" t="s">
        <v>4853</v>
      </c>
      <c r="G943" s="7" t="s">
        <v>4413</v>
      </c>
      <c r="H943" s="7" t="s">
        <v>4119</v>
      </c>
      <c r="I943" s="7" t="s">
        <v>4362</v>
      </c>
      <c r="K943" s="7" t="str">
        <f t="shared" si="2"/>
        <v/>
      </c>
      <c r="L943" s="7" t="str">
        <f t="shared" si="3"/>
        <v/>
      </c>
      <c r="M943" s="7">
        <f t="shared" ref="M943:N943" si="954">IF(LEN(M$1),COUNTIF($G943:$I943,M$1),"")</f>
        <v>0</v>
      </c>
      <c r="N943" s="7" t="str">
        <f t="shared" si="954"/>
        <v/>
      </c>
      <c r="O943" s="7" t="str">
        <f t="shared" si="5"/>
        <v/>
      </c>
      <c r="P943" s="7">
        <f t="shared" si="714"/>
        <v>1</v>
      </c>
      <c r="Q943" s="7" t="str">
        <f t="shared" si="7"/>
        <v/>
      </c>
      <c r="T943" s="7"/>
    </row>
    <row r="944" ht="12.75" customHeight="1">
      <c r="A944" s="7">
        <v>943.0</v>
      </c>
      <c r="B944" s="7" t="s">
        <v>2255</v>
      </c>
      <c r="C944" s="7" t="s">
        <v>4809</v>
      </c>
      <c r="D944" s="7"/>
      <c r="E944" s="7"/>
      <c r="F944" s="7" t="s">
        <v>4853</v>
      </c>
      <c r="G944" s="7" t="s">
        <v>4197</v>
      </c>
      <c r="H944" s="7" t="s">
        <v>4098</v>
      </c>
      <c r="I944" s="7" t="s">
        <v>4159</v>
      </c>
      <c r="K944" s="7" t="str">
        <f t="shared" si="2"/>
        <v/>
      </c>
      <c r="L944" s="7" t="str">
        <f t="shared" si="3"/>
        <v/>
      </c>
      <c r="M944" s="7">
        <f t="shared" ref="M944:N944" si="955">IF(LEN(M$1),COUNTIF($G944:$I944,M$1),"")</f>
        <v>0</v>
      </c>
      <c r="N944" s="7" t="str">
        <f t="shared" si="955"/>
        <v/>
      </c>
      <c r="O944" s="7" t="str">
        <f t="shared" si="5"/>
        <v/>
      </c>
      <c r="P944" s="7">
        <f t="shared" si="714"/>
        <v>1</v>
      </c>
      <c r="Q944" s="7" t="str">
        <f t="shared" si="7"/>
        <v/>
      </c>
      <c r="T944" s="7"/>
    </row>
    <row r="945" ht="12.75" customHeight="1">
      <c r="A945" s="7">
        <v>944.0</v>
      </c>
      <c r="B945" s="7" t="s">
        <v>2255</v>
      </c>
      <c r="C945" s="7" t="s">
        <v>4809</v>
      </c>
      <c r="D945" s="7"/>
      <c r="E945" s="7"/>
      <c r="F945" s="7" t="s">
        <v>4853</v>
      </c>
      <c r="G945" s="7" t="s">
        <v>4379</v>
      </c>
      <c r="H945" s="7" t="s">
        <v>4364</v>
      </c>
      <c r="I945" s="7" t="s">
        <v>4387</v>
      </c>
      <c r="K945" s="7" t="str">
        <f t="shared" si="2"/>
        <v/>
      </c>
      <c r="L945" s="7" t="str">
        <f t="shared" si="3"/>
        <v/>
      </c>
      <c r="M945" s="7">
        <f t="shared" ref="M945:N945" si="956">IF(LEN(M$1),COUNTIF($G945:$I945,M$1),"")</f>
        <v>0</v>
      </c>
      <c r="N945" s="7" t="str">
        <f t="shared" si="956"/>
        <v/>
      </c>
      <c r="O945" s="7" t="str">
        <f t="shared" si="5"/>
        <v/>
      </c>
      <c r="P945" s="7">
        <f t="shared" si="714"/>
        <v>1</v>
      </c>
      <c r="Q945" s="7" t="str">
        <f t="shared" si="7"/>
        <v/>
      </c>
      <c r="T945" s="7"/>
    </row>
    <row r="946" ht="12.75" customHeight="1">
      <c r="A946" s="7">
        <v>945.0</v>
      </c>
      <c r="B946" s="7" t="s">
        <v>2255</v>
      </c>
      <c r="C946" s="7" t="s">
        <v>4809</v>
      </c>
      <c r="D946" s="7"/>
      <c r="E946" s="7"/>
      <c r="F946" s="7" t="s">
        <v>4853</v>
      </c>
      <c r="G946" s="7" t="s">
        <v>4098</v>
      </c>
      <c r="H946" s="7" t="s">
        <v>4067</v>
      </c>
      <c r="I946" s="7" t="s">
        <v>4387</v>
      </c>
      <c r="K946" s="7" t="str">
        <f t="shared" si="2"/>
        <v/>
      </c>
      <c r="L946" s="7" t="str">
        <f t="shared" si="3"/>
        <v/>
      </c>
      <c r="M946" s="7">
        <f t="shared" ref="M946:N946" si="957">IF(LEN(M$1),COUNTIF($G946:$I946,M$1),"")</f>
        <v>0</v>
      </c>
      <c r="N946" s="7" t="str">
        <f t="shared" si="957"/>
        <v/>
      </c>
      <c r="O946" s="7" t="str">
        <f t="shared" si="5"/>
        <v/>
      </c>
      <c r="P946" s="7">
        <f t="shared" si="714"/>
        <v>1</v>
      </c>
      <c r="Q946" s="7" t="str">
        <f t="shared" si="7"/>
        <v/>
      </c>
      <c r="T946" s="7"/>
    </row>
    <row r="947" ht="12.75" customHeight="1">
      <c r="A947" s="7">
        <v>946.0</v>
      </c>
      <c r="B947" s="7" t="s">
        <v>885</v>
      </c>
      <c r="C947" s="7" t="s">
        <v>4809</v>
      </c>
      <c r="D947" s="7"/>
      <c r="E947" s="7"/>
      <c r="F947" s="7" t="s">
        <v>4853</v>
      </c>
      <c r="G947" s="7" t="s">
        <v>4278</v>
      </c>
      <c r="H947" s="7" t="s">
        <v>4255</v>
      </c>
      <c r="I947" s="7" t="s">
        <v>4195</v>
      </c>
      <c r="K947" s="7" t="str">
        <f t="shared" si="2"/>
        <v/>
      </c>
      <c r="L947" s="7" t="str">
        <f t="shared" si="3"/>
        <v/>
      </c>
      <c r="M947" s="7">
        <f t="shared" ref="M947:N947" si="958">IF(LEN(M$1),COUNTIF($G947:$I947,M$1),"")</f>
        <v>0</v>
      </c>
      <c r="N947" s="7" t="str">
        <f t="shared" si="958"/>
        <v/>
      </c>
      <c r="O947" s="7" t="str">
        <f t="shared" si="5"/>
        <v/>
      </c>
      <c r="P947" s="7">
        <f t="shared" si="714"/>
        <v>1</v>
      </c>
      <c r="Q947" s="7" t="str">
        <f t="shared" si="7"/>
        <v/>
      </c>
      <c r="T947" s="7"/>
    </row>
    <row r="948" ht="12.75" customHeight="1">
      <c r="A948" s="7">
        <v>947.0</v>
      </c>
      <c r="B948" s="7" t="s">
        <v>885</v>
      </c>
      <c r="C948" s="7" t="s">
        <v>4809</v>
      </c>
      <c r="D948" s="7"/>
      <c r="E948" s="7"/>
      <c r="F948" s="7" t="s">
        <v>4853</v>
      </c>
      <c r="G948" s="7" t="s">
        <v>4068</v>
      </c>
      <c r="H948" s="7" t="s">
        <v>4137</v>
      </c>
      <c r="I948" s="7" t="s">
        <v>4207</v>
      </c>
      <c r="K948" s="7" t="str">
        <f t="shared" si="2"/>
        <v/>
      </c>
      <c r="L948" s="7" t="str">
        <f t="shared" si="3"/>
        <v/>
      </c>
      <c r="M948" s="7">
        <f t="shared" ref="M948:N948" si="959">IF(LEN(M$1),COUNTIF($G948:$I948,M$1),"")</f>
        <v>0</v>
      </c>
      <c r="N948" s="7" t="str">
        <f t="shared" si="959"/>
        <v/>
      </c>
      <c r="O948" s="7" t="str">
        <f t="shared" si="5"/>
        <v/>
      </c>
      <c r="P948" s="7">
        <f t="shared" si="714"/>
        <v>1</v>
      </c>
      <c r="Q948" s="7" t="str">
        <f t="shared" si="7"/>
        <v/>
      </c>
      <c r="T948" s="7"/>
    </row>
    <row r="949" ht="12.75" customHeight="1">
      <c r="A949" s="7">
        <v>948.0</v>
      </c>
      <c r="B949" s="7" t="s">
        <v>885</v>
      </c>
      <c r="C949" s="7" t="s">
        <v>4809</v>
      </c>
      <c r="D949" s="7"/>
      <c r="E949" s="7"/>
      <c r="F949" s="7" t="s">
        <v>4853</v>
      </c>
      <c r="G949" s="7" t="s">
        <v>4436</v>
      </c>
      <c r="H949" s="7" t="s">
        <v>4426</v>
      </c>
      <c r="I949" s="7" t="s">
        <v>4400</v>
      </c>
      <c r="K949" s="7" t="str">
        <f t="shared" si="2"/>
        <v/>
      </c>
      <c r="L949" s="7" t="str">
        <f t="shared" si="3"/>
        <v/>
      </c>
      <c r="M949" s="7">
        <f t="shared" ref="M949:N949" si="960">IF(LEN(M$1),COUNTIF($G949:$I949,M$1),"")</f>
        <v>0</v>
      </c>
      <c r="N949" s="7" t="str">
        <f t="shared" si="960"/>
        <v/>
      </c>
      <c r="O949" s="7" t="str">
        <f t="shared" si="5"/>
        <v/>
      </c>
      <c r="P949" s="7">
        <f t="shared" si="714"/>
        <v>1</v>
      </c>
      <c r="Q949" s="7" t="str">
        <f t="shared" si="7"/>
        <v/>
      </c>
      <c r="T949" s="7"/>
    </row>
    <row r="950" ht="12.75" customHeight="1">
      <c r="A950" s="7">
        <v>949.0</v>
      </c>
      <c r="B950" s="7" t="s">
        <v>885</v>
      </c>
      <c r="C950" s="7" t="s">
        <v>4809</v>
      </c>
      <c r="D950" s="7"/>
      <c r="E950" s="7"/>
      <c r="F950" s="7" t="s">
        <v>4853</v>
      </c>
      <c r="G950" s="7" t="s">
        <v>4436</v>
      </c>
      <c r="H950" s="7" t="s">
        <v>4425</v>
      </c>
      <c r="I950" s="7" t="s">
        <v>4408</v>
      </c>
      <c r="K950" s="7" t="str">
        <f t="shared" si="2"/>
        <v/>
      </c>
      <c r="L950" s="7" t="str">
        <f t="shared" si="3"/>
        <v/>
      </c>
      <c r="M950" s="7">
        <f t="shared" ref="M950:N950" si="961">IF(LEN(M$1),COUNTIF($G950:$I950,M$1),"")</f>
        <v>0</v>
      </c>
      <c r="N950" s="7" t="str">
        <f t="shared" si="961"/>
        <v/>
      </c>
      <c r="O950" s="7" t="str">
        <f t="shared" si="5"/>
        <v/>
      </c>
      <c r="P950" s="7">
        <f t="shared" si="714"/>
        <v>1</v>
      </c>
      <c r="Q950" s="7" t="str">
        <f t="shared" si="7"/>
        <v/>
      </c>
      <c r="T950" s="7"/>
    </row>
    <row r="951" ht="12.75" customHeight="1">
      <c r="A951" s="7">
        <v>950.0</v>
      </c>
      <c r="B951" s="7" t="s">
        <v>2266</v>
      </c>
      <c r="C951" s="7" t="s">
        <v>4797</v>
      </c>
      <c r="D951" s="7"/>
      <c r="E951" s="7"/>
      <c r="F951" s="7" t="s">
        <v>4853</v>
      </c>
      <c r="G951" s="7" t="s">
        <v>4057</v>
      </c>
      <c r="H951" s="7" t="s">
        <v>4090</v>
      </c>
      <c r="I951" s="7" t="s">
        <v>4216</v>
      </c>
      <c r="K951" s="7" t="str">
        <f t="shared" si="2"/>
        <v/>
      </c>
      <c r="L951" s="7" t="str">
        <f t="shared" si="3"/>
        <v/>
      </c>
      <c r="M951" s="7">
        <f t="shared" ref="M951:N951" si="962">IF(LEN(M$1),COUNTIF($G951:$I951,M$1),"")</f>
        <v>0</v>
      </c>
      <c r="N951" s="7" t="str">
        <f t="shared" si="962"/>
        <v/>
      </c>
      <c r="O951" s="7" t="str">
        <f t="shared" si="5"/>
        <v/>
      </c>
      <c r="P951" s="7">
        <f t="shared" si="714"/>
        <v>1</v>
      </c>
      <c r="Q951" s="7" t="str">
        <f t="shared" si="7"/>
        <v/>
      </c>
      <c r="T951" s="7"/>
    </row>
    <row r="952" ht="12.75" customHeight="1">
      <c r="A952" s="7">
        <v>951.0</v>
      </c>
      <c r="B952" s="7" t="s">
        <v>2266</v>
      </c>
      <c r="C952" s="7" t="s">
        <v>4797</v>
      </c>
      <c r="D952" s="7"/>
      <c r="E952" s="7"/>
      <c r="F952" s="7" t="s">
        <v>4853</v>
      </c>
      <c r="G952" s="7" t="s">
        <v>4408</v>
      </c>
      <c r="H952" s="7" t="s">
        <v>4413</v>
      </c>
      <c r="I952" s="7" t="s">
        <v>4390</v>
      </c>
      <c r="K952" s="7" t="str">
        <f t="shared" si="2"/>
        <v/>
      </c>
      <c r="L952" s="7" t="str">
        <f t="shared" si="3"/>
        <v/>
      </c>
      <c r="M952" s="7">
        <f t="shared" ref="M952:N952" si="963">IF(LEN(M$1),COUNTIF($G952:$I952,M$1),"")</f>
        <v>0</v>
      </c>
      <c r="N952" s="7" t="str">
        <f t="shared" si="963"/>
        <v/>
      </c>
      <c r="O952" s="7" t="str">
        <f t="shared" si="5"/>
        <v/>
      </c>
      <c r="P952" s="7">
        <f t="shared" si="714"/>
        <v>1</v>
      </c>
      <c r="Q952" s="7" t="str">
        <f t="shared" si="7"/>
        <v/>
      </c>
      <c r="T952" s="7"/>
    </row>
    <row r="953" ht="12.75" customHeight="1">
      <c r="A953" s="7">
        <v>952.0</v>
      </c>
      <c r="B953" s="7" t="s">
        <v>2266</v>
      </c>
      <c r="C953" s="7" t="s">
        <v>4797</v>
      </c>
      <c r="D953" s="7"/>
      <c r="E953" s="7"/>
      <c r="F953" s="7" t="s">
        <v>4853</v>
      </c>
      <c r="G953" s="7" t="s">
        <v>4145</v>
      </c>
      <c r="H953" s="7" t="s">
        <v>4404</v>
      </c>
      <c r="I953" s="7" t="s">
        <v>4389</v>
      </c>
      <c r="K953" s="7" t="str">
        <f t="shared" si="2"/>
        <v/>
      </c>
      <c r="L953" s="7" t="str">
        <f t="shared" si="3"/>
        <v/>
      </c>
      <c r="M953" s="7">
        <f t="shared" ref="M953:N953" si="964">IF(LEN(M$1),COUNTIF($G953:$I953,M$1),"")</f>
        <v>0</v>
      </c>
      <c r="N953" s="7" t="str">
        <f t="shared" si="964"/>
        <v/>
      </c>
      <c r="O953" s="7" t="str">
        <f t="shared" si="5"/>
        <v/>
      </c>
      <c r="P953" s="7">
        <f t="shared" si="714"/>
        <v>1</v>
      </c>
      <c r="Q953" s="7" t="str">
        <f t="shared" si="7"/>
        <v/>
      </c>
      <c r="T953" s="7"/>
    </row>
    <row r="954" ht="12.75" customHeight="1">
      <c r="A954" s="7">
        <v>953.0</v>
      </c>
      <c r="B954" s="7" t="s">
        <v>2276</v>
      </c>
      <c r="C954" s="7" t="s">
        <v>4797</v>
      </c>
      <c r="D954" s="7"/>
      <c r="E954" s="7"/>
      <c r="F954" s="7" t="s">
        <v>4853</v>
      </c>
      <c r="G954" s="7" t="s">
        <v>4247</v>
      </c>
      <c r="H954" s="7" t="s">
        <v>4141</v>
      </c>
      <c r="I954" s="7" t="s">
        <v>4130</v>
      </c>
      <c r="K954" s="7" t="str">
        <f t="shared" si="2"/>
        <v/>
      </c>
      <c r="L954" s="7" t="str">
        <f t="shared" si="3"/>
        <v/>
      </c>
      <c r="M954" s="7">
        <f t="shared" ref="M954:N954" si="965">IF(LEN(M$1),COUNTIF($G954:$I954,M$1),"")</f>
        <v>0</v>
      </c>
      <c r="N954" s="7" t="str">
        <f t="shared" si="965"/>
        <v/>
      </c>
      <c r="O954" s="7" t="str">
        <f t="shared" si="5"/>
        <v/>
      </c>
      <c r="P954" s="7">
        <f t="shared" si="714"/>
        <v>1</v>
      </c>
      <c r="Q954" s="7" t="str">
        <f t="shared" si="7"/>
        <v/>
      </c>
      <c r="T954" s="7"/>
    </row>
    <row r="955" ht="12.75" customHeight="1">
      <c r="A955" s="7">
        <v>954.0</v>
      </c>
      <c r="B955" s="7" t="s">
        <v>2276</v>
      </c>
      <c r="C955" s="7" t="s">
        <v>4797</v>
      </c>
      <c r="D955" s="7"/>
      <c r="E955" s="7"/>
      <c r="F955" s="7" t="s">
        <v>4853</v>
      </c>
      <c r="G955" s="7" t="s">
        <v>3991</v>
      </c>
      <c r="H955" s="7" t="s">
        <v>4152</v>
      </c>
      <c r="I955" s="7" t="s">
        <v>4163</v>
      </c>
      <c r="K955" s="7" t="str">
        <f t="shared" si="2"/>
        <v/>
      </c>
      <c r="L955" s="7" t="str">
        <f t="shared" si="3"/>
        <v/>
      </c>
      <c r="M955" s="7">
        <f t="shared" ref="M955:N955" si="966">IF(LEN(M$1),COUNTIF($G955:$I955,M$1),"")</f>
        <v>0</v>
      </c>
      <c r="N955" s="7" t="str">
        <f t="shared" si="966"/>
        <v/>
      </c>
      <c r="O955" s="7" t="str">
        <f t="shared" si="5"/>
        <v/>
      </c>
      <c r="P955" s="7">
        <f t="shared" si="714"/>
        <v>1</v>
      </c>
      <c r="Q955" s="7" t="str">
        <f t="shared" si="7"/>
        <v/>
      </c>
      <c r="T955" s="7"/>
    </row>
    <row r="956" ht="12.75" customHeight="1">
      <c r="A956" s="7">
        <v>955.0</v>
      </c>
      <c r="B956" s="7" t="s">
        <v>2276</v>
      </c>
      <c r="C956" s="7" t="s">
        <v>4797</v>
      </c>
      <c r="D956" s="7"/>
      <c r="E956" s="7"/>
      <c r="F956" s="7" t="s">
        <v>4853</v>
      </c>
      <c r="G956" s="7" t="s">
        <v>4372</v>
      </c>
      <c r="H956" s="7" t="s">
        <v>4384</v>
      </c>
      <c r="I956" s="7" t="s">
        <v>4363</v>
      </c>
      <c r="K956" s="7" t="str">
        <f t="shared" si="2"/>
        <v/>
      </c>
      <c r="L956" s="7" t="str">
        <f t="shared" si="3"/>
        <v/>
      </c>
      <c r="M956" s="7">
        <f t="shared" ref="M956:N956" si="967">IF(LEN(M$1),COUNTIF($G956:$I956,M$1),"")</f>
        <v>0</v>
      </c>
      <c r="N956" s="7" t="str">
        <f t="shared" si="967"/>
        <v/>
      </c>
      <c r="O956" s="7" t="str">
        <f t="shared" si="5"/>
        <v/>
      </c>
      <c r="P956" s="7">
        <f t="shared" si="714"/>
        <v>1</v>
      </c>
      <c r="Q956" s="7" t="str">
        <f t="shared" si="7"/>
        <v/>
      </c>
      <c r="T956" s="7"/>
    </row>
    <row r="957" ht="12.75" customHeight="1">
      <c r="A957" s="7">
        <v>956.0</v>
      </c>
      <c r="B957" s="7" t="s">
        <v>2276</v>
      </c>
      <c r="C957" s="7" t="s">
        <v>4797</v>
      </c>
      <c r="D957" s="7"/>
      <c r="E957" s="7"/>
      <c r="F957" s="7" t="s">
        <v>4853</v>
      </c>
      <c r="G957" s="7" t="s">
        <v>4115</v>
      </c>
      <c r="H957" s="7" t="s">
        <v>4384</v>
      </c>
      <c r="I957" s="7" t="s">
        <v>4390</v>
      </c>
      <c r="K957" s="7" t="str">
        <f t="shared" si="2"/>
        <v/>
      </c>
      <c r="L957" s="7" t="str">
        <f t="shared" si="3"/>
        <v/>
      </c>
      <c r="M957" s="7">
        <f t="shared" ref="M957:N957" si="968">IF(LEN(M$1),COUNTIF($G957:$I957,M$1),"")</f>
        <v>0</v>
      </c>
      <c r="N957" s="7" t="str">
        <f t="shared" si="968"/>
        <v/>
      </c>
      <c r="O957" s="7" t="str">
        <f t="shared" si="5"/>
        <v/>
      </c>
      <c r="P957" s="7">
        <f t="shared" si="714"/>
        <v>1</v>
      </c>
      <c r="Q957" s="7" t="str">
        <f t="shared" si="7"/>
        <v/>
      </c>
      <c r="T957" s="7"/>
    </row>
    <row r="958" ht="12.75" customHeight="1">
      <c r="A958" s="7">
        <v>957.0</v>
      </c>
      <c r="B958" s="7" t="s">
        <v>2284</v>
      </c>
      <c r="C958" s="7" t="s">
        <v>4798</v>
      </c>
      <c r="D958" s="7"/>
      <c r="E958" s="7"/>
      <c r="F958" s="7" t="s">
        <v>4853</v>
      </c>
      <c r="G958" s="7" t="s">
        <v>4020</v>
      </c>
      <c r="H958" s="7" t="s">
        <v>4249</v>
      </c>
      <c r="I958" s="7" t="s">
        <v>3990</v>
      </c>
      <c r="K958" s="7" t="str">
        <f t="shared" si="2"/>
        <v/>
      </c>
      <c r="L958" s="7" t="str">
        <f t="shared" si="3"/>
        <v/>
      </c>
      <c r="M958" s="7">
        <f t="shared" ref="M958:N958" si="969">IF(LEN(M$1),COUNTIF($G958:$I958,M$1),"")</f>
        <v>0</v>
      </c>
      <c r="N958" s="7" t="str">
        <f t="shared" si="969"/>
        <v/>
      </c>
      <c r="O958" s="7" t="str">
        <f t="shared" si="5"/>
        <v/>
      </c>
      <c r="P958" s="7">
        <f t="shared" si="714"/>
        <v>1</v>
      </c>
      <c r="Q958" s="7" t="str">
        <f t="shared" si="7"/>
        <v/>
      </c>
      <c r="T958" s="7"/>
    </row>
    <row r="959" ht="12.75" customHeight="1">
      <c r="A959" s="7">
        <v>958.0</v>
      </c>
      <c r="B959" s="7" t="s">
        <v>2284</v>
      </c>
      <c r="C959" s="7" t="s">
        <v>4798</v>
      </c>
      <c r="D959" s="7"/>
      <c r="E959" s="7"/>
      <c r="F959" s="7" t="s">
        <v>4853</v>
      </c>
      <c r="G959" s="7" t="s">
        <v>4370</v>
      </c>
      <c r="H959" s="7" t="s">
        <v>4369</v>
      </c>
      <c r="I959" s="7" t="s">
        <v>4384</v>
      </c>
      <c r="K959" s="7" t="str">
        <f t="shared" si="2"/>
        <v/>
      </c>
      <c r="L959" s="7" t="str">
        <f t="shared" si="3"/>
        <v/>
      </c>
      <c r="M959" s="7">
        <f t="shared" ref="M959:N959" si="970">IF(LEN(M$1),COUNTIF($G959:$I959,M$1),"")</f>
        <v>0</v>
      </c>
      <c r="N959" s="7" t="str">
        <f t="shared" si="970"/>
        <v/>
      </c>
      <c r="O959" s="7" t="str">
        <f t="shared" si="5"/>
        <v/>
      </c>
      <c r="P959" s="7">
        <f t="shared" si="714"/>
        <v>1</v>
      </c>
      <c r="Q959" s="7" t="str">
        <f t="shared" si="7"/>
        <v/>
      </c>
      <c r="T959" s="7"/>
    </row>
    <row r="960" ht="12.75" customHeight="1">
      <c r="A960" s="7">
        <v>959.0</v>
      </c>
      <c r="B960" s="7" t="s">
        <v>2284</v>
      </c>
      <c r="C960" s="7" t="s">
        <v>4798</v>
      </c>
      <c r="D960" s="7"/>
      <c r="E960" s="7"/>
      <c r="F960" s="7" t="s">
        <v>4853</v>
      </c>
      <c r="G960" s="7" t="s">
        <v>4370</v>
      </c>
      <c r="H960" s="7" t="s">
        <v>4396</v>
      </c>
      <c r="I960" s="7" t="s">
        <v>4404</v>
      </c>
      <c r="K960" s="7" t="str">
        <f t="shared" si="2"/>
        <v/>
      </c>
      <c r="L960" s="7" t="str">
        <f t="shared" si="3"/>
        <v/>
      </c>
      <c r="M960" s="7">
        <f t="shared" ref="M960:N960" si="971">IF(LEN(M$1),COUNTIF($G960:$I960,M$1),"")</f>
        <v>0</v>
      </c>
      <c r="N960" s="7" t="str">
        <f t="shared" si="971"/>
        <v/>
      </c>
      <c r="O960" s="7" t="str">
        <f t="shared" si="5"/>
        <v/>
      </c>
      <c r="P960" s="7">
        <f t="shared" si="714"/>
        <v>1</v>
      </c>
      <c r="Q960" s="7" t="str">
        <f t="shared" si="7"/>
        <v/>
      </c>
      <c r="T960" s="7"/>
    </row>
    <row r="961" ht="12.75" customHeight="1">
      <c r="A961" s="7">
        <v>960.0</v>
      </c>
      <c r="B961" s="7" t="s">
        <v>2292</v>
      </c>
      <c r="C961" s="7" t="s">
        <v>4798</v>
      </c>
      <c r="D961" s="7"/>
      <c r="E961" s="7"/>
      <c r="F961" s="7" t="s">
        <v>4853</v>
      </c>
      <c r="G961" s="7" t="s">
        <v>4278</v>
      </c>
      <c r="H961" s="7" t="s">
        <v>4008</v>
      </c>
      <c r="I961" s="7" t="s">
        <v>4006</v>
      </c>
      <c r="K961" s="7" t="str">
        <f t="shared" si="2"/>
        <v/>
      </c>
      <c r="L961" s="7" t="str">
        <f t="shared" si="3"/>
        <v/>
      </c>
      <c r="M961" s="7">
        <f t="shared" ref="M961:N961" si="972">IF(LEN(M$1),COUNTIF($G961:$I961,M$1),"")</f>
        <v>0</v>
      </c>
      <c r="N961" s="7" t="str">
        <f t="shared" si="972"/>
        <v/>
      </c>
      <c r="O961" s="7" t="str">
        <f t="shared" si="5"/>
        <v/>
      </c>
      <c r="P961" s="7">
        <f t="shared" si="714"/>
        <v>1</v>
      </c>
      <c r="Q961" s="7" t="str">
        <f t="shared" si="7"/>
        <v/>
      </c>
      <c r="T961" s="7"/>
    </row>
    <row r="962" ht="12.75" customHeight="1">
      <c r="A962" s="7">
        <v>961.0</v>
      </c>
      <c r="B962" s="7" t="s">
        <v>2292</v>
      </c>
      <c r="C962" s="7" t="s">
        <v>4798</v>
      </c>
      <c r="D962" s="7"/>
      <c r="E962" s="7"/>
      <c r="F962" s="7" t="s">
        <v>4853</v>
      </c>
      <c r="G962" s="7" t="s">
        <v>4434</v>
      </c>
      <c r="H962" s="7" t="s">
        <v>4358</v>
      </c>
      <c r="I962" s="7" t="s">
        <v>4389</v>
      </c>
      <c r="K962" s="7" t="str">
        <f t="shared" si="2"/>
        <v/>
      </c>
      <c r="L962" s="7" t="str">
        <f t="shared" si="3"/>
        <v/>
      </c>
      <c r="M962" s="7">
        <f t="shared" ref="M962:N962" si="973">IF(LEN(M$1),COUNTIF($G962:$I962,M$1),"")</f>
        <v>0</v>
      </c>
      <c r="N962" s="7" t="str">
        <f t="shared" si="973"/>
        <v/>
      </c>
      <c r="O962" s="7" t="str">
        <f t="shared" si="5"/>
        <v/>
      </c>
      <c r="P962" s="7">
        <f t="shared" si="714"/>
        <v>1</v>
      </c>
      <c r="Q962" s="7" t="str">
        <f t="shared" si="7"/>
        <v/>
      </c>
      <c r="T962" s="7"/>
    </row>
    <row r="963" ht="12.75" customHeight="1">
      <c r="A963" s="7">
        <v>962.0</v>
      </c>
      <c r="B963" s="7" t="s">
        <v>2292</v>
      </c>
      <c r="C963" s="7" t="s">
        <v>4798</v>
      </c>
      <c r="D963" s="7"/>
      <c r="E963" s="7"/>
      <c r="F963" s="7" t="s">
        <v>4853</v>
      </c>
      <c r="G963" s="7" t="s">
        <v>4434</v>
      </c>
      <c r="H963" s="7" t="s">
        <v>4435</v>
      </c>
      <c r="I963" s="7" t="s">
        <v>4389</v>
      </c>
      <c r="K963" s="7" t="str">
        <f t="shared" si="2"/>
        <v/>
      </c>
      <c r="L963" s="7" t="str">
        <f t="shared" si="3"/>
        <v/>
      </c>
      <c r="M963" s="7">
        <f t="shared" ref="M963:N963" si="974">IF(LEN(M$1),COUNTIF($G963:$I963,M$1),"")</f>
        <v>0</v>
      </c>
      <c r="N963" s="7" t="str">
        <f t="shared" si="974"/>
        <v/>
      </c>
      <c r="O963" s="7" t="str">
        <f t="shared" si="5"/>
        <v/>
      </c>
      <c r="P963" s="7">
        <f t="shared" si="714"/>
        <v>1</v>
      </c>
      <c r="Q963" s="7" t="str">
        <f t="shared" si="7"/>
        <v/>
      </c>
      <c r="T963" s="7"/>
    </row>
    <row r="964" ht="12.75" customHeight="1">
      <c r="A964" s="7">
        <v>963.0</v>
      </c>
      <c r="B964" s="7" t="s">
        <v>2300</v>
      </c>
      <c r="C964" s="7" t="s">
        <v>4801</v>
      </c>
      <c r="D964" s="7"/>
      <c r="E964" s="7"/>
      <c r="F964" s="7" t="s">
        <v>4853</v>
      </c>
      <c r="G964" s="7" t="s">
        <v>4039</v>
      </c>
      <c r="H964" s="7" t="s">
        <v>3995</v>
      </c>
      <c r="I964" s="7" t="s">
        <v>4078</v>
      </c>
      <c r="K964" s="7" t="str">
        <f t="shared" si="2"/>
        <v/>
      </c>
      <c r="L964" s="7" t="str">
        <f t="shared" si="3"/>
        <v/>
      </c>
      <c r="M964" s="7">
        <f t="shared" ref="M964:N964" si="975">IF(LEN(M$1),COUNTIF($G964:$I964,M$1),"")</f>
        <v>0</v>
      </c>
      <c r="N964" s="7" t="str">
        <f t="shared" si="975"/>
        <v/>
      </c>
      <c r="O964" s="7" t="str">
        <f t="shared" si="5"/>
        <v/>
      </c>
      <c r="P964" s="7">
        <f t="shared" si="714"/>
        <v>1</v>
      </c>
      <c r="Q964" s="7" t="str">
        <f t="shared" si="7"/>
        <v/>
      </c>
      <c r="T964" s="7"/>
    </row>
    <row r="965" ht="12.75" customHeight="1">
      <c r="A965" s="7">
        <v>964.0</v>
      </c>
      <c r="B965" s="7" t="s">
        <v>2300</v>
      </c>
      <c r="C965" s="7" t="s">
        <v>4801</v>
      </c>
      <c r="D965" s="7"/>
      <c r="E965" s="7"/>
      <c r="F965" s="7" t="s">
        <v>4853</v>
      </c>
      <c r="G965" s="7" t="s">
        <v>4402</v>
      </c>
      <c r="H965" s="7" t="s">
        <v>4389</v>
      </c>
      <c r="I965" s="7" t="s">
        <v>4395</v>
      </c>
      <c r="K965" s="7" t="str">
        <f t="shared" si="2"/>
        <v/>
      </c>
      <c r="L965" s="7" t="str">
        <f t="shared" si="3"/>
        <v/>
      </c>
      <c r="M965" s="7">
        <f t="shared" ref="M965:N965" si="976">IF(LEN(M$1),COUNTIF($G965:$I965,M$1),"")</f>
        <v>0</v>
      </c>
      <c r="N965" s="7" t="str">
        <f t="shared" si="976"/>
        <v/>
      </c>
      <c r="O965" s="7" t="str">
        <f t="shared" si="5"/>
        <v/>
      </c>
      <c r="P965" s="7">
        <f t="shared" si="714"/>
        <v>1</v>
      </c>
      <c r="Q965" s="7" t="str">
        <f t="shared" si="7"/>
        <v/>
      </c>
      <c r="T965" s="7"/>
    </row>
    <row r="966" ht="12.75" customHeight="1">
      <c r="A966" s="7">
        <v>965.0</v>
      </c>
      <c r="B966" s="7" t="s">
        <v>2300</v>
      </c>
      <c r="C966" s="7" t="s">
        <v>4801</v>
      </c>
      <c r="D966" s="7"/>
      <c r="E966" s="7"/>
      <c r="F966" s="7" t="s">
        <v>4853</v>
      </c>
      <c r="G966" s="7" t="s">
        <v>4402</v>
      </c>
      <c r="H966" s="7" t="s">
        <v>4284</v>
      </c>
      <c r="I966" s="7" t="s">
        <v>4391</v>
      </c>
      <c r="K966" s="7" t="str">
        <f t="shared" si="2"/>
        <v/>
      </c>
      <c r="L966" s="7" t="str">
        <f t="shared" si="3"/>
        <v/>
      </c>
      <c r="M966" s="7">
        <f t="shared" ref="M966:N966" si="977">IF(LEN(M$1),COUNTIF($G966:$I966,M$1),"")</f>
        <v>0</v>
      </c>
      <c r="N966" s="7" t="str">
        <f t="shared" si="977"/>
        <v/>
      </c>
      <c r="O966" s="7" t="str">
        <f t="shared" si="5"/>
        <v/>
      </c>
      <c r="P966" s="7">
        <f t="shared" si="714"/>
        <v>1</v>
      </c>
      <c r="Q966" s="7" t="str">
        <f t="shared" si="7"/>
        <v/>
      </c>
      <c r="T966" s="7"/>
    </row>
    <row r="967" ht="12.75" customHeight="1">
      <c r="A967" s="7">
        <v>966.0</v>
      </c>
      <c r="B967" s="7" t="s">
        <v>2308</v>
      </c>
      <c r="C967" s="7" t="s">
        <v>4801</v>
      </c>
      <c r="D967" s="7"/>
      <c r="E967" s="7"/>
      <c r="F967" s="7" t="s">
        <v>4853</v>
      </c>
      <c r="G967" s="7" t="s">
        <v>4111</v>
      </c>
      <c r="H967" s="7" t="s">
        <v>4144</v>
      </c>
      <c r="I967" s="7" t="s">
        <v>4244</v>
      </c>
      <c r="K967" s="7" t="str">
        <f t="shared" si="2"/>
        <v/>
      </c>
      <c r="L967" s="7" t="str">
        <f t="shared" si="3"/>
        <v/>
      </c>
      <c r="M967" s="7">
        <f t="shared" ref="M967:N967" si="978">IF(LEN(M$1),COUNTIF($G967:$I967,M$1),"")</f>
        <v>0</v>
      </c>
      <c r="N967" s="7" t="str">
        <f t="shared" si="978"/>
        <v/>
      </c>
      <c r="O967" s="7" t="str">
        <f t="shared" si="5"/>
        <v/>
      </c>
      <c r="P967" s="7">
        <f t="shared" si="714"/>
        <v>1</v>
      </c>
      <c r="Q967" s="7" t="str">
        <f t="shared" si="7"/>
        <v/>
      </c>
      <c r="T967" s="7"/>
    </row>
    <row r="968" ht="12.75" customHeight="1">
      <c r="A968" s="7">
        <v>967.0</v>
      </c>
      <c r="B968" s="7" t="s">
        <v>2308</v>
      </c>
      <c r="C968" s="7" t="s">
        <v>4801</v>
      </c>
      <c r="D968" s="7"/>
      <c r="E968" s="7"/>
      <c r="F968" s="7" t="s">
        <v>4853</v>
      </c>
      <c r="G968" s="7" t="s">
        <v>3977</v>
      </c>
      <c r="H968" s="7" t="s">
        <v>3981</v>
      </c>
      <c r="I968" s="7" t="s">
        <v>4039</v>
      </c>
      <c r="K968" s="7" t="str">
        <f t="shared" si="2"/>
        <v/>
      </c>
      <c r="L968" s="7" t="str">
        <f t="shared" si="3"/>
        <v/>
      </c>
      <c r="M968" s="7">
        <f t="shared" ref="M968:N968" si="979">IF(LEN(M$1),COUNTIF($G968:$I968,M$1),"")</f>
        <v>0</v>
      </c>
      <c r="N968" s="7" t="str">
        <f t="shared" si="979"/>
        <v/>
      </c>
      <c r="O968" s="7" t="str">
        <f t="shared" si="5"/>
        <v/>
      </c>
      <c r="P968" s="7">
        <f t="shared" si="714"/>
        <v>1</v>
      </c>
      <c r="Q968" s="7" t="str">
        <f t="shared" si="7"/>
        <v/>
      </c>
      <c r="T968" s="7"/>
    </row>
    <row r="969" ht="12.75" customHeight="1">
      <c r="A969" s="7">
        <v>968.0</v>
      </c>
      <c r="B969" s="7" t="s">
        <v>2308</v>
      </c>
      <c r="C969" s="7" t="s">
        <v>4801</v>
      </c>
      <c r="D969" s="7"/>
      <c r="E969" s="7"/>
      <c r="F969" s="7" t="s">
        <v>4853</v>
      </c>
      <c r="G969" s="7" t="s">
        <v>4438</v>
      </c>
      <c r="H969" s="7" t="s">
        <v>4382</v>
      </c>
      <c r="I969" s="7" t="s">
        <v>4393</v>
      </c>
      <c r="K969" s="7" t="str">
        <f t="shared" si="2"/>
        <v/>
      </c>
      <c r="L969" s="7" t="str">
        <f t="shared" si="3"/>
        <v/>
      </c>
      <c r="M969" s="7">
        <f t="shared" ref="M969:N969" si="980">IF(LEN(M$1),COUNTIF($G969:$I969,M$1),"")</f>
        <v>0</v>
      </c>
      <c r="N969" s="7" t="str">
        <f t="shared" si="980"/>
        <v/>
      </c>
      <c r="O969" s="7" t="str">
        <f t="shared" si="5"/>
        <v/>
      </c>
      <c r="P969" s="7">
        <f t="shared" si="714"/>
        <v>1</v>
      </c>
      <c r="Q969" s="7" t="str">
        <f t="shared" si="7"/>
        <v/>
      </c>
      <c r="T969" s="7"/>
    </row>
    <row r="970" ht="12.75" customHeight="1">
      <c r="A970" s="7">
        <v>969.0</v>
      </c>
      <c r="B970" s="7" t="s">
        <v>2308</v>
      </c>
      <c r="C970" s="7" t="s">
        <v>4801</v>
      </c>
      <c r="D970" s="7"/>
      <c r="E970" s="7"/>
      <c r="F970" s="7" t="s">
        <v>4853</v>
      </c>
      <c r="G970" s="7" t="s">
        <v>4082</v>
      </c>
      <c r="H970" s="7" t="s">
        <v>4438</v>
      </c>
      <c r="I970" s="7" t="s">
        <v>4289</v>
      </c>
      <c r="K970" s="7" t="str">
        <f t="shared" si="2"/>
        <v/>
      </c>
      <c r="L970" s="7" t="str">
        <f t="shared" si="3"/>
        <v/>
      </c>
      <c r="M970" s="7">
        <f t="shared" ref="M970:N970" si="981">IF(LEN(M$1),COUNTIF($G970:$I970,M$1),"")</f>
        <v>0</v>
      </c>
      <c r="N970" s="7" t="str">
        <f t="shared" si="981"/>
        <v/>
      </c>
      <c r="O970" s="7" t="str">
        <f t="shared" si="5"/>
        <v/>
      </c>
      <c r="P970" s="7">
        <f t="shared" si="714"/>
        <v>1</v>
      </c>
      <c r="Q970" s="7" t="str">
        <f t="shared" si="7"/>
        <v/>
      </c>
      <c r="T970" s="7"/>
    </row>
    <row r="971" ht="12.75" customHeight="1">
      <c r="A971" s="7">
        <v>970.0</v>
      </c>
      <c r="B971" s="7" t="s">
        <v>2314</v>
      </c>
      <c r="C971" s="7" t="s">
        <v>4758</v>
      </c>
      <c r="D971" s="7"/>
      <c r="E971" s="7"/>
      <c r="F971" s="7" t="s">
        <v>4853</v>
      </c>
      <c r="G971" s="7" t="s">
        <v>4146</v>
      </c>
      <c r="H971" s="7" t="s">
        <v>4185</v>
      </c>
      <c r="I971" s="7" t="s">
        <v>4018</v>
      </c>
      <c r="K971" s="7" t="str">
        <f t="shared" si="2"/>
        <v/>
      </c>
      <c r="L971" s="7" t="str">
        <f t="shared" si="3"/>
        <v/>
      </c>
      <c r="M971" s="7">
        <f t="shared" ref="M971:N971" si="982">IF(LEN(M$1),COUNTIF($G971:$I971,M$1),"")</f>
        <v>0</v>
      </c>
      <c r="N971" s="7" t="str">
        <f t="shared" si="982"/>
        <v/>
      </c>
      <c r="O971" s="7" t="str">
        <f t="shared" si="5"/>
        <v/>
      </c>
      <c r="P971" s="7">
        <f t="shared" si="714"/>
        <v>1</v>
      </c>
      <c r="Q971" s="7" t="str">
        <f t="shared" si="7"/>
        <v/>
      </c>
      <c r="T971" s="7"/>
    </row>
    <row r="972" ht="12.75" customHeight="1">
      <c r="A972" s="7">
        <v>971.0</v>
      </c>
      <c r="B972" s="7" t="s">
        <v>2314</v>
      </c>
      <c r="C972" s="7" t="s">
        <v>4758</v>
      </c>
      <c r="D972" s="7"/>
      <c r="E972" s="7"/>
      <c r="F972" s="7" t="s">
        <v>4853</v>
      </c>
      <c r="G972" s="7" t="s">
        <v>4420</v>
      </c>
      <c r="H972" s="7" t="s">
        <v>4423</v>
      </c>
      <c r="I972" s="7" t="s">
        <v>4361</v>
      </c>
      <c r="K972" s="7" t="str">
        <f t="shared" si="2"/>
        <v/>
      </c>
      <c r="L972" s="7" t="str">
        <f t="shared" si="3"/>
        <v/>
      </c>
      <c r="M972" s="7">
        <f t="shared" ref="M972:N972" si="983">IF(LEN(M$1),COUNTIF($G972:$I972,M$1),"")</f>
        <v>0</v>
      </c>
      <c r="N972" s="7" t="str">
        <f t="shared" si="983"/>
        <v/>
      </c>
      <c r="O972" s="7" t="str">
        <f t="shared" si="5"/>
        <v/>
      </c>
      <c r="P972" s="7">
        <f t="shared" si="714"/>
        <v>1</v>
      </c>
      <c r="Q972" s="7" t="str">
        <f t="shared" si="7"/>
        <v/>
      </c>
      <c r="T972" s="7"/>
    </row>
    <row r="973" ht="12.75" customHeight="1">
      <c r="A973" s="7">
        <v>972.0</v>
      </c>
      <c r="B973" s="7" t="s">
        <v>2314</v>
      </c>
      <c r="C973" s="7" t="s">
        <v>4758</v>
      </c>
      <c r="D973" s="7"/>
      <c r="E973" s="7"/>
      <c r="F973" s="7" t="s">
        <v>4853</v>
      </c>
      <c r="G973" s="7" t="s">
        <v>4420</v>
      </c>
      <c r="H973" s="7" t="s">
        <v>4171</v>
      </c>
      <c r="I973" s="7" t="s">
        <v>4435</v>
      </c>
      <c r="K973" s="7" t="str">
        <f t="shared" si="2"/>
        <v/>
      </c>
      <c r="L973" s="7" t="str">
        <f t="shared" si="3"/>
        <v/>
      </c>
      <c r="M973" s="7">
        <f t="shared" ref="M973:N973" si="984">IF(LEN(M$1),COUNTIF($G973:$I973,M$1),"")</f>
        <v>0</v>
      </c>
      <c r="N973" s="7" t="str">
        <f t="shared" si="984"/>
        <v/>
      </c>
      <c r="O973" s="7" t="str">
        <f t="shared" si="5"/>
        <v/>
      </c>
      <c r="P973" s="7">
        <f t="shared" si="714"/>
        <v>1</v>
      </c>
      <c r="Q973" s="7" t="str">
        <f t="shared" si="7"/>
        <v/>
      </c>
      <c r="T973" s="7"/>
    </row>
    <row r="974" ht="12.75" customHeight="1">
      <c r="A974" s="7">
        <v>973.0</v>
      </c>
      <c r="B974" s="7" t="s">
        <v>2322</v>
      </c>
      <c r="C974" s="7" t="s">
        <v>4758</v>
      </c>
      <c r="D974" s="7"/>
      <c r="E974" s="7"/>
      <c r="F974" s="7" t="s">
        <v>4853</v>
      </c>
      <c r="G974" s="7" t="s">
        <v>4004</v>
      </c>
      <c r="H974" s="7" t="s">
        <v>4178</v>
      </c>
      <c r="I974" s="7" t="s">
        <v>3978</v>
      </c>
      <c r="K974" s="7" t="str">
        <f t="shared" si="2"/>
        <v/>
      </c>
      <c r="L974" s="7" t="str">
        <f t="shared" si="3"/>
        <v/>
      </c>
      <c r="M974" s="7">
        <f t="shared" ref="M974:N974" si="985">IF(LEN(M$1),COUNTIF($G974:$I974,M$1),"")</f>
        <v>0</v>
      </c>
      <c r="N974" s="7" t="str">
        <f t="shared" si="985"/>
        <v/>
      </c>
      <c r="O974" s="7" t="str">
        <f t="shared" si="5"/>
        <v/>
      </c>
      <c r="P974" s="7">
        <f t="shared" si="714"/>
        <v>1</v>
      </c>
      <c r="Q974" s="7" t="str">
        <f t="shared" si="7"/>
        <v/>
      </c>
      <c r="T974" s="7"/>
    </row>
    <row r="975" ht="12.75" customHeight="1">
      <c r="A975" s="7">
        <v>974.0</v>
      </c>
      <c r="B975" s="7" t="s">
        <v>2322</v>
      </c>
      <c r="C975" s="7" t="s">
        <v>4758</v>
      </c>
      <c r="D975" s="7"/>
      <c r="E975" s="7"/>
      <c r="F975" s="7" t="s">
        <v>4853</v>
      </c>
      <c r="G975" s="7" t="s">
        <v>4364</v>
      </c>
      <c r="H975" s="7" t="s">
        <v>4432</v>
      </c>
      <c r="I975" s="7" t="s">
        <v>4391</v>
      </c>
      <c r="K975" s="7" t="str">
        <f t="shared" si="2"/>
        <v/>
      </c>
      <c r="L975" s="7" t="str">
        <f t="shared" si="3"/>
        <v/>
      </c>
      <c r="M975" s="7">
        <f t="shared" ref="M975:N975" si="986">IF(LEN(M$1),COUNTIF($G975:$I975,M$1),"")</f>
        <v>0</v>
      </c>
      <c r="N975" s="7" t="str">
        <f t="shared" si="986"/>
        <v/>
      </c>
      <c r="O975" s="7" t="str">
        <f t="shared" si="5"/>
        <v/>
      </c>
      <c r="P975" s="7">
        <f t="shared" si="714"/>
        <v>1</v>
      </c>
      <c r="Q975" s="7" t="str">
        <f t="shared" si="7"/>
        <v/>
      </c>
      <c r="T975" s="7"/>
    </row>
    <row r="976" ht="12.75" customHeight="1">
      <c r="A976" s="7">
        <v>975.0</v>
      </c>
      <c r="B976" s="7" t="s">
        <v>2322</v>
      </c>
      <c r="C976" s="7" t="s">
        <v>4758</v>
      </c>
      <c r="D976" s="7"/>
      <c r="E976" s="7"/>
      <c r="F976" s="7" t="s">
        <v>4853</v>
      </c>
      <c r="G976" s="7" t="s">
        <v>4395</v>
      </c>
      <c r="H976" s="7" t="s">
        <v>4119</v>
      </c>
      <c r="I976" s="7" t="s">
        <v>4391</v>
      </c>
      <c r="K976" s="7" t="str">
        <f t="shared" si="2"/>
        <v/>
      </c>
      <c r="L976" s="7" t="str">
        <f t="shared" si="3"/>
        <v/>
      </c>
      <c r="M976" s="7">
        <f t="shared" ref="M976:N976" si="987">IF(LEN(M$1),COUNTIF($G976:$I976,M$1),"")</f>
        <v>0</v>
      </c>
      <c r="N976" s="7" t="str">
        <f t="shared" si="987"/>
        <v/>
      </c>
      <c r="O976" s="7" t="str">
        <f t="shared" si="5"/>
        <v/>
      </c>
      <c r="P976" s="7">
        <f t="shared" si="714"/>
        <v>1</v>
      </c>
      <c r="Q976" s="7" t="str">
        <f t="shared" si="7"/>
        <v/>
      </c>
      <c r="T976" s="7"/>
    </row>
    <row r="977" ht="12.75" customHeight="1">
      <c r="A977" s="7">
        <v>976.0</v>
      </c>
      <c r="B977" s="7" t="s">
        <v>2371</v>
      </c>
      <c r="C977" s="7" t="s">
        <v>4855</v>
      </c>
      <c r="D977" s="7"/>
      <c r="E977" s="7"/>
      <c r="F977" s="7" t="s">
        <v>4856</v>
      </c>
      <c r="G977" s="7" t="s">
        <v>3425</v>
      </c>
      <c r="H977" s="7" t="s">
        <v>3431</v>
      </c>
      <c r="I977" s="7" t="s">
        <v>3437</v>
      </c>
      <c r="K977" s="7" t="str">
        <f t="shared" si="2"/>
        <v/>
      </c>
      <c r="L977" s="7" t="str">
        <f t="shared" si="3"/>
        <v/>
      </c>
      <c r="M977" s="7">
        <f t="shared" ref="M977:N977" si="988">IF(LEN(M$1),COUNTIF($G977:$I977,M$1),"")</f>
        <v>0</v>
      </c>
      <c r="N977" s="7" t="str">
        <f t="shared" si="988"/>
        <v/>
      </c>
      <c r="O977" s="7" t="str">
        <f t="shared" si="5"/>
        <v/>
      </c>
      <c r="P977" s="7">
        <f t="shared" ref="P977:P1012" si="990">IF(LEN(P$1),IF(P$1="B",1,0),"")</f>
        <v>0</v>
      </c>
      <c r="Q977" s="7" t="str">
        <f t="shared" si="7"/>
        <v/>
      </c>
      <c r="T977" s="7"/>
    </row>
    <row r="978" ht="12.75" customHeight="1">
      <c r="A978" s="7">
        <v>977.0</v>
      </c>
      <c r="B978" s="7" t="s">
        <v>2371</v>
      </c>
      <c r="C978" s="7" t="s">
        <v>4855</v>
      </c>
      <c r="D978" s="7"/>
      <c r="E978" s="7"/>
      <c r="F978" s="7" t="s">
        <v>4856</v>
      </c>
      <c r="G978" s="7" t="s">
        <v>3437</v>
      </c>
      <c r="H978" s="7" t="s">
        <v>3425</v>
      </c>
      <c r="I978" s="7" t="s">
        <v>3431</v>
      </c>
      <c r="K978" s="7" t="str">
        <f t="shared" si="2"/>
        <v/>
      </c>
      <c r="L978" s="7" t="str">
        <f t="shared" si="3"/>
        <v/>
      </c>
      <c r="M978" s="7">
        <f t="shared" ref="M978:N978" si="989">IF(LEN(M$1),COUNTIF($G978:$I978,M$1),"")</f>
        <v>0</v>
      </c>
      <c r="N978" s="7" t="str">
        <f t="shared" si="989"/>
        <v/>
      </c>
      <c r="O978" s="7" t="str">
        <f t="shared" si="5"/>
        <v/>
      </c>
      <c r="P978" s="7">
        <f t="shared" si="990"/>
        <v>0</v>
      </c>
      <c r="Q978" s="7" t="str">
        <f t="shared" si="7"/>
        <v/>
      </c>
      <c r="T978" s="7"/>
    </row>
    <row r="979" ht="12.75" customHeight="1">
      <c r="A979" s="7">
        <v>978.0</v>
      </c>
      <c r="B979" s="7" t="s">
        <v>2371</v>
      </c>
      <c r="C979" s="7" t="s">
        <v>4855</v>
      </c>
      <c r="D979" s="7"/>
      <c r="E979" s="7"/>
      <c r="F979" s="7" t="s">
        <v>4856</v>
      </c>
      <c r="G979" s="7" t="s">
        <v>3431</v>
      </c>
      <c r="H979" s="7" t="s">
        <v>3437</v>
      </c>
      <c r="I979" s="7" t="s">
        <v>3425</v>
      </c>
      <c r="K979" s="7" t="str">
        <f t="shared" si="2"/>
        <v/>
      </c>
      <c r="L979" s="7" t="str">
        <f t="shared" si="3"/>
        <v/>
      </c>
      <c r="M979" s="7">
        <f t="shared" ref="M979:N979" si="991">IF(LEN(M$1),COUNTIF($G979:$I979,M$1),"")</f>
        <v>0</v>
      </c>
      <c r="N979" s="7" t="str">
        <f t="shared" si="991"/>
        <v/>
      </c>
      <c r="O979" s="7" t="str">
        <f t="shared" si="5"/>
        <v/>
      </c>
      <c r="P979" s="7">
        <f t="shared" si="990"/>
        <v>0</v>
      </c>
      <c r="Q979" s="7" t="str">
        <f t="shared" si="7"/>
        <v/>
      </c>
      <c r="T979" s="7"/>
    </row>
    <row r="980" ht="12.75" customHeight="1">
      <c r="A980" s="7">
        <v>979.0</v>
      </c>
      <c r="B980" s="7" t="s">
        <v>2371</v>
      </c>
      <c r="C980" s="7" t="s">
        <v>4855</v>
      </c>
      <c r="D980" s="7"/>
      <c r="E980" s="7"/>
      <c r="F980" s="7" t="s">
        <v>4857</v>
      </c>
      <c r="G980" s="7" t="s">
        <v>3957</v>
      </c>
      <c r="H980" s="7" t="s">
        <v>3961</v>
      </c>
      <c r="I980" s="7" t="s">
        <v>3965</v>
      </c>
      <c r="K980" s="7" t="str">
        <f t="shared" si="2"/>
        <v/>
      </c>
      <c r="L980" s="7" t="str">
        <f t="shared" si="3"/>
        <v/>
      </c>
      <c r="M980" s="7">
        <f t="shared" ref="M980:N980" si="992">IF(LEN(M$1),COUNTIF($G980:$I980,M$1),"")</f>
        <v>0</v>
      </c>
      <c r="N980" s="7" t="str">
        <f t="shared" si="992"/>
        <v/>
      </c>
      <c r="O980" s="7" t="str">
        <f t="shared" si="5"/>
        <v/>
      </c>
      <c r="P980" s="7">
        <f t="shared" si="990"/>
        <v>0</v>
      </c>
      <c r="Q980" s="7" t="str">
        <f t="shared" si="7"/>
        <v/>
      </c>
      <c r="T980" s="7"/>
    </row>
    <row r="981" ht="12.75" customHeight="1">
      <c r="A981" s="7">
        <v>980.0</v>
      </c>
      <c r="B981" s="7" t="s">
        <v>2371</v>
      </c>
      <c r="C981" s="7" t="s">
        <v>4855</v>
      </c>
      <c r="D981" s="7"/>
      <c r="E981" s="7"/>
      <c r="F981" s="7" t="s">
        <v>4857</v>
      </c>
      <c r="G981" s="7" t="s">
        <v>3965</v>
      </c>
      <c r="H981" s="7" t="s">
        <v>3957</v>
      </c>
      <c r="I981" s="7" t="s">
        <v>3961</v>
      </c>
      <c r="K981" s="7" t="str">
        <f t="shared" si="2"/>
        <v/>
      </c>
      <c r="L981" s="7" t="str">
        <f t="shared" si="3"/>
        <v/>
      </c>
      <c r="M981" s="7">
        <f t="shared" ref="M981:N981" si="993">IF(LEN(M$1),COUNTIF($G981:$I981,M$1),"")</f>
        <v>0</v>
      </c>
      <c r="N981" s="7" t="str">
        <f t="shared" si="993"/>
        <v/>
      </c>
      <c r="O981" s="7" t="str">
        <f t="shared" si="5"/>
        <v/>
      </c>
      <c r="P981" s="7">
        <f t="shared" si="990"/>
        <v>0</v>
      </c>
      <c r="Q981" s="7" t="str">
        <f t="shared" si="7"/>
        <v/>
      </c>
      <c r="T981" s="7"/>
    </row>
    <row r="982" ht="12.75" customHeight="1">
      <c r="A982" s="7">
        <v>981.0</v>
      </c>
      <c r="B982" s="7" t="s">
        <v>2371</v>
      </c>
      <c r="C982" s="7" t="s">
        <v>4855</v>
      </c>
      <c r="D982" s="7"/>
      <c r="E982" s="7"/>
      <c r="F982" s="7" t="s">
        <v>4857</v>
      </c>
      <c r="G982" s="7" t="s">
        <v>3961</v>
      </c>
      <c r="H982" s="7" t="s">
        <v>3965</v>
      </c>
      <c r="I982" s="7" t="s">
        <v>3957</v>
      </c>
      <c r="K982" s="7" t="str">
        <f t="shared" si="2"/>
        <v/>
      </c>
      <c r="L982" s="7" t="str">
        <f t="shared" si="3"/>
        <v/>
      </c>
      <c r="M982" s="7">
        <f t="shared" ref="M982:N982" si="994">IF(LEN(M$1),COUNTIF($G982:$I982,M$1),"")</f>
        <v>0</v>
      </c>
      <c r="N982" s="7" t="str">
        <f t="shared" si="994"/>
        <v/>
      </c>
      <c r="O982" s="7" t="str">
        <f t="shared" si="5"/>
        <v/>
      </c>
      <c r="P982" s="7">
        <f t="shared" si="990"/>
        <v>0</v>
      </c>
      <c r="Q982" s="7" t="str">
        <f t="shared" si="7"/>
        <v/>
      </c>
      <c r="T982" s="7"/>
    </row>
    <row r="983" ht="12.75" customHeight="1">
      <c r="A983" s="7">
        <v>982.0</v>
      </c>
      <c r="B983" s="7" t="s">
        <v>2411</v>
      </c>
      <c r="C983" s="7" t="s">
        <v>4858</v>
      </c>
      <c r="D983" s="7"/>
      <c r="E983" s="7"/>
      <c r="F983" s="7" t="s">
        <v>4859</v>
      </c>
      <c r="G983" s="7" t="s">
        <v>4440</v>
      </c>
      <c r="H983" s="7" t="s">
        <v>4443</v>
      </c>
      <c r="I983" s="7" t="s">
        <v>4444</v>
      </c>
      <c r="K983" s="7" t="str">
        <f t="shared" si="2"/>
        <v/>
      </c>
      <c r="L983" s="7" t="str">
        <f t="shared" si="3"/>
        <v/>
      </c>
      <c r="M983" s="7">
        <f t="shared" ref="M983:N983" si="995">IF(LEN(M$1),COUNTIF($G983:$I983,M$1),"")</f>
        <v>0</v>
      </c>
      <c r="N983" s="7" t="str">
        <f t="shared" si="995"/>
        <v/>
      </c>
      <c r="O983" s="7" t="str">
        <f t="shared" si="5"/>
        <v/>
      </c>
      <c r="P983" s="7">
        <f t="shared" si="990"/>
        <v>0</v>
      </c>
      <c r="Q983" s="7" t="str">
        <f t="shared" si="7"/>
        <v/>
      </c>
      <c r="T983" s="7"/>
    </row>
    <row r="984" ht="12.75" customHeight="1">
      <c r="A984" s="7">
        <v>983.0</v>
      </c>
      <c r="B984" s="7" t="s">
        <v>2411</v>
      </c>
      <c r="C984" s="7" t="s">
        <v>4858</v>
      </c>
      <c r="D984" s="7"/>
      <c r="E984" s="7"/>
      <c r="F984" s="7" t="s">
        <v>4859</v>
      </c>
      <c r="G984" s="7" t="s">
        <v>4445</v>
      </c>
      <c r="H984" s="7" t="s">
        <v>4447</v>
      </c>
      <c r="I984" s="7" t="s">
        <v>4448</v>
      </c>
      <c r="K984" s="7" t="str">
        <f t="shared" si="2"/>
        <v/>
      </c>
      <c r="L984" s="7" t="str">
        <f t="shared" si="3"/>
        <v/>
      </c>
      <c r="M984" s="7">
        <f t="shared" ref="M984:N984" si="996">IF(LEN(M$1),COUNTIF($G984:$I984,M$1),"")</f>
        <v>0</v>
      </c>
      <c r="N984" s="7" t="str">
        <f t="shared" si="996"/>
        <v/>
      </c>
      <c r="O984" s="7" t="str">
        <f t="shared" si="5"/>
        <v/>
      </c>
      <c r="P984" s="7">
        <f t="shared" si="990"/>
        <v>0</v>
      </c>
      <c r="Q984" s="7" t="str">
        <f t="shared" si="7"/>
        <v/>
      </c>
      <c r="T984" s="7"/>
    </row>
    <row r="985" ht="12.75" customHeight="1">
      <c r="A985" s="7">
        <v>984.0</v>
      </c>
      <c r="B985" s="7" t="s">
        <v>2411</v>
      </c>
      <c r="C985" s="7" t="s">
        <v>4858</v>
      </c>
      <c r="D985" s="7"/>
      <c r="E985" s="7"/>
      <c r="F985" s="7" t="s">
        <v>4859</v>
      </c>
      <c r="G985" s="7" t="s">
        <v>4449</v>
      </c>
      <c r="H985" s="7" t="s">
        <v>4450</v>
      </c>
      <c r="I985" s="7" t="s">
        <v>4451</v>
      </c>
      <c r="K985" s="7" t="str">
        <f t="shared" si="2"/>
        <v/>
      </c>
      <c r="L985" s="7" t="str">
        <f t="shared" si="3"/>
        <v/>
      </c>
      <c r="M985" s="7">
        <f t="shared" ref="M985:N985" si="997">IF(LEN(M$1),COUNTIF($G985:$I985,M$1),"")</f>
        <v>0</v>
      </c>
      <c r="N985" s="7" t="str">
        <f t="shared" si="997"/>
        <v/>
      </c>
      <c r="O985" s="7" t="str">
        <f t="shared" si="5"/>
        <v/>
      </c>
      <c r="P985" s="7">
        <f t="shared" si="990"/>
        <v>0</v>
      </c>
      <c r="Q985" s="7" t="str">
        <f t="shared" si="7"/>
        <v/>
      </c>
      <c r="T985" s="7"/>
    </row>
    <row r="986" ht="12.75" customHeight="1">
      <c r="A986" s="7">
        <v>985.0</v>
      </c>
      <c r="B986" s="7" t="s">
        <v>2419</v>
      </c>
      <c r="C986" s="7" t="s">
        <v>4858</v>
      </c>
      <c r="D986" s="7"/>
      <c r="E986" s="7"/>
      <c r="F986" s="7" t="s">
        <v>4860</v>
      </c>
      <c r="G986" s="7" t="s">
        <v>4466</v>
      </c>
      <c r="H986" s="7" t="s">
        <v>4468</v>
      </c>
      <c r="I986" s="7" t="s">
        <v>4470</v>
      </c>
      <c r="K986" s="7" t="str">
        <f t="shared" si="2"/>
        <v/>
      </c>
      <c r="L986" s="7" t="str">
        <f t="shared" si="3"/>
        <v/>
      </c>
      <c r="M986" s="7">
        <f t="shared" ref="M986:N986" si="998">IF(LEN(M$1),COUNTIF($G986:$I986,M$1),"")</f>
        <v>0</v>
      </c>
      <c r="N986" s="7" t="str">
        <f t="shared" si="998"/>
        <v/>
      </c>
      <c r="O986" s="7" t="str">
        <f t="shared" si="5"/>
        <v/>
      </c>
      <c r="P986" s="7">
        <f t="shared" si="990"/>
        <v>0</v>
      </c>
      <c r="Q986" s="7" t="str">
        <f t="shared" si="7"/>
        <v/>
      </c>
      <c r="T986" s="7"/>
    </row>
    <row r="987" ht="12.75" customHeight="1">
      <c r="A987" s="7">
        <v>986.0</v>
      </c>
      <c r="B987" s="7" t="s">
        <v>2419</v>
      </c>
      <c r="C987" s="7" t="s">
        <v>4858</v>
      </c>
      <c r="D987" s="7"/>
      <c r="E987" s="7"/>
      <c r="F987" s="7" t="s">
        <v>4860</v>
      </c>
      <c r="G987" s="7" t="s">
        <v>4471</v>
      </c>
      <c r="H987" s="7" t="s">
        <v>4473</v>
      </c>
      <c r="I987" s="7" t="s">
        <v>4474</v>
      </c>
      <c r="K987" s="7" t="str">
        <f t="shared" si="2"/>
        <v/>
      </c>
      <c r="L987" s="7" t="str">
        <f t="shared" si="3"/>
        <v/>
      </c>
      <c r="M987" s="7">
        <f t="shared" ref="M987:N987" si="999">IF(LEN(M$1),COUNTIF($G987:$I987,M$1),"")</f>
        <v>0</v>
      </c>
      <c r="N987" s="7" t="str">
        <f t="shared" si="999"/>
        <v/>
      </c>
      <c r="O987" s="7" t="str">
        <f t="shared" si="5"/>
        <v/>
      </c>
      <c r="P987" s="7">
        <f t="shared" si="990"/>
        <v>0</v>
      </c>
      <c r="Q987" s="7" t="str">
        <f t="shared" si="7"/>
        <v/>
      </c>
      <c r="T987" s="7"/>
    </row>
    <row r="988" ht="12.75" customHeight="1">
      <c r="A988" s="7">
        <v>987.0</v>
      </c>
      <c r="B988" s="7" t="s">
        <v>2419</v>
      </c>
      <c r="C988" s="7" t="s">
        <v>4858</v>
      </c>
      <c r="D988" s="7"/>
      <c r="E988" s="7"/>
      <c r="F988" s="7" t="s">
        <v>4860</v>
      </c>
      <c r="G988" s="7" t="s">
        <v>4475</v>
      </c>
      <c r="H988" s="7" t="s">
        <v>4476</v>
      </c>
      <c r="I988" s="7" t="s">
        <v>4478</v>
      </c>
      <c r="K988" s="7" t="str">
        <f t="shared" si="2"/>
        <v/>
      </c>
      <c r="L988" s="7" t="str">
        <f t="shared" si="3"/>
        <v/>
      </c>
      <c r="M988" s="7">
        <f t="shared" ref="M988:N988" si="1000">IF(LEN(M$1),COUNTIF($G988:$I988,M$1),"")</f>
        <v>0</v>
      </c>
      <c r="N988" s="7" t="str">
        <f t="shared" si="1000"/>
        <v/>
      </c>
      <c r="O988" s="7" t="str">
        <f t="shared" si="5"/>
        <v/>
      </c>
      <c r="P988" s="7">
        <f t="shared" si="990"/>
        <v>0</v>
      </c>
      <c r="Q988" s="7" t="str">
        <f t="shared" si="7"/>
        <v/>
      </c>
      <c r="T988" s="7"/>
    </row>
    <row r="989" ht="12.75" customHeight="1">
      <c r="A989" s="7">
        <v>988.0</v>
      </c>
      <c r="B989" s="7" t="s">
        <v>2435</v>
      </c>
      <c r="C989" s="7" t="s">
        <v>4858</v>
      </c>
      <c r="D989" s="7"/>
      <c r="E989" s="7"/>
      <c r="F989" s="7" t="s">
        <v>4861</v>
      </c>
      <c r="G989" s="7" t="s">
        <v>4493</v>
      </c>
      <c r="H989" s="7" t="s">
        <v>4495</v>
      </c>
      <c r="I989" s="7" t="s">
        <v>4496</v>
      </c>
      <c r="K989" s="7" t="str">
        <f t="shared" si="2"/>
        <v/>
      </c>
      <c r="L989" s="7" t="str">
        <f t="shared" si="3"/>
        <v/>
      </c>
      <c r="M989" s="7">
        <f t="shared" ref="M989:N989" si="1001">IF(LEN(M$1),COUNTIF($G989:$I989,M$1),"")</f>
        <v>0</v>
      </c>
      <c r="N989" s="7" t="str">
        <f t="shared" si="1001"/>
        <v/>
      </c>
      <c r="O989" s="7" t="str">
        <f t="shared" si="5"/>
        <v/>
      </c>
      <c r="P989" s="7">
        <f t="shared" si="990"/>
        <v>0</v>
      </c>
      <c r="Q989" s="7" t="str">
        <f t="shared" si="7"/>
        <v/>
      </c>
      <c r="T989" s="7"/>
    </row>
    <row r="990" ht="12.75" customHeight="1">
      <c r="A990" s="7">
        <v>989.0</v>
      </c>
      <c r="B990" s="7" t="s">
        <v>2435</v>
      </c>
      <c r="C990" s="7" t="s">
        <v>4858</v>
      </c>
      <c r="D990" s="7"/>
      <c r="E990" s="7"/>
      <c r="F990" s="7" t="s">
        <v>4861</v>
      </c>
      <c r="G990" s="7" t="s">
        <v>4497</v>
      </c>
      <c r="H990" s="7" t="s">
        <v>4498</v>
      </c>
      <c r="I990" s="7" t="s">
        <v>4499</v>
      </c>
      <c r="K990" s="7" t="str">
        <f t="shared" si="2"/>
        <v/>
      </c>
      <c r="L990" s="7" t="str">
        <f t="shared" si="3"/>
        <v/>
      </c>
      <c r="M990" s="7">
        <f t="shared" ref="M990:N990" si="1002">IF(LEN(M$1),COUNTIF($G990:$I990,M$1),"")</f>
        <v>0</v>
      </c>
      <c r="N990" s="7" t="str">
        <f t="shared" si="1002"/>
        <v/>
      </c>
      <c r="O990" s="7" t="str">
        <f t="shared" si="5"/>
        <v/>
      </c>
      <c r="P990" s="7">
        <f t="shared" si="990"/>
        <v>0</v>
      </c>
      <c r="Q990" s="7" t="str">
        <f t="shared" si="7"/>
        <v/>
      </c>
      <c r="T990" s="7"/>
    </row>
    <row r="991" ht="12.75" customHeight="1">
      <c r="A991" s="7">
        <v>990.0</v>
      </c>
      <c r="B991" s="7" t="s">
        <v>2435</v>
      </c>
      <c r="C991" s="7" t="s">
        <v>4858</v>
      </c>
      <c r="D991" s="7"/>
      <c r="E991" s="7"/>
      <c r="F991" s="7" t="s">
        <v>4861</v>
      </c>
      <c r="G991" s="7" t="s">
        <v>4500</v>
      </c>
      <c r="H991" s="7" t="s">
        <v>4501</v>
      </c>
      <c r="I991" s="7" t="s">
        <v>4502</v>
      </c>
      <c r="K991" s="7" t="str">
        <f t="shared" si="2"/>
        <v/>
      </c>
      <c r="L991" s="7" t="str">
        <f t="shared" si="3"/>
        <v/>
      </c>
      <c r="M991" s="7">
        <f t="shared" ref="M991:N991" si="1003">IF(LEN(M$1),COUNTIF($G991:$I991,M$1),"")</f>
        <v>0</v>
      </c>
      <c r="N991" s="7" t="str">
        <f t="shared" si="1003"/>
        <v/>
      </c>
      <c r="O991" s="7" t="str">
        <f t="shared" si="5"/>
        <v/>
      </c>
      <c r="P991" s="7">
        <f t="shared" si="990"/>
        <v>0</v>
      </c>
      <c r="Q991" s="7" t="str">
        <f t="shared" si="7"/>
        <v/>
      </c>
      <c r="T991" s="7"/>
    </row>
    <row r="992" ht="12.75" customHeight="1">
      <c r="A992" s="7">
        <v>991.0</v>
      </c>
      <c r="B992" s="7" t="s">
        <v>2426</v>
      </c>
      <c r="C992" s="7" t="s">
        <v>4858</v>
      </c>
      <c r="D992" s="7"/>
      <c r="E992" s="7"/>
      <c r="F992" s="7" t="s">
        <v>4862</v>
      </c>
      <c r="G992" s="7" t="s">
        <v>4517</v>
      </c>
      <c r="H992" s="7" t="s">
        <v>4519</v>
      </c>
      <c r="I992" s="7" t="s">
        <v>4520</v>
      </c>
      <c r="K992" s="7" t="str">
        <f t="shared" si="2"/>
        <v/>
      </c>
      <c r="L992" s="7" t="str">
        <f t="shared" si="3"/>
        <v/>
      </c>
      <c r="M992" s="7">
        <f t="shared" ref="M992:N992" si="1004">IF(LEN(M$1),COUNTIF($G992:$I992,M$1),"")</f>
        <v>0</v>
      </c>
      <c r="N992" s="7" t="str">
        <f t="shared" si="1004"/>
        <v/>
      </c>
      <c r="O992" s="7" t="str">
        <f t="shared" si="5"/>
        <v/>
      </c>
      <c r="P992" s="7">
        <f t="shared" si="990"/>
        <v>0</v>
      </c>
      <c r="Q992" s="7" t="str">
        <f t="shared" si="7"/>
        <v/>
      </c>
      <c r="T992" s="7"/>
    </row>
    <row r="993" ht="12.75" customHeight="1">
      <c r="A993" s="7">
        <v>992.0</v>
      </c>
      <c r="B993" s="7" t="s">
        <v>2426</v>
      </c>
      <c r="C993" s="7" t="s">
        <v>4858</v>
      </c>
      <c r="D993" s="7"/>
      <c r="E993" s="7"/>
      <c r="F993" s="7" t="s">
        <v>4862</v>
      </c>
      <c r="G993" s="7" t="s">
        <v>4522</v>
      </c>
      <c r="H993" s="7" t="s">
        <v>4523</v>
      </c>
      <c r="I993" s="7" t="s">
        <v>4524</v>
      </c>
      <c r="K993" s="7" t="str">
        <f t="shared" si="2"/>
        <v/>
      </c>
      <c r="L993" s="7" t="str">
        <f t="shared" si="3"/>
        <v/>
      </c>
      <c r="M993" s="7">
        <f t="shared" ref="M993:N993" si="1005">IF(LEN(M$1),COUNTIF($G993:$I993,M$1),"")</f>
        <v>0</v>
      </c>
      <c r="N993" s="7" t="str">
        <f t="shared" si="1005"/>
        <v/>
      </c>
      <c r="O993" s="7" t="str">
        <f t="shared" si="5"/>
        <v/>
      </c>
      <c r="P993" s="7">
        <f t="shared" si="990"/>
        <v>0</v>
      </c>
      <c r="Q993" s="7" t="str">
        <f t="shared" si="7"/>
        <v/>
      </c>
      <c r="T993" s="7"/>
    </row>
    <row r="994" ht="12.75" customHeight="1">
      <c r="A994" s="7">
        <v>993.0</v>
      </c>
      <c r="B994" s="7" t="s">
        <v>2426</v>
      </c>
      <c r="C994" s="7" t="s">
        <v>4858</v>
      </c>
      <c r="D994" s="7"/>
      <c r="E994" s="7"/>
      <c r="F994" s="7" t="s">
        <v>4862</v>
      </c>
      <c r="G994" s="7" t="s">
        <v>4525</v>
      </c>
      <c r="H994" s="7" t="s">
        <v>4526</v>
      </c>
      <c r="I994" s="7" t="s">
        <v>4527</v>
      </c>
      <c r="K994" s="7" t="str">
        <f t="shared" si="2"/>
        <v/>
      </c>
      <c r="L994" s="7" t="str">
        <f t="shared" si="3"/>
        <v/>
      </c>
      <c r="M994" s="7">
        <f t="shared" ref="M994:N994" si="1006">IF(LEN(M$1),COUNTIF($G994:$I994,M$1),"")</f>
        <v>0</v>
      </c>
      <c r="N994" s="7" t="str">
        <f t="shared" si="1006"/>
        <v/>
      </c>
      <c r="O994" s="7" t="str">
        <f t="shared" si="5"/>
        <v/>
      </c>
      <c r="P994" s="7">
        <f t="shared" si="990"/>
        <v>0</v>
      </c>
      <c r="Q994" s="7" t="str">
        <f t="shared" si="7"/>
        <v/>
      </c>
      <c r="T994" s="7"/>
    </row>
    <row r="995" ht="12.75" customHeight="1">
      <c r="A995" s="7">
        <v>994.0</v>
      </c>
      <c r="B995" s="7" t="s">
        <v>2442</v>
      </c>
      <c r="C995" s="7" t="s">
        <v>4858</v>
      </c>
      <c r="D995" s="7"/>
      <c r="E995" s="7"/>
      <c r="F995" s="7" t="s">
        <v>4863</v>
      </c>
      <c r="G995" s="7" t="s">
        <v>4542</v>
      </c>
      <c r="H995" s="7" t="s">
        <v>4544</v>
      </c>
      <c r="I995" s="7" t="s">
        <v>4546</v>
      </c>
      <c r="K995" s="7" t="str">
        <f t="shared" si="2"/>
        <v/>
      </c>
      <c r="L995" s="7" t="str">
        <f t="shared" si="3"/>
        <v/>
      </c>
      <c r="M995" s="7">
        <f t="shared" ref="M995:N995" si="1007">IF(LEN(M$1),COUNTIF($G995:$I995,M$1),"")</f>
        <v>0</v>
      </c>
      <c r="N995" s="7" t="str">
        <f t="shared" si="1007"/>
        <v/>
      </c>
      <c r="O995" s="7" t="str">
        <f t="shared" si="5"/>
        <v/>
      </c>
      <c r="P995" s="7">
        <f t="shared" si="990"/>
        <v>0</v>
      </c>
      <c r="Q995" s="7" t="str">
        <f t="shared" si="7"/>
        <v/>
      </c>
      <c r="T995" s="7"/>
    </row>
    <row r="996" ht="12.75" customHeight="1">
      <c r="A996" s="7">
        <v>995.0</v>
      </c>
      <c r="B996" s="7" t="s">
        <v>2442</v>
      </c>
      <c r="C996" s="7" t="s">
        <v>4858</v>
      </c>
      <c r="D996" s="7"/>
      <c r="E996" s="7"/>
      <c r="F996" s="7" t="s">
        <v>4863</v>
      </c>
      <c r="G996" s="7" t="s">
        <v>4547</v>
      </c>
      <c r="H996" s="7" t="s">
        <v>4548</v>
      </c>
      <c r="I996" s="7" t="s">
        <v>4549</v>
      </c>
      <c r="K996" s="7" t="str">
        <f t="shared" si="2"/>
        <v/>
      </c>
      <c r="L996" s="7" t="str">
        <f t="shared" si="3"/>
        <v/>
      </c>
      <c r="M996" s="7">
        <f t="shared" ref="M996:N996" si="1008">IF(LEN(M$1),COUNTIF($G996:$I996,M$1),"")</f>
        <v>0</v>
      </c>
      <c r="N996" s="7" t="str">
        <f t="shared" si="1008"/>
        <v/>
      </c>
      <c r="O996" s="7" t="str">
        <f t="shared" si="5"/>
        <v/>
      </c>
      <c r="P996" s="7">
        <f t="shared" si="990"/>
        <v>0</v>
      </c>
      <c r="Q996" s="7" t="str">
        <f t="shared" si="7"/>
        <v/>
      </c>
      <c r="T996" s="7"/>
    </row>
    <row r="997" ht="12.75" customHeight="1">
      <c r="A997" s="7">
        <v>996.0</v>
      </c>
      <c r="B997" s="7" t="s">
        <v>2442</v>
      </c>
      <c r="C997" s="7" t="s">
        <v>4858</v>
      </c>
      <c r="D997" s="7"/>
      <c r="E997" s="7"/>
      <c r="F997" s="7" t="s">
        <v>4863</v>
      </c>
      <c r="G997" s="7" t="s">
        <v>4550</v>
      </c>
      <c r="H997" s="7" t="s">
        <v>4551</v>
      </c>
      <c r="I997" s="7" t="s">
        <v>4554</v>
      </c>
      <c r="K997" s="7" t="str">
        <f t="shared" si="2"/>
        <v/>
      </c>
      <c r="L997" s="7" t="str">
        <f t="shared" si="3"/>
        <v/>
      </c>
      <c r="M997" s="7">
        <f t="shared" ref="M997:N997" si="1009">IF(LEN(M$1),COUNTIF($G997:$I997,M$1),"")</f>
        <v>0</v>
      </c>
      <c r="N997" s="7" t="str">
        <f t="shared" si="1009"/>
        <v/>
      </c>
      <c r="O997" s="7" t="str">
        <f t="shared" si="5"/>
        <v/>
      </c>
      <c r="P997" s="7">
        <f t="shared" si="990"/>
        <v>0</v>
      </c>
      <c r="Q997" s="7" t="str">
        <f t="shared" si="7"/>
        <v/>
      </c>
      <c r="T997" s="7"/>
    </row>
    <row r="998" ht="12.75" customHeight="1">
      <c r="A998" s="7">
        <v>997.0</v>
      </c>
      <c r="B998" s="7" t="s">
        <v>2457</v>
      </c>
      <c r="C998" s="7" t="s">
        <v>4858</v>
      </c>
      <c r="D998" s="7"/>
      <c r="E998" s="7"/>
      <c r="F998" s="7" t="s">
        <v>4864</v>
      </c>
      <c r="G998" s="7" t="s">
        <v>4569</v>
      </c>
      <c r="H998" s="7" t="s">
        <v>4571</v>
      </c>
      <c r="I998" s="7" t="s">
        <v>4572</v>
      </c>
      <c r="K998" s="7" t="str">
        <f t="shared" si="2"/>
        <v/>
      </c>
      <c r="L998" s="7" t="str">
        <f t="shared" si="3"/>
        <v/>
      </c>
      <c r="M998" s="7">
        <f t="shared" ref="M998:N998" si="1010">IF(LEN(M$1),COUNTIF($G998:$I998,M$1),"")</f>
        <v>0</v>
      </c>
      <c r="N998" s="7" t="str">
        <f t="shared" si="1010"/>
        <v/>
      </c>
      <c r="O998" s="7" t="str">
        <f t="shared" si="5"/>
        <v/>
      </c>
      <c r="P998" s="7">
        <f t="shared" si="990"/>
        <v>0</v>
      </c>
      <c r="Q998" s="7" t="str">
        <f t="shared" si="7"/>
        <v/>
      </c>
      <c r="T998" s="7"/>
    </row>
    <row r="999" ht="12.75" customHeight="1">
      <c r="A999" s="7">
        <v>998.0</v>
      </c>
      <c r="B999" s="7" t="s">
        <v>2457</v>
      </c>
      <c r="C999" s="7" t="s">
        <v>4858</v>
      </c>
      <c r="D999" s="7"/>
      <c r="E999" s="7"/>
      <c r="F999" s="7" t="s">
        <v>4864</v>
      </c>
      <c r="G999" s="7" t="s">
        <v>4573</v>
      </c>
      <c r="H999" s="7" t="s">
        <v>4574</v>
      </c>
      <c r="I999" s="7" t="s">
        <v>4575</v>
      </c>
      <c r="K999" s="7" t="str">
        <f t="shared" si="2"/>
        <v/>
      </c>
      <c r="L999" s="7" t="str">
        <f t="shared" si="3"/>
        <v/>
      </c>
      <c r="M999" s="7">
        <f t="shared" ref="M999:N999" si="1011">IF(LEN(M$1),COUNTIF($G999:$I999,M$1),"")</f>
        <v>0</v>
      </c>
      <c r="N999" s="7" t="str">
        <f t="shared" si="1011"/>
        <v/>
      </c>
      <c r="O999" s="7" t="str">
        <f t="shared" si="5"/>
        <v/>
      </c>
      <c r="P999" s="7">
        <f t="shared" si="990"/>
        <v>0</v>
      </c>
      <c r="Q999" s="7" t="str">
        <f t="shared" si="7"/>
        <v/>
      </c>
      <c r="T999" s="7"/>
    </row>
    <row r="1000" ht="12.75" customHeight="1">
      <c r="A1000" s="7">
        <v>999.0</v>
      </c>
      <c r="B1000" s="7" t="s">
        <v>2457</v>
      </c>
      <c r="C1000" s="7" t="s">
        <v>4858</v>
      </c>
      <c r="D1000" s="7"/>
      <c r="E1000" s="7"/>
      <c r="F1000" s="7" t="s">
        <v>4864</v>
      </c>
      <c r="G1000" s="7" t="s">
        <v>4576</v>
      </c>
      <c r="H1000" s="7" t="s">
        <v>4577</v>
      </c>
      <c r="I1000" s="7" t="s">
        <v>4578</v>
      </c>
      <c r="K1000" s="7" t="str">
        <f t="shared" si="2"/>
        <v/>
      </c>
      <c r="L1000" s="7" t="str">
        <f t="shared" si="3"/>
        <v/>
      </c>
      <c r="M1000" s="7">
        <f t="shared" ref="M1000:N1000" si="1012">IF(LEN(M$1),COUNTIF($G1000:$I1000,M$1),"")</f>
        <v>0</v>
      </c>
      <c r="N1000" s="7" t="str">
        <f t="shared" si="1012"/>
        <v/>
      </c>
      <c r="O1000" s="7" t="str">
        <f t="shared" si="5"/>
        <v/>
      </c>
      <c r="P1000" s="7">
        <f t="shared" si="990"/>
        <v>0</v>
      </c>
      <c r="Q1000" s="7" t="str">
        <f t="shared" si="7"/>
        <v/>
      </c>
      <c r="T1000" s="7"/>
    </row>
    <row r="1001" ht="12.75" customHeight="1">
      <c r="A1001" s="7">
        <v>1000.0</v>
      </c>
      <c r="B1001" s="7" t="s">
        <v>2450</v>
      </c>
      <c r="C1001" s="7" t="s">
        <v>4858</v>
      </c>
      <c r="D1001" s="7"/>
      <c r="E1001" s="7"/>
      <c r="F1001" s="7" t="s">
        <v>4865</v>
      </c>
      <c r="G1001" s="7" t="s">
        <v>4593</v>
      </c>
      <c r="H1001" s="7" t="s">
        <v>4595</v>
      </c>
      <c r="I1001" s="7" t="s">
        <v>4596</v>
      </c>
      <c r="K1001" s="7" t="str">
        <f t="shared" si="2"/>
        <v/>
      </c>
      <c r="L1001" s="7" t="str">
        <f t="shared" si="3"/>
        <v/>
      </c>
      <c r="M1001" s="7">
        <f t="shared" ref="M1001:N1001" si="1013">IF(LEN(M$1),COUNTIF($G1001:$I1001,M$1),"")</f>
        <v>0</v>
      </c>
      <c r="N1001" s="7" t="str">
        <f t="shared" si="1013"/>
        <v/>
      </c>
      <c r="O1001" s="7" t="str">
        <f t="shared" si="5"/>
        <v/>
      </c>
      <c r="P1001" s="7">
        <f t="shared" si="990"/>
        <v>0</v>
      </c>
      <c r="Q1001" s="7" t="str">
        <f t="shared" si="7"/>
        <v/>
      </c>
      <c r="T1001" s="7"/>
    </row>
    <row r="1002" ht="12.75" customHeight="1">
      <c r="A1002" s="7">
        <v>1001.0</v>
      </c>
      <c r="B1002" s="7" t="s">
        <v>2450</v>
      </c>
      <c r="C1002" s="7" t="s">
        <v>4858</v>
      </c>
      <c r="D1002" s="7"/>
      <c r="E1002" s="7"/>
      <c r="F1002" s="7" t="s">
        <v>4865</v>
      </c>
      <c r="G1002" s="7" t="s">
        <v>4597</v>
      </c>
      <c r="H1002" s="7" t="s">
        <v>4598</v>
      </c>
      <c r="I1002" s="7" t="s">
        <v>4599</v>
      </c>
      <c r="K1002" s="7" t="str">
        <f t="shared" si="2"/>
        <v/>
      </c>
      <c r="L1002" s="7" t="str">
        <f t="shared" si="3"/>
        <v/>
      </c>
      <c r="M1002" s="7">
        <f t="shared" ref="M1002:N1002" si="1014">IF(LEN(M$1),COUNTIF($G1002:$I1002,M$1),"")</f>
        <v>0</v>
      </c>
      <c r="N1002" s="7" t="str">
        <f t="shared" si="1014"/>
        <v/>
      </c>
      <c r="O1002" s="7" t="str">
        <f t="shared" si="5"/>
        <v/>
      </c>
      <c r="P1002" s="7">
        <f t="shared" si="990"/>
        <v>0</v>
      </c>
      <c r="Q1002" s="7" t="str">
        <f t="shared" si="7"/>
        <v/>
      </c>
      <c r="T1002" s="7"/>
    </row>
    <row r="1003" ht="12.75" customHeight="1">
      <c r="A1003" s="7">
        <v>1002.0</v>
      </c>
      <c r="B1003" s="7" t="s">
        <v>2450</v>
      </c>
      <c r="C1003" s="7" t="s">
        <v>4858</v>
      </c>
      <c r="D1003" s="7"/>
      <c r="E1003" s="7"/>
      <c r="F1003" s="7" t="s">
        <v>4865</v>
      </c>
      <c r="G1003" s="7" t="s">
        <v>4600</v>
      </c>
      <c r="H1003" s="7" t="s">
        <v>4601</v>
      </c>
      <c r="I1003" s="7" t="s">
        <v>4602</v>
      </c>
      <c r="K1003" s="7" t="str">
        <f t="shared" si="2"/>
        <v/>
      </c>
      <c r="L1003" s="7" t="str">
        <f t="shared" si="3"/>
        <v/>
      </c>
      <c r="M1003" s="7">
        <f t="shared" ref="M1003:N1003" si="1015">IF(LEN(M$1),COUNTIF($G1003:$I1003,M$1),"")</f>
        <v>0</v>
      </c>
      <c r="N1003" s="7" t="str">
        <f t="shared" si="1015"/>
        <v/>
      </c>
      <c r="O1003" s="7" t="str">
        <f t="shared" si="5"/>
        <v/>
      </c>
      <c r="P1003" s="7">
        <f t="shared" si="990"/>
        <v>0</v>
      </c>
      <c r="Q1003" s="7" t="str">
        <f t="shared" si="7"/>
        <v/>
      </c>
      <c r="T1003" s="7"/>
    </row>
    <row r="1004" ht="12.75" customHeight="1">
      <c r="A1004" s="7">
        <v>1003.0</v>
      </c>
      <c r="B1004" s="7" t="s">
        <v>2466</v>
      </c>
      <c r="C1004" s="7" t="s">
        <v>4858</v>
      </c>
      <c r="D1004" s="7"/>
      <c r="E1004" s="7"/>
      <c r="F1004" s="7" t="s">
        <v>4866</v>
      </c>
      <c r="G1004" s="7" t="s">
        <v>4618</v>
      </c>
      <c r="H1004" s="7" t="s">
        <v>4620</v>
      </c>
      <c r="I1004" s="7" t="s">
        <v>4621</v>
      </c>
      <c r="K1004" s="7" t="str">
        <f t="shared" si="2"/>
        <v/>
      </c>
      <c r="L1004" s="7" t="str">
        <f t="shared" si="3"/>
        <v/>
      </c>
      <c r="M1004" s="7">
        <f t="shared" ref="M1004:N1004" si="1016">IF(LEN(M$1),COUNTIF($G1004:$I1004,M$1),"")</f>
        <v>0</v>
      </c>
      <c r="N1004" s="7" t="str">
        <f t="shared" si="1016"/>
        <v/>
      </c>
      <c r="O1004" s="7" t="str">
        <f t="shared" si="5"/>
        <v/>
      </c>
      <c r="P1004" s="7">
        <f t="shared" si="990"/>
        <v>0</v>
      </c>
      <c r="Q1004" s="7" t="str">
        <f t="shared" si="7"/>
        <v/>
      </c>
      <c r="T1004" s="7"/>
    </row>
    <row r="1005" ht="12.75" customHeight="1">
      <c r="A1005" s="7">
        <v>1004.0</v>
      </c>
      <c r="B1005" s="7" t="s">
        <v>2466</v>
      </c>
      <c r="C1005" s="7" t="s">
        <v>4858</v>
      </c>
      <c r="D1005" s="7"/>
      <c r="E1005" s="7"/>
      <c r="F1005" s="7" t="s">
        <v>4866</v>
      </c>
      <c r="G1005" s="7" t="s">
        <v>4622</v>
      </c>
      <c r="H1005" s="7" t="s">
        <v>4623</v>
      </c>
      <c r="I1005" s="7" t="s">
        <v>4624</v>
      </c>
      <c r="K1005" s="7" t="str">
        <f t="shared" si="2"/>
        <v/>
      </c>
      <c r="L1005" s="7" t="str">
        <f t="shared" si="3"/>
        <v/>
      </c>
      <c r="M1005" s="7">
        <f t="shared" ref="M1005:N1005" si="1017">IF(LEN(M$1),COUNTIF($G1005:$I1005,M$1),"")</f>
        <v>0</v>
      </c>
      <c r="N1005" s="7" t="str">
        <f t="shared" si="1017"/>
        <v/>
      </c>
      <c r="O1005" s="7" t="str">
        <f t="shared" si="5"/>
        <v/>
      </c>
      <c r="P1005" s="7">
        <f t="shared" si="990"/>
        <v>0</v>
      </c>
      <c r="Q1005" s="7" t="str">
        <f t="shared" si="7"/>
        <v/>
      </c>
      <c r="T1005" s="7"/>
    </row>
    <row r="1006" ht="12.75" customHeight="1">
      <c r="A1006" s="7">
        <v>1005.0</v>
      </c>
      <c r="B1006" s="7" t="s">
        <v>2466</v>
      </c>
      <c r="C1006" s="7" t="s">
        <v>4858</v>
      </c>
      <c r="D1006" s="7"/>
      <c r="E1006" s="7"/>
      <c r="F1006" s="7" t="s">
        <v>4866</v>
      </c>
      <c r="G1006" s="7" t="s">
        <v>4625</v>
      </c>
      <c r="H1006" s="7" t="s">
        <v>4626</v>
      </c>
      <c r="I1006" s="7" t="s">
        <v>4628</v>
      </c>
      <c r="K1006" s="7" t="str">
        <f t="shared" si="2"/>
        <v/>
      </c>
      <c r="L1006" s="7" t="str">
        <f t="shared" si="3"/>
        <v/>
      </c>
      <c r="M1006" s="7">
        <f t="shared" ref="M1006:N1006" si="1018">IF(LEN(M$1),COUNTIF($G1006:$I1006,M$1),"")</f>
        <v>0</v>
      </c>
      <c r="N1006" s="7" t="str">
        <f t="shared" si="1018"/>
        <v/>
      </c>
      <c r="O1006" s="7" t="str">
        <f t="shared" si="5"/>
        <v/>
      </c>
      <c r="P1006" s="7">
        <f t="shared" si="990"/>
        <v>0</v>
      </c>
      <c r="Q1006" s="7" t="str">
        <f t="shared" si="7"/>
        <v/>
      </c>
      <c r="T1006" s="7"/>
    </row>
    <row r="1007" ht="12.75" customHeight="1">
      <c r="A1007" s="7">
        <v>1006.0</v>
      </c>
      <c r="B1007" s="7" t="s">
        <v>2503</v>
      </c>
      <c r="C1007" s="7" t="s">
        <v>4867</v>
      </c>
      <c r="D1007" s="7"/>
      <c r="E1007" s="7"/>
      <c r="F1007" s="7" t="s">
        <v>4868</v>
      </c>
      <c r="G1007" s="7" t="s">
        <v>4644</v>
      </c>
      <c r="H1007" s="7" t="s">
        <v>4646</v>
      </c>
      <c r="I1007" s="7" t="s">
        <v>4647</v>
      </c>
      <c r="K1007" s="7" t="str">
        <f t="shared" si="2"/>
        <v/>
      </c>
      <c r="L1007" s="7" t="str">
        <f t="shared" si="3"/>
        <v/>
      </c>
      <c r="M1007" s="7">
        <f t="shared" ref="M1007:N1007" si="1019">IF(LEN(M$1),COUNTIF($G1007:$I1007,M$1),"")</f>
        <v>0</v>
      </c>
      <c r="N1007" s="7" t="str">
        <f t="shared" si="1019"/>
        <v/>
      </c>
      <c r="O1007" s="7" t="str">
        <f t="shared" si="5"/>
        <v/>
      </c>
      <c r="P1007" s="7">
        <f t="shared" si="990"/>
        <v>0</v>
      </c>
      <c r="Q1007" s="7" t="str">
        <f t="shared" si="7"/>
        <v/>
      </c>
      <c r="T1007" s="7"/>
    </row>
    <row r="1008" ht="12.75" customHeight="1">
      <c r="A1008" s="7">
        <v>1007.0</v>
      </c>
      <c r="B1008" s="7" t="s">
        <v>2503</v>
      </c>
      <c r="C1008" s="7" t="s">
        <v>4867</v>
      </c>
      <c r="D1008" s="7"/>
      <c r="E1008" s="7"/>
      <c r="F1008" s="7" t="s">
        <v>4868</v>
      </c>
      <c r="G1008" s="7" t="s">
        <v>4648</v>
      </c>
      <c r="H1008" s="7" t="s">
        <v>4649</v>
      </c>
      <c r="I1008" s="7" t="s">
        <v>4650</v>
      </c>
      <c r="K1008" s="7" t="str">
        <f t="shared" si="2"/>
        <v/>
      </c>
      <c r="L1008" s="7" t="str">
        <f t="shared" si="3"/>
        <v/>
      </c>
      <c r="M1008" s="7">
        <f t="shared" ref="M1008:N1008" si="1020">IF(LEN(M$1),COUNTIF($G1008:$I1008,M$1),"")</f>
        <v>0</v>
      </c>
      <c r="N1008" s="7" t="str">
        <f t="shared" si="1020"/>
        <v/>
      </c>
      <c r="O1008" s="7" t="str">
        <f t="shared" si="5"/>
        <v/>
      </c>
      <c r="P1008" s="7">
        <f t="shared" si="990"/>
        <v>0</v>
      </c>
      <c r="Q1008" s="7" t="str">
        <f t="shared" si="7"/>
        <v/>
      </c>
      <c r="T1008" s="7"/>
    </row>
    <row r="1009" ht="12.75" customHeight="1">
      <c r="A1009" s="7">
        <v>1008.0</v>
      </c>
      <c r="B1009" s="7" t="s">
        <v>2503</v>
      </c>
      <c r="C1009" s="7" t="s">
        <v>4867</v>
      </c>
      <c r="D1009" s="7"/>
      <c r="E1009" s="7"/>
      <c r="F1009" s="7" t="s">
        <v>4868</v>
      </c>
      <c r="G1009" s="7" t="s">
        <v>4651</v>
      </c>
      <c r="H1009" s="7" t="s">
        <v>4652</v>
      </c>
      <c r="I1009" s="7" t="s">
        <v>4653</v>
      </c>
      <c r="K1009" s="7" t="str">
        <f t="shared" si="2"/>
        <v/>
      </c>
      <c r="L1009" s="7" t="str">
        <f t="shared" si="3"/>
        <v/>
      </c>
      <c r="M1009" s="7">
        <f t="shared" ref="M1009:N1009" si="1021">IF(LEN(M$1),COUNTIF($G1009:$I1009,M$1),"")</f>
        <v>0</v>
      </c>
      <c r="N1009" s="7" t="str">
        <f t="shared" si="1021"/>
        <v/>
      </c>
      <c r="O1009" s="7" t="str">
        <f t="shared" si="5"/>
        <v/>
      </c>
      <c r="P1009" s="7">
        <f t="shared" si="990"/>
        <v>0</v>
      </c>
      <c r="Q1009" s="7" t="str">
        <f t="shared" si="7"/>
        <v/>
      </c>
      <c r="T1009" s="7"/>
    </row>
    <row r="1010" ht="12.75" customHeight="1">
      <c r="A1010" s="7">
        <v>1009.0</v>
      </c>
      <c r="B1010" s="7" t="s">
        <v>2371</v>
      </c>
      <c r="C1010" s="7" t="s">
        <v>4855</v>
      </c>
      <c r="D1010" s="7"/>
      <c r="E1010" s="7"/>
      <c r="F1010" s="7" t="s">
        <v>4869</v>
      </c>
      <c r="G1010" s="7" t="s">
        <v>4668</v>
      </c>
      <c r="H1010" s="7" t="s">
        <v>4670</v>
      </c>
      <c r="I1010" s="7" t="s">
        <v>4671</v>
      </c>
      <c r="K1010" s="7" t="str">
        <f t="shared" si="2"/>
        <v/>
      </c>
      <c r="L1010" s="7" t="str">
        <f t="shared" si="3"/>
        <v/>
      </c>
      <c r="M1010" s="7">
        <f t="shared" ref="M1010:N1010" si="1022">IF(LEN(M$1),COUNTIF($G1010:$I1010,M$1),"")</f>
        <v>0</v>
      </c>
      <c r="N1010" s="7" t="str">
        <f t="shared" si="1022"/>
        <v/>
      </c>
      <c r="O1010" s="7" t="str">
        <f t="shared" si="5"/>
        <v/>
      </c>
      <c r="P1010" s="7">
        <f t="shared" si="990"/>
        <v>0</v>
      </c>
      <c r="Q1010" s="7" t="str">
        <f t="shared" si="7"/>
        <v/>
      </c>
      <c r="T1010" s="7"/>
    </row>
    <row r="1011" ht="12.75" customHeight="1">
      <c r="A1011" s="7">
        <v>1010.0</v>
      </c>
      <c r="B1011" s="7" t="s">
        <v>2371</v>
      </c>
      <c r="C1011" s="7" t="s">
        <v>4855</v>
      </c>
      <c r="D1011" s="7"/>
      <c r="E1011" s="7"/>
      <c r="F1011" s="7" t="s">
        <v>4869</v>
      </c>
      <c r="G1011" s="7" t="s">
        <v>4672</v>
      </c>
      <c r="H1011" s="7" t="s">
        <v>4673</v>
      </c>
      <c r="I1011" s="7" t="s">
        <v>4674</v>
      </c>
      <c r="K1011" s="7" t="str">
        <f t="shared" si="2"/>
        <v/>
      </c>
      <c r="L1011" s="7" t="str">
        <f t="shared" si="3"/>
        <v/>
      </c>
      <c r="M1011" s="7">
        <f t="shared" ref="M1011:N1011" si="1023">IF(LEN(M$1),COUNTIF($G1011:$I1011,M$1),"")</f>
        <v>0</v>
      </c>
      <c r="N1011" s="7" t="str">
        <f t="shared" si="1023"/>
        <v/>
      </c>
      <c r="O1011" s="7" t="str">
        <f t="shared" si="5"/>
        <v/>
      </c>
      <c r="P1011" s="7">
        <f t="shared" si="990"/>
        <v>0</v>
      </c>
      <c r="Q1011" s="7" t="str">
        <f t="shared" si="7"/>
        <v/>
      </c>
      <c r="T1011" s="7"/>
    </row>
    <row r="1012" ht="12.75" customHeight="1">
      <c r="A1012" s="7">
        <v>1011.0</v>
      </c>
      <c r="B1012" s="7" t="s">
        <v>2371</v>
      </c>
      <c r="C1012" s="7" t="s">
        <v>4855</v>
      </c>
      <c r="D1012" s="7"/>
      <c r="E1012" s="7"/>
      <c r="F1012" s="7" t="s">
        <v>4869</v>
      </c>
      <c r="G1012" s="7" t="s">
        <v>4675</v>
      </c>
      <c r="H1012" s="7" t="s">
        <v>4676</v>
      </c>
      <c r="I1012" s="7" t="s">
        <v>4677</v>
      </c>
      <c r="K1012" s="7" t="str">
        <f t="shared" si="2"/>
        <v/>
      </c>
      <c r="L1012" s="7" t="str">
        <f t="shared" si="3"/>
        <v/>
      </c>
      <c r="M1012" s="7">
        <f t="shared" ref="M1012:N1012" si="1024">IF(LEN(M$1),COUNTIF($G1012:$I1012,M$1),"")</f>
        <v>0</v>
      </c>
      <c r="N1012" s="7" t="str">
        <f t="shared" si="1024"/>
        <v/>
      </c>
      <c r="O1012" s="7" t="str">
        <f t="shared" si="5"/>
        <v/>
      </c>
      <c r="P1012" s="7">
        <f t="shared" si="990"/>
        <v>0</v>
      </c>
      <c r="Q1012" s="7" t="str">
        <f t="shared" si="7"/>
        <v/>
      </c>
      <c r="T1012" s="7"/>
    </row>
    <row r="1013" ht="12.75" customHeight="1">
      <c r="A1013" s="7">
        <v>1012.0</v>
      </c>
      <c r="B1013" s="7" t="s">
        <v>42</v>
      </c>
      <c r="C1013" s="7" t="s">
        <v>4701</v>
      </c>
      <c r="D1013" s="7"/>
      <c r="E1013" s="7"/>
      <c r="F1013" s="7" t="s">
        <v>4870</v>
      </c>
      <c r="G1013" s="7" t="s">
        <v>2616</v>
      </c>
      <c r="H1013" s="7" t="s">
        <v>2905</v>
      </c>
      <c r="I1013" s="7" t="s">
        <v>3106</v>
      </c>
      <c r="J1013" s="7" t="s">
        <v>3054</v>
      </c>
      <c r="K1013" s="7" t="str">
        <f t="shared" si="2"/>
        <v/>
      </c>
      <c r="L1013" s="7" t="str">
        <f t="shared" ref="L1013:L1712" si="1026">IF(LEN(L$1),IF(OR(L$1=G1013,L$1=H1013),1,0),"")</f>
        <v/>
      </c>
      <c r="M1013" s="7">
        <f t="shared" ref="M1013:N1013" si="1025">IF(LEN(M$1),COUNTIF($G1013:$J1013,M$1),"")</f>
        <v>0</v>
      </c>
      <c r="N1013" s="7" t="str">
        <f t="shared" si="1025"/>
        <v/>
      </c>
      <c r="O1013" s="7" t="str">
        <f t="shared" ref="O1013:O2004" si="1028">IF(LEN(O$1),IF(O$1="Double",1,0),"")</f>
        <v/>
      </c>
      <c r="P1013" s="7">
        <f t="shared" ref="P1013:P1112" si="1029">IF(LEN(P$1),IF(P$1=1,1,0),"")</f>
        <v>0</v>
      </c>
      <c r="Q1013" s="7" t="str">
        <f t="shared" si="7"/>
        <v/>
      </c>
      <c r="T1013" s="7"/>
    </row>
    <row r="1014" ht="12.75" customHeight="1">
      <c r="A1014" s="7">
        <v>1013.0</v>
      </c>
      <c r="B1014" s="7" t="s">
        <v>42</v>
      </c>
      <c r="C1014" s="7" t="s">
        <v>4701</v>
      </c>
      <c r="D1014" s="7"/>
      <c r="E1014" s="7"/>
      <c r="F1014" s="7" t="s">
        <v>4870</v>
      </c>
      <c r="G1014" s="7" t="s">
        <v>2765</v>
      </c>
      <c r="H1014" s="7" t="s">
        <v>2859</v>
      </c>
      <c r="I1014" s="7" t="s">
        <v>2939</v>
      </c>
      <c r="J1014" s="7" t="s">
        <v>3106</v>
      </c>
      <c r="K1014" s="7" t="str">
        <f t="shared" si="2"/>
        <v/>
      </c>
      <c r="L1014" s="7" t="str">
        <f t="shared" si="1026"/>
        <v/>
      </c>
      <c r="M1014" s="7">
        <f t="shared" ref="M1014:N1014" si="1027">IF(LEN(M$1),COUNTIF($G1014:$J1014,M$1),"")</f>
        <v>0</v>
      </c>
      <c r="N1014" s="7" t="str">
        <f t="shared" si="1027"/>
        <v/>
      </c>
      <c r="O1014" s="7" t="str">
        <f t="shared" si="1028"/>
        <v/>
      </c>
      <c r="P1014" s="7">
        <f t="shared" si="1029"/>
        <v>0</v>
      </c>
      <c r="Q1014" s="7" t="str">
        <f t="shared" si="7"/>
        <v/>
      </c>
      <c r="T1014" s="7"/>
    </row>
    <row r="1015" ht="12.75" customHeight="1">
      <c r="A1015" s="7">
        <v>1014.0</v>
      </c>
      <c r="B1015" s="7" t="s">
        <v>42</v>
      </c>
      <c r="C1015" s="7" t="s">
        <v>4701</v>
      </c>
      <c r="D1015" s="7"/>
      <c r="E1015" s="7"/>
      <c r="F1015" s="7" t="s">
        <v>4870</v>
      </c>
      <c r="G1015" s="7" t="s">
        <v>2621</v>
      </c>
      <c r="H1015" s="7" t="s">
        <v>2854</v>
      </c>
      <c r="I1015" s="7" t="s">
        <v>3106</v>
      </c>
      <c r="J1015" s="7" t="s">
        <v>2996</v>
      </c>
      <c r="K1015" s="7" t="str">
        <f t="shared" si="2"/>
        <v/>
      </c>
      <c r="L1015" s="7" t="str">
        <f t="shared" si="1026"/>
        <v/>
      </c>
      <c r="M1015" s="7">
        <f t="shared" ref="M1015:N1015" si="1030">IF(LEN(M$1),COUNTIF($G1015:$J1015,M$1),"")</f>
        <v>0</v>
      </c>
      <c r="N1015" s="7" t="str">
        <f t="shared" si="1030"/>
        <v/>
      </c>
      <c r="O1015" s="7" t="str">
        <f t="shared" si="1028"/>
        <v/>
      </c>
      <c r="P1015" s="7">
        <f t="shared" si="1029"/>
        <v>0</v>
      </c>
      <c r="Q1015" s="7" t="str">
        <f t="shared" si="7"/>
        <v/>
      </c>
      <c r="T1015" s="7"/>
    </row>
    <row r="1016" ht="12.75" customHeight="1">
      <c r="A1016" s="7">
        <v>1015.0</v>
      </c>
      <c r="B1016" s="7" t="s">
        <v>49</v>
      </c>
      <c r="C1016" s="7" t="s">
        <v>4701</v>
      </c>
      <c r="D1016" s="7"/>
      <c r="E1016" s="7"/>
      <c r="F1016" s="7" t="s">
        <v>4870</v>
      </c>
      <c r="G1016" s="7" t="s">
        <v>2591</v>
      </c>
      <c r="H1016" s="7" t="s">
        <v>2892</v>
      </c>
      <c r="I1016" s="7" t="s">
        <v>2929</v>
      </c>
      <c r="J1016" s="7" t="s">
        <v>3060</v>
      </c>
      <c r="K1016" s="7" t="str">
        <f t="shared" si="2"/>
        <v/>
      </c>
      <c r="L1016" s="7" t="str">
        <f t="shared" si="1026"/>
        <v/>
      </c>
      <c r="M1016" s="7">
        <f t="shared" ref="M1016:N1016" si="1031">IF(LEN(M$1),COUNTIF($G1016:$J1016,M$1),"")</f>
        <v>0</v>
      </c>
      <c r="N1016" s="7" t="str">
        <f t="shared" si="1031"/>
        <v/>
      </c>
      <c r="O1016" s="7" t="str">
        <f t="shared" si="1028"/>
        <v/>
      </c>
      <c r="P1016" s="7">
        <f t="shared" si="1029"/>
        <v>0</v>
      </c>
      <c r="Q1016" s="7" t="str">
        <f t="shared" si="7"/>
        <v/>
      </c>
      <c r="T1016" s="7"/>
    </row>
    <row r="1017" ht="12.75" customHeight="1">
      <c r="A1017" s="7">
        <v>1016.0</v>
      </c>
      <c r="B1017" s="7" t="s">
        <v>49</v>
      </c>
      <c r="C1017" s="7" t="s">
        <v>4701</v>
      </c>
      <c r="D1017" s="7"/>
      <c r="E1017" s="7"/>
      <c r="F1017" s="7" t="s">
        <v>4870</v>
      </c>
      <c r="G1017" s="7" t="s">
        <v>2646</v>
      </c>
      <c r="H1017" s="7" t="s">
        <v>2876</v>
      </c>
      <c r="I1017" s="7" t="s">
        <v>3035</v>
      </c>
      <c r="J1017" s="7" t="s">
        <v>3060</v>
      </c>
      <c r="K1017" s="7" t="str">
        <f t="shared" si="2"/>
        <v/>
      </c>
      <c r="L1017" s="7" t="str">
        <f t="shared" si="1026"/>
        <v/>
      </c>
      <c r="M1017" s="7">
        <f t="shared" ref="M1017:N1017" si="1032">IF(LEN(M$1),COUNTIF($G1017:$J1017,M$1),"")</f>
        <v>0</v>
      </c>
      <c r="N1017" s="7" t="str">
        <f t="shared" si="1032"/>
        <v/>
      </c>
      <c r="O1017" s="7" t="str">
        <f t="shared" si="1028"/>
        <v/>
      </c>
      <c r="P1017" s="7">
        <f t="shared" si="1029"/>
        <v>0</v>
      </c>
      <c r="Q1017" s="7" t="str">
        <f t="shared" si="7"/>
        <v/>
      </c>
      <c r="T1017" s="7"/>
    </row>
    <row r="1018" ht="12.75" customHeight="1">
      <c r="A1018" s="7">
        <v>1017.0</v>
      </c>
      <c r="B1018" s="7" t="s">
        <v>56</v>
      </c>
      <c r="C1018" s="7" t="s">
        <v>4701</v>
      </c>
      <c r="D1018" s="7"/>
      <c r="E1018" s="7"/>
      <c r="F1018" s="7" t="s">
        <v>4870</v>
      </c>
      <c r="G1018" s="7" t="s">
        <v>2697</v>
      </c>
      <c r="H1018" s="7" t="s">
        <v>2868</v>
      </c>
      <c r="I1018" s="7" t="s">
        <v>3001</v>
      </c>
      <c r="J1018" s="7" t="s">
        <v>2984</v>
      </c>
      <c r="K1018" s="7" t="str">
        <f t="shared" si="2"/>
        <v/>
      </c>
      <c r="L1018" s="7" t="str">
        <f t="shared" si="1026"/>
        <v/>
      </c>
      <c r="M1018" s="7">
        <f t="shared" ref="M1018:N1018" si="1033">IF(LEN(M$1),COUNTIF($G1018:$J1018,M$1),"")</f>
        <v>0</v>
      </c>
      <c r="N1018" s="7" t="str">
        <f t="shared" si="1033"/>
        <v/>
      </c>
      <c r="O1018" s="7" t="str">
        <f t="shared" si="1028"/>
        <v/>
      </c>
      <c r="P1018" s="7">
        <f t="shared" si="1029"/>
        <v>0</v>
      </c>
      <c r="Q1018" s="7" t="str">
        <f t="shared" si="7"/>
        <v/>
      </c>
      <c r="T1018" s="7"/>
    </row>
    <row r="1019" ht="12.75" customHeight="1">
      <c r="A1019" s="7">
        <v>1018.0</v>
      </c>
      <c r="B1019" s="7" t="s">
        <v>56</v>
      </c>
      <c r="C1019" s="7" t="s">
        <v>4701</v>
      </c>
      <c r="D1019" s="7"/>
      <c r="E1019" s="7"/>
      <c r="F1019" s="7" t="s">
        <v>4870</v>
      </c>
      <c r="G1019" s="7" t="s">
        <v>2829</v>
      </c>
      <c r="H1019" s="7" t="s">
        <v>2892</v>
      </c>
      <c r="I1019" s="7" t="s">
        <v>2989</v>
      </c>
      <c r="J1019" s="7" t="s">
        <v>2942</v>
      </c>
      <c r="K1019" s="7" t="str">
        <f t="shared" si="2"/>
        <v/>
      </c>
      <c r="L1019" s="7" t="str">
        <f t="shared" si="1026"/>
        <v/>
      </c>
      <c r="M1019" s="7">
        <f t="shared" ref="M1019:N1019" si="1034">IF(LEN(M$1),COUNTIF($G1019:$J1019,M$1),"")</f>
        <v>0</v>
      </c>
      <c r="N1019" s="7" t="str">
        <f t="shared" si="1034"/>
        <v/>
      </c>
      <c r="O1019" s="7" t="str">
        <f t="shared" si="1028"/>
        <v/>
      </c>
      <c r="P1019" s="7">
        <f t="shared" si="1029"/>
        <v>0</v>
      </c>
      <c r="Q1019" s="7" t="str">
        <f t="shared" si="7"/>
        <v/>
      </c>
      <c r="T1019" s="7"/>
    </row>
    <row r="1020" ht="12.75" customHeight="1">
      <c r="A1020" s="7">
        <v>1019.0</v>
      </c>
      <c r="B1020" s="7" t="s">
        <v>64</v>
      </c>
      <c r="C1020" s="7" t="s">
        <v>4711</v>
      </c>
      <c r="D1020" s="7"/>
      <c r="E1020" s="7"/>
      <c r="F1020" s="7" t="s">
        <v>4870</v>
      </c>
      <c r="G1020" s="7" t="s">
        <v>2702</v>
      </c>
      <c r="H1020" s="7" t="s">
        <v>2911</v>
      </c>
      <c r="I1020" s="7" t="s">
        <v>3022</v>
      </c>
      <c r="J1020" s="7" t="s">
        <v>2981</v>
      </c>
      <c r="K1020" s="7" t="str">
        <f t="shared" si="2"/>
        <v/>
      </c>
      <c r="L1020" s="7" t="str">
        <f t="shared" si="1026"/>
        <v/>
      </c>
      <c r="M1020" s="7">
        <f t="shared" ref="M1020:N1020" si="1035">IF(LEN(M$1),COUNTIF($G1020:$J1020,M$1),"")</f>
        <v>0</v>
      </c>
      <c r="N1020" s="7" t="str">
        <f t="shared" si="1035"/>
        <v/>
      </c>
      <c r="O1020" s="7" t="str">
        <f t="shared" si="1028"/>
        <v/>
      </c>
      <c r="P1020" s="7">
        <f t="shared" si="1029"/>
        <v>0</v>
      </c>
      <c r="Q1020" s="7" t="str">
        <f t="shared" si="7"/>
        <v/>
      </c>
      <c r="T1020" s="7"/>
    </row>
    <row r="1021" ht="12.75" customHeight="1">
      <c r="A1021" s="7">
        <v>1020.0</v>
      </c>
      <c r="B1021" s="7" t="s">
        <v>64</v>
      </c>
      <c r="C1021" s="7" t="s">
        <v>4711</v>
      </c>
      <c r="D1021" s="7"/>
      <c r="E1021" s="7"/>
      <c r="F1021" s="7" t="s">
        <v>4870</v>
      </c>
      <c r="G1021" s="7" t="s">
        <v>2809</v>
      </c>
      <c r="H1021" s="7" t="s">
        <v>2898</v>
      </c>
      <c r="I1021" s="7" t="s">
        <v>3089</v>
      </c>
      <c r="J1021" s="7" t="s">
        <v>3094</v>
      </c>
      <c r="K1021" s="7" t="str">
        <f t="shared" si="2"/>
        <v/>
      </c>
      <c r="L1021" s="7" t="str">
        <f t="shared" si="1026"/>
        <v/>
      </c>
      <c r="M1021" s="7">
        <f t="shared" ref="M1021:N1021" si="1036">IF(LEN(M$1),COUNTIF($G1021:$J1021,M$1),"")</f>
        <v>0</v>
      </c>
      <c r="N1021" s="7" t="str">
        <f t="shared" si="1036"/>
        <v/>
      </c>
      <c r="O1021" s="7" t="str">
        <f t="shared" si="1028"/>
        <v/>
      </c>
      <c r="P1021" s="7">
        <f t="shared" si="1029"/>
        <v>0</v>
      </c>
      <c r="Q1021" s="7" t="str">
        <f t="shared" si="7"/>
        <v/>
      </c>
      <c r="T1021" s="7"/>
    </row>
    <row r="1022" ht="12.75" customHeight="1">
      <c r="A1022" s="7">
        <v>1021.0</v>
      </c>
      <c r="B1022" s="7" t="s">
        <v>73</v>
      </c>
      <c r="C1022" s="7" t="s">
        <v>4711</v>
      </c>
      <c r="D1022" s="7"/>
      <c r="E1022" s="7"/>
      <c r="F1022" s="7" t="s">
        <v>4870</v>
      </c>
      <c r="G1022" s="7" t="s">
        <v>2820</v>
      </c>
      <c r="H1022" s="7" t="s">
        <v>2902</v>
      </c>
      <c r="I1022" s="7" t="s">
        <v>3078</v>
      </c>
      <c r="J1022" s="7" t="s">
        <v>3029</v>
      </c>
      <c r="K1022" s="7" t="str">
        <f t="shared" si="2"/>
        <v/>
      </c>
      <c r="L1022" s="7" t="str">
        <f t="shared" si="1026"/>
        <v/>
      </c>
      <c r="M1022" s="7">
        <f t="shared" ref="M1022:N1022" si="1037">IF(LEN(M$1),COUNTIF($G1022:$J1022,M$1),"")</f>
        <v>0</v>
      </c>
      <c r="N1022" s="7" t="str">
        <f t="shared" si="1037"/>
        <v/>
      </c>
      <c r="O1022" s="7" t="str">
        <f t="shared" si="1028"/>
        <v/>
      </c>
      <c r="P1022" s="7">
        <f t="shared" si="1029"/>
        <v>0</v>
      </c>
      <c r="Q1022" s="7" t="str">
        <f t="shared" si="7"/>
        <v/>
      </c>
      <c r="T1022" s="7"/>
    </row>
    <row r="1023" ht="12.75" customHeight="1">
      <c r="A1023" s="7">
        <v>1022.0</v>
      </c>
      <c r="B1023" s="7" t="s">
        <v>73</v>
      </c>
      <c r="C1023" s="7" t="s">
        <v>4711</v>
      </c>
      <c r="D1023" s="7"/>
      <c r="E1023" s="7"/>
      <c r="F1023" s="7" t="s">
        <v>4870</v>
      </c>
      <c r="G1023" s="7" t="s">
        <v>2673</v>
      </c>
      <c r="H1023" s="7" t="s">
        <v>2868</v>
      </c>
      <c r="I1023" s="7" t="s">
        <v>3006</v>
      </c>
      <c r="J1023" s="7" t="s">
        <v>3054</v>
      </c>
      <c r="K1023" s="7" t="str">
        <f t="shared" si="2"/>
        <v/>
      </c>
      <c r="L1023" s="7" t="str">
        <f t="shared" si="1026"/>
        <v/>
      </c>
      <c r="M1023" s="7">
        <f t="shared" ref="M1023:N1023" si="1038">IF(LEN(M$1),COUNTIF($G1023:$J1023,M$1),"")</f>
        <v>0</v>
      </c>
      <c r="N1023" s="7" t="str">
        <f t="shared" si="1038"/>
        <v/>
      </c>
      <c r="O1023" s="7" t="str">
        <f t="shared" si="1028"/>
        <v/>
      </c>
      <c r="P1023" s="7">
        <f t="shared" si="1029"/>
        <v>0</v>
      </c>
      <c r="Q1023" s="7" t="str">
        <f t="shared" si="7"/>
        <v/>
      </c>
      <c r="T1023" s="7"/>
    </row>
    <row r="1024" ht="12.75" customHeight="1">
      <c r="A1024" s="7">
        <v>1023.0</v>
      </c>
      <c r="B1024" s="7" t="s">
        <v>73</v>
      </c>
      <c r="C1024" s="7" t="s">
        <v>4711</v>
      </c>
      <c r="D1024" s="7"/>
      <c r="E1024" s="7"/>
      <c r="F1024" s="7" t="s">
        <v>4870</v>
      </c>
      <c r="G1024" s="7" t="s">
        <v>2702</v>
      </c>
      <c r="H1024" s="7" t="s">
        <v>2917</v>
      </c>
      <c r="I1024" s="7" t="s">
        <v>2974</v>
      </c>
      <c r="J1024" s="7" t="s">
        <v>3100</v>
      </c>
      <c r="K1024" s="7" t="str">
        <f t="shared" si="2"/>
        <v/>
      </c>
      <c r="L1024" s="7" t="str">
        <f t="shared" si="1026"/>
        <v/>
      </c>
      <c r="M1024" s="7">
        <f t="shared" ref="M1024:N1024" si="1039">IF(LEN(M$1),COUNTIF($G1024:$J1024,M$1),"")</f>
        <v>0</v>
      </c>
      <c r="N1024" s="7" t="str">
        <f t="shared" si="1039"/>
        <v/>
      </c>
      <c r="O1024" s="7" t="str">
        <f t="shared" si="1028"/>
        <v/>
      </c>
      <c r="P1024" s="7">
        <f t="shared" si="1029"/>
        <v>0</v>
      </c>
      <c r="Q1024" s="7" t="str">
        <f t="shared" si="7"/>
        <v/>
      </c>
      <c r="T1024" s="7"/>
    </row>
    <row r="1025" ht="12.75" customHeight="1">
      <c r="A1025" s="7">
        <v>1024.0</v>
      </c>
      <c r="B1025" s="7" t="s">
        <v>81</v>
      </c>
      <c r="C1025" s="7" t="s">
        <v>4711</v>
      </c>
      <c r="D1025" s="7"/>
      <c r="E1025" s="7"/>
      <c r="F1025" s="7" t="s">
        <v>4870</v>
      </c>
      <c r="G1025" s="7" t="s">
        <v>2621</v>
      </c>
      <c r="H1025" s="7" t="s">
        <v>2908</v>
      </c>
      <c r="I1025" s="7" t="s">
        <v>3040</v>
      </c>
      <c r="J1025" s="7" t="s">
        <v>3078</v>
      </c>
      <c r="K1025" s="7" t="str">
        <f t="shared" si="2"/>
        <v/>
      </c>
      <c r="L1025" s="7" t="str">
        <f t="shared" si="1026"/>
        <v/>
      </c>
      <c r="M1025" s="7">
        <f t="shared" ref="M1025:N1025" si="1040">IF(LEN(M$1),COUNTIF($G1025:$J1025,M$1),"")</f>
        <v>0</v>
      </c>
      <c r="N1025" s="7" t="str">
        <f t="shared" si="1040"/>
        <v/>
      </c>
      <c r="O1025" s="7" t="str">
        <f t="shared" si="1028"/>
        <v/>
      </c>
      <c r="P1025" s="7">
        <f t="shared" si="1029"/>
        <v>0</v>
      </c>
      <c r="Q1025" s="7" t="str">
        <f t="shared" si="7"/>
        <v/>
      </c>
      <c r="T1025" s="7"/>
    </row>
    <row r="1026" ht="12.75" customHeight="1">
      <c r="A1026" s="7">
        <v>1025.0</v>
      </c>
      <c r="B1026" s="7" t="s">
        <v>81</v>
      </c>
      <c r="C1026" s="7" t="s">
        <v>4711</v>
      </c>
      <c r="D1026" s="7"/>
      <c r="E1026" s="7"/>
      <c r="F1026" s="7" t="s">
        <v>4870</v>
      </c>
      <c r="G1026" s="7" t="s">
        <v>2783</v>
      </c>
      <c r="H1026" s="7" t="s">
        <v>2917</v>
      </c>
      <c r="I1026" s="7" t="s">
        <v>3064</v>
      </c>
      <c r="J1026" s="7" t="s">
        <v>3075</v>
      </c>
      <c r="K1026" s="7" t="str">
        <f t="shared" si="2"/>
        <v/>
      </c>
      <c r="L1026" s="7" t="str">
        <f t="shared" si="1026"/>
        <v/>
      </c>
      <c r="M1026" s="7">
        <f t="shared" ref="M1026:N1026" si="1041">IF(LEN(M$1),COUNTIF($G1026:$J1026,M$1),"")</f>
        <v>0</v>
      </c>
      <c r="N1026" s="7" t="str">
        <f t="shared" si="1041"/>
        <v/>
      </c>
      <c r="O1026" s="7" t="str">
        <f t="shared" si="1028"/>
        <v/>
      </c>
      <c r="P1026" s="7">
        <f t="shared" si="1029"/>
        <v>0</v>
      </c>
      <c r="Q1026" s="7" t="str">
        <f t="shared" si="7"/>
        <v/>
      </c>
      <c r="T1026" s="7"/>
    </row>
    <row r="1027" ht="12.75" customHeight="1">
      <c r="A1027" s="7">
        <v>1026.0</v>
      </c>
      <c r="B1027" s="7" t="s">
        <v>88</v>
      </c>
      <c r="C1027" s="7" t="s">
        <v>4717</v>
      </c>
      <c r="D1027" s="7"/>
      <c r="E1027" s="7"/>
      <c r="F1027" s="7" t="s">
        <v>4870</v>
      </c>
      <c r="G1027" s="7" t="s">
        <v>2569</v>
      </c>
      <c r="H1027" s="7" t="s">
        <v>2902</v>
      </c>
      <c r="I1027" s="7" t="s">
        <v>3044</v>
      </c>
      <c r="J1027" s="7" t="s">
        <v>3078</v>
      </c>
      <c r="K1027" s="7" t="str">
        <f t="shared" si="2"/>
        <v/>
      </c>
      <c r="L1027" s="7" t="str">
        <f t="shared" si="1026"/>
        <v/>
      </c>
      <c r="M1027" s="7">
        <f t="shared" ref="M1027:N1027" si="1042">IF(LEN(M$1),COUNTIF($G1027:$J1027,M$1),"")</f>
        <v>0</v>
      </c>
      <c r="N1027" s="7" t="str">
        <f t="shared" si="1042"/>
        <v/>
      </c>
      <c r="O1027" s="7" t="str">
        <f t="shared" si="1028"/>
        <v/>
      </c>
      <c r="P1027" s="7">
        <f t="shared" si="1029"/>
        <v>0</v>
      </c>
      <c r="Q1027" s="7" t="str">
        <f t="shared" si="7"/>
        <v/>
      </c>
      <c r="T1027" s="7"/>
    </row>
    <row r="1028" ht="12.75" customHeight="1">
      <c r="A1028" s="7">
        <v>1027.0</v>
      </c>
      <c r="B1028" s="7" t="s">
        <v>88</v>
      </c>
      <c r="C1028" s="7" t="s">
        <v>4717</v>
      </c>
      <c r="D1028" s="7"/>
      <c r="E1028" s="7"/>
      <c r="F1028" s="7" t="s">
        <v>4870</v>
      </c>
      <c r="G1028" s="7" t="s">
        <v>2838</v>
      </c>
      <c r="H1028" s="7" t="s">
        <v>2888</v>
      </c>
      <c r="I1028" s="7" t="s">
        <v>3040</v>
      </c>
      <c r="J1028" s="7" t="s">
        <v>2998</v>
      </c>
      <c r="K1028" s="7" t="str">
        <f t="shared" si="2"/>
        <v/>
      </c>
      <c r="L1028" s="7" t="str">
        <f t="shared" si="1026"/>
        <v/>
      </c>
      <c r="M1028" s="7">
        <f t="shared" ref="M1028:N1028" si="1043">IF(LEN(M$1),COUNTIF($G1028:$J1028,M$1),"")</f>
        <v>0</v>
      </c>
      <c r="N1028" s="7" t="str">
        <f t="shared" si="1043"/>
        <v/>
      </c>
      <c r="O1028" s="7" t="str">
        <f t="shared" si="1028"/>
        <v/>
      </c>
      <c r="P1028" s="7">
        <f t="shared" si="1029"/>
        <v>0</v>
      </c>
      <c r="Q1028" s="7" t="str">
        <f t="shared" si="7"/>
        <v/>
      </c>
      <c r="T1028" s="7"/>
    </row>
    <row r="1029" ht="12.75" customHeight="1">
      <c r="A1029" s="7">
        <v>1028.0</v>
      </c>
      <c r="B1029" s="7" t="s">
        <v>88</v>
      </c>
      <c r="C1029" s="7" t="s">
        <v>4717</v>
      </c>
      <c r="D1029" s="7"/>
      <c r="E1029" s="7"/>
      <c r="F1029" s="7" t="s">
        <v>4870</v>
      </c>
      <c r="G1029" s="7" t="s">
        <v>2683</v>
      </c>
      <c r="H1029" s="7" t="s">
        <v>2881</v>
      </c>
      <c r="I1029" s="7" t="s">
        <v>3110</v>
      </c>
      <c r="J1029" s="7" t="s">
        <v>2979</v>
      </c>
      <c r="K1029" s="7" t="str">
        <f t="shared" si="2"/>
        <v/>
      </c>
      <c r="L1029" s="7" t="str">
        <f t="shared" si="1026"/>
        <v/>
      </c>
      <c r="M1029" s="7">
        <f t="shared" ref="M1029:N1029" si="1044">IF(LEN(M$1),COUNTIF($G1029:$J1029,M$1),"")</f>
        <v>0</v>
      </c>
      <c r="N1029" s="7" t="str">
        <f t="shared" si="1044"/>
        <v/>
      </c>
      <c r="O1029" s="7" t="str">
        <f t="shared" si="1028"/>
        <v/>
      </c>
      <c r="P1029" s="7">
        <f t="shared" si="1029"/>
        <v>0</v>
      </c>
      <c r="Q1029" s="7" t="str">
        <f t="shared" si="7"/>
        <v/>
      </c>
      <c r="T1029" s="7"/>
    </row>
    <row r="1030" ht="12.75" customHeight="1">
      <c r="A1030" s="7">
        <v>1029.0</v>
      </c>
      <c r="B1030" s="7" t="s">
        <v>97</v>
      </c>
      <c r="C1030" s="7" t="s">
        <v>4717</v>
      </c>
      <c r="D1030" s="7"/>
      <c r="E1030" s="7"/>
      <c r="F1030" s="7" t="s">
        <v>4870</v>
      </c>
      <c r="G1030" s="7" t="s">
        <v>2646</v>
      </c>
      <c r="H1030" s="7" t="s">
        <v>2921</v>
      </c>
      <c r="I1030" s="7" t="s">
        <v>2963</v>
      </c>
      <c r="J1030" s="7" t="s">
        <v>3019</v>
      </c>
      <c r="K1030" s="7" t="str">
        <f t="shared" si="2"/>
        <v/>
      </c>
      <c r="L1030" s="7" t="str">
        <f t="shared" si="1026"/>
        <v/>
      </c>
      <c r="M1030" s="7">
        <f t="shared" ref="M1030:N1030" si="1045">IF(LEN(M$1),COUNTIF($G1030:$J1030,M$1),"")</f>
        <v>0</v>
      </c>
      <c r="N1030" s="7" t="str">
        <f t="shared" si="1045"/>
        <v/>
      </c>
      <c r="O1030" s="7" t="str">
        <f t="shared" si="1028"/>
        <v/>
      </c>
      <c r="P1030" s="7">
        <f t="shared" si="1029"/>
        <v>0</v>
      </c>
      <c r="Q1030" s="7" t="str">
        <f t="shared" si="7"/>
        <v/>
      </c>
      <c r="T1030" s="7"/>
    </row>
    <row r="1031" ht="12.75" customHeight="1">
      <c r="A1031" s="7">
        <v>1030.0</v>
      </c>
      <c r="B1031" s="7" t="s">
        <v>97</v>
      </c>
      <c r="C1031" s="7" t="s">
        <v>4717</v>
      </c>
      <c r="D1031" s="7"/>
      <c r="E1031" s="7"/>
      <c r="F1031" s="7" t="s">
        <v>4870</v>
      </c>
      <c r="G1031" s="7" t="s">
        <v>2609</v>
      </c>
      <c r="H1031" s="7" t="s">
        <v>2871</v>
      </c>
      <c r="I1031" s="7" t="s">
        <v>3098</v>
      </c>
      <c r="J1031" s="7" t="s">
        <v>3075</v>
      </c>
      <c r="K1031" s="7" t="str">
        <f t="shared" si="2"/>
        <v/>
      </c>
      <c r="L1031" s="7" t="str">
        <f t="shared" si="1026"/>
        <v/>
      </c>
      <c r="M1031" s="7">
        <f t="shared" ref="M1031:N1031" si="1046">IF(LEN(M$1),COUNTIF($G1031:$J1031,M$1),"")</f>
        <v>0</v>
      </c>
      <c r="N1031" s="7" t="str">
        <f t="shared" si="1046"/>
        <v/>
      </c>
      <c r="O1031" s="7" t="str">
        <f t="shared" si="1028"/>
        <v/>
      </c>
      <c r="P1031" s="7">
        <f t="shared" si="1029"/>
        <v>0</v>
      </c>
      <c r="Q1031" s="7" t="str">
        <f t="shared" si="7"/>
        <v/>
      </c>
      <c r="T1031" s="7"/>
    </row>
    <row r="1032" ht="12.75" customHeight="1">
      <c r="A1032" s="7">
        <v>1031.0</v>
      </c>
      <c r="B1032" s="7" t="s">
        <v>97</v>
      </c>
      <c r="C1032" s="7" t="s">
        <v>4717</v>
      </c>
      <c r="D1032" s="7"/>
      <c r="E1032" s="7"/>
      <c r="F1032" s="7" t="s">
        <v>4870</v>
      </c>
      <c r="G1032" s="7" t="s">
        <v>2569</v>
      </c>
      <c r="H1032" s="7" t="s">
        <v>2879</v>
      </c>
      <c r="I1032" s="7" t="s">
        <v>2984</v>
      </c>
      <c r="J1032" s="7" t="s">
        <v>3022</v>
      </c>
      <c r="K1032" s="7" t="str">
        <f t="shared" si="2"/>
        <v/>
      </c>
      <c r="L1032" s="7" t="str">
        <f t="shared" si="1026"/>
        <v/>
      </c>
      <c r="M1032" s="7">
        <f t="shared" ref="M1032:N1032" si="1047">IF(LEN(M$1),COUNTIF($G1032:$J1032,M$1),"")</f>
        <v>0</v>
      </c>
      <c r="N1032" s="7" t="str">
        <f t="shared" si="1047"/>
        <v/>
      </c>
      <c r="O1032" s="7" t="str">
        <f t="shared" si="1028"/>
        <v/>
      </c>
      <c r="P1032" s="7">
        <f t="shared" si="1029"/>
        <v>0</v>
      </c>
      <c r="Q1032" s="7" t="str">
        <f t="shared" si="7"/>
        <v/>
      </c>
      <c r="T1032" s="7"/>
    </row>
    <row r="1033" ht="12.75" customHeight="1">
      <c r="A1033" s="7">
        <v>1032.0</v>
      </c>
      <c r="B1033" s="7" t="s">
        <v>105</v>
      </c>
      <c r="C1033" s="7" t="s">
        <v>4717</v>
      </c>
      <c r="D1033" s="7"/>
      <c r="E1033" s="7"/>
      <c r="F1033" s="7" t="s">
        <v>4870</v>
      </c>
      <c r="G1033" s="7" t="s">
        <v>2673</v>
      </c>
      <c r="H1033" s="7" t="s">
        <v>2925</v>
      </c>
      <c r="I1033" s="7" t="s">
        <v>3069</v>
      </c>
      <c r="J1033" s="7" t="s">
        <v>3022</v>
      </c>
      <c r="K1033" s="7" t="str">
        <f t="shared" si="2"/>
        <v/>
      </c>
      <c r="L1033" s="7" t="str">
        <f t="shared" si="1026"/>
        <v/>
      </c>
      <c r="M1033" s="7">
        <f t="shared" ref="M1033:N1033" si="1048">IF(LEN(M$1),COUNTIF($G1033:$J1033,M$1),"")</f>
        <v>0</v>
      </c>
      <c r="N1033" s="7" t="str">
        <f t="shared" si="1048"/>
        <v/>
      </c>
      <c r="O1033" s="7" t="str">
        <f t="shared" si="1028"/>
        <v/>
      </c>
      <c r="P1033" s="7">
        <f t="shared" si="1029"/>
        <v>0</v>
      </c>
      <c r="Q1033" s="7" t="str">
        <f t="shared" si="7"/>
        <v/>
      </c>
      <c r="T1033" s="7"/>
    </row>
    <row r="1034" ht="12.75" customHeight="1">
      <c r="A1034" s="7">
        <v>1033.0</v>
      </c>
      <c r="B1034" s="7" t="s">
        <v>105</v>
      </c>
      <c r="C1034" s="7" t="s">
        <v>4717</v>
      </c>
      <c r="D1034" s="7"/>
      <c r="E1034" s="7"/>
      <c r="F1034" s="7" t="s">
        <v>4870</v>
      </c>
      <c r="G1034" s="7" t="s">
        <v>2715</v>
      </c>
      <c r="H1034" s="7" t="s">
        <v>2854</v>
      </c>
      <c r="I1034" s="7" t="s">
        <v>2949</v>
      </c>
      <c r="J1034" s="7" t="s">
        <v>3032</v>
      </c>
      <c r="K1034" s="7" t="str">
        <f t="shared" si="2"/>
        <v/>
      </c>
      <c r="L1034" s="7" t="str">
        <f t="shared" si="1026"/>
        <v/>
      </c>
      <c r="M1034" s="7">
        <f t="shared" ref="M1034:N1034" si="1049">IF(LEN(M$1),COUNTIF($G1034:$J1034,M$1),"")</f>
        <v>0</v>
      </c>
      <c r="N1034" s="7" t="str">
        <f t="shared" si="1049"/>
        <v/>
      </c>
      <c r="O1034" s="7" t="str">
        <f t="shared" si="1028"/>
        <v/>
      </c>
      <c r="P1034" s="7">
        <f t="shared" si="1029"/>
        <v>0</v>
      </c>
      <c r="Q1034" s="7" t="str">
        <f t="shared" si="7"/>
        <v/>
      </c>
      <c r="T1034" s="7"/>
    </row>
    <row r="1035" ht="12.75" customHeight="1">
      <c r="A1035" s="7">
        <v>1034.0</v>
      </c>
      <c r="B1035" s="7" t="s">
        <v>105</v>
      </c>
      <c r="C1035" s="7" t="s">
        <v>4717</v>
      </c>
      <c r="D1035" s="7"/>
      <c r="E1035" s="7"/>
      <c r="F1035" s="7" t="s">
        <v>4870</v>
      </c>
      <c r="G1035" s="7" t="s">
        <v>2709</v>
      </c>
      <c r="H1035" s="7" t="s">
        <v>2884</v>
      </c>
      <c r="I1035" s="7" t="s">
        <v>3110</v>
      </c>
      <c r="J1035" s="7" t="s">
        <v>2981</v>
      </c>
      <c r="K1035" s="7" t="str">
        <f t="shared" si="2"/>
        <v/>
      </c>
      <c r="L1035" s="7" t="str">
        <f t="shared" si="1026"/>
        <v/>
      </c>
      <c r="M1035" s="7">
        <f t="shared" ref="M1035:N1035" si="1050">IF(LEN(M$1),COUNTIF($G1035:$J1035,M$1),"")</f>
        <v>0</v>
      </c>
      <c r="N1035" s="7" t="str">
        <f t="shared" si="1050"/>
        <v/>
      </c>
      <c r="O1035" s="7" t="str">
        <f t="shared" si="1028"/>
        <v/>
      </c>
      <c r="P1035" s="7">
        <f t="shared" si="1029"/>
        <v>0</v>
      </c>
      <c r="Q1035" s="7" t="str">
        <f t="shared" si="7"/>
        <v/>
      </c>
      <c r="T1035" s="7"/>
    </row>
    <row r="1036" ht="12.75" customHeight="1">
      <c r="A1036" s="7">
        <v>1035.0</v>
      </c>
      <c r="B1036" s="7" t="s">
        <v>113</v>
      </c>
      <c r="C1036" s="7" t="s">
        <v>4724</v>
      </c>
      <c r="D1036" s="7"/>
      <c r="E1036" s="7"/>
      <c r="F1036" s="7" t="s">
        <v>4870</v>
      </c>
      <c r="G1036" s="7" t="s">
        <v>2815</v>
      </c>
      <c r="H1036" s="7" t="s">
        <v>2871</v>
      </c>
      <c r="I1036" s="7" t="s">
        <v>3040</v>
      </c>
      <c r="J1036" s="7" t="s">
        <v>3029</v>
      </c>
      <c r="K1036" s="7" t="str">
        <f t="shared" si="2"/>
        <v/>
      </c>
      <c r="L1036" s="7" t="str">
        <f t="shared" si="1026"/>
        <v/>
      </c>
      <c r="M1036" s="7">
        <f t="shared" ref="M1036:N1036" si="1051">IF(LEN(M$1),COUNTIF($G1036:$J1036,M$1),"")</f>
        <v>0</v>
      </c>
      <c r="N1036" s="7" t="str">
        <f t="shared" si="1051"/>
        <v/>
      </c>
      <c r="O1036" s="7" t="str">
        <f t="shared" si="1028"/>
        <v/>
      </c>
      <c r="P1036" s="7">
        <f t="shared" si="1029"/>
        <v>0</v>
      </c>
      <c r="Q1036" s="7" t="str">
        <f t="shared" si="7"/>
        <v/>
      </c>
      <c r="T1036" s="7"/>
    </row>
    <row r="1037" ht="12.75" customHeight="1">
      <c r="A1037" s="7">
        <v>1036.0</v>
      </c>
      <c r="B1037" s="7" t="s">
        <v>113</v>
      </c>
      <c r="C1037" s="7" t="s">
        <v>4724</v>
      </c>
      <c r="D1037" s="7"/>
      <c r="E1037" s="7"/>
      <c r="F1037" s="7" t="s">
        <v>4870</v>
      </c>
      <c r="G1037" s="7" t="s">
        <v>2616</v>
      </c>
      <c r="H1037" s="7" t="s">
        <v>2922</v>
      </c>
      <c r="I1037" s="7" t="s">
        <v>3100</v>
      </c>
      <c r="J1037" s="7" t="s">
        <v>2939</v>
      </c>
      <c r="K1037" s="7" t="str">
        <f t="shared" si="2"/>
        <v/>
      </c>
      <c r="L1037" s="7" t="str">
        <f t="shared" si="1026"/>
        <v/>
      </c>
      <c r="M1037" s="7">
        <f t="shared" ref="M1037:N1037" si="1052">IF(LEN(M$1),COUNTIF($G1037:$J1037,M$1),"")</f>
        <v>0</v>
      </c>
      <c r="N1037" s="7" t="str">
        <f t="shared" si="1052"/>
        <v/>
      </c>
      <c r="O1037" s="7" t="str">
        <f t="shared" si="1028"/>
        <v/>
      </c>
      <c r="P1037" s="7">
        <f t="shared" si="1029"/>
        <v>0</v>
      </c>
      <c r="Q1037" s="7" t="str">
        <f t="shared" si="7"/>
        <v/>
      </c>
      <c r="T1037" s="7"/>
    </row>
    <row r="1038" ht="12.75" customHeight="1">
      <c r="A1038" s="7">
        <v>1037.0</v>
      </c>
      <c r="B1038" s="7" t="s">
        <v>113</v>
      </c>
      <c r="C1038" s="7" t="s">
        <v>4724</v>
      </c>
      <c r="D1038" s="7"/>
      <c r="E1038" s="7"/>
      <c r="F1038" s="7" t="s">
        <v>4870</v>
      </c>
      <c r="G1038" s="7" t="s">
        <v>2778</v>
      </c>
      <c r="H1038" s="7" t="s">
        <v>2919</v>
      </c>
      <c r="I1038" s="7" t="s">
        <v>2932</v>
      </c>
      <c r="J1038" s="7" t="s">
        <v>3029</v>
      </c>
      <c r="K1038" s="7" t="str">
        <f t="shared" si="2"/>
        <v/>
      </c>
      <c r="L1038" s="7" t="str">
        <f t="shared" si="1026"/>
        <v/>
      </c>
      <c r="M1038" s="7">
        <f t="shared" ref="M1038:N1038" si="1053">IF(LEN(M$1),COUNTIF($G1038:$J1038,M$1),"")</f>
        <v>0</v>
      </c>
      <c r="N1038" s="7" t="str">
        <f t="shared" si="1053"/>
        <v/>
      </c>
      <c r="O1038" s="7" t="str">
        <f t="shared" si="1028"/>
        <v/>
      </c>
      <c r="P1038" s="7">
        <f t="shared" si="1029"/>
        <v>0</v>
      </c>
      <c r="Q1038" s="7" t="str">
        <f t="shared" si="7"/>
        <v/>
      </c>
      <c r="T1038" s="7"/>
    </row>
    <row r="1039" ht="12.75" customHeight="1">
      <c r="A1039" s="7">
        <v>1038.0</v>
      </c>
      <c r="B1039" s="7" t="s">
        <v>122</v>
      </c>
      <c r="C1039" s="7" t="s">
        <v>4724</v>
      </c>
      <c r="D1039" s="7"/>
      <c r="E1039" s="7"/>
      <c r="F1039" s="7" t="s">
        <v>4870</v>
      </c>
      <c r="G1039" s="7" t="s">
        <v>2838</v>
      </c>
      <c r="H1039" s="7" t="s">
        <v>2910</v>
      </c>
      <c r="I1039" s="7" t="s">
        <v>2989</v>
      </c>
      <c r="J1039" s="7" t="s">
        <v>3075</v>
      </c>
      <c r="K1039" s="7" t="str">
        <f t="shared" si="2"/>
        <v/>
      </c>
      <c r="L1039" s="7" t="str">
        <f t="shared" si="1026"/>
        <v/>
      </c>
      <c r="M1039" s="7">
        <f t="shared" ref="M1039:N1039" si="1054">IF(LEN(M$1),COUNTIF($G1039:$J1039,M$1),"")</f>
        <v>0</v>
      </c>
      <c r="N1039" s="7" t="str">
        <f t="shared" si="1054"/>
        <v/>
      </c>
      <c r="O1039" s="7" t="str">
        <f t="shared" si="1028"/>
        <v/>
      </c>
      <c r="P1039" s="7">
        <f t="shared" si="1029"/>
        <v>0</v>
      </c>
      <c r="Q1039" s="7" t="str">
        <f t="shared" si="7"/>
        <v/>
      </c>
      <c r="T1039" s="7"/>
    </row>
    <row r="1040" ht="12.75" customHeight="1">
      <c r="A1040" s="7">
        <v>1039.0</v>
      </c>
      <c r="B1040" s="7" t="s">
        <v>122</v>
      </c>
      <c r="C1040" s="7" t="s">
        <v>4724</v>
      </c>
      <c r="D1040" s="7"/>
      <c r="E1040" s="7"/>
      <c r="F1040" s="7" t="s">
        <v>4870</v>
      </c>
      <c r="G1040" s="7" t="s">
        <v>2748</v>
      </c>
      <c r="H1040" s="7" t="s">
        <v>2861</v>
      </c>
      <c r="I1040" s="7" t="s">
        <v>3075</v>
      </c>
      <c r="J1040" s="7" t="s">
        <v>3017</v>
      </c>
      <c r="K1040" s="7" t="str">
        <f t="shared" si="2"/>
        <v/>
      </c>
      <c r="L1040" s="7" t="str">
        <f t="shared" si="1026"/>
        <v/>
      </c>
      <c r="M1040" s="7">
        <f t="shared" ref="M1040:N1040" si="1055">IF(LEN(M$1),COUNTIF($G1040:$J1040,M$1),"")</f>
        <v>0</v>
      </c>
      <c r="N1040" s="7" t="str">
        <f t="shared" si="1055"/>
        <v/>
      </c>
      <c r="O1040" s="7" t="str">
        <f t="shared" si="1028"/>
        <v/>
      </c>
      <c r="P1040" s="7">
        <f t="shared" si="1029"/>
        <v>0</v>
      </c>
      <c r="Q1040" s="7" t="str">
        <f t="shared" si="7"/>
        <v/>
      </c>
      <c r="T1040" s="7"/>
    </row>
    <row r="1041" ht="12.75" customHeight="1">
      <c r="A1041" s="7">
        <v>1040.0</v>
      </c>
      <c r="B1041" s="7" t="s">
        <v>122</v>
      </c>
      <c r="C1041" s="7" t="s">
        <v>4724</v>
      </c>
      <c r="D1041" s="7"/>
      <c r="E1041" s="7"/>
      <c r="F1041" s="7" t="s">
        <v>4870</v>
      </c>
      <c r="G1041" s="7" t="s">
        <v>2754</v>
      </c>
      <c r="H1041" s="7" t="s">
        <v>2868</v>
      </c>
      <c r="I1041" s="7" t="s">
        <v>3035</v>
      </c>
      <c r="J1041" s="7" t="s">
        <v>3012</v>
      </c>
      <c r="K1041" s="7" t="str">
        <f t="shared" si="2"/>
        <v/>
      </c>
      <c r="L1041" s="7" t="str">
        <f t="shared" si="1026"/>
        <v/>
      </c>
      <c r="M1041" s="7">
        <f t="shared" ref="M1041:N1041" si="1056">IF(LEN(M$1),COUNTIF($G1041:$J1041,M$1),"")</f>
        <v>0</v>
      </c>
      <c r="N1041" s="7" t="str">
        <f t="shared" si="1056"/>
        <v/>
      </c>
      <c r="O1041" s="7" t="str">
        <f t="shared" si="1028"/>
        <v/>
      </c>
      <c r="P1041" s="7">
        <f t="shared" si="1029"/>
        <v>0</v>
      </c>
      <c r="Q1041" s="7" t="str">
        <f t="shared" si="7"/>
        <v/>
      </c>
      <c r="T1041" s="7"/>
    </row>
    <row r="1042" ht="12.75" customHeight="1">
      <c r="A1042" s="7">
        <v>1041.0</v>
      </c>
      <c r="B1042" s="7" t="s">
        <v>129</v>
      </c>
      <c r="C1042" s="7" t="s">
        <v>4724</v>
      </c>
      <c r="D1042" s="7"/>
      <c r="E1042" s="7"/>
      <c r="F1042" s="7" t="s">
        <v>4870</v>
      </c>
      <c r="G1042" s="7" t="s">
        <v>2825</v>
      </c>
      <c r="H1042" s="7" t="s">
        <v>2897</v>
      </c>
      <c r="I1042" s="7" t="s">
        <v>3044</v>
      </c>
      <c r="J1042" s="7" t="s">
        <v>3103</v>
      </c>
      <c r="K1042" s="7" t="str">
        <f t="shared" si="2"/>
        <v/>
      </c>
      <c r="L1042" s="7" t="str">
        <f t="shared" si="1026"/>
        <v/>
      </c>
      <c r="M1042" s="7">
        <f t="shared" ref="M1042:N1042" si="1057">IF(LEN(M$1),COUNTIF($G1042:$J1042,M$1),"")</f>
        <v>0</v>
      </c>
      <c r="N1042" s="7" t="str">
        <f t="shared" si="1057"/>
        <v/>
      </c>
      <c r="O1042" s="7" t="str">
        <f t="shared" si="1028"/>
        <v/>
      </c>
      <c r="P1042" s="7">
        <f t="shared" si="1029"/>
        <v>0</v>
      </c>
      <c r="Q1042" s="7" t="str">
        <f t="shared" si="7"/>
        <v/>
      </c>
      <c r="T1042" s="7"/>
    </row>
    <row r="1043" ht="12.75" customHeight="1">
      <c r="A1043" s="7">
        <v>1042.0</v>
      </c>
      <c r="B1043" s="7" t="s">
        <v>129</v>
      </c>
      <c r="C1043" s="7" t="s">
        <v>4724</v>
      </c>
      <c r="D1043" s="7"/>
      <c r="E1043" s="7"/>
      <c r="F1043" s="7" t="s">
        <v>4870</v>
      </c>
      <c r="G1043" s="7" t="s">
        <v>2833</v>
      </c>
      <c r="H1043" s="7" t="s">
        <v>2916</v>
      </c>
      <c r="I1043" s="7" t="s">
        <v>2929</v>
      </c>
      <c r="J1043" s="7" t="s">
        <v>3089</v>
      </c>
      <c r="K1043" s="7" t="str">
        <f t="shared" si="2"/>
        <v/>
      </c>
      <c r="L1043" s="7" t="str">
        <f t="shared" si="1026"/>
        <v/>
      </c>
      <c r="M1043" s="7">
        <f t="shared" ref="M1043:N1043" si="1058">IF(LEN(M$1),COUNTIF($G1043:$J1043,M$1),"")</f>
        <v>0</v>
      </c>
      <c r="N1043" s="7" t="str">
        <f t="shared" si="1058"/>
        <v/>
      </c>
      <c r="O1043" s="7" t="str">
        <f t="shared" si="1028"/>
        <v/>
      </c>
      <c r="P1043" s="7">
        <f t="shared" si="1029"/>
        <v>0</v>
      </c>
      <c r="Q1043" s="7" t="str">
        <f t="shared" si="7"/>
        <v/>
      </c>
      <c r="T1043" s="7"/>
    </row>
    <row r="1044" ht="12.75" customHeight="1">
      <c r="A1044" s="7">
        <v>1043.0</v>
      </c>
      <c r="B1044" s="7" t="s">
        <v>129</v>
      </c>
      <c r="C1044" s="7" t="s">
        <v>4724</v>
      </c>
      <c r="D1044" s="7"/>
      <c r="E1044" s="7"/>
      <c r="F1044" s="7" t="s">
        <v>4870</v>
      </c>
      <c r="G1044" s="7" t="s">
        <v>2627</v>
      </c>
      <c r="H1044" s="7" t="s">
        <v>2913</v>
      </c>
      <c r="I1044" s="7" t="s">
        <v>3032</v>
      </c>
      <c r="J1044" s="7" t="s">
        <v>2991</v>
      </c>
      <c r="K1044" s="7" t="str">
        <f t="shared" si="2"/>
        <v/>
      </c>
      <c r="L1044" s="7" t="str">
        <f t="shared" si="1026"/>
        <v/>
      </c>
      <c r="M1044" s="7">
        <f t="shared" ref="M1044:N1044" si="1059">IF(LEN(M$1),COUNTIF($G1044:$J1044,M$1),"")</f>
        <v>0</v>
      </c>
      <c r="N1044" s="7" t="str">
        <f t="shared" si="1059"/>
        <v/>
      </c>
      <c r="O1044" s="7" t="str">
        <f t="shared" si="1028"/>
        <v/>
      </c>
      <c r="P1044" s="7">
        <f t="shared" si="1029"/>
        <v>0</v>
      </c>
      <c r="Q1044" s="7" t="str">
        <f t="shared" si="7"/>
        <v/>
      </c>
      <c r="T1044" s="7"/>
    </row>
    <row r="1045" ht="12.75" customHeight="1">
      <c r="A1045" s="7">
        <v>1044.0</v>
      </c>
      <c r="B1045" s="7" t="s">
        <v>137</v>
      </c>
      <c r="C1045" s="7" t="s">
        <v>4731</v>
      </c>
      <c r="D1045" s="7"/>
      <c r="E1045" s="7"/>
      <c r="F1045" s="7" t="s">
        <v>4870</v>
      </c>
      <c r="G1045" s="7" t="s">
        <v>2585</v>
      </c>
      <c r="H1045" s="7" t="s">
        <v>2865</v>
      </c>
      <c r="I1045" s="7" t="s">
        <v>2991</v>
      </c>
      <c r="J1045" s="7" t="s">
        <v>2974</v>
      </c>
      <c r="K1045" s="7" t="str">
        <f t="shared" si="2"/>
        <v/>
      </c>
      <c r="L1045" s="7" t="str">
        <f t="shared" si="1026"/>
        <v/>
      </c>
      <c r="M1045" s="7">
        <f t="shared" ref="M1045:N1045" si="1060">IF(LEN(M$1),COUNTIF($G1045:$J1045,M$1),"")</f>
        <v>0</v>
      </c>
      <c r="N1045" s="7" t="str">
        <f t="shared" si="1060"/>
        <v/>
      </c>
      <c r="O1045" s="7" t="str">
        <f t="shared" si="1028"/>
        <v/>
      </c>
      <c r="P1045" s="7">
        <f t="shared" si="1029"/>
        <v>0</v>
      </c>
      <c r="Q1045" s="7" t="str">
        <f t="shared" si="7"/>
        <v/>
      </c>
      <c r="T1045" s="7"/>
    </row>
    <row r="1046" ht="12.75" customHeight="1">
      <c r="A1046" s="7">
        <v>1045.0</v>
      </c>
      <c r="B1046" s="7" t="s">
        <v>137</v>
      </c>
      <c r="C1046" s="7" t="s">
        <v>4731</v>
      </c>
      <c r="D1046" s="7"/>
      <c r="E1046" s="7"/>
      <c r="F1046" s="7" t="s">
        <v>4870</v>
      </c>
      <c r="G1046" s="7" t="s">
        <v>2654</v>
      </c>
      <c r="H1046" s="7" t="s">
        <v>2911</v>
      </c>
      <c r="I1046" s="7" t="s">
        <v>3054</v>
      </c>
      <c r="J1046" s="7" t="s">
        <v>3103</v>
      </c>
      <c r="K1046" s="7" t="str">
        <f t="shared" si="2"/>
        <v/>
      </c>
      <c r="L1046" s="7" t="str">
        <f t="shared" si="1026"/>
        <v/>
      </c>
      <c r="M1046" s="7">
        <f t="shared" ref="M1046:N1046" si="1061">IF(LEN(M$1),COUNTIF($G1046:$J1046,M$1),"")</f>
        <v>0</v>
      </c>
      <c r="N1046" s="7" t="str">
        <f t="shared" si="1061"/>
        <v/>
      </c>
      <c r="O1046" s="7" t="str">
        <f t="shared" si="1028"/>
        <v/>
      </c>
      <c r="P1046" s="7">
        <f t="shared" si="1029"/>
        <v>0</v>
      </c>
      <c r="Q1046" s="7" t="str">
        <f t="shared" si="7"/>
        <v/>
      </c>
      <c r="T1046" s="7"/>
    </row>
    <row r="1047" ht="12.75" customHeight="1">
      <c r="A1047" s="7">
        <v>1046.0</v>
      </c>
      <c r="B1047" s="7" t="s">
        <v>137</v>
      </c>
      <c r="C1047" s="7" t="s">
        <v>4731</v>
      </c>
      <c r="D1047" s="7"/>
      <c r="E1047" s="7"/>
      <c r="F1047" s="7" t="s">
        <v>4870</v>
      </c>
      <c r="G1047" s="7" t="s">
        <v>2721</v>
      </c>
      <c r="H1047" s="7" t="s">
        <v>2928</v>
      </c>
      <c r="I1047" s="7" t="s">
        <v>3050</v>
      </c>
      <c r="J1047" s="7" t="s">
        <v>3069</v>
      </c>
      <c r="K1047" s="7" t="str">
        <f t="shared" si="2"/>
        <v/>
      </c>
      <c r="L1047" s="7" t="str">
        <f t="shared" si="1026"/>
        <v/>
      </c>
      <c r="M1047" s="7">
        <f t="shared" ref="M1047:N1047" si="1062">IF(LEN(M$1),COUNTIF($G1047:$J1047,M$1),"")</f>
        <v>0</v>
      </c>
      <c r="N1047" s="7" t="str">
        <f t="shared" si="1062"/>
        <v/>
      </c>
      <c r="O1047" s="7" t="str">
        <f t="shared" si="1028"/>
        <v/>
      </c>
      <c r="P1047" s="7">
        <f t="shared" si="1029"/>
        <v>0</v>
      </c>
      <c r="Q1047" s="7" t="str">
        <f t="shared" si="7"/>
        <v/>
      </c>
      <c r="T1047" s="7"/>
    </row>
    <row r="1048" ht="12.75" customHeight="1">
      <c r="A1048" s="7">
        <v>1047.0</v>
      </c>
      <c r="B1048" s="7" t="s">
        <v>146</v>
      </c>
      <c r="C1048" s="7" t="s">
        <v>4731</v>
      </c>
      <c r="D1048" s="7"/>
      <c r="E1048" s="7"/>
      <c r="F1048" s="7" t="s">
        <v>4870</v>
      </c>
      <c r="G1048" s="7" t="s">
        <v>2616</v>
      </c>
      <c r="H1048" s="7" t="s">
        <v>2912</v>
      </c>
      <c r="I1048" s="7" t="s">
        <v>3100</v>
      </c>
      <c r="J1048" s="7" t="s">
        <v>3006</v>
      </c>
      <c r="K1048" s="7" t="str">
        <f t="shared" si="2"/>
        <v/>
      </c>
      <c r="L1048" s="7" t="str">
        <f t="shared" si="1026"/>
        <v/>
      </c>
      <c r="M1048" s="7">
        <f t="shared" ref="M1048:N1048" si="1063">IF(LEN(M$1),COUNTIF($G1048:$J1048,M$1),"")</f>
        <v>0</v>
      </c>
      <c r="N1048" s="7" t="str">
        <f t="shared" si="1063"/>
        <v/>
      </c>
      <c r="O1048" s="7" t="str">
        <f t="shared" si="1028"/>
        <v/>
      </c>
      <c r="P1048" s="7">
        <f t="shared" si="1029"/>
        <v>0</v>
      </c>
      <c r="Q1048" s="7" t="str">
        <f t="shared" si="7"/>
        <v/>
      </c>
      <c r="T1048" s="7"/>
    </row>
    <row r="1049" ht="12.75" customHeight="1">
      <c r="A1049" s="7">
        <v>1048.0</v>
      </c>
      <c r="B1049" s="7" t="s">
        <v>146</v>
      </c>
      <c r="C1049" s="7" t="s">
        <v>4731</v>
      </c>
      <c r="D1049" s="7"/>
      <c r="E1049" s="7"/>
      <c r="F1049" s="7" t="s">
        <v>4870</v>
      </c>
      <c r="G1049" s="7" t="s">
        <v>2690</v>
      </c>
      <c r="H1049" s="7" t="s">
        <v>2873</v>
      </c>
      <c r="I1049" s="7" t="s">
        <v>3073</v>
      </c>
      <c r="J1049" s="7" t="s">
        <v>2996</v>
      </c>
      <c r="K1049" s="7" t="str">
        <f t="shared" si="2"/>
        <v/>
      </c>
      <c r="L1049" s="7" t="str">
        <f t="shared" si="1026"/>
        <v/>
      </c>
      <c r="M1049" s="7">
        <f t="shared" ref="M1049:N1049" si="1064">IF(LEN(M$1),COUNTIF($G1049:$J1049,M$1),"")</f>
        <v>0</v>
      </c>
      <c r="N1049" s="7" t="str">
        <f t="shared" si="1064"/>
        <v/>
      </c>
      <c r="O1049" s="7" t="str">
        <f t="shared" si="1028"/>
        <v/>
      </c>
      <c r="P1049" s="7">
        <f t="shared" si="1029"/>
        <v>0</v>
      </c>
      <c r="Q1049" s="7" t="str">
        <f t="shared" si="7"/>
        <v/>
      </c>
      <c r="T1049" s="7"/>
    </row>
    <row r="1050" ht="12.75" customHeight="1">
      <c r="A1050" s="7">
        <v>1049.0</v>
      </c>
      <c r="B1050" s="7" t="s">
        <v>146</v>
      </c>
      <c r="C1050" s="7" t="s">
        <v>4731</v>
      </c>
      <c r="D1050" s="7"/>
      <c r="E1050" s="7"/>
      <c r="F1050" s="7" t="s">
        <v>4870</v>
      </c>
      <c r="G1050" s="7" t="s">
        <v>2793</v>
      </c>
      <c r="H1050" s="7" t="s">
        <v>2854</v>
      </c>
      <c r="I1050" s="7" t="s">
        <v>3060</v>
      </c>
      <c r="J1050" s="7" t="s">
        <v>3032</v>
      </c>
      <c r="K1050" s="7" t="str">
        <f t="shared" si="2"/>
        <v/>
      </c>
      <c r="L1050" s="7" t="str">
        <f t="shared" si="1026"/>
        <v/>
      </c>
      <c r="M1050" s="7">
        <f t="shared" ref="M1050:N1050" si="1065">IF(LEN(M$1),COUNTIF($G1050:$J1050,M$1),"")</f>
        <v>0</v>
      </c>
      <c r="N1050" s="7" t="str">
        <f t="shared" si="1065"/>
        <v/>
      </c>
      <c r="O1050" s="7" t="str">
        <f t="shared" si="1028"/>
        <v/>
      </c>
      <c r="P1050" s="7">
        <f t="shared" si="1029"/>
        <v>0</v>
      </c>
      <c r="Q1050" s="7" t="str">
        <f t="shared" si="7"/>
        <v/>
      </c>
      <c r="T1050" s="7"/>
    </row>
    <row r="1051" ht="12.75" customHeight="1">
      <c r="A1051" s="7">
        <v>1050.0</v>
      </c>
      <c r="B1051" s="7" t="s">
        <v>155</v>
      </c>
      <c r="C1051" s="7" t="s">
        <v>4731</v>
      </c>
      <c r="D1051" s="7"/>
      <c r="E1051" s="7"/>
      <c r="F1051" s="7" t="s">
        <v>4870</v>
      </c>
      <c r="G1051" s="7" t="s">
        <v>2663</v>
      </c>
      <c r="H1051" s="7" t="s">
        <v>2920</v>
      </c>
      <c r="I1051" s="7" t="s">
        <v>3044</v>
      </c>
      <c r="J1051" s="7" t="s">
        <v>3078</v>
      </c>
      <c r="K1051" s="7" t="str">
        <f t="shared" si="2"/>
        <v/>
      </c>
      <c r="L1051" s="7" t="str">
        <f t="shared" si="1026"/>
        <v/>
      </c>
      <c r="M1051" s="7">
        <f t="shared" ref="M1051:N1051" si="1066">IF(LEN(M$1),COUNTIF($G1051:$J1051,M$1),"")</f>
        <v>0</v>
      </c>
      <c r="N1051" s="7" t="str">
        <f t="shared" si="1066"/>
        <v/>
      </c>
      <c r="O1051" s="7" t="str">
        <f t="shared" si="1028"/>
        <v/>
      </c>
      <c r="P1051" s="7">
        <f t="shared" si="1029"/>
        <v>0</v>
      </c>
      <c r="Q1051" s="7" t="str">
        <f t="shared" si="7"/>
        <v/>
      </c>
      <c r="T1051" s="7"/>
    </row>
    <row r="1052" ht="12.75" customHeight="1">
      <c r="A1052" s="7">
        <v>1051.0</v>
      </c>
      <c r="B1052" s="7" t="s">
        <v>155</v>
      </c>
      <c r="C1052" s="7" t="s">
        <v>4731</v>
      </c>
      <c r="D1052" s="7"/>
      <c r="E1052" s="7"/>
      <c r="F1052" s="7" t="s">
        <v>4870</v>
      </c>
      <c r="G1052" s="7" t="s">
        <v>2597</v>
      </c>
      <c r="H1052" s="7" t="s">
        <v>2912</v>
      </c>
      <c r="I1052" s="7" t="s">
        <v>3001</v>
      </c>
      <c r="J1052" s="7" t="s">
        <v>3094</v>
      </c>
      <c r="K1052" s="7" t="str">
        <f t="shared" si="2"/>
        <v/>
      </c>
      <c r="L1052" s="7" t="str">
        <f t="shared" si="1026"/>
        <v/>
      </c>
      <c r="M1052" s="7">
        <f t="shared" ref="M1052:N1052" si="1067">IF(LEN(M$1),COUNTIF($G1052:$J1052,M$1),"")</f>
        <v>0</v>
      </c>
      <c r="N1052" s="7" t="str">
        <f t="shared" si="1067"/>
        <v/>
      </c>
      <c r="O1052" s="7" t="str">
        <f t="shared" si="1028"/>
        <v/>
      </c>
      <c r="P1052" s="7">
        <f t="shared" si="1029"/>
        <v>0</v>
      </c>
      <c r="Q1052" s="7" t="str">
        <f t="shared" si="7"/>
        <v/>
      </c>
      <c r="T1052" s="7"/>
    </row>
    <row r="1053" ht="12.75" customHeight="1">
      <c r="A1053" s="7">
        <v>1052.0</v>
      </c>
      <c r="B1053" s="7" t="s">
        <v>164</v>
      </c>
      <c r="C1053" s="7" t="s">
        <v>4735</v>
      </c>
      <c r="D1053" s="7"/>
      <c r="E1053" s="7"/>
      <c r="F1053" s="7" t="s">
        <v>4870</v>
      </c>
      <c r="G1053" s="7" t="s">
        <v>2736</v>
      </c>
      <c r="H1053" s="7" t="s">
        <v>2928</v>
      </c>
      <c r="I1053" s="7" t="s">
        <v>3044</v>
      </c>
      <c r="J1053" s="7" t="s">
        <v>2989</v>
      </c>
      <c r="K1053" s="7" t="str">
        <f t="shared" si="2"/>
        <v/>
      </c>
      <c r="L1053" s="7" t="str">
        <f t="shared" si="1026"/>
        <v/>
      </c>
      <c r="M1053" s="7">
        <f t="shared" ref="M1053:N1053" si="1068">IF(LEN(M$1),COUNTIF($G1053:$J1053,M$1),"")</f>
        <v>0</v>
      </c>
      <c r="N1053" s="7" t="str">
        <f t="shared" si="1068"/>
        <v/>
      </c>
      <c r="O1053" s="7" t="str">
        <f t="shared" si="1028"/>
        <v/>
      </c>
      <c r="P1053" s="7">
        <f t="shared" si="1029"/>
        <v>0</v>
      </c>
      <c r="Q1053" s="7" t="str">
        <f t="shared" si="7"/>
        <v/>
      </c>
      <c r="T1053" s="7"/>
    </row>
    <row r="1054" ht="12.75" customHeight="1">
      <c r="A1054" s="7">
        <v>1053.0</v>
      </c>
      <c r="B1054" s="7" t="s">
        <v>164</v>
      </c>
      <c r="C1054" s="7" t="s">
        <v>4735</v>
      </c>
      <c r="D1054" s="7"/>
      <c r="E1054" s="7"/>
      <c r="F1054" s="7" t="s">
        <v>4870</v>
      </c>
      <c r="G1054" s="7" t="s">
        <v>2577</v>
      </c>
      <c r="H1054" s="7" t="s">
        <v>2896</v>
      </c>
      <c r="I1054" s="7" t="s">
        <v>3067</v>
      </c>
      <c r="J1054" s="7" t="s">
        <v>3006</v>
      </c>
      <c r="K1054" s="7" t="str">
        <f t="shared" si="2"/>
        <v/>
      </c>
      <c r="L1054" s="7" t="str">
        <f t="shared" si="1026"/>
        <v/>
      </c>
      <c r="M1054" s="7">
        <f t="shared" ref="M1054:N1054" si="1069">IF(LEN(M$1),COUNTIF($G1054:$J1054,M$1),"")</f>
        <v>0</v>
      </c>
      <c r="N1054" s="7" t="str">
        <f t="shared" si="1069"/>
        <v/>
      </c>
      <c r="O1054" s="7" t="str">
        <f t="shared" si="1028"/>
        <v/>
      </c>
      <c r="P1054" s="7">
        <f t="shared" si="1029"/>
        <v>0</v>
      </c>
      <c r="Q1054" s="7" t="str">
        <f t="shared" si="7"/>
        <v/>
      </c>
      <c r="T1054" s="7"/>
    </row>
    <row r="1055" ht="12.75" customHeight="1">
      <c r="A1055" s="7">
        <v>1054.0</v>
      </c>
      <c r="B1055" s="7" t="s">
        <v>173</v>
      </c>
      <c r="C1055" s="7" t="s">
        <v>4735</v>
      </c>
      <c r="D1055" s="7"/>
      <c r="E1055" s="7"/>
      <c r="F1055" s="7" t="s">
        <v>4870</v>
      </c>
      <c r="G1055" s="7" t="s">
        <v>2778</v>
      </c>
      <c r="H1055" s="7" t="s">
        <v>2882</v>
      </c>
      <c r="I1055" s="7" t="s">
        <v>3032</v>
      </c>
      <c r="J1055" s="7" t="s">
        <v>3092</v>
      </c>
      <c r="K1055" s="7" t="str">
        <f t="shared" si="2"/>
        <v/>
      </c>
      <c r="L1055" s="7" t="str">
        <f t="shared" si="1026"/>
        <v/>
      </c>
      <c r="M1055" s="7">
        <f t="shared" ref="M1055:N1055" si="1070">IF(LEN(M$1),COUNTIF($G1055:$J1055,M$1),"")</f>
        <v>0</v>
      </c>
      <c r="N1055" s="7" t="str">
        <f t="shared" si="1070"/>
        <v/>
      </c>
      <c r="O1055" s="7" t="str">
        <f t="shared" si="1028"/>
        <v/>
      </c>
      <c r="P1055" s="7">
        <f t="shared" si="1029"/>
        <v>0</v>
      </c>
      <c r="Q1055" s="7" t="str">
        <f t="shared" si="7"/>
        <v/>
      </c>
      <c r="T1055" s="7"/>
    </row>
    <row r="1056" ht="12.75" customHeight="1">
      <c r="A1056" s="7">
        <v>1055.0</v>
      </c>
      <c r="B1056" s="7" t="s">
        <v>173</v>
      </c>
      <c r="C1056" s="7" t="s">
        <v>4735</v>
      </c>
      <c r="D1056" s="7"/>
      <c r="E1056" s="7"/>
      <c r="F1056" s="7" t="s">
        <v>4870</v>
      </c>
      <c r="G1056" s="7" t="s">
        <v>2850</v>
      </c>
      <c r="H1056" s="7" t="s">
        <v>2916</v>
      </c>
      <c r="I1056" s="7" t="s">
        <v>3089</v>
      </c>
      <c r="J1056" s="7" t="s">
        <v>3012</v>
      </c>
      <c r="K1056" s="7" t="str">
        <f t="shared" si="2"/>
        <v/>
      </c>
      <c r="L1056" s="7" t="str">
        <f t="shared" si="1026"/>
        <v/>
      </c>
      <c r="M1056" s="7">
        <f t="shared" ref="M1056:N1056" si="1071">IF(LEN(M$1),COUNTIF($G1056:$J1056,M$1),"")</f>
        <v>0</v>
      </c>
      <c r="N1056" s="7" t="str">
        <f t="shared" si="1071"/>
        <v/>
      </c>
      <c r="O1056" s="7" t="str">
        <f t="shared" si="1028"/>
        <v/>
      </c>
      <c r="P1056" s="7">
        <f t="shared" si="1029"/>
        <v>0</v>
      </c>
      <c r="Q1056" s="7" t="str">
        <f t="shared" si="7"/>
        <v/>
      </c>
      <c r="T1056" s="7"/>
    </row>
    <row r="1057" ht="12.75" customHeight="1">
      <c r="A1057" s="7">
        <v>1056.0</v>
      </c>
      <c r="B1057" s="7" t="s">
        <v>173</v>
      </c>
      <c r="C1057" s="7" t="s">
        <v>4735</v>
      </c>
      <c r="D1057" s="7"/>
      <c r="E1057" s="7"/>
      <c r="F1057" s="7" t="s">
        <v>4870</v>
      </c>
      <c r="G1057" s="7" t="s">
        <v>2754</v>
      </c>
      <c r="H1057" s="7" t="s">
        <v>2925</v>
      </c>
      <c r="I1057" s="7" t="s">
        <v>3092</v>
      </c>
      <c r="J1057" s="7" t="s">
        <v>3100</v>
      </c>
      <c r="K1057" s="7" t="str">
        <f t="shared" si="2"/>
        <v/>
      </c>
      <c r="L1057" s="7" t="str">
        <f t="shared" si="1026"/>
        <v/>
      </c>
      <c r="M1057" s="7">
        <f t="shared" ref="M1057:N1057" si="1072">IF(LEN(M$1),COUNTIF($G1057:$J1057,M$1),"")</f>
        <v>0</v>
      </c>
      <c r="N1057" s="7" t="str">
        <f t="shared" si="1072"/>
        <v/>
      </c>
      <c r="O1057" s="7" t="str">
        <f t="shared" si="1028"/>
        <v/>
      </c>
      <c r="P1057" s="7">
        <f t="shared" si="1029"/>
        <v>0</v>
      </c>
      <c r="Q1057" s="7" t="str">
        <f t="shared" si="7"/>
        <v/>
      </c>
      <c r="T1057" s="7"/>
    </row>
    <row r="1058" ht="12.75" customHeight="1">
      <c r="A1058" s="7">
        <v>1057.0</v>
      </c>
      <c r="B1058" s="7" t="s">
        <v>180</v>
      </c>
      <c r="C1058" s="7" t="s">
        <v>4735</v>
      </c>
      <c r="D1058" s="7"/>
      <c r="E1058" s="7"/>
      <c r="F1058" s="7" t="s">
        <v>4870</v>
      </c>
      <c r="G1058" s="7" t="s">
        <v>2774</v>
      </c>
      <c r="H1058" s="7" t="s">
        <v>2924</v>
      </c>
      <c r="I1058" s="7" t="s">
        <v>3100</v>
      </c>
      <c r="J1058" s="7" t="s">
        <v>2959</v>
      </c>
      <c r="K1058" s="7" t="str">
        <f t="shared" si="2"/>
        <v/>
      </c>
      <c r="L1058" s="7" t="str">
        <f t="shared" si="1026"/>
        <v/>
      </c>
      <c r="M1058" s="7">
        <f t="shared" ref="M1058:N1058" si="1073">IF(LEN(M$1),COUNTIF($G1058:$J1058,M$1),"")</f>
        <v>0</v>
      </c>
      <c r="N1058" s="7" t="str">
        <f t="shared" si="1073"/>
        <v/>
      </c>
      <c r="O1058" s="7" t="str">
        <f t="shared" si="1028"/>
        <v/>
      </c>
      <c r="P1058" s="7">
        <f t="shared" si="1029"/>
        <v>0</v>
      </c>
      <c r="Q1058" s="7" t="str">
        <f t="shared" si="7"/>
        <v/>
      </c>
      <c r="T1058" s="7"/>
    </row>
    <row r="1059" ht="12.75" customHeight="1">
      <c r="A1059" s="7">
        <v>1058.0</v>
      </c>
      <c r="B1059" s="7" t="s">
        <v>180</v>
      </c>
      <c r="C1059" s="7" t="s">
        <v>4735</v>
      </c>
      <c r="D1059" s="7"/>
      <c r="E1059" s="7"/>
      <c r="F1059" s="7" t="s">
        <v>4870</v>
      </c>
      <c r="G1059" s="7" t="s">
        <v>2740</v>
      </c>
      <c r="H1059" s="7" t="s">
        <v>2898</v>
      </c>
      <c r="I1059" s="7" t="s">
        <v>3029</v>
      </c>
      <c r="J1059" s="7" t="s">
        <v>3084</v>
      </c>
      <c r="K1059" s="7" t="str">
        <f t="shared" si="2"/>
        <v/>
      </c>
      <c r="L1059" s="7" t="str">
        <f t="shared" si="1026"/>
        <v/>
      </c>
      <c r="M1059" s="7">
        <f t="shared" ref="M1059:N1059" si="1074">IF(LEN(M$1),COUNTIF($G1059:$J1059,M$1),"")</f>
        <v>0</v>
      </c>
      <c r="N1059" s="7" t="str">
        <f t="shared" si="1074"/>
        <v/>
      </c>
      <c r="O1059" s="7" t="str">
        <f t="shared" si="1028"/>
        <v/>
      </c>
      <c r="P1059" s="7">
        <f t="shared" si="1029"/>
        <v>0</v>
      </c>
      <c r="Q1059" s="7" t="str">
        <f t="shared" si="7"/>
        <v/>
      </c>
      <c r="T1059" s="7"/>
    </row>
    <row r="1060" ht="12.75" customHeight="1">
      <c r="A1060" s="7">
        <v>1059.0</v>
      </c>
      <c r="B1060" s="7" t="s">
        <v>180</v>
      </c>
      <c r="C1060" s="7" t="s">
        <v>4735</v>
      </c>
      <c r="D1060" s="7"/>
      <c r="E1060" s="7"/>
      <c r="F1060" s="7" t="s">
        <v>4870</v>
      </c>
      <c r="G1060" s="7" t="s">
        <v>2740</v>
      </c>
      <c r="H1060" s="7" t="s">
        <v>2917</v>
      </c>
      <c r="I1060" s="7" t="s">
        <v>2979</v>
      </c>
      <c r="J1060" s="7" t="s">
        <v>3035</v>
      </c>
      <c r="K1060" s="7" t="str">
        <f t="shared" si="2"/>
        <v/>
      </c>
      <c r="L1060" s="7" t="str">
        <f t="shared" si="1026"/>
        <v/>
      </c>
      <c r="M1060" s="7">
        <f t="shared" ref="M1060:N1060" si="1075">IF(LEN(M$1),COUNTIF($G1060:$J1060,M$1),"")</f>
        <v>0</v>
      </c>
      <c r="N1060" s="7" t="str">
        <f t="shared" si="1075"/>
        <v/>
      </c>
      <c r="O1060" s="7" t="str">
        <f t="shared" si="1028"/>
        <v/>
      </c>
      <c r="P1060" s="7">
        <f t="shared" si="1029"/>
        <v>0</v>
      </c>
      <c r="Q1060" s="7" t="str">
        <f t="shared" si="7"/>
        <v/>
      </c>
      <c r="T1060" s="7"/>
    </row>
    <row r="1061" ht="12.75" customHeight="1">
      <c r="A1061" s="7">
        <v>1060.0</v>
      </c>
      <c r="B1061" s="7" t="s">
        <v>189</v>
      </c>
      <c r="C1061" s="7" t="s">
        <v>4740</v>
      </c>
      <c r="D1061" s="7"/>
      <c r="E1061" s="7"/>
      <c r="F1061" s="7" t="s">
        <v>4870</v>
      </c>
      <c r="G1061" s="7" t="s">
        <v>2609</v>
      </c>
      <c r="H1061" s="7" t="s">
        <v>2908</v>
      </c>
      <c r="I1061" s="7" t="s">
        <v>3017</v>
      </c>
      <c r="J1061" s="7" t="s">
        <v>2932</v>
      </c>
      <c r="K1061" s="7" t="str">
        <f t="shared" si="2"/>
        <v/>
      </c>
      <c r="L1061" s="7" t="str">
        <f t="shared" si="1026"/>
        <v/>
      </c>
      <c r="M1061" s="7">
        <f t="shared" ref="M1061:N1061" si="1076">IF(LEN(M$1),COUNTIF($G1061:$J1061,M$1),"")</f>
        <v>0</v>
      </c>
      <c r="N1061" s="7" t="str">
        <f t="shared" si="1076"/>
        <v/>
      </c>
      <c r="O1061" s="7" t="str">
        <f t="shared" si="1028"/>
        <v/>
      </c>
      <c r="P1061" s="7">
        <f t="shared" si="1029"/>
        <v>0</v>
      </c>
      <c r="Q1061" s="7" t="str">
        <f t="shared" si="7"/>
        <v/>
      </c>
      <c r="T1061" s="7"/>
    </row>
    <row r="1062" ht="12.75" customHeight="1">
      <c r="A1062" s="7">
        <v>1061.0</v>
      </c>
      <c r="B1062" s="7" t="s">
        <v>189</v>
      </c>
      <c r="C1062" s="7" t="s">
        <v>4740</v>
      </c>
      <c r="D1062" s="7"/>
      <c r="E1062" s="7"/>
      <c r="F1062" s="7" t="s">
        <v>4870</v>
      </c>
      <c r="G1062" s="7" t="s">
        <v>2743</v>
      </c>
      <c r="H1062" s="7" t="s">
        <v>2876</v>
      </c>
      <c r="I1062" s="7" t="s">
        <v>2998</v>
      </c>
      <c r="J1062" s="7" t="s">
        <v>3012</v>
      </c>
      <c r="K1062" s="7" t="str">
        <f t="shared" si="2"/>
        <v/>
      </c>
      <c r="L1062" s="7" t="str">
        <f t="shared" si="1026"/>
        <v/>
      </c>
      <c r="M1062" s="7">
        <f t="shared" ref="M1062:N1062" si="1077">IF(LEN(M$1),COUNTIF($G1062:$J1062,M$1),"")</f>
        <v>0</v>
      </c>
      <c r="N1062" s="7" t="str">
        <f t="shared" si="1077"/>
        <v/>
      </c>
      <c r="O1062" s="7" t="str">
        <f t="shared" si="1028"/>
        <v/>
      </c>
      <c r="P1062" s="7">
        <f t="shared" si="1029"/>
        <v>0</v>
      </c>
      <c r="Q1062" s="7" t="str">
        <f t="shared" si="7"/>
        <v/>
      </c>
      <c r="T1062" s="7"/>
    </row>
    <row r="1063" ht="12.75" customHeight="1">
      <c r="A1063" s="7">
        <v>1062.0</v>
      </c>
      <c r="B1063" s="7" t="s">
        <v>189</v>
      </c>
      <c r="C1063" s="7" t="s">
        <v>4740</v>
      </c>
      <c r="D1063" s="7"/>
      <c r="E1063" s="7"/>
      <c r="F1063" s="7" t="s">
        <v>4870</v>
      </c>
      <c r="G1063" s="7" t="s">
        <v>2729</v>
      </c>
      <c r="H1063" s="7" t="s">
        <v>2870</v>
      </c>
      <c r="I1063" s="7" t="s">
        <v>2932</v>
      </c>
      <c r="J1063" s="7" t="s">
        <v>2998</v>
      </c>
      <c r="K1063" s="7" t="str">
        <f t="shared" si="2"/>
        <v/>
      </c>
      <c r="L1063" s="7" t="str">
        <f t="shared" si="1026"/>
        <v/>
      </c>
      <c r="M1063" s="7">
        <f t="shared" ref="M1063:N1063" si="1078">IF(LEN(M$1),COUNTIF($G1063:$J1063,M$1),"")</f>
        <v>0</v>
      </c>
      <c r="N1063" s="7" t="str">
        <f t="shared" si="1078"/>
        <v/>
      </c>
      <c r="O1063" s="7" t="str">
        <f t="shared" si="1028"/>
        <v/>
      </c>
      <c r="P1063" s="7">
        <f t="shared" si="1029"/>
        <v>0</v>
      </c>
      <c r="Q1063" s="7" t="str">
        <f t="shared" si="7"/>
        <v/>
      </c>
      <c r="T1063" s="7"/>
    </row>
    <row r="1064" ht="12.75" customHeight="1">
      <c r="A1064" s="7">
        <v>1063.0</v>
      </c>
      <c r="B1064" s="7" t="s">
        <v>197</v>
      </c>
      <c r="C1064" s="7" t="s">
        <v>4740</v>
      </c>
      <c r="D1064" s="7"/>
      <c r="E1064" s="7"/>
      <c r="F1064" s="7" t="s">
        <v>4870</v>
      </c>
      <c r="G1064" s="7" t="s">
        <v>2729</v>
      </c>
      <c r="H1064" s="7" t="s">
        <v>2902</v>
      </c>
      <c r="I1064" s="7" t="s">
        <v>3044</v>
      </c>
      <c r="J1064" s="7" t="s">
        <v>3069</v>
      </c>
      <c r="K1064" s="7" t="str">
        <f t="shared" si="2"/>
        <v/>
      </c>
      <c r="L1064" s="7" t="str">
        <f t="shared" si="1026"/>
        <v/>
      </c>
      <c r="M1064" s="7">
        <f t="shared" ref="M1064:N1064" si="1079">IF(LEN(M$1),COUNTIF($G1064:$J1064,M$1),"")</f>
        <v>0</v>
      </c>
      <c r="N1064" s="7" t="str">
        <f t="shared" si="1079"/>
        <v/>
      </c>
      <c r="O1064" s="7" t="str">
        <f t="shared" si="1028"/>
        <v/>
      </c>
      <c r="P1064" s="7">
        <f t="shared" si="1029"/>
        <v>0</v>
      </c>
      <c r="Q1064" s="7" t="str">
        <f t="shared" si="7"/>
        <v/>
      </c>
      <c r="T1064" s="7"/>
    </row>
    <row r="1065" ht="12.75" customHeight="1">
      <c r="A1065" s="7">
        <v>1064.0</v>
      </c>
      <c r="B1065" s="7" t="s">
        <v>197</v>
      </c>
      <c r="C1065" s="7" t="s">
        <v>4740</v>
      </c>
      <c r="D1065" s="7"/>
      <c r="E1065" s="7"/>
      <c r="F1065" s="7" t="s">
        <v>4870</v>
      </c>
      <c r="G1065" s="7" t="s">
        <v>2804</v>
      </c>
      <c r="H1065" s="7" t="s">
        <v>2926</v>
      </c>
      <c r="I1065" s="7" t="s">
        <v>2996</v>
      </c>
      <c r="J1065" s="7" t="s">
        <v>2963</v>
      </c>
      <c r="K1065" s="7" t="str">
        <f t="shared" si="2"/>
        <v/>
      </c>
      <c r="L1065" s="7" t="str">
        <f t="shared" si="1026"/>
        <v/>
      </c>
      <c r="M1065" s="7">
        <f t="shared" ref="M1065:N1065" si="1080">IF(LEN(M$1),COUNTIF($G1065:$J1065,M$1),"")</f>
        <v>0</v>
      </c>
      <c r="N1065" s="7" t="str">
        <f t="shared" si="1080"/>
        <v/>
      </c>
      <c r="O1065" s="7" t="str">
        <f t="shared" si="1028"/>
        <v/>
      </c>
      <c r="P1065" s="7">
        <f t="shared" si="1029"/>
        <v>0</v>
      </c>
      <c r="Q1065" s="7" t="str">
        <f t="shared" si="7"/>
        <v/>
      </c>
      <c r="T1065" s="7"/>
    </row>
    <row r="1066" ht="12.75" customHeight="1">
      <c r="A1066" s="7">
        <v>1065.0</v>
      </c>
      <c r="B1066" s="7" t="s">
        <v>197</v>
      </c>
      <c r="C1066" s="7" t="s">
        <v>4740</v>
      </c>
      <c r="D1066" s="7"/>
      <c r="E1066" s="7"/>
      <c r="F1066" s="7" t="s">
        <v>4870</v>
      </c>
      <c r="G1066" s="7" t="s">
        <v>2678</v>
      </c>
      <c r="H1066" s="7" t="s">
        <v>2927</v>
      </c>
      <c r="I1066" s="7" t="s">
        <v>3106</v>
      </c>
      <c r="J1066" s="7" t="s">
        <v>3067</v>
      </c>
      <c r="K1066" s="7" t="str">
        <f t="shared" si="2"/>
        <v/>
      </c>
      <c r="L1066" s="7" t="str">
        <f t="shared" si="1026"/>
        <v/>
      </c>
      <c r="M1066" s="7">
        <f t="shared" ref="M1066:N1066" si="1081">IF(LEN(M$1),COUNTIF($G1066:$J1066,M$1),"")</f>
        <v>0</v>
      </c>
      <c r="N1066" s="7" t="str">
        <f t="shared" si="1081"/>
        <v/>
      </c>
      <c r="O1066" s="7" t="str">
        <f t="shared" si="1028"/>
        <v/>
      </c>
      <c r="P1066" s="7">
        <f t="shared" si="1029"/>
        <v>0</v>
      </c>
      <c r="Q1066" s="7" t="str">
        <f t="shared" si="7"/>
        <v/>
      </c>
      <c r="T1066" s="7"/>
    </row>
    <row r="1067" ht="12.75" customHeight="1">
      <c r="A1067" s="7">
        <v>1066.0</v>
      </c>
      <c r="B1067" s="7" t="s">
        <v>206</v>
      </c>
      <c r="C1067" s="7" t="s">
        <v>4740</v>
      </c>
      <c r="D1067" s="7"/>
      <c r="E1067" s="7"/>
      <c r="F1067" s="7" t="s">
        <v>4870</v>
      </c>
      <c r="G1067" s="7" t="s">
        <v>2729</v>
      </c>
      <c r="H1067" s="7" t="s">
        <v>2905</v>
      </c>
      <c r="I1067" s="7" t="s">
        <v>3098</v>
      </c>
      <c r="J1067" s="7" t="s">
        <v>2969</v>
      </c>
      <c r="K1067" s="7" t="str">
        <f t="shared" si="2"/>
        <v/>
      </c>
      <c r="L1067" s="7" t="str">
        <f t="shared" si="1026"/>
        <v/>
      </c>
      <c r="M1067" s="7">
        <f t="shared" ref="M1067:N1067" si="1082">IF(LEN(M$1),COUNTIF($G1067:$J1067,M$1),"")</f>
        <v>0</v>
      </c>
      <c r="N1067" s="7" t="str">
        <f t="shared" si="1082"/>
        <v/>
      </c>
      <c r="O1067" s="7" t="str">
        <f t="shared" si="1028"/>
        <v/>
      </c>
      <c r="P1067" s="7">
        <f t="shared" si="1029"/>
        <v>0</v>
      </c>
      <c r="Q1067" s="7" t="str">
        <f t="shared" si="7"/>
        <v/>
      </c>
      <c r="T1067" s="7"/>
    </row>
    <row r="1068" ht="12.75" customHeight="1">
      <c r="A1068" s="7">
        <v>1067.0</v>
      </c>
      <c r="B1068" s="7" t="s">
        <v>206</v>
      </c>
      <c r="C1068" s="7" t="s">
        <v>4740</v>
      </c>
      <c r="D1068" s="7"/>
      <c r="E1068" s="7"/>
      <c r="F1068" s="7" t="s">
        <v>4870</v>
      </c>
      <c r="G1068" s="7" t="s">
        <v>2678</v>
      </c>
      <c r="H1068" s="7" t="s">
        <v>2899</v>
      </c>
      <c r="I1068" s="7" t="s">
        <v>3019</v>
      </c>
      <c r="J1068" s="7" t="s">
        <v>3017</v>
      </c>
      <c r="K1068" s="7" t="str">
        <f t="shared" si="2"/>
        <v/>
      </c>
      <c r="L1068" s="7" t="str">
        <f t="shared" si="1026"/>
        <v/>
      </c>
      <c r="M1068" s="7">
        <f t="shared" ref="M1068:N1068" si="1083">IF(LEN(M$1),COUNTIF($G1068:$J1068,M$1),"")</f>
        <v>0</v>
      </c>
      <c r="N1068" s="7" t="str">
        <f t="shared" si="1083"/>
        <v/>
      </c>
      <c r="O1068" s="7" t="str">
        <f t="shared" si="1028"/>
        <v/>
      </c>
      <c r="P1068" s="7">
        <f t="shared" si="1029"/>
        <v>0</v>
      </c>
      <c r="Q1068" s="7" t="str">
        <f t="shared" si="7"/>
        <v/>
      </c>
    </row>
    <row r="1069" ht="12.75" customHeight="1">
      <c r="A1069" s="7">
        <v>1068.0</v>
      </c>
      <c r="B1069" s="7" t="s">
        <v>206</v>
      </c>
      <c r="C1069" s="7" t="s">
        <v>4740</v>
      </c>
      <c r="D1069" s="7"/>
      <c r="E1069" s="7"/>
      <c r="F1069" s="7" t="s">
        <v>4870</v>
      </c>
      <c r="G1069" s="7" t="s">
        <v>2597</v>
      </c>
      <c r="H1069" s="7" t="s">
        <v>2888</v>
      </c>
      <c r="I1069" s="7" t="s">
        <v>3075</v>
      </c>
      <c r="J1069" s="7" t="s">
        <v>3084</v>
      </c>
      <c r="K1069" s="7" t="str">
        <f t="shared" si="2"/>
        <v/>
      </c>
      <c r="L1069" s="7" t="str">
        <f t="shared" si="1026"/>
        <v/>
      </c>
      <c r="M1069" s="7">
        <f t="shared" ref="M1069:N1069" si="1084">IF(LEN(M$1),COUNTIF($G1069:$J1069,M$1),"")</f>
        <v>0</v>
      </c>
      <c r="N1069" s="7" t="str">
        <f t="shared" si="1084"/>
        <v/>
      </c>
      <c r="O1069" s="7" t="str">
        <f t="shared" si="1028"/>
        <v/>
      </c>
      <c r="P1069" s="7">
        <f t="shared" si="1029"/>
        <v>0</v>
      </c>
      <c r="Q1069" s="7" t="str">
        <f t="shared" si="7"/>
        <v/>
      </c>
    </row>
    <row r="1070" ht="12.75" customHeight="1">
      <c r="A1070" s="7">
        <v>1069.0</v>
      </c>
      <c r="B1070" s="7" t="s">
        <v>213</v>
      </c>
      <c r="C1070" s="7" t="s">
        <v>4743</v>
      </c>
      <c r="D1070" s="7"/>
      <c r="E1070" s="7"/>
      <c r="F1070" s="7" t="s">
        <v>4870</v>
      </c>
      <c r="G1070" s="7" t="s">
        <v>2768</v>
      </c>
      <c r="H1070" s="7" t="s">
        <v>2906</v>
      </c>
      <c r="I1070" s="7" t="s">
        <v>3064</v>
      </c>
      <c r="J1070" s="7" t="s">
        <v>3050</v>
      </c>
      <c r="K1070" s="7" t="str">
        <f t="shared" si="2"/>
        <v/>
      </c>
      <c r="L1070" s="7" t="str">
        <f t="shared" si="1026"/>
        <v/>
      </c>
      <c r="M1070" s="7">
        <f t="shared" ref="M1070:N1070" si="1085">IF(LEN(M$1),COUNTIF($G1070:$J1070,M$1),"")</f>
        <v>0</v>
      </c>
      <c r="N1070" s="7" t="str">
        <f t="shared" si="1085"/>
        <v/>
      </c>
      <c r="O1070" s="7" t="str">
        <f t="shared" si="1028"/>
        <v/>
      </c>
      <c r="P1070" s="7">
        <f t="shared" si="1029"/>
        <v>0</v>
      </c>
      <c r="Q1070" s="7" t="str">
        <f t="shared" si="7"/>
        <v/>
      </c>
      <c r="T1070" s="7"/>
    </row>
    <row r="1071" ht="12.75" customHeight="1">
      <c r="A1071" s="7">
        <v>1070.0</v>
      </c>
      <c r="B1071" s="7" t="s">
        <v>213</v>
      </c>
      <c r="C1071" s="7" t="s">
        <v>4743</v>
      </c>
      <c r="D1071" s="7"/>
      <c r="E1071" s="7"/>
      <c r="F1071" s="7" t="s">
        <v>4870</v>
      </c>
      <c r="G1071" s="7" t="s">
        <v>2591</v>
      </c>
      <c r="H1071" s="7" t="s">
        <v>2859</v>
      </c>
      <c r="I1071" s="7" t="s">
        <v>3050</v>
      </c>
      <c r="J1071" s="7" t="s">
        <v>3082</v>
      </c>
      <c r="K1071" s="7" t="str">
        <f t="shared" si="2"/>
        <v/>
      </c>
      <c r="L1071" s="7" t="str">
        <f t="shared" si="1026"/>
        <v/>
      </c>
      <c r="M1071" s="7">
        <f t="shared" ref="M1071:N1071" si="1086">IF(LEN(M$1),COUNTIF($G1071:$J1071,M$1),"")</f>
        <v>0</v>
      </c>
      <c r="N1071" s="7" t="str">
        <f t="shared" si="1086"/>
        <v/>
      </c>
      <c r="O1071" s="7" t="str">
        <f t="shared" si="1028"/>
        <v/>
      </c>
      <c r="P1071" s="7">
        <f t="shared" si="1029"/>
        <v>0</v>
      </c>
      <c r="Q1071" s="7" t="str">
        <f t="shared" si="7"/>
        <v/>
      </c>
      <c r="T1071" s="7"/>
    </row>
    <row r="1072" ht="12.75" customHeight="1">
      <c r="A1072" s="7">
        <v>1071.0</v>
      </c>
      <c r="B1072" s="7" t="s">
        <v>213</v>
      </c>
      <c r="C1072" s="7" t="s">
        <v>4743</v>
      </c>
      <c r="D1072" s="7"/>
      <c r="E1072" s="7"/>
      <c r="F1072" s="7" t="s">
        <v>4870</v>
      </c>
      <c r="G1072" s="7" t="s">
        <v>2743</v>
      </c>
      <c r="H1072" s="7" t="s">
        <v>2897</v>
      </c>
      <c r="I1072" s="7" t="s">
        <v>2996</v>
      </c>
      <c r="J1072" s="7" t="s">
        <v>3075</v>
      </c>
      <c r="K1072" s="7" t="str">
        <f t="shared" si="2"/>
        <v/>
      </c>
      <c r="L1072" s="7" t="str">
        <f t="shared" si="1026"/>
        <v/>
      </c>
      <c r="M1072" s="7">
        <f t="shared" ref="M1072:N1072" si="1087">IF(LEN(M$1),COUNTIF($G1072:$J1072,M$1),"")</f>
        <v>0</v>
      </c>
      <c r="N1072" s="7" t="str">
        <f t="shared" si="1087"/>
        <v/>
      </c>
      <c r="O1072" s="7" t="str">
        <f t="shared" si="1028"/>
        <v/>
      </c>
      <c r="P1072" s="7">
        <f t="shared" si="1029"/>
        <v>0</v>
      </c>
      <c r="Q1072" s="7" t="str">
        <f t="shared" si="7"/>
        <v/>
      </c>
      <c r="T1072" s="7"/>
    </row>
    <row r="1073" ht="12.75" customHeight="1">
      <c r="A1073" s="7">
        <v>1072.0</v>
      </c>
      <c r="B1073" s="7" t="s">
        <v>220</v>
      </c>
      <c r="C1073" s="7" t="s">
        <v>4743</v>
      </c>
      <c r="D1073" s="7"/>
      <c r="E1073" s="7"/>
      <c r="F1073" s="7" t="s">
        <v>4870</v>
      </c>
      <c r="G1073" s="7" t="s">
        <v>2654</v>
      </c>
      <c r="H1073" s="7" t="s">
        <v>2919</v>
      </c>
      <c r="I1073" s="7" t="s">
        <v>2934</v>
      </c>
      <c r="J1073" s="7" t="s">
        <v>3069</v>
      </c>
      <c r="K1073" s="7" t="str">
        <f t="shared" si="2"/>
        <v/>
      </c>
      <c r="L1073" s="7" t="str">
        <f t="shared" si="1026"/>
        <v/>
      </c>
      <c r="M1073" s="7">
        <f t="shared" ref="M1073:N1073" si="1088">IF(LEN(M$1),COUNTIF($G1073:$J1073,M$1),"")</f>
        <v>0</v>
      </c>
      <c r="N1073" s="7" t="str">
        <f t="shared" si="1088"/>
        <v/>
      </c>
      <c r="O1073" s="7" t="str">
        <f t="shared" si="1028"/>
        <v/>
      </c>
      <c r="P1073" s="7">
        <f t="shared" si="1029"/>
        <v>0</v>
      </c>
      <c r="Q1073" s="7" t="str">
        <f t="shared" si="7"/>
        <v/>
      </c>
      <c r="T1073" s="7"/>
    </row>
    <row r="1074" ht="12.75" customHeight="1">
      <c r="A1074" s="7">
        <v>1073.0</v>
      </c>
      <c r="B1074" s="7" t="s">
        <v>220</v>
      </c>
      <c r="C1074" s="7" t="s">
        <v>4743</v>
      </c>
      <c r="D1074" s="7"/>
      <c r="E1074" s="7"/>
      <c r="F1074" s="7" t="s">
        <v>4870</v>
      </c>
      <c r="G1074" s="7" t="s">
        <v>2715</v>
      </c>
      <c r="H1074" s="7" t="s">
        <v>2913</v>
      </c>
      <c r="I1074" s="7" t="s">
        <v>2981</v>
      </c>
      <c r="J1074" s="7" t="s">
        <v>3100</v>
      </c>
      <c r="K1074" s="7" t="str">
        <f t="shared" si="2"/>
        <v/>
      </c>
      <c r="L1074" s="7" t="str">
        <f t="shared" si="1026"/>
        <v/>
      </c>
      <c r="M1074" s="7">
        <f t="shared" ref="M1074:N1074" si="1089">IF(LEN(M$1),COUNTIF($G1074:$J1074,M$1),"")</f>
        <v>0</v>
      </c>
      <c r="N1074" s="7" t="str">
        <f t="shared" si="1089"/>
        <v/>
      </c>
      <c r="O1074" s="7" t="str">
        <f t="shared" si="1028"/>
        <v/>
      </c>
      <c r="P1074" s="7">
        <f t="shared" si="1029"/>
        <v>0</v>
      </c>
      <c r="Q1074" s="7" t="str">
        <f t="shared" si="7"/>
        <v/>
      </c>
      <c r="T1074" s="7"/>
    </row>
    <row r="1075" ht="12.75" customHeight="1">
      <c r="A1075" s="7">
        <v>1074.0</v>
      </c>
      <c r="B1075" s="7" t="s">
        <v>220</v>
      </c>
      <c r="C1075" s="7" t="s">
        <v>4743</v>
      </c>
      <c r="D1075" s="7"/>
      <c r="E1075" s="7"/>
      <c r="F1075" s="7" t="s">
        <v>4870</v>
      </c>
      <c r="G1075" s="7" t="s">
        <v>2683</v>
      </c>
      <c r="H1075" s="7" t="s">
        <v>2920</v>
      </c>
      <c r="I1075" s="7" t="s">
        <v>3092</v>
      </c>
      <c r="J1075" s="7" t="s">
        <v>3084</v>
      </c>
      <c r="K1075" s="7" t="str">
        <f t="shared" si="2"/>
        <v/>
      </c>
      <c r="L1075" s="7" t="str">
        <f t="shared" si="1026"/>
        <v/>
      </c>
      <c r="M1075" s="7">
        <f t="shared" ref="M1075:N1075" si="1090">IF(LEN(M$1),COUNTIF($G1075:$J1075,M$1),"")</f>
        <v>0</v>
      </c>
      <c r="N1075" s="7" t="str">
        <f t="shared" si="1090"/>
        <v/>
      </c>
      <c r="O1075" s="7" t="str">
        <f t="shared" si="1028"/>
        <v/>
      </c>
      <c r="P1075" s="7">
        <f t="shared" si="1029"/>
        <v>0</v>
      </c>
      <c r="Q1075" s="7" t="str">
        <f t="shared" si="7"/>
        <v/>
      </c>
      <c r="T1075" s="7"/>
    </row>
    <row r="1076" ht="12.75" customHeight="1">
      <c r="A1076" s="7">
        <v>1075.0</v>
      </c>
      <c r="B1076" s="7" t="s">
        <v>229</v>
      </c>
      <c r="C1076" s="7" t="s">
        <v>4743</v>
      </c>
      <c r="D1076" s="7"/>
      <c r="E1076" s="7"/>
      <c r="F1076" s="7" t="s">
        <v>4870</v>
      </c>
      <c r="G1076" s="7" t="s">
        <v>2804</v>
      </c>
      <c r="H1076" s="7" t="s">
        <v>2912</v>
      </c>
      <c r="I1076" s="7" t="s">
        <v>2954</v>
      </c>
      <c r="J1076" s="7" t="s">
        <v>3060</v>
      </c>
      <c r="K1076" s="7" t="str">
        <f t="shared" si="2"/>
        <v/>
      </c>
      <c r="L1076" s="7" t="str">
        <f t="shared" si="1026"/>
        <v/>
      </c>
      <c r="M1076" s="7">
        <f t="shared" ref="M1076:N1076" si="1091">IF(LEN(M$1),COUNTIF($G1076:$J1076,M$1),"")</f>
        <v>0</v>
      </c>
      <c r="N1076" s="7" t="str">
        <f t="shared" si="1091"/>
        <v/>
      </c>
      <c r="O1076" s="7" t="str">
        <f t="shared" si="1028"/>
        <v/>
      </c>
      <c r="P1076" s="7">
        <f t="shared" si="1029"/>
        <v>0</v>
      </c>
      <c r="Q1076" s="7" t="str">
        <f t="shared" si="7"/>
        <v/>
      </c>
      <c r="T1076" s="7"/>
    </row>
    <row r="1077" ht="12.75" customHeight="1">
      <c r="A1077" s="7">
        <v>1076.0</v>
      </c>
      <c r="B1077" s="7" t="s">
        <v>229</v>
      </c>
      <c r="C1077" s="7" t="s">
        <v>4743</v>
      </c>
      <c r="D1077" s="7"/>
      <c r="E1077" s="7"/>
      <c r="F1077" s="7" t="s">
        <v>4870</v>
      </c>
      <c r="G1077" s="7" t="s">
        <v>2603</v>
      </c>
      <c r="H1077" s="7" t="s">
        <v>2916</v>
      </c>
      <c r="I1077" s="7" t="s">
        <v>3100</v>
      </c>
      <c r="J1077" s="7" t="s">
        <v>2903</v>
      </c>
      <c r="K1077" s="7" t="str">
        <f t="shared" si="2"/>
        <v/>
      </c>
      <c r="L1077" s="7" t="str">
        <f t="shared" si="1026"/>
        <v/>
      </c>
      <c r="M1077" s="7">
        <f t="shared" ref="M1077:N1077" si="1092">IF(LEN(M$1),COUNTIF($G1077:$J1077,M$1),"")</f>
        <v>0</v>
      </c>
      <c r="N1077" s="7" t="str">
        <f t="shared" si="1092"/>
        <v/>
      </c>
      <c r="O1077" s="7" t="str">
        <f t="shared" si="1028"/>
        <v/>
      </c>
      <c r="P1077" s="7">
        <f t="shared" si="1029"/>
        <v>0</v>
      </c>
      <c r="Q1077" s="7" t="str">
        <f t="shared" si="7"/>
        <v/>
      </c>
      <c r="T1077" s="7"/>
    </row>
    <row r="1078" ht="12.75" customHeight="1">
      <c r="A1078" s="7">
        <v>1077.0</v>
      </c>
      <c r="B1078" s="7" t="s">
        <v>237</v>
      </c>
      <c r="C1078" s="7" t="s">
        <v>4748</v>
      </c>
      <c r="D1078" s="7"/>
      <c r="E1078" s="7"/>
      <c r="F1078" s="7" t="s">
        <v>4870</v>
      </c>
      <c r="G1078" s="7" t="s">
        <v>2721</v>
      </c>
      <c r="H1078" s="7" t="s">
        <v>2884</v>
      </c>
      <c r="I1078" s="7" t="s">
        <v>3040</v>
      </c>
      <c r="J1078" s="7" t="s">
        <v>2984</v>
      </c>
      <c r="K1078" s="7" t="str">
        <f t="shared" si="2"/>
        <v/>
      </c>
      <c r="L1078" s="7" t="str">
        <f t="shared" si="1026"/>
        <v/>
      </c>
      <c r="M1078" s="7">
        <f t="shared" ref="M1078:N1078" si="1093">IF(LEN(M$1),COUNTIF($G1078:$J1078,M$1),"")</f>
        <v>0</v>
      </c>
      <c r="N1078" s="7" t="str">
        <f t="shared" si="1093"/>
        <v/>
      </c>
      <c r="O1078" s="7" t="str">
        <f t="shared" si="1028"/>
        <v/>
      </c>
      <c r="P1078" s="7">
        <f t="shared" si="1029"/>
        <v>0</v>
      </c>
      <c r="Q1078" s="7" t="str">
        <f t="shared" si="7"/>
        <v/>
      </c>
      <c r="T1078" s="7"/>
    </row>
    <row r="1079" ht="12.75" customHeight="1">
      <c r="A1079" s="7">
        <v>1078.0</v>
      </c>
      <c r="B1079" s="7" t="s">
        <v>237</v>
      </c>
      <c r="C1079" s="7" t="s">
        <v>4748</v>
      </c>
      <c r="D1079" s="7"/>
      <c r="E1079" s="7"/>
      <c r="F1079" s="7" t="s">
        <v>4870</v>
      </c>
      <c r="G1079" s="7" t="s">
        <v>2768</v>
      </c>
      <c r="H1079" s="7" t="s">
        <v>2870</v>
      </c>
      <c r="I1079" s="7" t="s">
        <v>3017</v>
      </c>
      <c r="J1079" s="7" t="s">
        <v>3082</v>
      </c>
      <c r="K1079" s="7" t="str">
        <f t="shared" si="2"/>
        <v/>
      </c>
      <c r="L1079" s="7" t="str">
        <f t="shared" si="1026"/>
        <v/>
      </c>
      <c r="M1079" s="7">
        <f t="shared" ref="M1079:N1079" si="1094">IF(LEN(M$1),COUNTIF($G1079:$J1079,M$1),"")</f>
        <v>0</v>
      </c>
      <c r="N1079" s="7" t="str">
        <f t="shared" si="1094"/>
        <v/>
      </c>
      <c r="O1079" s="7" t="str">
        <f t="shared" si="1028"/>
        <v/>
      </c>
      <c r="P1079" s="7">
        <f t="shared" si="1029"/>
        <v>0</v>
      </c>
      <c r="Q1079" s="7" t="str">
        <f t="shared" si="7"/>
        <v/>
      </c>
      <c r="T1079" s="7"/>
    </row>
    <row r="1080" ht="12.75" customHeight="1">
      <c r="A1080" s="7">
        <v>1079.0</v>
      </c>
      <c r="B1080" s="7" t="s">
        <v>237</v>
      </c>
      <c r="C1080" s="7" t="s">
        <v>4748</v>
      </c>
      <c r="D1080" s="7"/>
      <c r="E1080" s="7"/>
      <c r="F1080" s="7" t="s">
        <v>4870</v>
      </c>
      <c r="G1080" s="7" t="s">
        <v>2639</v>
      </c>
      <c r="H1080" s="7" t="s">
        <v>2893</v>
      </c>
      <c r="I1080" s="7" t="s">
        <v>2939</v>
      </c>
      <c r="J1080" s="7" t="s">
        <v>2996</v>
      </c>
      <c r="K1080" s="7" t="str">
        <f t="shared" si="2"/>
        <v/>
      </c>
      <c r="L1080" s="7" t="str">
        <f t="shared" si="1026"/>
        <v/>
      </c>
      <c r="M1080" s="7">
        <f t="shared" ref="M1080:N1080" si="1095">IF(LEN(M$1),COUNTIF($G1080:$J1080,M$1),"")</f>
        <v>0</v>
      </c>
      <c r="N1080" s="7" t="str">
        <f t="shared" si="1095"/>
        <v/>
      </c>
      <c r="O1080" s="7" t="str">
        <f t="shared" si="1028"/>
        <v/>
      </c>
      <c r="P1080" s="7">
        <f t="shared" si="1029"/>
        <v>0</v>
      </c>
      <c r="Q1080" s="7" t="str">
        <f t="shared" si="7"/>
        <v/>
      </c>
      <c r="T1080" s="7"/>
    </row>
    <row r="1081" ht="12.75" customHeight="1">
      <c r="A1081" s="7">
        <v>1080.0</v>
      </c>
      <c r="B1081" s="7" t="s">
        <v>245</v>
      </c>
      <c r="C1081" s="7" t="s">
        <v>4748</v>
      </c>
      <c r="D1081" s="7"/>
      <c r="E1081" s="7"/>
      <c r="F1081" s="7" t="s">
        <v>4870</v>
      </c>
      <c r="G1081" s="7" t="s">
        <v>2850</v>
      </c>
      <c r="H1081" s="7" t="s">
        <v>2861</v>
      </c>
      <c r="I1081" s="7" t="s">
        <v>2934</v>
      </c>
      <c r="J1081" s="7" t="s">
        <v>3110</v>
      </c>
      <c r="K1081" s="7" t="str">
        <f t="shared" si="2"/>
        <v/>
      </c>
      <c r="L1081" s="7" t="str">
        <f t="shared" si="1026"/>
        <v/>
      </c>
      <c r="M1081" s="7">
        <f t="shared" ref="M1081:N1081" si="1096">IF(LEN(M$1),COUNTIF($G1081:$J1081,M$1),"")</f>
        <v>0</v>
      </c>
      <c r="N1081" s="7" t="str">
        <f t="shared" si="1096"/>
        <v/>
      </c>
      <c r="O1081" s="7" t="str">
        <f t="shared" si="1028"/>
        <v/>
      </c>
      <c r="P1081" s="7">
        <f t="shared" si="1029"/>
        <v>0</v>
      </c>
      <c r="Q1081" s="7" t="str">
        <f t="shared" si="7"/>
        <v/>
      </c>
      <c r="T1081" s="7"/>
    </row>
    <row r="1082" ht="12.75" customHeight="1">
      <c r="A1082" s="7">
        <v>1081.0</v>
      </c>
      <c r="B1082" s="7" t="s">
        <v>245</v>
      </c>
      <c r="C1082" s="7" t="s">
        <v>4748</v>
      </c>
      <c r="D1082" s="7"/>
      <c r="E1082" s="7"/>
      <c r="F1082" s="7" t="s">
        <v>4870</v>
      </c>
      <c r="G1082" s="7" t="s">
        <v>2809</v>
      </c>
      <c r="H1082" s="7" t="s">
        <v>2922</v>
      </c>
      <c r="I1082" s="7" t="s">
        <v>2942</v>
      </c>
      <c r="J1082" s="7" t="s">
        <v>3050</v>
      </c>
      <c r="K1082" s="7" t="str">
        <f t="shared" si="2"/>
        <v/>
      </c>
      <c r="L1082" s="7" t="str">
        <f t="shared" si="1026"/>
        <v/>
      </c>
      <c r="M1082" s="7">
        <f t="shared" ref="M1082:N1082" si="1097">IF(LEN(M$1),COUNTIF($G1082:$J1082,M$1),"")</f>
        <v>0</v>
      </c>
      <c r="N1082" s="7" t="str">
        <f t="shared" si="1097"/>
        <v/>
      </c>
      <c r="O1082" s="7" t="str">
        <f t="shared" si="1028"/>
        <v/>
      </c>
      <c r="P1082" s="7">
        <f t="shared" si="1029"/>
        <v>0</v>
      </c>
      <c r="Q1082" s="7" t="str">
        <f t="shared" si="7"/>
        <v/>
      </c>
      <c r="T1082" s="7"/>
    </row>
    <row r="1083" ht="12.75" customHeight="1">
      <c r="A1083" s="7">
        <v>1082.0</v>
      </c>
      <c r="B1083" s="7" t="s">
        <v>245</v>
      </c>
      <c r="C1083" s="7" t="s">
        <v>4748</v>
      </c>
      <c r="D1083" s="7"/>
      <c r="E1083" s="7"/>
      <c r="F1083" s="7" t="s">
        <v>4870</v>
      </c>
      <c r="G1083" s="7" t="s">
        <v>2783</v>
      </c>
      <c r="H1083" s="7" t="s">
        <v>2904</v>
      </c>
      <c r="I1083" s="7" t="s">
        <v>2932</v>
      </c>
      <c r="J1083" s="7" t="s">
        <v>2929</v>
      </c>
      <c r="K1083" s="7" t="str">
        <f t="shared" si="2"/>
        <v/>
      </c>
      <c r="L1083" s="7" t="str">
        <f t="shared" si="1026"/>
        <v/>
      </c>
      <c r="M1083" s="7">
        <f t="shared" ref="M1083:N1083" si="1098">IF(LEN(M$1),COUNTIF($G1083:$J1083,M$1),"")</f>
        <v>0</v>
      </c>
      <c r="N1083" s="7" t="str">
        <f t="shared" si="1098"/>
        <v/>
      </c>
      <c r="O1083" s="7" t="str">
        <f t="shared" si="1028"/>
        <v/>
      </c>
      <c r="P1083" s="7">
        <f t="shared" si="1029"/>
        <v>0</v>
      </c>
      <c r="Q1083" s="7" t="str">
        <f t="shared" si="7"/>
        <v/>
      </c>
      <c r="T1083" s="7"/>
    </row>
    <row r="1084" ht="12.75" customHeight="1">
      <c r="A1084" s="7">
        <v>1083.0</v>
      </c>
      <c r="B1084" s="7" t="s">
        <v>254</v>
      </c>
      <c r="C1084" s="7" t="s">
        <v>4748</v>
      </c>
      <c r="D1084" s="7"/>
      <c r="E1084" s="7"/>
      <c r="F1084" s="7" t="s">
        <v>4870</v>
      </c>
      <c r="G1084" s="7" t="s">
        <v>2787</v>
      </c>
      <c r="H1084" s="7" t="s">
        <v>2882</v>
      </c>
      <c r="I1084" s="7" t="s">
        <v>3069</v>
      </c>
      <c r="J1084" s="7" t="s">
        <v>2963</v>
      </c>
      <c r="K1084" s="7" t="str">
        <f t="shared" si="2"/>
        <v/>
      </c>
      <c r="L1084" s="7" t="str">
        <f t="shared" si="1026"/>
        <v/>
      </c>
      <c r="M1084" s="7">
        <f t="shared" ref="M1084:N1084" si="1099">IF(LEN(M$1),COUNTIF($G1084:$J1084,M$1),"")</f>
        <v>0</v>
      </c>
      <c r="N1084" s="7" t="str">
        <f t="shared" si="1099"/>
        <v/>
      </c>
      <c r="O1084" s="7" t="str">
        <f t="shared" si="1028"/>
        <v/>
      </c>
      <c r="P1084" s="7">
        <f t="shared" si="1029"/>
        <v>0</v>
      </c>
      <c r="Q1084" s="7" t="str">
        <f t="shared" si="7"/>
        <v/>
      </c>
      <c r="T1084" s="7"/>
    </row>
    <row r="1085" ht="12.75" customHeight="1">
      <c r="A1085" s="7">
        <v>1084.0</v>
      </c>
      <c r="B1085" s="7" t="s">
        <v>254</v>
      </c>
      <c r="C1085" s="7" t="s">
        <v>4748</v>
      </c>
      <c r="D1085" s="7"/>
      <c r="E1085" s="7"/>
      <c r="F1085" s="7" t="s">
        <v>4870</v>
      </c>
      <c r="G1085" s="7" t="s">
        <v>2633</v>
      </c>
      <c r="H1085" s="7" t="s">
        <v>2918</v>
      </c>
      <c r="I1085" s="7" t="s">
        <v>3103</v>
      </c>
      <c r="J1085" s="7" t="s">
        <v>2949</v>
      </c>
      <c r="K1085" s="7" t="str">
        <f t="shared" si="2"/>
        <v/>
      </c>
      <c r="L1085" s="7" t="str">
        <f t="shared" si="1026"/>
        <v/>
      </c>
      <c r="M1085" s="7">
        <f t="shared" ref="M1085:N1085" si="1100">IF(LEN(M$1),COUNTIF($G1085:$J1085,M$1),"")</f>
        <v>0</v>
      </c>
      <c r="N1085" s="7" t="str">
        <f t="shared" si="1100"/>
        <v/>
      </c>
      <c r="O1085" s="7" t="str">
        <f t="shared" si="1028"/>
        <v/>
      </c>
      <c r="P1085" s="7">
        <f t="shared" si="1029"/>
        <v>0</v>
      </c>
      <c r="Q1085" s="7" t="str">
        <f t="shared" si="7"/>
        <v/>
      </c>
      <c r="T1085" s="7"/>
    </row>
    <row r="1086" ht="12.75" customHeight="1">
      <c r="A1086" s="7">
        <v>1085.0</v>
      </c>
      <c r="B1086" s="7" t="s">
        <v>262</v>
      </c>
      <c r="C1086" s="7" t="s">
        <v>4752</v>
      </c>
      <c r="D1086" s="7"/>
      <c r="E1086" s="7"/>
      <c r="F1086" s="7" t="s">
        <v>4870</v>
      </c>
      <c r="G1086" s="7" t="s">
        <v>2697</v>
      </c>
      <c r="H1086" s="7" t="s">
        <v>2857</v>
      </c>
      <c r="I1086" s="7" t="s">
        <v>2984</v>
      </c>
      <c r="J1086" s="7" t="s">
        <v>2959</v>
      </c>
      <c r="K1086" s="7" t="str">
        <f t="shared" si="2"/>
        <v/>
      </c>
      <c r="L1086" s="7" t="str">
        <f t="shared" si="1026"/>
        <v/>
      </c>
      <c r="M1086" s="7">
        <f t="shared" ref="M1086:N1086" si="1101">IF(LEN(M$1),COUNTIF($G1086:$J1086,M$1),"")</f>
        <v>0</v>
      </c>
      <c r="N1086" s="7" t="str">
        <f t="shared" si="1101"/>
        <v/>
      </c>
      <c r="O1086" s="7" t="str">
        <f t="shared" si="1028"/>
        <v/>
      </c>
      <c r="P1086" s="7">
        <f t="shared" si="1029"/>
        <v>0</v>
      </c>
      <c r="Q1086" s="7" t="str">
        <f t="shared" si="7"/>
        <v/>
      </c>
      <c r="T1086" s="7"/>
    </row>
    <row r="1087" ht="12.75" customHeight="1">
      <c r="A1087" s="7">
        <v>1086.0</v>
      </c>
      <c r="B1087" s="7" t="s">
        <v>262</v>
      </c>
      <c r="C1087" s="7" t="s">
        <v>4752</v>
      </c>
      <c r="D1087" s="7"/>
      <c r="E1087" s="7"/>
      <c r="F1087" s="7" t="s">
        <v>4870</v>
      </c>
      <c r="G1087" s="7" t="s">
        <v>2793</v>
      </c>
      <c r="H1087" s="7" t="s">
        <v>2908</v>
      </c>
      <c r="I1087" s="7" t="s">
        <v>3026</v>
      </c>
      <c r="J1087" s="7" t="s">
        <v>2998</v>
      </c>
      <c r="K1087" s="7" t="str">
        <f t="shared" si="2"/>
        <v/>
      </c>
      <c r="L1087" s="7" t="str">
        <f t="shared" si="1026"/>
        <v/>
      </c>
      <c r="M1087" s="7">
        <f t="shared" ref="M1087:N1087" si="1102">IF(LEN(M$1),COUNTIF($G1087:$J1087,M$1),"")</f>
        <v>0</v>
      </c>
      <c r="N1087" s="7" t="str">
        <f t="shared" si="1102"/>
        <v/>
      </c>
      <c r="O1087" s="7" t="str">
        <f t="shared" si="1028"/>
        <v/>
      </c>
      <c r="P1087" s="7">
        <f t="shared" si="1029"/>
        <v>0</v>
      </c>
      <c r="Q1087" s="7" t="str">
        <f t="shared" si="7"/>
        <v/>
      </c>
      <c r="T1087" s="7"/>
    </row>
    <row r="1088" ht="12.75" customHeight="1">
      <c r="A1088" s="7">
        <v>1087.0</v>
      </c>
      <c r="B1088" s="7" t="s">
        <v>262</v>
      </c>
      <c r="C1088" s="7" t="s">
        <v>4752</v>
      </c>
      <c r="D1088" s="7"/>
      <c r="E1088" s="7"/>
      <c r="F1088" s="7" t="s">
        <v>4870</v>
      </c>
      <c r="G1088" s="7" t="s">
        <v>2585</v>
      </c>
      <c r="H1088" s="7" t="s">
        <v>2883</v>
      </c>
      <c r="I1088" s="7" t="s">
        <v>3012</v>
      </c>
      <c r="J1088" s="7" t="s">
        <v>3044</v>
      </c>
      <c r="K1088" s="7" t="str">
        <f t="shared" si="2"/>
        <v/>
      </c>
      <c r="L1088" s="7" t="str">
        <f t="shared" si="1026"/>
        <v/>
      </c>
      <c r="M1088" s="7">
        <f t="shared" ref="M1088:N1088" si="1103">IF(LEN(M$1),COUNTIF($G1088:$J1088,M$1),"")</f>
        <v>0</v>
      </c>
      <c r="N1088" s="7" t="str">
        <f t="shared" si="1103"/>
        <v/>
      </c>
      <c r="O1088" s="7" t="str">
        <f t="shared" si="1028"/>
        <v/>
      </c>
      <c r="P1088" s="7">
        <f t="shared" si="1029"/>
        <v>0</v>
      </c>
      <c r="Q1088" s="7" t="str">
        <f t="shared" si="7"/>
        <v/>
      </c>
      <c r="T1088" s="7"/>
    </row>
    <row r="1089" ht="12.75" customHeight="1">
      <c r="A1089" s="7">
        <v>1088.0</v>
      </c>
      <c r="B1089" s="7" t="s">
        <v>271</v>
      </c>
      <c r="C1089" s="7" t="s">
        <v>4752</v>
      </c>
      <c r="D1089" s="7"/>
      <c r="E1089" s="7"/>
      <c r="F1089" s="7" t="s">
        <v>4870</v>
      </c>
      <c r="G1089" s="7" t="s">
        <v>2843</v>
      </c>
      <c r="H1089" s="7" t="s">
        <v>2859</v>
      </c>
      <c r="I1089" s="7" t="s">
        <v>2939</v>
      </c>
      <c r="J1089" s="7" t="s">
        <v>3044</v>
      </c>
      <c r="K1089" s="7" t="str">
        <f t="shared" si="2"/>
        <v/>
      </c>
      <c r="L1089" s="7" t="str">
        <f t="shared" si="1026"/>
        <v/>
      </c>
      <c r="M1089" s="7">
        <f t="shared" ref="M1089:N1089" si="1104">IF(LEN(M$1),COUNTIF($G1089:$J1089,M$1),"")</f>
        <v>0</v>
      </c>
      <c r="N1089" s="7" t="str">
        <f t="shared" si="1104"/>
        <v/>
      </c>
      <c r="O1089" s="7" t="str">
        <f t="shared" si="1028"/>
        <v/>
      </c>
      <c r="P1089" s="7">
        <f t="shared" si="1029"/>
        <v>0</v>
      </c>
      <c r="Q1089" s="7" t="str">
        <f t="shared" si="7"/>
        <v/>
      </c>
      <c r="T1089" s="7"/>
    </row>
    <row r="1090" ht="12.75" customHeight="1">
      <c r="A1090" s="7">
        <v>1089.0</v>
      </c>
      <c r="B1090" s="7" t="s">
        <v>271</v>
      </c>
      <c r="C1090" s="7" t="s">
        <v>4752</v>
      </c>
      <c r="D1090" s="7"/>
      <c r="E1090" s="7"/>
      <c r="F1090" s="7" t="s">
        <v>4870</v>
      </c>
      <c r="G1090" s="7" t="s">
        <v>2639</v>
      </c>
      <c r="H1090" s="7" t="s">
        <v>2899</v>
      </c>
      <c r="I1090" s="7" t="s">
        <v>2996</v>
      </c>
      <c r="J1090" s="7" t="s">
        <v>2932</v>
      </c>
      <c r="K1090" s="7" t="str">
        <f t="shared" si="2"/>
        <v/>
      </c>
      <c r="L1090" s="7" t="str">
        <f t="shared" si="1026"/>
        <v/>
      </c>
      <c r="M1090" s="7">
        <f t="shared" ref="M1090:N1090" si="1105">IF(LEN(M$1),COUNTIF($G1090:$J1090,M$1),"")</f>
        <v>0</v>
      </c>
      <c r="N1090" s="7" t="str">
        <f t="shared" si="1105"/>
        <v/>
      </c>
      <c r="O1090" s="7" t="str">
        <f t="shared" si="1028"/>
        <v/>
      </c>
      <c r="P1090" s="7">
        <f t="shared" si="1029"/>
        <v>0</v>
      </c>
      <c r="Q1090" s="7" t="str">
        <f t="shared" si="7"/>
        <v/>
      </c>
      <c r="T1090" s="7"/>
    </row>
    <row r="1091" ht="12.75" customHeight="1">
      <c r="A1091" s="7">
        <v>1090.0</v>
      </c>
      <c r="B1091" s="7" t="s">
        <v>271</v>
      </c>
      <c r="C1091" s="7" t="s">
        <v>4752</v>
      </c>
      <c r="D1091" s="7"/>
      <c r="E1091" s="7"/>
      <c r="F1091" s="7" t="s">
        <v>4870</v>
      </c>
      <c r="G1091" s="7" t="s">
        <v>2748</v>
      </c>
      <c r="H1091" s="7" t="s">
        <v>2883</v>
      </c>
      <c r="I1091" s="7" t="s">
        <v>3084</v>
      </c>
      <c r="J1091" s="7" t="s">
        <v>3078</v>
      </c>
      <c r="K1091" s="7" t="str">
        <f t="shared" si="2"/>
        <v/>
      </c>
      <c r="L1091" s="7" t="str">
        <f t="shared" si="1026"/>
        <v/>
      </c>
      <c r="M1091" s="7">
        <f t="shared" ref="M1091:N1091" si="1106">IF(LEN(M$1),COUNTIF($G1091:$J1091,M$1),"")</f>
        <v>0</v>
      </c>
      <c r="N1091" s="7" t="str">
        <f t="shared" si="1106"/>
        <v/>
      </c>
      <c r="O1091" s="7" t="str">
        <f t="shared" si="1028"/>
        <v/>
      </c>
      <c r="P1091" s="7">
        <f t="shared" si="1029"/>
        <v>0</v>
      </c>
      <c r="Q1091" s="7" t="str">
        <f t="shared" si="7"/>
        <v/>
      </c>
      <c r="T1091" s="7"/>
    </row>
    <row r="1092" ht="12.75" customHeight="1">
      <c r="A1092" s="7">
        <v>1091.0</v>
      </c>
      <c r="B1092" s="7" t="s">
        <v>279</v>
      </c>
      <c r="C1092" s="7" t="s">
        <v>4752</v>
      </c>
      <c r="D1092" s="7"/>
      <c r="E1092" s="7"/>
      <c r="F1092" s="7" t="s">
        <v>4870</v>
      </c>
      <c r="G1092" s="7" t="s">
        <v>2663</v>
      </c>
      <c r="H1092" s="7" t="s">
        <v>2873</v>
      </c>
      <c r="I1092" s="7" t="s">
        <v>2979</v>
      </c>
      <c r="J1092" s="7" t="s">
        <v>2929</v>
      </c>
      <c r="K1092" s="7" t="str">
        <f t="shared" si="2"/>
        <v/>
      </c>
      <c r="L1092" s="7" t="str">
        <f t="shared" si="1026"/>
        <v/>
      </c>
      <c r="M1092" s="7">
        <f t="shared" ref="M1092:N1092" si="1107">IF(LEN(M$1),COUNTIF($G1092:$J1092,M$1),"")</f>
        <v>0</v>
      </c>
      <c r="N1092" s="7" t="str">
        <f t="shared" si="1107"/>
        <v/>
      </c>
      <c r="O1092" s="7" t="str">
        <f t="shared" si="1028"/>
        <v/>
      </c>
      <c r="P1092" s="7">
        <f t="shared" si="1029"/>
        <v>0</v>
      </c>
      <c r="Q1092" s="7" t="str">
        <f t="shared" si="7"/>
        <v/>
      </c>
      <c r="T1092" s="7"/>
    </row>
    <row r="1093" ht="12.75" customHeight="1">
      <c r="A1093" s="7">
        <v>1092.0</v>
      </c>
      <c r="B1093" s="7" t="s">
        <v>279</v>
      </c>
      <c r="C1093" s="7" t="s">
        <v>4752</v>
      </c>
      <c r="D1093" s="7"/>
      <c r="E1093" s="7"/>
      <c r="F1093" s="7" t="s">
        <v>4870</v>
      </c>
      <c r="G1093" s="7" t="s">
        <v>2668</v>
      </c>
      <c r="H1093" s="7" t="s">
        <v>2915</v>
      </c>
      <c r="I1093" s="7" t="s">
        <v>3026</v>
      </c>
      <c r="J1093" s="7" t="s">
        <v>3060</v>
      </c>
      <c r="K1093" s="7" t="str">
        <f t="shared" si="2"/>
        <v/>
      </c>
      <c r="L1093" s="7" t="str">
        <f t="shared" si="1026"/>
        <v/>
      </c>
      <c r="M1093" s="7">
        <f t="shared" ref="M1093:N1093" si="1108">IF(LEN(M$1),COUNTIF($G1093:$J1093,M$1),"")</f>
        <v>0</v>
      </c>
      <c r="N1093" s="7" t="str">
        <f t="shared" si="1108"/>
        <v/>
      </c>
      <c r="O1093" s="7" t="str">
        <f t="shared" si="1028"/>
        <v/>
      </c>
      <c r="P1093" s="7">
        <f t="shared" si="1029"/>
        <v>0</v>
      </c>
      <c r="Q1093" s="7" t="str">
        <f t="shared" si="7"/>
        <v/>
      </c>
      <c r="T1093" s="7"/>
    </row>
    <row r="1094" ht="12.75" customHeight="1">
      <c r="A1094" s="7">
        <v>1093.0</v>
      </c>
      <c r="B1094" s="7" t="s">
        <v>279</v>
      </c>
      <c r="C1094" s="7" t="s">
        <v>4752</v>
      </c>
      <c r="D1094" s="7"/>
      <c r="E1094" s="7"/>
      <c r="F1094" s="7" t="s">
        <v>4870</v>
      </c>
      <c r="G1094" s="7" t="s">
        <v>2833</v>
      </c>
      <c r="H1094" s="7" t="s">
        <v>2921</v>
      </c>
      <c r="I1094" s="7" t="s">
        <v>3094</v>
      </c>
      <c r="J1094" s="7" t="s">
        <v>2934</v>
      </c>
      <c r="K1094" s="7" t="str">
        <f t="shared" si="2"/>
        <v/>
      </c>
      <c r="L1094" s="7" t="str">
        <f t="shared" si="1026"/>
        <v/>
      </c>
      <c r="M1094" s="7">
        <f t="shared" ref="M1094:N1094" si="1109">IF(LEN(M$1),COUNTIF($G1094:$J1094,M$1),"")</f>
        <v>0</v>
      </c>
      <c r="N1094" s="7" t="str">
        <f t="shared" si="1109"/>
        <v/>
      </c>
      <c r="O1094" s="7" t="str">
        <f t="shared" si="1028"/>
        <v/>
      </c>
      <c r="P1094" s="7">
        <f t="shared" si="1029"/>
        <v>0</v>
      </c>
      <c r="Q1094" s="7" t="str">
        <f t="shared" si="7"/>
        <v/>
      </c>
      <c r="T1094" s="7"/>
    </row>
    <row r="1095" ht="12.75" customHeight="1">
      <c r="A1095" s="7">
        <v>1094.0</v>
      </c>
      <c r="B1095" s="7" t="s">
        <v>92</v>
      </c>
      <c r="C1095" s="7" t="s">
        <v>4756</v>
      </c>
      <c r="D1095" s="7"/>
      <c r="E1095" s="7"/>
      <c r="F1095" s="7" t="s">
        <v>4870</v>
      </c>
      <c r="G1095" s="7" t="s">
        <v>2577</v>
      </c>
      <c r="H1095" s="7" t="s">
        <v>2875</v>
      </c>
      <c r="I1095" s="7" t="s">
        <v>3073</v>
      </c>
      <c r="J1095" s="7" t="s">
        <v>3098</v>
      </c>
      <c r="K1095" s="7" t="str">
        <f t="shared" si="2"/>
        <v/>
      </c>
      <c r="L1095" s="7" t="str">
        <f t="shared" si="1026"/>
        <v/>
      </c>
      <c r="M1095" s="7">
        <f t="shared" ref="M1095:N1095" si="1110">IF(LEN(M$1),COUNTIF($G1095:$J1095,M$1),"")</f>
        <v>0</v>
      </c>
      <c r="N1095" s="7" t="str">
        <f t="shared" si="1110"/>
        <v/>
      </c>
      <c r="O1095" s="7" t="str">
        <f t="shared" si="1028"/>
        <v/>
      </c>
      <c r="P1095" s="7">
        <f t="shared" si="1029"/>
        <v>0</v>
      </c>
      <c r="Q1095" s="7" t="str">
        <f t="shared" si="7"/>
        <v/>
      </c>
      <c r="T1095" s="7"/>
    </row>
    <row r="1096" ht="12.75" customHeight="1">
      <c r="A1096" s="7">
        <v>1095.0</v>
      </c>
      <c r="B1096" s="7" t="s">
        <v>92</v>
      </c>
      <c r="C1096" s="7" t="s">
        <v>4756</v>
      </c>
      <c r="D1096" s="7"/>
      <c r="E1096" s="7"/>
      <c r="F1096" s="7" t="s">
        <v>4870</v>
      </c>
      <c r="G1096" s="7" t="s">
        <v>2765</v>
      </c>
      <c r="H1096" s="7" t="s">
        <v>2899</v>
      </c>
      <c r="I1096" s="7" t="s">
        <v>3084</v>
      </c>
      <c r="J1096" s="7" t="s">
        <v>3022</v>
      </c>
      <c r="K1096" s="7" t="str">
        <f t="shared" si="2"/>
        <v/>
      </c>
      <c r="L1096" s="7" t="str">
        <f t="shared" si="1026"/>
        <v/>
      </c>
      <c r="M1096" s="7">
        <f t="shared" ref="M1096:N1096" si="1111">IF(LEN(M$1),COUNTIF($G1096:$J1096,M$1),"")</f>
        <v>0</v>
      </c>
      <c r="N1096" s="7" t="str">
        <f t="shared" si="1111"/>
        <v/>
      </c>
      <c r="O1096" s="7" t="str">
        <f t="shared" si="1028"/>
        <v/>
      </c>
      <c r="P1096" s="7">
        <f t="shared" si="1029"/>
        <v>0</v>
      </c>
      <c r="Q1096" s="7" t="str">
        <f t="shared" si="7"/>
        <v/>
      </c>
      <c r="T1096" s="7"/>
    </row>
    <row r="1097" ht="12.75" customHeight="1">
      <c r="A1097" s="7">
        <v>1096.0</v>
      </c>
      <c r="B1097" s="7" t="s">
        <v>92</v>
      </c>
      <c r="C1097" s="7" t="s">
        <v>4756</v>
      </c>
      <c r="D1097" s="7"/>
      <c r="E1097" s="7"/>
      <c r="F1097" s="7" t="s">
        <v>4870</v>
      </c>
      <c r="G1097" s="7" t="s">
        <v>2799</v>
      </c>
      <c r="H1097" s="7" t="s">
        <v>2861</v>
      </c>
      <c r="I1097" s="7" t="s">
        <v>3073</v>
      </c>
      <c r="J1097" s="7" t="s">
        <v>2963</v>
      </c>
      <c r="K1097" s="7" t="str">
        <f t="shared" si="2"/>
        <v/>
      </c>
      <c r="L1097" s="7" t="str">
        <f t="shared" si="1026"/>
        <v/>
      </c>
      <c r="M1097" s="7">
        <f t="shared" ref="M1097:N1097" si="1112">IF(LEN(M$1),COUNTIF($G1097:$J1097,M$1),"")</f>
        <v>0</v>
      </c>
      <c r="N1097" s="7" t="str">
        <f t="shared" si="1112"/>
        <v/>
      </c>
      <c r="O1097" s="7" t="str">
        <f t="shared" si="1028"/>
        <v/>
      </c>
      <c r="P1097" s="7">
        <f t="shared" si="1029"/>
        <v>0</v>
      </c>
      <c r="Q1097" s="7" t="str">
        <f t="shared" si="7"/>
        <v/>
      </c>
      <c r="T1097" s="7"/>
    </row>
    <row r="1098" ht="12.75" customHeight="1">
      <c r="A1098" s="7">
        <v>1097.0</v>
      </c>
      <c r="B1098" s="7" t="s">
        <v>294</v>
      </c>
      <c r="C1098" s="7" t="s">
        <v>4756</v>
      </c>
      <c r="D1098" s="7"/>
      <c r="E1098" s="7"/>
      <c r="F1098" s="7" t="s">
        <v>4870</v>
      </c>
      <c r="G1098" s="7" t="s">
        <v>2654</v>
      </c>
      <c r="H1098" s="7" t="s">
        <v>2899</v>
      </c>
      <c r="I1098" s="7" t="s">
        <v>3022</v>
      </c>
      <c r="J1098" s="7" t="s">
        <v>2996</v>
      </c>
      <c r="K1098" s="7" t="str">
        <f t="shared" si="2"/>
        <v/>
      </c>
      <c r="L1098" s="7" t="str">
        <f t="shared" si="1026"/>
        <v/>
      </c>
      <c r="M1098" s="7">
        <f t="shared" ref="M1098:N1098" si="1113">IF(LEN(M$1),COUNTIF($G1098:$J1098,M$1),"")</f>
        <v>0</v>
      </c>
      <c r="N1098" s="7" t="str">
        <f t="shared" si="1113"/>
        <v/>
      </c>
      <c r="O1098" s="7" t="str">
        <f t="shared" si="1028"/>
        <v/>
      </c>
      <c r="P1098" s="7">
        <f t="shared" si="1029"/>
        <v>0</v>
      </c>
      <c r="Q1098" s="7" t="str">
        <f t="shared" si="7"/>
        <v/>
      </c>
      <c r="T1098" s="7"/>
    </row>
    <row r="1099" ht="12.75" customHeight="1">
      <c r="A1099" s="7">
        <v>1098.0</v>
      </c>
      <c r="B1099" s="7" t="s">
        <v>294</v>
      </c>
      <c r="C1099" s="7" t="s">
        <v>4756</v>
      </c>
      <c r="D1099" s="7"/>
      <c r="E1099" s="7"/>
      <c r="F1099" s="7" t="s">
        <v>4870</v>
      </c>
      <c r="G1099" s="7" t="s">
        <v>2815</v>
      </c>
      <c r="H1099" s="7" t="s">
        <v>2888</v>
      </c>
      <c r="I1099" s="7" t="s">
        <v>3094</v>
      </c>
      <c r="J1099" s="7" t="s">
        <v>2996</v>
      </c>
      <c r="K1099" s="7" t="str">
        <f t="shared" si="2"/>
        <v/>
      </c>
      <c r="L1099" s="7" t="str">
        <f t="shared" si="1026"/>
        <v/>
      </c>
      <c r="M1099" s="7">
        <f t="shared" ref="M1099:N1099" si="1114">IF(LEN(M$1),COUNTIF($G1099:$J1099,M$1),"")</f>
        <v>0</v>
      </c>
      <c r="N1099" s="7" t="str">
        <f t="shared" si="1114"/>
        <v/>
      </c>
      <c r="O1099" s="7" t="str">
        <f t="shared" si="1028"/>
        <v/>
      </c>
      <c r="P1099" s="7">
        <f t="shared" si="1029"/>
        <v>0</v>
      </c>
      <c r="Q1099" s="7" t="str">
        <f t="shared" si="7"/>
        <v/>
      </c>
      <c r="T1099" s="7"/>
    </row>
    <row r="1100" ht="12.75" customHeight="1">
      <c r="A1100" s="7">
        <v>1099.0</v>
      </c>
      <c r="B1100" s="7" t="s">
        <v>294</v>
      </c>
      <c r="C1100" s="7" t="s">
        <v>4756</v>
      </c>
      <c r="D1100" s="7"/>
      <c r="E1100" s="7"/>
      <c r="F1100" s="7" t="s">
        <v>4870</v>
      </c>
      <c r="G1100" s="7" t="s">
        <v>2799</v>
      </c>
      <c r="H1100" s="7" t="s">
        <v>2905</v>
      </c>
      <c r="I1100" s="7" t="s">
        <v>2998</v>
      </c>
      <c r="J1100" s="7" t="s">
        <v>2974</v>
      </c>
      <c r="K1100" s="7" t="str">
        <f t="shared" si="2"/>
        <v/>
      </c>
      <c r="L1100" s="7" t="str">
        <f t="shared" si="1026"/>
        <v/>
      </c>
      <c r="M1100" s="7">
        <f t="shared" ref="M1100:N1100" si="1115">IF(LEN(M$1),COUNTIF($G1100:$J1100,M$1),"")</f>
        <v>0</v>
      </c>
      <c r="N1100" s="7" t="str">
        <f t="shared" si="1115"/>
        <v/>
      </c>
      <c r="O1100" s="7" t="str">
        <f t="shared" si="1028"/>
        <v/>
      </c>
      <c r="P1100" s="7">
        <f t="shared" si="1029"/>
        <v>0</v>
      </c>
      <c r="Q1100" s="7" t="str">
        <f t="shared" si="7"/>
        <v/>
      </c>
      <c r="T1100" s="7"/>
    </row>
    <row r="1101" ht="12.75" customHeight="1">
      <c r="A1101" s="7">
        <v>1100.0</v>
      </c>
      <c r="B1101" s="7" t="s">
        <v>303</v>
      </c>
      <c r="C1101" s="7" t="s">
        <v>4756</v>
      </c>
      <c r="D1101" s="7"/>
      <c r="E1101" s="7"/>
      <c r="F1101" s="7" t="s">
        <v>4870</v>
      </c>
      <c r="G1101" s="7" t="s">
        <v>2577</v>
      </c>
      <c r="H1101" s="7" t="s">
        <v>2913</v>
      </c>
      <c r="I1101" s="7" t="s">
        <v>3012</v>
      </c>
      <c r="J1101" s="7" t="s">
        <v>2991</v>
      </c>
      <c r="K1101" s="7" t="str">
        <f t="shared" si="2"/>
        <v/>
      </c>
      <c r="L1101" s="7" t="str">
        <f t="shared" si="1026"/>
        <v/>
      </c>
      <c r="M1101" s="7">
        <f t="shared" ref="M1101:N1101" si="1116">IF(LEN(M$1),COUNTIF($G1101:$J1101,M$1),"")</f>
        <v>0</v>
      </c>
      <c r="N1101" s="7" t="str">
        <f t="shared" si="1116"/>
        <v/>
      </c>
      <c r="O1101" s="7" t="str">
        <f t="shared" si="1028"/>
        <v/>
      </c>
      <c r="P1101" s="7">
        <f t="shared" si="1029"/>
        <v>0</v>
      </c>
      <c r="Q1101" s="7" t="str">
        <f t="shared" si="7"/>
        <v/>
      </c>
      <c r="T1101" s="7"/>
    </row>
    <row r="1102" ht="12.75" customHeight="1">
      <c r="A1102" s="7">
        <v>1101.0</v>
      </c>
      <c r="B1102" s="7" t="s">
        <v>303</v>
      </c>
      <c r="C1102" s="7" t="s">
        <v>4756</v>
      </c>
      <c r="D1102" s="7"/>
      <c r="E1102" s="7"/>
      <c r="F1102" s="7" t="s">
        <v>4870</v>
      </c>
      <c r="G1102" s="7" t="s">
        <v>2603</v>
      </c>
      <c r="H1102" s="7" t="s">
        <v>2920</v>
      </c>
      <c r="I1102" s="7" t="s">
        <v>2969</v>
      </c>
      <c r="J1102" s="7" t="s">
        <v>3110</v>
      </c>
      <c r="K1102" s="7" t="str">
        <f t="shared" si="2"/>
        <v/>
      </c>
      <c r="L1102" s="7" t="str">
        <f t="shared" si="1026"/>
        <v/>
      </c>
      <c r="M1102" s="7">
        <f t="shared" ref="M1102:N1102" si="1117">IF(LEN(M$1),COUNTIF($G1102:$J1102,M$1),"")</f>
        <v>0</v>
      </c>
      <c r="N1102" s="7" t="str">
        <f t="shared" si="1117"/>
        <v/>
      </c>
      <c r="O1102" s="7" t="str">
        <f t="shared" si="1028"/>
        <v/>
      </c>
      <c r="P1102" s="7">
        <f t="shared" si="1029"/>
        <v>0</v>
      </c>
      <c r="Q1102" s="7" t="str">
        <f t="shared" si="7"/>
        <v/>
      </c>
      <c r="T1102" s="7"/>
    </row>
    <row r="1103" ht="12.75" customHeight="1">
      <c r="A1103" s="7">
        <v>1102.0</v>
      </c>
      <c r="B1103" s="7" t="s">
        <v>303</v>
      </c>
      <c r="C1103" s="7" t="s">
        <v>4756</v>
      </c>
      <c r="D1103" s="7"/>
      <c r="E1103" s="7"/>
      <c r="F1103" s="7" t="s">
        <v>4870</v>
      </c>
      <c r="G1103" s="7" t="s">
        <v>2748</v>
      </c>
      <c r="H1103" s="7" t="s">
        <v>2882</v>
      </c>
      <c r="I1103" s="7" t="s">
        <v>3073</v>
      </c>
      <c r="J1103" s="7" t="s">
        <v>2998</v>
      </c>
      <c r="K1103" s="7" t="str">
        <f t="shared" si="2"/>
        <v/>
      </c>
      <c r="L1103" s="7" t="str">
        <f t="shared" si="1026"/>
        <v/>
      </c>
      <c r="M1103" s="7">
        <f t="shared" ref="M1103:N1103" si="1118">IF(LEN(M$1),COUNTIF($G1103:$J1103,M$1),"")</f>
        <v>0</v>
      </c>
      <c r="N1103" s="7" t="str">
        <f t="shared" si="1118"/>
        <v/>
      </c>
      <c r="O1103" s="7" t="str">
        <f t="shared" si="1028"/>
        <v/>
      </c>
      <c r="P1103" s="7">
        <f t="shared" si="1029"/>
        <v>0</v>
      </c>
      <c r="Q1103" s="7" t="str">
        <f t="shared" si="7"/>
        <v/>
      </c>
      <c r="T1103" s="7"/>
    </row>
    <row r="1104" ht="12.75" customHeight="1">
      <c r="A1104" s="7">
        <v>1103.0</v>
      </c>
      <c r="B1104" s="7" t="s">
        <v>310</v>
      </c>
      <c r="C1104" s="7" t="s">
        <v>4758</v>
      </c>
      <c r="D1104" s="7"/>
      <c r="E1104" s="7"/>
      <c r="F1104" s="7" t="s">
        <v>4870</v>
      </c>
      <c r="G1104" s="7" t="s">
        <v>2569</v>
      </c>
      <c r="H1104" s="7" t="s">
        <v>2911</v>
      </c>
      <c r="I1104" s="7" t="s">
        <v>3026</v>
      </c>
      <c r="J1104" s="7" t="s">
        <v>3012</v>
      </c>
      <c r="K1104" s="7" t="str">
        <f t="shared" si="2"/>
        <v/>
      </c>
      <c r="L1104" s="7" t="str">
        <f t="shared" si="1026"/>
        <v/>
      </c>
      <c r="M1104" s="7">
        <f t="shared" ref="M1104:N1104" si="1119">IF(LEN(M$1),COUNTIF($G1104:$J1104,M$1),"")</f>
        <v>0</v>
      </c>
      <c r="N1104" s="7" t="str">
        <f t="shared" si="1119"/>
        <v/>
      </c>
      <c r="O1104" s="7" t="str">
        <f t="shared" si="1028"/>
        <v/>
      </c>
      <c r="P1104" s="7">
        <f t="shared" si="1029"/>
        <v>0</v>
      </c>
      <c r="Q1104" s="7" t="str">
        <f t="shared" si="7"/>
        <v/>
      </c>
      <c r="T1104" s="7"/>
    </row>
    <row r="1105" ht="12.75" customHeight="1">
      <c r="A1105" s="7">
        <v>1104.0</v>
      </c>
      <c r="B1105" s="7" t="s">
        <v>310</v>
      </c>
      <c r="C1105" s="7" t="s">
        <v>4758</v>
      </c>
      <c r="D1105" s="7"/>
      <c r="E1105" s="7"/>
      <c r="F1105" s="7" t="s">
        <v>4870</v>
      </c>
      <c r="G1105" s="7" t="s">
        <v>2774</v>
      </c>
      <c r="H1105" s="7" t="s">
        <v>2873</v>
      </c>
      <c r="I1105" s="7" t="s">
        <v>2946</v>
      </c>
      <c r="J1105" s="7" t="s">
        <v>2934</v>
      </c>
      <c r="K1105" s="7" t="str">
        <f t="shared" si="2"/>
        <v/>
      </c>
      <c r="L1105" s="7" t="str">
        <f t="shared" si="1026"/>
        <v/>
      </c>
      <c r="M1105" s="7">
        <f t="shared" ref="M1105:N1105" si="1120">IF(LEN(M$1),COUNTIF($G1105:$J1105,M$1),"")</f>
        <v>0</v>
      </c>
      <c r="N1105" s="7" t="str">
        <f t="shared" si="1120"/>
        <v/>
      </c>
      <c r="O1105" s="7" t="str">
        <f t="shared" si="1028"/>
        <v/>
      </c>
      <c r="P1105" s="7">
        <f t="shared" si="1029"/>
        <v>0</v>
      </c>
      <c r="Q1105" s="7" t="str">
        <f t="shared" si="7"/>
        <v/>
      </c>
      <c r="T1105" s="7"/>
    </row>
    <row r="1106" ht="12.75" customHeight="1">
      <c r="A1106" s="7">
        <v>1105.0</v>
      </c>
      <c r="B1106" s="7" t="s">
        <v>310</v>
      </c>
      <c r="C1106" s="7" t="s">
        <v>4758</v>
      </c>
      <c r="D1106" s="7"/>
      <c r="E1106" s="7"/>
      <c r="F1106" s="7" t="s">
        <v>4870</v>
      </c>
      <c r="G1106" s="7" t="s">
        <v>2690</v>
      </c>
      <c r="H1106" s="7" t="s">
        <v>2909</v>
      </c>
      <c r="I1106" s="7" t="s">
        <v>3094</v>
      </c>
      <c r="J1106" s="7" t="s">
        <v>3006</v>
      </c>
      <c r="K1106" s="7" t="str">
        <f t="shared" si="2"/>
        <v/>
      </c>
      <c r="L1106" s="7" t="str">
        <f t="shared" si="1026"/>
        <v/>
      </c>
      <c r="M1106" s="7">
        <f t="shared" ref="M1106:N1106" si="1121">IF(LEN(M$1),COUNTIF($G1106:$J1106,M$1),"")</f>
        <v>0</v>
      </c>
      <c r="N1106" s="7" t="str">
        <f t="shared" si="1121"/>
        <v/>
      </c>
      <c r="O1106" s="7" t="str">
        <f t="shared" si="1028"/>
        <v/>
      </c>
      <c r="P1106" s="7">
        <f t="shared" si="1029"/>
        <v>0</v>
      </c>
      <c r="Q1106" s="7" t="str">
        <f t="shared" si="7"/>
        <v/>
      </c>
      <c r="T1106" s="7"/>
    </row>
    <row r="1107" ht="12.75" customHeight="1">
      <c r="A1107" s="7">
        <v>1106.0</v>
      </c>
      <c r="B1107" s="7" t="s">
        <v>318</v>
      </c>
      <c r="C1107" s="7" t="s">
        <v>4758</v>
      </c>
      <c r="D1107" s="7"/>
      <c r="E1107" s="7"/>
      <c r="F1107" s="7" t="s">
        <v>4870</v>
      </c>
      <c r="G1107" s="7" t="s">
        <v>2736</v>
      </c>
      <c r="H1107" s="7" t="s">
        <v>2907</v>
      </c>
      <c r="I1107" s="7" t="s">
        <v>3075</v>
      </c>
      <c r="J1107" s="7" t="s">
        <v>3094</v>
      </c>
      <c r="K1107" s="7" t="str">
        <f t="shared" si="2"/>
        <v/>
      </c>
      <c r="L1107" s="7" t="str">
        <f t="shared" si="1026"/>
        <v/>
      </c>
      <c r="M1107" s="7">
        <f t="shared" ref="M1107:N1107" si="1122">IF(LEN(M$1),COUNTIF($G1107:$J1107,M$1),"")</f>
        <v>0</v>
      </c>
      <c r="N1107" s="7" t="str">
        <f t="shared" si="1122"/>
        <v/>
      </c>
      <c r="O1107" s="7" t="str">
        <f t="shared" si="1028"/>
        <v/>
      </c>
      <c r="P1107" s="7">
        <f t="shared" si="1029"/>
        <v>0</v>
      </c>
      <c r="Q1107" s="7" t="str">
        <f t="shared" si="7"/>
        <v/>
      </c>
      <c r="T1107" s="7"/>
    </row>
    <row r="1108" ht="12.75" customHeight="1">
      <c r="A1108" s="7">
        <v>1107.0</v>
      </c>
      <c r="B1108" s="7" t="s">
        <v>318</v>
      </c>
      <c r="C1108" s="7" t="s">
        <v>4758</v>
      </c>
      <c r="D1108" s="7"/>
      <c r="E1108" s="7"/>
      <c r="F1108" s="7" t="s">
        <v>4870</v>
      </c>
      <c r="G1108" s="7" t="s">
        <v>2843</v>
      </c>
      <c r="H1108" s="7" t="s">
        <v>2923</v>
      </c>
      <c r="I1108" s="7" t="s">
        <v>3073</v>
      </c>
      <c r="J1108" s="7" t="s">
        <v>3040</v>
      </c>
      <c r="K1108" s="7" t="str">
        <f t="shared" si="2"/>
        <v/>
      </c>
      <c r="L1108" s="7" t="str">
        <f t="shared" si="1026"/>
        <v/>
      </c>
      <c r="M1108" s="7">
        <f t="shared" ref="M1108:N1108" si="1123">IF(LEN(M$1),COUNTIF($G1108:$J1108,M$1),"")</f>
        <v>0</v>
      </c>
      <c r="N1108" s="7" t="str">
        <f t="shared" si="1123"/>
        <v/>
      </c>
      <c r="O1108" s="7" t="str">
        <f t="shared" si="1028"/>
        <v/>
      </c>
      <c r="P1108" s="7">
        <f t="shared" si="1029"/>
        <v>0</v>
      </c>
      <c r="Q1108" s="7" t="str">
        <f t="shared" si="7"/>
        <v/>
      </c>
      <c r="T1108" s="7"/>
    </row>
    <row r="1109" ht="12.75" customHeight="1">
      <c r="A1109" s="7">
        <v>1108.0</v>
      </c>
      <c r="B1109" s="7" t="s">
        <v>318</v>
      </c>
      <c r="C1109" s="7" t="s">
        <v>4758</v>
      </c>
      <c r="D1109" s="7"/>
      <c r="E1109" s="7"/>
      <c r="F1109" s="7" t="s">
        <v>4870</v>
      </c>
      <c r="G1109" s="7" t="s">
        <v>2759</v>
      </c>
      <c r="H1109" s="7" t="s">
        <v>2875</v>
      </c>
      <c r="I1109" s="7" t="s">
        <v>3084</v>
      </c>
      <c r="J1109" s="7" t="s">
        <v>3067</v>
      </c>
      <c r="K1109" s="7" t="str">
        <f t="shared" si="2"/>
        <v/>
      </c>
      <c r="L1109" s="7" t="str">
        <f t="shared" si="1026"/>
        <v/>
      </c>
      <c r="M1109" s="7">
        <f t="shared" ref="M1109:N1109" si="1124">IF(LEN(M$1),COUNTIF($G1109:$J1109,M$1),"")</f>
        <v>0</v>
      </c>
      <c r="N1109" s="7" t="str">
        <f t="shared" si="1124"/>
        <v/>
      </c>
      <c r="O1109" s="7" t="str">
        <f t="shared" si="1028"/>
        <v/>
      </c>
      <c r="P1109" s="7">
        <f t="shared" si="1029"/>
        <v>0</v>
      </c>
      <c r="Q1109" s="7" t="str">
        <f t="shared" si="7"/>
        <v/>
      </c>
      <c r="T1109" s="7"/>
    </row>
    <row r="1110" ht="12.75" customHeight="1">
      <c r="A1110" s="7">
        <v>1109.0</v>
      </c>
      <c r="B1110" s="7" t="s">
        <v>326</v>
      </c>
      <c r="C1110" s="7" t="s">
        <v>4758</v>
      </c>
      <c r="D1110" s="7"/>
      <c r="E1110" s="7"/>
      <c r="F1110" s="7" t="s">
        <v>4870</v>
      </c>
      <c r="G1110" s="7" t="s">
        <v>2825</v>
      </c>
      <c r="H1110" s="7" t="s">
        <v>2879</v>
      </c>
      <c r="I1110" s="7" t="s">
        <v>2984</v>
      </c>
      <c r="J1110" s="7" t="s">
        <v>3019</v>
      </c>
      <c r="K1110" s="7" t="str">
        <f t="shared" si="2"/>
        <v/>
      </c>
      <c r="L1110" s="7" t="str">
        <f t="shared" si="1026"/>
        <v/>
      </c>
      <c r="M1110" s="7">
        <f t="shared" ref="M1110:N1110" si="1125">IF(LEN(M$1),COUNTIF($G1110:$J1110,M$1),"")</f>
        <v>0</v>
      </c>
      <c r="N1110" s="7" t="str">
        <f t="shared" si="1125"/>
        <v/>
      </c>
      <c r="O1110" s="7" t="str">
        <f t="shared" si="1028"/>
        <v/>
      </c>
      <c r="P1110" s="7">
        <f t="shared" si="1029"/>
        <v>0</v>
      </c>
      <c r="Q1110" s="7" t="str">
        <f t="shared" si="7"/>
        <v/>
      </c>
      <c r="T1110" s="7"/>
    </row>
    <row r="1111" ht="12.75" customHeight="1">
      <c r="A1111" s="7">
        <v>1110.0</v>
      </c>
      <c r="B1111" s="7" t="s">
        <v>326</v>
      </c>
      <c r="C1111" s="7" t="s">
        <v>4758</v>
      </c>
      <c r="D1111" s="7"/>
      <c r="E1111" s="7"/>
      <c r="F1111" s="7" t="s">
        <v>4870</v>
      </c>
      <c r="G1111" s="7" t="s">
        <v>2787</v>
      </c>
      <c r="H1111" s="7" t="s">
        <v>2899</v>
      </c>
      <c r="I1111" s="7" t="s">
        <v>3103</v>
      </c>
      <c r="J1111" s="7" t="s">
        <v>3022</v>
      </c>
      <c r="K1111" s="7" t="str">
        <f t="shared" si="2"/>
        <v/>
      </c>
      <c r="L1111" s="7" t="str">
        <f t="shared" si="1026"/>
        <v/>
      </c>
      <c r="M1111" s="7">
        <f t="shared" ref="M1111:N1111" si="1126">IF(LEN(M$1),COUNTIF($G1111:$J1111,M$1),"")</f>
        <v>0</v>
      </c>
      <c r="N1111" s="7" t="str">
        <f t="shared" si="1126"/>
        <v/>
      </c>
      <c r="O1111" s="7" t="str">
        <f t="shared" si="1028"/>
        <v/>
      </c>
      <c r="P1111" s="7">
        <f t="shared" si="1029"/>
        <v>0</v>
      </c>
      <c r="Q1111" s="7" t="str">
        <f t="shared" si="7"/>
        <v/>
      </c>
      <c r="T1111" s="7"/>
    </row>
    <row r="1112" ht="12.75" customHeight="1">
      <c r="A1112" s="7">
        <v>1111.0</v>
      </c>
      <c r="B1112" s="7" t="s">
        <v>326</v>
      </c>
      <c r="C1112" s="7" t="s">
        <v>4758</v>
      </c>
      <c r="D1112" s="7"/>
      <c r="E1112" s="7"/>
      <c r="F1112" s="7" t="s">
        <v>4870</v>
      </c>
      <c r="G1112" s="7" t="s">
        <v>2646</v>
      </c>
      <c r="H1112" s="7" t="s">
        <v>2893</v>
      </c>
      <c r="I1112" s="7" t="s">
        <v>3060</v>
      </c>
      <c r="J1112" s="7" t="s">
        <v>3040</v>
      </c>
      <c r="K1112" s="7" t="str">
        <f t="shared" si="2"/>
        <v/>
      </c>
      <c r="L1112" s="7" t="str">
        <f t="shared" si="1026"/>
        <v/>
      </c>
      <c r="M1112" s="7">
        <f t="shared" ref="M1112:N1112" si="1127">IF(LEN(M$1),COUNTIF($G1112:$J1112,M$1),"")</f>
        <v>0</v>
      </c>
      <c r="N1112" s="7" t="str">
        <f t="shared" si="1127"/>
        <v/>
      </c>
      <c r="O1112" s="7" t="str">
        <f t="shared" si="1028"/>
        <v/>
      </c>
      <c r="P1112" s="7">
        <f t="shared" si="1029"/>
        <v>0</v>
      </c>
      <c r="Q1112" s="7" t="str">
        <f t="shared" si="7"/>
        <v/>
      </c>
      <c r="T1112" s="7"/>
    </row>
    <row r="1113" ht="12.75" customHeight="1">
      <c r="A1113" s="7">
        <v>1112.0</v>
      </c>
      <c r="B1113" s="7" t="s">
        <v>42</v>
      </c>
      <c r="C1113" s="7" t="s">
        <v>4701</v>
      </c>
      <c r="D1113" s="7"/>
      <c r="E1113" s="7"/>
      <c r="F1113" s="7" t="s">
        <v>4871</v>
      </c>
      <c r="G1113" s="7" t="s">
        <v>3124</v>
      </c>
      <c r="H1113" s="7" t="s">
        <v>2871</v>
      </c>
      <c r="I1113" s="7" t="s">
        <v>2996</v>
      </c>
      <c r="J1113" s="7" t="s">
        <v>3006</v>
      </c>
      <c r="K1113" s="7" t="str">
        <f t="shared" si="2"/>
        <v/>
      </c>
      <c r="L1113" s="7" t="str">
        <f t="shared" si="1026"/>
        <v/>
      </c>
      <c r="M1113" s="7">
        <f t="shared" ref="M1113:N1113" si="1128">IF(LEN(M$1),COUNTIF($G1113:$J1113,M$1),"")</f>
        <v>0</v>
      </c>
      <c r="N1113" s="7" t="str">
        <f t="shared" si="1128"/>
        <v/>
      </c>
      <c r="O1113" s="7" t="str">
        <f t="shared" si="1028"/>
        <v/>
      </c>
      <c r="P1113" s="7">
        <f t="shared" ref="P1113:P1212" si="1130">IF(LEN(P$1),IF(P$1=2,1,0),"")</f>
        <v>0</v>
      </c>
      <c r="Q1113" s="7" t="str">
        <f t="shared" si="7"/>
        <v/>
      </c>
      <c r="T1113" s="7"/>
    </row>
    <row r="1114" ht="12.75" customHeight="1">
      <c r="A1114" s="7">
        <v>1113.0</v>
      </c>
      <c r="B1114" s="7" t="s">
        <v>49</v>
      </c>
      <c r="C1114" s="7" t="s">
        <v>4701</v>
      </c>
      <c r="D1114" s="7"/>
      <c r="E1114" s="7"/>
      <c r="F1114" s="7" t="s">
        <v>4871</v>
      </c>
      <c r="G1114" s="7" t="s">
        <v>3178</v>
      </c>
      <c r="H1114" s="7" t="s">
        <v>3210</v>
      </c>
      <c r="I1114" s="7" t="s">
        <v>3283</v>
      </c>
      <c r="J1114" s="7" t="s">
        <v>3158</v>
      </c>
      <c r="K1114" s="7" t="str">
        <f t="shared" si="2"/>
        <v/>
      </c>
      <c r="L1114" s="7" t="str">
        <f t="shared" si="1026"/>
        <v/>
      </c>
      <c r="M1114" s="7">
        <f t="shared" ref="M1114:N1114" si="1129">IF(LEN(M$1),COUNTIF($G1114:$J1114,M$1),"")</f>
        <v>0</v>
      </c>
      <c r="N1114" s="7" t="str">
        <f t="shared" si="1129"/>
        <v/>
      </c>
      <c r="O1114" s="7" t="str">
        <f t="shared" si="1028"/>
        <v/>
      </c>
      <c r="P1114" s="7">
        <f t="shared" si="1130"/>
        <v>0</v>
      </c>
      <c r="Q1114" s="7" t="str">
        <f t="shared" si="7"/>
        <v/>
      </c>
      <c r="T1114" s="7"/>
    </row>
    <row r="1115" ht="12.75" customHeight="1">
      <c r="A1115" s="7">
        <v>1114.0</v>
      </c>
      <c r="B1115" s="7" t="s">
        <v>56</v>
      </c>
      <c r="C1115" s="7" t="s">
        <v>4701</v>
      </c>
      <c r="D1115" s="7"/>
      <c r="E1115" s="7"/>
      <c r="F1115" s="7" t="s">
        <v>4871</v>
      </c>
      <c r="G1115" s="7" t="s">
        <v>3223</v>
      </c>
      <c r="H1115" s="7" t="s">
        <v>2898</v>
      </c>
      <c r="I1115" s="7" t="s">
        <v>3246</v>
      </c>
      <c r="J1115" s="7" t="s">
        <v>3266</v>
      </c>
      <c r="K1115" s="7" t="str">
        <f t="shared" si="2"/>
        <v/>
      </c>
      <c r="L1115" s="7" t="str">
        <f t="shared" si="1026"/>
        <v/>
      </c>
      <c r="M1115" s="7">
        <f t="shared" ref="M1115:N1115" si="1131">IF(LEN(M$1),COUNTIF($G1115:$J1115,M$1),"")</f>
        <v>0</v>
      </c>
      <c r="N1115" s="7" t="str">
        <f t="shared" si="1131"/>
        <v/>
      </c>
      <c r="O1115" s="7" t="str">
        <f t="shared" si="1028"/>
        <v/>
      </c>
      <c r="P1115" s="7">
        <f t="shared" si="1130"/>
        <v>0</v>
      </c>
      <c r="Q1115" s="7" t="str">
        <f t="shared" si="7"/>
        <v/>
      </c>
      <c r="T1115" s="7"/>
    </row>
    <row r="1116" ht="12.75" customHeight="1">
      <c r="A1116" s="7">
        <v>1115.0</v>
      </c>
      <c r="B1116" s="7" t="s">
        <v>64</v>
      </c>
      <c r="C1116" s="7" t="s">
        <v>4711</v>
      </c>
      <c r="D1116" s="7"/>
      <c r="E1116" s="7"/>
      <c r="F1116" s="7" t="s">
        <v>4871</v>
      </c>
      <c r="G1116" s="7" t="s">
        <v>3237</v>
      </c>
      <c r="H1116" s="7" t="s">
        <v>2914</v>
      </c>
      <c r="I1116" s="7" t="s">
        <v>3283</v>
      </c>
      <c r="J1116" s="7" t="s">
        <v>3137</v>
      </c>
      <c r="K1116" s="7" t="str">
        <f t="shared" si="2"/>
        <v/>
      </c>
      <c r="L1116" s="7" t="str">
        <f t="shared" si="1026"/>
        <v/>
      </c>
      <c r="M1116" s="7">
        <f t="shared" ref="M1116:N1116" si="1132">IF(LEN(M$1),COUNTIF($G1116:$J1116,M$1),"")</f>
        <v>0</v>
      </c>
      <c r="N1116" s="7" t="str">
        <f t="shared" si="1132"/>
        <v/>
      </c>
      <c r="O1116" s="7" t="str">
        <f t="shared" si="1028"/>
        <v/>
      </c>
      <c r="P1116" s="7">
        <f t="shared" si="1130"/>
        <v>0</v>
      </c>
      <c r="Q1116" s="7" t="str">
        <f t="shared" si="7"/>
        <v/>
      </c>
      <c r="T1116" s="7"/>
    </row>
    <row r="1117" ht="12.75" customHeight="1">
      <c r="A1117" s="7">
        <v>1116.0</v>
      </c>
      <c r="B1117" s="7" t="s">
        <v>73</v>
      </c>
      <c r="C1117" s="7" t="s">
        <v>4711</v>
      </c>
      <c r="D1117" s="7"/>
      <c r="E1117" s="7"/>
      <c r="F1117" s="7" t="s">
        <v>4871</v>
      </c>
      <c r="G1117" s="7" t="s">
        <v>2778</v>
      </c>
      <c r="H1117" s="7" t="s">
        <v>2910</v>
      </c>
      <c r="I1117" s="7" t="s">
        <v>3012</v>
      </c>
      <c r="J1117" s="7" t="s">
        <v>3132</v>
      </c>
      <c r="K1117" s="7" t="str">
        <f t="shared" si="2"/>
        <v/>
      </c>
      <c r="L1117" s="7" t="str">
        <f t="shared" si="1026"/>
        <v/>
      </c>
      <c r="M1117" s="7">
        <f t="shared" ref="M1117:N1117" si="1133">IF(LEN(M$1),COUNTIF($G1117:$J1117,M$1),"")</f>
        <v>0</v>
      </c>
      <c r="N1117" s="7" t="str">
        <f t="shared" si="1133"/>
        <v/>
      </c>
      <c r="O1117" s="7" t="str">
        <f t="shared" si="1028"/>
        <v/>
      </c>
      <c r="P1117" s="7">
        <f t="shared" si="1130"/>
        <v>0</v>
      </c>
      <c r="Q1117" s="7" t="str">
        <f t="shared" si="7"/>
        <v/>
      </c>
      <c r="T1117" s="7"/>
    </row>
    <row r="1118" ht="12.75" customHeight="1">
      <c r="A1118" s="7">
        <v>1117.0</v>
      </c>
      <c r="B1118" s="7" t="s">
        <v>81</v>
      </c>
      <c r="C1118" s="7" t="s">
        <v>4711</v>
      </c>
      <c r="D1118" s="7"/>
      <c r="E1118" s="7"/>
      <c r="F1118" s="7" t="s">
        <v>4871</v>
      </c>
      <c r="G1118" s="7" t="s">
        <v>3262</v>
      </c>
      <c r="H1118" s="7" t="s">
        <v>3178</v>
      </c>
      <c r="I1118" s="7" t="s">
        <v>3170</v>
      </c>
      <c r="J1118" s="7" t="s">
        <v>3173</v>
      </c>
      <c r="K1118" s="7" t="str">
        <f t="shared" si="2"/>
        <v/>
      </c>
      <c r="L1118" s="7" t="str">
        <f t="shared" si="1026"/>
        <v/>
      </c>
      <c r="M1118" s="7">
        <f t="shared" ref="M1118:N1118" si="1134">IF(LEN(M$1),COUNTIF($G1118:$J1118,M$1),"")</f>
        <v>0</v>
      </c>
      <c r="N1118" s="7" t="str">
        <f t="shared" si="1134"/>
        <v/>
      </c>
      <c r="O1118" s="7" t="str">
        <f t="shared" si="1028"/>
        <v/>
      </c>
      <c r="P1118" s="7">
        <f t="shared" si="1130"/>
        <v>0</v>
      </c>
      <c r="Q1118" s="7" t="str">
        <f t="shared" si="7"/>
        <v/>
      </c>
      <c r="T1118" s="7"/>
    </row>
    <row r="1119" ht="12.75" customHeight="1">
      <c r="A1119" s="7">
        <v>1118.0</v>
      </c>
      <c r="B1119" s="7" t="s">
        <v>88</v>
      </c>
      <c r="C1119" s="7" t="s">
        <v>4717</v>
      </c>
      <c r="D1119" s="7"/>
      <c r="E1119" s="7"/>
      <c r="F1119" s="7" t="s">
        <v>4871</v>
      </c>
      <c r="G1119" s="7" t="s">
        <v>2646</v>
      </c>
      <c r="H1119" s="7" t="s">
        <v>2879</v>
      </c>
      <c r="I1119" s="7" t="s">
        <v>3106</v>
      </c>
      <c r="J1119" s="7" t="s">
        <v>2942</v>
      </c>
      <c r="K1119" s="7" t="str">
        <f t="shared" si="2"/>
        <v/>
      </c>
      <c r="L1119" s="7" t="str">
        <f t="shared" si="1026"/>
        <v/>
      </c>
      <c r="M1119" s="7">
        <f t="shared" ref="M1119:N1119" si="1135">IF(LEN(M$1),COUNTIF($G1119:$J1119,M$1),"")</f>
        <v>0</v>
      </c>
      <c r="N1119" s="7" t="str">
        <f t="shared" si="1135"/>
        <v/>
      </c>
      <c r="O1119" s="7" t="str">
        <f t="shared" si="1028"/>
        <v/>
      </c>
      <c r="P1119" s="7">
        <f t="shared" si="1130"/>
        <v>0</v>
      </c>
      <c r="Q1119" s="7" t="str">
        <f t="shared" si="7"/>
        <v/>
      </c>
      <c r="T1119" s="7"/>
    </row>
    <row r="1120" ht="12.75" customHeight="1">
      <c r="A1120" s="7">
        <v>1119.0</v>
      </c>
      <c r="B1120" s="7" t="s">
        <v>97</v>
      </c>
      <c r="C1120" s="7" t="s">
        <v>4717</v>
      </c>
      <c r="D1120" s="7"/>
      <c r="E1120" s="7"/>
      <c r="F1120" s="7" t="s">
        <v>4871</v>
      </c>
      <c r="G1120" s="7" t="s">
        <v>3115</v>
      </c>
      <c r="H1120" s="7" t="s">
        <v>3001</v>
      </c>
      <c r="I1120" s="7" t="s">
        <v>3200</v>
      </c>
      <c r="J1120" s="7" t="s">
        <v>2942</v>
      </c>
      <c r="K1120" s="7" t="str">
        <f t="shared" si="2"/>
        <v/>
      </c>
      <c r="L1120" s="7" t="str">
        <f t="shared" si="1026"/>
        <v/>
      </c>
      <c r="M1120" s="7">
        <f t="shared" ref="M1120:N1120" si="1136">IF(LEN(M$1),COUNTIF($G1120:$J1120,M$1),"")</f>
        <v>0</v>
      </c>
      <c r="N1120" s="7" t="str">
        <f t="shared" si="1136"/>
        <v/>
      </c>
      <c r="O1120" s="7" t="str">
        <f t="shared" si="1028"/>
        <v/>
      </c>
      <c r="P1120" s="7">
        <f t="shared" si="1130"/>
        <v>0</v>
      </c>
      <c r="Q1120" s="7" t="str">
        <f t="shared" si="7"/>
        <v/>
      </c>
      <c r="T1120" s="7"/>
    </row>
    <row r="1121" ht="12.75" customHeight="1">
      <c r="A1121" s="7">
        <v>1120.0</v>
      </c>
      <c r="B1121" s="7" t="s">
        <v>105</v>
      </c>
      <c r="C1121" s="7" t="s">
        <v>4717</v>
      </c>
      <c r="D1121" s="7"/>
      <c r="E1121" s="7"/>
      <c r="F1121" s="7" t="s">
        <v>4871</v>
      </c>
      <c r="G1121" s="7" t="s">
        <v>3153</v>
      </c>
      <c r="H1121" s="7" t="s">
        <v>3089</v>
      </c>
      <c r="I1121" s="7" t="s">
        <v>3283</v>
      </c>
      <c r="J1121" s="7" t="s">
        <v>3006</v>
      </c>
      <c r="K1121" s="7" t="str">
        <f t="shared" si="2"/>
        <v/>
      </c>
      <c r="L1121" s="7" t="str">
        <f t="shared" si="1026"/>
        <v/>
      </c>
      <c r="M1121" s="7">
        <f t="shared" ref="M1121:N1121" si="1137">IF(LEN(M$1),COUNTIF($G1121:$J1121,M$1),"")</f>
        <v>0</v>
      </c>
      <c r="N1121" s="7" t="str">
        <f t="shared" si="1137"/>
        <v/>
      </c>
      <c r="O1121" s="7" t="str">
        <f t="shared" si="1028"/>
        <v/>
      </c>
      <c r="P1121" s="7">
        <f t="shared" si="1130"/>
        <v>0</v>
      </c>
      <c r="Q1121" s="7" t="str">
        <f t="shared" si="7"/>
        <v/>
      </c>
      <c r="T1121" s="7"/>
    </row>
    <row r="1122" ht="12.75" customHeight="1">
      <c r="A1122" s="7">
        <v>1121.0</v>
      </c>
      <c r="B1122" s="7" t="s">
        <v>113</v>
      </c>
      <c r="C1122" s="7" t="s">
        <v>4724</v>
      </c>
      <c r="D1122" s="7"/>
      <c r="E1122" s="7"/>
      <c r="F1122" s="7" t="s">
        <v>4871</v>
      </c>
      <c r="G1122" s="7" t="s">
        <v>3246</v>
      </c>
      <c r="H1122" s="7" t="s">
        <v>2907</v>
      </c>
      <c r="I1122" s="7" t="s">
        <v>3208</v>
      </c>
      <c r="J1122" s="7" t="s">
        <v>3198</v>
      </c>
      <c r="K1122" s="7" t="str">
        <f t="shared" si="2"/>
        <v/>
      </c>
      <c r="L1122" s="7" t="str">
        <f t="shared" si="1026"/>
        <v/>
      </c>
      <c r="M1122" s="7">
        <f t="shared" ref="M1122:N1122" si="1138">IF(LEN(M$1),COUNTIF($G1122:$J1122,M$1),"")</f>
        <v>0</v>
      </c>
      <c r="N1122" s="7" t="str">
        <f t="shared" si="1138"/>
        <v/>
      </c>
      <c r="O1122" s="7" t="str">
        <f t="shared" si="1028"/>
        <v/>
      </c>
      <c r="P1122" s="7">
        <f t="shared" si="1130"/>
        <v>0</v>
      </c>
      <c r="Q1122" s="7" t="str">
        <f t="shared" si="7"/>
        <v/>
      </c>
      <c r="T1122" s="7"/>
    </row>
    <row r="1123" ht="12.75" customHeight="1">
      <c r="A1123" s="7">
        <v>1122.0</v>
      </c>
      <c r="B1123" s="7" t="s">
        <v>122</v>
      </c>
      <c r="C1123" s="7" t="s">
        <v>4724</v>
      </c>
      <c r="D1123" s="7"/>
      <c r="E1123" s="7"/>
      <c r="F1123" s="7" t="s">
        <v>4871</v>
      </c>
      <c r="G1123" s="7" t="s">
        <v>2585</v>
      </c>
      <c r="H1123" s="7" t="s">
        <v>2927</v>
      </c>
      <c r="I1123" s="7" t="s">
        <v>2989</v>
      </c>
      <c r="J1123" s="7" t="s">
        <v>3069</v>
      </c>
      <c r="K1123" s="7" t="str">
        <f t="shared" si="2"/>
        <v/>
      </c>
      <c r="L1123" s="7" t="str">
        <f t="shared" si="1026"/>
        <v/>
      </c>
      <c r="M1123" s="7">
        <f t="shared" ref="M1123:N1123" si="1139">IF(LEN(M$1),COUNTIF($G1123:$J1123,M$1),"")</f>
        <v>0</v>
      </c>
      <c r="N1123" s="7" t="str">
        <f t="shared" si="1139"/>
        <v/>
      </c>
      <c r="O1123" s="7" t="str">
        <f t="shared" si="1028"/>
        <v/>
      </c>
      <c r="P1123" s="7">
        <f t="shared" si="1130"/>
        <v>0</v>
      </c>
      <c r="Q1123" s="7" t="str">
        <f t="shared" si="7"/>
        <v/>
      </c>
      <c r="T1123" s="7"/>
    </row>
    <row r="1124" ht="12.75" customHeight="1">
      <c r="A1124" s="7">
        <v>1123.0</v>
      </c>
      <c r="B1124" s="7" t="s">
        <v>129</v>
      </c>
      <c r="C1124" s="7" t="s">
        <v>4724</v>
      </c>
      <c r="D1124" s="7"/>
      <c r="E1124" s="7"/>
      <c r="F1124" s="7" t="s">
        <v>4871</v>
      </c>
      <c r="G1124" s="7" t="s">
        <v>3266</v>
      </c>
      <c r="H1124" s="7" t="s">
        <v>3142</v>
      </c>
      <c r="I1124" s="7" t="s">
        <v>3192</v>
      </c>
      <c r="J1124" s="7" t="s">
        <v>3204</v>
      </c>
      <c r="K1124" s="7" t="str">
        <f t="shared" si="2"/>
        <v/>
      </c>
      <c r="L1124" s="7" t="str">
        <f t="shared" si="1026"/>
        <v/>
      </c>
      <c r="M1124" s="7">
        <f t="shared" ref="M1124:N1124" si="1140">IF(LEN(M$1),COUNTIF($G1124:$J1124,M$1),"")</f>
        <v>0</v>
      </c>
      <c r="N1124" s="7" t="str">
        <f t="shared" si="1140"/>
        <v/>
      </c>
      <c r="O1124" s="7" t="str">
        <f t="shared" si="1028"/>
        <v/>
      </c>
      <c r="P1124" s="7">
        <f t="shared" si="1130"/>
        <v>0</v>
      </c>
      <c r="Q1124" s="7" t="str">
        <f t="shared" si="7"/>
        <v/>
      </c>
      <c r="T1124" s="7"/>
    </row>
    <row r="1125" ht="12.75" customHeight="1">
      <c r="A1125" s="7">
        <v>1124.0</v>
      </c>
      <c r="B1125" s="7" t="s">
        <v>137</v>
      </c>
      <c r="C1125" s="7" t="s">
        <v>4731</v>
      </c>
      <c r="D1125" s="7"/>
      <c r="E1125" s="7"/>
      <c r="F1125" s="7" t="s">
        <v>4871</v>
      </c>
      <c r="G1125" s="7" t="s">
        <v>2616</v>
      </c>
      <c r="H1125" s="7" t="s">
        <v>2883</v>
      </c>
      <c r="I1125" s="7" t="s">
        <v>3040</v>
      </c>
      <c r="J1125" s="7" t="s">
        <v>3017</v>
      </c>
      <c r="K1125" s="7" t="str">
        <f t="shared" si="2"/>
        <v/>
      </c>
      <c r="L1125" s="7" t="str">
        <f t="shared" si="1026"/>
        <v/>
      </c>
      <c r="M1125" s="7">
        <f t="shared" ref="M1125:N1125" si="1141">IF(LEN(M$1),COUNTIF($G1125:$J1125,M$1),"")</f>
        <v>0</v>
      </c>
      <c r="N1125" s="7" t="str">
        <f t="shared" si="1141"/>
        <v/>
      </c>
      <c r="O1125" s="7" t="str">
        <f t="shared" si="1028"/>
        <v/>
      </c>
      <c r="P1125" s="7">
        <f t="shared" si="1130"/>
        <v>0</v>
      </c>
      <c r="Q1125" s="7" t="str">
        <f t="shared" si="7"/>
        <v/>
      </c>
      <c r="T1125" s="7"/>
    </row>
    <row r="1126" ht="12.75" customHeight="1">
      <c r="A1126" s="7">
        <v>1125.0</v>
      </c>
      <c r="B1126" s="7" t="s">
        <v>146</v>
      </c>
      <c r="C1126" s="7" t="s">
        <v>4731</v>
      </c>
      <c r="D1126" s="7"/>
      <c r="E1126" s="7"/>
      <c r="F1126" s="7" t="s">
        <v>4871</v>
      </c>
      <c r="G1126" s="7" t="s">
        <v>3124</v>
      </c>
      <c r="H1126" s="7" t="s">
        <v>3155</v>
      </c>
      <c r="I1126" s="7" t="s">
        <v>3210</v>
      </c>
      <c r="J1126" s="7" t="s">
        <v>3237</v>
      </c>
      <c r="K1126" s="7" t="str">
        <f t="shared" si="2"/>
        <v/>
      </c>
      <c r="L1126" s="7" t="str">
        <f t="shared" si="1026"/>
        <v/>
      </c>
      <c r="M1126" s="7">
        <f t="shared" ref="M1126:N1126" si="1142">IF(LEN(M$1),COUNTIF($G1126:$J1126,M$1),"")</f>
        <v>0</v>
      </c>
      <c r="N1126" s="7" t="str">
        <f t="shared" si="1142"/>
        <v/>
      </c>
      <c r="O1126" s="7" t="str">
        <f t="shared" si="1028"/>
        <v/>
      </c>
      <c r="P1126" s="7">
        <f t="shared" si="1130"/>
        <v>0</v>
      </c>
      <c r="Q1126" s="7" t="str">
        <f t="shared" si="7"/>
        <v/>
      </c>
      <c r="T1126" s="7"/>
    </row>
    <row r="1127" ht="12.75" customHeight="1">
      <c r="A1127" s="7">
        <v>1126.0</v>
      </c>
      <c r="B1127" s="7" t="s">
        <v>155</v>
      </c>
      <c r="C1127" s="7" t="s">
        <v>4731</v>
      </c>
      <c r="D1127" s="7"/>
      <c r="E1127" s="7"/>
      <c r="F1127" s="7" t="s">
        <v>4871</v>
      </c>
      <c r="G1127" s="7" t="s">
        <v>3110</v>
      </c>
      <c r="H1127" s="7" t="s">
        <v>3251</v>
      </c>
      <c r="I1127" s="7" t="s">
        <v>3212</v>
      </c>
      <c r="J1127" s="7" t="s">
        <v>3067</v>
      </c>
      <c r="K1127" s="7" t="str">
        <f t="shared" si="2"/>
        <v/>
      </c>
      <c r="L1127" s="7" t="str">
        <f t="shared" si="1026"/>
        <v/>
      </c>
      <c r="M1127" s="7">
        <f t="shared" ref="M1127:N1127" si="1143">IF(LEN(M$1),COUNTIF($G1127:$J1127,M$1),"")</f>
        <v>0</v>
      </c>
      <c r="N1127" s="7" t="str">
        <f t="shared" si="1143"/>
        <v/>
      </c>
      <c r="O1127" s="7" t="str">
        <f t="shared" si="1028"/>
        <v/>
      </c>
      <c r="P1127" s="7">
        <f t="shared" si="1130"/>
        <v>0</v>
      </c>
      <c r="Q1127" s="7" t="str">
        <f t="shared" si="7"/>
        <v/>
      </c>
      <c r="T1127" s="7"/>
    </row>
    <row r="1128" ht="12.75" customHeight="1">
      <c r="A1128" s="7">
        <v>1127.0</v>
      </c>
      <c r="B1128" s="7" t="s">
        <v>164</v>
      </c>
      <c r="C1128" s="7" t="s">
        <v>4735</v>
      </c>
      <c r="D1128" s="7"/>
      <c r="E1128" s="7"/>
      <c r="F1128" s="7" t="s">
        <v>4871</v>
      </c>
      <c r="G1128" s="7" t="s">
        <v>3192</v>
      </c>
      <c r="H1128" s="7" t="s">
        <v>3060</v>
      </c>
      <c r="I1128" s="7" t="s">
        <v>3241</v>
      </c>
      <c r="J1128" s="7" t="s">
        <v>2979</v>
      </c>
      <c r="K1128" s="7" t="str">
        <f t="shared" si="2"/>
        <v/>
      </c>
      <c r="L1128" s="7" t="str">
        <f t="shared" si="1026"/>
        <v/>
      </c>
      <c r="M1128" s="7">
        <f t="shared" ref="M1128:N1128" si="1144">IF(LEN(M$1),COUNTIF($G1128:$J1128,M$1),"")</f>
        <v>0</v>
      </c>
      <c r="N1128" s="7" t="str">
        <f t="shared" si="1144"/>
        <v/>
      </c>
      <c r="O1128" s="7" t="str">
        <f t="shared" si="1028"/>
        <v/>
      </c>
      <c r="P1128" s="7">
        <f t="shared" si="1130"/>
        <v>0</v>
      </c>
      <c r="Q1128" s="7" t="str">
        <f t="shared" si="7"/>
        <v/>
      </c>
      <c r="T1128" s="7"/>
    </row>
    <row r="1129" ht="12.75" customHeight="1">
      <c r="A1129" s="7">
        <v>1128.0</v>
      </c>
      <c r="B1129" s="7" t="s">
        <v>173</v>
      </c>
      <c r="C1129" s="7" t="s">
        <v>4735</v>
      </c>
      <c r="D1129" s="7"/>
      <c r="E1129" s="7"/>
      <c r="F1129" s="7" t="s">
        <v>4871</v>
      </c>
      <c r="G1129" s="7" t="s">
        <v>3146</v>
      </c>
      <c r="H1129" s="7" t="s">
        <v>2873</v>
      </c>
      <c r="I1129" s="7" t="s">
        <v>3212</v>
      </c>
      <c r="J1129" s="7" t="s">
        <v>3127</v>
      </c>
      <c r="K1129" s="7" t="str">
        <f t="shared" si="2"/>
        <v/>
      </c>
      <c r="L1129" s="7" t="str">
        <f t="shared" si="1026"/>
        <v/>
      </c>
      <c r="M1129" s="7">
        <f t="shared" ref="M1129:N1129" si="1145">IF(LEN(M$1),COUNTIF($G1129:$J1129,M$1),"")</f>
        <v>0</v>
      </c>
      <c r="N1129" s="7" t="str">
        <f t="shared" si="1145"/>
        <v/>
      </c>
      <c r="O1129" s="7" t="str">
        <f t="shared" si="1028"/>
        <v/>
      </c>
      <c r="P1129" s="7">
        <f t="shared" si="1130"/>
        <v>0</v>
      </c>
      <c r="Q1129" s="7" t="str">
        <f t="shared" si="7"/>
        <v/>
      </c>
      <c r="T1129" s="7"/>
    </row>
    <row r="1130" ht="12.75" customHeight="1">
      <c r="A1130" s="7">
        <v>1129.0</v>
      </c>
      <c r="B1130" s="7" t="s">
        <v>180</v>
      </c>
      <c r="C1130" s="7" t="s">
        <v>4735</v>
      </c>
      <c r="D1130" s="7"/>
      <c r="E1130" s="7"/>
      <c r="F1130" s="7" t="s">
        <v>4871</v>
      </c>
      <c r="G1130" s="7" t="s">
        <v>3115</v>
      </c>
      <c r="H1130" s="7" t="s">
        <v>2881</v>
      </c>
      <c r="I1130" s="7" t="s">
        <v>3149</v>
      </c>
      <c r="J1130" s="7" t="s">
        <v>3258</v>
      </c>
      <c r="K1130" s="7" t="str">
        <f t="shared" si="2"/>
        <v/>
      </c>
      <c r="L1130" s="7" t="str">
        <f t="shared" si="1026"/>
        <v/>
      </c>
      <c r="M1130" s="7">
        <f t="shared" ref="M1130:N1130" si="1146">IF(LEN(M$1),COUNTIF($G1130:$J1130,M$1),"")</f>
        <v>0</v>
      </c>
      <c r="N1130" s="7" t="str">
        <f t="shared" si="1146"/>
        <v/>
      </c>
      <c r="O1130" s="7" t="str">
        <f t="shared" si="1028"/>
        <v/>
      </c>
      <c r="P1130" s="7">
        <f t="shared" si="1130"/>
        <v>0</v>
      </c>
      <c r="Q1130" s="7" t="str">
        <f t="shared" si="7"/>
        <v/>
      </c>
      <c r="T1130" s="7"/>
    </row>
    <row r="1131" ht="12.75" customHeight="1">
      <c r="A1131" s="7">
        <v>1130.0</v>
      </c>
      <c r="B1131" s="7" t="s">
        <v>189</v>
      </c>
      <c r="C1131" s="7" t="s">
        <v>4740</v>
      </c>
      <c r="D1131" s="7"/>
      <c r="E1131" s="7"/>
      <c r="F1131" s="7" t="s">
        <v>4871</v>
      </c>
      <c r="G1131" s="7" t="s">
        <v>2721</v>
      </c>
      <c r="H1131" s="7" t="s">
        <v>2882</v>
      </c>
      <c r="I1131" s="7" t="s">
        <v>3050</v>
      </c>
      <c r="J1131" s="7" t="s">
        <v>3040</v>
      </c>
      <c r="K1131" s="7" t="str">
        <f t="shared" si="2"/>
        <v/>
      </c>
      <c r="L1131" s="7" t="str">
        <f t="shared" si="1026"/>
        <v/>
      </c>
      <c r="M1131" s="7">
        <f t="shared" ref="M1131:N1131" si="1147">IF(LEN(M$1),COUNTIF($G1131:$J1131,M$1),"")</f>
        <v>0</v>
      </c>
      <c r="N1131" s="7" t="str">
        <f t="shared" si="1147"/>
        <v/>
      </c>
      <c r="O1131" s="7" t="str">
        <f t="shared" si="1028"/>
        <v/>
      </c>
      <c r="P1131" s="7">
        <f t="shared" si="1130"/>
        <v>0</v>
      </c>
      <c r="Q1131" s="7" t="str">
        <f t="shared" si="7"/>
        <v/>
      </c>
      <c r="T1131" s="7"/>
    </row>
    <row r="1132" ht="12.75" customHeight="1">
      <c r="A1132" s="7">
        <v>1131.0</v>
      </c>
      <c r="B1132" s="7" t="s">
        <v>197</v>
      </c>
      <c r="C1132" s="7" t="s">
        <v>4740</v>
      </c>
      <c r="D1132" s="7"/>
      <c r="E1132" s="7"/>
      <c r="F1132" s="7" t="s">
        <v>4871</v>
      </c>
      <c r="G1132" s="7" t="s">
        <v>3230</v>
      </c>
      <c r="H1132" s="7" t="s">
        <v>3190</v>
      </c>
      <c r="I1132" s="7" t="s">
        <v>3106</v>
      </c>
      <c r="J1132" s="7" t="s">
        <v>3127</v>
      </c>
      <c r="K1132" s="7" t="str">
        <f t="shared" si="2"/>
        <v/>
      </c>
      <c r="L1132" s="7" t="str">
        <f t="shared" si="1026"/>
        <v/>
      </c>
      <c r="M1132" s="7">
        <f t="shared" ref="M1132:N1132" si="1148">IF(LEN(M$1),COUNTIF($G1132:$J1132,M$1),"")</f>
        <v>0</v>
      </c>
      <c r="N1132" s="7" t="str">
        <f t="shared" si="1148"/>
        <v/>
      </c>
      <c r="O1132" s="7" t="str">
        <f t="shared" si="1028"/>
        <v/>
      </c>
      <c r="P1132" s="7">
        <f t="shared" si="1130"/>
        <v>0</v>
      </c>
      <c r="Q1132" s="7" t="str">
        <f t="shared" si="7"/>
        <v/>
      </c>
      <c r="T1132" s="7"/>
    </row>
    <row r="1133" ht="12.75" customHeight="1">
      <c r="A1133" s="7">
        <v>1132.0</v>
      </c>
      <c r="B1133" s="7" t="s">
        <v>206</v>
      </c>
      <c r="C1133" s="7" t="s">
        <v>4740</v>
      </c>
      <c r="D1133" s="7"/>
      <c r="E1133" s="7"/>
      <c r="F1133" s="7" t="s">
        <v>4871</v>
      </c>
      <c r="G1133" s="7" t="s">
        <v>2748</v>
      </c>
      <c r="H1133" s="7" t="s">
        <v>2884</v>
      </c>
      <c r="I1133" s="7" t="s">
        <v>3094</v>
      </c>
      <c r="J1133" s="7" t="s">
        <v>3075</v>
      </c>
      <c r="K1133" s="7" t="str">
        <f t="shared" si="2"/>
        <v/>
      </c>
      <c r="L1133" s="7" t="str">
        <f t="shared" si="1026"/>
        <v/>
      </c>
      <c r="M1133" s="7">
        <f t="shared" ref="M1133:N1133" si="1149">IF(LEN(M$1),COUNTIF($G1133:$J1133,M$1),"")</f>
        <v>0</v>
      </c>
      <c r="N1133" s="7" t="str">
        <f t="shared" si="1149"/>
        <v/>
      </c>
      <c r="O1133" s="7" t="str">
        <f t="shared" si="1028"/>
        <v/>
      </c>
      <c r="P1133" s="7">
        <f t="shared" si="1130"/>
        <v>0</v>
      </c>
      <c r="Q1133" s="7" t="str">
        <f t="shared" si="7"/>
        <v/>
      </c>
      <c r="T1133" s="7"/>
    </row>
    <row r="1134" ht="12.75" customHeight="1">
      <c r="A1134" s="7">
        <v>1133.0</v>
      </c>
      <c r="B1134" s="7" t="s">
        <v>213</v>
      </c>
      <c r="C1134" s="7" t="s">
        <v>4743</v>
      </c>
      <c r="D1134" s="7"/>
      <c r="E1134" s="7"/>
      <c r="F1134" s="7" t="s">
        <v>4871</v>
      </c>
      <c r="G1134" s="7" t="s">
        <v>3173</v>
      </c>
      <c r="H1134" s="7" t="s">
        <v>2920</v>
      </c>
      <c r="I1134" s="7" t="s">
        <v>3241</v>
      </c>
      <c r="J1134" s="7" t="s">
        <v>3158</v>
      </c>
      <c r="K1134" s="7" t="str">
        <f t="shared" si="2"/>
        <v/>
      </c>
      <c r="L1134" s="7" t="str">
        <f t="shared" si="1026"/>
        <v/>
      </c>
      <c r="M1134" s="7">
        <f t="shared" ref="M1134:N1134" si="1150">IF(LEN(M$1),COUNTIF($G1134:$J1134,M$1),"")</f>
        <v>0</v>
      </c>
      <c r="N1134" s="7" t="str">
        <f t="shared" si="1150"/>
        <v/>
      </c>
      <c r="O1134" s="7" t="str">
        <f t="shared" si="1028"/>
        <v/>
      </c>
      <c r="P1134" s="7">
        <f t="shared" si="1130"/>
        <v>0</v>
      </c>
      <c r="Q1134" s="7" t="str">
        <f t="shared" si="7"/>
        <v/>
      </c>
      <c r="T1134" s="7"/>
    </row>
    <row r="1135" ht="12.75" customHeight="1">
      <c r="A1135" s="7">
        <v>1134.0</v>
      </c>
      <c r="B1135" s="7" t="s">
        <v>220</v>
      </c>
      <c r="C1135" s="7" t="s">
        <v>4743</v>
      </c>
      <c r="D1135" s="7"/>
      <c r="E1135" s="7"/>
      <c r="F1135" s="7" t="s">
        <v>4871</v>
      </c>
      <c r="G1135" s="7" t="s">
        <v>2942</v>
      </c>
      <c r="H1135" s="7" t="s">
        <v>3215</v>
      </c>
      <c r="I1135" s="7" t="s">
        <v>3234</v>
      </c>
      <c r="J1135" s="7" t="s">
        <v>3026</v>
      </c>
      <c r="K1135" s="7" t="str">
        <f t="shared" si="2"/>
        <v/>
      </c>
      <c r="L1135" s="7" t="str">
        <f t="shared" si="1026"/>
        <v/>
      </c>
      <c r="M1135" s="7">
        <f t="shared" ref="M1135:N1135" si="1151">IF(LEN(M$1),COUNTIF($G1135:$J1135,M$1),"")</f>
        <v>0</v>
      </c>
      <c r="N1135" s="7" t="str">
        <f t="shared" si="1151"/>
        <v/>
      </c>
      <c r="O1135" s="7" t="str">
        <f t="shared" si="1028"/>
        <v/>
      </c>
      <c r="P1135" s="7">
        <f t="shared" si="1130"/>
        <v>0</v>
      </c>
      <c r="Q1135" s="7" t="str">
        <f t="shared" si="7"/>
        <v/>
      </c>
      <c r="T1135" s="7"/>
    </row>
    <row r="1136" ht="12.75" customHeight="1">
      <c r="A1136" s="7">
        <v>1135.0</v>
      </c>
      <c r="B1136" s="7" t="s">
        <v>229</v>
      </c>
      <c r="C1136" s="7" t="s">
        <v>4743</v>
      </c>
      <c r="D1136" s="7"/>
      <c r="E1136" s="7"/>
      <c r="F1136" s="7" t="s">
        <v>4871</v>
      </c>
      <c r="G1136" s="7" t="s">
        <v>3200</v>
      </c>
      <c r="H1136" s="7" t="s">
        <v>3234</v>
      </c>
      <c r="I1136" s="7" t="s">
        <v>2932</v>
      </c>
      <c r="J1136" s="7" t="s">
        <v>3230</v>
      </c>
      <c r="K1136" s="7" t="str">
        <f t="shared" si="2"/>
        <v/>
      </c>
      <c r="L1136" s="7" t="str">
        <f t="shared" si="1026"/>
        <v/>
      </c>
      <c r="M1136" s="7">
        <f t="shared" ref="M1136:N1136" si="1152">IF(LEN(M$1),COUNTIF($G1136:$J1136,M$1),"")</f>
        <v>0</v>
      </c>
      <c r="N1136" s="7" t="str">
        <f t="shared" si="1152"/>
        <v/>
      </c>
      <c r="O1136" s="7" t="str">
        <f t="shared" si="1028"/>
        <v/>
      </c>
      <c r="P1136" s="7">
        <f t="shared" si="1130"/>
        <v>0</v>
      </c>
      <c r="Q1136" s="7" t="str">
        <f t="shared" si="7"/>
        <v/>
      </c>
      <c r="T1136" s="7"/>
    </row>
    <row r="1137" ht="12.75" customHeight="1">
      <c r="A1137" s="7">
        <v>1136.0</v>
      </c>
      <c r="B1137" s="7" t="s">
        <v>237</v>
      </c>
      <c r="C1137" s="7" t="s">
        <v>4748</v>
      </c>
      <c r="D1137" s="7"/>
      <c r="E1137" s="7"/>
      <c r="F1137" s="7" t="s">
        <v>4871</v>
      </c>
      <c r="G1137" s="7" t="s">
        <v>3226</v>
      </c>
      <c r="H1137" s="7" t="s">
        <v>3132</v>
      </c>
      <c r="I1137" s="7" t="s">
        <v>3137</v>
      </c>
      <c r="J1137" s="7" t="s">
        <v>3258</v>
      </c>
      <c r="K1137" s="7" t="str">
        <f t="shared" si="2"/>
        <v/>
      </c>
      <c r="L1137" s="7" t="str">
        <f t="shared" si="1026"/>
        <v/>
      </c>
      <c r="M1137" s="7">
        <f t="shared" ref="M1137:N1137" si="1153">IF(LEN(M$1),COUNTIF($G1137:$J1137,M$1),"")</f>
        <v>0</v>
      </c>
      <c r="N1137" s="7" t="str">
        <f t="shared" si="1153"/>
        <v/>
      </c>
      <c r="O1137" s="7" t="str">
        <f t="shared" si="1028"/>
        <v/>
      </c>
      <c r="P1137" s="7">
        <f t="shared" si="1130"/>
        <v>0</v>
      </c>
      <c r="Q1137" s="7" t="str">
        <f t="shared" si="7"/>
        <v/>
      </c>
      <c r="T1137" s="7"/>
    </row>
    <row r="1138" ht="12.75" customHeight="1">
      <c r="A1138" s="7">
        <v>1137.0</v>
      </c>
      <c r="B1138" s="7" t="s">
        <v>245</v>
      </c>
      <c r="C1138" s="7" t="s">
        <v>4748</v>
      </c>
      <c r="D1138" s="7"/>
      <c r="E1138" s="7"/>
      <c r="F1138" s="7" t="s">
        <v>4871</v>
      </c>
      <c r="G1138" s="7" t="s">
        <v>3098</v>
      </c>
      <c r="H1138" s="7" t="s">
        <v>3251</v>
      </c>
      <c r="I1138" s="7" t="s">
        <v>3266</v>
      </c>
      <c r="J1138" s="7" t="s">
        <v>2942</v>
      </c>
      <c r="K1138" s="7" t="str">
        <f t="shared" si="2"/>
        <v/>
      </c>
      <c r="L1138" s="7" t="str">
        <f t="shared" si="1026"/>
        <v/>
      </c>
      <c r="M1138" s="7">
        <f t="shared" ref="M1138:N1138" si="1154">IF(LEN(M$1),COUNTIF($G1138:$J1138,M$1),"")</f>
        <v>0</v>
      </c>
      <c r="N1138" s="7" t="str">
        <f t="shared" si="1154"/>
        <v/>
      </c>
      <c r="O1138" s="7" t="str">
        <f t="shared" si="1028"/>
        <v/>
      </c>
      <c r="P1138" s="7">
        <f t="shared" si="1130"/>
        <v>0</v>
      </c>
      <c r="Q1138" s="7" t="str">
        <f t="shared" si="7"/>
        <v/>
      </c>
      <c r="T1138" s="7"/>
    </row>
    <row r="1139" ht="12.75" customHeight="1">
      <c r="A1139" s="7">
        <v>1138.0</v>
      </c>
      <c r="B1139" s="7" t="s">
        <v>254</v>
      </c>
      <c r="C1139" s="7" t="s">
        <v>4748</v>
      </c>
      <c r="D1139" s="7"/>
      <c r="E1139" s="7"/>
      <c r="F1139" s="7" t="s">
        <v>4871</v>
      </c>
      <c r="G1139" s="7" t="s">
        <v>3223</v>
      </c>
      <c r="H1139" s="7" t="s">
        <v>3163</v>
      </c>
      <c r="I1139" s="7" t="s">
        <v>3187</v>
      </c>
      <c r="J1139" s="7" t="s">
        <v>3215</v>
      </c>
      <c r="K1139" s="7" t="str">
        <f t="shared" si="2"/>
        <v/>
      </c>
      <c r="L1139" s="7" t="str">
        <f t="shared" si="1026"/>
        <v/>
      </c>
      <c r="M1139" s="7">
        <f t="shared" ref="M1139:N1139" si="1155">IF(LEN(M$1),COUNTIF($G1139:$J1139,M$1),"")</f>
        <v>0</v>
      </c>
      <c r="N1139" s="7" t="str">
        <f t="shared" si="1155"/>
        <v/>
      </c>
      <c r="O1139" s="7" t="str">
        <f t="shared" si="1028"/>
        <v/>
      </c>
      <c r="P1139" s="7">
        <f t="shared" si="1130"/>
        <v>0</v>
      </c>
      <c r="Q1139" s="7" t="str">
        <f t="shared" si="7"/>
        <v/>
      </c>
      <c r="T1139" s="7"/>
    </row>
    <row r="1140" ht="12.75" customHeight="1">
      <c r="A1140" s="7">
        <v>1139.0</v>
      </c>
      <c r="B1140" s="7" t="s">
        <v>262</v>
      </c>
      <c r="C1140" s="7" t="s">
        <v>4752</v>
      </c>
      <c r="D1140" s="7"/>
      <c r="E1140" s="7"/>
      <c r="F1140" s="7" t="s">
        <v>4871</v>
      </c>
      <c r="G1140" s="7" t="s">
        <v>3067</v>
      </c>
      <c r="H1140" s="7" t="s">
        <v>3270</v>
      </c>
      <c r="I1140" s="7" t="s">
        <v>3237</v>
      </c>
      <c r="J1140" s="7" t="s">
        <v>3106</v>
      </c>
      <c r="K1140" s="7" t="str">
        <f t="shared" si="2"/>
        <v/>
      </c>
      <c r="L1140" s="7" t="str">
        <f t="shared" si="1026"/>
        <v/>
      </c>
      <c r="M1140" s="7">
        <f t="shared" ref="M1140:N1140" si="1156">IF(LEN(M$1),COUNTIF($G1140:$J1140,M$1),"")</f>
        <v>0</v>
      </c>
      <c r="N1140" s="7" t="str">
        <f t="shared" si="1156"/>
        <v/>
      </c>
      <c r="O1140" s="7" t="str">
        <f t="shared" si="1028"/>
        <v/>
      </c>
      <c r="P1140" s="7">
        <f t="shared" si="1130"/>
        <v>0</v>
      </c>
      <c r="Q1140" s="7" t="str">
        <f t="shared" si="7"/>
        <v/>
      </c>
      <c r="T1140" s="7"/>
    </row>
    <row r="1141" ht="12.75" customHeight="1">
      <c r="A1141" s="7">
        <v>1140.0</v>
      </c>
      <c r="B1141" s="7" t="s">
        <v>271</v>
      </c>
      <c r="C1141" s="7" t="s">
        <v>4752</v>
      </c>
      <c r="D1141" s="7"/>
      <c r="E1141" s="7"/>
      <c r="F1141" s="7" t="s">
        <v>4871</v>
      </c>
      <c r="G1141" s="7" t="s">
        <v>2850</v>
      </c>
      <c r="H1141" s="7" t="s">
        <v>2925</v>
      </c>
      <c r="I1141" s="7" t="s">
        <v>2998</v>
      </c>
      <c r="J1141" s="7" t="s">
        <v>3050</v>
      </c>
      <c r="K1141" s="7" t="str">
        <f t="shared" si="2"/>
        <v/>
      </c>
      <c r="L1141" s="7" t="str">
        <f t="shared" si="1026"/>
        <v/>
      </c>
      <c r="M1141" s="7">
        <f t="shared" ref="M1141:N1141" si="1157">IF(LEN(M$1),COUNTIF($G1141:$J1141,M$1),"")</f>
        <v>0</v>
      </c>
      <c r="N1141" s="7" t="str">
        <f t="shared" si="1157"/>
        <v/>
      </c>
      <c r="O1141" s="7" t="str">
        <f t="shared" si="1028"/>
        <v/>
      </c>
      <c r="P1141" s="7">
        <f t="shared" si="1130"/>
        <v>0</v>
      </c>
      <c r="Q1141" s="7" t="str">
        <f t="shared" si="7"/>
        <v/>
      </c>
      <c r="T1141" s="7"/>
    </row>
    <row r="1142" ht="12.75" customHeight="1">
      <c r="A1142" s="7">
        <v>1141.0</v>
      </c>
      <c r="B1142" s="7" t="s">
        <v>279</v>
      </c>
      <c r="C1142" s="7" t="s">
        <v>4752</v>
      </c>
      <c r="D1142" s="7"/>
      <c r="E1142" s="7"/>
      <c r="F1142" s="7" t="s">
        <v>4871</v>
      </c>
      <c r="G1142" s="7" t="s">
        <v>3276</v>
      </c>
      <c r="H1142" s="7" t="s">
        <v>2929</v>
      </c>
      <c r="I1142" s="7" t="s">
        <v>3153</v>
      </c>
      <c r="J1142" s="7" t="s">
        <v>3110</v>
      </c>
      <c r="K1142" s="7" t="str">
        <f t="shared" si="2"/>
        <v/>
      </c>
      <c r="L1142" s="7" t="str">
        <f t="shared" si="1026"/>
        <v/>
      </c>
      <c r="M1142" s="7">
        <f t="shared" ref="M1142:N1142" si="1158">IF(LEN(M$1),COUNTIF($G1142:$J1142,M$1),"")</f>
        <v>0</v>
      </c>
      <c r="N1142" s="7" t="str">
        <f t="shared" si="1158"/>
        <v/>
      </c>
      <c r="O1142" s="7" t="str">
        <f t="shared" si="1028"/>
        <v/>
      </c>
      <c r="P1142" s="7">
        <f t="shared" si="1130"/>
        <v>0</v>
      </c>
      <c r="Q1142" s="7" t="str">
        <f t="shared" si="7"/>
        <v/>
      </c>
      <c r="T1142" s="7"/>
    </row>
    <row r="1143" ht="12.75" customHeight="1">
      <c r="A1143" s="7">
        <v>1142.0</v>
      </c>
      <c r="B1143" s="7" t="s">
        <v>92</v>
      </c>
      <c r="C1143" s="7" t="s">
        <v>4756</v>
      </c>
      <c r="D1143" s="7"/>
      <c r="E1143" s="7"/>
      <c r="F1143" s="7" t="s">
        <v>4871</v>
      </c>
      <c r="G1143" s="7" t="s">
        <v>3173</v>
      </c>
      <c r="H1143" s="7" t="s">
        <v>2969</v>
      </c>
      <c r="I1143" s="7" t="s">
        <v>3262</v>
      </c>
      <c r="J1143" s="7" t="s">
        <v>3044</v>
      </c>
      <c r="K1143" s="7" t="str">
        <f t="shared" si="2"/>
        <v/>
      </c>
      <c r="L1143" s="7" t="str">
        <f t="shared" si="1026"/>
        <v/>
      </c>
      <c r="M1143" s="7">
        <f t="shared" ref="M1143:N1143" si="1159">IF(LEN(M$1),COUNTIF($G1143:$J1143,M$1),"")</f>
        <v>0</v>
      </c>
      <c r="N1143" s="7" t="str">
        <f t="shared" si="1159"/>
        <v/>
      </c>
      <c r="O1143" s="7" t="str">
        <f t="shared" si="1028"/>
        <v/>
      </c>
      <c r="P1143" s="7">
        <f t="shared" si="1130"/>
        <v>0</v>
      </c>
      <c r="Q1143" s="7" t="str">
        <f t="shared" si="7"/>
        <v/>
      </c>
      <c r="T1143" s="7"/>
    </row>
    <row r="1144" ht="12.75" customHeight="1">
      <c r="A1144" s="7">
        <v>1143.0</v>
      </c>
      <c r="B1144" s="7" t="s">
        <v>294</v>
      </c>
      <c r="C1144" s="7" t="s">
        <v>4756</v>
      </c>
      <c r="D1144" s="7"/>
      <c r="E1144" s="7"/>
      <c r="F1144" s="7" t="s">
        <v>4871</v>
      </c>
      <c r="G1144" s="7" t="s">
        <v>2569</v>
      </c>
      <c r="H1144" s="7" t="s">
        <v>2923</v>
      </c>
      <c r="I1144" s="7" t="s">
        <v>3084</v>
      </c>
      <c r="J1144" s="7" t="s">
        <v>2989</v>
      </c>
      <c r="K1144" s="7" t="str">
        <f t="shared" si="2"/>
        <v/>
      </c>
      <c r="L1144" s="7" t="str">
        <f t="shared" si="1026"/>
        <v/>
      </c>
      <c r="M1144" s="7">
        <f t="shared" ref="M1144:N1144" si="1160">IF(LEN(M$1),COUNTIF($G1144:$J1144,M$1),"")</f>
        <v>0</v>
      </c>
      <c r="N1144" s="7" t="str">
        <f t="shared" si="1160"/>
        <v/>
      </c>
      <c r="O1144" s="7" t="str">
        <f t="shared" si="1028"/>
        <v/>
      </c>
      <c r="P1144" s="7">
        <f t="shared" si="1130"/>
        <v>0</v>
      </c>
      <c r="Q1144" s="7" t="str">
        <f t="shared" si="7"/>
        <v/>
      </c>
      <c r="T1144" s="7"/>
    </row>
    <row r="1145" ht="12.75" customHeight="1">
      <c r="A1145" s="7">
        <v>1144.0</v>
      </c>
      <c r="B1145" s="7" t="s">
        <v>303</v>
      </c>
      <c r="C1145" s="7" t="s">
        <v>4756</v>
      </c>
      <c r="D1145" s="7"/>
      <c r="E1145" s="7"/>
      <c r="F1145" s="7" t="s">
        <v>4871</v>
      </c>
      <c r="G1145" s="7" t="s">
        <v>3127</v>
      </c>
      <c r="H1145" s="7" t="s">
        <v>3254</v>
      </c>
      <c r="I1145" s="7" t="s">
        <v>3230</v>
      </c>
      <c r="J1145" s="7" t="s">
        <v>3146</v>
      </c>
      <c r="K1145" s="7" t="str">
        <f t="shared" si="2"/>
        <v/>
      </c>
      <c r="L1145" s="7" t="str">
        <f t="shared" si="1026"/>
        <v/>
      </c>
      <c r="M1145" s="7">
        <f t="shared" ref="M1145:N1145" si="1161">IF(LEN(M$1),COUNTIF($G1145:$J1145,M$1),"")</f>
        <v>0</v>
      </c>
      <c r="N1145" s="7" t="str">
        <f t="shared" si="1161"/>
        <v/>
      </c>
      <c r="O1145" s="7" t="str">
        <f t="shared" si="1028"/>
        <v/>
      </c>
      <c r="P1145" s="7">
        <f t="shared" si="1130"/>
        <v>0</v>
      </c>
      <c r="Q1145" s="7" t="str">
        <f t="shared" si="7"/>
        <v/>
      </c>
      <c r="T1145" s="7"/>
    </row>
    <row r="1146" ht="12.75" customHeight="1">
      <c r="A1146" s="7">
        <v>1145.0</v>
      </c>
      <c r="B1146" s="7" t="s">
        <v>310</v>
      </c>
      <c r="C1146" s="7" t="s">
        <v>4758</v>
      </c>
      <c r="D1146" s="7"/>
      <c r="E1146" s="7"/>
      <c r="F1146" s="7" t="s">
        <v>4871</v>
      </c>
      <c r="G1146" s="7" t="s">
        <v>2709</v>
      </c>
      <c r="H1146" s="7" t="s">
        <v>2926</v>
      </c>
      <c r="I1146" s="7" t="s">
        <v>3067</v>
      </c>
      <c r="J1146" s="7" t="s">
        <v>3029</v>
      </c>
      <c r="K1146" s="7" t="str">
        <f t="shared" si="2"/>
        <v/>
      </c>
      <c r="L1146" s="7" t="str">
        <f t="shared" si="1026"/>
        <v/>
      </c>
      <c r="M1146" s="7">
        <f t="shared" ref="M1146:N1146" si="1162">IF(LEN(M$1),COUNTIF($G1146:$J1146,M$1),"")</f>
        <v>0</v>
      </c>
      <c r="N1146" s="7" t="str">
        <f t="shared" si="1162"/>
        <v/>
      </c>
      <c r="O1146" s="7" t="str">
        <f t="shared" si="1028"/>
        <v/>
      </c>
      <c r="P1146" s="7">
        <f t="shared" si="1130"/>
        <v>0</v>
      </c>
      <c r="Q1146" s="7" t="str">
        <f t="shared" si="7"/>
        <v/>
      </c>
      <c r="T1146" s="7"/>
    </row>
    <row r="1147" ht="12.75" customHeight="1">
      <c r="A1147" s="7">
        <v>1146.0</v>
      </c>
      <c r="B1147" s="7" t="s">
        <v>318</v>
      </c>
      <c r="C1147" s="7" t="s">
        <v>4758</v>
      </c>
      <c r="D1147" s="7"/>
      <c r="E1147" s="7"/>
      <c r="F1147" s="7" t="s">
        <v>4871</v>
      </c>
      <c r="G1147" s="7" t="s">
        <v>3258</v>
      </c>
      <c r="H1147" s="7" t="s">
        <v>3103</v>
      </c>
      <c r="I1147" s="7" t="s">
        <v>3192</v>
      </c>
      <c r="J1147" s="7" t="s">
        <v>3178</v>
      </c>
      <c r="K1147" s="7" t="str">
        <f t="shared" si="2"/>
        <v/>
      </c>
      <c r="L1147" s="7" t="str">
        <f t="shared" si="1026"/>
        <v/>
      </c>
      <c r="M1147" s="7">
        <f t="shared" ref="M1147:N1147" si="1163">IF(LEN(M$1),COUNTIF($G1147:$J1147,M$1),"")</f>
        <v>0</v>
      </c>
      <c r="N1147" s="7" t="str">
        <f t="shared" si="1163"/>
        <v/>
      </c>
      <c r="O1147" s="7" t="str">
        <f t="shared" si="1028"/>
        <v/>
      </c>
      <c r="P1147" s="7">
        <f t="shared" si="1130"/>
        <v>0</v>
      </c>
      <c r="Q1147" s="7" t="str">
        <f t="shared" si="7"/>
        <v/>
      </c>
      <c r="T1147" s="7"/>
    </row>
    <row r="1148" ht="12.75" customHeight="1">
      <c r="A1148" s="7">
        <v>1147.0</v>
      </c>
      <c r="B1148" s="7" t="s">
        <v>326</v>
      </c>
      <c r="C1148" s="7" t="s">
        <v>4758</v>
      </c>
      <c r="D1148" s="7"/>
      <c r="E1148" s="7"/>
      <c r="F1148" s="7" t="s">
        <v>4871</v>
      </c>
      <c r="G1148" s="7" t="s">
        <v>2697</v>
      </c>
      <c r="H1148" s="7" t="s">
        <v>2875</v>
      </c>
      <c r="I1148" s="7" t="s">
        <v>3060</v>
      </c>
      <c r="J1148" s="7" t="s">
        <v>3110</v>
      </c>
      <c r="K1148" s="7" t="str">
        <f t="shared" si="2"/>
        <v/>
      </c>
      <c r="L1148" s="7" t="str">
        <f t="shared" si="1026"/>
        <v/>
      </c>
      <c r="M1148" s="7">
        <f t="shared" ref="M1148:N1148" si="1164">IF(LEN(M$1),COUNTIF($G1148:$J1148,M$1),"")</f>
        <v>0</v>
      </c>
      <c r="N1148" s="7" t="str">
        <f t="shared" si="1164"/>
        <v/>
      </c>
      <c r="O1148" s="7" t="str">
        <f t="shared" si="1028"/>
        <v/>
      </c>
      <c r="P1148" s="7">
        <f t="shared" si="1130"/>
        <v>0</v>
      </c>
      <c r="Q1148" s="7" t="str">
        <f t="shared" si="7"/>
        <v/>
      </c>
    </row>
    <row r="1149" ht="12.75" customHeight="1">
      <c r="A1149" s="7">
        <v>1148.0</v>
      </c>
      <c r="B1149" s="7" t="s">
        <v>334</v>
      </c>
      <c r="C1149" s="7" t="s">
        <v>4775</v>
      </c>
      <c r="D1149" s="7"/>
      <c r="E1149" s="7"/>
      <c r="F1149" s="7" t="s">
        <v>4871</v>
      </c>
      <c r="G1149" s="7" t="s">
        <v>3212</v>
      </c>
      <c r="H1149" s="7" t="s">
        <v>3204</v>
      </c>
      <c r="I1149" s="7" t="s">
        <v>3137</v>
      </c>
      <c r="J1149" s="7" t="s">
        <v>3276</v>
      </c>
      <c r="K1149" s="7" t="str">
        <f t="shared" si="2"/>
        <v/>
      </c>
      <c r="L1149" s="7" t="str">
        <f t="shared" si="1026"/>
        <v/>
      </c>
      <c r="M1149" s="7">
        <f t="shared" ref="M1149:N1149" si="1165">IF(LEN(M$1),COUNTIF($G1149:$J1149,M$1),"")</f>
        <v>0</v>
      </c>
      <c r="N1149" s="7" t="str">
        <f t="shared" si="1165"/>
        <v/>
      </c>
      <c r="O1149" s="7" t="str">
        <f t="shared" si="1028"/>
        <v/>
      </c>
      <c r="P1149" s="7">
        <f t="shared" si="1130"/>
        <v>0</v>
      </c>
      <c r="Q1149" s="7" t="str">
        <f t="shared" si="7"/>
        <v/>
      </c>
    </row>
    <row r="1150" ht="12.75" customHeight="1">
      <c r="A1150" s="7">
        <v>1149.0</v>
      </c>
      <c r="B1150" s="7" t="s">
        <v>334</v>
      </c>
      <c r="C1150" s="7" t="s">
        <v>4775</v>
      </c>
      <c r="D1150" s="7"/>
      <c r="E1150" s="7"/>
      <c r="F1150" s="7" t="s">
        <v>4871</v>
      </c>
      <c r="G1150" s="7" t="s">
        <v>2804</v>
      </c>
      <c r="H1150" s="7" t="s">
        <v>2861</v>
      </c>
      <c r="I1150" s="7" t="s">
        <v>3026</v>
      </c>
      <c r="J1150" s="7" t="s">
        <v>3035</v>
      </c>
      <c r="K1150" s="7" t="str">
        <f t="shared" si="2"/>
        <v/>
      </c>
      <c r="L1150" s="7" t="str">
        <f t="shared" si="1026"/>
        <v/>
      </c>
      <c r="M1150" s="7">
        <f t="shared" ref="M1150:N1150" si="1166">IF(LEN(M$1),COUNTIF($G1150:$J1150,M$1),"")</f>
        <v>0</v>
      </c>
      <c r="N1150" s="7" t="str">
        <f t="shared" si="1166"/>
        <v/>
      </c>
      <c r="O1150" s="7" t="str">
        <f t="shared" si="1028"/>
        <v/>
      </c>
      <c r="P1150" s="7">
        <f t="shared" si="1130"/>
        <v>0</v>
      </c>
      <c r="Q1150" s="7" t="str">
        <f t="shared" si="7"/>
        <v/>
      </c>
    </row>
    <row r="1151" ht="12.75" customHeight="1">
      <c r="A1151" s="7">
        <v>1150.0</v>
      </c>
      <c r="B1151" s="7" t="s">
        <v>342</v>
      </c>
      <c r="C1151" s="7" t="s">
        <v>4775</v>
      </c>
      <c r="D1151" s="7"/>
      <c r="E1151" s="7"/>
      <c r="F1151" s="7" t="s">
        <v>4871</v>
      </c>
      <c r="G1151" s="7" t="s">
        <v>3270</v>
      </c>
      <c r="H1151" s="7" t="s">
        <v>2984</v>
      </c>
      <c r="I1151" s="7" t="s">
        <v>3280</v>
      </c>
      <c r="J1151" s="7" t="s">
        <v>3064</v>
      </c>
      <c r="K1151" s="7" t="str">
        <f t="shared" si="2"/>
        <v/>
      </c>
      <c r="L1151" s="7" t="str">
        <f t="shared" si="1026"/>
        <v/>
      </c>
      <c r="M1151" s="7">
        <f t="shared" ref="M1151:N1151" si="1167">IF(LEN(M$1),COUNTIF($G1151:$J1151,M$1),"")</f>
        <v>0</v>
      </c>
      <c r="N1151" s="7" t="str">
        <f t="shared" si="1167"/>
        <v/>
      </c>
      <c r="O1151" s="7" t="str">
        <f t="shared" si="1028"/>
        <v/>
      </c>
      <c r="P1151" s="7">
        <f t="shared" si="1130"/>
        <v>0</v>
      </c>
      <c r="Q1151" s="7" t="str">
        <f t="shared" si="7"/>
        <v/>
      </c>
      <c r="T1151" s="7"/>
    </row>
    <row r="1152" ht="12.75" customHeight="1">
      <c r="A1152" s="7">
        <v>1151.0</v>
      </c>
      <c r="B1152" s="7" t="s">
        <v>342</v>
      </c>
      <c r="C1152" s="7" t="s">
        <v>4775</v>
      </c>
      <c r="D1152" s="7"/>
      <c r="E1152" s="7"/>
      <c r="F1152" s="7" t="s">
        <v>4871</v>
      </c>
      <c r="G1152" s="7" t="s">
        <v>3254</v>
      </c>
      <c r="H1152" s="7" t="s">
        <v>3142</v>
      </c>
      <c r="I1152" s="7" t="s">
        <v>3098</v>
      </c>
      <c r="J1152" s="7" t="s">
        <v>3176</v>
      </c>
      <c r="K1152" s="7" t="str">
        <f t="shared" si="2"/>
        <v/>
      </c>
      <c r="L1152" s="7" t="str">
        <f t="shared" si="1026"/>
        <v/>
      </c>
      <c r="M1152" s="7">
        <f t="shared" ref="M1152:N1152" si="1168">IF(LEN(M$1),COUNTIF($G1152:$J1152,M$1),"")</f>
        <v>0</v>
      </c>
      <c r="N1152" s="7" t="str">
        <f t="shared" si="1168"/>
        <v/>
      </c>
      <c r="O1152" s="7" t="str">
        <f t="shared" si="1028"/>
        <v/>
      </c>
      <c r="P1152" s="7">
        <f t="shared" si="1130"/>
        <v>0</v>
      </c>
      <c r="Q1152" s="7" t="str">
        <f t="shared" si="7"/>
        <v/>
      </c>
      <c r="T1152" s="7"/>
    </row>
    <row r="1153" ht="12.75" customHeight="1">
      <c r="A1153" s="7">
        <v>1152.0</v>
      </c>
      <c r="B1153" s="7" t="s">
        <v>351</v>
      </c>
      <c r="C1153" s="7" t="s">
        <v>4775</v>
      </c>
      <c r="D1153" s="7"/>
      <c r="E1153" s="7"/>
      <c r="F1153" s="7" t="s">
        <v>4871</v>
      </c>
      <c r="G1153" s="7" t="s">
        <v>2787</v>
      </c>
      <c r="H1153" s="7" t="s">
        <v>2905</v>
      </c>
      <c r="I1153" s="7" t="s">
        <v>2996</v>
      </c>
      <c r="J1153" s="7" t="s">
        <v>2949</v>
      </c>
      <c r="K1153" s="7" t="str">
        <f t="shared" si="2"/>
        <v/>
      </c>
      <c r="L1153" s="7" t="str">
        <f t="shared" si="1026"/>
        <v/>
      </c>
      <c r="M1153" s="7">
        <f t="shared" ref="M1153:N1153" si="1169">IF(LEN(M$1),COUNTIF($G1153:$J1153,M$1),"")</f>
        <v>0</v>
      </c>
      <c r="N1153" s="7" t="str">
        <f t="shared" si="1169"/>
        <v/>
      </c>
      <c r="O1153" s="7" t="str">
        <f t="shared" si="1028"/>
        <v/>
      </c>
      <c r="P1153" s="7">
        <f t="shared" si="1130"/>
        <v>0</v>
      </c>
      <c r="Q1153" s="7" t="str">
        <f t="shared" si="7"/>
        <v/>
      </c>
      <c r="T1153" s="7"/>
    </row>
    <row r="1154" ht="12.75" customHeight="1">
      <c r="A1154" s="7">
        <v>1153.0</v>
      </c>
      <c r="B1154" s="7" t="s">
        <v>351</v>
      </c>
      <c r="C1154" s="7" t="s">
        <v>4775</v>
      </c>
      <c r="D1154" s="7"/>
      <c r="E1154" s="7"/>
      <c r="F1154" s="7" t="s">
        <v>4871</v>
      </c>
      <c r="G1154" s="7" t="s">
        <v>2621</v>
      </c>
      <c r="H1154" s="7" t="s">
        <v>2881</v>
      </c>
      <c r="I1154" s="7" t="s">
        <v>2981</v>
      </c>
      <c r="J1154" s="7" t="s">
        <v>3078</v>
      </c>
      <c r="K1154" s="7" t="str">
        <f t="shared" si="2"/>
        <v/>
      </c>
      <c r="L1154" s="7" t="str">
        <f t="shared" si="1026"/>
        <v/>
      </c>
      <c r="M1154" s="7">
        <f t="shared" ref="M1154:N1154" si="1170">IF(LEN(M$1),COUNTIF($G1154:$J1154,M$1),"")</f>
        <v>0</v>
      </c>
      <c r="N1154" s="7" t="str">
        <f t="shared" si="1170"/>
        <v/>
      </c>
      <c r="O1154" s="7" t="str">
        <f t="shared" si="1028"/>
        <v/>
      </c>
      <c r="P1154" s="7">
        <f t="shared" si="1130"/>
        <v>0</v>
      </c>
      <c r="Q1154" s="7" t="str">
        <f t="shared" si="7"/>
        <v/>
      </c>
      <c r="T1154" s="7"/>
    </row>
    <row r="1155" ht="12.75" customHeight="1">
      <c r="A1155" s="7">
        <v>1154.0</v>
      </c>
      <c r="B1155" s="7" t="s">
        <v>359</v>
      </c>
      <c r="C1155" s="7" t="s">
        <v>4778</v>
      </c>
      <c r="D1155" s="7"/>
      <c r="E1155" s="7"/>
      <c r="F1155" s="7" t="s">
        <v>4871</v>
      </c>
      <c r="G1155" s="7" t="s">
        <v>2690</v>
      </c>
      <c r="H1155" s="7" t="s">
        <v>2916</v>
      </c>
      <c r="I1155" s="7" t="s">
        <v>3044</v>
      </c>
      <c r="J1155" s="7" t="s">
        <v>2974</v>
      </c>
      <c r="K1155" s="7" t="str">
        <f t="shared" si="2"/>
        <v/>
      </c>
      <c r="L1155" s="7" t="str">
        <f t="shared" si="1026"/>
        <v/>
      </c>
      <c r="M1155" s="7">
        <f t="shared" ref="M1155:N1155" si="1171">IF(LEN(M$1),COUNTIF($G1155:$J1155,M$1),"")</f>
        <v>0</v>
      </c>
      <c r="N1155" s="7" t="str">
        <f t="shared" si="1171"/>
        <v/>
      </c>
      <c r="O1155" s="7" t="str">
        <f t="shared" si="1028"/>
        <v/>
      </c>
      <c r="P1155" s="7">
        <f t="shared" si="1130"/>
        <v>0</v>
      </c>
      <c r="Q1155" s="7" t="str">
        <f t="shared" si="7"/>
        <v/>
      </c>
      <c r="T1155" s="7"/>
    </row>
    <row r="1156" ht="12.75" customHeight="1">
      <c r="A1156" s="7">
        <v>1155.0</v>
      </c>
      <c r="B1156" s="7" t="s">
        <v>359</v>
      </c>
      <c r="C1156" s="7" t="s">
        <v>4778</v>
      </c>
      <c r="D1156" s="7"/>
      <c r="E1156" s="7"/>
      <c r="F1156" s="7" t="s">
        <v>4871</v>
      </c>
      <c r="G1156" s="7" t="s">
        <v>2787</v>
      </c>
      <c r="H1156" s="7" t="s">
        <v>2918</v>
      </c>
      <c r="I1156" s="7" t="s">
        <v>3106</v>
      </c>
      <c r="J1156" s="7" t="s">
        <v>3094</v>
      </c>
      <c r="K1156" s="7" t="str">
        <f t="shared" si="2"/>
        <v/>
      </c>
      <c r="L1156" s="7" t="str">
        <f t="shared" si="1026"/>
        <v/>
      </c>
      <c r="M1156" s="7">
        <f t="shared" ref="M1156:N1156" si="1172">IF(LEN(M$1),COUNTIF($G1156:$J1156,M$1),"")</f>
        <v>0</v>
      </c>
      <c r="N1156" s="7" t="str">
        <f t="shared" si="1172"/>
        <v/>
      </c>
      <c r="O1156" s="7" t="str">
        <f t="shared" si="1028"/>
        <v/>
      </c>
      <c r="P1156" s="7">
        <f t="shared" si="1130"/>
        <v>0</v>
      </c>
      <c r="Q1156" s="7" t="str">
        <f t="shared" si="7"/>
        <v/>
      </c>
      <c r="T1156" s="7"/>
    </row>
    <row r="1157" ht="12.75" customHeight="1">
      <c r="A1157" s="7">
        <v>1156.0</v>
      </c>
      <c r="B1157" s="7" t="s">
        <v>368</v>
      </c>
      <c r="C1157" s="7" t="s">
        <v>4778</v>
      </c>
      <c r="D1157" s="7"/>
      <c r="E1157" s="7"/>
      <c r="F1157" s="7" t="s">
        <v>4871</v>
      </c>
      <c r="G1157" s="7" t="s">
        <v>2765</v>
      </c>
      <c r="H1157" s="7" t="s">
        <v>2925</v>
      </c>
      <c r="I1157" s="7" t="s">
        <v>3001</v>
      </c>
      <c r="J1157" s="7" t="s">
        <v>2963</v>
      </c>
      <c r="K1157" s="7" t="str">
        <f t="shared" si="2"/>
        <v/>
      </c>
      <c r="L1157" s="7" t="str">
        <f t="shared" si="1026"/>
        <v/>
      </c>
      <c r="M1157" s="7">
        <f t="shared" ref="M1157:N1157" si="1173">IF(LEN(M$1),COUNTIF($G1157:$J1157,M$1),"")</f>
        <v>0</v>
      </c>
      <c r="N1157" s="7" t="str">
        <f t="shared" si="1173"/>
        <v/>
      </c>
      <c r="O1157" s="7" t="str">
        <f t="shared" si="1028"/>
        <v/>
      </c>
      <c r="P1157" s="7">
        <f t="shared" si="1130"/>
        <v>0</v>
      </c>
      <c r="Q1157" s="7" t="str">
        <f t="shared" si="7"/>
        <v/>
      </c>
      <c r="T1157" s="7"/>
    </row>
    <row r="1158" ht="12.75" customHeight="1">
      <c r="A1158" s="7">
        <v>1157.0</v>
      </c>
      <c r="B1158" s="7" t="s">
        <v>368</v>
      </c>
      <c r="C1158" s="7" t="s">
        <v>4778</v>
      </c>
      <c r="D1158" s="7"/>
      <c r="E1158" s="7"/>
      <c r="F1158" s="7" t="s">
        <v>4871</v>
      </c>
      <c r="G1158" s="7" t="s">
        <v>2697</v>
      </c>
      <c r="H1158" s="7" t="s">
        <v>2915</v>
      </c>
      <c r="I1158" s="7" t="s">
        <v>2984</v>
      </c>
      <c r="J1158" s="7" t="s">
        <v>3019</v>
      </c>
      <c r="K1158" s="7" t="str">
        <f t="shared" si="2"/>
        <v/>
      </c>
      <c r="L1158" s="7" t="str">
        <f t="shared" si="1026"/>
        <v/>
      </c>
      <c r="M1158" s="7">
        <f t="shared" ref="M1158:N1158" si="1174">IF(LEN(M$1),COUNTIF($G1158:$J1158,M$1),"")</f>
        <v>0</v>
      </c>
      <c r="N1158" s="7" t="str">
        <f t="shared" si="1174"/>
        <v/>
      </c>
      <c r="O1158" s="7" t="str">
        <f t="shared" si="1028"/>
        <v/>
      </c>
      <c r="P1158" s="7">
        <f t="shared" si="1130"/>
        <v>0</v>
      </c>
      <c r="Q1158" s="7" t="str">
        <f t="shared" si="7"/>
        <v/>
      </c>
      <c r="T1158" s="7"/>
    </row>
    <row r="1159" ht="12.75" customHeight="1">
      <c r="A1159" s="7">
        <v>1158.0</v>
      </c>
      <c r="B1159" s="7" t="s">
        <v>375</v>
      </c>
      <c r="C1159" s="7" t="s">
        <v>4778</v>
      </c>
      <c r="D1159" s="7"/>
      <c r="E1159" s="7"/>
      <c r="F1159" s="7" t="s">
        <v>4871</v>
      </c>
      <c r="G1159" s="7" t="s">
        <v>3017</v>
      </c>
      <c r="H1159" s="7" t="s">
        <v>3155</v>
      </c>
      <c r="I1159" s="7" t="s">
        <v>3251</v>
      </c>
      <c r="J1159" s="7" t="s">
        <v>2979</v>
      </c>
      <c r="K1159" s="7" t="str">
        <f t="shared" si="2"/>
        <v/>
      </c>
      <c r="L1159" s="7" t="str">
        <f t="shared" si="1026"/>
        <v/>
      </c>
      <c r="M1159" s="7">
        <f t="shared" ref="M1159:N1159" si="1175">IF(LEN(M$1),COUNTIF($G1159:$J1159,M$1),"")</f>
        <v>0</v>
      </c>
      <c r="N1159" s="7" t="str">
        <f t="shared" si="1175"/>
        <v/>
      </c>
      <c r="O1159" s="7" t="str">
        <f t="shared" si="1028"/>
        <v/>
      </c>
      <c r="P1159" s="7">
        <f t="shared" si="1130"/>
        <v>0</v>
      </c>
      <c r="Q1159" s="7" t="str">
        <f t="shared" si="7"/>
        <v/>
      </c>
      <c r="T1159" s="7"/>
    </row>
    <row r="1160" ht="12.75" customHeight="1">
      <c r="A1160" s="7">
        <v>1159.0</v>
      </c>
      <c r="B1160" s="7" t="s">
        <v>375</v>
      </c>
      <c r="C1160" s="7" t="s">
        <v>4778</v>
      </c>
      <c r="D1160" s="7"/>
      <c r="E1160" s="7"/>
      <c r="F1160" s="7" t="s">
        <v>4871</v>
      </c>
      <c r="G1160" s="7" t="s">
        <v>2721</v>
      </c>
      <c r="H1160" s="7" t="s">
        <v>2928</v>
      </c>
      <c r="I1160" s="7" t="s">
        <v>2984</v>
      </c>
      <c r="J1160" s="7" t="s">
        <v>3064</v>
      </c>
      <c r="K1160" s="7" t="str">
        <f t="shared" si="2"/>
        <v/>
      </c>
      <c r="L1160" s="7" t="str">
        <f t="shared" si="1026"/>
        <v/>
      </c>
      <c r="M1160" s="7">
        <f t="shared" ref="M1160:N1160" si="1176">IF(LEN(M$1),COUNTIF($G1160:$J1160,M$1),"")</f>
        <v>0</v>
      </c>
      <c r="N1160" s="7" t="str">
        <f t="shared" si="1176"/>
        <v/>
      </c>
      <c r="O1160" s="7" t="str">
        <f t="shared" si="1028"/>
        <v/>
      </c>
      <c r="P1160" s="7">
        <f t="shared" si="1130"/>
        <v>0</v>
      </c>
      <c r="Q1160" s="7" t="str">
        <f t="shared" si="7"/>
        <v/>
      </c>
      <c r="T1160" s="7"/>
    </row>
    <row r="1161" ht="12.75" customHeight="1">
      <c r="A1161" s="7">
        <v>1160.0</v>
      </c>
      <c r="B1161" s="7" t="s">
        <v>383</v>
      </c>
      <c r="C1161" s="7" t="s">
        <v>4780</v>
      </c>
      <c r="D1161" s="7"/>
      <c r="E1161" s="7"/>
      <c r="F1161" s="7" t="s">
        <v>4871</v>
      </c>
      <c r="G1161" s="7" t="s">
        <v>2729</v>
      </c>
      <c r="H1161" s="7" t="s">
        <v>2914</v>
      </c>
      <c r="I1161" s="7" t="s">
        <v>3094</v>
      </c>
      <c r="J1161" s="7" t="s">
        <v>3092</v>
      </c>
      <c r="K1161" s="7" t="str">
        <f t="shared" si="2"/>
        <v/>
      </c>
      <c r="L1161" s="7" t="str">
        <f t="shared" si="1026"/>
        <v/>
      </c>
      <c r="M1161" s="7">
        <f t="shared" ref="M1161:N1161" si="1177">IF(LEN(M$1),COUNTIF($G1161:$J1161,M$1),"")</f>
        <v>0</v>
      </c>
      <c r="N1161" s="7" t="str">
        <f t="shared" si="1177"/>
        <v/>
      </c>
      <c r="O1161" s="7" t="str">
        <f t="shared" si="1028"/>
        <v/>
      </c>
      <c r="P1161" s="7">
        <f t="shared" si="1130"/>
        <v>0</v>
      </c>
      <c r="Q1161" s="7" t="str">
        <f t="shared" si="7"/>
        <v/>
      </c>
      <c r="T1161" s="7"/>
    </row>
    <row r="1162" ht="12.75" customHeight="1">
      <c r="A1162" s="7">
        <v>1161.0</v>
      </c>
      <c r="B1162" s="7" t="s">
        <v>383</v>
      </c>
      <c r="C1162" s="7" t="s">
        <v>4780</v>
      </c>
      <c r="D1162" s="7"/>
      <c r="E1162" s="7"/>
      <c r="F1162" s="7" t="s">
        <v>4871</v>
      </c>
      <c r="G1162" s="7" t="s">
        <v>3243</v>
      </c>
      <c r="H1162" s="7" t="s">
        <v>3195</v>
      </c>
      <c r="I1162" s="7" t="s">
        <v>3106</v>
      </c>
      <c r="J1162" s="7" t="s">
        <v>3176</v>
      </c>
      <c r="K1162" s="7" t="str">
        <f t="shared" si="2"/>
        <v/>
      </c>
      <c r="L1162" s="7" t="str">
        <f t="shared" si="1026"/>
        <v/>
      </c>
      <c r="M1162" s="7">
        <f t="shared" ref="M1162:N1162" si="1178">IF(LEN(M$1),COUNTIF($G1162:$J1162,M$1),"")</f>
        <v>0</v>
      </c>
      <c r="N1162" s="7" t="str">
        <f t="shared" si="1178"/>
        <v/>
      </c>
      <c r="O1162" s="7" t="str">
        <f t="shared" si="1028"/>
        <v/>
      </c>
      <c r="P1162" s="7">
        <f t="shared" si="1130"/>
        <v>0</v>
      </c>
      <c r="Q1162" s="7" t="str">
        <f t="shared" si="7"/>
        <v/>
      </c>
      <c r="T1162" s="7"/>
    </row>
    <row r="1163" ht="12.75" customHeight="1">
      <c r="A1163" s="7">
        <v>1162.0</v>
      </c>
      <c r="B1163" s="7" t="s">
        <v>392</v>
      </c>
      <c r="C1163" s="7" t="s">
        <v>4780</v>
      </c>
      <c r="D1163" s="7"/>
      <c r="E1163" s="7"/>
      <c r="F1163" s="7" t="s">
        <v>4871</v>
      </c>
      <c r="G1163" s="7" t="s">
        <v>2768</v>
      </c>
      <c r="H1163" s="7" t="s">
        <v>2918</v>
      </c>
      <c r="I1163" s="7" t="s">
        <v>3029</v>
      </c>
      <c r="J1163" s="7" t="s">
        <v>3110</v>
      </c>
      <c r="K1163" s="7" t="str">
        <f t="shared" si="2"/>
        <v/>
      </c>
      <c r="L1163" s="7" t="str">
        <f t="shared" si="1026"/>
        <v/>
      </c>
      <c r="M1163" s="7">
        <f t="shared" ref="M1163:N1163" si="1179">IF(LEN(M$1),COUNTIF($G1163:$J1163,M$1),"")</f>
        <v>0</v>
      </c>
      <c r="N1163" s="7" t="str">
        <f t="shared" si="1179"/>
        <v/>
      </c>
      <c r="O1163" s="7" t="str">
        <f t="shared" si="1028"/>
        <v/>
      </c>
      <c r="P1163" s="7">
        <f t="shared" si="1130"/>
        <v>0</v>
      </c>
      <c r="Q1163" s="7" t="str">
        <f t="shared" si="7"/>
        <v/>
      </c>
      <c r="T1163" s="7"/>
    </row>
    <row r="1164" ht="12.75" customHeight="1">
      <c r="A1164" s="7">
        <v>1163.0</v>
      </c>
      <c r="B1164" s="7" t="s">
        <v>392</v>
      </c>
      <c r="C1164" s="7" t="s">
        <v>4780</v>
      </c>
      <c r="D1164" s="7"/>
      <c r="E1164" s="7"/>
      <c r="F1164" s="7" t="s">
        <v>4871</v>
      </c>
      <c r="G1164" s="7" t="s">
        <v>3204</v>
      </c>
      <c r="H1164" s="7" t="s">
        <v>2934</v>
      </c>
      <c r="I1164" s="7" t="s">
        <v>3115</v>
      </c>
      <c r="J1164" s="7" t="s">
        <v>2959</v>
      </c>
      <c r="K1164" s="7" t="str">
        <f t="shared" si="2"/>
        <v/>
      </c>
      <c r="L1164" s="7" t="str">
        <f t="shared" si="1026"/>
        <v/>
      </c>
      <c r="M1164" s="7">
        <f t="shared" ref="M1164:N1164" si="1180">IF(LEN(M$1),COUNTIF($G1164:$J1164,M$1),"")</f>
        <v>0</v>
      </c>
      <c r="N1164" s="7" t="str">
        <f t="shared" si="1180"/>
        <v/>
      </c>
      <c r="O1164" s="7" t="str">
        <f t="shared" si="1028"/>
        <v/>
      </c>
      <c r="P1164" s="7">
        <f t="shared" si="1130"/>
        <v>0</v>
      </c>
      <c r="Q1164" s="7" t="str">
        <f t="shared" si="7"/>
        <v/>
      </c>
      <c r="T1164" s="7"/>
    </row>
    <row r="1165" ht="12.75" customHeight="1">
      <c r="A1165" s="7">
        <v>1164.0</v>
      </c>
      <c r="B1165" s="7" t="s">
        <v>400</v>
      </c>
      <c r="C1165" s="7" t="s">
        <v>4780</v>
      </c>
      <c r="D1165" s="7"/>
      <c r="E1165" s="7"/>
      <c r="F1165" s="7" t="s">
        <v>4871</v>
      </c>
      <c r="G1165" s="7" t="s">
        <v>3273</v>
      </c>
      <c r="H1165" s="7" t="s">
        <v>2959</v>
      </c>
      <c r="I1165" s="7" t="s">
        <v>3119</v>
      </c>
      <c r="J1165" s="7" t="s">
        <v>3064</v>
      </c>
      <c r="K1165" s="7" t="str">
        <f t="shared" si="2"/>
        <v/>
      </c>
      <c r="L1165" s="7" t="str">
        <f t="shared" si="1026"/>
        <v/>
      </c>
      <c r="M1165" s="7">
        <f t="shared" ref="M1165:N1165" si="1181">IF(LEN(M$1),COUNTIF($G1165:$J1165,M$1),"")</f>
        <v>0</v>
      </c>
      <c r="N1165" s="7" t="str">
        <f t="shared" si="1181"/>
        <v/>
      </c>
      <c r="O1165" s="7" t="str">
        <f t="shared" si="1028"/>
        <v/>
      </c>
      <c r="P1165" s="7">
        <f t="shared" si="1130"/>
        <v>0</v>
      </c>
      <c r="Q1165" s="7" t="str">
        <f t="shared" si="7"/>
        <v/>
      </c>
      <c r="T1165" s="7"/>
    </row>
    <row r="1166" ht="12.75" customHeight="1">
      <c r="A1166" s="7">
        <v>1165.0</v>
      </c>
      <c r="B1166" s="7" t="s">
        <v>400</v>
      </c>
      <c r="C1166" s="7" t="s">
        <v>4780</v>
      </c>
      <c r="D1166" s="7"/>
      <c r="E1166" s="7"/>
      <c r="F1166" s="7" t="s">
        <v>4871</v>
      </c>
      <c r="G1166" s="7" t="s">
        <v>2778</v>
      </c>
      <c r="H1166" s="7" t="s">
        <v>2884</v>
      </c>
      <c r="I1166" s="7" t="s">
        <v>3078</v>
      </c>
      <c r="J1166" s="7" t="s">
        <v>2942</v>
      </c>
      <c r="K1166" s="7" t="str">
        <f t="shared" si="2"/>
        <v/>
      </c>
      <c r="L1166" s="7" t="str">
        <f t="shared" si="1026"/>
        <v/>
      </c>
      <c r="M1166" s="7">
        <f t="shared" ref="M1166:N1166" si="1182">IF(LEN(M$1),COUNTIF($G1166:$J1166,M$1),"")</f>
        <v>0</v>
      </c>
      <c r="N1166" s="7" t="str">
        <f t="shared" si="1182"/>
        <v/>
      </c>
      <c r="O1166" s="7" t="str">
        <f t="shared" si="1028"/>
        <v/>
      </c>
      <c r="P1166" s="7">
        <f t="shared" si="1130"/>
        <v>0</v>
      </c>
      <c r="Q1166" s="7" t="str">
        <f t="shared" si="7"/>
        <v/>
      </c>
      <c r="T1166" s="7"/>
    </row>
    <row r="1167" ht="12.75" customHeight="1">
      <c r="A1167" s="7">
        <v>1166.0</v>
      </c>
      <c r="B1167" s="7" t="s">
        <v>408</v>
      </c>
      <c r="C1167" s="7" t="s">
        <v>4782</v>
      </c>
      <c r="D1167" s="7"/>
      <c r="E1167" s="7"/>
      <c r="F1167" s="7" t="s">
        <v>4871</v>
      </c>
      <c r="G1167" s="7" t="s">
        <v>3163</v>
      </c>
      <c r="H1167" s="7" t="s">
        <v>3226</v>
      </c>
      <c r="I1167" s="7" t="s">
        <v>2984</v>
      </c>
      <c r="J1167" s="7" t="s">
        <v>3155</v>
      </c>
      <c r="K1167" s="7" t="str">
        <f t="shared" si="2"/>
        <v/>
      </c>
      <c r="L1167" s="7" t="str">
        <f t="shared" si="1026"/>
        <v/>
      </c>
      <c r="M1167" s="7">
        <f t="shared" ref="M1167:N1167" si="1183">IF(LEN(M$1),COUNTIF($G1167:$J1167,M$1),"")</f>
        <v>0</v>
      </c>
      <c r="N1167" s="7" t="str">
        <f t="shared" si="1183"/>
        <v/>
      </c>
      <c r="O1167" s="7" t="str">
        <f t="shared" si="1028"/>
        <v/>
      </c>
      <c r="P1167" s="7">
        <f t="shared" si="1130"/>
        <v>0</v>
      </c>
      <c r="Q1167" s="7" t="str">
        <f t="shared" si="7"/>
        <v/>
      </c>
      <c r="T1167" s="7"/>
    </row>
    <row r="1168" ht="12.75" customHeight="1">
      <c r="A1168" s="7">
        <v>1167.0</v>
      </c>
      <c r="B1168" s="7" t="s">
        <v>408</v>
      </c>
      <c r="C1168" s="7" t="s">
        <v>4782</v>
      </c>
      <c r="D1168" s="7"/>
      <c r="E1168" s="7"/>
      <c r="F1168" s="7" t="s">
        <v>4871</v>
      </c>
      <c r="G1168" s="7" t="s">
        <v>2569</v>
      </c>
      <c r="H1168" s="7" t="s">
        <v>3273</v>
      </c>
      <c r="I1168" s="7" t="s">
        <v>2979</v>
      </c>
      <c r="J1168" s="7" t="s">
        <v>3001</v>
      </c>
      <c r="K1168" s="7" t="str">
        <f t="shared" si="2"/>
        <v/>
      </c>
      <c r="L1168" s="7" t="str">
        <f t="shared" si="1026"/>
        <v/>
      </c>
      <c r="M1168" s="7">
        <f t="shared" ref="M1168:N1168" si="1184">IF(LEN(M$1),COUNTIF($G1168:$J1168,M$1),"")</f>
        <v>0</v>
      </c>
      <c r="N1168" s="7" t="str">
        <f t="shared" si="1184"/>
        <v/>
      </c>
      <c r="O1168" s="7" t="str">
        <f t="shared" si="1028"/>
        <v/>
      </c>
      <c r="P1168" s="7">
        <f t="shared" si="1130"/>
        <v>0</v>
      </c>
      <c r="Q1168" s="7" t="str">
        <f t="shared" si="7"/>
        <v/>
      </c>
      <c r="T1168" s="7"/>
    </row>
    <row r="1169" ht="12.75" customHeight="1">
      <c r="A1169" s="7">
        <v>1168.0</v>
      </c>
      <c r="B1169" s="7" t="s">
        <v>415</v>
      </c>
      <c r="C1169" s="7" t="s">
        <v>4782</v>
      </c>
      <c r="D1169" s="7"/>
      <c r="E1169" s="7"/>
      <c r="F1169" s="7" t="s">
        <v>4871</v>
      </c>
      <c r="G1169" s="7" t="s">
        <v>2825</v>
      </c>
      <c r="H1169" s="7" t="s">
        <v>2873</v>
      </c>
      <c r="I1169" s="7" t="s">
        <v>2949</v>
      </c>
      <c r="J1169" s="7" t="s">
        <v>3084</v>
      </c>
      <c r="K1169" s="7" t="str">
        <f t="shared" si="2"/>
        <v/>
      </c>
      <c r="L1169" s="7" t="str">
        <f t="shared" si="1026"/>
        <v/>
      </c>
      <c r="M1169" s="7">
        <f t="shared" ref="M1169:N1169" si="1185">IF(LEN(M$1),COUNTIF($G1169:$J1169,M$1),"")</f>
        <v>0</v>
      </c>
      <c r="N1169" s="7" t="str">
        <f t="shared" si="1185"/>
        <v/>
      </c>
      <c r="O1169" s="7" t="str">
        <f t="shared" si="1028"/>
        <v/>
      </c>
      <c r="P1169" s="7">
        <f t="shared" si="1130"/>
        <v>0</v>
      </c>
      <c r="Q1169" s="7" t="str">
        <f t="shared" si="7"/>
        <v/>
      </c>
      <c r="T1169" s="7"/>
    </row>
    <row r="1170" ht="12.75" customHeight="1">
      <c r="A1170" s="7">
        <v>1169.0</v>
      </c>
      <c r="B1170" s="7" t="s">
        <v>415</v>
      </c>
      <c r="C1170" s="7" t="s">
        <v>4782</v>
      </c>
      <c r="D1170" s="7"/>
      <c r="E1170" s="7"/>
      <c r="F1170" s="7" t="s">
        <v>4871</v>
      </c>
      <c r="G1170" s="7" t="s">
        <v>2736</v>
      </c>
      <c r="H1170" s="7" t="s">
        <v>2893</v>
      </c>
      <c r="I1170" s="7" t="s">
        <v>3098</v>
      </c>
      <c r="J1170" s="7" t="s">
        <v>3044</v>
      </c>
      <c r="K1170" s="7" t="str">
        <f t="shared" si="2"/>
        <v/>
      </c>
      <c r="L1170" s="7" t="str">
        <f t="shared" si="1026"/>
        <v/>
      </c>
      <c r="M1170" s="7">
        <f t="shared" ref="M1170:N1170" si="1186">IF(LEN(M$1),COUNTIF($G1170:$J1170,M$1),"")</f>
        <v>0</v>
      </c>
      <c r="N1170" s="7" t="str">
        <f t="shared" si="1186"/>
        <v/>
      </c>
      <c r="O1170" s="7" t="str">
        <f t="shared" si="1028"/>
        <v/>
      </c>
      <c r="P1170" s="7">
        <f t="shared" si="1130"/>
        <v>0</v>
      </c>
      <c r="Q1170" s="7" t="str">
        <f t="shared" si="7"/>
        <v/>
      </c>
      <c r="T1170" s="7"/>
    </row>
    <row r="1171" ht="12.75" customHeight="1">
      <c r="A1171" s="7">
        <v>1170.0</v>
      </c>
      <c r="B1171" s="7" t="s">
        <v>422</v>
      </c>
      <c r="C1171" s="7" t="s">
        <v>4782</v>
      </c>
      <c r="D1171" s="7"/>
      <c r="E1171" s="7"/>
      <c r="F1171" s="7" t="s">
        <v>4871</v>
      </c>
      <c r="G1171" s="7" t="s">
        <v>3182</v>
      </c>
      <c r="H1171" s="7" t="s">
        <v>3170</v>
      </c>
      <c r="I1171" s="7" t="s">
        <v>3208</v>
      </c>
      <c r="J1171" s="7" t="s">
        <v>3166</v>
      </c>
      <c r="K1171" s="7" t="str">
        <f t="shared" si="2"/>
        <v/>
      </c>
      <c r="L1171" s="7" t="str">
        <f t="shared" si="1026"/>
        <v/>
      </c>
      <c r="M1171" s="7">
        <f t="shared" ref="M1171:N1171" si="1187">IF(LEN(M$1),COUNTIF($G1171:$J1171,M$1),"")</f>
        <v>0</v>
      </c>
      <c r="N1171" s="7" t="str">
        <f t="shared" si="1187"/>
        <v/>
      </c>
      <c r="O1171" s="7" t="str">
        <f t="shared" si="1028"/>
        <v/>
      </c>
      <c r="P1171" s="7">
        <f t="shared" si="1130"/>
        <v>0</v>
      </c>
      <c r="Q1171" s="7" t="str">
        <f t="shared" si="7"/>
        <v/>
      </c>
      <c r="T1171" s="7"/>
    </row>
    <row r="1172" ht="12.75" customHeight="1">
      <c r="A1172" s="7">
        <v>1171.0</v>
      </c>
      <c r="B1172" s="7" t="s">
        <v>422</v>
      </c>
      <c r="C1172" s="7" t="s">
        <v>4782</v>
      </c>
      <c r="D1172" s="7"/>
      <c r="E1172" s="7"/>
      <c r="F1172" s="7" t="s">
        <v>4871</v>
      </c>
      <c r="G1172" s="7" t="s">
        <v>3195</v>
      </c>
      <c r="H1172" s="7" t="s">
        <v>3187</v>
      </c>
      <c r="I1172" s="7" t="s">
        <v>3029</v>
      </c>
      <c r="J1172" s="7" t="s">
        <v>3215</v>
      </c>
      <c r="K1172" s="7" t="str">
        <f t="shared" si="2"/>
        <v/>
      </c>
      <c r="L1172" s="7" t="str">
        <f t="shared" si="1026"/>
        <v/>
      </c>
      <c r="M1172" s="7">
        <f t="shared" ref="M1172:N1172" si="1188">IF(LEN(M$1),COUNTIF($G1172:$J1172,M$1),"")</f>
        <v>0</v>
      </c>
      <c r="N1172" s="7" t="str">
        <f t="shared" si="1188"/>
        <v/>
      </c>
      <c r="O1172" s="7" t="str">
        <f t="shared" si="1028"/>
        <v/>
      </c>
      <c r="P1172" s="7">
        <f t="shared" si="1130"/>
        <v>0</v>
      </c>
      <c r="Q1172" s="7" t="str">
        <f t="shared" si="7"/>
        <v/>
      </c>
      <c r="T1172" s="7"/>
    </row>
    <row r="1173" ht="12.75" customHeight="1">
      <c r="A1173" s="7">
        <v>1172.0</v>
      </c>
      <c r="B1173" s="7" t="s">
        <v>430</v>
      </c>
      <c r="C1173" s="7" t="s">
        <v>4784</v>
      </c>
      <c r="D1173" s="7"/>
      <c r="E1173" s="7"/>
      <c r="F1173" s="7" t="s">
        <v>4871</v>
      </c>
      <c r="G1173" s="7" t="s">
        <v>2748</v>
      </c>
      <c r="H1173" s="7" t="s">
        <v>2914</v>
      </c>
      <c r="I1173" s="7" t="s">
        <v>2946</v>
      </c>
      <c r="J1173" s="7" t="s">
        <v>2984</v>
      </c>
      <c r="K1173" s="7" t="str">
        <f t="shared" si="2"/>
        <v/>
      </c>
      <c r="L1173" s="7" t="str">
        <f t="shared" si="1026"/>
        <v/>
      </c>
      <c r="M1173" s="7">
        <f t="shared" ref="M1173:N1173" si="1189">IF(LEN(M$1),COUNTIF($G1173:$J1173,M$1),"")</f>
        <v>0</v>
      </c>
      <c r="N1173" s="7" t="str">
        <f t="shared" si="1189"/>
        <v/>
      </c>
      <c r="O1173" s="7" t="str">
        <f t="shared" si="1028"/>
        <v/>
      </c>
      <c r="P1173" s="7">
        <f t="shared" si="1130"/>
        <v>0</v>
      </c>
      <c r="Q1173" s="7" t="str">
        <f t="shared" si="7"/>
        <v/>
      </c>
      <c r="T1173" s="7"/>
    </row>
    <row r="1174" ht="12.75" customHeight="1">
      <c r="A1174" s="7">
        <v>1173.0</v>
      </c>
      <c r="B1174" s="7" t="s">
        <v>430</v>
      </c>
      <c r="C1174" s="7" t="s">
        <v>4784</v>
      </c>
      <c r="D1174" s="7"/>
      <c r="E1174" s="7"/>
      <c r="F1174" s="7" t="s">
        <v>4871</v>
      </c>
      <c r="G1174" s="7" t="s">
        <v>2783</v>
      </c>
      <c r="H1174" s="7" t="s">
        <v>2884</v>
      </c>
      <c r="I1174" s="7" t="s">
        <v>3012</v>
      </c>
      <c r="J1174" s="7" t="s">
        <v>3064</v>
      </c>
      <c r="K1174" s="7" t="str">
        <f t="shared" si="2"/>
        <v/>
      </c>
      <c r="L1174" s="7" t="str">
        <f t="shared" si="1026"/>
        <v/>
      </c>
      <c r="M1174" s="7">
        <f t="shared" ref="M1174:N1174" si="1190">IF(LEN(M$1),COUNTIF($G1174:$J1174,M$1),"")</f>
        <v>0</v>
      </c>
      <c r="N1174" s="7" t="str">
        <f t="shared" si="1190"/>
        <v/>
      </c>
      <c r="O1174" s="7" t="str">
        <f t="shared" si="1028"/>
        <v/>
      </c>
      <c r="P1174" s="7">
        <f t="shared" si="1130"/>
        <v>0</v>
      </c>
      <c r="Q1174" s="7" t="str">
        <f t="shared" si="7"/>
        <v/>
      </c>
      <c r="T1174" s="7"/>
    </row>
    <row r="1175" ht="12.75" customHeight="1">
      <c r="A1175" s="7">
        <v>1174.0</v>
      </c>
      <c r="B1175" s="7" t="s">
        <v>438</v>
      </c>
      <c r="C1175" s="7" t="s">
        <v>4784</v>
      </c>
      <c r="D1175" s="7"/>
      <c r="E1175" s="7"/>
      <c r="F1175" s="7" t="s">
        <v>4871</v>
      </c>
      <c r="G1175" s="7" t="s">
        <v>2740</v>
      </c>
      <c r="H1175" s="7" t="s">
        <v>2915</v>
      </c>
      <c r="I1175" s="7" t="s">
        <v>2959</v>
      </c>
      <c r="J1175" s="7" t="s">
        <v>3050</v>
      </c>
      <c r="K1175" s="7" t="str">
        <f t="shared" si="2"/>
        <v/>
      </c>
      <c r="L1175" s="7" t="str">
        <f t="shared" si="1026"/>
        <v/>
      </c>
      <c r="M1175" s="7">
        <f t="shared" ref="M1175:N1175" si="1191">IF(LEN(M$1),COUNTIF($G1175:$J1175,M$1),"")</f>
        <v>0</v>
      </c>
      <c r="N1175" s="7" t="str">
        <f t="shared" si="1191"/>
        <v/>
      </c>
      <c r="O1175" s="7" t="str">
        <f t="shared" si="1028"/>
        <v/>
      </c>
      <c r="P1175" s="7">
        <f t="shared" si="1130"/>
        <v>0</v>
      </c>
      <c r="Q1175" s="7" t="str">
        <f t="shared" si="7"/>
        <v/>
      </c>
      <c r="T1175" s="7"/>
    </row>
    <row r="1176" ht="12.75" customHeight="1">
      <c r="A1176" s="7">
        <v>1175.0</v>
      </c>
      <c r="B1176" s="7" t="s">
        <v>438</v>
      </c>
      <c r="C1176" s="7" t="s">
        <v>4784</v>
      </c>
      <c r="D1176" s="7"/>
      <c r="E1176" s="7"/>
      <c r="F1176" s="7" t="s">
        <v>4871</v>
      </c>
      <c r="G1176" s="7" t="s">
        <v>2729</v>
      </c>
      <c r="H1176" s="7" t="s">
        <v>2897</v>
      </c>
      <c r="I1176" s="7" t="s">
        <v>2989</v>
      </c>
      <c r="J1176" s="7" t="s">
        <v>3092</v>
      </c>
      <c r="K1176" s="7" t="str">
        <f t="shared" si="2"/>
        <v/>
      </c>
      <c r="L1176" s="7" t="str">
        <f t="shared" si="1026"/>
        <v/>
      </c>
      <c r="M1176" s="7">
        <f t="shared" ref="M1176:N1176" si="1192">IF(LEN(M$1),COUNTIF($G1176:$J1176,M$1),"")</f>
        <v>0</v>
      </c>
      <c r="N1176" s="7" t="str">
        <f t="shared" si="1192"/>
        <v/>
      </c>
      <c r="O1176" s="7" t="str">
        <f t="shared" si="1028"/>
        <v/>
      </c>
      <c r="P1176" s="7">
        <f t="shared" si="1130"/>
        <v>0</v>
      </c>
      <c r="Q1176" s="7" t="str">
        <f t="shared" si="7"/>
        <v/>
      </c>
      <c r="T1176" s="7"/>
    </row>
    <row r="1177" ht="12.75" customHeight="1">
      <c r="A1177" s="7">
        <v>1176.0</v>
      </c>
      <c r="B1177" s="7" t="s">
        <v>447</v>
      </c>
      <c r="C1177" s="7" t="s">
        <v>4784</v>
      </c>
      <c r="D1177" s="7"/>
      <c r="E1177" s="7"/>
      <c r="F1177" s="7" t="s">
        <v>4871</v>
      </c>
      <c r="G1177" s="7" t="s">
        <v>2799</v>
      </c>
      <c r="H1177" s="7" t="s">
        <v>2914</v>
      </c>
      <c r="I1177" s="7" t="s">
        <v>3029</v>
      </c>
      <c r="J1177" s="7" t="s">
        <v>2932</v>
      </c>
      <c r="K1177" s="7" t="str">
        <f t="shared" si="2"/>
        <v/>
      </c>
      <c r="L1177" s="7" t="str">
        <f t="shared" si="1026"/>
        <v/>
      </c>
      <c r="M1177" s="7">
        <f t="shared" ref="M1177:N1177" si="1193">IF(LEN(M$1),COUNTIF($G1177:$J1177,M$1),"")</f>
        <v>0</v>
      </c>
      <c r="N1177" s="7" t="str">
        <f t="shared" si="1193"/>
        <v/>
      </c>
      <c r="O1177" s="7" t="str">
        <f t="shared" si="1028"/>
        <v/>
      </c>
      <c r="P1177" s="7">
        <f t="shared" si="1130"/>
        <v>0</v>
      </c>
      <c r="Q1177" s="7" t="str">
        <f t="shared" si="7"/>
        <v/>
      </c>
      <c r="T1177" s="7"/>
    </row>
    <row r="1178" ht="12.75" customHeight="1">
      <c r="A1178" s="7">
        <v>1177.0</v>
      </c>
      <c r="B1178" s="7" t="s">
        <v>447</v>
      </c>
      <c r="C1178" s="7" t="s">
        <v>4784</v>
      </c>
      <c r="D1178" s="7"/>
      <c r="E1178" s="7"/>
      <c r="F1178" s="7" t="s">
        <v>4871</v>
      </c>
      <c r="G1178" s="7" t="s">
        <v>2740</v>
      </c>
      <c r="H1178" s="7" t="s">
        <v>2921</v>
      </c>
      <c r="I1178" s="7" t="s">
        <v>3060</v>
      </c>
      <c r="J1178" s="7" t="s">
        <v>3094</v>
      </c>
      <c r="K1178" s="7" t="str">
        <f t="shared" si="2"/>
        <v/>
      </c>
      <c r="L1178" s="7" t="str">
        <f t="shared" si="1026"/>
        <v/>
      </c>
      <c r="M1178" s="7">
        <f t="shared" ref="M1178:N1178" si="1194">IF(LEN(M$1),COUNTIF($G1178:$J1178,M$1),"")</f>
        <v>0</v>
      </c>
      <c r="N1178" s="7" t="str">
        <f t="shared" si="1194"/>
        <v/>
      </c>
      <c r="O1178" s="7" t="str">
        <f t="shared" si="1028"/>
        <v/>
      </c>
      <c r="P1178" s="7">
        <f t="shared" si="1130"/>
        <v>0</v>
      </c>
      <c r="Q1178" s="7" t="str">
        <f t="shared" si="7"/>
        <v/>
      </c>
      <c r="T1178" s="7"/>
    </row>
    <row r="1179" ht="12.75" customHeight="1">
      <c r="A1179" s="7">
        <v>1178.0</v>
      </c>
      <c r="B1179" s="7" t="s">
        <v>454</v>
      </c>
      <c r="C1179" s="7" t="s">
        <v>4786</v>
      </c>
      <c r="D1179" s="7"/>
      <c r="E1179" s="7"/>
      <c r="F1179" s="7" t="s">
        <v>4871</v>
      </c>
      <c r="G1179" s="7" t="s">
        <v>2603</v>
      </c>
      <c r="H1179" s="7" t="s">
        <v>2875</v>
      </c>
      <c r="I1179" s="7" t="s">
        <v>3082</v>
      </c>
      <c r="J1179" s="7" t="s">
        <v>3026</v>
      </c>
      <c r="K1179" s="7" t="str">
        <f t="shared" si="2"/>
        <v/>
      </c>
      <c r="L1179" s="7" t="str">
        <f t="shared" si="1026"/>
        <v/>
      </c>
      <c r="M1179" s="7">
        <f t="shared" ref="M1179:N1179" si="1195">IF(LEN(M$1),COUNTIF($G1179:$J1179,M$1),"")</f>
        <v>0</v>
      </c>
      <c r="N1179" s="7" t="str">
        <f t="shared" si="1195"/>
        <v/>
      </c>
      <c r="O1179" s="7" t="str">
        <f t="shared" si="1028"/>
        <v/>
      </c>
      <c r="P1179" s="7">
        <f t="shared" si="1130"/>
        <v>0</v>
      </c>
      <c r="Q1179" s="7" t="str">
        <f t="shared" si="7"/>
        <v/>
      </c>
      <c r="T1179" s="7"/>
    </row>
    <row r="1180" ht="12.75" customHeight="1">
      <c r="A1180" s="7">
        <v>1179.0</v>
      </c>
      <c r="B1180" s="7" t="s">
        <v>462</v>
      </c>
      <c r="C1180" s="7" t="s">
        <v>4786</v>
      </c>
      <c r="D1180" s="7"/>
      <c r="E1180" s="7"/>
      <c r="F1180" s="7" t="s">
        <v>4871</v>
      </c>
      <c r="G1180" s="7" t="s">
        <v>2621</v>
      </c>
      <c r="H1180" s="7" t="s">
        <v>3166</v>
      </c>
      <c r="I1180" s="7" t="s">
        <v>3094</v>
      </c>
      <c r="J1180" s="7" t="s">
        <v>2969</v>
      </c>
      <c r="K1180" s="7" t="str">
        <f t="shared" si="2"/>
        <v/>
      </c>
      <c r="L1180" s="7" t="str">
        <f t="shared" si="1026"/>
        <v/>
      </c>
      <c r="M1180" s="7">
        <f t="shared" ref="M1180:N1180" si="1196">IF(LEN(M$1),COUNTIF($G1180:$J1180,M$1),"")</f>
        <v>0</v>
      </c>
      <c r="N1180" s="7" t="str">
        <f t="shared" si="1196"/>
        <v/>
      </c>
      <c r="O1180" s="7" t="str">
        <f t="shared" si="1028"/>
        <v/>
      </c>
      <c r="P1180" s="7">
        <f t="shared" si="1130"/>
        <v>0</v>
      </c>
      <c r="Q1180" s="7" t="str">
        <f t="shared" si="7"/>
        <v/>
      </c>
      <c r="T1180" s="7"/>
    </row>
    <row r="1181" ht="12.75" customHeight="1">
      <c r="A1181" s="7">
        <v>1180.0</v>
      </c>
      <c r="B1181" s="7" t="s">
        <v>462</v>
      </c>
      <c r="C1181" s="7" t="s">
        <v>4786</v>
      </c>
      <c r="D1181" s="7"/>
      <c r="E1181" s="7"/>
      <c r="F1181" s="7" t="s">
        <v>4871</v>
      </c>
      <c r="G1181" s="7" t="s">
        <v>2697</v>
      </c>
      <c r="H1181" s="7" t="s">
        <v>2916</v>
      </c>
      <c r="I1181" s="7" t="s">
        <v>3035</v>
      </c>
      <c r="J1181" s="7" t="s">
        <v>3001</v>
      </c>
      <c r="K1181" s="7" t="str">
        <f t="shared" si="2"/>
        <v/>
      </c>
      <c r="L1181" s="7" t="str">
        <f t="shared" si="1026"/>
        <v/>
      </c>
      <c r="M1181" s="7">
        <f t="shared" ref="M1181:N1181" si="1197">IF(LEN(M$1),COUNTIF($G1181:$J1181,M$1),"")</f>
        <v>0</v>
      </c>
      <c r="N1181" s="7" t="str">
        <f t="shared" si="1197"/>
        <v/>
      </c>
      <c r="O1181" s="7" t="str">
        <f t="shared" si="1028"/>
        <v/>
      </c>
      <c r="P1181" s="7">
        <f t="shared" si="1130"/>
        <v>0</v>
      </c>
      <c r="Q1181" s="7" t="str">
        <f t="shared" si="7"/>
        <v/>
      </c>
      <c r="T1181" s="7"/>
    </row>
    <row r="1182" ht="12.75" customHeight="1">
      <c r="A1182" s="7">
        <v>1181.0</v>
      </c>
      <c r="B1182" s="7" t="s">
        <v>469</v>
      </c>
      <c r="C1182" s="7" t="s">
        <v>4786</v>
      </c>
      <c r="D1182" s="7"/>
      <c r="E1182" s="7"/>
      <c r="F1182" s="7" t="s">
        <v>4871</v>
      </c>
      <c r="G1182" s="7" t="s">
        <v>2697</v>
      </c>
      <c r="H1182" s="7" t="s">
        <v>2926</v>
      </c>
      <c r="I1182" s="7" t="s">
        <v>2939</v>
      </c>
      <c r="J1182" s="7" t="s">
        <v>2998</v>
      </c>
      <c r="K1182" s="7" t="str">
        <f t="shared" si="2"/>
        <v/>
      </c>
      <c r="L1182" s="7" t="str">
        <f t="shared" si="1026"/>
        <v/>
      </c>
      <c r="M1182" s="7">
        <f t="shared" ref="M1182:N1182" si="1198">IF(LEN(M$1),COUNTIF($G1182:$J1182,M$1),"")</f>
        <v>0</v>
      </c>
      <c r="N1182" s="7" t="str">
        <f t="shared" si="1198"/>
        <v/>
      </c>
      <c r="O1182" s="7" t="str">
        <f t="shared" si="1028"/>
        <v/>
      </c>
      <c r="P1182" s="7">
        <f t="shared" si="1130"/>
        <v>0</v>
      </c>
      <c r="Q1182" s="7" t="str">
        <f t="shared" si="7"/>
        <v/>
      </c>
      <c r="T1182" s="7"/>
    </row>
    <row r="1183" ht="12.75" customHeight="1">
      <c r="A1183" s="7">
        <v>1182.0</v>
      </c>
      <c r="B1183" s="7" t="s">
        <v>469</v>
      </c>
      <c r="C1183" s="7" t="s">
        <v>4786</v>
      </c>
      <c r="D1183" s="7"/>
      <c r="E1183" s="7"/>
      <c r="F1183" s="7" t="s">
        <v>4871</v>
      </c>
      <c r="G1183" s="7" t="s">
        <v>2991</v>
      </c>
      <c r="H1183" s="7" t="s">
        <v>3182</v>
      </c>
      <c r="I1183" s="7" t="s">
        <v>3153</v>
      </c>
      <c r="J1183" s="7" t="s">
        <v>2932</v>
      </c>
      <c r="K1183" s="7" t="str">
        <f t="shared" si="2"/>
        <v/>
      </c>
      <c r="L1183" s="7" t="str">
        <f t="shared" si="1026"/>
        <v/>
      </c>
      <c r="M1183" s="7">
        <f t="shared" ref="M1183:N1183" si="1199">IF(LEN(M$1),COUNTIF($G1183:$J1183,M$1),"")</f>
        <v>0</v>
      </c>
      <c r="N1183" s="7" t="str">
        <f t="shared" si="1199"/>
        <v/>
      </c>
      <c r="O1183" s="7" t="str">
        <f t="shared" si="1028"/>
        <v/>
      </c>
      <c r="P1183" s="7">
        <f t="shared" si="1130"/>
        <v>0</v>
      </c>
      <c r="Q1183" s="7" t="str">
        <f t="shared" si="7"/>
        <v/>
      </c>
      <c r="T1183" s="7"/>
    </row>
    <row r="1184" ht="12.75" customHeight="1">
      <c r="A1184" s="7">
        <v>1183.0</v>
      </c>
      <c r="B1184" s="7" t="s">
        <v>477</v>
      </c>
      <c r="C1184" s="7" t="s">
        <v>4788</v>
      </c>
      <c r="D1184" s="7"/>
      <c r="E1184" s="7"/>
      <c r="F1184" s="7" t="s">
        <v>4871</v>
      </c>
      <c r="G1184" s="7" t="s">
        <v>2954</v>
      </c>
      <c r="H1184" s="7" t="s">
        <v>3132</v>
      </c>
      <c r="I1184" s="7" t="s">
        <v>3254</v>
      </c>
      <c r="J1184" s="7" t="s">
        <v>3124</v>
      </c>
      <c r="K1184" s="7" t="str">
        <f t="shared" si="2"/>
        <v/>
      </c>
      <c r="L1184" s="7" t="str">
        <f t="shared" si="1026"/>
        <v/>
      </c>
      <c r="M1184" s="7">
        <f t="shared" ref="M1184:N1184" si="1200">IF(LEN(M$1),COUNTIF($G1184:$J1184,M$1),"")</f>
        <v>0</v>
      </c>
      <c r="N1184" s="7" t="str">
        <f t="shared" si="1200"/>
        <v/>
      </c>
      <c r="O1184" s="7" t="str">
        <f t="shared" si="1028"/>
        <v/>
      </c>
      <c r="P1184" s="7">
        <f t="shared" si="1130"/>
        <v>0</v>
      </c>
      <c r="Q1184" s="7" t="str">
        <f t="shared" si="7"/>
        <v/>
      </c>
      <c r="T1184" s="7"/>
    </row>
    <row r="1185" ht="12.75" customHeight="1">
      <c r="A1185" s="7">
        <v>1184.0</v>
      </c>
      <c r="B1185" s="7" t="s">
        <v>477</v>
      </c>
      <c r="C1185" s="7" t="s">
        <v>4788</v>
      </c>
      <c r="D1185" s="7"/>
      <c r="E1185" s="7"/>
      <c r="F1185" s="7" t="s">
        <v>4871</v>
      </c>
      <c r="G1185" s="7" t="s">
        <v>2843</v>
      </c>
      <c r="H1185" s="7" t="s">
        <v>2882</v>
      </c>
      <c r="I1185" s="7" t="s">
        <v>2929</v>
      </c>
      <c r="J1185" s="7" t="s">
        <v>2939</v>
      </c>
      <c r="K1185" s="7" t="str">
        <f t="shared" si="2"/>
        <v/>
      </c>
      <c r="L1185" s="7" t="str">
        <f t="shared" si="1026"/>
        <v/>
      </c>
      <c r="M1185" s="7">
        <f t="shared" ref="M1185:N1185" si="1201">IF(LEN(M$1),COUNTIF($G1185:$J1185,M$1),"")</f>
        <v>0</v>
      </c>
      <c r="N1185" s="7" t="str">
        <f t="shared" si="1201"/>
        <v/>
      </c>
      <c r="O1185" s="7" t="str">
        <f t="shared" si="1028"/>
        <v/>
      </c>
      <c r="P1185" s="7">
        <f t="shared" si="1130"/>
        <v>0</v>
      </c>
      <c r="Q1185" s="7" t="str">
        <f t="shared" si="7"/>
        <v/>
      </c>
      <c r="T1185" s="7"/>
    </row>
    <row r="1186" ht="12.75" customHeight="1">
      <c r="A1186" s="7">
        <v>1185.0</v>
      </c>
      <c r="B1186" s="7" t="s">
        <v>485</v>
      </c>
      <c r="C1186" s="7" t="s">
        <v>4788</v>
      </c>
      <c r="D1186" s="7"/>
      <c r="E1186" s="7"/>
      <c r="F1186" s="7" t="s">
        <v>4871</v>
      </c>
      <c r="G1186" s="7" t="s">
        <v>2609</v>
      </c>
      <c r="H1186" s="7" t="s">
        <v>2904</v>
      </c>
      <c r="I1186" s="7" t="s">
        <v>3106</v>
      </c>
      <c r="J1186" s="7" t="s">
        <v>3100</v>
      </c>
      <c r="K1186" s="7" t="str">
        <f t="shared" si="2"/>
        <v/>
      </c>
      <c r="L1186" s="7" t="str">
        <f t="shared" si="1026"/>
        <v/>
      </c>
      <c r="M1186" s="7">
        <f t="shared" ref="M1186:N1186" si="1202">IF(LEN(M$1),COUNTIF($G1186:$J1186,M$1),"")</f>
        <v>0</v>
      </c>
      <c r="N1186" s="7" t="str">
        <f t="shared" si="1202"/>
        <v/>
      </c>
      <c r="O1186" s="7" t="str">
        <f t="shared" si="1028"/>
        <v/>
      </c>
      <c r="P1186" s="7">
        <f t="shared" si="1130"/>
        <v>0</v>
      </c>
      <c r="Q1186" s="7" t="str">
        <f t="shared" si="7"/>
        <v/>
      </c>
      <c r="T1186" s="7"/>
    </row>
    <row r="1187" ht="12.75" customHeight="1">
      <c r="A1187" s="7">
        <v>1186.0</v>
      </c>
      <c r="B1187" s="7" t="s">
        <v>485</v>
      </c>
      <c r="C1187" s="7" t="s">
        <v>4788</v>
      </c>
      <c r="D1187" s="7"/>
      <c r="E1187" s="7"/>
      <c r="F1187" s="7" t="s">
        <v>4871</v>
      </c>
      <c r="G1187" s="7" t="s">
        <v>2793</v>
      </c>
      <c r="H1187" s="7" t="s">
        <v>2857</v>
      </c>
      <c r="I1187" s="7" t="s">
        <v>2969</v>
      </c>
      <c r="J1187" s="7" t="s">
        <v>3103</v>
      </c>
      <c r="K1187" s="7" t="str">
        <f t="shared" si="2"/>
        <v/>
      </c>
      <c r="L1187" s="7" t="str">
        <f t="shared" si="1026"/>
        <v/>
      </c>
      <c r="M1187" s="7">
        <f t="shared" ref="M1187:N1187" si="1203">IF(LEN(M$1),COUNTIF($G1187:$J1187,M$1),"")</f>
        <v>0</v>
      </c>
      <c r="N1187" s="7" t="str">
        <f t="shared" si="1203"/>
        <v/>
      </c>
      <c r="O1187" s="7" t="str">
        <f t="shared" si="1028"/>
        <v/>
      </c>
      <c r="P1187" s="7">
        <f t="shared" si="1130"/>
        <v>0</v>
      </c>
      <c r="Q1187" s="7" t="str">
        <f t="shared" si="7"/>
        <v/>
      </c>
      <c r="T1187" s="7"/>
    </row>
    <row r="1188" ht="12.75" customHeight="1">
      <c r="A1188" s="7">
        <v>1187.0</v>
      </c>
      <c r="B1188" s="7" t="s">
        <v>492</v>
      </c>
      <c r="C1188" s="7" t="s">
        <v>4788</v>
      </c>
      <c r="D1188" s="7"/>
      <c r="E1188" s="7"/>
      <c r="F1188" s="7" t="s">
        <v>4871</v>
      </c>
      <c r="G1188" s="7" t="s">
        <v>3121</v>
      </c>
      <c r="H1188" s="7" t="s">
        <v>2921</v>
      </c>
      <c r="I1188" s="7" t="s">
        <v>3029</v>
      </c>
      <c r="J1188" s="7" t="s">
        <v>3073</v>
      </c>
      <c r="K1188" s="7" t="str">
        <f t="shared" si="2"/>
        <v/>
      </c>
      <c r="L1188" s="7" t="str">
        <f t="shared" si="1026"/>
        <v/>
      </c>
      <c r="M1188" s="7">
        <f t="shared" ref="M1188:N1188" si="1204">IF(LEN(M$1),COUNTIF($G1188:$J1188,M$1),"")</f>
        <v>0</v>
      </c>
      <c r="N1188" s="7" t="str">
        <f t="shared" si="1204"/>
        <v/>
      </c>
      <c r="O1188" s="7" t="str">
        <f t="shared" si="1028"/>
        <v/>
      </c>
      <c r="P1188" s="7">
        <f t="shared" si="1130"/>
        <v>0</v>
      </c>
      <c r="Q1188" s="7" t="str">
        <f t="shared" si="7"/>
        <v/>
      </c>
      <c r="T1188" s="7"/>
    </row>
    <row r="1189" ht="12.75" customHeight="1">
      <c r="A1189" s="7">
        <v>1188.0</v>
      </c>
      <c r="B1189" s="7" t="s">
        <v>492</v>
      </c>
      <c r="C1189" s="7" t="s">
        <v>4788</v>
      </c>
      <c r="D1189" s="7"/>
      <c r="E1189" s="7"/>
      <c r="F1189" s="7" t="s">
        <v>4871</v>
      </c>
      <c r="G1189" s="7" t="s">
        <v>3276</v>
      </c>
      <c r="H1189" s="7" t="s">
        <v>3270</v>
      </c>
      <c r="I1189" s="7" t="s">
        <v>3019</v>
      </c>
      <c r="J1189" s="7" t="s">
        <v>3273</v>
      </c>
      <c r="K1189" s="7" t="str">
        <f t="shared" si="2"/>
        <v/>
      </c>
      <c r="L1189" s="7" t="str">
        <f t="shared" si="1026"/>
        <v/>
      </c>
      <c r="M1189" s="7">
        <f t="shared" ref="M1189:N1189" si="1205">IF(LEN(M$1),COUNTIF($G1189:$J1189,M$1),"")</f>
        <v>0</v>
      </c>
      <c r="N1189" s="7" t="str">
        <f t="shared" si="1205"/>
        <v/>
      </c>
      <c r="O1189" s="7" t="str">
        <f t="shared" si="1028"/>
        <v/>
      </c>
      <c r="P1189" s="7">
        <f t="shared" si="1130"/>
        <v>0</v>
      </c>
      <c r="Q1189" s="7" t="str">
        <f t="shared" si="7"/>
        <v/>
      </c>
      <c r="T1189" s="7"/>
    </row>
    <row r="1190" ht="12.75" customHeight="1">
      <c r="A1190" s="7">
        <v>1189.0</v>
      </c>
      <c r="B1190" s="7" t="s">
        <v>500</v>
      </c>
      <c r="C1190" s="7" t="s">
        <v>4791</v>
      </c>
      <c r="D1190" s="7"/>
      <c r="E1190" s="7"/>
      <c r="F1190" s="7" t="s">
        <v>4871</v>
      </c>
      <c r="G1190" s="7" t="s">
        <v>3170</v>
      </c>
      <c r="H1190" s="7" t="s">
        <v>3200</v>
      </c>
      <c r="I1190" s="7" t="s">
        <v>2949</v>
      </c>
      <c r="J1190" s="7" t="s">
        <v>3208</v>
      </c>
      <c r="K1190" s="7" t="str">
        <f t="shared" si="2"/>
        <v/>
      </c>
      <c r="L1190" s="7" t="str">
        <f t="shared" si="1026"/>
        <v/>
      </c>
      <c r="M1190" s="7">
        <f t="shared" ref="M1190:N1190" si="1206">IF(LEN(M$1),COUNTIF($G1190:$J1190,M$1),"")</f>
        <v>0</v>
      </c>
      <c r="N1190" s="7" t="str">
        <f t="shared" si="1206"/>
        <v/>
      </c>
      <c r="O1190" s="7" t="str">
        <f t="shared" si="1028"/>
        <v/>
      </c>
      <c r="P1190" s="7">
        <f t="shared" si="1130"/>
        <v>0</v>
      </c>
      <c r="Q1190" s="7" t="str">
        <f t="shared" si="7"/>
        <v/>
      </c>
      <c r="T1190" s="7"/>
    </row>
    <row r="1191" ht="12.75" customHeight="1">
      <c r="A1191" s="7">
        <v>1190.0</v>
      </c>
      <c r="B1191" s="7" t="s">
        <v>508</v>
      </c>
      <c r="C1191" s="7" t="s">
        <v>4791</v>
      </c>
      <c r="D1191" s="7"/>
      <c r="E1191" s="7"/>
      <c r="F1191" s="7" t="s">
        <v>4871</v>
      </c>
      <c r="G1191" s="7" t="s">
        <v>3190</v>
      </c>
      <c r="H1191" s="7" t="s">
        <v>2909</v>
      </c>
      <c r="I1191" s="7" t="s">
        <v>3210</v>
      </c>
      <c r="J1191" s="7" t="s">
        <v>3218</v>
      </c>
      <c r="K1191" s="7" t="str">
        <f t="shared" si="2"/>
        <v/>
      </c>
      <c r="L1191" s="7" t="str">
        <f t="shared" si="1026"/>
        <v/>
      </c>
      <c r="M1191" s="7">
        <f t="shared" ref="M1191:N1191" si="1207">IF(LEN(M$1),COUNTIF($G1191:$J1191,M$1),"")</f>
        <v>0</v>
      </c>
      <c r="N1191" s="7" t="str">
        <f t="shared" si="1207"/>
        <v/>
      </c>
      <c r="O1191" s="7" t="str">
        <f t="shared" si="1028"/>
        <v/>
      </c>
      <c r="P1191" s="7">
        <f t="shared" si="1130"/>
        <v>0</v>
      </c>
      <c r="Q1191" s="7" t="str">
        <f t="shared" si="7"/>
        <v/>
      </c>
      <c r="T1191" s="7"/>
    </row>
    <row r="1192" ht="12.75" customHeight="1">
      <c r="A1192" s="7">
        <v>1191.0</v>
      </c>
      <c r="B1192" s="7" t="s">
        <v>517</v>
      </c>
      <c r="C1192" s="7" t="s">
        <v>4793</v>
      </c>
      <c r="D1192" s="7"/>
      <c r="E1192" s="7"/>
      <c r="F1192" s="7" t="s">
        <v>4871</v>
      </c>
      <c r="G1192" s="7" t="s">
        <v>2765</v>
      </c>
      <c r="H1192" s="7" t="s">
        <v>2882</v>
      </c>
      <c r="I1192" s="7" t="s">
        <v>3106</v>
      </c>
      <c r="J1192" s="7" t="s">
        <v>2996</v>
      </c>
      <c r="K1192" s="7" t="str">
        <f t="shared" si="2"/>
        <v/>
      </c>
      <c r="L1192" s="7" t="str">
        <f t="shared" si="1026"/>
        <v/>
      </c>
      <c r="M1192" s="7">
        <f t="shared" ref="M1192:N1192" si="1208">IF(LEN(M$1),COUNTIF($G1192:$J1192,M$1),"")</f>
        <v>0</v>
      </c>
      <c r="N1192" s="7" t="str">
        <f t="shared" si="1208"/>
        <v/>
      </c>
      <c r="O1192" s="7" t="str">
        <f t="shared" si="1028"/>
        <v/>
      </c>
      <c r="P1192" s="7">
        <f t="shared" si="1130"/>
        <v>0</v>
      </c>
      <c r="Q1192" s="7" t="str">
        <f t="shared" si="7"/>
        <v/>
      </c>
      <c r="T1192" s="7"/>
    </row>
    <row r="1193" ht="12.75" customHeight="1">
      <c r="A1193" s="7">
        <v>1192.0</v>
      </c>
      <c r="B1193" s="7" t="s">
        <v>517</v>
      </c>
      <c r="C1193" s="7" t="s">
        <v>4793</v>
      </c>
      <c r="D1193" s="7"/>
      <c r="E1193" s="7"/>
      <c r="F1193" s="7" t="s">
        <v>4871</v>
      </c>
      <c r="G1193" s="7" t="s">
        <v>3075</v>
      </c>
      <c r="H1193" s="7" t="s">
        <v>3119</v>
      </c>
      <c r="I1193" s="7" t="s">
        <v>3218</v>
      </c>
      <c r="J1193" s="7" t="s">
        <v>2969</v>
      </c>
      <c r="K1193" s="7" t="str">
        <f t="shared" si="2"/>
        <v/>
      </c>
      <c r="L1193" s="7" t="str">
        <f t="shared" si="1026"/>
        <v/>
      </c>
      <c r="M1193" s="7">
        <f t="shared" ref="M1193:N1193" si="1209">IF(LEN(M$1),COUNTIF($G1193:$J1193,M$1),"")</f>
        <v>0</v>
      </c>
      <c r="N1193" s="7" t="str">
        <f t="shared" si="1209"/>
        <v/>
      </c>
      <c r="O1193" s="7" t="str">
        <f t="shared" si="1028"/>
        <v/>
      </c>
      <c r="P1193" s="7">
        <f t="shared" si="1130"/>
        <v>0</v>
      </c>
      <c r="Q1193" s="7" t="str">
        <f t="shared" si="7"/>
        <v/>
      </c>
      <c r="T1193" s="7"/>
    </row>
    <row r="1194" ht="12.75" customHeight="1">
      <c r="A1194" s="7">
        <v>1193.0</v>
      </c>
      <c r="B1194" s="7" t="s">
        <v>307</v>
      </c>
      <c r="C1194" s="7" t="s">
        <v>4793</v>
      </c>
      <c r="D1194" s="7"/>
      <c r="E1194" s="7"/>
      <c r="F1194" s="7" t="s">
        <v>4871</v>
      </c>
      <c r="G1194" s="7" t="s">
        <v>3182</v>
      </c>
      <c r="H1194" s="7" t="s">
        <v>3146</v>
      </c>
      <c r="I1194" s="7" t="s">
        <v>3121</v>
      </c>
      <c r="J1194" s="7" t="s">
        <v>3195</v>
      </c>
      <c r="K1194" s="7" t="str">
        <f t="shared" si="2"/>
        <v/>
      </c>
      <c r="L1194" s="7" t="str">
        <f t="shared" si="1026"/>
        <v/>
      </c>
      <c r="M1194" s="7">
        <f t="shared" ref="M1194:N1194" si="1210">IF(LEN(M$1),COUNTIF($G1194:$J1194,M$1),"")</f>
        <v>0</v>
      </c>
      <c r="N1194" s="7" t="str">
        <f t="shared" si="1210"/>
        <v/>
      </c>
      <c r="O1194" s="7" t="str">
        <f t="shared" si="1028"/>
        <v/>
      </c>
      <c r="P1194" s="7">
        <f t="shared" si="1130"/>
        <v>0</v>
      </c>
      <c r="Q1194" s="7" t="str">
        <f t="shared" si="7"/>
        <v/>
      </c>
      <c r="T1194" s="7"/>
    </row>
    <row r="1195" ht="12.75" customHeight="1">
      <c r="A1195" s="7">
        <v>1194.0</v>
      </c>
      <c r="B1195" s="7" t="s">
        <v>307</v>
      </c>
      <c r="C1195" s="7" t="s">
        <v>4793</v>
      </c>
      <c r="D1195" s="7"/>
      <c r="E1195" s="7"/>
      <c r="F1195" s="7" t="s">
        <v>4871</v>
      </c>
      <c r="G1195" s="7" t="s">
        <v>2627</v>
      </c>
      <c r="H1195" s="7" t="s">
        <v>2926</v>
      </c>
      <c r="I1195" s="7" t="s">
        <v>3012</v>
      </c>
      <c r="J1195" s="7" t="s">
        <v>3094</v>
      </c>
      <c r="K1195" s="7" t="str">
        <f t="shared" si="2"/>
        <v/>
      </c>
      <c r="L1195" s="7" t="str">
        <f t="shared" si="1026"/>
        <v/>
      </c>
      <c r="M1195" s="7">
        <f t="shared" ref="M1195:N1195" si="1211">IF(LEN(M$1),COUNTIF($G1195:$J1195,M$1),"")</f>
        <v>0</v>
      </c>
      <c r="N1195" s="7" t="str">
        <f t="shared" si="1211"/>
        <v/>
      </c>
      <c r="O1195" s="7" t="str">
        <f t="shared" si="1028"/>
        <v/>
      </c>
      <c r="P1195" s="7">
        <f t="shared" si="1130"/>
        <v>0</v>
      </c>
      <c r="Q1195" s="7" t="str">
        <f t="shared" si="7"/>
        <v/>
      </c>
      <c r="T1195" s="7"/>
    </row>
    <row r="1196" ht="12.75" customHeight="1">
      <c r="A1196" s="7">
        <v>1195.0</v>
      </c>
      <c r="B1196" s="7" t="s">
        <v>530</v>
      </c>
      <c r="C1196" s="7" t="s">
        <v>4795</v>
      </c>
      <c r="D1196" s="7"/>
      <c r="E1196" s="7"/>
      <c r="F1196" s="7" t="s">
        <v>4871</v>
      </c>
      <c r="G1196" s="7" t="s">
        <v>2663</v>
      </c>
      <c r="H1196" s="7" t="s">
        <v>2907</v>
      </c>
      <c r="I1196" s="7" t="s">
        <v>3100</v>
      </c>
      <c r="J1196" s="7" t="s">
        <v>3022</v>
      </c>
      <c r="K1196" s="7" t="str">
        <f t="shared" si="2"/>
        <v/>
      </c>
      <c r="L1196" s="7" t="str">
        <f t="shared" si="1026"/>
        <v/>
      </c>
      <c r="M1196" s="7">
        <f t="shared" ref="M1196:N1196" si="1212">IF(LEN(M$1),COUNTIF($G1196:$J1196,M$1),"")</f>
        <v>0</v>
      </c>
      <c r="N1196" s="7" t="str">
        <f t="shared" si="1212"/>
        <v/>
      </c>
      <c r="O1196" s="7" t="str">
        <f t="shared" si="1028"/>
        <v/>
      </c>
      <c r="P1196" s="7">
        <f t="shared" si="1130"/>
        <v>0</v>
      </c>
      <c r="Q1196" s="7" t="str">
        <f t="shared" si="7"/>
        <v/>
      </c>
      <c r="T1196" s="7"/>
    </row>
    <row r="1197" ht="12.75" customHeight="1">
      <c r="A1197" s="7">
        <v>1196.0</v>
      </c>
      <c r="B1197" s="7" t="s">
        <v>530</v>
      </c>
      <c r="C1197" s="7" t="s">
        <v>4795</v>
      </c>
      <c r="D1197" s="7"/>
      <c r="E1197" s="7"/>
      <c r="F1197" s="7" t="s">
        <v>4871</v>
      </c>
      <c r="G1197" s="7" t="s">
        <v>2678</v>
      </c>
      <c r="H1197" s="7" t="s">
        <v>2905</v>
      </c>
      <c r="I1197" s="7" t="s">
        <v>2979</v>
      </c>
      <c r="J1197" s="7" t="s">
        <v>3044</v>
      </c>
      <c r="K1197" s="7" t="str">
        <f t="shared" si="2"/>
        <v/>
      </c>
      <c r="L1197" s="7" t="str">
        <f t="shared" si="1026"/>
        <v/>
      </c>
      <c r="M1197" s="7">
        <f t="shared" ref="M1197:N1197" si="1213">IF(LEN(M$1),COUNTIF($G1197:$J1197,M$1),"")</f>
        <v>0</v>
      </c>
      <c r="N1197" s="7" t="str">
        <f t="shared" si="1213"/>
        <v/>
      </c>
      <c r="O1197" s="7" t="str">
        <f t="shared" si="1028"/>
        <v/>
      </c>
      <c r="P1197" s="7">
        <f t="shared" si="1130"/>
        <v>0</v>
      </c>
      <c r="Q1197" s="7" t="str">
        <f t="shared" si="7"/>
        <v/>
      </c>
      <c r="T1197" s="7"/>
    </row>
    <row r="1198" ht="12.75" customHeight="1">
      <c r="A1198" s="7">
        <v>1197.0</v>
      </c>
      <c r="B1198" s="7" t="s">
        <v>537</v>
      </c>
      <c r="C1198" s="7" t="s">
        <v>4795</v>
      </c>
      <c r="D1198" s="7"/>
      <c r="E1198" s="7"/>
      <c r="F1198" s="7" t="s">
        <v>4871</v>
      </c>
      <c r="G1198" s="7" t="s">
        <v>2569</v>
      </c>
      <c r="H1198" s="7" t="s">
        <v>2896</v>
      </c>
      <c r="I1198" s="7" t="s">
        <v>3019</v>
      </c>
      <c r="J1198" s="7" t="s">
        <v>2969</v>
      </c>
      <c r="K1198" s="7" t="str">
        <f t="shared" si="2"/>
        <v/>
      </c>
      <c r="L1198" s="7" t="str">
        <f t="shared" si="1026"/>
        <v/>
      </c>
      <c r="M1198" s="7">
        <f t="shared" ref="M1198:N1198" si="1214">IF(LEN(M$1),COUNTIF($G1198:$J1198,M$1),"")</f>
        <v>0</v>
      </c>
      <c r="N1198" s="7" t="str">
        <f t="shared" si="1214"/>
        <v/>
      </c>
      <c r="O1198" s="7" t="str">
        <f t="shared" si="1028"/>
        <v/>
      </c>
      <c r="P1198" s="7">
        <f t="shared" si="1130"/>
        <v>0</v>
      </c>
      <c r="Q1198" s="7" t="str">
        <f t="shared" si="7"/>
        <v/>
      </c>
      <c r="T1198" s="7"/>
    </row>
    <row r="1199" ht="12.75" customHeight="1">
      <c r="A1199" s="7">
        <v>1198.0</v>
      </c>
      <c r="B1199" s="7" t="s">
        <v>545</v>
      </c>
      <c r="C1199" s="7" t="s">
        <v>4797</v>
      </c>
      <c r="D1199" s="7"/>
      <c r="E1199" s="7"/>
      <c r="F1199" s="7" t="s">
        <v>4871</v>
      </c>
      <c r="G1199" s="7" t="s">
        <v>3241</v>
      </c>
      <c r="H1199" s="7" t="s">
        <v>3280</v>
      </c>
      <c r="I1199" s="7" t="s">
        <v>3234</v>
      </c>
      <c r="J1199" s="7" t="s">
        <v>3149</v>
      </c>
      <c r="K1199" s="7" t="str">
        <f t="shared" si="2"/>
        <v/>
      </c>
      <c r="L1199" s="7" t="str">
        <f t="shared" si="1026"/>
        <v/>
      </c>
      <c r="M1199" s="7">
        <f t="shared" ref="M1199:N1199" si="1215">IF(LEN(M$1),COUNTIF($G1199:$J1199,M$1),"")</f>
        <v>0</v>
      </c>
      <c r="N1199" s="7" t="str">
        <f t="shared" si="1215"/>
        <v/>
      </c>
      <c r="O1199" s="7" t="str">
        <f t="shared" si="1028"/>
        <v/>
      </c>
      <c r="P1199" s="7">
        <f t="shared" si="1130"/>
        <v>0</v>
      </c>
      <c r="Q1199" s="7" t="str">
        <f t="shared" si="7"/>
        <v/>
      </c>
      <c r="T1199" s="7"/>
    </row>
    <row r="1200" ht="12.75" customHeight="1">
      <c r="A1200" s="7">
        <v>1199.0</v>
      </c>
      <c r="B1200" s="7" t="s">
        <v>545</v>
      </c>
      <c r="C1200" s="7" t="s">
        <v>4797</v>
      </c>
      <c r="D1200" s="7"/>
      <c r="E1200" s="7"/>
      <c r="F1200" s="7" t="s">
        <v>4871</v>
      </c>
      <c r="G1200" s="7" t="s">
        <v>2799</v>
      </c>
      <c r="H1200" s="7" t="s">
        <v>2898</v>
      </c>
      <c r="I1200" s="7" t="s">
        <v>2979</v>
      </c>
      <c r="J1200" s="7" t="s">
        <v>3044</v>
      </c>
      <c r="K1200" s="7" t="str">
        <f t="shared" si="2"/>
        <v/>
      </c>
      <c r="L1200" s="7" t="str">
        <f t="shared" si="1026"/>
        <v/>
      </c>
      <c r="M1200" s="7">
        <f t="shared" ref="M1200:N1200" si="1216">IF(LEN(M$1),COUNTIF($G1200:$J1200,M$1),"")</f>
        <v>0</v>
      </c>
      <c r="N1200" s="7" t="str">
        <f t="shared" si="1216"/>
        <v/>
      </c>
      <c r="O1200" s="7" t="str">
        <f t="shared" si="1028"/>
        <v/>
      </c>
      <c r="P1200" s="7">
        <f t="shared" si="1130"/>
        <v>0</v>
      </c>
      <c r="Q1200" s="7" t="str">
        <f t="shared" si="7"/>
        <v/>
      </c>
      <c r="T1200" s="7"/>
    </row>
    <row r="1201" ht="12.75" customHeight="1">
      <c r="A1201" s="7">
        <v>1200.0</v>
      </c>
      <c r="B1201" s="7" t="s">
        <v>553</v>
      </c>
      <c r="C1201" s="7" t="s">
        <v>4797</v>
      </c>
      <c r="D1201" s="7"/>
      <c r="E1201" s="7"/>
      <c r="F1201" s="7" t="s">
        <v>4871</v>
      </c>
      <c r="G1201" s="7" t="s">
        <v>3190</v>
      </c>
      <c r="H1201" s="7" t="s">
        <v>2918</v>
      </c>
      <c r="I1201" s="7" t="s">
        <v>3142</v>
      </c>
      <c r="J1201" s="7" t="s">
        <v>3121</v>
      </c>
      <c r="K1201" s="7" t="str">
        <f t="shared" si="2"/>
        <v/>
      </c>
      <c r="L1201" s="7" t="str">
        <f t="shared" si="1026"/>
        <v/>
      </c>
      <c r="M1201" s="7">
        <f t="shared" ref="M1201:N1201" si="1217">IF(LEN(M$1),COUNTIF($G1201:$J1201,M$1),"")</f>
        <v>0</v>
      </c>
      <c r="N1201" s="7" t="str">
        <f t="shared" si="1217"/>
        <v/>
      </c>
      <c r="O1201" s="7" t="str">
        <f t="shared" si="1028"/>
        <v/>
      </c>
      <c r="P1201" s="7">
        <f t="shared" si="1130"/>
        <v>0</v>
      </c>
      <c r="Q1201" s="7" t="str">
        <f t="shared" si="7"/>
        <v/>
      </c>
      <c r="T1201" s="7"/>
    </row>
    <row r="1202" ht="12.75" customHeight="1">
      <c r="A1202" s="7">
        <v>1201.0</v>
      </c>
      <c r="B1202" s="7" t="s">
        <v>560</v>
      </c>
      <c r="C1202" s="7" t="s">
        <v>4797</v>
      </c>
      <c r="D1202" s="7"/>
      <c r="E1202" s="7"/>
      <c r="F1202" s="7" t="s">
        <v>4871</v>
      </c>
      <c r="G1202" s="7" t="s">
        <v>3163</v>
      </c>
      <c r="H1202" s="7" t="s">
        <v>3019</v>
      </c>
      <c r="I1202" s="7" t="s">
        <v>3243</v>
      </c>
      <c r="J1202" s="7" t="s">
        <v>2963</v>
      </c>
      <c r="K1202" s="7" t="str">
        <f t="shared" si="2"/>
        <v/>
      </c>
      <c r="L1202" s="7" t="str">
        <f t="shared" si="1026"/>
        <v/>
      </c>
      <c r="M1202" s="7">
        <f t="shared" ref="M1202:N1202" si="1218">IF(LEN(M$1),COUNTIF($G1202:$J1202,M$1),"")</f>
        <v>0</v>
      </c>
      <c r="N1202" s="7" t="str">
        <f t="shared" si="1218"/>
        <v/>
      </c>
      <c r="O1202" s="7" t="str">
        <f t="shared" si="1028"/>
        <v/>
      </c>
      <c r="P1202" s="7">
        <f t="shared" si="1130"/>
        <v>0</v>
      </c>
      <c r="Q1202" s="7" t="str">
        <f t="shared" si="7"/>
        <v/>
      </c>
      <c r="T1202" s="7"/>
    </row>
    <row r="1203" ht="12.75" customHeight="1">
      <c r="A1203" s="7">
        <v>1202.0</v>
      </c>
      <c r="B1203" s="7" t="s">
        <v>560</v>
      </c>
      <c r="C1203" s="7" t="s">
        <v>4797</v>
      </c>
      <c r="D1203" s="7"/>
      <c r="E1203" s="7"/>
      <c r="F1203" s="7" t="s">
        <v>4871</v>
      </c>
      <c r="G1203" s="7" t="s">
        <v>2639</v>
      </c>
      <c r="H1203" s="7" t="s">
        <v>2916</v>
      </c>
      <c r="I1203" s="7" t="s">
        <v>2932</v>
      </c>
      <c r="J1203" s="7" t="s">
        <v>3094</v>
      </c>
      <c r="K1203" s="7" t="str">
        <f t="shared" si="2"/>
        <v/>
      </c>
      <c r="L1203" s="7" t="str">
        <f t="shared" si="1026"/>
        <v/>
      </c>
      <c r="M1203" s="7">
        <f t="shared" ref="M1203:N1203" si="1219">IF(LEN(M$1),COUNTIF($G1203:$J1203,M$1),"")</f>
        <v>0</v>
      </c>
      <c r="N1203" s="7" t="str">
        <f t="shared" si="1219"/>
        <v/>
      </c>
      <c r="O1203" s="7" t="str">
        <f t="shared" si="1028"/>
        <v/>
      </c>
      <c r="P1203" s="7">
        <f t="shared" si="1130"/>
        <v>0</v>
      </c>
      <c r="Q1203" s="7" t="str">
        <f t="shared" si="7"/>
        <v/>
      </c>
      <c r="T1203" s="7"/>
    </row>
    <row r="1204" ht="12.75" customHeight="1">
      <c r="A1204" s="7">
        <v>1203.0</v>
      </c>
      <c r="B1204" s="7" t="s">
        <v>557</v>
      </c>
      <c r="C1204" s="7" t="s">
        <v>4798</v>
      </c>
      <c r="D1204" s="7"/>
      <c r="E1204" s="7"/>
      <c r="F1204" s="7" t="s">
        <v>4871</v>
      </c>
      <c r="G1204" s="7" t="s">
        <v>3026</v>
      </c>
      <c r="H1204" s="7" t="s">
        <v>3262</v>
      </c>
      <c r="I1204" s="7" t="s">
        <v>3198</v>
      </c>
      <c r="J1204" s="7" t="s">
        <v>3054</v>
      </c>
      <c r="K1204" s="7" t="str">
        <f t="shared" si="2"/>
        <v/>
      </c>
      <c r="L1204" s="7" t="str">
        <f t="shared" si="1026"/>
        <v/>
      </c>
      <c r="M1204" s="7">
        <f t="shared" ref="M1204:N1204" si="1220">IF(LEN(M$1),COUNTIF($G1204:$J1204,M$1),"")</f>
        <v>0</v>
      </c>
      <c r="N1204" s="7" t="str">
        <f t="shared" si="1220"/>
        <v/>
      </c>
      <c r="O1204" s="7" t="str">
        <f t="shared" si="1028"/>
        <v/>
      </c>
      <c r="P1204" s="7">
        <f t="shared" si="1130"/>
        <v>0</v>
      </c>
      <c r="Q1204" s="7" t="str">
        <f t="shared" si="7"/>
        <v/>
      </c>
      <c r="T1204" s="7"/>
    </row>
    <row r="1205" ht="12.75" customHeight="1">
      <c r="A1205" s="7">
        <v>1204.0</v>
      </c>
      <c r="B1205" s="7" t="s">
        <v>557</v>
      </c>
      <c r="C1205" s="7" t="s">
        <v>4798</v>
      </c>
      <c r="D1205" s="7"/>
      <c r="E1205" s="7"/>
      <c r="F1205" s="7" t="s">
        <v>4871</v>
      </c>
      <c r="G1205" s="7" t="s">
        <v>3054</v>
      </c>
      <c r="H1205" s="7" t="s">
        <v>3166</v>
      </c>
      <c r="I1205" s="7" t="s">
        <v>3223</v>
      </c>
      <c r="J1205" s="7" t="s">
        <v>2949</v>
      </c>
      <c r="K1205" s="7" t="str">
        <f t="shared" si="2"/>
        <v/>
      </c>
      <c r="L1205" s="7" t="str">
        <f t="shared" si="1026"/>
        <v/>
      </c>
      <c r="M1205" s="7">
        <f t="shared" ref="M1205:N1205" si="1221">IF(LEN(M$1),COUNTIF($G1205:$J1205,M$1),"")</f>
        <v>0</v>
      </c>
      <c r="N1205" s="7" t="str">
        <f t="shared" si="1221"/>
        <v/>
      </c>
      <c r="O1205" s="7" t="str">
        <f t="shared" si="1028"/>
        <v/>
      </c>
      <c r="P1205" s="7">
        <f t="shared" si="1130"/>
        <v>0</v>
      </c>
      <c r="Q1205" s="7" t="str">
        <f t="shared" si="7"/>
        <v/>
      </c>
      <c r="T1205" s="7"/>
    </row>
    <row r="1206" ht="12.75" customHeight="1">
      <c r="A1206" s="7">
        <v>1205.0</v>
      </c>
      <c r="B1206" s="7" t="s">
        <v>572</v>
      </c>
      <c r="C1206" s="7" t="s">
        <v>4798</v>
      </c>
      <c r="D1206" s="7"/>
      <c r="E1206" s="7"/>
      <c r="F1206" s="7" t="s">
        <v>4871</v>
      </c>
      <c r="G1206" s="7" t="s">
        <v>2663</v>
      </c>
      <c r="H1206" s="7" t="s">
        <v>2870</v>
      </c>
      <c r="I1206" s="7" t="s">
        <v>2979</v>
      </c>
      <c r="J1206" s="7" t="s">
        <v>2934</v>
      </c>
      <c r="K1206" s="7" t="str">
        <f t="shared" si="2"/>
        <v/>
      </c>
      <c r="L1206" s="7" t="str">
        <f t="shared" si="1026"/>
        <v/>
      </c>
      <c r="M1206" s="7">
        <f t="shared" ref="M1206:N1206" si="1222">IF(LEN(M$1),COUNTIF($G1206:$J1206,M$1),"")</f>
        <v>0</v>
      </c>
      <c r="N1206" s="7" t="str">
        <f t="shared" si="1222"/>
        <v/>
      </c>
      <c r="O1206" s="7" t="str">
        <f t="shared" si="1028"/>
        <v/>
      </c>
      <c r="P1206" s="7">
        <f t="shared" si="1130"/>
        <v>0</v>
      </c>
      <c r="Q1206" s="7" t="str">
        <f t="shared" si="7"/>
        <v/>
      </c>
      <c r="T1206" s="7"/>
    </row>
    <row r="1207" ht="12.75" customHeight="1">
      <c r="A1207" s="7">
        <v>1206.0</v>
      </c>
      <c r="B1207" s="7" t="s">
        <v>580</v>
      </c>
      <c r="C1207" s="7" t="s">
        <v>4798</v>
      </c>
      <c r="D1207" s="7"/>
      <c r="E1207" s="7"/>
      <c r="F1207" s="7" t="s">
        <v>4871</v>
      </c>
      <c r="G1207" s="7" t="s">
        <v>3176</v>
      </c>
      <c r="H1207" s="7" t="s">
        <v>3246</v>
      </c>
      <c r="I1207" s="7" t="s">
        <v>3187</v>
      </c>
      <c r="J1207" s="7" t="s">
        <v>3243</v>
      </c>
      <c r="K1207" s="7" t="str">
        <f t="shared" si="2"/>
        <v/>
      </c>
      <c r="L1207" s="7" t="str">
        <f t="shared" si="1026"/>
        <v/>
      </c>
      <c r="M1207" s="7">
        <f t="shared" ref="M1207:N1207" si="1223">IF(LEN(M$1),COUNTIF($G1207:$J1207,M$1),"")</f>
        <v>0</v>
      </c>
      <c r="N1207" s="7" t="str">
        <f t="shared" si="1223"/>
        <v/>
      </c>
      <c r="O1207" s="7" t="str">
        <f t="shared" si="1028"/>
        <v/>
      </c>
      <c r="P1207" s="7">
        <f t="shared" si="1130"/>
        <v>0</v>
      </c>
      <c r="Q1207" s="7" t="str">
        <f t="shared" si="7"/>
        <v/>
      </c>
      <c r="T1207" s="7"/>
    </row>
    <row r="1208" ht="12.75" customHeight="1">
      <c r="A1208" s="7">
        <v>1207.0</v>
      </c>
      <c r="B1208" s="7" t="s">
        <v>580</v>
      </c>
      <c r="C1208" s="7" t="s">
        <v>4798</v>
      </c>
      <c r="D1208" s="7"/>
      <c r="E1208" s="7"/>
      <c r="F1208" s="7" t="s">
        <v>4871</v>
      </c>
      <c r="G1208" s="7" t="s">
        <v>3218</v>
      </c>
      <c r="H1208" s="7" t="s">
        <v>2876</v>
      </c>
      <c r="I1208" s="7" t="s">
        <v>3119</v>
      </c>
      <c r="J1208" s="7" t="s">
        <v>3198</v>
      </c>
      <c r="K1208" s="7" t="str">
        <f t="shared" si="2"/>
        <v/>
      </c>
      <c r="L1208" s="7" t="str">
        <f t="shared" si="1026"/>
        <v/>
      </c>
      <c r="M1208" s="7">
        <f t="shared" ref="M1208:N1208" si="1224">IF(LEN(M$1),COUNTIF($G1208:$J1208,M$1),"")</f>
        <v>0</v>
      </c>
      <c r="N1208" s="7" t="str">
        <f t="shared" si="1224"/>
        <v/>
      </c>
      <c r="O1208" s="7" t="str">
        <f t="shared" si="1028"/>
        <v/>
      </c>
      <c r="P1208" s="7">
        <f t="shared" si="1130"/>
        <v>0</v>
      </c>
      <c r="Q1208" s="7" t="str">
        <f t="shared" si="7"/>
        <v/>
      </c>
      <c r="T1208" s="7"/>
    </row>
    <row r="1209" ht="12.75" customHeight="1">
      <c r="A1209" s="7">
        <v>1208.0</v>
      </c>
      <c r="B1209" s="7" t="s">
        <v>589</v>
      </c>
      <c r="C1209" s="7" t="s">
        <v>4801</v>
      </c>
      <c r="D1209" s="7"/>
      <c r="E1209" s="7"/>
      <c r="F1209" s="7" t="s">
        <v>4871</v>
      </c>
      <c r="G1209" s="7" t="s">
        <v>2597</v>
      </c>
      <c r="H1209" s="7" t="s">
        <v>2910</v>
      </c>
      <c r="I1209" s="7" t="s">
        <v>3069</v>
      </c>
      <c r="J1209" s="7" t="s">
        <v>2959</v>
      </c>
      <c r="K1209" s="7" t="str">
        <f t="shared" si="2"/>
        <v/>
      </c>
      <c r="L1209" s="7" t="str">
        <f t="shared" si="1026"/>
        <v/>
      </c>
      <c r="M1209" s="7">
        <f t="shared" ref="M1209:N1209" si="1225">IF(LEN(M$1),COUNTIF($G1209:$J1209,M$1),"")</f>
        <v>0</v>
      </c>
      <c r="N1209" s="7" t="str">
        <f t="shared" si="1225"/>
        <v/>
      </c>
      <c r="O1209" s="7" t="str">
        <f t="shared" si="1028"/>
        <v/>
      </c>
      <c r="P1209" s="7">
        <f t="shared" si="1130"/>
        <v>0</v>
      </c>
      <c r="Q1209" s="7" t="str">
        <f t="shared" si="7"/>
        <v/>
      </c>
      <c r="T1209" s="7"/>
    </row>
    <row r="1210" ht="12.75" customHeight="1">
      <c r="A1210" s="7">
        <v>1209.0</v>
      </c>
      <c r="B1210" s="7" t="s">
        <v>589</v>
      </c>
      <c r="C1210" s="7" t="s">
        <v>4801</v>
      </c>
      <c r="D1210" s="7"/>
      <c r="E1210" s="7"/>
      <c r="F1210" s="7" t="s">
        <v>4871</v>
      </c>
      <c r="G1210" s="7" t="s">
        <v>2809</v>
      </c>
      <c r="H1210" s="7" t="s">
        <v>2870</v>
      </c>
      <c r="I1210" s="7" t="s">
        <v>2959</v>
      </c>
      <c r="J1210" s="7" t="s">
        <v>2946</v>
      </c>
      <c r="K1210" s="7" t="str">
        <f t="shared" si="2"/>
        <v/>
      </c>
      <c r="L1210" s="7" t="str">
        <f t="shared" si="1026"/>
        <v/>
      </c>
      <c r="M1210" s="7">
        <f t="shared" ref="M1210:N1210" si="1226">IF(LEN(M$1),COUNTIF($G1210:$J1210,M$1),"")</f>
        <v>0</v>
      </c>
      <c r="N1210" s="7" t="str">
        <f t="shared" si="1226"/>
        <v/>
      </c>
      <c r="O1210" s="7" t="str">
        <f t="shared" si="1028"/>
        <v/>
      </c>
      <c r="P1210" s="7">
        <f t="shared" si="1130"/>
        <v>0</v>
      </c>
      <c r="Q1210" s="7" t="str">
        <f t="shared" si="7"/>
        <v/>
      </c>
      <c r="T1210" s="7"/>
    </row>
    <row r="1211" ht="12.75" customHeight="1">
      <c r="A1211" s="7">
        <v>1210.0</v>
      </c>
      <c r="B1211" s="7" t="s">
        <v>597</v>
      </c>
      <c r="C1211" s="7" t="s">
        <v>4801</v>
      </c>
      <c r="D1211" s="7"/>
      <c r="E1211" s="7"/>
      <c r="F1211" s="7" t="s">
        <v>4871</v>
      </c>
      <c r="G1211" s="7" t="s">
        <v>3149</v>
      </c>
      <c r="H1211" s="7" t="s">
        <v>3226</v>
      </c>
      <c r="I1211" s="7" t="s">
        <v>3280</v>
      </c>
      <c r="J1211" s="7" t="s">
        <v>3158</v>
      </c>
      <c r="K1211" s="7" t="str">
        <f t="shared" si="2"/>
        <v/>
      </c>
      <c r="L1211" s="7" t="str">
        <f t="shared" si="1026"/>
        <v/>
      </c>
      <c r="M1211" s="7">
        <f t="shared" ref="M1211:N1211" si="1227">IF(LEN(M$1),COUNTIF($G1211:$J1211,M$1),"")</f>
        <v>0</v>
      </c>
      <c r="N1211" s="7" t="str">
        <f t="shared" si="1227"/>
        <v/>
      </c>
      <c r="O1211" s="7" t="str">
        <f t="shared" si="1028"/>
        <v/>
      </c>
      <c r="P1211" s="7">
        <f t="shared" si="1130"/>
        <v>0</v>
      </c>
      <c r="Q1211" s="7" t="str">
        <f t="shared" si="7"/>
        <v/>
      </c>
      <c r="T1211" s="7"/>
    </row>
    <row r="1212" ht="12.75" customHeight="1">
      <c r="A1212" s="7">
        <v>1211.0</v>
      </c>
      <c r="B1212" s="7" t="s">
        <v>597</v>
      </c>
      <c r="C1212" s="7" t="s">
        <v>4801</v>
      </c>
      <c r="D1212" s="7"/>
      <c r="E1212" s="7"/>
      <c r="F1212" s="7" t="s">
        <v>4871</v>
      </c>
      <c r="G1212" s="7" t="s">
        <v>2569</v>
      </c>
      <c r="H1212" s="7" t="s">
        <v>2904</v>
      </c>
      <c r="I1212" s="7" t="s">
        <v>3017</v>
      </c>
      <c r="J1212" s="7" t="s">
        <v>3092</v>
      </c>
      <c r="K1212" s="7" t="str">
        <f t="shared" si="2"/>
        <v/>
      </c>
      <c r="L1212" s="7" t="str">
        <f t="shared" si="1026"/>
        <v/>
      </c>
      <c r="M1212" s="7">
        <f t="shared" ref="M1212:N1212" si="1228">IF(LEN(M$1),COUNTIF($G1212:$J1212,M$1),"")</f>
        <v>0</v>
      </c>
      <c r="N1212" s="7" t="str">
        <f t="shared" si="1228"/>
        <v/>
      </c>
      <c r="O1212" s="7" t="str">
        <f t="shared" si="1028"/>
        <v/>
      </c>
      <c r="P1212" s="7">
        <f t="shared" si="1130"/>
        <v>0</v>
      </c>
      <c r="Q1212" s="7" t="str">
        <f t="shared" si="7"/>
        <v/>
      </c>
      <c r="T1212" s="7"/>
    </row>
    <row r="1213" ht="12.75" customHeight="1">
      <c r="A1213" s="7">
        <v>1212.0</v>
      </c>
      <c r="B1213" s="7" t="s">
        <v>334</v>
      </c>
      <c r="C1213" s="7" t="s">
        <v>4775</v>
      </c>
      <c r="D1213" s="7"/>
      <c r="E1213" s="7"/>
      <c r="F1213" s="7" t="s">
        <v>4872</v>
      </c>
      <c r="G1213" s="7" t="s">
        <v>3400</v>
      </c>
      <c r="H1213" s="7" t="s">
        <v>3200</v>
      </c>
      <c r="I1213" s="7" t="s">
        <v>3353</v>
      </c>
      <c r="J1213" s="7" t="s">
        <v>3381</v>
      </c>
      <c r="K1213" s="7" t="str">
        <f t="shared" si="2"/>
        <v/>
      </c>
      <c r="L1213" s="7" t="str">
        <f t="shared" si="1026"/>
        <v/>
      </c>
      <c r="M1213" s="7">
        <f t="shared" ref="M1213:N1213" si="1229">IF(LEN(M$1),COUNTIF($G1213:$J1213,M$1),"")</f>
        <v>0</v>
      </c>
      <c r="N1213" s="7" t="str">
        <f t="shared" si="1229"/>
        <v/>
      </c>
      <c r="O1213" s="7" t="str">
        <f t="shared" si="1028"/>
        <v/>
      </c>
      <c r="P1213" s="7">
        <f t="shared" ref="P1213:P1312" si="1231">IF(LEN(P$1),IF(P$1=3,1,0),"")</f>
        <v>0</v>
      </c>
      <c r="Q1213" s="7" t="str">
        <f t="shared" si="7"/>
        <v/>
      </c>
      <c r="T1213" s="7"/>
    </row>
    <row r="1214" ht="12.75" customHeight="1">
      <c r="A1214" s="7">
        <v>1213.0</v>
      </c>
      <c r="B1214" s="7" t="s">
        <v>342</v>
      </c>
      <c r="C1214" s="7" t="s">
        <v>4775</v>
      </c>
      <c r="D1214" s="7"/>
      <c r="E1214" s="7"/>
      <c r="F1214" s="7" t="s">
        <v>4872</v>
      </c>
      <c r="G1214" s="7" t="s">
        <v>3254</v>
      </c>
      <c r="H1214" s="7" t="s">
        <v>3333</v>
      </c>
      <c r="I1214" s="7" t="s">
        <v>3301</v>
      </c>
      <c r="J1214" s="7" t="s">
        <v>3149</v>
      </c>
      <c r="K1214" s="7" t="str">
        <f t="shared" si="2"/>
        <v/>
      </c>
      <c r="L1214" s="7" t="str">
        <f t="shared" si="1026"/>
        <v/>
      </c>
      <c r="M1214" s="7">
        <f t="shared" ref="M1214:N1214" si="1230">IF(LEN(M$1),COUNTIF($G1214:$J1214,M$1),"")</f>
        <v>0</v>
      </c>
      <c r="N1214" s="7" t="str">
        <f t="shared" si="1230"/>
        <v/>
      </c>
      <c r="O1214" s="7" t="str">
        <f t="shared" si="1028"/>
        <v/>
      </c>
      <c r="P1214" s="7">
        <f t="shared" si="1231"/>
        <v>0</v>
      </c>
      <c r="Q1214" s="7" t="str">
        <f t="shared" si="7"/>
        <v/>
      </c>
      <c r="T1214" s="7"/>
    </row>
    <row r="1215" ht="12.75" customHeight="1">
      <c r="A1215" s="7">
        <v>1214.0</v>
      </c>
      <c r="B1215" s="7" t="s">
        <v>351</v>
      </c>
      <c r="C1215" s="7" t="s">
        <v>4775</v>
      </c>
      <c r="D1215" s="7"/>
      <c r="E1215" s="7"/>
      <c r="F1215" s="7" t="s">
        <v>4872</v>
      </c>
      <c r="G1215" s="7" t="s">
        <v>3336</v>
      </c>
      <c r="H1215" s="7" t="s">
        <v>3230</v>
      </c>
      <c r="I1215" s="7" t="s">
        <v>3405</v>
      </c>
      <c r="J1215" s="7" t="s">
        <v>3325</v>
      </c>
      <c r="K1215" s="7" t="str">
        <f t="shared" si="2"/>
        <v/>
      </c>
      <c r="L1215" s="7" t="str">
        <f t="shared" si="1026"/>
        <v/>
      </c>
      <c r="M1215" s="7">
        <f t="shared" ref="M1215:N1215" si="1232">IF(LEN(M$1),COUNTIF($G1215:$J1215,M$1),"")</f>
        <v>0</v>
      </c>
      <c r="N1215" s="7" t="str">
        <f t="shared" si="1232"/>
        <v/>
      </c>
      <c r="O1215" s="7" t="str">
        <f t="shared" si="1028"/>
        <v/>
      </c>
      <c r="P1215" s="7">
        <f t="shared" si="1231"/>
        <v>0</v>
      </c>
      <c r="Q1215" s="7" t="str">
        <f t="shared" si="7"/>
        <v/>
      </c>
      <c r="T1215" s="7"/>
    </row>
    <row r="1216" ht="12.75" customHeight="1">
      <c r="A1216" s="7">
        <v>1215.0</v>
      </c>
      <c r="B1216" s="7" t="s">
        <v>359</v>
      </c>
      <c r="C1216" s="7" t="s">
        <v>4778</v>
      </c>
      <c r="D1216" s="7"/>
      <c r="E1216" s="7"/>
      <c r="F1216" s="7" t="s">
        <v>4872</v>
      </c>
      <c r="G1216" s="7" t="s">
        <v>3273</v>
      </c>
      <c r="H1216" s="7" t="s">
        <v>3323</v>
      </c>
      <c r="I1216" s="7" t="s">
        <v>3410</v>
      </c>
      <c r="J1216" s="7" t="s">
        <v>3198</v>
      </c>
      <c r="K1216" s="7" t="str">
        <f t="shared" si="2"/>
        <v/>
      </c>
      <c r="L1216" s="7" t="str">
        <f t="shared" si="1026"/>
        <v/>
      </c>
      <c r="M1216" s="7">
        <f t="shared" ref="M1216:N1216" si="1233">IF(LEN(M$1),COUNTIF($G1216:$J1216,M$1),"")</f>
        <v>0</v>
      </c>
      <c r="N1216" s="7" t="str">
        <f t="shared" si="1233"/>
        <v/>
      </c>
      <c r="O1216" s="7" t="str">
        <f t="shared" si="1028"/>
        <v/>
      </c>
      <c r="P1216" s="7">
        <f t="shared" si="1231"/>
        <v>0</v>
      </c>
      <c r="Q1216" s="7" t="str">
        <f t="shared" si="7"/>
        <v/>
      </c>
      <c r="T1216" s="7"/>
    </row>
    <row r="1217" ht="12.75" customHeight="1">
      <c r="A1217" s="7">
        <v>1216.0</v>
      </c>
      <c r="B1217" s="7" t="s">
        <v>368</v>
      </c>
      <c r="C1217" s="7" t="s">
        <v>4778</v>
      </c>
      <c r="D1217" s="7"/>
      <c r="E1217" s="7"/>
      <c r="F1217" s="7" t="s">
        <v>4872</v>
      </c>
      <c r="G1217" s="7" t="s">
        <v>3420</v>
      </c>
      <c r="H1217" s="7" t="s">
        <v>3413</v>
      </c>
      <c r="I1217" s="7" t="s">
        <v>3405</v>
      </c>
      <c r="J1217" s="7" t="s">
        <v>3393</v>
      </c>
      <c r="K1217" s="7" t="str">
        <f t="shared" si="2"/>
        <v/>
      </c>
      <c r="L1217" s="7" t="str">
        <f t="shared" si="1026"/>
        <v/>
      </c>
      <c r="M1217" s="7">
        <f t="shared" ref="M1217:N1217" si="1234">IF(LEN(M$1),COUNTIF($G1217:$J1217,M$1),"")</f>
        <v>0</v>
      </c>
      <c r="N1217" s="7" t="str">
        <f t="shared" si="1234"/>
        <v/>
      </c>
      <c r="O1217" s="7" t="str">
        <f t="shared" si="1028"/>
        <v/>
      </c>
      <c r="P1217" s="7">
        <f t="shared" si="1231"/>
        <v>0</v>
      </c>
      <c r="Q1217" s="7" t="str">
        <f t="shared" si="7"/>
        <v/>
      </c>
      <c r="T1217" s="7"/>
    </row>
    <row r="1218" ht="12.75" customHeight="1">
      <c r="A1218" s="7">
        <v>1217.0</v>
      </c>
      <c r="B1218" s="7" t="s">
        <v>375</v>
      </c>
      <c r="C1218" s="7" t="s">
        <v>4778</v>
      </c>
      <c r="D1218" s="7"/>
      <c r="E1218" s="7"/>
      <c r="F1218" s="7" t="s">
        <v>4872</v>
      </c>
      <c r="G1218" s="7" t="s">
        <v>3355</v>
      </c>
      <c r="H1218" s="7" t="s">
        <v>3345</v>
      </c>
      <c r="I1218" s="7" t="s">
        <v>3408</v>
      </c>
      <c r="J1218" s="7" t="s">
        <v>3381</v>
      </c>
      <c r="K1218" s="7" t="str">
        <f t="shared" si="2"/>
        <v/>
      </c>
      <c r="L1218" s="7" t="str">
        <f t="shared" si="1026"/>
        <v/>
      </c>
      <c r="M1218" s="7">
        <f t="shared" ref="M1218:N1218" si="1235">IF(LEN(M$1),COUNTIF($G1218:$J1218,M$1),"")</f>
        <v>0</v>
      </c>
      <c r="N1218" s="7" t="str">
        <f t="shared" si="1235"/>
        <v/>
      </c>
      <c r="O1218" s="7" t="str">
        <f t="shared" si="1028"/>
        <v/>
      </c>
      <c r="P1218" s="7">
        <f t="shared" si="1231"/>
        <v>0</v>
      </c>
      <c r="Q1218" s="7" t="str">
        <f t="shared" si="7"/>
        <v/>
      </c>
      <c r="T1218" s="7"/>
    </row>
    <row r="1219" ht="12.75" customHeight="1">
      <c r="A1219" s="7">
        <v>1218.0</v>
      </c>
      <c r="B1219" s="7" t="s">
        <v>383</v>
      </c>
      <c r="C1219" s="7" t="s">
        <v>4780</v>
      </c>
      <c r="D1219" s="7"/>
      <c r="E1219" s="7"/>
      <c r="F1219" s="7" t="s">
        <v>4872</v>
      </c>
      <c r="G1219" s="7" t="s">
        <v>3402</v>
      </c>
      <c r="H1219" s="7" t="s">
        <v>3292</v>
      </c>
      <c r="I1219" s="7" t="s">
        <v>3336</v>
      </c>
      <c r="J1219" s="7" t="s">
        <v>3287</v>
      </c>
      <c r="K1219" s="7" t="str">
        <f t="shared" si="2"/>
        <v/>
      </c>
      <c r="L1219" s="7" t="str">
        <f t="shared" si="1026"/>
        <v/>
      </c>
      <c r="M1219" s="7">
        <f t="shared" ref="M1219:N1219" si="1236">IF(LEN(M$1),COUNTIF($G1219:$J1219,M$1),"")</f>
        <v>0</v>
      </c>
      <c r="N1219" s="7" t="str">
        <f t="shared" si="1236"/>
        <v/>
      </c>
      <c r="O1219" s="7" t="str">
        <f t="shared" si="1028"/>
        <v/>
      </c>
      <c r="P1219" s="7">
        <f t="shared" si="1231"/>
        <v>0</v>
      </c>
      <c r="Q1219" s="7" t="str">
        <f t="shared" si="7"/>
        <v/>
      </c>
      <c r="T1219" s="7"/>
    </row>
    <row r="1220" ht="12.75" customHeight="1">
      <c r="A1220" s="7">
        <v>1219.0</v>
      </c>
      <c r="B1220" s="7" t="s">
        <v>392</v>
      </c>
      <c r="C1220" s="7" t="s">
        <v>4780</v>
      </c>
      <c r="D1220" s="7"/>
      <c r="E1220" s="7"/>
      <c r="F1220" s="7" t="s">
        <v>4872</v>
      </c>
      <c r="G1220" s="7" t="s">
        <v>3371</v>
      </c>
      <c r="H1220" s="7" t="s">
        <v>3115</v>
      </c>
      <c r="I1220" s="7" t="s">
        <v>3383</v>
      </c>
      <c r="J1220" s="7" t="s">
        <v>3142</v>
      </c>
      <c r="K1220" s="7" t="str">
        <f t="shared" si="2"/>
        <v/>
      </c>
      <c r="L1220" s="7" t="str">
        <f t="shared" si="1026"/>
        <v/>
      </c>
      <c r="M1220" s="7">
        <f t="shared" ref="M1220:N1220" si="1237">IF(LEN(M$1),COUNTIF($G1220:$J1220,M$1),"")</f>
        <v>0</v>
      </c>
      <c r="N1220" s="7" t="str">
        <f t="shared" si="1237"/>
        <v/>
      </c>
      <c r="O1220" s="7" t="str">
        <f t="shared" si="1028"/>
        <v/>
      </c>
      <c r="P1220" s="7">
        <f t="shared" si="1231"/>
        <v>0</v>
      </c>
      <c r="Q1220" s="7" t="str">
        <f t="shared" si="7"/>
        <v/>
      </c>
      <c r="T1220" s="7"/>
    </row>
    <row r="1221" ht="12.75" customHeight="1">
      <c r="A1221" s="7">
        <v>1220.0</v>
      </c>
      <c r="B1221" s="7" t="s">
        <v>400</v>
      </c>
      <c r="C1221" s="7" t="s">
        <v>4780</v>
      </c>
      <c r="D1221" s="7"/>
      <c r="E1221" s="7"/>
      <c r="F1221" s="7" t="s">
        <v>4872</v>
      </c>
      <c r="G1221" s="7" t="s">
        <v>3355</v>
      </c>
      <c r="H1221" s="7" t="s">
        <v>3405</v>
      </c>
      <c r="I1221" s="7" t="s">
        <v>3309</v>
      </c>
      <c r="J1221" s="7" t="s">
        <v>3331</v>
      </c>
      <c r="K1221" s="7" t="str">
        <f t="shared" si="2"/>
        <v/>
      </c>
      <c r="L1221" s="7" t="str">
        <f t="shared" si="1026"/>
        <v/>
      </c>
      <c r="M1221" s="7">
        <f t="shared" ref="M1221:N1221" si="1238">IF(LEN(M$1),COUNTIF($G1221:$J1221,M$1),"")</f>
        <v>0</v>
      </c>
      <c r="N1221" s="7" t="str">
        <f t="shared" si="1238"/>
        <v/>
      </c>
      <c r="O1221" s="7" t="str">
        <f t="shared" si="1028"/>
        <v/>
      </c>
      <c r="P1221" s="7">
        <f t="shared" si="1231"/>
        <v>0</v>
      </c>
      <c r="Q1221" s="7" t="str">
        <f t="shared" si="7"/>
        <v/>
      </c>
      <c r="T1221" s="7"/>
    </row>
    <row r="1222" ht="12.75" customHeight="1">
      <c r="A1222" s="7">
        <v>1221.0</v>
      </c>
      <c r="B1222" s="7" t="s">
        <v>408</v>
      </c>
      <c r="C1222" s="7" t="s">
        <v>4782</v>
      </c>
      <c r="D1222" s="7"/>
      <c r="E1222" s="7"/>
      <c r="F1222" s="7" t="s">
        <v>4872</v>
      </c>
      <c r="G1222" s="7" t="s">
        <v>3208</v>
      </c>
      <c r="H1222" s="7" t="s">
        <v>3309</v>
      </c>
      <c r="I1222" s="7" t="s">
        <v>3317</v>
      </c>
      <c r="J1222" s="7" t="s">
        <v>3237</v>
      </c>
      <c r="K1222" s="7" t="str">
        <f t="shared" si="2"/>
        <v/>
      </c>
      <c r="L1222" s="7" t="str">
        <f t="shared" si="1026"/>
        <v/>
      </c>
      <c r="M1222" s="7">
        <f t="shared" ref="M1222:N1222" si="1239">IF(LEN(M$1),COUNTIF($G1222:$J1222,M$1),"")</f>
        <v>0</v>
      </c>
      <c r="N1222" s="7" t="str">
        <f t="shared" si="1239"/>
        <v/>
      </c>
      <c r="O1222" s="7" t="str">
        <f t="shared" si="1028"/>
        <v/>
      </c>
      <c r="P1222" s="7">
        <f t="shared" si="1231"/>
        <v>0</v>
      </c>
      <c r="Q1222" s="7" t="str">
        <f t="shared" si="7"/>
        <v/>
      </c>
      <c r="T1222" s="7"/>
    </row>
    <row r="1223" ht="12.75" customHeight="1">
      <c r="A1223" s="7">
        <v>1222.0</v>
      </c>
      <c r="B1223" s="7" t="s">
        <v>415</v>
      </c>
      <c r="C1223" s="7" t="s">
        <v>4782</v>
      </c>
      <c r="D1223" s="7"/>
      <c r="E1223" s="7"/>
      <c r="F1223" s="7" t="s">
        <v>4872</v>
      </c>
      <c r="G1223" s="7" t="s">
        <v>3410</v>
      </c>
      <c r="H1223" s="7" t="s">
        <v>3290</v>
      </c>
      <c r="I1223" s="7" t="s">
        <v>3353</v>
      </c>
      <c r="J1223" s="7" t="s">
        <v>3315</v>
      </c>
      <c r="K1223" s="7" t="str">
        <f t="shared" si="2"/>
        <v/>
      </c>
      <c r="L1223" s="7" t="str">
        <f t="shared" si="1026"/>
        <v/>
      </c>
      <c r="M1223" s="7">
        <f t="shared" ref="M1223:N1223" si="1240">IF(LEN(M$1),COUNTIF($G1223:$J1223,M$1),"")</f>
        <v>0</v>
      </c>
      <c r="N1223" s="7" t="str">
        <f t="shared" si="1240"/>
        <v/>
      </c>
      <c r="O1223" s="7" t="str">
        <f t="shared" si="1028"/>
        <v/>
      </c>
      <c r="P1223" s="7">
        <f t="shared" si="1231"/>
        <v>0</v>
      </c>
      <c r="Q1223" s="7" t="str">
        <f t="shared" si="7"/>
        <v/>
      </c>
      <c r="T1223" s="7"/>
    </row>
    <row r="1224" ht="12.75" customHeight="1">
      <c r="A1224" s="7">
        <v>1223.0</v>
      </c>
      <c r="B1224" s="7" t="s">
        <v>422</v>
      </c>
      <c r="C1224" s="7" t="s">
        <v>4782</v>
      </c>
      <c r="D1224" s="7"/>
      <c r="E1224" s="7"/>
      <c r="F1224" s="7" t="s">
        <v>4872</v>
      </c>
      <c r="G1224" s="7" t="s">
        <v>3373</v>
      </c>
      <c r="H1224" s="7" t="s">
        <v>3420</v>
      </c>
      <c r="I1224" s="7" t="s">
        <v>3348</v>
      </c>
      <c r="J1224" s="7" t="s">
        <v>3323</v>
      </c>
      <c r="K1224" s="7" t="str">
        <f t="shared" si="2"/>
        <v/>
      </c>
      <c r="L1224" s="7" t="str">
        <f t="shared" si="1026"/>
        <v/>
      </c>
      <c r="M1224" s="7">
        <f t="shared" ref="M1224:N1224" si="1241">IF(LEN(M$1),COUNTIF($G1224:$J1224,M$1),"")</f>
        <v>0</v>
      </c>
      <c r="N1224" s="7" t="str">
        <f t="shared" si="1241"/>
        <v/>
      </c>
      <c r="O1224" s="7" t="str">
        <f t="shared" si="1028"/>
        <v/>
      </c>
      <c r="P1224" s="7">
        <f t="shared" si="1231"/>
        <v>0</v>
      </c>
      <c r="Q1224" s="7" t="str">
        <f t="shared" si="7"/>
        <v/>
      </c>
      <c r="T1224" s="7"/>
    </row>
    <row r="1225" ht="12.75" customHeight="1">
      <c r="A1225" s="7">
        <v>1224.0</v>
      </c>
      <c r="B1225" s="7" t="s">
        <v>430</v>
      </c>
      <c r="C1225" s="7" t="s">
        <v>4784</v>
      </c>
      <c r="D1225" s="7"/>
      <c r="E1225" s="7"/>
      <c r="F1225" s="7" t="s">
        <v>4872</v>
      </c>
      <c r="G1225" s="7" t="s">
        <v>3420</v>
      </c>
      <c r="H1225" s="7" t="s">
        <v>3200</v>
      </c>
      <c r="I1225" s="7" t="s">
        <v>3297</v>
      </c>
      <c r="J1225" s="7" t="s">
        <v>3383</v>
      </c>
      <c r="K1225" s="7" t="str">
        <f t="shared" si="2"/>
        <v/>
      </c>
      <c r="L1225" s="7" t="str">
        <f t="shared" si="1026"/>
        <v/>
      </c>
      <c r="M1225" s="7">
        <f t="shared" ref="M1225:N1225" si="1242">IF(LEN(M$1),COUNTIF($G1225:$J1225,M$1),"")</f>
        <v>0</v>
      </c>
      <c r="N1225" s="7" t="str">
        <f t="shared" si="1242"/>
        <v/>
      </c>
      <c r="O1225" s="7" t="str">
        <f t="shared" si="1028"/>
        <v/>
      </c>
      <c r="P1225" s="7">
        <f t="shared" si="1231"/>
        <v>0</v>
      </c>
      <c r="Q1225" s="7" t="str">
        <f t="shared" si="7"/>
        <v/>
      </c>
      <c r="T1225" s="7"/>
    </row>
    <row r="1226" ht="12.75" customHeight="1">
      <c r="A1226" s="7">
        <v>1225.0</v>
      </c>
      <c r="B1226" s="7" t="s">
        <v>438</v>
      </c>
      <c r="C1226" s="7" t="s">
        <v>4784</v>
      </c>
      <c r="D1226" s="7"/>
      <c r="E1226" s="7"/>
      <c r="F1226" s="7" t="s">
        <v>4872</v>
      </c>
      <c r="G1226" s="7" t="s">
        <v>3158</v>
      </c>
      <c r="H1226" s="7" t="s">
        <v>3348</v>
      </c>
      <c r="I1226" s="7" t="s">
        <v>3375</v>
      </c>
      <c r="J1226" s="7" t="s">
        <v>3254</v>
      </c>
      <c r="K1226" s="7" t="str">
        <f t="shared" si="2"/>
        <v/>
      </c>
      <c r="L1226" s="7" t="str">
        <f t="shared" si="1026"/>
        <v/>
      </c>
      <c r="M1226" s="7">
        <f t="shared" ref="M1226:N1226" si="1243">IF(LEN(M$1),COUNTIF($G1226:$J1226,M$1),"")</f>
        <v>0</v>
      </c>
      <c r="N1226" s="7" t="str">
        <f t="shared" si="1243"/>
        <v/>
      </c>
      <c r="O1226" s="7" t="str">
        <f t="shared" si="1028"/>
        <v/>
      </c>
      <c r="P1226" s="7">
        <f t="shared" si="1231"/>
        <v>0</v>
      </c>
      <c r="Q1226" s="7" t="str">
        <f t="shared" si="7"/>
        <v/>
      </c>
      <c r="T1226" s="7"/>
    </row>
    <row r="1227" ht="12.75" customHeight="1">
      <c r="A1227" s="7">
        <v>1226.0</v>
      </c>
      <c r="B1227" s="7" t="s">
        <v>447</v>
      </c>
      <c r="C1227" s="7" t="s">
        <v>4784</v>
      </c>
      <c r="D1227" s="7"/>
      <c r="E1227" s="7"/>
      <c r="F1227" s="7" t="s">
        <v>4872</v>
      </c>
      <c r="G1227" s="7" t="s">
        <v>3413</v>
      </c>
      <c r="H1227" s="7" t="s">
        <v>3187</v>
      </c>
      <c r="I1227" s="7" t="s">
        <v>3287</v>
      </c>
      <c r="J1227" s="7" t="s">
        <v>3280</v>
      </c>
      <c r="K1227" s="7" t="str">
        <f t="shared" si="2"/>
        <v/>
      </c>
      <c r="L1227" s="7" t="str">
        <f t="shared" si="1026"/>
        <v/>
      </c>
      <c r="M1227" s="7">
        <f t="shared" ref="M1227:N1227" si="1244">IF(LEN(M$1),COUNTIF($G1227:$J1227,M$1),"")</f>
        <v>0</v>
      </c>
      <c r="N1227" s="7" t="str">
        <f t="shared" si="1244"/>
        <v/>
      </c>
      <c r="O1227" s="7" t="str">
        <f t="shared" si="1028"/>
        <v/>
      </c>
      <c r="P1227" s="7">
        <f t="shared" si="1231"/>
        <v>0</v>
      </c>
      <c r="Q1227" s="7" t="str">
        <f t="shared" si="7"/>
        <v/>
      </c>
      <c r="T1227" s="7"/>
    </row>
    <row r="1228" ht="12.75" customHeight="1">
      <c r="A1228" s="7">
        <v>1227.0</v>
      </c>
      <c r="B1228" s="7" t="s">
        <v>454</v>
      </c>
      <c r="C1228" s="7" t="s">
        <v>4786</v>
      </c>
      <c r="D1228" s="7"/>
      <c r="E1228" s="7"/>
      <c r="F1228" s="7" t="s">
        <v>4872</v>
      </c>
      <c r="G1228" s="7" t="s">
        <v>3388</v>
      </c>
      <c r="H1228" s="7" t="s">
        <v>3223</v>
      </c>
      <c r="I1228" s="7" t="s">
        <v>3353</v>
      </c>
      <c r="J1228" s="7" t="s">
        <v>3325</v>
      </c>
      <c r="K1228" s="7" t="str">
        <f t="shared" si="2"/>
        <v/>
      </c>
      <c r="L1228" s="7" t="str">
        <f t="shared" si="1026"/>
        <v/>
      </c>
      <c r="M1228" s="7">
        <f t="shared" ref="M1228:N1228" si="1245">IF(LEN(M$1),COUNTIF($G1228:$J1228,M$1),"")</f>
        <v>0</v>
      </c>
      <c r="N1228" s="7" t="str">
        <f t="shared" si="1245"/>
        <v/>
      </c>
      <c r="O1228" s="7" t="str">
        <f t="shared" si="1028"/>
        <v/>
      </c>
      <c r="P1228" s="7">
        <f t="shared" si="1231"/>
        <v>0</v>
      </c>
      <c r="Q1228" s="7" t="str">
        <f t="shared" si="7"/>
        <v/>
      </c>
      <c r="T1228" s="7"/>
    </row>
    <row r="1229" ht="12.75" customHeight="1">
      <c r="A1229" s="7">
        <v>1228.0</v>
      </c>
      <c r="B1229" s="7" t="s">
        <v>462</v>
      </c>
      <c r="C1229" s="7" t="s">
        <v>4786</v>
      </c>
      <c r="D1229" s="7"/>
      <c r="E1229" s="7"/>
      <c r="F1229" s="7" t="s">
        <v>4872</v>
      </c>
      <c r="G1229" s="7" t="s">
        <v>3329</v>
      </c>
      <c r="H1229" s="7" t="s">
        <v>3163</v>
      </c>
      <c r="I1229" s="7" t="s">
        <v>3358</v>
      </c>
      <c r="J1229" s="7" t="s">
        <v>3241</v>
      </c>
      <c r="K1229" s="7" t="str">
        <f t="shared" si="2"/>
        <v/>
      </c>
      <c r="L1229" s="7" t="str">
        <f t="shared" si="1026"/>
        <v/>
      </c>
      <c r="M1229" s="7">
        <f t="shared" ref="M1229:N1229" si="1246">IF(LEN(M$1),COUNTIF($G1229:$J1229,M$1),"")</f>
        <v>0</v>
      </c>
      <c r="N1229" s="7" t="str">
        <f t="shared" si="1246"/>
        <v/>
      </c>
      <c r="O1229" s="7" t="str">
        <f t="shared" si="1028"/>
        <v/>
      </c>
      <c r="P1229" s="7">
        <f t="shared" si="1231"/>
        <v>0</v>
      </c>
      <c r="Q1229" s="7" t="str">
        <f t="shared" si="7"/>
        <v/>
      </c>
      <c r="T1229" s="7"/>
    </row>
    <row r="1230" ht="12.75" customHeight="1">
      <c r="A1230" s="7">
        <v>1229.0</v>
      </c>
      <c r="B1230" s="7" t="s">
        <v>469</v>
      </c>
      <c r="C1230" s="7" t="s">
        <v>4786</v>
      </c>
      <c r="D1230" s="7"/>
      <c r="E1230" s="7"/>
      <c r="F1230" s="7" t="s">
        <v>4872</v>
      </c>
      <c r="G1230" s="7" t="s">
        <v>3331</v>
      </c>
      <c r="H1230" s="7" t="s">
        <v>3336</v>
      </c>
      <c r="I1230" s="7" t="s">
        <v>3345</v>
      </c>
      <c r="J1230" s="7" t="s">
        <v>3317</v>
      </c>
      <c r="K1230" s="7" t="str">
        <f t="shared" si="2"/>
        <v/>
      </c>
      <c r="L1230" s="7" t="str">
        <f t="shared" si="1026"/>
        <v/>
      </c>
      <c r="M1230" s="7">
        <f t="shared" ref="M1230:N1230" si="1247">IF(LEN(M$1),COUNTIF($G1230:$J1230,M$1),"")</f>
        <v>0</v>
      </c>
      <c r="N1230" s="7" t="str">
        <f t="shared" si="1247"/>
        <v/>
      </c>
      <c r="O1230" s="7" t="str">
        <f t="shared" si="1028"/>
        <v/>
      </c>
      <c r="P1230" s="7">
        <f t="shared" si="1231"/>
        <v>0</v>
      </c>
      <c r="Q1230" s="7" t="str">
        <f t="shared" si="7"/>
        <v/>
      </c>
      <c r="T1230" s="7"/>
    </row>
    <row r="1231" ht="12.75" customHeight="1">
      <c r="A1231" s="7">
        <v>1230.0</v>
      </c>
      <c r="B1231" s="7" t="s">
        <v>477</v>
      </c>
      <c r="C1231" s="7" t="s">
        <v>4788</v>
      </c>
      <c r="D1231" s="7"/>
      <c r="E1231" s="7"/>
      <c r="F1231" s="7" t="s">
        <v>4872</v>
      </c>
      <c r="G1231" s="7" t="s">
        <v>3215</v>
      </c>
      <c r="H1231" s="7" t="s">
        <v>3353</v>
      </c>
      <c r="I1231" s="7" t="s">
        <v>3396</v>
      </c>
      <c r="J1231" s="7" t="s">
        <v>3198</v>
      </c>
      <c r="K1231" s="7" t="str">
        <f t="shared" si="2"/>
        <v/>
      </c>
      <c r="L1231" s="7" t="str">
        <f t="shared" si="1026"/>
        <v/>
      </c>
      <c r="M1231" s="7">
        <f t="shared" ref="M1231:N1231" si="1248">IF(LEN(M$1),COUNTIF($G1231:$J1231,M$1),"")</f>
        <v>0</v>
      </c>
      <c r="N1231" s="7" t="str">
        <f t="shared" si="1248"/>
        <v/>
      </c>
      <c r="O1231" s="7" t="str">
        <f t="shared" si="1028"/>
        <v/>
      </c>
      <c r="P1231" s="7">
        <f t="shared" si="1231"/>
        <v>0</v>
      </c>
      <c r="Q1231" s="7" t="str">
        <f t="shared" si="7"/>
        <v/>
      </c>
      <c r="T1231" s="7"/>
    </row>
    <row r="1232" ht="12.75" customHeight="1">
      <c r="A1232" s="7">
        <v>1231.0</v>
      </c>
      <c r="B1232" s="7" t="s">
        <v>485</v>
      </c>
      <c r="C1232" s="7" t="s">
        <v>4788</v>
      </c>
      <c r="D1232" s="7"/>
      <c r="E1232" s="7"/>
      <c r="F1232" s="7" t="s">
        <v>4872</v>
      </c>
      <c r="G1232" s="7" t="s">
        <v>3342</v>
      </c>
      <c r="H1232" s="7" t="s">
        <v>3415</v>
      </c>
      <c r="I1232" s="7" t="s">
        <v>3287</v>
      </c>
      <c r="J1232" s="7" t="s">
        <v>3355</v>
      </c>
      <c r="K1232" s="7" t="str">
        <f t="shared" si="2"/>
        <v/>
      </c>
      <c r="L1232" s="7" t="str">
        <f t="shared" si="1026"/>
        <v/>
      </c>
      <c r="M1232" s="7">
        <f t="shared" ref="M1232:N1232" si="1249">IF(LEN(M$1),COUNTIF($G1232:$J1232,M$1),"")</f>
        <v>0</v>
      </c>
      <c r="N1232" s="7" t="str">
        <f t="shared" si="1249"/>
        <v/>
      </c>
      <c r="O1232" s="7" t="str">
        <f t="shared" si="1028"/>
        <v/>
      </c>
      <c r="P1232" s="7">
        <f t="shared" si="1231"/>
        <v>0</v>
      </c>
      <c r="Q1232" s="7" t="str">
        <f t="shared" si="7"/>
        <v/>
      </c>
      <c r="T1232" s="7"/>
    </row>
    <row r="1233" ht="12.75" customHeight="1">
      <c r="A1233" s="7">
        <v>1232.0</v>
      </c>
      <c r="B1233" s="7" t="s">
        <v>492</v>
      </c>
      <c r="C1233" s="7" t="s">
        <v>4788</v>
      </c>
      <c r="D1233" s="7"/>
      <c r="E1233" s="7"/>
      <c r="F1233" s="7" t="s">
        <v>4872</v>
      </c>
      <c r="G1233" s="7" t="s">
        <v>3348</v>
      </c>
      <c r="H1233" s="7" t="s">
        <v>3362</v>
      </c>
      <c r="I1233" s="7" t="s">
        <v>3309</v>
      </c>
      <c r="J1233" s="7" t="s">
        <v>3422</v>
      </c>
      <c r="K1233" s="7" t="str">
        <f t="shared" si="2"/>
        <v/>
      </c>
      <c r="L1233" s="7" t="str">
        <f t="shared" si="1026"/>
        <v/>
      </c>
      <c r="M1233" s="7">
        <f t="shared" ref="M1233:N1233" si="1250">IF(LEN(M$1),COUNTIF($G1233:$J1233,M$1),"")</f>
        <v>0</v>
      </c>
      <c r="N1233" s="7" t="str">
        <f t="shared" si="1250"/>
        <v/>
      </c>
      <c r="O1233" s="7" t="str">
        <f t="shared" si="1028"/>
        <v/>
      </c>
      <c r="P1233" s="7">
        <f t="shared" si="1231"/>
        <v>0</v>
      </c>
      <c r="Q1233" s="7" t="str">
        <f t="shared" si="7"/>
        <v/>
      </c>
      <c r="T1233" s="7"/>
    </row>
    <row r="1234" ht="12.75" customHeight="1">
      <c r="A1234" s="7">
        <v>1233.0</v>
      </c>
      <c r="B1234" s="7" t="s">
        <v>500</v>
      </c>
      <c r="C1234" s="7" t="s">
        <v>4791</v>
      </c>
      <c r="D1234" s="7"/>
      <c r="E1234" s="7"/>
      <c r="F1234" s="7" t="s">
        <v>4872</v>
      </c>
      <c r="G1234" s="7" t="s">
        <v>3355</v>
      </c>
      <c r="H1234" s="7" t="s">
        <v>3287</v>
      </c>
      <c r="I1234" s="7" t="s">
        <v>3348</v>
      </c>
      <c r="J1234" s="7" t="s">
        <v>3371</v>
      </c>
      <c r="K1234" s="7" t="str">
        <f t="shared" si="2"/>
        <v/>
      </c>
      <c r="L1234" s="7" t="str">
        <f t="shared" si="1026"/>
        <v/>
      </c>
      <c r="M1234" s="7">
        <f t="shared" ref="M1234:N1234" si="1251">IF(LEN(M$1),COUNTIF($G1234:$J1234,M$1),"")</f>
        <v>0</v>
      </c>
      <c r="N1234" s="7" t="str">
        <f t="shared" si="1251"/>
        <v/>
      </c>
      <c r="O1234" s="7" t="str">
        <f t="shared" si="1028"/>
        <v/>
      </c>
      <c r="P1234" s="7">
        <f t="shared" si="1231"/>
        <v>0</v>
      </c>
      <c r="Q1234" s="7" t="str">
        <f t="shared" si="7"/>
        <v/>
      </c>
      <c r="T1234" s="7"/>
    </row>
    <row r="1235" ht="12.75" customHeight="1">
      <c r="A1235" s="7">
        <v>1234.0</v>
      </c>
      <c r="B1235" s="7" t="s">
        <v>508</v>
      </c>
      <c r="C1235" s="7" t="s">
        <v>4791</v>
      </c>
      <c r="D1235" s="7"/>
      <c r="E1235" s="7"/>
      <c r="F1235" s="7" t="s">
        <v>4872</v>
      </c>
      <c r="G1235" s="7" t="s">
        <v>3287</v>
      </c>
      <c r="H1235" s="7" t="s">
        <v>3410</v>
      </c>
      <c r="I1235" s="7" t="s">
        <v>3317</v>
      </c>
      <c r="J1235" s="7" t="s">
        <v>3303</v>
      </c>
      <c r="K1235" s="7" t="str">
        <f t="shared" si="2"/>
        <v/>
      </c>
      <c r="L1235" s="7" t="str">
        <f t="shared" si="1026"/>
        <v/>
      </c>
      <c r="M1235" s="7">
        <f t="shared" ref="M1235:N1235" si="1252">IF(LEN(M$1),COUNTIF($G1235:$J1235,M$1),"")</f>
        <v>0</v>
      </c>
      <c r="N1235" s="7" t="str">
        <f t="shared" si="1252"/>
        <v/>
      </c>
      <c r="O1235" s="7" t="str">
        <f t="shared" si="1028"/>
        <v/>
      </c>
      <c r="P1235" s="7">
        <f t="shared" si="1231"/>
        <v>0</v>
      </c>
      <c r="Q1235" s="7" t="str">
        <f t="shared" si="7"/>
        <v/>
      </c>
      <c r="T1235" s="7"/>
    </row>
    <row r="1236" ht="12.75" customHeight="1">
      <c r="A1236" s="7">
        <v>1235.0</v>
      </c>
      <c r="B1236" s="7" t="s">
        <v>517</v>
      </c>
      <c r="C1236" s="7" t="s">
        <v>4793</v>
      </c>
      <c r="D1236" s="7"/>
      <c r="E1236" s="7"/>
      <c r="F1236" s="7" t="s">
        <v>4872</v>
      </c>
      <c r="G1236" s="7" t="s">
        <v>3243</v>
      </c>
      <c r="H1236" s="7" t="s">
        <v>3333</v>
      </c>
      <c r="I1236" s="7" t="s">
        <v>3323</v>
      </c>
      <c r="J1236" s="7" t="s">
        <v>3230</v>
      </c>
      <c r="K1236" s="7" t="str">
        <f t="shared" si="2"/>
        <v/>
      </c>
      <c r="L1236" s="7" t="str">
        <f t="shared" si="1026"/>
        <v/>
      </c>
      <c r="M1236" s="7">
        <f t="shared" ref="M1236:N1236" si="1253">IF(LEN(M$1),COUNTIF($G1236:$J1236,M$1),"")</f>
        <v>0</v>
      </c>
      <c r="N1236" s="7" t="str">
        <f t="shared" si="1253"/>
        <v/>
      </c>
      <c r="O1236" s="7" t="str">
        <f t="shared" si="1028"/>
        <v/>
      </c>
      <c r="P1236" s="7">
        <f t="shared" si="1231"/>
        <v>0</v>
      </c>
      <c r="Q1236" s="7" t="str">
        <f t="shared" si="7"/>
        <v/>
      </c>
      <c r="T1236" s="7"/>
    </row>
    <row r="1237" ht="12.75" customHeight="1">
      <c r="A1237" s="7">
        <v>1236.0</v>
      </c>
      <c r="B1237" s="7" t="s">
        <v>307</v>
      </c>
      <c r="C1237" s="7" t="s">
        <v>4793</v>
      </c>
      <c r="D1237" s="7"/>
      <c r="E1237" s="7"/>
      <c r="F1237" s="7" t="s">
        <v>4872</v>
      </c>
      <c r="G1237" s="7" t="s">
        <v>3375</v>
      </c>
      <c r="H1237" s="7" t="s">
        <v>3137</v>
      </c>
      <c r="I1237" s="7" t="s">
        <v>3417</v>
      </c>
      <c r="J1237" s="7" t="s">
        <v>3158</v>
      </c>
      <c r="K1237" s="7" t="str">
        <f t="shared" si="2"/>
        <v/>
      </c>
      <c r="L1237" s="7" t="str">
        <f t="shared" si="1026"/>
        <v/>
      </c>
      <c r="M1237" s="7">
        <f t="shared" ref="M1237:N1237" si="1254">IF(LEN(M$1),COUNTIF($G1237:$J1237,M$1),"")</f>
        <v>0</v>
      </c>
      <c r="N1237" s="7" t="str">
        <f t="shared" si="1254"/>
        <v/>
      </c>
      <c r="O1237" s="7" t="str">
        <f t="shared" si="1028"/>
        <v/>
      </c>
      <c r="P1237" s="7">
        <f t="shared" si="1231"/>
        <v>0</v>
      </c>
      <c r="Q1237" s="7" t="str">
        <f t="shared" si="7"/>
        <v/>
      </c>
      <c r="T1237" s="7"/>
    </row>
    <row r="1238" ht="12.75" customHeight="1">
      <c r="A1238" s="7">
        <v>1237.0</v>
      </c>
      <c r="B1238" s="7" t="s">
        <v>530</v>
      </c>
      <c r="C1238" s="7" t="s">
        <v>4795</v>
      </c>
      <c r="D1238" s="7"/>
      <c r="E1238" s="7"/>
      <c r="F1238" s="7" t="s">
        <v>4872</v>
      </c>
      <c r="G1238" s="7" t="s">
        <v>3378</v>
      </c>
      <c r="H1238" s="7" t="s">
        <v>3243</v>
      </c>
      <c r="I1238" s="7" t="s">
        <v>3393</v>
      </c>
      <c r="J1238" s="7" t="s">
        <v>3127</v>
      </c>
      <c r="K1238" s="7" t="str">
        <f t="shared" si="2"/>
        <v/>
      </c>
      <c r="L1238" s="7" t="str">
        <f t="shared" si="1026"/>
        <v/>
      </c>
      <c r="M1238" s="7">
        <f t="shared" ref="M1238:N1238" si="1255">IF(LEN(M$1),COUNTIF($G1238:$J1238,M$1),"")</f>
        <v>0</v>
      </c>
      <c r="N1238" s="7" t="str">
        <f t="shared" si="1255"/>
        <v/>
      </c>
      <c r="O1238" s="7" t="str">
        <f t="shared" si="1028"/>
        <v/>
      </c>
      <c r="P1238" s="7">
        <f t="shared" si="1231"/>
        <v>0</v>
      </c>
      <c r="Q1238" s="7" t="str">
        <f t="shared" si="7"/>
        <v/>
      </c>
      <c r="T1238" s="7"/>
    </row>
    <row r="1239" ht="12.75" customHeight="1">
      <c r="A1239" s="7">
        <v>1238.0</v>
      </c>
      <c r="B1239" s="7" t="s">
        <v>537</v>
      </c>
      <c r="C1239" s="7" t="s">
        <v>4795</v>
      </c>
      <c r="D1239" s="7"/>
      <c r="E1239" s="7"/>
      <c r="F1239" s="7" t="s">
        <v>4872</v>
      </c>
      <c r="G1239" s="7" t="s">
        <v>3333</v>
      </c>
      <c r="H1239" s="7" t="s">
        <v>3365</v>
      </c>
      <c r="I1239" s="7" t="s">
        <v>3413</v>
      </c>
      <c r="J1239" s="7" t="s">
        <v>3321</v>
      </c>
      <c r="K1239" s="7" t="str">
        <f t="shared" si="2"/>
        <v/>
      </c>
      <c r="L1239" s="7" t="str">
        <f t="shared" si="1026"/>
        <v/>
      </c>
      <c r="M1239" s="7">
        <f t="shared" ref="M1239:N1239" si="1256">IF(LEN(M$1),COUNTIF($G1239:$J1239,M$1),"")</f>
        <v>0</v>
      </c>
      <c r="N1239" s="7" t="str">
        <f t="shared" si="1256"/>
        <v/>
      </c>
      <c r="O1239" s="7" t="str">
        <f t="shared" si="1028"/>
        <v/>
      </c>
      <c r="P1239" s="7">
        <f t="shared" si="1231"/>
        <v>0</v>
      </c>
      <c r="Q1239" s="7" t="str">
        <f t="shared" si="7"/>
        <v/>
      </c>
      <c r="T1239" s="7"/>
    </row>
    <row r="1240" ht="12.75" customHeight="1">
      <c r="A1240" s="7">
        <v>1239.0</v>
      </c>
      <c r="B1240" s="7" t="s">
        <v>545</v>
      </c>
      <c r="C1240" s="7" t="s">
        <v>4797</v>
      </c>
      <c r="D1240" s="7"/>
      <c r="E1240" s="7"/>
      <c r="F1240" s="7" t="s">
        <v>4872</v>
      </c>
      <c r="G1240" s="7" t="s">
        <v>3325</v>
      </c>
      <c r="H1240" s="7" t="s">
        <v>3258</v>
      </c>
      <c r="I1240" s="7" t="s">
        <v>3301</v>
      </c>
      <c r="J1240" s="7" t="s">
        <v>3317</v>
      </c>
      <c r="K1240" s="7" t="str">
        <f t="shared" si="2"/>
        <v/>
      </c>
      <c r="L1240" s="7" t="str">
        <f t="shared" si="1026"/>
        <v/>
      </c>
      <c r="M1240" s="7">
        <f t="shared" ref="M1240:N1240" si="1257">IF(LEN(M$1),COUNTIF($G1240:$J1240,M$1),"")</f>
        <v>0</v>
      </c>
      <c r="N1240" s="7" t="str">
        <f t="shared" si="1257"/>
        <v/>
      </c>
      <c r="O1240" s="7" t="str">
        <f t="shared" si="1028"/>
        <v/>
      </c>
      <c r="P1240" s="7">
        <f t="shared" si="1231"/>
        <v>0</v>
      </c>
      <c r="Q1240" s="7" t="str">
        <f t="shared" si="7"/>
        <v/>
      </c>
      <c r="T1240" s="7"/>
    </row>
    <row r="1241" ht="12.75" customHeight="1">
      <c r="A1241" s="7">
        <v>1240.0</v>
      </c>
      <c r="B1241" s="7" t="s">
        <v>553</v>
      </c>
      <c r="C1241" s="7" t="s">
        <v>4797</v>
      </c>
      <c r="D1241" s="7"/>
      <c r="E1241" s="7"/>
      <c r="F1241" s="7" t="s">
        <v>4872</v>
      </c>
      <c r="G1241" s="7" t="s">
        <v>3178</v>
      </c>
      <c r="H1241" s="7" t="s">
        <v>3413</v>
      </c>
      <c r="I1241" s="7" t="s">
        <v>3396</v>
      </c>
      <c r="J1241" s="7" t="s">
        <v>3132</v>
      </c>
      <c r="K1241" s="7" t="str">
        <f t="shared" si="2"/>
        <v/>
      </c>
      <c r="L1241" s="7" t="str">
        <f t="shared" si="1026"/>
        <v/>
      </c>
      <c r="M1241" s="7">
        <f t="shared" ref="M1241:N1241" si="1258">IF(LEN(M$1),COUNTIF($G1241:$J1241,M$1),"")</f>
        <v>0</v>
      </c>
      <c r="N1241" s="7" t="str">
        <f t="shared" si="1258"/>
        <v/>
      </c>
      <c r="O1241" s="7" t="str">
        <f t="shared" si="1028"/>
        <v/>
      </c>
      <c r="P1241" s="7">
        <f t="shared" si="1231"/>
        <v>0</v>
      </c>
      <c r="Q1241" s="7" t="str">
        <f t="shared" si="7"/>
        <v/>
      </c>
      <c r="T1241" s="7"/>
    </row>
    <row r="1242" ht="12.75" customHeight="1">
      <c r="A1242" s="7">
        <v>1241.0</v>
      </c>
      <c r="B1242" s="7" t="s">
        <v>560</v>
      </c>
      <c r="C1242" s="7" t="s">
        <v>4797</v>
      </c>
      <c r="D1242" s="7"/>
      <c r="E1242" s="7"/>
      <c r="F1242" s="7" t="s">
        <v>4872</v>
      </c>
      <c r="G1242" s="7" t="s">
        <v>3295</v>
      </c>
      <c r="H1242" s="7" t="s">
        <v>3121</v>
      </c>
      <c r="I1242" s="7" t="s">
        <v>3315</v>
      </c>
      <c r="J1242" s="7" t="s">
        <v>3127</v>
      </c>
      <c r="K1242" s="7" t="str">
        <f t="shared" si="2"/>
        <v/>
      </c>
      <c r="L1242" s="7" t="str">
        <f t="shared" si="1026"/>
        <v/>
      </c>
      <c r="M1242" s="7">
        <f t="shared" ref="M1242:N1242" si="1259">IF(LEN(M$1),COUNTIF($G1242:$J1242,M$1),"")</f>
        <v>0</v>
      </c>
      <c r="N1242" s="7" t="str">
        <f t="shared" si="1259"/>
        <v/>
      </c>
      <c r="O1242" s="7" t="str">
        <f t="shared" si="1028"/>
        <v/>
      </c>
      <c r="P1242" s="7">
        <f t="shared" si="1231"/>
        <v>0</v>
      </c>
      <c r="Q1242" s="7" t="str">
        <f t="shared" si="7"/>
        <v/>
      </c>
      <c r="T1242" s="7"/>
    </row>
    <row r="1243" ht="12.75" customHeight="1">
      <c r="A1243" s="7">
        <v>1242.0</v>
      </c>
      <c r="B1243" s="7" t="s">
        <v>557</v>
      </c>
      <c r="C1243" s="7" t="s">
        <v>4798</v>
      </c>
      <c r="D1243" s="7"/>
      <c r="E1243" s="7"/>
      <c r="F1243" s="7" t="s">
        <v>4872</v>
      </c>
      <c r="G1243" s="7" t="s">
        <v>3292</v>
      </c>
      <c r="H1243" s="7" t="s">
        <v>3226</v>
      </c>
      <c r="I1243" s="7" t="s">
        <v>3336</v>
      </c>
      <c r="J1243" s="7" t="s">
        <v>3342</v>
      </c>
      <c r="K1243" s="7" t="str">
        <f t="shared" si="2"/>
        <v/>
      </c>
      <c r="L1243" s="7" t="str">
        <f t="shared" si="1026"/>
        <v/>
      </c>
      <c r="M1243" s="7">
        <f t="shared" ref="M1243:N1243" si="1260">IF(LEN(M$1),COUNTIF($G1243:$J1243,M$1),"")</f>
        <v>0</v>
      </c>
      <c r="N1243" s="7" t="str">
        <f t="shared" si="1260"/>
        <v/>
      </c>
      <c r="O1243" s="7" t="str">
        <f t="shared" si="1028"/>
        <v/>
      </c>
      <c r="P1243" s="7">
        <f t="shared" si="1231"/>
        <v>0</v>
      </c>
      <c r="Q1243" s="7" t="str">
        <f t="shared" si="7"/>
        <v/>
      </c>
      <c r="T1243" s="7"/>
    </row>
    <row r="1244" ht="12.75" customHeight="1">
      <c r="A1244" s="7">
        <v>1243.0</v>
      </c>
      <c r="B1244" s="7" t="s">
        <v>572</v>
      </c>
      <c r="C1244" s="7" t="s">
        <v>4798</v>
      </c>
      <c r="D1244" s="7"/>
      <c r="E1244" s="7"/>
      <c r="F1244" s="7" t="s">
        <v>4872</v>
      </c>
      <c r="G1244" s="7" t="s">
        <v>3345</v>
      </c>
      <c r="H1244" s="7" t="s">
        <v>3115</v>
      </c>
      <c r="I1244" s="7" t="s">
        <v>3422</v>
      </c>
      <c r="J1244" s="7" t="s">
        <v>3378</v>
      </c>
      <c r="K1244" s="7" t="str">
        <f t="shared" si="2"/>
        <v/>
      </c>
      <c r="L1244" s="7" t="str">
        <f t="shared" si="1026"/>
        <v/>
      </c>
      <c r="M1244" s="7">
        <f t="shared" ref="M1244:N1244" si="1261">IF(LEN(M$1),COUNTIF($G1244:$J1244,M$1),"")</f>
        <v>0</v>
      </c>
      <c r="N1244" s="7" t="str">
        <f t="shared" si="1261"/>
        <v/>
      </c>
      <c r="O1244" s="7" t="str">
        <f t="shared" si="1028"/>
        <v/>
      </c>
      <c r="P1244" s="7">
        <f t="shared" si="1231"/>
        <v>0</v>
      </c>
      <c r="Q1244" s="7" t="str">
        <f t="shared" si="7"/>
        <v/>
      </c>
      <c r="T1244" s="7"/>
    </row>
    <row r="1245" ht="12.75" customHeight="1">
      <c r="A1245" s="7">
        <v>1244.0</v>
      </c>
      <c r="B1245" s="7" t="s">
        <v>580</v>
      </c>
      <c r="C1245" s="7" t="s">
        <v>4798</v>
      </c>
      <c r="D1245" s="7"/>
      <c r="E1245" s="7"/>
      <c r="F1245" s="7" t="s">
        <v>4872</v>
      </c>
      <c r="G1245" s="7" t="s">
        <v>3173</v>
      </c>
      <c r="H1245" s="7" t="s">
        <v>3383</v>
      </c>
      <c r="I1245" s="7" t="s">
        <v>3297</v>
      </c>
      <c r="J1245" s="7" t="s">
        <v>3142</v>
      </c>
      <c r="K1245" s="7" t="str">
        <f t="shared" si="2"/>
        <v/>
      </c>
      <c r="L1245" s="7" t="str">
        <f t="shared" si="1026"/>
        <v/>
      </c>
      <c r="M1245" s="7">
        <f t="shared" ref="M1245:N1245" si="1262">IF(LEN(M$1),COUNTIF($G1245:$J1245,M$1),"")</f>
        <v>0</v>
      </c>
      <c r="N1245" s="7" t="str">
        <f t="shared" si="1262"/>
        <v/>
      </c>
      <c r="O1245" s="7" t="str">
        <f t="shared" si="1028"/>
        <v/>
      </c>
      <c r="P1245" s="7">
        <f t="shared" si="1231"/>
        <v>0</v>
      </c>
      <c r="Q1245" s="7" t="str">
        <f t="shared" si="7"/>
        <v/>
      </c>
      <c r="T1245" s="7"/>
    </row>
    <row r="1246" ht="12.75" customHeight="1">
      <c r="A1246" s="7">
        <v>1245.0</v>
      </c>
      <c r="B1246" s="7" t="s">
        <v>589</v>
      </c>
      <c r="C1246" s="7" t="s">
        <v>4801</v>
      </c>
      <c r="D1246" s="7"/>
      <c r="E1246" s="7"/>
      <c r="F1246" s="7" t="s">
        <v>4872</v>
      </c>
      <c r="G1246" s="7" t="s">
        <v>3258</v>
      </c>
      <c r="H1246" s="7" t="s">
        <v>3362</v>
      </c>
      <c r="I1246" s="7" t="s">
        <v>3413</v>
      </c>
      <c r="J1246" s="7" t="s">
        <v>3146</v>
      </c>
      <c r="K1246" s="7" t="str">
        <f t="shared" si="2"/>
        <v/>
      </c>
      <c r="L1246" s="7" t="str">
        <f t="shared" si="1026"/>
        <v/>
      </c>
      <c r="M1246" s="7">
        <f t="shared" ref="M1246:N1246" si="1263">IF(LEN(M$1),COUNTIF($G1246:$J1246,M$1),"")</f>
        <v>0</v>
      </c>
      <c r="N1246" s="7" t="str">
        <f t="shared" si="1263"/>
        <v/>
      </c>
      <c r="O1246" s="7" t="str">
        <f t="shared" si="1028"/>
        <v/>
      </c>
      <c r="P1246" s="7">
        <f t="shared" si="1231"/>
        <v>0</v>
      </c>
      <c r="Q1246" s="7" t="str">
        <f t="shared" si="7"/>
        <v/>
      </c>
      <c r="T1246" s="7"/>
    </row>
    <row r="1247" ht="12.75" customHeight="1">
      <c r="A1247" s="7">
        <v>1246.0</v>
      </c>
      <c r="B1247" s="7" t="s">
        <v>597</v>
      </c>
      <c r="C1247" s="7" t="s">
        <v>4801</v>
      </c>
      <c r="D1247" s="7"/>
      <c r="E1247" s="7"/>
      <c r="F1247" s="7" t="s">
        <v>4872</v>
      </c>
      <c r="G1247" s="7" t="s">
        <v>3362</v>
      </c>
      <c r="H1247" s="7" t="s">
        <v>3195</v>
      </c>
      <c r="I1247" s="7" t="s">
        <v>3385</v>
      </c>
      <c r="J1247" s="7" t="s">
        <v>3317</v>
      </c>
      <c r="K1247" s="7" t="str">
        <f t="shared" si="2"/>
        <v/>
      </c>
      <c r="L1247" s="7" t="str">
        <f t="shared" si="1026"/>
        <v/>
      </c>
      <c r="M1247" s="7">
        <f t="shared" ref="M1247:N1247" si="1264">IF(LEN(M$1),COUNTIF($G1247:$J1247,M$1),"")</f>
        <v>0</v>
      </c>
      <c r="N1247" s="7" t="str">
        <f t="shared" si="1264"/>
        <v/>
      </c>
      <c r="O1247" s="7" t="str">
        <f t="shared" si="1028"/>
        <v/>
      </c>
      <c r="P1247" s="7">
        <f t="shared" si="1231"/>
        <v>0</v>
      </c>
      <c r="Q1247" s="7" t="str">
        <f t="shared" si="7"/>
        <v/>
      </c>
      <c r="T1247" s="7"/>
    </row>
    <row r="1248" ht="12.75" customHeight="1">
      <c r="A1248" s="7">
        <v>1247.0</v>
      </c>
      <c r="B1248" s="7" t="s">
        <v>606</v>
      </c>
      <c r="C1248" s="7" t="s">
        <v>4801</v>
      </c>
      <c r="D1248" s="7"/>
      <c r="E1248" s="7"/>
      <c r="F1248" s="7" t="s">
        <v>4872</v>
      </c>
      <c r="G1248" s="7" t="s">
        <v>3325</v>
      </c>
      <c r="H1248" s="7" t="s">
        <v>3273</v>
      </c>
      <c r="I1248" s="7" t="s">
        <v>3378</v>
      </c>
      <c r="J1248" s="7" t="s">
        <v>3305</v>
      </c>
      <c r="K1248" s="7" t="str">
        <f t="shared" si="2"/>
        <v/>
      </c>
      <c r="L1248" s="7" t="str">
        <f t="shared" si="1026"/>
        <v/>
      </c>
      <c r="M1248" s="7">
        <f t="shared" ref="M1248:N1248" si="1265">IF(LEN(M$1),COUNTIF($G1248:$J1248,M$1),"")</f>
        <v>0</v>
      </c>
      <c r="N1248" s="7" t="str">
        <f t="shared" si="1265"/>
        <v/>
      </c>
      <c r="O1248" s="7" t="str">
        <f t="shared" si="1028"/>
        <v/>
      </c>
      <c r="P1248" s="7">
        <f t="shared" si="1231"/>
        <v>0</v>
      </c>
      <c r="Q1248" s="7" t="str">
        <f t="shared" si="7"/>
        <v/>
      </c>
      <c r="T1248" s="7"/>
    </row>
    <row r="1249" ht="12.75" customHeight="1">
      <c r="A1249" s="7">
        <v>1248.0</v>
      </c>
      <c r="B1249" s="7" t="s">
        <v>606</v>
      </c>
      <c r="C1249" s="7" t="s">
        <v>4801</v>
      </c>
      <c r="D1249" s="7"/>
      <c r="E1249" s="7"/>
      <c r="F1249" s="7" t="s">
        <v>4872</v>
      </c>
      <c r="G1249" s="7" t="s">
        <v>3303</v>
      </c>
      <c r="H1249" s="7" t="s">
        <v>3182</v>
      </c>
      <c r="I1249" s="7" t="s">
        <v>3329</v>
      </c>
      <c r="J1249" s="7" t="s">
        <v>3417</v>
      </c>
      <c r="K1249" s="7" t="str">
        <f t="shared" si="2"/>
        <v/>
      </c>
      <c r="L1249" s="7" t="str">
        <f t="shared" si="1026"/>
        <v/>
      </c>
      <c r="M1249" s="7">
        <f t="shared" ref="M1249:N1249" si="1266">IF(LEN(M$1),COUNTIF($G1249:$J1249,M$1),"")</f>
        <v>0</v>
      </c>
      <c r="N1249" s="7" t="str">
        <f t="shared" si="1266"/>
        <v/>
      </c>
      <c r="O1249" s="7" t="str">
        <f t="shared" si="1028"/>
        <v/>
      </c>
      <c r="P1249" s="7">
        <f t="shared" si="1231"/>
        <v>0</v>
      </c>
      <c r="Q1249" s="7" t="str">
        <f t="shared" si="7"/>
        <v/>
      </c>
      <c r="T1249" s="7"/>
    </row>
    <row r="1250" ht="12.75" customHeight="1">
      <c r="A1250" s="7">
        <v>1249.0</v>
      </c>
      <c r="B1250" s="7" t="s">
        <v>615</v>
      </c>
      <c r="C1250" s="7" t="s">
        <v>4756</v>
      </c>
      <c r="D1250" s="7"/>
      <c r="E1250" s="7"/>
      <c r="F1250" s="7" t="s">
        <v>4872</v>
      </c>
      <c r="G1250" s="7" t="s">
        <v>3408</v>
      </c>
      <c r="H1250" s="7" t="s">
        <v>3388</v>
      </c>
      <c r="I1250" s="7" t="s">
        <v>3413</v>
      </c>
      <c r="J1250" s="7" t="s">
        <v>3299</v>
      </c>
      <c r="K1250" s="7" t="str">
        <f t="shared" si="2"/>
        <v/>
      </c>
      <c r="L1250" s="7" t="str">
        <f t="shared" si="1026"/>
        <v/>
      </c>
      <c r="M1250" s="7">
        <f t="shared" ref="M1250:N1250" si="1267">IF(LEN(M$1),COUNTIF($G1250:$J1250,M$1),"")</f>
        <v>0</v>
      </c>
      <c r="N1250" s="7" t="str">
        <f t="shared" si="1267"/>
        <v/>
      </c>
      <c r="O1250" s="7" t="str">
        <f t="shared" si="1028"/>
        <v/>
      </c>
      <c r="P1250" s="7">
        <f t="shared" si="1231"/>
        <v>0</v>
      </c>
      <c r="Q1250" s="7" t="str">
        <f t="shared" si="7"/>
        <v/>
      </c>
      <c r="T1250" s="7"/>
    </row>
    <row r="1251" ht="12.75" customHeight="1">
      <c r="A1251" s="7">
        <v>1250.0</v>
      </c>
      <c r="B1251" s="7" t="s">
        <v>615</v>
      </c>
      <c r="C1251" s="7" t="s">
        <v>4756</v>
      </c>
      <c r="D1251" s="7"/>
      <c r="E1251" s="7"/>
      <c r="F1251" s="7" t="s">
        <v>4872</v>
      </c>
      <c r="G1251" s="7" t="s">
        <v>3413</v>
      </c>
      <c r="H1251" s="7" t="s">
        <v>3124</v>
      </c>
      <c r="I1251" s="7" t="s">
        <v>3365</v>
      </c>
      <c r="J1251" s="7" t="s">
        <v>3262</v>
      </c>
      <c r="K1251" s="7" t="str">
        <f t="shared" si="2"/>
        <v/>
      </c>
      <c r="L1251" s="7" t="str">
        <f t="shared" si="1026"/>
        <v/>
      </c>
      <c r="M1251" s="7">
        <f t="shared" ref="M1251:N1251" si="1268">IF(LEN(M$1),COUNTIF($G1251:$J1251,M$1),"")</f>
        <v>0</v>
      </c>
      <c r="N1251" s="7" t="str">
        <f t="shared" si="1268"/>
        <v/>
      </c>
      <c r="O1251" s="7" t="str">
        <f t="shared" si="1028"/>
        <v/>
      </c>
      <c r="P1251" s="7">
        <f t="shared" si="1231"/>
        <v>0</v>
      </c>
      <c r="Q1251" s="7" t="str">
        <f t="shared" si="7"/>
        <v/>
      </c>
      <c r="T1251" s="7"/>
    </row>
    <row r="1252" ht="12.75" customHeight="1">
      <c r="A1252" s="7">
        <v>1251.0</v>
      </c>
      <c r="B1252" s="7" t="s">
        <v>622</v>
      </c>
      <c r="C1252" s="7" t="s">
        <v>4756</v>
      </c>
      <c r="D1252" s="7"/>
      <c r="E1252" s="7"/>
      <c r="F1252" s="7" t="s">
        <v>4872</v>
      </c>
      <c r="G1252" s="7" t="s">
        <v>3331</v>
      </c>
      <c r="H1252" s="7" t="s">
        <v>3276</v>
      </c>
      <c r="I1252" s="7" t="s">
        <v>3422</v>
      </c>
      <c r="J1252" s="7" t="s">
        <v>3283</v>
      </c>
      <c r="K1252" s="7" t="str">
        <f t="shared" si="2"/>
        <v/>
      </c>
      <c r="L1252" s="7" t="str">
        <f t="shared" si="1026"/>
        <v/>
      </c>
      <c r="M1252" s="7">
        <f t="shared" ref="M1252:N1252" si="1269">IF(LEN(M$1),COUNTIF($G1252:$J1252,M$1),"")</f>
        <v>0</v>
      </c>
      <c r="N1252" s="7" t="str">
        <f t="shared" si="1269"/>
        <v/>
      </c>
      <c r="O1252" s="7" t="str">
        <f t="shared" si="1028"/>
        <v/>
      </c>
      <c r="P1252" s="7">
        <f t="shared" si="1231"/>
        <v>0</v>
      </c>
      <c r="Q1252" s="7" t="str">
        <f t="shared" si="7"/>
        <v/>
      </c>
      <c r="T1252" s="7"/>
    </row>
    <row r="1253" ht="12.75" customHeight="1">
      <c r="A1253" s="7">
        <v>1252.0</v>
      </c>
      <c r="B1253" s="7" t="s">
        <v>622</v>
      </c>
      <c r="C1253" s="7" t="s">
        <v>4756</v>
      </c>
      <c r="D1253" s="7"/>
      <c r="E1253" s="7"/>
      <c r="F1253" s="7" t="s">
        <v>4872</v>
      </c>
      <c r="G1253" s="7" t="s">
        <v>3192</v>
      </c>
      <c r="H1253" s="7" t="s">
        <v>3400</v>
      </c>
      <c r="I1253" s="7" t="s">
        <v>3353</v>
      </c>
      <c r="J1253" s="7" t="s">
        <v>3230</v>
      </c>
      <c r="K1253" s="7" t="str">
        <f t="shared" si="2"/>
        <v/>
      </c>
      <c r="L1253" s="7" t="str">
        <f t="shared" si="1026"/>
        <v/>
      </c>
      <c r="M1253" s="7">
        <f t="shared" ref="M1253:N1253" si="1270">IF(LEN(M$1),COUNTIF($G1253:$J1253,M$1),"")</f>
        <v>0</v>
      </c>
      <c r="N1253" s="7" t="str">
        <f t="shared" si="1270"/>
        <v/>
      </c>
      <c r="O1253" s="7" t="str">
        <f t="shared" si="1028"/>
        <v/>
      </c>
      <c r="P1253" s="7">
        <f t="shared" si="1231"/>
        <v>0</v>
      </c>
      <c r="Q1253" s="7" t="str">
        <f t="shared" si="7"/>
        <v/>
      </c>
      <c r="T1253" s="7"/>
    </row>
    <row r="1254" ht="12.75" customHeight="1">
      <c r="A1254" s="7">
        <v>1253.0</v>
      </c>
      <c r="B1254" s="7" t="s">
        <v>630</v>
      </c>
      <c r="C1254" s="7" t="s">
        <v>4809</v>
      </c>
      <c r="D1254" s="7"/>
      <c r="E1254" s="7"/>
      <c r="F1254" s="7" t="s">
        <v>4872</v>
      </c>
      <c r="G1254" s="7" t="s">
        <v>3381</v>
      </c>
      <c r="H1254" s="7" t="s">
        <v>3215</v>
      </c>
      <c r="I1254" s="7" t="s">
        <v>3373</v>
      </c>
      <c r="J1254" s="7" t="s">
        <v>3315</v>
      </c>
      <c r="K1254" s="7" t="str">
        <f t="shared" si="2"/>
        <v/>
      </c>
      <c r="L1254" s="7" t="str">
        <f t="shared" si="1026"/>
        <v/>
      </c>
      <c r="M1254" s="7">
        <f t="shared" ref="M1254:N1254" si="1271">IF(LEN(M$1),COUNTIF($G1254:$J1254,M$1),"")</f>
        <v>0</v>
      </c>
      <c r="N1254" s="7" t="str">
        <f t="shared" si="1271"/>
        <v/>
      </c>
      <c r="O1254" s="7" t="str">
        <f t="shared" si="1028"/>
        <v/>
      </c>
      <c r="P1254" s="7">
        <f t="shared" si="1231"/>
        <v>0</v>
      </c>
      <c r="Q1254" s="7" t="str">
        <f t="shared" si="7"/>
        <v/>
      </c>
      <c r="T1254" s="7"/>
    </row>
    <row r="1255" ht="12.75" customHeight="1">
      <c r="A1255" s="7">
        <v>1254.0</v>
      </c>
      <c r="B1255" s="7" t="s">
        <v>630</v>
      </c>
      <c r="C1255" s="7" t="s">
        <v>4809</v>
      </c>
      <c r="D1255" s="7"/>
      <c r="E1255" s="7"/>
      <c r="F1255" s="7" t="s">
        <v>4872</v>
      </c>
      <c r="G1255" s="7" t="s">
        <v>3405</v>
      </c>
      <c r="H1255" s="7" t="s">
        <v>3254</v>
      </c>
      <c r="I1255" s="7" t="s">
        <v>3358</v>
      </c>
      <c r="J1255" s="7" t="s">
        <v>3371</v>
      </c>
      <c r="K1255" s="7" t="str">
        <f t="shared" si="2"/>
        <v/>
      </c>
      <c r="L1255" s="7" t="str">
        <f t="shared" si="1026"/>
        <v/>
      </c>
      <c r="M1255" s="7">
        <f t="shared" ref="M1255:N1255" si="1272">IF(LEN(M$1),COUNTIF($G1255:$J1255,M$1),"")</f>
        <v>0</v>
      </c>
      <c r="N1255" s="7" t="str">
        <f t="shared" si="1272"/>
        <v/>
      </c>
      <c r="O1255" s="7" t="str">
        <f t="shared" si="1028"/>
        <v/>
      </c>
      <c r="P1255" s="7">
        <f t="shared" si="1231"/>
        <v>0</v>
      </c>
      <c r="Q1255" s="7" t="str">
        <f t="shared" si="7"/>
        <v/>
      </c>
      <c r="T1255" s="7"/>
    </row>
    <row r="1256" ht="12.75" customHeight="1">
      <c r="A1256" s="7">
        <v>1255.0</v>
      </c>
      <c r="B1256" s="7" t="s">
        <v>638</v>
      </c>
      <c r="C1256" s="7" t="s">
        <v>4809</v>
      </c>
      <c r="D1256" s="7"/>
      <c r="E1256" s="7"/>
      <c r="F1256" s="7" t="s">
        <v>4872</v>
      </c>
      <c r="G1256" s="7" t="s">
        <v>3402</v>
      </c>
      <c r="H1256" s="7" t="s">
        <v>3132</v>
      </c>
      <c r="I1256" s="7" t="s">
        <v>3299</v>
      </c>
      <c r="J1256" s="7" t="s">
        <v>3420</v>
      </c>
      <c r="K1256" s="7" t="str">
        <f t="shared" si="2"/>
        <v/>
      </c>
      <c r="L1256" s="7" t="str">
        <f t="shared" si="1026"/>
        <v/>
      </c>
      <c r="M1256" s="7">
        <f t="shared" ref="M1256:N1256" si="1273">IF(LEN(M$1),COUNTIF($G1256:$J1256,M$1),"")</f>
        <v>0</v>
      </c>
      <c r="N1256" s="7" t="str">
        <f t="shared" si="1273"/>
        <v/>
      </c>
      <c r="O1256" s="7" t="str">
        <f t="shared" si="1028"/>
        <v/>
      </c>
      <c r="P1256" s="7">
        <f t="shared" si="1231"/>
        <v>0</v>
      </c>
      <c r="Q1256" s="7" t="str">
        <f t="shared" si="7"/>
        <v/>
      </c>
      <c r="T1256" s="7"/>
    </row>
    <row r="1257" ht="12.75" customHeight="1">
      <c r="A1257" s="7">
        <v>1256.0</v>
      </c>
      <c r="B1257" s="7" t="s">
        <v>638</v>
      </c>
      <c r="C1257" s="7" t="s">
        <v>4809</v>
      </c>
      <c r="D1257" s="7"/>
      <c r="E1257" s="7"/>
      <c r="F1257" s="7" t="s">
        <v>4872</v>
      </c>
      <c r="G1257" s="7" t="s">
        <v>3325</v>
      </c>
      <c r="H1257" s="7" t="s">
        <v>3297</v>
      </c>
      <c r="I1257" s="7" t="s">
        <v>3321</v>
      </c>
      <c r="J1257" s="7" t="s">
        <v>3315</v>
      </c>
      <c r="K1257" s="7" t="str">
        <f t="shared" si="2"/>
        <v/>
      </c>
      <c r="L1257" s="7" t="str">
        <f t="shared" si="1026"/>
        <v/>
      </c>
      <c r="M1257" s="7">
        <f t="shared" ref="M1257:N1257" si="1274">IF(LEN(M$1),COUNTIF($G1257:$J1257,M$1),"")</f>
        <v>0</v>
      </c>
      <c r="N1257" s="7" t="str">
        <f t="shared" si="1274"/>
        <v/>
      </c>
      <c r="O1257" s="7" t="str">
        <f t="shared" si="1028"/>
        <v/>
      </c>
      <c r="P1257" s="7">
        <f t="shared" si="1231"/>
        <v>0</v>
      </c>
      <c r="Q1257" s="7" t="str">
        <f t="shared" si="7"/>
        <v/>
      </c>
      <c r="T1257" s="7"/>
    </row>
    <row r="1258" ht="12.75" customHeight="1">
      <c r="A1258" s="7">
        <v>1257.0</v>
      </c>
      <c r="B1258" s="7" t="s">
        <v>645</v>
      </c>
      <c r="C1258" s="7" t="s">
        <v>4809</v>
      </c>
      <c r="D1258" s="7"/>
      <c r="E1258" s="7"/>
      <c r="F1258" s="7" t="s">
        <v>4872</v>
      </c>
      <c r="G1258" s="7" t="s">
        <v>3176</v>
      </c>
      <c r="H1258" s="7" t="s">
        <v>3373</v>
      </c>
      <c r="I1258" s="7" t="s">
        <v>3420</v>
      </c>
      <c r="J1258" s="7" t="s">
        <v>3243</v>
      </c>
      <c r="K1258" s="7" t="str">
        <f t="shared" si="2"/>
        <v/>
      </c>
      <c r="L1258" s="7" t="str">
        <f t="shared" si="1026"/>
        <v/>
      </c>
      <c r="M1258" s="7">
        <f t="shared" ref="M1258:N1258" si="1275">IF(LEN(M$1),COUNTIF($G1258:$J1258,M$1),"")</f>
        <v>0</v>
      </c>
      <c r="N1258" s="7" t="str">
        <f t="shared" si="1275"/>
        <v/>
      </c>
      <c r="O1258" s="7" t="str">
        <f t="shared" si="1028"/>
        <v/>
      </c>
      <c r="P1258" s="7">
        <f t="shared" si="1231"/>
        <v>0</v>
      </c>
      <c r="Q1258" s="7" t="str">
        <f t="shared" si="7"/>
        <v/>
      </c>
      <c r="T1258" s="7"/>
    </row>
    <row r="1259" ht="12.75" customHeight="1">
      <c r="A1259" s="7">
        <v>1258.0</v>
      </c>
      <c r="B1259" s="7" t="s">
        <v>645</v>
      </c>
      <c r="C1259" s="7" t="s">
        <v>4809</v>
      </c>
      <c r="D1259" s="7"/>
      <c r="E1259" s="7"/>
      <c r="F1259" s="7" t="s">
        <v>4872</v>
      </c>
      <c r="G1259" s="7" t="s">
        <v>3348</v>
      </c>
      <c r="H1259" s="7" t="s">
        <v>3178</v>
      </c>
      <c r="I1259" s="7" t="s">
        <v>3415</v>
      </c>
      <c r="J1259" s="7" t="s">
        <v>3170</v>
      </c>
      <c r="K1259" s="7" t="str">
        <f t="shared" si="2"/>
        <v/>
      </c>
      <c r="L1259" s="7" t="str">
        <f t="shared" si="1026"/>
        <v/>
      </c>
      <c r="M1259" s="7">
        <f t="shared" ref="M1259:N1259" si="1276">IF(LEN(M$1),COUNTIF($G1259:$J1259,M$1),"")</f>
        <v>0</v>
      </c>
      <c r="N1259" s="7" t="str">
        <f t="shared" si="1276"/>
        <v/>
      </c>
      <c r="O1259" s="7" t="str">
        <f t="shared" si="1028"/>
        <v/>
      </c>
      <c r="P1259" s="7">
        <f t="shared" si="1231"/>
        <v>0</v>
      </c>
      <c r="Q1259" s="7" t="str">
        <f t="shared" si="7"/>
        <v/>
      </c>
      <c r="T1259" s="7"/>
    </row>
    <row r="1260" ht="12.75" customHeight="1">
      <c r="A1260" s="7">
        <v>1259.0</v>
      </c>
      <c r="B1260" s="7" t="s">
        <v>652</v>
      </c>
      <c r="C1260" s="7" t="s">
        <v>4812</v>
      </c>
      <c r="D1260" s="7"/>
      <c r="E1260" s="7"/>
      <c r="F1260" s="7" t="s">
        <v>4872</v>
      </c>
      <c r="G1260" s="7" t="s">
        <v>3299</v>
      </c>
      <c r="H1260" s="7" t="s">
        <v>3402</v>
      </c>
      <c r="I1260" s="7" t="s">
        <v>3297</v>
      </c>
      <c r="J1260" s="7" t="s">
        <v>3385</v>
      </c>
      <c r="K1260" s="7" t="str">
        <f t="shared" si="2"/>
        <v/>
      </c>
      <c r="L1260" s="7" t="str">
        <f t="shared" si="1026"/>
        <v/>
      </c>
      <c r="M1260" s="7">
        <f t="shared" ref="M1260:N1260" si="1277">IF(LEN(M$1),COUNTIF($G1260:$J1260,M$1),"")</f>
        <v>0</v>
      </c>
      <c r="N1260" s="7" t="str">
        <f t="shared" si="1277"/>
        <v/>
      </c>
      <c r="O1260" s="7" t="str">
        <f t="shared" si="1028"/>
        <v/>
      </c>
      <c r="P1260" s="7">
        <f t="shared" si="1231"/>
        <v>0</v>
      </c>
      <c r="Q1260" s="7" t="str">
        <f t="shared" si="7"/>
        <v/>
      </c>
      <c r="T1260" s="7"/>
    </row>
    <row r="1261" ht="12.75" customHeight="1">
      <c r="A1261" s="7">
        <v>1260.0</v>
      </c>
      <c r="B1261" s="7" t="s">
        <v>652</v>
      </c>
      <c r="C1261" s="7" t="s">
        <v>4812</v>
      </c>
      <c r="D1261" s="7"/>
      <c r="E1261" s="7"/>
      <c r="F1261" s="7" t="s">
        <v>4872</v>
      </c>
      <c r="G1261" s="7" t="s">
        <v>3358</v>
      </c>
      <c r="H1261" s="7" t="s">
        <v>3234</v>
      </c>
      <c r="I1261" s="7" t="s">
        <v>3405</v>
      </c>
      <c r="J1261" s="7" t="s">
        <v>3365</v>
      </c>
      <c r="K1261" s="7" t="str">
        <f t="shared" si="2"/>
        <v/>
      </c>
      <c r="L1261" s="7" t="str">
        <f t="shared" si="1026"/>
        <v/>
      </c>
      <c r="M1261" s="7">
        <f t="shared" ref="M1261:N1261" si="1278">IF(LEN(M$1),COUNTIF($G1261:$J1261,M$1),"")</f>
        <v>0</v>
      </c>
      <c r="N1261" s="7" t="str">
        <f t="shared" si="1278"/>
        <v/>
      </c>
      <c r="O1261" s="7" t="str">
        <f t="shared" si="1028"/>
        <v/>
      </c>
      <c r="P1261" s="7">
        <f t="shared" si="1231"/>
        <v>0</v>
      </c>
      <c r="Q1261" s="7" t="str">
        <f t="shared" si="7"/>
        <v/>
      </c>
      <c r="T1261" s="7"/>
    </row>
    <row r="1262" ht="12.75" customHeight="1">
      <c r="A1262" s="7">
        <v>1261.0</v>
      </c>
      <c r="B1262" s="7" t="s">
        <v>659</v>
      </c>
      <c r="C1262" s="7" t="s">
        <v>4812</v>
      </c>
      <c r="D1262" s="7"/>
      <c r="E1262" s="7"/>
      <c r="F1262" s="7" t="s">
        <v>4872</v>
      </c>
      <c r="G1262" s="7" t="s">
        <v>3307</v>
      </c>
      <c r="H1262" s="7" t="s">
        <v>3381</v>
      </c>
      <c r="I1262" s="7" t="s">
        <v>3358</v>
      </c>
      <c r="J1262" s="7" t="s">
        <v>3353</v>
      </c>
      <c r="K1262" s="7" t="str">
        <f t="shared" si="2"/>
        <v/>
      </c>
      <c r="L1262" s="7" t="str">
        <f t="shared" si="1026"/>
        <v/>
      </c>
      <c r="M1262" s="7">
        <f t="shared" ref="M1262:N1262" si="1279">IF(LEN(M$1),COUNTIF($G1262:$J1262,M$1),"")</f>
        <v>0</v>
      </c>
      <c r="N1262" s="7" t="str">
        <f t="shared" si="1279"/>
        <v/>
      </c>
      <c r="O1262" s="7" t="str">
        <f t="shared" si="1028"/>
        <v/>
      </c>
      <c r="P1262" s="7">
        <f t="shared" si="1231"/>
        <v>0</v>
      </c>
      <c r="Q1262" s="7" t="str">
        <f t="shared" si="7"/>
        <v/>
      </c>
      <c r="T1262" s="7"/>
    </row>
    <row r="1263" ht="12.75" customHeight="1">
      <c r="A1263" s="7">
        <v>1262.0</v>
      </c>
      <c r="B1263" s="7" t="s">
        <v>659</v>
      </c>
      <c r="C1263" s="7" t="s">
        <v>4812</v>
      </c>
      <c r="D1263" s="7"/>
      <c r="E1263" s="7"/>
      <c r="F1263" s="7" t="s">
        <v>4872</v>
      </c>
      <c r="G1263" s="7" t="s">
        <v>3323</v>
      </c>
      <c r="H1263" s="7" t="s">
        <v>3333</v>
      </c>
      <c r="I1263" s="7" t="s">
        <v>3365</v>
      </c>
      <c r="J1263" s="7" t="s">
        <v>3292</v>
      </c>
      <c r="K1263" s="7" t="str">
        <f t="shared" si="2"/>
        <v/>
      </c>
      <c r="L1263" s="7" t="str">
        <f t="shared" si="1026"/>
        <v/>
      </c>
      <c r="M1263" s="7">
        <f t="shared" ref="M1263:N1263" si="1280">IF(LEN(M$1),COUNTIF($G1263:$J1263,M$1),"")</f>
        <v>0</v>
      </c>
      <c r="N1263" s="7" t="str">
        <f t="shared" si="1280"/>
        <v/>
      </c>
      <c r="O1263" s="7" t="str">
        <f t="shared" si="1028"/>
        <v/>
      </c>
      <c r="P1263" s="7">
        <f t="shared" si="1231"/>
        <v>0</v>
      </c>
      <c r="Q1263" s="7" t="str">
        <f t="shared" si="7"/>
        <v/>
      </c>
      <c r="T1263" s="7"/>
    </row>
    <row r="1264" ht="12.75" customHeight="1">
      <c r="A1264" s="7">
        <v>1263.0</v>
      </c>
      <c r="B1264" s="7" t="s">
        <v>667</v>
      </c>
      <c r="C1264" s="7" t="s">
        <v>4814</v>
      </c>
      <c r="D1264" s="7"/>
      <c r="E1264" s="7"/>
      <c r="F1264" s="7" t="s">
        <v>4872</v>
      </c>
      <c r="G1264" s="7" t="s">
        <v>3417</v>
      </c>
      <c r="H1264" s="7" t="s">
        <v>3362</v>
      </c>
      <c r="I1264" s="7" t="s">
        <v>3368</v>
      </c>
      <c r="J1264" s="7" t="s">
        <v>3345</v>
      </c>
      <c r="K1264" s="7" t="str">
        <f t="shared" si="2"/>
        <v/>
      </c>
      <c r="L1264" s="7" t="str">
        <f t="shared" si="1026"/>
        <v/>
      </c>
      <c r="M1264" s="7">
        <f t="shared" ref="M1264:N1264" si="1281">IF(LEN(M$1),COUNTIF($G1264:$J1264,M$1),"")</f>
        <v>0</v>
      </c>
      <c r="N1264" s="7" t="str">
        <f t="shared" si="1281"/>
        <v/>
      </c>
      <c r="O1264" s="7" t="str">
        <f t="shared" si="1028"/>
        <v/>
      </c>
      <c r="P1264" s="7">
        <f t="shared" si="1231"/>
        <v>0</v>
      </c>
      <c r="Q1264" s="7" t="str">
        <f t="shared" si="7"/>
        <v/>
      </c>
      <c r="T1264" s="7"/>
    </row>
    <row r="1265" ht="12.75" customHeight="1">
      <c r="A1265" s="7">
        <v>1264.0</v>
      </c>
      <c r="B1265" s="7" t="s">
        <v>667</v>
      </c>
      <c r="C1265" s="7" t="s">
        <v>4814</v>
      </c>
      <c r="D1265" s="7"/>
      <c r="E1265" s="7"/>
      <c r="F1265" s="7" t="s">
        <v>4872</v>
      </c>
      <c r="G1265" s="7" t="s">
        <v>3303</v>
      </c>
      <c r="H1265" s="7" t="s">
        <v>3385</v>
      </c>
      <c r="I1265" s="7" t="s">
        <v>3368</v>
      </c>
      <c r="J1265" s="7" t="s">
        <v>3393</v>
      </c>
      <c r="K1265" s="7" t="str">
        <f t="shared" si="2"/>
        <v/>
      </c>
      <c r="L1265" s="7" t="str">
        <f t="shared" si="1026"/>
        <v/>
      </c>
      <c r="M1265" s="7">
        <f t="shared" ref="M1265:N1265" si="1282">IF(LEN(M$1),COUNTIF($G1265:$J1265,M$1),"")</f>
        <v>0</v>
      </c>
      <c r="N1265" s="7" t="str">
        <f t="shared" si="1282"/>
        <v/>
      </c>
      <c r="O1265" s="7" t="str">
        <f t="shared" si="1028"/>
        <v/>
      </c>
      <c r="P1265" s="7">
        <f t="shared" si="1231"/>
        <v>0</v>
      </c>
      <c r="Q1265" s="7" t="str">
        <f t="shared" si="7"/>
        <v/>
      </c>
      <c r="T1265" s="7"/>
    </row>
    <row r="1266" ht="12.75" customHeight="1">
      <c r="A1266" s="7">
        <v>1265.0</v>
      </c>
      <c r="B1266" s="7" t="s">
        <v>676</v>
      </c>
      <c r="C1266" s="7" t="s">
        <v>4814</v>
      </c>
      <c r="D1266" s="7"/>
      <c r="E1266" s="7"/>
      <c r="F1266" s="7" t="s">
        <v>4872</v>
      </c>
      <c r="G1266" s="7" t="s">
        <v>3182</v>
      </c>
      <c r="H1266" s="7" t="s">
        <v>3373</v>
      </c>
      <c r="I1266" s="7" t="s">
        <v>3301</v>
      </c>
      <c r="J1266" s="7" t="s">
        <v>3226</v>
      </c>
      <c r="K1266" s="7" t="str">
        <f t="shared" si="2"/>
        <v/>
      </c>
      <c r="L1266" s="7" t="str">
        <f t="shared" si="1026"/>
        <v/>
      </c>
      <c r="M1266" s="7">
        <f t="shared" ref="M1266:N1266" si="1283">IF(LEN(M$1),COUNTIF($G1266:$J1266,M$1),"")</f>
        <v>0</v>
      </c>
      <c r="N1266" s="7" t="str">
        <f t="shared" si="1283"/>
        <v/>
      </c>
      <c r="O1266" s="7" t="str">
        <f t="shared" si="1028"/>
        <v/>
      </c>
      <c r="P1266" s="7">
        <f t="shared" si="1231"/>
        <v>0</v>
      </c>
      <c r="Q1266" s="7" t="str">
        <f t="shared" si="7"/>
        <v/>
      </c>
      <c r="T1266" s="7"/>
    </row>
    <row r="1267" ht="12.75" customHeight="1">
      <c r="A1267" s="7">
        <v>1266.0</v>
      </c>
      <c r="B1267" s="7" t="s">
        <v>676</v>
      </c>
      <c r="C1267" s="7" t="s">
        <v>4814</v>
      </c>
      <c r="D1267" s="7"/>
      <c r="E1267" s="7"/>
      <c r="F1267" s="7" t="s">
        <v>4872</v>
      </c>
      <c r="G1267" s="7" t="s">
        <v>3365</v>
      </c>
      <c r="H1267" s="7" t="s">
        <v>3388</v>
      </c>
      <c r="I1267" s="7" t="s">
        <v>3383</v>
      </c>
      <c r="J1267" s="7" t="s">
        <v>3331</v>
      </c>
      <c r="K1267" s="7" t="str">
        <f t="shared" si="2"/>
        <v/>
      </c>
      <c r="L1267" s="7" t="str">
        <f t="shared" si="1026"/>
        <v/>
      </c>
      <c r="M1267" s="7">
        <f t="shared" ref="M1267:N1267" si="1284">IF(LEN(M$1),COUNTIF($G1267:$J1267,M$1),"")</f>
        <v>0</v>
      </c>
      <c r="N1267" s="7" t="str">
        <f t="shared" si="1284"/>
        <v/>
      </c>
      <c r="O1267" s="7" t="str">
        <f t="shared" si="1028"/>
        <v/>
      </c>
      <c r="P1267" s="7">
        <f t="shared" si="1231"/>
        <v>0</v>
      </c>
      <c r="Q1267" s="7" t="str">
        <f t="shared" si="7"/>
        <v/>
      </c>
      <c r="T1267" s="7"/>
    </row>
    <row r="1268" ht="12.75" customHeight="1">
      <c r="A1268" s="7">
        <v>1267.0</v>
      </c>
      <c r="B1268" s="7" t="s">
        <v>427</v>
      </c>
      <c r="C1268" s="7" t="s">
        <v>4758</v>
      </c>
      <c r="D1268" s="7"/>
      <c r="E1268" s="7"/>
      <c r="F1268" s="7" t="s">
        <v>4872</v>
      </c>
      <c r="G1268" s="7" t="s">
        <v>3115</v>
      </c>
      <c r="H1268" s="7" t="s">
        <v>3307</v>
      </c>
      <c r="I1268" s="7" t="s">
        <v>3422</v>
      </c>
      <c r="J1268" s="7" t="s">
        <v>3342</v>
      </c>
      <c r="K1268" s="7" t="str">
        <f t="shared" si="2"/>
        <v/>
      </c>
      <c r="L1268" s="7" t="str">
        <f t="shared" si="1026"/>
        <v/>
      </c>
      <c r="M1268" s="7">
        <f t="shared" ref="M1268:N1268" si="1285">IF(LEN(M$1),COUNTIF($G1268:$J1268,M$1),"")</f>
        <v>0</v>
      </c>
      <c r="N1268" s="7" t="str">
        <f t="shared" si="1285"/>
        <v/>
      </c>
      <c r="O1268" s="7" t="str">
        <f t="shared" si="1028"/>
        <v/>
      </c>
      <c r="P1268" s="7">
        <f t="shared" si="1231"/>
        <v>0</v>
      </c>
      <c r="Q1268" s="7" t="str">
        <f t="shared" si="7"/>
        <v/>
      </c>
      <c r="T1268" s="7"/>
    </row>
    <row r="1269" ht="12.75" customHeight="1">
      <c r="A1269" s="7">
        <v>1268.0</v>
      </c>
      <c r="B1269" s="7" t="s">
        <v>427</v>
      </c>
      <c r="C1269" s="7" t="s">
        <v>4758</v>
      </c>
      <c r="D1269" s="7"/>
      <c r="E1269" s="7"/>
      <c r="F1269" s="7" t="s">
        <v>4872</v>
      </c>
      <c r="G1269" s="7" t="s">
        <v>3393</v>
      </c>
      <c r="H1269" s="7" t="s">
        <v>3348</v>
      </c>
      <c r="I1269" s="7" t="s">
        <v>3402</v>
      </c>
      <c r="J1269" s="7" t="s">
        <v>3303</v>
      </c>
      <c r="K1269" s="7" t="str">
        <f t="shared" si="2"/>
        <v/>
      </c>
      <c r="L1269" s="7" t="str">
        <f t="shared" si="1026"/>
        <v/>
      </c>
      <c r="M1269" s="7">
        <f t="shared" ref="M1269:N1269" si="1286">IF(LEN(M$1),COUNTIF($G1269:$J1269,M$1),"")</f>
        <v>0</v>
      </c>
      <c r="N1269" s="7" t="str">
        <f t="shared" si="1286"/>
        <v/>
      </c>
      <c r="O1269" s="7" t="str">
        <f t="shared" si="1028"/>
        <v/>
      </c>
      <c r="P1269" s="7">
        <f t="shared" si="1231"/>
        <v>0</v>
      </c>
      <c r="Q1269" s="7" t="str">
        <f t="shared" si="7"/>
        <v/>
      </c>
      <c r="T1269" s="7"/>
    </row>
    <row r="1270" ht="12.75" customHeight="1">
      <c r="A1270" s="7">
        <v>1269.0</v>
      </c>
      <c r="B1270" s="7" t="s">
        <v>233</v>
      </c>
      <c r="C1270" s="7" t="s">
        <v>4758</v>
      </c>
      <c r="D1270" s="7"/>
      <c r="E1270" s="7"/>
      <c r="F1270" s="7" t="s">
        <v>4872</v>
      </c>
      <c r="G1270" s="7" t="s">
        <v>3309</v>
      </c>
      <c r="H1270" s="7" t="s">
        <v>3251</v>
      </c>
      <c r="I1270" s="7" t="s">
        <v>3301</v>
      </c>
      <c r="J1270" s="7" t="s">
        <v>3187</v>
      </c>
      <c r="K1270" s="7" t="str">
        <f t="shared" si="2"/>
        <v/>
      </c>
      <c r="L1270" s="7" t="str">
        <f t="shared" si="1026"/>
        <v/>
      </c>
      <c r="M1270" s="7">
        <f t="shared" ref="M1270:N1270" si="1287">IF(LEN(M$1),COUNTIF($G1270:$J1270,M$1),"")</f>
        <v>0</v>
      </c>
      <c r="N1270" s="7" t="str">
        <f t="shared" si="1287"/>
        <v/>
      </c>
      <c r="O1270" s="7" t="str">
        <f t="shared" si="1028"/>
        <v/>
      </c>
      <c r="P1270" s="7">
        <f t="shared" si="1231"/>
        <v>0</v>
      </c>
      <c r="Q1270" s="7" t="str">
        <f t="shared" si="7"/>
        <v/>
      </c>
      <c r="T1270" s="7"/>
    </row>
    <row r="1271" ht="12.75" customHeight="1">
      <c r="A1271" s="7">
        <v>1270.0</v>
      </c>
      <c r="B1271" s="7" t="s">
        <v>233</v>
      </c>
      <c r="C1271" s="7" t="s">
        <v>4758</v>
      </c>
      <c r="D1271" s="7"/>
      <c r="E1271" s="7"/>
      <c r="F1271" s="7" t="s">
        <v>4872</v>
      </c>
      <c r="G1271" s="7" t="s">
        <v>3295</v>
      </c>
      <c r="H1271" s="7" t="s">
        <v>3408</v>
      </c>
      <c r="I1271" s="7" t="s">
        <v>3417</v>
      </c>
      <c r="J1271" s="7" t="s">
        <v>3368</v>
      </c>
      <c r="K1271" s="7" t="str">
        <f t="shared" si="2"/>
        <v/>
      </c>
      <c r="L1271" s="7" t="str">
        <f t="shared" si="1026"/>
        <v/>
      </c>
      <c r="M1271" s="7">
        <f t="shared" ref="M1271:N1271" si="1288">IF(LEN(M$1),COUNTIF($G1271:$J1271,M$1),"")</f>
        <v>0</v>
      </c>
      <c r="N1271" s="7" t="str">
        <f t="shared" si="1288"/>
        <v/>
      </c>
      <c r="O1271" s="7" t="str">
        <f t="shared" si="1028"/>
        <v/>
      </c>
      <c r="P1271" s="7">
        <f t="shared" si="1231"/>
        <v>0</v>
      </c>
      <c r="Q1271" s="7" t="str">
        <f t="shared" si="7"/>
        <v/>
      </c>
      <c r="T1271" s="7"/>
    </row>
    <row r="1272" ht="12.75" customHeight="1">
      <c r="A1272" s="7">
        <v>1271.0</v>
      </c>
      <c r="B1272" s="7" t="s">
        <v>698</v>
      </c>
      <c r="C1272" s="7" t="s">
        <v>4758</v>
      </c>
      <c r="D1272" s="7"/>
      <c r="E1272" s="7"/>
      <c r="F1272" s="7" t="s">
        <v>4872</v>
      </c>
      <c r="G1272" s="7" t="s">
        <v>3276</v>
      </c>
      <c r="H1272" s="7" t="s">
        <v>3385</v>
      </c>
      <c r="I1272" s="7" t="s">
        <v>3305</v>
      </c>
      <c r="J1272" s="7" t="s">
        <v>3273</v>
      </c>
      <c r="K1272" s="7" t="str">
        <f t="shared" si="2"/>
        <v/>
      </c>
      <c r="L1272" s="7" t="str">
        <f t="shared" si="1026"/>
        <v/>
      </c>
      <c r="M1272" s="7">
        <f t="shared" ref="M1272:N1272" si="1289">IF(LEN(M$1),COUNTIF($G1272:$J1272,M$1),"")</f>
        <v>0</v>
      </c>
      <c r="N1272" s="7" t="str">
        <f t="shared" si="1289"/>
        <v/>
      </c>
      <c r="O1272" s="7" t="str">
        <f t="shared" si="1028"/>
        <v/>
      </c>
      <c r="P1272" s="7">
        <f t="shared" si="1231"/>
        <v>0</v>
      </c>
      <c r="Q1272" s="7" t="str">
        <f t="shared" si="7"/>
        <v/>
      </c>
      <c r="T1272" s="7"/>
    </row>
    <row r="1273" ht="12.75" customHeight="1">
      <c r="A1273" s="7">
        <v>1272.0</v>
      </c>
      <c r="B1273" s="7" t="s">
        <v>698</v>
      </c>
      <c r="C1273" s="7" t="s">
        <v>4758</v>
      </c>
      <c r="D1273" s="7"/>
      <c r="E1273" s="7"/>
      <c r="F1273" s="7" t="s">
        <v>4872</v>
      </c>
      <c r="G1273" s="7" t="s">
        <v>3396</v>
      </c>
      <c r="H1273" s="7" t="s">
        <v>3342</v>
      </c>
      <c r="I1273" s="7" t="s">
        <v>3373</v>
      </c>
      <c r="J1273" s="7" t="s">
        <v>3365</v>
      </c>
      <c r="K1273" s="7" t="str">
        <f t="shared" si="2"/>
        <v/>
      </c>
      <c r="L1273" s="7" t="str">
        <f t="shared" si="1026"/>
        <v/>
      </c>
      <c r="M1273" s="7">
        <f t="shared" ref="M1273:N1273" si="1290">IF(LEN(M$1),COUNTIF($G1273:$J1273,M$1),"")</f>
        <v>0</v>
      </c>
      <c r="N1273" s="7" t="str">
        <f t="shared" si="1290"/>
        <v/>
      </c>
      <c r="O1273" s="7" t="str">
        <f t="shared" si="1028"/>
        <v/>
      </c>
      <c r="P1273" s="7">
        <f t="shared" si="1231"/>
        <v>0</v>
      </c>
      <c r="Q1273" s="7" t="str">
        <f t="shared" si="7"/>
        <v/>
      </c>
      <c r="T1273" s="7"/>
    </row>
    <row r="1274" ht="12.75" customHeight="1">
      <c r="A1274" s="7">
        <v>1273.0</v>
      </c>
      <c r="B1274" s="7" t="s">
        <v>704</v>
      </c>
      <c r="C1274" s="7" t="s">
        <v>4815</v>
      </c>
      <c r="D1274" s="7"/>
      <c r="E1274" s="7"/>
      <c r="F1274" s="7" t="s">
        <v>4872</v>
      </c>
      <c r="G1274" s="7" t="s">
        <v>3301</v>
      </c>
      <c r="H1274" s="7" t="s">
        <v>3329</v>
      </c>
      <c r="I1274" s="7" t="s">
        <v>3292</v>
      </c>
      <c r="J1274" s="7" t="s">
        <v>3290</v>
      </c>
      <c r="K1274" s="7" t="str">
        <f t="shared" si="2"/>
        <v/>
      </c>
      <c r="L1274" s="7" t="str">
        <f t="shared" si="1026"/>
        <v/>
      </c>
      <c r="M1274" s="7">
        <f t="shared" ref="M1274:N1274" si="1291">IF(LEN(M$1),COUNTIF($G1274:$J1274,M$1),"")</f>
        <v>0</v>
      </c>
      <c r="N1274" s="7" t="str">
        <f t="shared" si="1291"/>
        <v/>
      </c>
      <c r="O1274" s="7" t="str">
        <f t="shared" si="1028"/>
        <v/>
      </c>
      <c r="P1274" s="7">
        <f t="shared" si="1231"/>
        <v>0</v>
      </c>
      <c r="Q1274" s="7" t="str">
        <f t="shared" si="7"/>
        <v/>
      </c>
      <c r="T1274" s="7"/>
    </row>
    <row r="1275" ht="12.75" customHeight="1">
      <c r="A1275" s="7">
        <v>1274.0</v>
      </c>
      <c r="B1275" s="7" t="s">
        <v>704</v>
      </c>
      <c r="C1275" s="7" t="s">
        <v>4815</v>
      </c>
      <c r="D1275" s="7"/>
      <c r="E1275" s="7"/>
      <c r="F1275" s="7" t="s">
        <v>4872</v>
      </c>
      <c r="G1275" s="7" t="s">
        <v>3333</v>
      </c>
      <c r="H1275" s="7" t="s">
        <v>3187</v>
      </c>
      <c r="I1275" s="7" t="s">
        <v>3297</v>
      </c>
      <c r="J1275" s="7" t="s">
        <v>3378</v>
      </c>
      <c r="K1275" s="7" t="str">
        <f t="shared" si="2"/>
        <v/>
      </c>
      <c r="L1275" s="7" t="str">
        <f t="shared" si="1026"/>
        <v/>
      </c>
      <c r="M1275" s="7">
        <f t="shared" ref="M1275:N1275" si="1292">IF(LEN(M$1),COUNTIF($G1275:$J1275,M$1),"")</f>
        <v>0</v>
      </c>
      <c r="N1275" s="7" t="str">
        <f t="shared" si="1292"/>
        <v/>
      </c>
      <c r="O1275" s="7" t="str">
        <f t="shared" si="1028"/>
        <v/>
      </c>
      <c r="P1275" s="7">
        <f t="shared" si="1231"/>
        <v>0</v>
      </c>
      <c r="Q1275" s="7" t="str">
        <f t="shared" si="7"/>
        <v/>
      </c>
      <c r="T1275" s="7"/>
    </row>
    <row r="1276" ht="12.75" customHeight="1">
      <c r="A1276" s="7">
        <v>1275.0</v>
      </c>
      <c r="B1276" s="7" t="s">
        <v>712</v>
      </c>
      <c r="C1276" s="7" t="s">
        <v>4815</v>
      </c>
      <c r="D1276" s="7"/>
      <c r="E1276" s="7"/>
      <c r="F1276" s="7" t="s">
        <v>4872</v>
      </c>
      <c r="G1276" s="7" t="s">
        <v>3315</v>
      </c>
      <c r="H1276" s="7" t="s">
        <v>3415</v>
      </c>
      <c r="I1276" s="7" t="s">
        <v>3420</v>
      </c>
      <c r="J1276" s="7" t="s">
        <v>3362</v>
      </c>
      <c r="K1276" s="7" t="str">
        <f t="shared" si="2"/>
        <v/>
      </c>
      <c r="L1276" s="7" t="str">
        <f t="shared" si="1026"/>
        <v/>
      </c>
      <c r="M1276" s="7">
        <f t="shared" ref="M1276:N1276" si="1293">IF(LEN(M$1),COUNTIF($G1276:$J1276,M$1),"")</f>
        <v>0</v>
      </c>
      <c r="N1276" s="7" t="str">
        <f t="shared" si="1293"/>
        <v/>
      </c>
      <c r="O1276" s="7" t="str">
        <f t="shared" si="1028"/>
        <v/>
      </c>
      <c r="P1276" s="7">
        <f t="shared" si="1231"/>
        <v>0</v>
      </c>
      <c r="Q1276" s="7" t="str">
        <f t="shared" si="7"/>
        <v/>
      </c>
      <c r="T1276" s="7"/>
    </row>
    <row r="1277" ht="12.75" customHeight="1">
      <c r="A1277" s="7">
        <v>1276.0</v>
      </c>
      <c r="B1277" s="7" t="s">
        <v>712</v>
      </c>
      <c r="C1277" s="7" t="s">
        <v>4815</v>
      </c>
      <c r="D1277" s="7"/>
      <c r="E1277" s="7"/>
      <c r="F1277" s="7" t="s">
        <v>4872</v>
      </c>
      <c r="G1277" s="7" t="s">
        <v>3339</v>
      </c>
      <c r="H1277" s="7" t="s">
        <v>3266</v>
      </c>
      <c r="I1277" s="7" t="s">
        <v>3355</v>
      </c>
      <c r="J1277" s="7" t="s">
        <v>3178</v>
      </c>
      <c r="K1277" s="7" t="str">
        <f t="shared" si="2"/>
        <v/>
      </c>
      <c r="L1277" s="7" t="str">
        <f t="shared" si="1026"/>
        <v/>
      </c>
      <c r="M1277" s="7">
        <f t="shared" ref="M1277:N1277" si="1294">IF(LEN(M$1),COUNTIF($G1277:$J1277,M$1),"")</f>
        <v>0</v>
      </c>
      <c r="N1277" s="7" t="str">
        <f t="shared" si="1294"/>
        <v/>
      </c>
      <c r="O1277" s="7" t="str">
        <f t="shared" si="1028"/>
        <v/>
      </c>
      <c r="P1277" s="7">
        <f t="shared" si="1231"/>
        <v>0</v>
      </c>
      <c r="Q1277" s="7" t="str">
        <f t="shared" si="7"/>
        <v/>
      </c>
      <c r="T1277" s="7"/>
    </row>
    <row r="1278" ht="12.75" customHeight="1">
      <c r="A1278" s="7">
        <v>1277.0</v>
      </c>
      <c r="B1278" s="7" t="s">
        <v>720</v>
      </c>
      <c r="C1278" s="7" t="s">
        <v>4818</v>
      </c>
      <c r="D1278" s="7"/>
      <c r="E1278" s="7"/>
      <c r="F1278" s="7" t="s">
        <v>4872</v>
      </c>
      <c r="G1278" s="7" t="s">
        <v>3342</v>
      </c>
      <c r="H1278" s="7" t="s">
        <v>3254</v>
      </c>
      <c r="I1278" s="7" t="s">
        <v>3292</v>
      </c>
      <c r="J1278" s="7" t="s">
        <v>3121</v>
      </c>
      <c r="K1278" s="7" t="str">
        <f t="shared" si="2"/>
        <v/>
      </c>
      <c r="L1278" s="7" t="str">
        <f t="shared" si="1026"/>
        <v/>
      </c>
      <c r="M1278" s="7">
        <f t="shared" ref="M1278:N1278" si="1295">IF(LEN(M$1),COUNTIF($G1278:$J1278,M$1),"")</f>
        <v>0</v>
      </c>
      <c r="N1278" s="7" t="str">
        <f t="shared" si="1295"/>
        <v/>
      </c>
      <c r="O1278" s="7" t="str">
        <f t="shared" si="1028"/>
        <v/>
      </c>
      <c r="P1278" s="7">
        <f t="shared" si="1231"/>
        <v>0</v>
      </c>
      <c r="Q1278" s="7" t="str">
        <f t="shared" si="7"/>
        <v/>
      </c>
      <c r="T1278" s="7"/>
    </row>
    <row r="1279" ht="12.75" customHeight="1">
      <c r="A1279" s="7">
        <v>1278.0</v>
      </c>
      <c r="B1279" s="7" t="s">
        <v>720</v>
      </c>
      <c r="C1279" s="7" t="s">
        <v>4818</v>
      </c>
      <c r="D1279" s="7"/>
      <c r="E1279" s="7"/>
      <c r="F1279" s="7" t="s">
        <v>4872</v>
      </c>
      <c r="G1279" s="7" t="s">
        <v>3305</v>
      </c>
      <c r="H1279" s="7" t="s">
        <v>3402</v>
      </c>
      <c r="I1279" s="7" t="s">
        <v>3396</v>
      </c>
      <c r="J1279" s="7" t="s">
        <v>3388</v>
      </c>
      <c r="K1279" s="7" t="str">
        <f t="shared" si="2"/>
        <v/>
      </c>
      <c r="L1279" s="7" t="str">
        <f t="shared" si="1026"/>
        <v/>
      </c>
      <c r="M1279" s="7">
        <f t="shared" ref="M1279:N1279" si="1296">IF(LEN(M$1),COUNTIF($G1279:$J1279,M$1),"")</f>
        <v>0</v>
      </c>
      <c r="N1279" s="7" t="str">
        <f t="shared" si="1296"/>
        <v/>
      </c>
      <c r="O1279" s="7" t="str">
        <f t="shared" si="1028"/>
        <v/>
      </c>
      <c r="P1279" s="7">
        <f t="shared" si="1231"/>
        <v>0</v>
      </c>
      <c r="Q1279" s="7" t="str">
        <f t="shared" si="7"/>
        <v/>
      </c>
      <c r="T1279" s="7"/>
    </row>
    <row r="1280" ht="12.75" customHeight="1">
      <c r="A1280" s="7">
        <v>1279.0</v>
      </c>
      <c r="B1280" s="7" t="s">
        <v>729</v>
      </c>
      <c r="C1280" s="7" t="s">
        <v>4818</v>
      </c>
      <c r="D1280" s="7"/>
      <c r="E1280" s="7"/>
      <c r="F1280" s="7" t="s">
        <v>4872</v>
      </c>
      <c r="G1280" s="7" t="s">
        <v>3290</v>
      </c>
      <c r="H1280" s="7" t="s">
        <v>3408</v>
      </c>
      <c r="I1280" s="7" t="s">
        <v>3329</v>
      </c>
      <c r="J1280" s="7" t="s">
        <v>3375</v>
      </c>
      <c r="K1280" s="7" t="str">
        <f t="shared" si="2"/>
        <v/>
      </c>
      <c r="L1280" s="7" t="str">
        <f t="shared" si="1026"/>
        <v/>
      </c>
      <c r="M1280" s="7">
        <f t="shared" ref="M1280:N1280" si="1297">IF(LEN(M$1),COUNTIF($G1280:$J1280,M$1),"")</f>
        <v>0</v>
      </c>
      <c r="N1280" s="7" t="str">
        <f t="shared" si="1297"/>
        <v/>
      </c>
      <c r="O1280" s="7" t="str">
        <f t="shared" si="1028"/>
        <v/>
      </c>
      <c r="P1280" s="7">
        <f t="shared" si="1231"/>
        <v>0</v>
      </c>
      <c r="Q1280" s="7" t="str">
        <f t="shared" si="7"/>
        <v/>
      </c>
      <c r="T1280" s="7"/>
    </row>
    <row r="1281" ht="12.75" customHeight="1">
      <c r="A1281" s="7">
        <v>1280.0</v>
      </c>
      <c r="B1281" s="7" t="s">
        <v>729</v>
      </c>
      <c r="C1281" s="7" t="s">
        <v>4818</v>
      </c>
      <c r="D1281" s="7"/>
      <c r="E1281" s="7"/>
      <c r="F1281" s="7" t="s">
        <v>4872</v>
      </c>
      <c r="G1281" s="7" t="s">
        <v>3237</v>
      </c>
      <c r="H1281" s="7" t="s">
        <v>3331</v>
      </c>
      <c r="I1281" s="7" t="s">
        <v>3307</v>
      </c>
      <c r="J1281" s="7" t="s">
        <v>3280</v>
      </c>
      <c r="K1281" s="7" t="str">
        <f t="shared" si="2"/>
        <v/>
      </c>
      <c r="L1281" s="7" t="str">
        <f t="shared" si="1026"/>
        <v/>
      </c>
      <c r="M1281" s="7">
        <f t="shared" ref="M1281:N1281" si="1298">IF(LEN(M$1),COUNTIF($G1281:$J1281,M$1),"")</f>
        <v>0</v>
      </c>
      <c r="N1281" s="7" t="str">
        <f t="shared" si="1298"/>
        <v/>
      </c>
      <c r="O1281" s="7" t="str">
        <f t="shared" si="1028"/>
        <v/>
      </c>
      <c r="P1281" s="7">
        <f t="shared" si="1231"/>
        <v>0</v>
      </c>
      <c r="Q1281" s="7" t="str">
        <f t="shared" si="7"/>
        <v/>
      </c>
      <c r="T1281" s="7"/>
    </row>
    <row r="1282" ht="12.75" customHeight="1">
      <c r="A1282" s="7">
        <v>1281.0</v>
      </c>
      <c r="B1282" s="7" t="s">
        <v>738</v>
      </c>
      <c r="C1282" s="7" t="s">
        <v>4819</v>
      </c>
      <c r="D1282" s="7"/>
      <c r="E1282" s="7"/>
      <c r="F1282" s="7" t="s">
        <v>4872</v>
      </c>
      <c r="G1282" s="7" t="s">
        <v>3307</v>
      </c>
      <c r="H1282" s="7" t="s">
        <v>3417</v>
      </c>
      <c r="I1282" s="7" t="s">
        <v>3331</v>
      </c>
      <c r="J1282" s="7" t="s">
        <v>3329</v>
      </c>
      <c r="K1282" s="7" t="str">
        <f t="shared" si="2"/>
        <v/>
      </c>
      <c r="L1282" s="7" t="str">
        <f t="shared" si="1026"/>
        <v/>
      </c>
      <c r="M1282" s="7">
        <f t="shared" ref="M1282:N1282" si="1299">IF(LEN(M$1),COUNTIF($G1282:$J1282,M$1),"")</f>
        <v>0</v>
      </c>
      <c r="N1282" s="7" t="str">
        <f t="shared" si="1299"/>
        <v/>
      </c>
      <c r="O1282" s="7" t="str">
        <f t="shared" si="1028"/>
        <v/>
      </c>
      <c r="P1282" s="7">
        <f t="shared" si="1231"/>
        <v>0</v>
      </c>
      <c r="Q1282" s="7" t="str">
        <f t="shared" si="7"/>
        <v/>
      </c>
      <c r="T1282" s="7"/>
    </row>
    <row r="1283" ht="12.75" customHeight="1">
      <c r="A1283" s="7">
        <v>1282.0</v>
      </c>
      <c r="B1283" s="7" t="s">
        <v>738</v>
      </c>
      <c r="C1283" s="7" t="s">
        <v>4819</v>
      </c>
      <c r="D1283" s="7"/>
      <c r="E1283" s="7"/>
      <c r="F1283" s="7" t="s">
        <v>4872</v>
      </c>
      <c r="G1283" s="7" t="s">
        <v>3373</v>
      </c>
      <c r="H1283" s="7" t="s">
        <v>3262</v>
      </c>
      <c r="I1283" s="7" t="s">
        <v>3383</v>
      </c>
      <c r="J1283" s="7" t="s">
        <v>3246</v>
      </c>
      <c r="K1283" s="7" t="str">
        <f t="shared" si="2"/>
        <v/>
      </c>
      <c r="L1283" s="7" t="str">
        <f t="shared" si="1026"/>
        <v/>
      </c>
      <c r="M1283" s="7">
        <f t="shared" ref="M1283:N1283" si="1300">IF(LEN(M$1),COUNTIF($G1283:$J1283,M$1),"")</f>
        <v>0</v>
      </c>
      <c r="N1283" s="7" t="str">
        <f t="shared" si="1300"/>
        <v/>
      </c>
      <c r="O1283" s="7" t="str">
        <f t="shared" si="1028"/>
        <v/>
      </c>
      <c r="P1283" s="7">
        <f t="shared" si="1231"/>
        <v>0</v>
      </c>
      <c r="Q1283" s="7" t="str">
        <f t="shared" si="7"/>
        <v/>
      </c>
      <c r="T1283" s="7"/>
    </row>
    <row r="1284" ht="12.75" customHeight="1">
      <c r="A1284" s="7">
        <v>1283.0</v>
      </c>
      <c r="B1284" s="7" t="s">
        <v>706</v>
      </c>
      <c r="C1284" s="7" t="s">
        <v>4819</v>
      </c>
      <c r="D1284" s="7"/>
      <c r="E1284" s="7"/>
      <c r="F1284" s="7" t="s">
        <v>4872</v>
      </c>
      <c r="G1284" s="7" t="s">
        <v>3368</v>
      </c>
      <c r="H1284" s="7" t="s">
        <v>3371</v>
      </c>
      <c r="I1284" s="7" t="s">
        <v>3339</v>
      </c>
      <c r="J1284" s="7" t="s">
        <v>3385</v>
      </c>
      <c r="K1284" s="7" t="str">
        <f t="shared" si="2"/>
        <v/>
      </c>
      <c r="L1284" s="7" t="str">
        <f t="shared" si="1026"/>
        <v/>
      </c>
      <c r="M1284" s="7">
        <f t="shared" ref="M1284:N1284" si="1301">IF(LEN(M$1),COUNTIF($G1284:$J1284,M$1),"")</f>
        <v>0</v>
      </c>
      <c r="N1284" s="7" t="str">
        <f t="shared" si="1301"/>
        <v/>
      </c>
      <c r="O1284" s="7" t="str">
        <f t="shared" si="1028"/>
        <v/>
      </c>
      <c r="P1284" s="7">
        <f t="shared" si="1231"/>
        <v>0</v>
      </c>
      <c r="Q1284" s="7" t="str">
        <f t="shared" si="7"/>
        <v/>
      </c>
      <c r="T1284" s="7"/>
    </row>
    <row r="1285" ht="12.75" customHeight="1">
      <c r="A1285" s="7">
        <v>1284.0</v>
      </c>
      <c r="B1285" s="7" t="s">
        <v>706</v>
      </c>
      <c r="C1285" s="7" t="s">
        <v>4819</v>
      </c>
      <c r="D1285" s="7"/>
      <c r="E1285" s="7"/>
      <c r="F1285" s="7" t="s">
        <v>4872</v>
      </c>
      <c r="G1285" s="7" t="s">
        <v>3321</v>
      </c>
      <c r="H1285" s="7" t="s">
        <v>3190</v>
      </c>
      <c r="I1285" s="7" t="s">
        <v>3303</v>
      </c>
      <c r="J1285" s="7" t="s">
        <v>3295</v>
      </c>
      <c r="K1285" s="7" t="str">
        <f t="shared" si="2"/>
        <v/>
      </c>
      <c r="L1285" s="7" t="str">
        <f t="shared" si="1026"/>
        <v/>
      </c>
      <c r="M1285" s="7">
        <f t="shared" ref="M1285:N1285" si="1302">IF(LEN(M$1),COUNTIF($G1285:$J1285,M$1),"")</f>
        <v>0</v>
      </c>
      <c r="N1285" s="7" t="str">
        <f t="shared" si="1302"/>
        <v/>
      </c>
      <c r="O1285" s="7" t="str">
        <f t="shared" si="1028"/>
        <v/>
      </c>
      <c r="P1285" s="7">
        <f t="shared" si="1231"/>
        <v>0</v>
      </c>
      <c r="Q1285" s="7" t="str">
        <f t="shared" si="7"/>
        <v/>
      </c>
      <c r="T1285" s="7"/>
    </row>
    <row r="1286" ht="12.75" customHeight="1">
      <c r="A1286" s="7">
        <v>1285.0</v>
      </c>
      <c r="B1286" s="7" t="s">
        <v>753</v>
      </c>
      <c r="C1286" s="7" t="s">
        <v>4819</v>
      </c>
      <c r="D1286" s="7"/>
      <c r="E1286" s="7"/>
      <c r="F1286" s="7" t="s">
        <v>4872</v>
      </c>
      <c r="G1286" s="7" t="s">
        <v>3325</v>
      </c>
      <c r="H1286" s="7" t="s">
        <v>3303</v>
      </c>
      <c r="I1286" s="7" t="s">
        <v>3295</v>
      </c>
      <c r="J1286" s="7" t="s">
        <v>3400</v>
      </c>
      <c r="K1286" s="7" t="str">
        <f t="shared" si="2"/>
        <v/>
      </c>
      <c r="L1286" s="7" t="str">
        <f t="shared" si="1026"/>
        <v/>
      </c>
      <c r="M1286" s="7">
        <f t="shared" ref="M1286:N1286" si="1303">IF(LEN(M$1),COUNTIF($G1286:$J1286,M$1),"")</f>
        <v>0</v>
      </c>
      <c r="N1286" s="7" t="str">
        <f t="shared" si="1303"/>
        <v/>
      </c>
      <c r="O1286" s="7" t="str">
        <f t="shared" si="1028"/>
        <v/>
      </c>
      <c r="P1286" s="7">
        <f t="shared" si="1231"/>
        <v>0</v>
      </c>
      <c r="Q1286" s="7" t="str">
        <f t="shared" si="7"/>
        <v/>
      </c>
      <c r="T1286" s="7"/>
    </row>
    <row r="1287" ht="12.75" customHeight="1">
      <c r="A1287" s="7">
        <v>1286.0</v>
      </c>
      <c r="B1287" s="7" t="s">
        <v>753</v>
      </c>
      <c r="C1287" s="7" t="s">
        <v>4819</v>
      </c>
      <c r="D1287" s="7"/>
      <c r="E1287" s="7"/>
      <c r="F1287" s="7" t="s">
        <v>4872</v>
      </c>
      <c r="G1287" s="7" t="s">
        <v>3393</v>
      </c>
      <c r="H1287" s="7" t="s">
        <v>3230</v>
      </c>
      <c r="I1287" s="7" t="s">
        <v>3309</v>
      </c>
      <c r="J1287" s="7" t="s">
        <v>3176</v>
      </c>
      <c r="K1287" s="7" t="str">
        <f t="shared" si="2"/>
        <v/>
      </c>
      <c r="L1287" s="7" t="str">
        <f t="shared" si="1026"/>
        <v/>
      </c>
      <c r="M1287" s="7">
        <f t="shared" ref="M1287:N1287" si="1304">IF(LEN(M$1),COUNTIF($G1287:$J1287,M$1),"")</f>
        <v>0</v>
      </c>
      <c r="N1287" s="7" t="str">
        <f t="shared" si="1304"/>
        <v/>
      </c>
      <c r="O1287" s="7" t="str">
        <f t="shared" si="1028"/>
        <v/>
      </c>
      <c r="P1287" s="7">
        <f t="shared" si="1231"/>
        <v>0</v>
      </c>
      <c r="Q1287" s="7" t="str">
        <f t="shared" si="7"/>
        <v/>
      </c>
      <c r="T1287" s="7"/>
    </row>
    <row r="1288" ht="12.75" customHeight="1">
      <c r="A1288" s="7">
        <v>1287.0</v>
      </c>
      <c r="B1288" s="7" t="s">
        <v>761</v>
      </c>
      <c r="C1288" s="7" t="s">
        <v>4820</v>
      </c>
      <c r="D1288" s="7"/>
      <c r="E1288" s="7"/>
      <c r="F1288" s="7" t="s">
        <v>4872</v>
      </c>
      <c r="G1288" s="7" t="s">
        <v>3410</v>
      </c>
      <c r="H1288" s="7" t="s">
        <v>3415</v>
      </c>
      <c r="I1288" s="7" t="s">
        <v>3321</v>
      </c>
      <c r="J1288" s="7" t="s">
        <v>3400</v>
      </c>
      <c r="K1288" s="7" t="str">
        <f t="shared" si="2"/>
        <v/>
      </c>
      <c r="L1288" s="7" t="str">
        <f t="shared" si="1026"/>
        <v/>
      </c>
      <c r="M1288" s="7">
        <f t="shared" ref="M1288:N1288" si="1305">IF(LEN(M$1),COUNTIF($G1288:$J1288,M$1),"")</f>
        <v>0</v>
      </c>
      <c r="N1288" s="7" t="str">
        <f t="shared" si="1305"/>
        <v/>
      </c>
      <c r="O1288" s="7" t="str">
        <f t="shared" si="1028"/>
        <v/>
      </c>
      <c r="P1288" s="7">
        <f t="shared" si="1231"/>
        <v>0</v>
      </c>
      <c r="Q1288" s="7" t="str">
        <f t="shared" si="7"/>
        <v/>
      </c>
      <c r="T1288" s="7"/>
    </row>
    <row r="1289" ht="12.75" customHeight="1">
      <c r="A1289" s="7">
        <v>1288.0</v>
      </c>
      <c r="B1289" s="7" t="s">
        <v>761</v>
      </c>
      <c r="C1289" s="7" t="s">
        <v>4820</v>
      </c>
      <c r="D1289" s="7"/>
      <c r="E1289" s="7"/>
      <c r="F1289" s="7" t="s">
        <v>4872</v>
      </c>
      <c r="G1289" s="7" t="s">
        <v>3309</v>
      </c>
      <c r="H1289" s="7" t="s">
        <v>3305</v>
      </c>
      <c r="I1289" s="7" t="s">
        <v>3381</v>
      </c>
      <c r="J1289" s="7" t="s">
        <v>3321</v>
      </c>
      <c r="K1289" s="7" t="str">
        <f t="shared" si="2"/>
        <v/>
      </c>
      <c r="L1289" s="7" t="str">
        <f t="shared" si="1026"/>
        <v/>
      </c>
      <c r="M1289" s="7">
        <f t="shared" ref="M1289:N1289" si="1306">IF(LEN(M$1),COUNTIF($G1289:$J1289,M$1),"")</f>
        <v>0</v>
      </c>
      <c r="N1289" s="7" t="str">
        <f t="shared" si="1306"/>
        <v/>
      </c>
      <c r="O1289" s="7" t="str">
        <f t="shared" si="1028"/>
        <v/>
      </c>
      <c r="P1289" s="7">
        <f t="shared" si="1231"/>
        <v>0</v>
      </c>
      <c r="Q1289" s="7" t="str">
        <f t="shared" si="7"/>
        <v/>
      </c>
      <c r="T1289" s="7"/>
    </row>
    <row r="1290" ht="12.75" customHeight="1">
      <c r="A1290" s="7">
        <v>1289.0</v>
      </c>
      <c r="B1290" s="7" t="s">
        <v>769</v>
      </c>
      <c r="C1290" s="7" t="s">
        <v>4820</v>
      </c>
      <c r="D1290" s="7"/>
      <c r="E1290" s="7"/>
      <c r="F1290" s="7" t="s">
        <v>4872</v>
      </c>
      <c r="G1290" s="7" t="s">
        <v>3299</v>
      </c>
      <c r="H1290" s="7" t="s">
        <v>3155</v>
      </c>
      <c r="I1290" s="7" t="s">
        <v>3297</v>
      </c>
      <c r="J1290" s="7" t="s">
        <v>3163</v>
      </c>
      <c r="K1290" s="7" t="str">
        <f t="shared" si="2"/>
        <v/>
      </c>
      <c r="L1290" s="7" t="str">
        <f t="shared" si="1026"/>
        <v/>
      </c>
      <c r="M1290" s="7">
        <f t="shared" ref="M1290:N1290" si="1307">IF(LEN(M$1),COUNTIF($G1290:$J1290,M$1),"")</f>
        <v>0</v>
      </c>
      <c r="N1290" s="7" t="str">
        <f t="shared" si="1307"/>
        <v/>
      </c>
      <c r="O1290" s="7" t="str">
        <f t="shared" si="1028"/>
        <v/>
      </c>
      <c r="P1290" s="7">
        <f t="shared" si="1231"/>
        <v>0</v>
      </c>
      <c r="Q1290" s="7" t="str">
        <f t="shared" si="7"/>
        <v/>
      </c>
      <c r="T1290" s="7"/>
    </row>
    <row r="1291" ht="12.75" customHeight="1">
      <c r="A1291" s="7">
        <v>1290.0</v>
      </c>
      <c r="B1291" s="7" t="s">
        <v>769</v>
      </c>
      <c r="C1291" s="7" t="s">
        <v>4820</v>
      </c>
      <c r="D1291" s="7"/>
      <c r="E1291" s="7"/>
      <c r="F1291" s="7" t="s">
        <v>4872</v>
      </c>
      <c r="G1291" s="7" t="s">
        <v>3127</v>
      </c>
      <c r="H1291" s="7" t="s">
        <v>3301</v>
      </c>
      <c r="I1291" s="7" t="s">
        <v>3422</v>
      </c>
      <c r="J1291" s="7" t="s">
        <v>3254</v>
      </c>
      <c r="K1291" s="7" t="str">
        <f t="shared" si="2"/>
        <v/>
      </c>
      <c r="L1291" s="7" t="str">
        <f t="shared" si="1026"/>
        <v/>
      </c>
      <c r="M1291" s="7">
        <f t="shared" ref="M1291:N1291" si="1308">IF(LEN(M$1),COUNTIF($G1291:$J1291,M$1),"")</f>
        <v>0</v>
      </c>
      <c r="N1291" s="7" t="str">
        <f t="shared" si="1308"/>
        <v/>
      </c>
      <c r="O1291" s="7" t="str">
        <f t="shared" si="1028"/>
        <v/>
      </c>
      <c r="P1291" s="7">
        <f t="shared" si="1231"/>
        <v>0</v>
      </c>
      <c r="Q1291" s="7" t="str">
        <f t="shared" si="7"/>
        <v/>
      </c>
      <c r="T1291" s="7"/>
    </row>
    <row r="1292" ht="12.75" customHeight="1">
      <c r="A1292" s="7">
        <v>1291.0</v>
      </c>
      <c r="B1292" s="7" t="s">
        <v>777</v>
      </c>
      <c r="C1292" s="7" t="s">
        <v>4820</v>
      </c>
      <c r="D1292" s="7"/>
      <c r="E1292" s="7"/>
      <c r="F1292" s="7" t="s">
        <v>4872</v>
      </c>
      <c r="G1292" s="7" t="s">
        <v>3385</v>
      </c>
      <c r="H1292" s="7" t="s">
        <v>3204</v>
      </c>
      <c r="I1292" s="7" t="s">
        <v>3329</v>
      </c>
      <c r="J1292" s="7" t="s">
        <v>3339</v>
      </c>
      <c r="K1292" s="7" t="str">
        <f t="shared" si="2"/>
        <v/>
      </c>
      <c r="L1292" s="7" t="str">
        <f t="shared" si="1026"/>
        <v/>
      </c>
      <c r="M1292" s="7">
        <f t="shared" ref="M1292:N1292" si="1309">IF(LEN(M$1),COUNTIF($G1292:$J1292,M$1),"")</f>
        <v>0</v>
      </c>
      <c r="N1292" s="7" t="str">
        <f t="shared" si="1309"/>
        <v/>
      </c>
      <c r="O1292" s="7" t="str">
        <f t="shared" si="1028"/>
        <v/>
      </c>
      <c r="P1292" s="7">
        <f t="shared" si="1231"/>
        <v>0</v>
      </c>
      <c r="Q1292" s="7" t="str">
        <f t="shared" si="7"/>
        <v/>
      </c>
      <c r="T1292" s="7"/>
    </row>
    <row r="1293" ht="12.75" customHeight="1">
      <c r="A1293" s="7">
        <v>1292.0</v>
      </c>
      <c r="B1293" s="7" t="s">
        <v>777</v>
      </c>
      <c r="C1293" s="7" t="s">
        <v>4820</v>
      </c>
      <c r="D1293" s="7"/>
      <c r="E1293" s="7"/>
      <c r="F1293" s="7" t="s">
        <v>4872</v>
      </c>
      <c r="G1293" s="7" t="s">
        <v>3402</v>
      </c>
      <c r="H1293" s="7" t="s">
        <v>3290</v>
      </c>
      <c r="I1293" s="7" t="s">
        <v>3371</v>
      </c>
      <c r="J1293" s="7" t="s">
        <v>3336</v>
      </c>
      <c r="K1293" s="7" t="str">
        <f t="shared" si="2"/>
        <v/>
      </c>
      <c r="L1293" s="7" t="str">
        <f t="shared" si="1026"/>
        <v/>
      </c>
      <c r="M1293" s="7">
        <f t="shared" ref="M1293:N1293" si="1310">IF(LEN(M$1),COUNTIF($G1293:$J1293,M$1),"")</f>
        <v>0</v>
      </c>
      <c r="N1293" s="7" t="str">
        <f t="shared" si="1310"/>
        <v/>
      </c>
      <c r="O1293" s="7" t="str">
        <f t="shared" si="1028"/>
        <v/>
      </c>
      <c r="P1293" s="7">
        <f t="shared" si="1231"/>
        <v>0</v>
      </c>
      <c r="Q1293" s="7" t="str">
        <f t="shared" si="7"/>
        <v/>
      </c>
      <c r="T1293" s="7"/>
    </row>
    <row r="1294" ht="12.75" customHeight="1">
      <c r="A1294" s="7">
        <v>1293.0</v>
      </c>
      <c r="B1294" s="7" t="s">
        <v>786</v>
      </c>
      <c r="C1294" s="7" t="s">
        <v>4822</v>
      </c>
      <c r="D1294" s="7"/>
      <c r="E1294" s="7"/>
      <c r="F1294" s="7" t="s">
        <v>4872</v>
      </c>
      <c r="G1294" s="7" t="s">
        <v>3408</v>
      </c>
      <c r="H1294" s="7" t="s">
        <v>3420</v>
      </c>
      <c r="I1294" s="7" t="s">
        <v>3355</v>
      </c>
      <c r="J1294" s="7" t="s">
        <v>3307</v>
      </c>
      <c r="K1294" s="7" t="str">
        <f t="shared" si="2"/>
        <v/>
      </c>
      <c r="L1294" s="7" t="str">
        <f t="shared" si="1026"/>
        <v/>
      </c>
      <c r="M1294" s="7">
        <f t="shared" ref="M1294:N1294" si="1311">IF(LEN(M$1),COUNTIF($G1294:$J1294,M$1),"")</f>
        <v>0</v>
      </c>
      <c r="N1294" s="7" t="str">
        <f t="shared" si="1311"/>
        <v/>
      </c>
      <c r="O1294" s="7" t="str">
        <f t="shared" si="1028"/>
        <v/>
      </c>
      <c r="P1294" s="7">
        <f t="shared" si="1231"/>
        <v>0</v>
      </c>
      <c r="Q1294" s="7" t="str">
        <f t="shared" si="7"/>
        <v/>
      </c>
      <c r="T1294" s="7"/>
    </row>
    <row r="1295" ht="12.75" customHeight="1">
      <c r="A1295" s="7">
        <v>1294.0</v>
      </c>
      <c r="B1295" s="7" t="s">
        <v>795</v>
      </c>
      <c r="C1295" s="7" t="s">
        <v>4822</v>
      </c>
      <c r="D1295" s="7"/>
      <c r="E1295" s="7"/>
      <c r="F1295" s="7" t="s">
        <v>4872</v>
      </c>
      <c r="G1295" s="7" t="s">
        <v>3262</v>
      </c>
      <c r="H1295" s="7" t="s">
        <v>3339</v>
      </c>
      <c r="I1295" s="7" t="s">
        <v>3290</v>
      </c>
      <c r="J1295" s="7" t="s">
        <v>3121</v>
      </c>
      <c r="K1295" s="7" t="str">
        <f t="shared" si="2"/>
        <v/>
      </c>
      <c r="L1295" s="7" t="str">
        <f t="shared" si="1026"/>
        <v/>
      </c>
      <c r="M1295" s="7">
        <f t="shared" ref="M1295:N1295" si="1312">IF(LEN(M$1),COUNTIF($G1295:$J1295,M$1),"")</f>
        <v>0</v>
      </c>
      <c r="N1295" s="7" t="str">
        <f t="shared" si="1312"/>
        <v/>
      </c>
      <c r="O1295" s="7" t="str">
        <f t="shared" si="1028"/>
        <v/>
      </c>
      <c r="P1295" s="7">
        <f t="shared" si="1231"/>
        <v>0</v>
      </c>
      <c r="Q1295" s="7" t="str">
        <f t="shared" si="7"/>
        <v/>
      </c>
      <c r="T1295" s="7"/>
    </row>
    <row r="1296" ht="12.75" customHeight="1">
      <c r="A1296" s="7">
        <v>1295.0</v>
      </c>
      <c r="B1296" s="7" t="s">
        <v>795</v>
      </c>
      <c r="C1296" s="7" t="s">
        <v>4822</v>
      </c>
      <c r="D1296" s="7"/>
      <c r="E1296" s="7"/>
      <c r="F1296" s="7" t="s">
        <v>4872</v>
      </c>
      <c r="G1296" s="7" t="s">
        <v>3317</v>
      </c>
      <c r="H1296" s="7" t="s">
        <v>3212</v>
      </c>
      <c r="I1296" s="7" t="s">
        <v>3378</v>
      </c>
      <c r="J1296" s="7" t="s">
        <v>3241</v>
      </c>
      <c r="K1296" s="7" t="str">
        <f t="shared" si="2"/>
        <v/>
      </c>
      <c r="L1296" s="7" t="str">
        <f t="shared" si="1026"/>
        <v/>
      </c>
      <c r="M1296" s="7">
        <f t="shared" ref="M1296:N1296" si="1313">IF(LEN(M$1),COUNTIF($G1296:$J1296,M$1),"")</f>
        <v>0</v>
      </c>
      <c r="N1296" s="7" t="str">
        <f t="shared" si="1313"/>
        <v/>
      </c>
      <c r="O1296" s="7" t="str">
        <f t="shared" si="1028"/>
        <v/>
      </c>
      <c r="P1296" s="7">
        <f t="shared" si="1231"/>
        <v>0</v>
      </c>
      <c r="Q1296" s="7" t="str">
        <f t="shared" si="7"/>
        <v/>
      </c>
      <c r="T1296" s="7"/>
    </row>
    <row r="1297" ht="12.75" customHeight="1">
      <c r="A1297" s="7">
        <v>1296.0</v>
      </c>
      <c r="B1297" s="7" t="s">
        <v>804</v>
      </c>
      <c r="C1297" s="7" t="s">
        <v>4822</v>
      </c>
      <c r="D1297" s="7"/>
      <c r="E1297" s="7"/>
      <c r="F1297" s="7" t="s">
        <v>4872</v>
      </c>
      <c r="G1297" s="7" t="s">
        <v>3215</v>
      </c>
      <c r="H1297" s="7" t="s">
        <v>3378</v>
      </c>
      <c r="I1297" s="7" t="s">
        <v>3388</v>
      </c>
      <c r="J1297" s="7" t="s">
        <v>3204</v>
      </c>
      <c r="K1297" s="7" t="str">
        <f t="shared" si="2"/>
        <v/>
      </c>
      <c r="L1297" s="7" t="str">
        <f t="shared" si="1026"/>
        <v/>
      </c>
      <c r="M1297" s="7">
        <f t="shared" ref="M1297:N1297" si="1314">IF(LEN(M$1),COUNTIF($G1297:$J1297,M$1),"")</f>
        <v>0</v>
      </c>
      <c r="N1297" s="7" t="str">
        <f t="shared" si="1314"/>
        <v/>
      </c>
      <c r="O1297" s="7" t="str">
        <f t="shared" si="1028"/>
        <v/>
      </c>
      <c r="P1297" s="7">
        <f t="shared" si="1231"/>
        <v>0</v>
      </c>
      <c r="Q1297" s="7" t="str">
        <f t="shared" si="7"/>
        <v/>
      </c>
      <c r="T1297" s="7"/>
    </row>
    <row r="1298" ht="12.75" customHeight="1">
      <c r="A1298" s="7">
        <v>1297.0</v>
      </c>
      <c r="B1298" s="7" t="s">
        <v>804</v>
      </c>
      <c r="C1298" s="7" t="s">
        <v>4822</v>
      </c>
      <c r="D1298" s="7"/>
      <c r="E1298" s="7"/>
      <c r="F1298" s="7" t="s">
        <v>4872</v>
      </c>
      <c r="G1298" s="7" t="s">
        <v>3323</v>
      </c>
      <c r="H1298" s="7" t="s">
        <v>3163</v>
      </c>
      <c r="I1298" s="7" t="s">
        <v>3400</v>
      </c>
      <c r="J1298" s="7" t="s">
        <v>3215</v>
      </c>
      <c r="K1298" s="7" t="str">
        <f t="shared" si="2"/>
        <v/>
      </c>
      <c r="L1298" s="7" t="str">
        <f t="shared" si="1026"/>
        <v/>
      </c>
      <c r="M1298" s="7">
        <f t="shared" ref="M1298:N1298" si="1315">IF(LEN(M$1),COUNTIF($G1298:$J1298,M$1),"")</f>
        <v>0</v>
      </c>
      <c r="N1298" s="7" t="str">
        <f t="shared" si="1315"/>
        <v/>
      </c>
      <c r="O1298" s="7" t="str">
        <f t="shared" si="1028"/>
        <v/>
      </c>
      <c r="P1298" s="7">
        <f t="shared" si="1231"/>
        <v>0</v>
      </c>
      <c r="Q1298" s="7" t="str">
        <f t="shared" si="7"/>
        <v/>
      </c>
      <c r="T1298" s="7"/>
    </row>
    <row r="1299" ht="12.75" customHeight="1">
      <c r="A1299" s="7">
        <v>1298.0</v>
      </c>
      <c r="B1299" s="7" t="s">
        <v>812</v>
      </c>
      <c r="C1299" s="7" t="s">
        <v>4823</v>
      </c>
      <c r="D1299" s="7"/>
      <c r="E1299" s="7"/>
      <c r="F1299" s="7" t="s">
        <v>4872</v>
      </c>
      <c r="G1299" s="7" t="s">
        <v>3368</v>
      </c>
      <c r="H1299" s="7" t="s">
        <v>3375</v>
      </c>
      <c r="I1299" s="7" t="s">
        <v>3408</v>
      </c>
      <c r="J1299" s="7" t="s">
        <v>3333</v>
      </c>
      <c r="K1299" s="7" t="str">
        <f t="shared" si="2"/>
        <v/>
      </c>
      <c r="L1299" s="7" t="str">
        <f t="shared" si="1026"/>
        <v/>
      </c>
      <c r="M1299" s="7">
        <f t="shared" ref="M1299:N1299" si="1316">IF(LEN(M$1),COUNTIF($G1299:$J1299,M$1),"")</f>
        <v>0</v>
      </c>
      <c r="N1299" s="7" t="str">
        <f t="shared" si="1316"/>
        <v/>
      </c>
      <c r="O1299" s="7" t="str">
        <f t="shared" si="1028"/>
        <v/>
      </c>
      <c r="P1299" s="7">
        <f t="shared" si="1231"/>
        <v>0</v>
      </c>
      <c r="Q1299" s="7" t="str">
        <f t="shared" si="7"/>
        <v/>
      </c>
      <c r="T1299" s="7"/>
    </row>
    <row r="1300" ht="12.75" customHeight="1">
      <c r="A1300" s="7">
        <v>1299.0</v>
      </c>
      <c r="B1300" s="7" t="s">
        <v>812</v>
      </c>
      <c r="C1300" s="7" t="s">
        <v>4823</v>
      </c>
      <c r="D1300" s="7"/>
      <c r="E1300" s="7"/>
      <c r="F1300" s="7" t="s">
        <v>4872</v>
      </c>
      <c r="G1300" s="7" t="s">
        <v>3336</v>
      </c>
      <c r="H1300" s="7" t="s">
        <v>3223</v>
      </c>
      <c r="I1300" s="7" t="s">
        <v>3345</v>
      </c>
      <c r="J1300" s="7" t="s">
        <v>3270</v>
      </c>
      <c r="K1300" s="7" t="str">
        <f t="shared" si="2"/>
        <v/>
      </c>
      <c r="L1300" s="7" t="str">
        <f t="shared" si="1026"/>
        <v/>
      </c>
      <c r="M1300" s="7">
        <f t="shared" ref="M1300:N1300" si="1317">IF(LEN(M$1),COUNTIF($G1300:$J1300,M$1),"")</f>
        <v>0</v>
      </c>
      <c r="N1300" s="7" t="str">
        <f t="shared" si="1317"/>
        <v/>
      </c>
      <c r="O1300" s="7" t="str">
        <f t="shared" si="1028"/>
        <v/>
      </c>
      <c r="P1300" s="7">
        <f t="shared" si="1231"/>
        <v>0</v>
      </c>
      <c r="Q1300" s="7" t="str">
        <f t="shared" si="7"/>
        <v/>
      </c>
      <c r="T1300" s="7"/>
    </row>
    <row r="1301" ht="12.75" customHeight="1">
      <c r="A1301" s="7">
        <v>1300.0</v>
      </c>
      <c r="B1301" s="7" t="s">
        <v>819</v>
      </c>
      <c r="C1301" s="7" t="s">
        <v>4823</v>
      </c>
      <c r="D1301" s="7"/>
      <c r="E1301" s="7"/>
      <c r="F1301" s="7" t="s">
        <v>4872</v>
      </c>
      <c r="G1301" s="7" t="s">
        <v>3371</v>
      </c>
      <c r="H1301" s="7" t="s">
        <v>3124</v>
      </c>
      <c r="I1301" s="7" t="s">
        <v>3393</v>
      </c>
      <c r="J1301" s="7" t="s">
        <v>3339</v>
      </c>
      <c r="K1301" s="7" t="str">
        <f t="shared" si="2"/>
        <v/>
      </c>
      <c r="L1301" s="7" t="str">
        <f t="shared" si="1026"/>
        <v/>
      </c>
      <c r="M1301" s="7">
        <f t="shared" ref="M1301:N1301" si="1318">IF(LEN(M$1),COUNTIF($G1301:$J1301,M$1),"")</f>
        <v>0</v>
      </c>
      <c r="N1301" s="7" t="str">
        <f t="shared" si="1318"/>
        <v/>
      </c>
      <c r="O1301" s="7" t="str">
        <f t="shared" si="1028"/>
        <v/>
      </c>
      <c r="P1301" s="7">
        <f t="shared" si="1231"/>
        <v>0</v>
      </c>
      <c r="Q1301" s="7" t="str">
        <f t="shared" si="7"/>
        <v/>
      </c>
      <c r="T1301" s="7"/>
    </row>
    <row r="1302" ht="12.75" customHeight="1">
      <c r="A1302" s="7">
        <v>1301.0</v>
      </c>
      <c r="B1302" s="7" t="s">
        <v>826</v>
      </c>
      <c r="C1302" s="7" t="s">
        <v>4823</v>
      </c>
      <c r="D1302" s="7"/>
      <c r="E1302" s="7"/>
      <c r="F1302" s="7" t="s">
        <v>4872</v>
      </c>
      <c r="G1302" s="7" t="s">
        <v>3315</v>
      </c>
      <c r="H1302" s="7" t="s">
        <v>3342</v>
      </c>
      <c r="I1302" s="7" t="s">
        <v>3410</v>
      </c>
      <c r="J1302" s="7" t="s">
        <v>3368</v>
      </c>
      <c r="K1302" s="7" t="str">
        <f t="shared" si="2"/>
        <v/>
      </c>
      <c r="L1302" s="7" t="str">
        <f t="shared" si="1026"/>
        <v/>
      </c>
      <c r="M1302" s="7">
        <f t="shared" ref="M1302:N1302" si="1319">IF(LEN(M$1),COUNTIF($G1302:$J1302,M$1),"")</f>
        <v>0</v>
      </c>
      <c r="N1302" s="7" t="str">
        <f t="shared" si="1319"/>
        <v/>
      </c>
      <c r="O1302" s="7" t="str">
        <f t="shared" si="1028"/>
        <v/>
      </c>
      <c r="P1302" s="7">
        <f t="shared" si="1231"/>
        <v>0</v>
      </c>
      <c r="Q1302" s="7" t="str">
        <f t="shared" si="7"/>
        <v/>
      </c>
      <c r="T1302" s="7"/>
    </row>
    <row r="1303" ht="12.75" customHeight="1">
      <c r="A1303" s="7">
        <v>1302.0</v>
      </c>
      <c r="B1303" s="7" t="s">
        <v>826</v>
      </c>
      <c r="C1303" s="7" t="s">
        <v>4823</v>
      </c>
      <c r="D1303" s="7"/>
      <c r="E1303" s="7"/>
      <c r="F1303" s="7" t="s">
        <v>4872</v>
      </c>
      <c r="G1303" s="7" t="s">
        <v>3323</v>
      </c>
      <c r="H1303" s="7" t="s">
        <v>3339</v>
      </c>
      <c r="I1303" s="7" t="s">
        <v>3415</v>
      </c>
      <c r="J1303" s="7" t="s">
        <v>3388</v>
      </c>
      <c r="K1303" s="7" t="str">
        <f t="shared" si="2"/>
        <v/>
      </c>
      <c r="L1303" s="7" t="str">
        <f t="shared" si="1026"/>
        <v/>
      </c>
      <c r="M1303" s="7">
        <f t="shared" ref="M1303:N1303" si="1320">IF(LEN(M$1),COUNTIF($G1303:$J1303,M$1),"")</f>
        <v>0</v>
      </c>
      <c r="N1303" s="7" t="str">
        <f t="shared" si="1320"/>
        <v/>
      </c>
      <c r="O1303" s="7" t="str">
        <f t="shared" si="1028"/>
        <v/>
      </c>
      <c r="P1303" s="7">
        <f t="shared" si="1231"/>
        <v>0</v>
      </c>
      <c r="Q1303" s="7" t="str">
        <f t="shared" si="7"/>
        <v/>
      </c>
      <c r="T1303" s="7"/>
    </row>
    <row r="1304" ht="12.75" customHeight="1">
      <c r="A1304" s="7">
        <v>1303.0</v>
      </c>
      <c r="B1304" s="7" t="s">
        <v>834</v>
      </c>
      <c r="C1304" s="7" t="s">
        <v>4825</v>
      </c>
      <c r="D1304" s="7"/>
      <c r="E1304" s="7"/>
      <c r="F1304" s="7" t="s">
        <v>4872</v>
      </c>
      <c r="G1304" s="7" t="s">
        <v>3381</v>
      </c>
      <c r="H1304" s="7" t="s">
        <v>3163</v>
      </c>
      <c r="I1304" s="7" t="s">
        <v>3396</v>
      </c>
      <c r="J1304" s="7" t="s">
        <v>3299</v>
      </c>
      <c r="K1304" s="7" t="str">
        <f t="shared" si="2"/>
        <v/>
      </c>
      <c r="L1304" s="7" t="str">
        <f t="shared" si="1026"/>
        <v/>
      </c>
      <c r="M1304" s="7">
        <f t="shared" ref="M1304:N1304" si="1321">IF(LEN(M$1),COUNTIF($G1304:$J1304,M$1),"")</f>
        <v>0</v>
      </c>
      <c r="N1304" s="7" t="str">
        <f t="shared" si="1321"/>
        <v/>
      </c>
      <c r="O1304" s="7" t="str">
        <f t="shared" si="1028"/>
        <v/>
      </c>
      <c r="P1304" s="7">
        <f t="shared" si="1231"/>
        <v>0</v>
      </c>
      <c r="Q1304" s="7" t="str">
        <f t="shared" si="7"/>
        <v/>
      </c>
      <c r="T1304" s="7"/>
    </row>
    <row r="1305" ht="12.75" customHeight="1">
      <c r="A1305" s="7">
        <v>1304.0</v>
      </c>
      <c r="B1305" s="7" t="s">
        <v>834</v>
      </c>
      <c r="C1305" s="7" t="s">
        <v>4825</v>
      </c>
      <c r="D1305" s="7"/>
      <c r="E1305" s="7"/>
      <c r="F1305" s="7" t="s">
        <v>4872</v>
      </c>
      <c r="G1305" s="7" t="s">
        <v>3280</v>
      </c>
      <c r="H1305" s="7" t="s">
        <v>3358</v>
      </c>
      <c r="I1305" s="7" t="s">
        <v>3305</v>
      </c>
      <c r="J1305" s="7" t="s">
        <v>3127</v>
      </c>
      <c r="K1305" s="7" t="str">
        <f t="shared" si="2"/>
        <v/>
      </c>
      <c r="L1305" s="7" t="str">
        <f t="shared" si="1026"/>
        <v/>
      </c>
      <c r="M1305" s="7">
        <f t="shared" ref="M1305:N1305" si="1322">IF(LEN(M$1),COUNTIF($G1305:$J1305,M$1),"")</f>
        <v>0</v>
      </c>
      <c r="N1305" s="7" t="str">
        <f t="shared" si="1322"/>
        <v/>
      </c>
      <c r="O1305" s="7" t="str">
        <f t="shared" si="1028"/>
        <v/>
      </c>
      <c r="P1305" s="7">
        <f t="shared" si="1231"/>
        <v>0</v>
      </c>
      <c r="Q1305" s="7" t="str">
        <f t="shared" si="7"/>
        <v/>
      </c>
      <c r="T1305" s="7"/>
    </row>
    <row r="1306" ht="12.75" customHeight="1">
      <c r="A1306" s="7">
        <v>1305.0</v>
      </c>
      <c r="B1306" s="7" t="s">
        <v>842</v>
      </c>
      <c r="C1306" s="7" t="s">
        <v>4826</v>
      </c>
      <c r="D1306" s="7"/>
      <c r="E1306" s="7"/>
      <c r="F1306" s="7" t="s">
        <v>4872</v>
      </c>
      <c r="G1306" s="7" t="s">
        <v>3410</v>
      </c>
      <c r="H1306" s="7" t="s">
        <v>3215</v>
      </c>
      <c r="I1306" s="7" t="s">
        <v>3400</v>
      </c>
      <c r="J1306" s="7" t="s">
        <v>3383</v>
      </c>
      <c r="K1306" s="7" t="str">
        <f t="shared" si="2"/>
        <v/>
      </c>
      <c r="L1306" s="7" t="str">
        <f t="shared" si="1026"/>
        <v/>
      </c>
      <c r="M1306" s="7">
        <f t="shared" ref="M1306:N1306" si="1323">IF(LEN(M$1),COUNTIF($G1306:$J1306,M$1),"")</f>
        <v>0</v>
      </c>
      <c r="N1306" s="7" t="str">
        <f t="shared" si="1323"/>
        <v/>
      </c>
      <c r="O1306" s="7" t="str">
        <f t="shared" si="1028"/>
        <v/>
      </c>
      <c r="P1306" s="7">
        <f t="shared" si="1231"/>
        <v>0</v>
      </c>
      <c r="Q1306" s="7" t="str">
        <f t="shared" si="7"/>
        <v/>
      </c>
      <c r="T1306" s="7"/>
    </row>
    <row r="1307" ht="12.75" customHeight="1">
      <c r="A1307" s="7">
        <v>1306.0</v>
      </c>
      <c r="B1307" s="7" t="s">
        <v>851</v>
      </c>
      <c r="C1307" s="7" t="s">
        <v>4825</v>
      </c>
      <c r="D1307" s="7"/>
      <c r="E1307" s="7"/>
      <c r="F1307" s="7" t="s">
        <v>4872</v>
      </c>
      <c r="G1307" s="7" t="s">
        <v>3307</v>
      </c>
      <c r="H1307" s="7" t="s">
        <v>3176</v>
      </c>
      <c r="I1307" s="7" t="s">
        <v>3405</v>
      </c>
      <c r="J1307" s="7" t="s">
        <v>3190</v>
      </c>
      <c r="K1307" s="7" t="str">
        <f t="shared" si="2"/>
        <v/>
      </c>
      <c r="L1307" s="7" t="str">
        <f t="shared" si="1026"/>
        <v/>
      </c>
      <c r="M1307" s="7">
        <f t="shared" ref="M1307:N1307" si="1324">IF(LEN(M$1),COUNTIF($G1307:$J1307,M$1),"")</f>
        <v>0</v>
      </c>
      <c r="N1307" s="7" t="str">
        <f t="shared" si="1324"/>
        <v/>
      </c>
      <c r="O1307" s="7" t="str">
        <f t="shared" si="1028"/>
        <v/>
      </c>
      <c r="P1307" s="7">
        <f t="shared" si="1231"/>
        <v>0</v>
      </c>
      <c r="Q1307" s="7" t="str">
        <f t="shared" si="7"/>
        <v/>
      </c>
      <c r="T1307" s="7"/>
    </row>
    <row r="1308" ht="12.75" customHeight="1">
      <c r="A1308" s="7">
        <v>1307.0</v>
      </c>
      <c r="B1308" s="7" t="s">
        <v>851</v>
      </c>
      <c r="C1308" s="7" t="s">
        <v>4825</v>
      </c>
      <c r="D1308" s="7"/>
      <c r="E1308" s="7"/>
      <c r="F1308" s="7" t="s">
        <v>4872</v>
      </c>
      <c r="G1308" s="7" t="s">
        <v>3290</v>
      </c>
      <c r="H1308" s="7" t="s">
        <v>3358</v>
      </c>
      <c r="I1308" s="7" t="s">
        <v>3422</v>
      </c>
      <c r="J1308" s="7" t="s">
        <v>3287</v>
      </c>
      <c r="K1308" s="7" t="str">
        <f t="shared" si="2"/>
        <v/>
      </c>
      <c r="L1308" s="7" t="str">
        <f t="shared" si="1026"/>
        <v/>
      </c>
      <c r="M1308" s="7">
        <f t="shared" ref="M1308:N1308" si="1325">IF(LEN(M$1),COUNTIF($G1308:$J1308,M$1),"")</f>
        <v>0</v>
      </c>
      <c r="N1308" s="7" t="str">
        <f t="shared" si="1325"/>
        <v/>
      </c>
      <c r="O1308" s="7" t="str">
        <f t="shared" si="1028"/>
        <v/>
      </c>
      <c r="P1308" s="7">
        <f t="shared" si="1231"/>
        <v>0</v>
      </c>
      <c r="Q1308" s="7" t="str">
        <f t="shared" si="7"/>
        <v/>
      </c>
      <c r="T1308" s="7"/>
    </row>
    <row r="1309" ht="12.75" customHeight="1">
      <c r="A1309" s="7">
        <v>1308.0</v>
      </c>
      <c r="B1309" s="7" t="s">
        <v>857</v>
      </c>
      <c r="C1309" s="7" t="s">
        <v>4826</v>
      </c>
      <c r="D1309" s="7"/>
      <c r="E1309" s="7"/>
      <c r="F1309" s="7" t="s">
        <v>4872</v>
      </c>
      <c r="G1309" s="7" t="s">
        <v>3415</v>
      </c>
      <c r="H1309" s="7" t="s">
        <v>3200</v>
      </c>
      <c r="I1309" s="7" t="s">
        <v>3295</v>
      </c>
      <c r="J1309" s="7" t="s">
        <v>3345</v>
      </c>
      <c r="K1309" s="7" t="str">
        <f t="shared" si="2"/>
        <v/>
      </c>
      <c r="L1309" s="7" t="str">
        <f t="shared" si="1026"/>
        <v/>
      </c>
      <c r="M1309" s="7">
        <f t="shared" ref="M1309:N1309" si="1326">IF(LEN(M$1),COUNTIF($G1309:$J1309,M$1),"")</f>
        <v>0</v>
      </c>
      <c r="N1309" s="7" t="str">
        <f t="shared" si="1326"/>
        <v/>
      </c>
      <c r="O1309" s="7" t="str">
        <f t="shared" si="1028"/>
        <v/>
      </c>
      <c r="P1309" s="7">
        <f t="shared" si="1231"/>
        <v>0</v>
      </c>
      <c r="Q1309" s="7" t="str">
        <f t="shared" si="7"/>
        <v/>
      </c>
      <c r="T1309" s="7"/>
    </row>
    <row r="1310" ht="12.75" customHeight="1">
      <c r="A1310" s="7">
        <v>1309.0</v>
      </c>
      <c r="B1310" s="7" t="s">
        <v>865</v>
      </c>
      <c r="C1310" s="7" t="s">
        <v>3108</v>
      </c>
      <c r="D1310" s="7"/>
      <c r="E1310" s="7"/>
      <c r="F1310" s="7" t="s">
        <v>4872</v>
      </c>
      <c r="G1310" s="7" t="s">
        <v>3218</v>
      </c>
      <c r="H1310" s="7" t="s">
        <v>3375</v>
      </c>
      <c r="I1310" s="7" t="s">
        <v>3321</v>
      </c>
      <c r="J1310" s="7" t="s">
        <v>3149</v>
      </c>
      <c r="K1310" s="7" t="str">
        <f t="shared" si="2"/>
        <v/>
      </c>
      <c r="L1310" s="7" t="str">
        <f t="shared" si="1026"/>
        <v/>
      </c>
      <c r="M1310" s="7">
        <f t="shared" ref="M1310:N1310" si="1327">IF(LEN(M$1),COUNTIF($G1310:$J1310,M$1),"")</f>
        <v>0</v>
      </c>
      <c r="N1310" s="7" t="str">
        <f t="shared" si="1327"/>
        <v/>
      </c>
      <c r="O1310" s="7" t="str">
        <f t="shared" si="1028"/>
        <v/>
      </c>
      <c r="P1310" s="7">
        <f t="shared" si="1231"/>
        <v>0</v>
      </c>
      <c r="Q1310" s="7" t="str">
        <f t="shared" si="7"/>
        <v/>
      </c>
      <c r="T1310" s="7"/>
    </row>
    <row r="1311" ht="12.75" customHeight="1">
      <c r="A1311" s="7">
        <v>1310.0</v>
      </c>
      <c r="B1311" s="7" t="s">
        <v>873</v>
      </c>
      <c r="C1311" s="7" t="s">
        <v>3108</v>
      </c>
      <c r="D1311" s="7"/>
      <c r="E1311" s="7"/>
      <c r="F1311" s="7" t="s">
        <v>4872</v>
      </c>
      <c r="G1311" s="7" t="s">
        <v>3375</v>
      </c>
      <c r="H1311" s="7" t="s">
        <v>3295</v>
      </c>
      <c r="I1311" s="7" t="s">
        <v>3305</v>
      </c>
      <c r="J1311" s="7" t="s">
        <v>3417</v>
      </c>
      <c r="K1311" s="7" t="str">
        <f t="shared" si="2"/>
        <v/>
      </c>
      <c r="L1311" s="7" t="str">
        <f t="shared" si="1026"/>
        <v/>
      </c>
      <c r="M1311" s="7">
        <f t="shared" ref="M1311:N1311" si="1328">IF(LEN(M$1),COUNTIF($G1311:$J1311,M$1),"")</f>
        <v>0</v>
      </c>
      <c r="N1311" s="7" t="str">
        <f t="shared" si="1328"/>
        <v/>
      </c>
      <c r="O1311" s="7" t="str">
        <f t="shared" si="1028"/>
        <v/>
      </c>
      <c r="P1311" s="7">
        <f t="shared" si="1231"/>
        <v>0</v>
      </c>
      <c r="Q1311" s="7" t="str">
        <f t="shared" si="7"/>
        <v/>
      </c>
      <c r="T1311" s="7"/>
    </row>
    <row r="1312" ht="12.75" customHeight="1">
      <c r="A1312" s="7">
        <v>1311.0</v>
      </c>
      <c r="B1312" s="7" t="s">
        <v>873</v>
      </c>
      <c r="C1312" s="7" t="s">
        <v>3108</v>
      </c>
      <c r="D1312" s="7"/>
      <c r="E1312" s="7"/>
      <c r="F1312" s="7" t="s">
        <v>4872</v>
      </c>
      <c r="G1312" s="7" t="s">
        <v>3299</v>
      </c>
      <c r="H1312" s="7" t="s">
        <v>3362</v>
      </c>
      <c r="I1312" s="7" t="s">
        <v>3396</v>
      </c>
      <c r="J1312" s="7" t="s">
        <v>3292</v>
      </c>
      <c r="K1312" s="7" t="str">
        <f t="shared" si="2"/>
        <v/>
      </c>
      <c r="L1312" s="7" t="str">
        <f t="shared" si="1026"/>
        <v/>
      </c>
      <c r="M1312" s="7">
        <f t="shared" ref="M1312:N1312" si="1329">IF(LEN(M$1),COUNTIF($G1312:$J1312,M$1),"")</f>
        <v>0</v>
      </c>
      <c r="N1312" s="7" t="str">
        <f t="shared" si="1329"/>
        <v/>
      </c>
      <c r="O1312" s="7" t="str">
        <f t="shared" si="1028"/>
        <v/>
      </c>
      <c r="P1312" s="7">
        <f t="shared" si="1231"/>
        <v>0</v>
      </c>
      <c r="Q1312" s="7" t="str">
        <f t="shared" si="7"/>
        <v/>
      </c>
      <c r="T1312" s="7"/>
    </row>
    <row r="1313" ht="12.75" customHeight="1">
      <c r="A1313" s="7">
        <v>1312.0</v>
      </c>
      <c r="B1313" s="7" t="s">
        <v>606</v>
      </c>
      <c r="C1313" s="7" t="s">
        <v>4801</v>
      </c>
      <c r="D1313" s="7"/>
      <c r="E1313" s="7"/>
      <c r="F1313" s="7" t="s">
        <v>4873</v>
      </c>
      <c r="G1313" s="7" t="s">
        <v>3457</v>
      </c>
      <c r="H1313" s="7" t="s">
        <v>3323</v>
      </c>
      <c r="I1313" s="7" t="s">
        <v>3572</v>
      </c>
      <c r="J1313" s="7" t="s">
        <v>3530</v>
      </c>
      <c r="K1313" s="7" t="str">
        <f t="shared" si="2"/>
        <v/>
      </c>
      <c r="L1313" s="7" t="str">
        <f t="shared" si="1026"/>
        <v/>
      </c>
      <c r="M1313" s="7">
        <f t="shared" ref="M1313:N1313" si="1330">IF(LEN(M$1),COUNTIF($G1313:$J1313,M$1),"")</f>
        <v>0</v>
      </c>
      <c r="N1313" s="7" t="str">
        <f t="shared" si="1330"/>
        <v/>
      </c>
      <c r="O1313" s="7" t="str">
        <f t="shared" si="1028"/>
        <v/>
      </c>
      <c r="P1313" s="7">
        <f t="shared" ref="P1313:P1412" si="1332">IF(LEN(P$1),IF(P$1=4,1,0),"")</f>
        <v>0</v>
      </c>
      <c r="Q1313" s="7" t="str">
        <f t="shared" si="7"/>
        <v/>
      </c>
      <c r="T1313" s="7"/>
    </row>
    <row r="1314" ht="12.75" customHeight="1">
      <c r="A1314" s="7">
        <v>1313.0</v>
      </c>
      <c r="B1314" s="7" t="s">
        <v>615</v>
      </c>
      <c r="C1314" s="7" t="s">
        <v>4756</v>
      </c>
      <c r="D1314" s="7"/>
      <c r="E1314" s="7"/>
      <c r="F1314" s="7" t="s">
        <v>4873</v>
      </c>
      <c r="G1314" s="7" t="s">
        <v>3451</v>
      </c>
      <c r="H1314" s="7" t="s">
        <v>3408</v>
      </c>
      <c r="I1314" s="7" t="s">
        <v>3505</v>
      </c>
      <c r="J1314" s="7" t="s">
        <v>3445</v>
      </c>
      <c r="K1314" s="7" t="str">
        <f t="shared" si="2"/>
        <v/>
      </c>
      <c r="L1314" s="7" t="str">
        <f t="shared" si="1026"/>
        <v/>
      </c>
      <c r="M1314" s="7">
        <f t="shared" ref="M1314:N1314" si="1331">IF(LEN(M$1),COUNTIF($G1314:$J1314,M$1),"")</f>
        <v>0</v>
      </c>
      <c r="N1314" s="7" t="str">
        <f t="shared" si="1331"/>
        <v/>
      </c>
      <c r="O1314" s="7" t="str">
        <f t="shared" si="1028"/>
        <v/>
      </c>
      <c r="P1314" s="7">
        <f t="shared" si="1332"/>
        <v>0</v>
      </c>
      <c r="Q1314" s="7" t="str">
        <f t="shared" si="7"/>
        <v/>
      </c>
      <c r="T1314" s="7"/>
    </row>
    <row r="1315" ht="12.75" customHeight="1">
      <c r="A1315" s="7">
        <v>1314.0</v>
      </c>
      <c r="B1315" s="7" t="s">
        <v>622</v>
      </c>
      <c r="C1315" s="7" t="s">
        <v>4756</v>
      </c>
      <c r="D1315" s="7"/>
      <c r="E1315" s="7"/>
      <c r="F1315" s="7" t="s">
        <v>4873</v>
      </c>
      <c r="G1315" s="7" t="s">
        <v>3549</v>
      </c>
      <c r="H1315" s="7" t="s">
        <v>3339</v>
      </c>
      <c r="I1315" s="7" t="s">
        <v>3544</v>
      </c>
      <c r="J1315" s="7" t="s">
        <v>3508</v>
      </c>
      <c r="K1315" s="7" t="str">
        <f t="shared" si="2"/>
        <v/>
      </c>
      <c r="L1315" s="7" t="str">
        <f t="shared" si="1026"/>
        <v/>
      </c>
      <c r="M1315" s="7">
        <f t="shared" ref="M1315:N1315" si="1333">IF(LEN(M$1),COUNTIF($G1315:$J1315,M$1),"")</f>
        <v>0</v>
      </c>
      <c r="N1315" s="7" t="str">
        <f t="shared" si="1333"/>
        <v/>
      </c>
      <c r="O1315" s="7" t="str">
        <f t="shared" si="1028"/>
        <v/>
      </c>
      <c r="P1315" s="7">
        <f t="shared" si="1332"/>
        <v>0</v>
      </c>
      <c r="Q1315" s="7" t="str">
        <f t="shared" si="7"/>
        <v/>
      </c>
      <c r="T1315" s="7"/>
    </row>
    <row r="1316" ht="12.75" customHeight="1">
      <c r="A1316" s="7">
        <v>1315.0</v>
      </c>
      <c r="B1316" s="7" t="s">
        <v>630</v>
      </c>
      <c r="C1316" s="7" t="s">
        <v>4809</v>
      </c>
      <c r="D1316" s="7"/>
      <c r="E1316" s="7"/>
      <c r="F1316" s="7" t="s">
        <v>4873</v>
      </c>
      <c r="G1316" s="7" t="s">
        <v>3502</v>
      </c>
      <c r="H1316" s="7" t="s">
        <v>3567</v>
      </c>
      <c r="I1316" s="7" t="s">
        <v>3497</v>
      </c>
      <c r="J1316" s="7" t="s">
        <v>3469</v>
      </c>
      <c r="K1316" s="7" t="str">
        <f t="shared" si="2"/>
        <v/>
      </c>
      <c r="L1316" s="7" t="str">
        <f t="shared" si="1026"/>
        <v/>
      </c>
      <c r="M1316" s="7">
        <f t="shared" ref="M1316:N1316" si="1334">IF(LEN(M$1),COUNTIF($G1316:$J1316,M$1),"")</f>
        <v>0</v>
      </c>
      <c r="N1316" s="7" t="str">
        <f t="shared" si="1334"/>
        <v/>
      </c>
      <c r="O1316" s="7" t="str">
        <f t="shared" si="1028"/>
        <v/>
      </c>
      <c r="P1316" s="7">
        <f t="shared" si="1332"/>
        <v>0</v>
      </c>
      <c r="Q1316" s="7" t="str">
        <f t="shared" si="7"/>
        <v/>
      </c>
      <c r="T1316" s="7"/>
    </row>
    <row r="1317" ht="12.75" customHeight="1">
      <c r="A1317" s="7">
        <v>1316.0</v>
      </c>
      <c r="B1317" s="7" t="s">
        <v>638</v>
      </c>
      <c r="C1317" s="7" t="s">
        <v>4809</v>
      </c>
      <c r="D1317" s="7"/>
      <c r="E1317" s="7"/>
      <c r="F1317" s="7" t="s">
        <v>4873</v>
      </c>
      <c r="G1317" s="7" t="s">
        <v>3539</v>
      </c>
      <c r="H1317" s="7" t="s">
        <v>3513</v>
      </c>
      <c r="I1317" s="7" t="s">
        <v>3562</v>
      </c>
      <c r="J1317" s="7" t="s">
        <v>3465</v>
      </c>
      <c r="K1317" s="7" t="str">
        <f t="shared" si="2"/>
        <v/>
      </c>
      <c r="L1317" s="7" t="str">
        <f t="shared" si="1026"/>
        <v/>
      </c>
      <c r="M1317" s="7">
        <f t="shared" ref="M1317:N1317" si="1335">IF(LEN(M$1),COUNTIF($G1317:$J1317,M$1),"")</f>
        <v>0</v>
      </c>
      <c r="N1317" s="7" t="str">
        <f t="shared" si="1335"/>
        <v/>
      </c>
      <c r="O1317" s="7" t="str">
        <f t="shared" si="1028"/>
        <v/>
      </c>
      <c r="P1317" s="7">
        <f t="shared" si="1332"/>
        <v>0</v>
      </c>
      <c r="Q1317" s="7" t="str">
        <f t="shared" si="7"/>
        <v/>
      </c>
      <c r="T1317" s="7"/>
    </row>
    <row r="1318" ht="12.75" customHeight="1">
      <c r="A1318" s="7">
        <v>1317.0</v>
      </c>
      <c r="B1318" s="7" t="s">
        <v>645</v>
      </c>
      <c r="C1318" s="7" t="s">
        <v>4809</v>
      </c>
      <c r="D1318" s="7"/>
      <c r="E1318" s="7"/>
      <c r="F1318" s="7" t="s">
        <v>4873</v>
      </c>
      <c r="G1318" s="7" t="s">
        <v>3546</v>
      </c>
      <c r="H1318" s="7" t="s">
        <v>3567</v>
      </c>
      <c r="I1318" s="7" t="s">
        <v>3564</v>
      </c>
      <c r="J1318" s="7" t="s">
        <v>3505</v>
      </c>
      <c r="K1318" s="7" t="str">
        <f t="shared" si="2"/>
        <v/>
      </c>
      <c r="L1318" s="7" t="str">
        <f t="shared" si="1026"/>
        <v/>
      </c>
      <c r="M1318" s="7">
        <f t="shared" ref="M1318:N1318" si="1336">IF(LEN(M$1),COUNTIF($G1318:$J1318,M$1),"")</f>
        <v>0</v>
      </c>
      <c r="N1318" s="7" t="str">
        <f t="shared" si="1336"/>
        <v/>
      </c>
      <c r="O1318" s="7" t="str">
        <f t="shared" si="1028"/>
        <v/>
      </c>
      <c r="P1318" s="7">
        <f t="shared" si="1332"/>
        <v>0</v>
      </c>
      <c r="Q1318" s="7" t="str">
        <f t="shared" si="7"/>
        <v/>
      </c>
      <c r="T1318" s="7"/>
    </row>
    <row r="1319" ht="12.75" customHeight="1">
      <c r="A1319" s="7">
        <v>1318.0</v>
      </c>
      <c r="B1319" s="7" t="s">
        <v>652</v>
      </c>
      <c r="C1319" s="7" t="s">
        <v>4812</v>
      </c>
      <c r="D1319" s="7"/>
      <c r="E1319" s="7"/>
      <c r="F1319" s="7" t="s">
        <v>4873</v>
      </c>
      <c r="G1319" s="7" t="s">
        <v>3567</v>
      </c>
      <c r="H1319" s="7" t="s">
        <v>3559</v>
      </c>
      <c r="I1319" s="7" t="s">
        <v>3544</v>
      </c>
      <c r="J1319" s="7" t="s">
        <v>3511</v>
      </c>
      <c r="K1319" s="7" t="str">
        <f t="shared" si="2"/>
        <v/>
      </c>
      <c r="L1319" s="7" t="str">
        <f t="shared" si="1026"/>
        <v/>
      </c>
      <c r="M1319" s="7">
        <f t="shared" ref="M1319:N1319" si="1337">IF(LEN(M$1),COUNTIF($G1319:$J1319,M$1),"")</f>
        <v>0</v>
      </c>
      <c r="N1319" s="7" t="str">
        <f t="shared" si="1337"/>
        <v/>
      </c>
      <c r="O1319" s="7" t="str">
        <f t="shared" si="1028"/>
        <v/>
      </c>
      <c r="P1319" s="7">
        <f t="shared" si="1332"/>
        <v>0</v>
      </c>
      <c r="Q1319" s="7" t="str">
        <f t="shared" si="7"/>
        <v/>
      </c>
      <c r="T1319" s="7"/>
    </row>
    <row r="1320" ht="12.75" customHeight="1">
      <c r="A1320" s="7">
        <v>1319.0</v>
      </c>
      <c r="B1320" s="7" t="s">
        <v>659</v>
      </c>
      <c r="C1320" s="7" t="s">
        <v>4812</v>
      </c>
      <c r="D1320" s="7"/>
      <c r="E1320" s="7"/>
      <c r="F1320" s="7" t="s">
        <v>4873</v>
      </c>
      <c r="G1320" s="7" t="s">
        <v>3527</v>
      </c>
      <c r="H1320" s="7" t="s">
        <v>3410</v>
      </c>
      <c r="I1320" s="7" t="s">
        <v>3465</v>
      </c>
      <c r="J1320" s="7" t="s">
        <v>3572</v>
      </c>
      <c r="K1320" s="7" t="str">
        <f t="shared" si="2"/>
        <v/>
      </c>
      <c r="L1320" s="7" t="str">
        <f t="shared" si="1026"/>
        <v/>
      </c>
      <c r="M1320" s="7">
        <f t="shared" ref="M1320:N1320" si="1338">IF(LEN(M$1),COUNTIF($G1320:$J1320,M$1),"")</f>
        <v>0</v>
      </c>
      <c r="N1320" s="7" t="str">
        <f t="shared" si="1338"/>
        <v/>
      </c>
      <c r="O1320" s="7" t="str">
        <f t="shared" si="1028"/>
        <v/>
      </c>
      <c r="P1320" s="7">
        <f t="shared" si="1332"/>
        <v>0</v>
      </c>
      <c r="Q1320" s="7" t="str">
        <f t="shared" si="7"/>
        <v/>
      </c>
      <c r="T1320" s="7"/>
    </row>
    <row r="1321" ht="12.75" customHeight="1">
      <c r="A1321" s="7">
        <v>1320.0</v>
      </c>
      <c r="B1321" s="7" t="s">
        <v>667</v>
      </c>
      <c r="C1321" s="7" t="s">
        <v>4814</v>
      </c>
      <c r="D1321" s="7"/>
      <c r="E1321" s="7"/>
      <c r="F1321" s="7" t="s">
        <v>4873</v>
      </c>
      <c r="G1321" s="7" t="s">
        <v>3516</v>
      </c>
      <c r="H1321" s="7" t="s">
        <v>3579</v>
      </c>
      <c r="I1321" s="7" t="s">
        <v>3445</v>
      </c>
      <c r="J1321" s="7" t="s">
        <v>3462</v>
      </c>
      <c r="K1321" s="7" t="str">
        <f t="shared" si="2"/>
        <v/>
      </c>
      <c r="L1321" s="7" t="str">
        <f t="shared" si="1026"/>
        <v/>
      </c>
      <c r="M1321" s="7">
        <f t="shared" ref="M1321:N1321" si="1339">IF(LEN(M$1),COUNTIF($G1321:$J1321,M$1),"")</f>
        <v>0</v>
      </c>
      <c r="N1321" s="7" t="str">
        <f t="shared" si="1339"/>
        <v/>
      </c>
      <c r="O1321" s="7" t="str">
        <f t="shared" si="1028"/>
        <v/>
      </c>
      <c r="P1321" s="7">
        <f t="shared" si="1332"/>
        <v>0</v>
      </c>
      <c r="Q1321" s="7" t="str">
        <f t="shared" si="7"/>
        <v/>
      </c>
      <c r="T1321" s="7"/>
    </row>
    <row r="1322" ht="12.75" customHeight="1">
      <c r="A1322" s="7">
        <v>1321.0</v>
      </c>
      <c r="B1322" s="7" t="s">
        <v>676</v>
      </c>
      <c r="C1322" s="7" t="s">
        <v>4814</v>
      </c>
      <c r="D1322" s="7"/>
      <c r="E1322" s="7"/>
      <c r="F1322" s="7" t="s">
        <v>4873</v>
      </c>
      <c r="G1322" s="7" t="s">
        <v>3579</v>
      </c>
      <c r="H1322" s="7" t="s">
        <v>3371</v>
      </c>
      <c r="I1322" s="7" t="s">
        <v>3469</v>
      </c>
      <c r="J1322" s="7" t="s">
        <v>3559</v>
      </c>
      <c r="K1322" s="7" t="str">
        <f t="shared" si="2"/>
        <v/>
      </c>
      <c r="L1322" s="7" t="str">
        <f t="shared" si="1026"/>
        <v/>
      </c>
      <c r="M1322" s="7">
        <f t="shared" ref="M1322:N1322" si="1340">IF(LEN(M$1),COUNTIF($G1322:$J1322,M$1),"")</f>
        <v>0</v>
      </c>
      <c r="N1322" s="7" t="str">
        <f t="shared" si="1340"/>
        <v/>
      </c>
      <c r="O1322" s="7" t="str">
        <f t="shared" si="1028"/>
        <v/>
      </c>
      <c r="P1322" s="7">
        <f t="shared" si="1332"/>
        <v>0</v>
      </c>
      <c r="Q1322" s="7" t="str">
        <f t="shared" si="7"/>
        <v/>
      </c>
      <c r="T1322" s="7"/>
    </row>
    <row r="1323" ht="12.75" customHeight="1">
      <c r="A1323" s="7">
        <v>1322.0</v>
      </c>
      <c r="B1323" s="7" t="s">
        <v>427</v>
      </c>
      <c r="C1323" s="7" t="s">
        <v>4758</v>
      </c>
      <c r="D1323" s="7"/>
      <c r="E1323" s="7"/>
      <c r="F1323" s="7" t="s">
        <v>4873</v>
      </c>
      <c r="G1323" s="7" t="s">
        <v>3408</v>
      </c>
      <c r="H1323" s="7" t="s">
        <v>3574</v>
      </c>
      <c r="I1323" s="7" t="s">
        <v>3443</v>
      </c>
      <c r="J1323" s="7" t="s">
        <v>3410</v>
      </c>
      <c r="K1323" s="7" t="str">
        <f t="shared" si="2"/>
        <v/>
      </c>
      <c r="L1323" s="7" t="str">
        <f t="shared" si="1026"/>
        <v/>
      </c>
      <c r="M1323" s="7">
        <f t="shared" ref="M1323:N1323" si="1341">IF(LEN(M$1),COUNTIF($G1323:$J1323,M$1),"")</f>
        <v>0</v>
      </c>
      <c r="N1323" s="7" t="str">
        <f t="shared" si="1341"/>
        <v/>
      </c>
      <c r="O1323" s="7" t="str">
        <f t="shared" si="1028"/>
        <v/>
      </c>
      <c r="P1323" s="7">
        <f t="shared" si="1332"/>
        <v>0</v>
      </c>
      <c r="Q1323" s="7" t="str">
        <f t="shared" si="7"/>
        <v/>
      </c>
      <c r="T1323" s="7"/>
    </row>
    <row r="1324" ht="12.75" customHeight="1">
      <c r="A1324" s="7">
        <v>1323.0</v>
      </c>
      <c r="B1324" s="7" t="s">
        <v>233</v>
      </c>
      <c r="C1324" s="7" t="s">
        <v>4758</v>
      </c>
      <c r="D1324" s="7"/>
      <c r="E1324" s="7"/>
      <c r="F1324" s="7" t="s">
        <v>4873</v>
      </c>
      <c r="G1324" s="7" t="s">
        <v>3572</v>
      </c>
      <c r="H1324" s="7" t="s">
        <v>3518</v>
      </c>
      <c r="I1324" s="7" t="s">
        <v>3520</v>
      </c>
      <c r="J1324" s="7" t="s">
        <v>3579</v>
      </c>
      <c r="K1324" s="7" t="str">
        <f t="shared" si="2"/>
        <v/>
      </c>
      <c r="L1324" s="7" t="str">
        <f t="shared" si="1026"/>
        <v/>
      </c>
      <c r="M1324" s="7">
        <f t="shared" ref="M1324:N1324" si="1342">IF(LEN(M$1),COUNTIF($G1324:$J1324,M$1),"")</f>
        <v>0</v>
      </c>
      <c r="N1324" s="7" t="str">
        <f t="shared" si="1342"/>
        <v/>
      </c>
      <c r="O1324" s="7" t="str">
        <f t="shared" si="1028"/>
        <v/>
      </c>
      <c r="P1324" s="7">
        <f t="shared" si="1332"/>
        <v>0</v>
      </c>
      <c r="Q1324" s="7" t="str">
        <f t="shared" si="7"/>
        <v/>
      </c>
      <c r="T1324" s="7"/>
    </row>
    <row r="1325" ht="12.75" customHeight="1">
      <c r="A1325" s="7">
        <v>1324.0</v>
      </c>
      <c r="B1325" s="7" t="s">
        <v>698</v>
      </c>
      <c r="C1325" s="7" t="s">
        <v>4758</v>
      </c>
      <c r="D1325" s="7"/>
      <c r="E1325" s="7"/>
      <c r="F1325" s="7" t="s">
        <v>4873</v>
      </c>
      <c r="G1325" s="7" t="s">
        <v>3513</v>
      </c>
      <c r="H1325" s="7" t="s">
        <v>3393</v>
      </c>
      <c r="I1325" s="7" t="s">
        <v>3449</v>
      </c>
      <c r="J1325" s="7" t="s">
        <v>3309</v>
      </c>
      <c r="K1325" s="7" t="str">
        <f t="shared" si="2"/>
        <v/>
      </c>
      <c r="L1325" s="7" t="str">
        <f t="shared" si="1026"/>
        <v/>
      </c>
      <c r="M1325" s="7">
        <f t="shared" ref="M1325:N1325" si="1343">IF(LEN(M$1),COUNTIF($G1325:$J1325,M$1),"")</f>
        <v>0</v>
      </c>
      <c r="N1325" s="7" t="str">
        <f t="shared" si="1343"/>
        <v/>
      </c>
      <c r="O1325" s="7" t="str">
        <f t="shared" si="1028"/>
        <v/>
      </c>
      <c r="P1325" s="7">
        <f t="shared" si="1332"/>
        <v>0</v>
      </c>
      <c r="Q1325" s="7" t="str">
        <f t="shared" si="7"/>
        <v/>
      </c>
      <c r="T1325" s="7"/>
    </row>
    <row r="1326" ht="12.75" customHeight="1">
      <c r="A1326" s="7">
        <v>1325.0</v>
      </c>
      <c r="B1326" s="7" t="s">
        <v>704</v>
      </c>
      <c r="C1326" s="7" t="s">
        <v>4815</v>
      </c>
      <c r="D1326" s="7"/>
      <c r="E1326" s="7"/>
      <c r="F1326" s="7" t="s">
        <v>4873</v>
      </c>
      <c r="G1326" s="7" t="s">
        <v>3488</v>
      </c>
      <c r="H1326" s="7" t="s">
        <v>3520</v>
      </c>
      <c r="I1326" s="7" t="s">
        <v>3476</v>
      </c>
      <c r="J1326" s="7" t="s">
        <v>3508</v>
      </c>
      <c r="K1326" s="7" t="str">
        <f t="shared" si="2"/>
        <v/>
      </c>
      <c r="L1326" s="7" t="str">
        <f t="shared" si="1026"/>
        <v/>
      </c>
      <c r="M1326" s="7">
        <f t="shared" ref="M1326:N1326" si="1344">IF(LEN(M$1),COUNTIF($G1326:$J1326,M$1),"")</f>
        <v>0</v>
      </c>
      <c r="N1326" s="7" t="str">
        <f t="shared" si="1344"/>
        <v/>
      </c>
      <c r="O1326" s="7" t="str">
        <f t="shared" si="1028"/>
        <v/>
      </c>
      <c r="P1326" s="7">
        <f t="shared" si="1332"/>
        <v>0</v>
      </c>
      <c r="Q1326" s="7" t="str">
        <f t="shared" si="7"/>
        <v/>
      </c>
      <c r="T1326" s="7"/>
    </row>
    <row r="1327" ht="12.75" customHeight="1">
      <c r="A1327" s="7">
        <v>1326.0</v>
      </c>
      <c r="B1327" s="7" t="s">
        <v>712</v>
      </c>
      <c r="C1327" s="7" t="s">
        <v>4815</v>
      </c>
      <c r="D1327" s="7"/>
      <c r="E1327" s="7"/>
      <c r="F1327" s="7" t="s">
        <v>4873</v>
      </c>
      <c r="G1327" s="7" t="s">
        <v>3581</v>
      </c>
      <c r="H1327" s="7" t="s">
        <v>3485</v>
      </c>
      <c r="I1327" s="7" t="s">
        <v>3513</v>
      </c>
      <c r="J1327" s="7" t="s">
        <v>3559</v>
      </c>
      <c r="K1327" s="7" t="str">
        <f t="shared" si="2"/>
        <v/>
      </c>
      <c r="L1327" s="7" t="str">
        <f t="shared" si="1026"/>
        <v/>
      </c>
      <c r="M1327" s="7">
        <f t="shared" ref="M1327:N1327" si="1345">IF(LEN(M$1),COUNTIF($G1327:$J1327,M$1),"")</f>
        <v>0</v>
      </c>
      <c r="N1327" s="7" t="str">
        <f t="shared" si="1345"/>
        <v/>
      </c>
      <c r="O1327" s="7" t="str">
        <f t="shared" si="1028"/>
        <v/>
      </c>
      <c r="P1327" s="7">
        <f t="shared" si="1332"/>
        <v>0</v>
      </c>
      <c r="Q1327" s="7" t="str">
        <f t="shared" si="7"/>
        <v/>
      </c>
      <c r="T1327" s="7"/>
    </row>
    <row r="1328" ht="12.75" customHeight="1">
      <c r="A1328" s="7">
        <v>1327.0</v>
      </c>
      <c r="B1328" s="7" t="s">
        <v>720</v>
      </c>
      <c r="C1328" s="7" t="s">
        <v>4818</v>
      </c>
      <c r="D1328" s="7"/>
      <c r="E1328" s="7"/>
      <c r="F1328" s="7" t="s">
        <v>4873</v>
      </c>
      <c r="G1328" s="7" t="s">
        <v>3555</v>
      </c>
      <c r="H1328" s="7" t="s">
        <v>3500</v>
      </c>
      <c r="I1328" s="7" t="s">
        <v>3443</v>
      </c>
      <c r="J1328" s="7" t="s">
        <v>3581</v>
      </c>
      <c r="K1328" s="7" t="str">
        <f t="shared" si="2"/>
        <v/>
      </c>
      <c r="L1328" s="7" t="str">
        <f t="shared" si="1026"/>
        <v/>
      </c>
      <c r="M1328" s="7">
        <f t="shared" ref="M1328:N1328" si="1346">IF(LEN(M$1),COUNTIF($G1328:$J1328,M$1),"")</f>
        <v>0</v>
      </c>
      <c r="N1328" s="7" t="str">
        <f t="shared" si="1346"/>
        <v/>
      </c>
      <c r="O1328" s="7" t="str">
        <f t="shared" si="1028"/>
        <v/>
      </c>
      <c r="P1328" s="7">
        <f t="shared" si="1332"/>
        <v>0</v>
      </c>
      <c r="Q1328" s="7" t="str">
        <f t="shared" si="7"/>
        <v/>
      </c>
      <c r="T1328" s="7"/>
    </row>
    <row r="1329" ht="12.75" customHeight="1">
      <c r="A1329" s="7">
        <v>1328.0</v>
      </c>
      <c r="B1329" s="7" t="s">
        <v>729</v>
      </c>
      <c r="C1329" s="7" t="s">
        <v>4818</v>
      </c>
      <c r="D1329" s="7"/>
      <c r="E1329" s="7"/>
      <c r="F1329" s="7" t="s">
        <v>4873</v>
      </c>
      <c r="G1329" s="7" t="s">
        <v>3473</v>
      </c>
      <c r="H1329" s="7" t="s">
        <v>3546</v>
      </c>
      <c r="I1329" s="7" t="s">
        <v>3476</v>
      </c>
      <c r="J1329" s="7" t="s">
        <v>3539</v>
      </c>
      <c r="K1329" s="7" t="str">
        <f t="shared" si="2"/>
        <v/>
      </c>
      <c r="L1329" s="7" t="str">
        <f t="shared" si="1026"/>
        <v/>
      </c>
      <c r="M1329" s="7">
        <f t="shared" ref="M1329:N1329" si="1347">IF(LEN(M$1),COUNTIF($G1329:$J1329,M$1),"")</f>
        <v>0</v>
      </c>
      <c r="N1329" s="7" t="str">
        <f t="shared" si="1347"/>
        <v/>
      </c>
      <c r="O1329" s="7" t="str">
        <f t="shared" si="1028"/>
        <v/>
      </c>
      <c r="P1329" s="7">
        <f t="shared" si="1332"/>
        <v>0</v>
      </c>
      <c r="Q1329" s="7" t="str">
        <f t="shared" si="7"/>
        <v/>
      </c>
      <c r="T1329" s="7"/>
    </row>
    <row r="1330" ht="12.75" customHeight="1">
      <c r="A1330" s="7">
        <v>1329.0</v>
      </c>
      <c r="B1330" s="7" t="s">
        <v>738</v>
      </c>
      <c r="C1330" s="7" t="s">
        <v>4819</v>
      </c>
      <c r="D1330" s="7"/>
      <c r="E1330" s="7"/>
      <c r="F1330" s="7" t="s">
        <v>4873</v>
      </c>
      <c r="G1330" s="7" t="s">
        <v>3295</v>
      </c>
      <c r="H1330" s="7" t="s">
        <v>3511</v>
      </c>
      <c r="I1330" s="7" t="s">
        <v>3536</v>
      </c>
      <c r="J1330" s="7" t="s">
        <v>3381</v>
      </c>
      <c r="K1330" s="7" t="str">
        <f t="shared" si="2"/>
        <v/>
      </c>
      <c r="L1330" s="7" t="str">
        <f t="shared" si="1026"/>
        <v/>
      </c>
      <c r="M1330" s="7">
        <f t="shared" ref="M1330:N1330" si="1348">IF(LEN(M$1),COUNTIF($G1330:$J1330,M$1),"")</f>
        <v>0</v>
      </c>
      <c r="N1330" s="7" t="str">
        <f t="shared" si="1348"/>
        <v/>
      </c>
      <c r="O1330" s="7" t="str">
        <f t="shared" si="1028"/>
        <v/>
      </c>
      <c r="P1330" s="7">
        <f t="shared" si="1332"/>
        <v>0</v>
      </c>
      <c r="Q1330" s="7" t="str">
        <f t="shared" si="7"/>
        <v/>
      </c>
      <c r="T1330" s="7"/>
    </row>
    <row r="1331" ht="12.75" customHeight="1">
      <c r="A1331" s="7">
        <v>1330.0</v>
      </c>
      <c r="B1331" s="7" t="s">
        <v>706</v>
      </c>
      <c r="C1331" s="7" t="s">
        <v>4819</v>
      </c>
      <c r="D1331" s="7"/>
      <c r="E1331" s="7"/>
      <c r="F1331" s="7" t="s">
        <v>4873</v>
      </c>
      <c r="G1331" s="7" t="s">
        <v>3536</v>
      </c>
      <c r="H1331" s="7" t="s">
        <v>3317</v>
      </c>
      <c r="I1331" s="7" t="s">
        <v>3502</v>
      </c>
      <c r="J1331" s="7" t="s">
        <v>3410</v>
      </c>
      <c r="K1331" s="7" t="str">
        <f t="shared" si="2"/>
        <v/>
      </c>
      <c r="L1331" s="7" t="str">
        <f t="shared" si="1026"/>
        <v/>
      </c>
      <c r="M1331" s="7">
        <f t="shared" ref="M1331:N1331" si="1349">IF(LEN(M$1),COUNTIF($G1331:$J1331,M$1),"")</f>
        <v>0</v>
      </c>
      <c r="N1331" s="7" t="str">
        <f t="shared" si="1349"/>
        <v/>
      </c>
      <c r="O1331" s="7" t="str">
        <f t="shared" si="1028"/>
        <v/>
      </c>
      <c r="P1331" s="7">
        <f t="shared" si="1332"/>
        <v>0</v>
      </c>
      <c r="Q1331" s="7" t="str">
        <f t="shared" si="7"/>
        <v/>
      </c>
      <c r="T1331" s="7"/>
    </row>
    <row r="1332" ht="12.75" customHeight="1">
      <c r="A1332" s="7">
        <v>1331.0</v>
      </c>
      <c r="B1332" s="7" t="s">
        <v>753</v>
      </c>
      <c r="C1332" s="7" t="s">
        <v>4819</v>
      </c>
      <c r="D1332" s="7"/>
      <c r="E1332" s="7"/>
      <c r="F1332" s="7" t="s">
        <v>4873</v>
      </c>
      <c r="G1332" s="7" t="s">
        <v>3373</v>
      </c>
      <c r="H1332" s="7" t="s">
        <v>3467</v>
      </c>
      <c r="I1332" s="7" t="s">
        <v>3549</v>
      </c>
      <c r="J1332" s="7" t="s">
        <v>3415</v>
      </c>
      <c r="K1332" s="7" t="str">
        <f t="shared" si="2"/>
        <v/>
      </c>
      <c r="L1332" s="7" t="str">
        <f t="shared" si="1026"/>
        <v/>
      </c>
      <c r="M1332" s="7">
        <f t="shared" ref="M1332:N1332" si="1350">IF(LEN(M$1),COUNTIF($G1332:$J1332,M$1),"")</f>
        <v>0</v>
      </c>
      <c r="N1332" s="7" t="str">
        <f t="shared" si="1350"/>
        <v/>
      </c>
      <c r="O1332" s="7" t="str">
        <f t="shared" si="1028"/>
        <v/>
      </c>
      <c r="P1332" s="7">
        <f t="shared" si="1332"/>
        <v>0</v>
      </c>
      <c r="Q1332" s="7" t="str">
        <f t="shared" si="7"/>
        <v/>
      </c>
      <c r="T1332" s="7"/>
    </row>
    <row r="1333" ht="12.75" customHeight="1">
      <c r="A1333" s="7">
        <v>1332.0</v>
      </c>
      <c r="B1333" s="7" t="s">
        <v>761</v>
      </c>
      <c r="C1333" s="7" t="s">
        <v>4820</v>
      </c>
      <c r="D1333" s="7"/>
      <c r="E1333" s="7"/>
      <c r="F1333" s="7" t="s">
        <v>4873</v>
      </c>
      <c r="G1333" s="7" t="s">
        <v>3307</v>
      </c>
      <c r="H1333" s="7" t="s">
        <v>3473</v>
      </c>
      <c r="I1333" s="7" t="s">
        <v>3525</v>
      </c>
      <c r="J1333" s="7" t="s">
        <v>3287</v>
      </c>
      <c r="K1333" s="7" t="str">
        <f t="shared" si="2"/>
        <v/>
      </c>
      <c r="L1333" s="7" t="str">
        <f t="shared" si="1026"/>
        <v/>
      </c>
      <c r="M1333" s="7">
        <f t="shared" ref="M1333:N1333" si="1351">IF(LEN(M$1),COUNTIF($G1333:$J1333,M$1),"")</f>
        <v>0</v>
      </c>
      <c r="N1333" s="7" t="str">
        <f t="shared" si="1351"/>
        <v/>
      </c>
      <c r="O1333" s="7" t="str">
        <f t="shared" si="1028"/>
        <v/>
      </c>
      <c r="P1333" s="7">
        <f t="shared" si="1332"/>
        <v>0</v>
      </c>
      <c r="Q1333" s="7" t="str">
        <f t="shared" si="7"/>
        <v/>
      </c>
      <c r="T1333" s="7"/>
    </row>
    <row r="1334" ht="12.75" customHeight="1">
      <c r="A1334" s="7">
        <v>1333.0</v>
      </c>
      <c r="B1334" s="7" t="s">
        <v>769</v>
      </c>
      <c r="C1334" s="7" t="s">
        <v>4820</v>
      </c>
      <c r="D1334" s="7"/>
      <c r="E1334" s="7"/>
      <c r="F1334" s="7" t="s">
        <v>4873</v>
      </c>
      <c r="G1334" s="7" t="s">
        <v>3551</v>
      </c>
      <c r="H1334" s="7" t="s">
        <v>3570</v>
      </c>
      <c r="I1334" s="7" t="s">
        <v>3485</v>
      </c>
      <c r="J1334" s="7" t="s">
        <v>3460</v>
      </c>
      <c r="K1334" s="7" t="str">
        <f t="shared" si="2"/>
        <v/>
      </c>
      <c r="L1334" s="7" t="str">
        <f t="shared" si="1026"/>
        <v/>
      </c>
      <c r="M1334" s="7">
        <f t="shared" ref="M1334:N1334" si="1352">IF(LEN(M$1),COUNTIF($G1334:$J1334,M$1),"")</f>
        <v>0</v>
      </c>
      <c r="N1334" s="7" t="str">
        <f t="shared" si="1352"/>
        <v/>
      </c>
      <c r="O1334" s="7" t="str">
        <f t="shared" si="1028"/>
        <v/>
      </c>
      <c r="P1334" s="7">
        <f t="shared" si="1332"/>
        <v>0</v>
      </c>
      <c r="Q1334" s="7" t="str">
        <f t="shared" si="7"/>
        <v/>
      </c>
      <c r="T1334" s="7"/>
    </row>
    <row r="1335" ht="12.75" customHeight="1">
      <c r="A1335" s="7">
        <v>1334.0</v>
      </c>
      <c r="B1335" s="7" t="s">
        <v>777</v>
      </c>
      <c r="C1335" s="7" t="s">
        <v>4820</v>
      </c>
      <c r="D1335" s="7"/>
      <c r="E1335" s="7"/>
      <c r="F1335" s="7" t="s">
        <v>4873</v>
      </c>
      <c r="G1335" s="7" t="s">
        <v>3467</v>
      </c>
      <c r="H1335" s="7" t="s">
        <v>3307</v>
      </c>
      <c r="I1335" s="7" t="s">
        <v>3508</v>
      </c>
      <c r="J1335" s="7" t="s">
        <v>3449</v>
      </c>
      <c r="K1335" s="7" t="str">
        <f t="shared" si="2"/>
        <v/>
      </c>
      <c r="L1335" s="7" t="str">
        <f t="shared" si="1026"/>
        <v/>
      </c>
      <c r="M1335" s="7">
        <f t="shared" ref="M1335:N1335" si="1353">IF(LEN(M$1),COUNTIF($G1335:$J1335,M$1),"")</f>
        <v>0</v>
      </c>
      <c r="N1335" s="7" t="str">
        <f t="shared" si="1353"/>
        <v/>
      </c>
      <c r="O1335" s="7" t="str">
        <f t="shared" si="1028"/>
        <v/>
      </c>
      <c r="P1335" s="7">
        <f t="shared" si="1332"/>
        <v>0</v>
      </c>
      <c r="Q1335" s="7" t="str">
        <f t="shared" si="7"/>
        <v/>
      </c>
      <c r="T1335" s="7"/>
    </row>
    <row r="1336" ht="12.75" customHeight="1">
      <c r="A1336" s="7">
        <v>1335.0</v>
      </c>
      <c r="B1336" s="7" t="s">
        <v>786</v>
      </c>
      <c r="C1336" s="7" t="s">
        <v>4822</v>
      </c>
      <c r="D1336" s="7"/>
      <c r="E1336" s="7"/>
      <c r="F1336" s="7" t="s">
        <v>4873</v>
      </c>
      <c r="G1336" s="7" t="s">
        <v>3572</v>
      </c>
      <c r="H1336" s="7" t="s">
        <v>3497</v>
      </c>
      <c r="I1336" s="7" t="s">
        <v>3485</v>
      </c>
      <c r="J1336" s="7" t="s">
        <v>3455</v>
      </c>
      <c r="K1336" s="7" t="str">
        <f t="shared" si="2"/>
        <v/>
      </c>
      <c r="L1336" s="7" t="str">
        <f t="shared" si="1026"/>
        <v/>
      </c>
      <c r="M1336" s="7">
        <f t="shared" ref="M1336:N1336" si="1354">IF(LEN(M$1),COUNTIF($G1336:$J1336,M$1),"")</f>
        <v>0</v>
      </c>
      <c r="N1336" s="7" t="str">
        <f t="shared" si="1354"/>
        <v/>
      </c>
      <c r="O1336" s="7" t="str">
        <f t="shared" si="1028"/>
        <v/>
      </c>
      <c r="P1336" s="7">
        <f t="shared" si="1332"/>
        <v>0</v>
      </c>
      <c r="Q1336" s="7" t="str">
        <f t="shared" si="7"/>
        <v/>
      </c>
      <c r="T1336" s="7"/>
    </row>
    <row r="1337" ht="12.75" customHeight="1">
      <c r="A1337" s="7">
        <v>1336.0</v>
      </c>
      <c r="B1337" s="7" t="s">
        <v>795</v>
      </c>
      <c r="C1337" s="7" t="s">
        <v>4822</v>
      </c>
      <c r="D1337" s="7"/>
      <c r="E1337" s="7"/>
      <c r="F1337" s="7" t="s">
        <v>4873</v>
      </c>
      <c r="G1337" s="7" t="s">
        <v>3465</v>
      </c>
      <c r="H1337" s="7" t="s">
        <v>3544</v>
      </c>
      <c r="I1337" s="7" t="s">
        <v>3562</v>
      </c>
      <c r="J1337" s="7" t="s">
        <v>3460</v>
      </c>
      <c r="K1337" s="7" t="str">
        <f t="shared" si="2"/>
        <v/>
      </c>
      <c r="L1337" s="7" t="str">
        <f t="shared" si="1026"/>
        <v/>
      </c>
      <c r="M1337" s="7">
        <f t="shared" ref="M1337:N1337" si="1355">IF(LEN(M$1),COUNTIF($G1337:$J1337,M$1),"")</f>
        <v>0</v>
      </c>
      <c r="N1337" s="7" t="str">
        <f t="shared" si="1355"/>
        <v/>
      </c>
      <c r="O1337" s="7" t="str">
        <f t="shared" si="1028"/>
        <v/>
      </c>
      <c r="P1337" s="7">
        <f t="shared" si="1332"/>
        <v>0</v>
      </c>
      <c r="Q1337" s="7" t="str">
        <f t="shared" si="7"/>
        <v/>
      </c>
      <c r="T1337" s="7"/>
    </row>
    <row r="1338" ht="12.75" customHeight="1">
      <c r="A1338" s="7">
        <v>1337.0</v>
      </c>
      <c r="B1338" s="7" t="s">
        <v>804</v>
      </c>
      <c r="C1338" s="7" t="s">
        <v>4822</v>
      </c>
      <c r="D1338" s="7"/>
      <c r="E1338" s="7"/>
      <c r="F1338" s="7" t="s">
        <v>4873</v>
      </c>
      <c r="G1338" s="7" t="s">
        <v>3368</v>
      </c>
      <c r="H1338" s="7" t="s">
        <v>3551</v>
      </c>
      <c r="I1338" s="7" t="s">
        <v>3574</v>
      </c>
      <c r="J1338" s="7" t="s">
        <v>3388</v>
      </c>
      <c r="K1338" s="7" t="str">
        <f t="shared" si="2"/>
        <v/>
      </c>
      <c r="L1338" s="7" t="str">
        <f t="shared" si="1026"/>
        <v/>
      </c>
      <c r="M1338" s="7">
        <f t="shared" ref="M1338:N1338" si="1356">IF(LEN(M$1),COUNTIF($G1338:$J1338,M$1),"")</f>
        <v>0</v>
      </c>
      <c r="N1338" s="7" t="str">
        <f t="shared" si="1356"/>
        <v/>
      </c>
      <c r="O1338" s="7" t="str">
        <f t="shared" si="1028"/>
        <v/>
      </c>
      <c r="P1338" s="7">
        <f t="shared" si="1332"/>
        <v>0</v>
      </c>
      <c r="Q1338" s="7" t="str">
        <f t="shared" si="7"/>
        <v/>
      </c>
      <c r="T1338" s="7"/>
    </row>
    <row r="1339" ht="12.75" customHeight="1">
      <c r="A1339" s="7">
        <v>1338.0</v>
      </c>
      <c r="B1339" s="7" t="s">
        <v>812</v>
      </c>
      <c r="C1339" s="7" t="s">
        <v>4823</v>
      </c>
      <c r="D1339" s="7"/>
      <c r="E1339" s="7"/>
      <c r="F1339" s="7" t="s">
        <v>4873</v>
      </c>
      <c r="G1339" s="7" t="s">
        <v>3451</v>
      </c>
      <c r="H1339" s="7" t="s">
        <v>3287</v>
      </c>
      <c r="I1339" s="7" t="s">
        <v>3551</v>
      </c>
      <c r="J1339" s="7" t="s">
        <v>3333</v>
      </c>
      <c r="K1339" s="7" t="str">
        <f t="shared" si="2"/>
        <v/>
      </c>
      <c r="L1339" s="7" t="str">
        <f t="shared" si="1026"/>
        <v/>
      </c>
      <c r="M1339" s="7">
        <f t="shared" ref="M1339:N1339" si="1357">IF(LEN(M$1),COUNTIF($G1339:$J1339,M$1),"")</f>
        <v>0</v>
      </c>
      <c r="N1339" s="7" t="str">
        <f t="shared" si="1357"/>
        <v/>
      </c>
      <c r="O1339" s="7" t="str">
        <f t="shared" si="1028"/>
        <v/>
      </c>
      <c r="P1339" s="7">
        <f t="shared" si="1332"/>
        <v>0</v>
      </c>
      <c r="Q1339" s="7" t="str">
        <f t="shared" si="7"/>
        <v/>
      </c>
      <c r="T1339" s="7"/>
    </row>
    <row r="1340" ht="12.75" customHeight="1">
      <c r="A1340" s="7">
        <v>1339.0</v>
      </c>
      <c r="B1340" s="7" t="s">
        <v>819</v>
      </c>
      <c r="C1340" s="7" t="s">
        <v>4823</v>
      </c>
      <c r="D1340" s="7"/>
      <c r="E1340" s="7"/>
      <c r="F1340" s="7" t="s">
        <v>4873</v>
      </c>
      <c r="G1340" s="7" t="s">
        <v>3576</v>
      </c>
      <c r="H1340" s="7" t="s">
        <v>3544</v>
      </c>
      <c r="I1340" s="7" t="s">
        <v>3536</v>
      </c>
      <c r="J1340" s="7" t="s">
        <v>3467</v>
      </c>
      <c r="K1340" s="7" t="str">
        <f t="shared" si="2"/>
        <v/>
      </c>
      <c r="L1340" s="7" t="str">
        <f t="shared" si="1026"/>
        <v/>
      </c>
      <c r="M1340" s="7">
        <f t="shared" ref="M1340:N1340" si="1358">IF(LEN(M$1),COUNTIF($G1340:$J1340,M$1),"")</f>
        <v>0</v>
      </c>
      <c r="N1340" s="7" t="str">
        <f t="shared" si="1358"/>
        <v/>
      </c>
      <c r="O1340" s="7" t="str">
        <f t="shared" si="1028"/>
        <v/>
      </c>
      <c r="P1340" s="7">
        <f t="shared" si="1332"/>
        <v>0</v>
      </c>
      <c r="Q1340" s="7" t="str">
        <f t="shared" si="7"/>
        <v/>
      </c>
      <c r="T1340" s="7"/>
    </row>
    <row r="1341" ht="12.75" customHeight="1">
      <c r="A1341" s="7">
        <v>1340.0</v>
      </c>
      <c r="B1341" s="7" t="s">
        <v>826</v>
      </c>
      <c r="C1341" s="7" t="s">
        <v>4823</v>
      </c>
      <c r="D1341" s="7"/>
      <c r="E1341" s="7"/>
      <c r="F1341" s="7" t="s">
        <v>4873</v>
      </c>
      <c r="G1341" s="7" t="s">
        <v>3536</v>
      </c>
      <c r="H1341" s="7" t="s">
        <v>3574</v>
      </c>
      <c r="I1341" s="7" t="s">
        <v>3511</v>
      </c>
      <c r="J1341" s="7" t="s">
        <v>3462</v>
      </c>
      <c r="K1341" s="7" t="str">
        <f t="shared" si="2"/>
        <v/>
      </c>
      <c r="L1341" s="7" t="str">
        <f t="shared" si="1026"/>
        <v/>
      </c>
      <c r="M1341" s="7">
        <f t="shared" ref="M1341:N1341" si="1359">IF(LEN(M$1),COUNTIF($G1341:$J1341,M$1),"")</f>
        <v>0</v>
      </c>
      <c r="N1341" s="7" t="str">
        <f t="shared" si="1359"/>
        <v/>
      </c>
      <c r="O1341" s="7" t="str">
        <f t="shared" si="1028"/>
        <v/>
      </c>
      <c r="P1341" s="7">
        <f t="shared" si="1332"/>
        <v>0</v>
      </c>
      <c r="Q1341" s="7" t="str">
        <f t="shared" si="7"/>
        <v/>
      </c>
      <c r="T1341" s="7"/>
    </row>
    <row r="1342" ht="12.75" customHeight="1">
      <c r="A1342" s="7">
        <v>1341.0</v>
      </c>
      <c r="B1342" s="7" t="s">
        <v>834</v>
      </c>
      <c r="C1342" s="7" t="s">
        <v>4825</v>
      </c>
      <c r="D1342" s="7"/>
      <c r="E1342" s="7"/>
      <c r="F1342" s="7" t="s">
        <v>4873</v>
      </c>
      <c r="G1342" s="7" t="s">
        <v>3570</v>
      </c>
      <c r="H1342" s="7" t="s">
        <v>3413</v>
      </c>
      <c r="I1342" s="7" t="s">
        <v>3467</v>
      </c>
      <c r="J1342" s="7" t="s">
        <v>3420</v>
      </c>
      <c r="K1342" s="7" t="str">
        <f t="shared" si="2"/>
        <v/>
      </c>
      <c r="L1342" s="7" t="str">
        <f t="shared" si="1026"/>
        <v/>
      </c>
      <c r="M1342" s="7">
        <f t="shared" ref="M1342:N1342" si="1360">IF(LEN(M$1),COUNTIF($G1342:$J1342,M$1),"")</f>
        <v>0</v>
      </c>
      <c r="N1342" s="7" t="str">
        <f t="shared" si="1360"/>
        <v/>
      </c>
      <c r="O1342" s="7" t="str">
        <f t="shared" si="1028"/>
        <v/>
      </c>
      <c r="P1342" s="7">
        <f t="shared" si="1332"/>
        <v>0</v>
      </c>
      <c r="Q1342" s="7" t="str">
        <f t="shared" si="7"/>
        <v/>
      </c>
      <c r="T1342" s="7"/>
    </row>
    <row r="1343" ht="12.75" customHeight="1">
      <c r="A1343" s="7">
        <v>1342.0</v>
      </c>
      <c r="B1343" s="7" t="s">
        <v>842</v>
      </c>
      <c r="C1343" s="7" t="s">
        <v>4826</v>
      </c>
      <c r="D1343" s="7"/>
      <c r="E1343" s="7"/>
      <c r="F1343" s="7" t="s">
        <v>4873</v>
      </c>
      <c r="G1343" s="7" t="s">
        <v>3476</v>
      </c>
      <c r="H1343" s="7" t="s">
        <v>3325</v>
      </c>
      <c r="I1343" s="7" t="s">
        <v>3570</v>
      </c>
      <c r="J1343" s="7" t="s">
        <v>3342</v>
      </c>
      <c r="K1343" s="7" t="str">
        <f t="shared" si="2"/>
        <v/>
      </c>
      <c r="L1343" s="7" t="str">
        <f t="shared" si="1026"/>
        <v/>
      </c>
      <c r="M1343" s="7">
        <f t="shared" ref="M1343:N1343" si="1361">IF(LEN(M$1),COUNTIF($G1343:$J1343,M$1),"")</f>
        <v>0</v>
      </c>
      <c r="N1343" s="7" t="str">
        <f t="shared" si="1361"/>
        <v/>
      </c>
      <c r="O1343" s="7" t="str">
        <f t="shared" si="1028"/>
        <v/>
      </c>
      <c r="P1343" s="7">
        <f t="shared" si="1332"/>
        <v>0</v>
      </c>
      <c r="Q1343" s="7" t="str">
        <f t="shared" si="7"/>
        <v/>
      </c>
      <c r="T1343" s="7"/>
    </row>
    <row r="1344" ht="12.75" customHeight="1">
      <c r="A1344" s="7">
        <v>1343.0</v>
      </c>
      <c r="B1344" s="7" t="s">
        <v>851</v>
      </c>
      <c r="C1344" s="7" t="s">
        <v>4825</v>
      </c>
      <c r="D1344" s="7"/>
      <c r="E1344" s="7"/>
      <c r="F1344" s="7" t="s">
        <v>4873</v>
      </c>
      <c r="G1344" s="7" t="s">
        <v>3539</v>
      </c>
      <c r="H1344" s="7" t="s">
        <v>3378</v>
      </c>
      <c r="I1344" s="7" t="s">
        <v>3525</v>
      </c>
      <c r="J1344" s="7" t="s">
        <v>3527</v>
      </c>
      <c r="K1344" s="7" t="str">
        <f t="shared" si="2"/>
        <v/>
      </c>
      <c r="L1344" s="7" t="str">
        <f t="shared" si="1026"/>
        <v/>
      </c>
      <c r="M1344" s="7">
        <f t="shared" ref="M1344:N1344" si="1362">IF(LEN(M$1),COUNTIF($G1344:$J1344,M$1),"")</f>
        <v>0</v>
      </c>
      <c r="N1344" s="7" t="str">
        <f t="shared" si="1362"/>
        <v/>
      </c>
      <c r="O1344" s="7" t="str">
        <f t="shared" si="1028"/>
        <v/>
      </c>
      <c r="P1344" s="7">
        <f t="shared" si="1332"/>
        <v>0</v>
      </c>
      <c r="Q1344" s="7" t="str">
        <f t="shared" si="7"/>
        <v/>
      </c>
      <c r="T1344" s="7"/>
    </row>
    <row r="1345" ht="12.75" customHeight="1">
      <c r="A1345" s="7">
        <v>1344.0</v>
      </c>
      <c r="B1345" s="7" t="s">
        <v>857</v>
      </c>
      <c r="C1345" s="7" t="s">
        <v>4826</v>
      </c>
      <c r="D1345" s="7"/>
      <c r="E1345" s="7"/>
      <c r="F1345" s="7" t="s">
        <v>4873</v>
      </c>
      <c r="G1345" s="7" t="s">
        <v>3485</v>
      </c>
      <c r="H1345" s="7" t="s">
        <v>3420</v>
      </c>
      <c r="I1345" s="7" t="s">
        <v>3469</v>
      </c>
      <c r="J1345" s="7" t="s">
        <v>3497</v>
      </c>
      <c r="K1345" s="7" t="str">
        <f t="shared" si="2"/>
        <v/>
      </c>
      <c r="L1345" s="7" t="str">
        <f t="shared" si="1026"/>
        <v/>
      </c>
      <c r="M1345" s="7">
        <f t="shared" ref="M1345:N1345" si="1363">IF(LEN(M$1),COUNTIF($G1345:$J1345,M$1),"")</f>
        <v>0</v>
      </c>
      <c r="N1345" s="7" t="str">
        <f t="shared" si="1363"/>
        <v/>
      </c>
      <c r="O1345" s="7" t="str">
        <f t="shared" si="1028"/>
        <v/>
      </c>
      <c r="P1345" s="7">
        <f t="shared" si="1332"/>
        <v>0</v>
      </c>
      <c r="Q1345" s="7" t="str">
        <f t="shared" si="7"/>
        <v/>
      </c>
      <c r="T1345" s="7"/>
    </row>
    <row r="1346" ht="12.75" customHeight="1">
      <c r="A1346" s="7">
        <v>1345.0</v>
      </c>
      <c r="B1346" s="7" t="s">
        <v>865</v>
      </c>
      <c r="C1346" s="7" t="s">
        <v>3108</v>
      </c>
      <c r="D1346" s="7"/>
      <c r="E1346" s="7"/>
      <c r="F1346" s="7" t="s">
        <v>4873</v>
      </c>
      <c r="G1346" s="7" t="s">
        <v>3287</v>
      </c>
      <c r="H1346" s="7" t="s">
        <v>3559</v>
      </c>
      <c r="I1346" s="7" t="s">
        <v>3491</v>
      </c>
      <c r="J1346" s="7" t="s">
        <v>3301</v>
      </c>
      <c r="K1346" s="7" t="str">
        <f t="shared" si="2"/>
        <v/>
      </c>
      <c r="L1346" s="7" t="str">
        <f t="shared" si="1026"/>
        <v/>
      </c>
      <c r="M1346" s="7">
        <f t="shared" ref="M1346:N1346" si="1364">IF(LEN(M$1),COUNTIF($G1346:$J1346,M$1),"")</f>
        <v>0</v>
      </c>
      <c r="N1346" s="7" t="str">
        <f t="shared" si="1364"/>
        <v/>
      </c>
      <c r="O1346" s="7" t="str">
        <f t="shared" si="1028"/>
        <v/>
      </c>
      <c r="P1346" s="7">
        <f t="shared" si="1332"/>
        <v>0</v>
      </c>
      <c r="Q1346" s="7" t="str">
        <f t="shared" si="7"/>
        <v/>
      </c>
      <c r="T1346" s="7"/>
    </row>
    <row r="1347" ht="12.75" customHeight="1">
      <c r="A1347" s="7">
        <v>1346.0</v>
      </c>
      <c r="B1347" s="7" t="s">
        <v>873</v>
      </c>
      <c r="C1347" s="7" t="s">
        <v>3108</v>
      </c>
      <c r="D1347" s="7"/>
      <c r="E1347" s="7"/>
      <c r="F1347" s="7" t="s">
        <v>4873</v>
      </c>
      <c r="G1347" s="7" t="s">
        <v>3555</v>
      </c>
      <c r="H1347" s="7" t="s">
        <v>3473</v>
      </c>
      <c r="I1347" s="7" t="s">
        <v>3500</v>
      </c>
      <c r="J1347" s="7" t="s">
        <v>3518</v>
      </c>
      <c r="K1347" s="7" t="str">
        <f t="shared" si="2"/>
        <v/>
      </c>
      <c r="L1347" s="7" t="str">
        <f t="shared" si="1026"/>
        <v/>
      </c>
      <c r="M1347" s="7">
        <f t="shared" ref="M1347:N1347" si="1365">IF(LEN(M$1),COUNTIF($G1347:$J1347,M$1),"")</f>
        <v>0</v>
      </c>
      <c r="N1347" s="7" t="str">
        <f t="shared" si="1365"/>
        <v/>
      </c>
      <c r="O1347" s="7" t="str">
        <f t="shared" si="1028"/>
        <v/>
      </c>
      <c r="P1347" s="7">
        <f t="shared" si="1332"/>
        <v>0</v>
      </c>
      <c r="Q1347" s="7" t="str">
        <f t="shared" si="7"/>
        <v/>
      </c>
      <c r="T1347" s="7"/>
    </row>
    <row r="1348" ht="12.75" customHeight="1">
      <c r="A1348" s="7">
        <v>1347.0</v>
      </c>
      <c r="B1348" s="7" t="s">
        <v>882</v>
      </c>
      <c r="C1348" s="7" t="s">
        <v>4839</v>
      </c>
      <c r="D1348" s="7"/>
      <c r="E1348" s="7"/>
      <c r="F1348" s="7" t="s">
        <v>4873</v>
      </c>
      <c r="G1348" s="7" t="s">
        <v>3525</v>
      </c>
      <c r="H1348" s="7" t="s">
        <v>3473</v>
      </c>
      <c r="I1348" s="7" t="s">
        <v>3449</v>
      </c>
      <c r="J1348" s="7" t="s">
        <v>3516</v>
      </c>
      <c r="K1348" s="7" t="str">
        <f t="shared" si="2"/>
        <v/>
      </c>
      <c r="L1348" s="7" t="str">
        <f t="shared" si="1026"/>
        <v/>
      </c>
      <c r="M1348" s="7">
        <f t="shared" ref="M1348:N1348" si="1366">IF(LEN(M$1),COUNTIF($G1348:$J1348,M$1),"")</f>
        <v>0</v>
      </c>
      <c r="N1348" s="7" t="str">
        <f t="shared" si="1366"/>
        <v/>
      </c>
      <c r="O1348" s="7" t="str">
        <f t="shared" si="1028"/>
        <v/>
      </c>
      <c r="P1348" s="7">
        <f t="shared" si="1332"/>
        <v>0</v>
      </c>
      <c r="Q1348" s="7" t="str">
        <f t="shared" si="7"/>
        <v/>
      </c>
      <c r="T1348" s="7"/>
    </row>
    <row r="1349" ht="12.75" customHeight="1">
      <c r="A1349" s="7">
        <v>1348.0</v>
      </c>
      <c r="B1349" s="7" t="s">
        <v>882</v>
      </c>
      <c r="C1349" s="7" t="s">
        <v>4839</v>
      </c>
      <c r="D1349" s="7"/>
      <c r="E1349" s="7"/>
      <c r="F1349" s="7" t="s">
        <v>4873</v>
      </c>
      <c r="G1349" s="7" t="s">
        <v>3368</v>
      </c>
      <c r="H1349" s="7" t="s">
        <v>3574</v>
      </c>
      <c r="I1349" s="7" t="s">
        <v>3491</v>
      </c>
      <c r="J1349" s="7" t="s">
        <v>3317</v>
      </c>
      <c r="K1349" s="7" t="str">
        <f t="shared" si="2"/>
        <v/>
      </c>
      <c r="L1349" s="7" t="str">
        <f t="shared" si="1026"/>
        <v/>
      </c>
      <c r="M1349" s="7">
        <f t="shared" ref="M1349:N1349" si="1367">IF(LEN(M$1),COUNTIF($G1349:$J1349,M$1),"")</f>
        <v>0</v>
      </c>
      <c r="N1349" s="7" t="str">
        <f t="shared" si="1367"/>
        <v/>
      </c>
      <c r="O1349" s="7" t="str">
        <f t="shared" si="1028"/>
        <v/>
      </c>
      <c r="P1349" s="7">
        <f t="shared" si="1332"/>
        <v>0</v>
      </c>
      <c r="Q1349" s="7" t="str">
        <f t="shared" si="7"/>
        <v/>
      </c>
      <c r="T1349" s="7"/>
    </row>
    <row r="1350" ht="12.75" customHeight="1">
      <c r="A1350" s="7">
        <v>1349.0</v>
      </c>
      <c r="B1350" s="7" t="s">
        <v>889</v>
      </c>
      <c r="C1350" s="7" t="s">
        <v>4839</v>
      </c>
      <c r="D1350" s="7"/>
      <c r="E1350" s="7"/>
      <c r="F1350" s="7" t="s">
        <v>4873</v>
      </c>
      <c r="G1350" s="7" t="s">
        <v>3533</v>
      </c>
      <c r="H1350" s="7" t="s">
        <v>3551</v>
      </c>
      <c r="I1350" s="7" t="s">
        <v>3518</v>
      </c>
      <c r="J1350" s="7" t="s">
        <v>3570</v>
      </c>
      <c r="K1350" s="7" t="str">
        <f t="shared" si="2"/>
        <v/>
      </c>
      <c r="L1350" s="7" t="str">
        <f t="shared" si="1026"/>
        <v/>
      </c>
      <c r="M1350" s="7">
        <f t="shared" ref="M1350:N1350" si="1368">IF(LEN(M$1),COUNTIF($G1350:$J1350,M$1),"")</f>
        <v>0</v>
      </c>
      <c r="N1350" s="7" t="str">
        <f t="shared" si="1368"/>
        <v/>
      </c>
      <c r="O1350" s="7" t="str">
        <f t="shared" si="1028"/>
        <v/>
      </c>
      <c r="P1350" s="7">
        <f t="shared" si="1332"/>
        <v>0</v>
      </c>
      <c r="Q1350" s="7" t="str">
        <f t="shared" si="7"/>
        <v/>
      </c>
      <c r="T1350" s="7"/>
    </row>
    <row r="1351" ht="12.75" customHeight="1">
      <c r="A1351" s="7">
        <v>1350.0</v>
      </c>
      <c r="B1351" s="7" t="s">
        <v>889</v>
      </c>
      <c r="C1351" s="7" t="s">
        <v>4839</v>
      </c>
      <c r="D1351" s="7"/>
      <c r="E1351" s="7"/>
      <c r="F1351" s="7" t="s">
        <v>4873</v>
      </c>
      <c r="G1351" s="7" t="s">
        <v>3488</v>
      </c>
      <c r="H1351" s="7" t="s">
        <v>3516</v>
      </c>
      <c r="I1351" s="7" t="s">
        <v>3491</v>
      </c>
      <c r="J1351" s="7" t="s">
        <v>3564</v>
      </c>
      <c r="K1351" s="7" t="str">
        <f t="shared" si="2"/>
        <v/>
      </c>
      <c r="L1351" s="7" t="str">
        <f t="shared" si="1026"/>
        <v/>
      </c>
      <c r="M1351" s="7">
        <f t="shared" ref="M1351:N1351" si="1369">IF(LEN(M$1),COUNTIF($G1351:$J1351,M$1),"")</f>
        <v>0</v>
      </c>
      <c r="N1351" s="7" t="str">
        <f t="shared" si="1369"/>
        <v/>
      </c>
      <c r="O1351" s="7" t="str">
        <f t="shared" si="1028"/>
        <v/>
      </c>
      <c r="P1351" s="7">
        <f t="shared" si="1332"/>
        <v>0</v>
      </c>
      <c r="Q1351" s="7" t="str">
        <f t="shared" si="7"/>
        <v/>
      </c>
      <c r="T1351" s="7"/>
    </row>
    <row r="1352" ht="12.75" customHeight="1">
      <c r="A1352" s="7">
        <v>1351.0</v>
      </c>
      <c r="B1352" s="7" t="s">
        <v>895</v>
      </c>
      <c r="C1352" s="7" t="s">
        <v>3108</v>
      </c>
      <c r="D1352" s="7"/>
      <c r="E1352" s="7"/>
      <c r="F1352" s="7" t="s">
        <v>4873</v>
      </c>
      <c r="G1352" s="7" t="s">
        <v>3546</v>
      </c>
      <c r="H1352" s="7" t="s">
        <v>3365</v>
      </c>
      <c r="I1352" s="7" t="s">
        <v>3460</v>
      </c>
      <c r="J1352" s="7" t="s">
        <v>3309</v>
      </c>
      <c r="K1352" s="7" t="str">
        <f t="shared" si="2"/>
        <v/>
      </c>
      <c r="L1352" s="7" t="str">
        <f t="shared" si="1026"/>
        <v/>
      </c>
      <c r="M1352" s="7">
        <f t="shared" ref="M1352:N1352" si="1370">IF(LEN(M$1),COUNTIF($G1352:$J1352,M$1),"")</f>
        <v>0</v>
      </c>
      <c r="N1352" s="7" t="str">
        <f t="shared" si="1370"/>
        <v/>
      </c>
      <c r="O1352" s="7" t="str">
        <f t="shared" si="1028"/>
        <v/>
      </c>
      <c r="P1352" s="7">
        <f t="shared" si="1332"/>
        <v>0</v>
      </c>
      <c r="Q1352" s="7" t="str">
        <f t="shared" si="7"/>
        <v/>
      </c>
      <c r="T1352" s="7"/>
    </row>
    <row r="1353" ht="12.75" customHeight="1">
      <c r="A1353" s="7">
        <v>1352.0</v>
      </c>
      <c r="B1353" s="7" t="s">
        <v>895</v>
      </c>
      <c r="C1353" s="7" t="s">
        <v>3108</v>
      </c>
      <c r="D1353" s="7"/>
      <c r="E1353" s="7"/>
      <c r="F1353" s="7" t="s">
        <v>4873</v>
      </c>
      <c r="G1353" s="7" t="s">
        <v>3451</v>
      </c>
      <c r="H1353" s="7" t="s">
        <v>3307</v>
      </c>
      <c r="I1353" s="7" t="s">
        <v>3530</v>
      </c>
      <c r="J1353" s="7" t="s">
        <v>3405</v>
      </c>
      <c r="K1353" s="7" t="str">
        <f t="shared" si="2"/>
        <v/>
      </c>
      <c r="L1353" s="7" t="str">
        <f t="shared" si="1026"/>
        <v/>
      </c>
      <c r="M1353" s="7">
        <f t="shared" ref="M1353:N1353" si="1371">IF(LEN(M$1),COUNTIF($G1353:$J1353,M$1),"")</f>
        <v>0</v>
      </c>
      <c r="N1353" s="7" t="str">
        <f t="shared" si="1371"/>
        <v/>
      </c>
      <c r="O1353" s="7" t="str">
        <f t="shared" si="1028"/>
        <v/>
      </c>
      <c r="P1353" s="7">
        <f t="shared" si="1332"/>
        <v>0</v>
      </c>
      <c r="Q1353" s="7" t="str">
        <f t="shared" si="7"/>
        <v/>
      </c>
      <c r="T1353" s="7"/>
    </row>
    <row r="1354" ht="12.75" customHeight="1">
      <c r="A1354" s="7">
        <v>1353.0</v>
      </c>
      <c r="B1354" s="7" t="s">
        <v>903</v>
      </c>
      <c r="C1354" s="7" t="s">
        <v>3108</v>
      </c>
      <c r="D1354" s="7"/>
      <c r="E1354" s="7"/>
      <c r="F1354" s="7" t="s">
        <v>4873</v>
      </c>
      <c r="G1354" s="7" t="s">
        <v>3449</v>
      </c>
      <c r="H1354" s="7" t="s">
        <v>3301</v>
      </c>
      <c r="I1354" s="7" t="s">
        <v>3516</v>
      </c>
      <c r="J1354" s="7" t="s">
        <v>3368</v>
      </c>
      <c r="K1354" s="7" t="str">
        <f t="shared" si="2"/>
        <v/>
      </c>
      <c r="L1354" s="7" t="str">
        <f t="shared" si="1026"/>
        <v/>
      </c>
      <c r="M1354" s="7">
        <f t="shared" ref="M1354:N1354" si="1372">IF(LEN(M$1),COUNTIF($G1354:$J1354,M$1),"")</f>
        <v>0</v>
      </c>
      <c r="N1354" s="7" t="str">
        <f t="shared" si="1372"/>
        <v/>
      </c>
      <c r="O1354" s="7" t="str">
        <f t="shared" si="1028"/>
        <v/>
      </c>
      <c r="P1354" s="7">
        <f t="shared" si="1332"/>
        <v>0</v>
      </c>
      <c r="Q1354" s="7" t="str">
        <f t="shared" si="7"/>
        <v/>
      </c>
      <c r="T1354" s="7"/>
    </row>
    <row r="1355" ht="12.75" customHeight="1">
      <c r="A1355" s="7">
        <v>1354.0</v>
      </c>
      <c r="B1355" s="7" t="s">
        <v>903</v>
      </c>
      <c r="C1355" s="7" t="s">
        <v>3108</v>
      </c>
      <c r="D1355" s="7"/>
      <c r="E1355" s="7"/>
      <c r="F1355" s="7" t="s">
        <v>4873</v>
      </c>
      <c r="G1355" s="7" t="s">
        <v>3562</v>
      </c>
      <c r="H1355" s="7" t="s">
        <v>3576</v>
      </c>
      <c r="I1355" s="7" t="s">
        <v>3462</v>
      </c>
      <c r="J1355" s="7" t="s">
        <v>3516</v>
      </c>
      <c r="K1355" s="7" t="str">
        <f t="shared" si="2"/>
        <v/>
      </c>
      <c r="L1355" s="7" t="str">
        <f t="shared" si="1026"/>
        <v/>
      </c>
      <c r="M1355" s="7">
        <f t="shared" ref="M1355:N1355" si="1373">IF(LEN(M$1),COUNTIF($G1355:$J1355,M$1),"")</f>
        <v>0</v>
      </c>
      <c r="N1355" s="7" t="str">
        <f t="shared" si="1373"/>
        <v/>
      </c>
      <c r="O1355" s="7" t="str">
        <f t="shared" si="1028"/>
        <v/>
      </c>
      <c r="P1355" s="7">
        <f t="shared" si="1332"/>
        <v>0</v>
      </c>
      <c r="Q1355" s="7" t="str">
        <f t="shared" si="7"/>
        <v/>
      </c>
      <c r="T1355" s="7"/>
    </row>
    <row r="1356" ht="12.75" customHeight="1">
      <c r="A1356" s="7">
        <v>1355.0</v>
      </c>
      <c r="B1356" s="7" t="s">
        <v>910</v>
      </c>
      <c r="C1356" s="7" t="s">
        <v>3108</v>
      </c>
      <c r="D1356" s="7"/>
      <c r="E1356" s="7"/>
      <c r="F1356" s="7" t="s">
        <v>4873</v>
      </c>
      <c r="G1356" s="7" t="s">
        <v>3579</v>
      </c>
      <c r="H1356" s="7" t="s">
        <v>3502</v>
      </c>
      <c r="I1356" s="7" t="s">
        <v>3473</v>
      </c>
      <c r="J1356" s="7" t="s">
        <v>3485</v>
      </c>
      <c r="K1356" s="7" t="str">
        <f t="shared" si="2"/>
        <v/>
      </c>
      <c r="L1356" s="7" t="str">
        <f t="shared" si="1026"/>
        <v/>
      </c>
      <c r="M1356" s="7">
        <f t="shared" ref="M1356:N1356" si="1374">IF(LEN(M$1),COUNTIF($G1356:$J1356,M$1),"")</f>
        <v>0</v>
      </c>
      <c r="N1356" s="7" t="str">
        <f t="shared" si="1374"/>
        <v/>
      </c>
      <c r="O1356" s="7" t="str">
        <f t="shared" si="1028"/>
        <v/>
      </c>
      <c r="P1356" s="7">
        <f t="shared" si="1332"/>
        <v>0</v>
      </c>
      <c r="Q1356" s="7" t="str">
        <f t="shared" si="7"/>
        <v/>
      </c>
      <c r="T1356" s="7"/>
    </row>
    <row r="1357" ht="12.75" customHeight="1">
      <c r="A1357" s="7">
        <v>1356.0</v>
      </c>
      <c r="B1357" s="7" t="s">
        <v>910</v>
      </c>
      <c r="C1357" s="7" t="s">
        <v>3108</v>
      </c>
      <c r="D1357" s="7"/>
      <c r="E1357" s="7"/>
      <c r="F1357" s="7" t="s">
        <v>4873</v>
      </c>
      <c r="G1357" s="7" t="s">
        <v>3400</v>
      </c>
      <c r="H1357" s="7" t="s">
        <v>3455</v>
      </c>
      <c r="I1357" s="7" t="s">
        <v>3536</v>
      </c>
      <c r="J1357" s="7" t="s">
        <v>3422</v>
      </c>
      <c r="K1357" s="7" t="str">
        <f t="shared" si="2"/>
        <v/>
      </c>
      <c r="L1357" s="7" t="str">
        <f t="shared" si="1026"/>
        <v/>
      </c>
      <c r="M1357" s="7">
        <f t="shared" ref="M1357:N1357" si="1375">IF(LEN(M$1),COUNTIF($G1357:$J1357,M$1),"")</f>
        <v>0</v>
      </c>
      <c r="N1357" s="7" t="str">
        <f t="shared" si="1375"/>
        <v/>
      </c>
      <c r="O1357" s="7" t="str">
        <f t="shared" si="1028"/>
        <v/>
      </c>
      <c r="P1357" s="7">
        <f t="shared" si="1332"/>
        <v>0</v>
      </c>
      <c r="Q1357" s="7" t="str">
        <f t="shared" si="7"/>
        <v/>
      </c>
      <c r="T1357" s="7"/>
    </row>
    <row r="1358" ht="12.75" customHeight="1">
      <c r="A1358" s="7">
        <v>1357.0</v>
      </c>
      <c r="B1358" s="7" t="s">
        <v>918</v>
      </c>
      <c r="C1358" s="7" t="s">
        <v>4839</v>
      </c>
      <c r="D1358" s="7"/>
      <c r="E1358" s="7"/>
      <c r="F1358" s="7" t="s">
        <v>4873</v>
      </c>
      <c r="G1358" s="7" t="s">
        <v>3546</v>
      </c>
      <c r="H1358" s="7" t="s">
        <v>3457</v>
      </c>
      <c r="I1358" s="7" t="s">
        <v>3564</v>
      </c>
      <c r="J1358" s="7" t="s">
        <v>3336</v>
      </c>
      <c r="K1358" s="7" t="str">
        <f t="shared" si="2"/>
        <v/>
      </c>
      <c r="L1358" s="7" t="str">
        <f t="shared" si="1026"/>
        <v/>
      </c>
      <c r="M1358" s="7">
        <f t="shared" ref="M1358:N1358" si="1376">IF(LEN(M$1),COUNTIF($G1358:$J1358,M$1),"")</f>
        <v>0</v>
      </c>
      <c r="N1358" s="7" t="str">
        <f t="shared" si="1376"/>
        <v/>
      </c>
      <c r="O1358" s="7" t="str">
        <f t="shared" si="1028"/>
        <v/>
      </c>
      <c r="P1358" s="7">
        <f t="shared" si="1332"/>
        <v>0</v>
      </c>
      <c r="Q1358" s="7" t="str">
        <f t="shared" si="7"/>
        <v/>
      </c>
      <c r="T1358" s="7"/>
    </row>
    <row r="1359" ht="12.75" customHeight="1">
      <c r="A1359" s="7">
        <v>1358.0</v>
      </c>
      <c r="B1359" s="7" t="s">
        <v>918</v>
      </c>
      <c r="C1359" s="7" t="s">
        <v>4839</v>
      </c>
      <c r="D1359" s="7"/>
      <c r="E1359" s="7"/>
      <c r="F1359" s="7" t="s">
        <v>4873</v>
      </c>
      <c r="G1359" s="7" t="s">
        <v>3559</v>
      </c>
      <c r="H1359" s="7" t="s">
        <v>3420</v>
      </c>
      <c r="I1359" s="7" t="s">
        <v>3549</v>
      </c>
      <c r="J1359" s="7" t="s">
        <v>3381</v>
      </c>
      <c r="K1359" s="7" t="str">
        <f t="shared" si="2"/>
        <v/>
      </c>
      <c r="L1359" s="7" t="str">
        <f t="shared" si="1026"/>
        <v/>
      </c>
      <c r="M1359" s="7">
        <f t="shared" ref="M1359:N1359" si="1377">IF(LEN(M$1),COUNTIF($G1359:$J1359,M$1),"")</f>
        <v>0</v>
      </c>
      <c r="N1359" s="7" t="str">
        <f t="shared" si="1377"/>
        <v/>
      </c>
      <c r="O1359" s="7" t="str">
        <f t="shared" si="1028"/>
        <v/>
      </c>
      <c r="P1359" s="7">
        <f t="shared" si="1332"/>
        <v>0</v>
      </c>
      <c r="Q1359" s="7" t="str">
        <f t="shared" si="7"/>
        <v/>
      </c>
      <c r="T1359" s="7"/>
    </row>
    <row r="1360" ht="12.75" customHeight="1">
      <c r="A1360" s="7">
        <v>1359.0</v>
      </c>
      <c r="B1360" s="7" t="s">
        <v>924</v>
      </c>
      <c r="C1360" s="7" t="s">
        <v>4839</v>
      </c>
      <c r="D1360" s="7"/>
      <c r="E1360" s="7"/>
      <c r="F1360" s="7" t="s">
        <v>4873</v>
      </c>
      <c r="G1360" s="7" t="s">
        <v>3494</v>
      </c>
      <c r="H1360" s="7" t="s">
        <v>3362</v>
      </c>
      <c r="I1360" s="7" t="s">
        <v>3500</v>
      </c>
      <c r="J1360" s="7" t="s">
        <v>3336</v>
      </c>
      <c r="K1360" s="7" t="str">
        <f t="shared" si="2"/>
        <v/>
      </c>
      <c r="L1360" s="7" t="str">
        <f t="shared" si="1026"/>
        <v/>
      </c>
      <c r="M1360" s="7">
        <f t="shared" ref="M1360:N1360" si="1378">IF(LEN(M$1),COUNTIF($G1360:$J1360,M$1),"")</f>
        <v>0</v>
      </c>
      <c r="N1360" s="7" t="str">
        <f t="shared" si="1378"/>
        <v/>
      </c>
      <c r="O1360" s="7" t="str">
        <f t="shared" si="1028"/>
        <v/>
      </c>
      <c r="P1360" s="7">
        <f t="shared" si="1332"/>
        <v>0</v>
      </c>
      <c r="Q1360" s="7" t="str">
        <f t="shared" si="7"/>
        <v/>
      </c>
      <c r="T1360" s="7"/>
    </row>
    <row r="1361" ht="12.75" customHeight="1">
      <c r="A1361" s="7">
        <v>1360.0</v>
      </c>
      <c r="B1361" s="7" t="s">
        <v>924</v>
      </c>
      <c r="C1361" s="7" t="s">
        <v>4839</v>
      </c>
      <c r="D1361" s="7"/>
      <c r="E1361" s="7"/>
      <c r="F1361" s="7" t="s">
        <v>4873</v>
      </c>
      <c r="G1361" s="7" t="s">
        <v>3303</v>
      </c>
      <c r="H1361" s="7" t="s">
        <v>3508</v>
      </c>
      <c r="I1361" s="7" t="s">
        <v>3513</v>
      </c>
      <c r="J1361" s="7" t="s">
        <v>3362</v>
      </c>
      <c r="K1361" s="7" t="str">
        <f t="shared" si="2"/>
        <v/>
      </c>
      <c r="L1361" s="7" t="str">
        <f t="shared" si="1026"/>
        <v/>
      </c>
      <c r="M1361" s="7">
        <f t="shared" ref="M1361:N1361" si="1379">IF(LEN(M$1),COUNTIF($G1361:$J1361,M$1),"")</f>
        <v>0</v>
      </c>
      <c r="N1361" s="7" t="str">
        <f t="shared" si="1379"/>
        <v/>
      </c>
      <c r="O1361" s="7" t="str">
        <f t="shared" si="1028"/>
        <v/>
      </c>
      <c r="P1361" s="7">
        <f t="shared" si="1332"/>
        <v>0</v>
      </c>
      <c r="Q1361" s="7" t="str">
        <f t="shared" si="7"/>
        <v/>
      </c>
      <c r="T1361" s="7"/>
    </row>
    <row r="1362" ht="12.75" customHeight="1">
      <c r="A1362" s="7">
        <v>1361.0</v>
      </c>
      <c r="B1362" s="7" t="s">
        <v>930</v>
      </c>
      <c r="C1362" s="7" t="s">
        <v>4839</v>
      </c>
      <c r="D1362" s="7"/>
      <c r="E1362" s="7"/>
      <c r="F1362" s="7" t="s">
        <v>4873</v>
      </c>
      <c r="G1362" s="7" t="s">
        <v>3500</v>
      </c>
      <c r="H1362" s="7" t="s">
        <v>3516</v>
      </c>
      <c r="I1362" s="7" t="s">
        <v>3555</v>
      </c>
      <c r="J1362" s="7" t="s">
        <v>3546</v>
      </c>
      <c r="K1362" s="7" t="str">
        <f t="shared" si="2"/>
        <v/>
      </c>
      <c r="L1362" s="7" t="str">
        <f t="shared" si="1026"/>
        <v/>
      </c>
      <c r="M1362" s="7">
        <f t="shared" ref="M1362:N1362" si="1380">IF(LEN(M$1),COUNTIF($G1362:$J1362,M$1),"")</f>
        <v>0</v>
      </c>
      <c r="N1362" s="7" t="str">
        <f t="shared" si="1380"/>
        <v/>
      </c>
      <c r="O1362" s="7" t="str">
        <f t="shared" si="1028"/>
        <v/>
      </c>
      <c r="P1362" s="7">
        <f t="shared" si="1332"/>
        <v>0</v>
      </c>
      <c r="Q1362" s="7" t="str">
        <f t="shared" si="7"/>
        <v/>
      </c>
      <c r="T1362" s="7"/>
    </row>
    <row r="1363" ht="12.75" customHeight="1">
      <c r="A1363" s="7">
        <v>1362.0</v>
      </c>
      <c r="B1363" s="7" t="s">
        <v>930</v>
      </c>
      <c r="C1363" s="7" t="s">
        <v>4839</v>
      </c>
      <c r="D1363" s="7"/>
      <c r="E1363" s="7"/>
      <c r="F1363" s="7" t="s">
        <v>4873</v>
      </c>
      <c r="G1363" s="7" t="s">
        <v>3494</v>
      </c>
      <c r="H1363" s="7" t="s">
        <v>3443</v>
      </c>
      <c r="I1363" s="7" t="s">
        <v>3460</v>
      </c>
      <c r="J1363" s="7" t="s">
        <v>3455</v>
      </c>
      <c r="K1363" s="7" t="str">
        <f t="shared" si="2"/>
        <v/>
      </c>
      <c r="L1363" s="7" t="str">
        <f t="shared" si="1026"/>
        <v/>
      </c>
      <c r="M1363" s="7">
        <f t="shared" ref="M1363:N1363" si="1381">IF(LEN(M$1),COUNTIF($G1363:$J1363,M$1),"")</f>
        <v>0</v>
      </c>
      <c r="N1363" s="7" t="str">
        <f t="shared" si="1381"/>
        <v/>
      </c>
      <c r="O1363" s="7" t="str">
        <f t="shared" si="1028"/>
        <v/>
      </c>
      <c r="P1363" s="7">
        <f t="shared" si="1332"/>
        <v>0</v>
      </c>
      <c r="Q1363" s="7" t="str">
        <f t="shared" si="7"/>
        <v/>
      </c>
      <c r="T1363" s="7"/>
    </row>
    <row r="1364" ht="12.75" customHeight="1">
      <c r="A1364" s="7">
        <v>1363.0</v>
      </c>
      <c r="B1364" s="7" t="s">
        <v>939</v>
      </c>
      <c r="C1364" s="7" t="s">
        <v>4827</v>
      </c>
      <c r="D1364" s="7"/>
      <c r="E1364" s="7"/>
      <c r="F1364" s="7" t="s">
        <v>4873</v>
      </c>
      <c r="G1364" s="7" t="s">
        <v>3309</v>
      </c>
      <c r="H1364" s="7" t="s">
        <v>3462</v>
      </c>
      <c r="I1364" s="7" t="s">
        <v>3527</v>
      </c>
      <c r="J1364" s="7" t="s">
        <v>3339</v>
      </c>
      <c r="K1364" s="7" t="str">
        <f t="shared" si="2"/>
        <v/>
      </c>
      <c r="L1364" s="7" t="str">
        <f t="shared" si="1026"/>
        <v/>
      </c>
      <c r="M1364" s="7">
        <f t="shared" ref="M1364:N1364" si="1382">IF(LEN(M$1),COUNTIF($G1364:$J1364,M$1),"")</f>
        <v>0</v>
      </c>
      <c r="N1364" s="7" t="str">
        <f t="shared" si="1382"/>
        <v/>
      </c>
      <c r="O1364" s="7" t="str">
        <f t="shared" si="1028"/>
        <v/>
      </c>
      <c r="P1364" s="7">
        <f t="shared" si="1332"/>
        <v>0</v>
      </c>
      <c r="Q1364" s="7" t="str">
        <f t="shared" si="7"/>
        <v/>
      </c>
      <c r="T1364" s="7"/>
    </row>
    <row r="1365" ht="12.75" customHeight="1">
      <c r="A1365" s="7">
        <v>1364.0</v>
      </c>
      <c r="B1365" s="7" t="s">
        <v>939</v>
      </c>
      <c r="C1365" s="7" t="s">
        <v>4827</v>
      </c>
      <c r="D1365" s="7"/>
      <c r="E1365" s="7"/>
      <c r="F1365" s="7" t="s">
        <v>4873</v>
      </c>
      <c r="G1365" s="7" t="s">
        <v>3462</v>
      </c>
      <c r="H1365" s="7" t="s">
        <v>3467</v>
      </c>
      <c r="I1365" s="7" t="s">
        <v>3505</v>
      </c>
      <c r="J1365" s="7" t="s">
        <v>3570</v>
      </c>
      <c r="K1365" s="7" t="str">
        <f t="shared" si="2"/>
        <v/>
      </c>
      <c r="L1365" s="7" t="str">
        <f t="shared" si="1026"/>
        <v/>
      </c>
      <c r="M1365" s="7">
        <f t="shared" ref="M1365:N1365" si="1383">IF(LEN(M$1),COUNTIF($G1365:$J1365,M$1),"")</f>
        <v>0</v>
      </c>
      <c r="N1365" s="7" t="str">
        <f t="shared" si="1383"/>
        <v/>
      </c>
      <c r="O1365" s="7" t="str">
        <f t="shared" si="1028"/>
        <v/>
      </c>
      <c r="P1365" s="7">
        <f t="shared" si="1332"/>
        <v>0</v>
      </c>
      <c r="Q1365" s="7" t="str">
        <f t="shared" si="7"/>
        <v/>
      </c>
      <c r="T1365" s="7"/>
    </row>
    <row r="1366" ht="12.75" customHeight="1">
      <c r="A1366" s="7">
        <v>1365.0</v>
      </c>
      <c r="B1366" s="7" t="s">
        <v>946</v>
      </c>
      <c r="C1366" s="7" t="s">
        <v>4827</v>
      </c>
      <c r="D1366" s="7"/>
      <c r="E1366" s="7"/>
      <c r="F1366" s="7" t="s">
        <v>4873</v>
      </c>
      <c r="G1366" s="7" t="s">
        <v>3539</v>
      </c>
      <c r="H1366" s="7" t="s">
        <v>3562</v>
      </c>
      <c r="I1366" s="7" t="s">
        <v>3544</v>
      </c>
      <c r="J1366" s="7" t="s">
        <v>3465</v>
      </c>
      <c r="K1366" s="7" t="str">
        <f t="shared" si="2"/>
        <v/>
      </c>
      <c r="L1366" s="7" t="str">
        <f t="shared" si="1026"/>
        <v/>
      </c>
      <c r="M1366" s="7">
        <f t="shared" ref="M1366:N1366" si="1384">IF(LEN(M$1),COUNTIF($G1366:$J1366,M$1),"")</f>
        <v>0</v>
      </c>
      <c r="N1366" s="7" t="str">
        <f t="shared" si="1384"/>
        <v/>
      </c>
      <c r="O1366" s="7" t="str">
        <f t="shared" si="1028"/>
        <v/>
      </c>
      <c r="P1366" s="7">
        <f t="shared" si="1332"/>
        <v>0</v>
      </c>
      <c r="Q1366" s="7" t="str">
        <f t="shared" si="7"/>
        <v/>
      </c>
      <c r="T1366" s="7"/>
    </row>
    <row r="1367" ht="12.75" customHeight="1">
      <c r="A1367" s="7">
        <v>1366.0</v>
      </c>
      <c r="B1367" s="7" t="s">
        <v>946</v>
      </c>
      <c r="C1367" s="7" t="s">
        <v>4827</v>
      </c>
      <c r="D1367" s="7"/>
      <c r="E1367" s="7"/>
      <c r="F1367" s="7" t="s">
        <v>4873</v>
      </c>
      <c r="G1367" s="7" t="s">
        <v>3295</v>
      </c>
      <c r="H1367" s="7" t="s">
        <v>3460</v>
      </c>
      <c r="I1367" s="7" t="s">
        <v>3530</v>
      </c>
      <c r="J1367" s="7" t="s">
        <v>3336</v>
      </c>
      <c r="K1367" s="7" t="str">
        <f t="shared" si="2"/>
        <v/>
      </c>
      <c r="L1367" s="7" t="str">
        <f t="shared" si="1026"/>
        <v/>
      </c>
      <c r="M1367" s="7">
        <f t="shared" ref="M1367:N1367" si="1385">IF(LEN(M$1),COUNTIF($G1367:$J1367,M$1),"")</f>
        <v>0</v>
      </c>
      <c r="N1367" s="7" t="str">
        <f t="shared" si="1385"/>
        <v/>
      </c>
      <c r="O1367" s="7" t="str">
        <f t="shared" si="1028"/>
        <v/>
      </c>
      <c r="P1367" s="7">
        <f t="shared" si="1332"/>
        <v>0</v>
      </c>
      <c r="Q1367" s="7" t="str">
        <f t="shared" si="7"/>
        <v/>
      </c>
      <c r="T1367" s="7"/>
    </row>
    <row r="1368" ht="12.75" customHeight="1">
      <c r="A1368" s="7">
        <v>1367.0</v>
      </c>
      <c r="B1368" s="7" t="s">
        <v>954</v>
      </c>
      <c r="C1368" s="7" t="s">
        <v>4827</v>
      </c>
      <c r="D1368" s="7"/>
      <c r="E1368" s="7"/>
      <c r="F1368" s="7" t="s">
        <v>4873</v>
      </c>
      <c r="G1368" s="7" t="s">
        <v>3576</v>
      </c>
      <c r="H1368" s="7" t="s">
        <v>3541</v>
      </c>
      <c r="I1368" s="7" t="s">
        <v>3488</v>
      </c>
      <c r="J1368" s="7" t="s">
        <v>3518</v>
      </c>
      <c r="K1368" s="7" t="str">
        <f t="shared" si="2"/>
        <v/>
      </c>
      <c r="L1368" s="7" t="str">
        <f t="shared" si="1026"/>
        <v/>
      </c>
      <c r="M1368" s="7">
        <f t="shared" ref="M1368:N1368" si="1386">IF(LEN(M$1),COUNTIF($G1368:$J1368,M$1),"")</f>
        <v>0</v>
      </c>
      <c r="N1368" s="7" t="str">
        <f t="shared" si="1386"/>
        <v/>
      </c>
      <c r="O1368" s="7" t="str">
        <f t="shared" si="1028"/>
        <v/>
      </c>
      <c r="P1368" s="7">
        <f t="shared" si="1332"/>
        <v>0</v>
      </c>
      <c r="Q1368" s="7" t="str">
        <f t="shared" si="7"/>
        <v/>
      </c>
      <c r="T1368" s="7"/>
    </row>
    <row r="1369" ht="12.75" customHeight="1">
      <c r="A1369" s="7">
        <v>1368.0</v>
      </c>
      <c r="B1369" s="7" t="s">
        <v>954</v>
      </c>
      <c r="C1369" s="7" t="s">
        <v>4827</v>
      </c>
      <c r="D1369" s="7"/>
      <c r="E1369" s="7"/>
      <c r="F1369" s="7" t="s">
        <v>4873</v>
      </c>
      <c r="G1369" s="7" t="s">
        <v>3555</v>
      </c>
      <c r="H1369" s="7" t="s">
        <v>3290</v>
      </c>
      <c r="I1369" s="7" t="s">
        <v>3443</v>
      </c>
      <c r="J1369" s="7" t="s">
        <v>3541</v>
      </c>
      <c r="K1369" s="7" t="str">
        <f t="shared" si="2"/>
        <v/>
      </c>
      <c r="L1369" s="7" t="str">
        <f t="shared" si="1026"/>
        <v/>
      </c>
      <c r="M1369" s="7">
        <f t="shared" ref="M1369:N1369" si="1387">IF(LEN(M$1),COUNTIF($G1369:$J1369,M$1),"")</f>
        <v>0</v>
      </c>
      <c r="N1369" s="7" t="str">
        <f t="shared" si="1387"/>
        <v/>
      </c>
      <c r="O1369" s="7" t="str">
        <f t="shared" si="1028"/>
        <v/>
      </c>
      <c r="P1369" s="7">
        <f t="shared" si="1332"/>
        <v>0</v>
      </c>
      <c r="Q1369" s="7" t="str">
        <f t="shared" si="7"/>
        <v/>
      </c>
      <c r="T1369" s="7"/>
    </row>
    <row r="1370" ht="12.75" customHeight="1">
      <c r="A1370" s="7">
        <v>1369.0</v>
      </c>
      <c r="B1370" s="7" t="s">
        <v>961</v>
      </c>
      <c r="C1370" s="7" t="s">
        <v>4838</v>
      </c>
      <c r="D1370" s="7"/>
      <c r="E1370" s="7"/>
      <c r="F1370" s="7" t="s">
        <v>4873</v>
      </c>
      <c r="G1370" s="7" t="s">
        <v>3488</v>
      </c>
      <c r="H1370" s="7" t="s">
        <v>3333</v>
      </c>
      <c r="I1370" s="7" t="s">
        <v>3497</v>
      </c>
      <c r="J1370" s="7" t="s">
        <v>3336</v>
      </c>
      <c r="K1370" s="7" t="str">
        <f t="shared" si="2"/>
        <v/>
      </c>
      <c r="L1370" s="7" t="str">
        <f t="shared" si="1026"/>
        <v/>
      </c>
      <c r="M1370" s="7">
        <f t="shared" ref="M1370:N1370" si="1388">IF(LEN(M$1),COUNTIF($G1370:$J1370,M$1),"")</f>
        <v>0</v>
      </c>
      <c r="N1370" s="7" t="str">
        <f t="shared" si="1388"/>
        <v/>
      </c>
      <c r="O1370" s="7" t="str">
        <f t="shared" si="1028"/>
        <v/>
      </c>
      <c r="P1370" s="7">
        <f t="shared" si="1332"/>
        <v>0</v>
      </c>
      <c r="Q1370" s="7" t="str">
        <f t="shared" si="7"/>
        <v/>
      </c>
      <c r="T1370" s="7"/>
    </row>
    <row r="1371" ht="12.75" customHeight="1">
      <c r="A1371" s="7">
        <v>1370.0</v>
      </c>
      <c r="B1371" s="7" t="s">
        <v>961</v>
      </c>
      <c r="C1371" s="7" t="s">
        <v>4838</v>
      </c>
      <c r="D1371" s="7"/>
      <c r="E1371" s="7"/>
      <c r="F1371" s="7" t="s">
        <v>4873</v>
      </c>
      <c r="G1371" s="7" t="s">
        <v>3567</v>
      </c>
      <c r="H1371" s="7" t="s">
        <v>3581</v>
      </c>
      <c r="I1371" s="7" t="s">
        <v>3445</v>
      </c>
      <c r="J1371" s="7" t="s">
        <v>3480</v>
      </c>
      <c r="K1371" s="7" t="str">
        <f t="shared" si="2"/>
        <v/>
      </c>
      <c r="L1371" s="7" t="str">
        <f t="shared" si="1026"/>
        <v/>
      </c>
      <c r="M1371" s="7">
        <f t="shared" ref="M1371:N1371" si="1389">IF(LEN(M$1),COUNTIF($G1371:$J1371,M$1),"")</f>
        <v>0</v>
      </c>
      <c r="N1371" s="7" t="str">
        <f t="shared" si="1389"/>
        <v/>
      </c>
      <c r="O1371" s="7" t="str">
        <f t="shared" si="1028"/>
        <v/>
      </c>
      <c r="P1371" s="7">
        <f t="shared" si="1332"/>
        <v>0</v>
      </c>
      <c r="Q1371" s="7" t="str">
        <f t="shared" si="7"/>
        <v/>
      </c>
      <c r="T1371" s="7"/>
    </row>
    <row r="1372" ht="12.75" customHeight="1">
      <c r="A1372" s="7">
        <v>1371.0</v>
      </c>
      <c r="B1372" s="7" t="s">
        <v>969</v>
      </c>
      <c r="C1372" s="7" t="s">
        <v>4838</v>
      </c>
      <c r="D1372" s="7"/>
      <c r="E1372" s="7"/>
      <c r="F1372" s="7" t="s">
        <v>4873</v>
      </c>
      <c r="G1372" s="7" t="s">
        <v>3321</v>
      </c>
      <c r="H1372" s="7" t="s">
        <v>3555</v>
      </c>
      <c r="I1372" s="7" t="s">
        <v>3469</v>
      </c>
      <c r="J1372" s="7" t="s">
        <v>3422</v>
      </c>
      <c r="K1372" s="7" t="str">
        <f t="shared" si="2"/>
        <v/>
      </c>
      <c r="L1372" s="7" t="str">
        <f t="shared" si="1026"/>
        <v/>
      </c>
      <c r="M1372" s="7">
        <f t="shared" ref="M1372:N1372" si="1390">IF(LEN(M$1),COUNTIF($G1372:$J1372,M$1),"")</f>
        <v>0</v>
      </c>
      <c r="N1372" s="7" t="str">
        <f t="shared" si="1390"/>
        <v/>
      </c>
      <c r="O1372" s="7" t="str">
        <f t="shared" si="1028"/>
        <v/>
      </c>
      <c r="P1372" s="7">
        <f t="shared" si="1332"/>
        <v>0</v>
      </c>
      <c r="Q1372" s="7" t="str">
        <f t="shared" si="7"/>
        <v/>
      </c>
      <c r="T1372" s="7"/>
    </row>
    <row r="1373" ht="12.75" customHeight="1">
      <c r="A1373" s="7">
        <v>1372.0</v>
      </c>
      <c r="B1373" s="7" t="s">
        <v>969</v>
      </c>
      <c r="C1373" s="7" t="s">
        <v>4838</v>
      </c>
      <c r="D1373" s="7"/>
      <c r="E1373" s="7"/>
      <c r="F1373" s="7" t="s">
        <v>4873</v>
      </c>
      <c r="G1373" s="7" t="s">
        <v>3564</v>
      </c>
      <c r="H1373" s="7" t="s">
        <v>3567</v>
      </c>
      <c r="I1373" s="7" t="s">
        <v>3505</v>
      </c>
      <c r="J1373" s="7" t="s">
        <v>3480</v>
      </c>
      <c r="K1373" s="7" t="str">
        <f t="shared" si="2"/>
        <v/>
      </c>
      <c r="L1373" s="7" t="str">
        <f t="shared" si="1026"/>
        <v/>
      </c>
      <c r="M1373" s="7">
        <f t="shared" ref="M1373:N1373" si="1391">IF(LEN(M$1),COUNTIF($G1373:$J1373,M$1),"")</f>
        <v>0</v>
      </c>
      <c r="N1373" s="7" t="str">
        <f t="shared" si="1391"/>
        <v/>
      </c>
      <c r="O1373" s="7" t="str">
        <f t="shared" si="1028"/>
        <v/>
      </c>
      <c r="P1373" s="7">
        <f t="shared" si="1332"/>
        <v>0</v>
      </c>
      <c r="Q1373" s="7" t="str">
        <f t="shared" si="7"/>
        <v/>
      </c>
      <c r="T1373" s="7"/>
    </row>
    <row r="1374" ht="12.75" customHeight="1">
      <c r="A1374" s="7">
        <v>1373.0</v>
      </c>
      <c r="B1374" s="7" t="s">
        <v>975</v>
      </c>
      <c r="C1374" s="7" t="s">
        <v>4838</v>
      </c>
      <c r="D1374" s="7"/>
      <c r="E1374" s="7"/>
      <c r="F1374" s="7" t="s">
        <v>4873</v>
      </c>
      <c r="G1374" s="7" t="s">
        <v>3449</v>
      </c>
      <c r="H1374" s="7" t="s">
        <v>3329</v>
      </c>
      <c r="I1374" s="7" t="s">
        <v>3500</v>
      </c>
      <c r="J1374" s="7" t="s">
        <v>3518</v>
      </c>
      <c r="K1374" s="7" t="str">
        <f t="shared" si="2"/>
        <v/>
      </c>
      <c r="L1374" s="7" t="str">
        <f t="shared" si="1026"/>
        <v/>
      </c>
      <c r="M1374" s="7">
        <f t="shared" ref="M1374:N1374" si="1392">IF(LEN(M$1),COUNTIF($G1374:$J1374,M$1),"")</f>
        <v>0</v>
      </c>
      <c r="N1374" s="7" t="str">
        <f t="shared" si="1392"/>
        <v/>
      </c>
      <c r="O1374" s="7" t="str">
        <f t="shared" si="1028"/>
        <v/>
      </c>
      <c r="P1374" s="7">
        <f t="shared" si="1332"/>
        <v>0</v>
      </c>
      <c r="Q1374" s="7" t="str">
        <f t="shared" si="7"/>
        <v/>
      </c>
      <c r="T1374" s="7"/>
    </row>
    <row r="1375" ht="12.75" customHeight="1">
      <c r="A1375" s="7">
        <v>1374.0</v>
      </c>
      <c r="B1375" s="7" t="s">
        <v>975</v>
      </c>
      <c r="C1375" s="7" t="s">
        <v>4838</v>
      </c>
      <c r="D1375" s="7"/>
      <c r="E1375" s="7"/>
      <c r="F1375" s="7" t="s">
        <v>4873</v>
      </c>
      <c r="G1375" s="7" t="s">
        <v>3527</v>
      </c>
      <c r="H1375" s="7" t="s">
        <v>3297</v>
      </c>
      <c r="I1375" s="7" t="s">
        <v>3502</v>
      </c>
      <c r="J1375" s="7" t="s">
        <v>3572</v>
      </c>
      <c r="K1375" s="7" t="str">
        <f t="shared" si="2"/>
        <v/>
      </c>
      <c r="L1375" s="7" t="str">
        <f t="shared" si="1026"/>
        <v/>
      </c>
      <c r="M1375" s="7">
        <f t="shared" ref="M1375:N1375" si="1393">IF(LEN(M$1),COUNTIF($G1375:$J1375,M$1),"")</f>
        <v>0</v>
      </c>
      <c r="N1375" s="7" t="str">
        <f t="shared" si="1393"/>
        <v/>
      </c>
      <c r="O1375" s="7" t="str">
        <f t="shared" si="1028"/>
        <v/>
      </c>
      <c r="P1375" s="7">
        <f t="shared" si="1332"/>
        <v>0</v>
      </c>
      <c r="Q1375" s="7" t="str">
        <f t="shared" si="7"/>
        <v/>
      </c>
      <c r="T1375" s="7"/>
    </row>
    <row r="1376" ht="12.75" customHeight="1">
      <c r="A1376" s="7">
        <v>1375.0</v>
      </c>
      <c r="B1376" s="7" t="s">
        <v>981</v>
      </c>
      <c r="C1376" s="7" t="s">
        <v>2659</v>
      </c>
      <c r="D1376" s="7"/>
      <c r="E1376" s="7"/>
      <c r="F1376" s="7" t="s">
        <v>4873</v>
      </c>
      <c r="G1376" s="7" t="s">
        <v>3362</v>
      </c>
      <c r="H1376" s="7" t="s">
        <v>3457</v>
      </c>
      <c r="I1376" s="7" t="s">
        <v>3491</v>
      </c>
      <c r="J1376" s="7" t="s">
        <v>3373</v>
      </c>
      <c r="K1376" s="7" t="str">
        <f t="shared" si="2"/>
        <v/>
      </c>
      <c r="L1376" s="7" t="str">
        <f t="shared" si="1026"/>
        <v/>
      </c>
      <c r="M1376" s="7">
        <f t="shared" ref="M1376:N1376" si="1394">IF(LEN(M$1),COUNTIF($G1376:$J1376,M$1),"")</f>
        <v>0</v>
      </c>
      <c r="N1376" s="7" t="str">
        <f t="shared" si="1394"/>
        <v/>
      </c>
      <c r="O1376" s="7" t="str">
        <f t="shared" si="1028"/>
        <v/>
      </c>
      <c r="P1376" s="7">
        <f t="shared" si="1332"/>
        <v>0</v>
      </c>
      <c r="Q1376" s="7" t="str">
        <f t="shared" si="7"/>
        <v/>
      </c>
      <c r="T1376" s="7"/>
    </row>
    <row r="1377" ht="12.75" customHeight="1">
      <c r="A1377" s="7">
        <v>1376.0</v>
      </c>
      <c r="B1377" s="7" t="s">
        <v>981</v>
      </c>
      <c r="C1377" s="7" t="s">
        <v>2659</v>
      </c>
      <c r="D1377" s="7"/>
      <c r="E1377" s="7"/>
      <c r="F1377" s="7" t="s">
        <v>4873</v>
      </c>
      <c r="G1377" s="7" t="s">
        <v>3491</v>
      </c>
      <c r="H1377" s="7" t="s">
        <v>3368</v>
      </c>
      <c r="I1377" s="7" t="s">
        <v>3576</v>
      </c>
      <c r="J1377" s="7" t="s">
        <v>3488</v>
      </c>
      <c r="K1377" s="7" t="str">
        <f t="shared" si="2"/>
        <v/>
      </c>
      <c r="L1377" s="7" t="str">
        <f t="shared" si="1026"/>
        <v/>
      </c>
      <c r="M1377" s="7">
        <f t="shared" ref="M1377:N1377" si="1395">IF(LEN(M$1),COUNTIF($G1377:$J1377,M$1),"")</f>
        <v>0</v>
      </c>
      <c r="N1377" s="7" t="str">
        <f t="shared" si="1395"/>
        <v/>
      </c>
      <c r="O1377" s="7" t="str">
        <f t="shared" si="1028"/>
        <v/>
      </c>
      <c r="P1377" s="7">
        <f t="shared" si="1332"/>
        <v>0</v>
      </c>
      <c r="Q1377" s="7" t="str">
        <f t="shared" si="7"/>
        <v/>
      </c>
      <c r="T1377" s="7"/>
    </row>
    <row r="1378" ht="12.75" customHeight="1">
      <c r="A1378" s="7">
        <v>1377.0</v>
      </c>
      <c r="B1378" s="7" t="s">
        <v>989</v>
      </c>
      <c r="C1378" s="7" t="s">
        <v>2659</v>
      </c>
      <c r="D1378" s="7"/>
      <c r="E1378" s="7"/>
      <c r="F1378" s="7" t="s">
        <v>4873</v>
      </c>
      <c r="G1378" s="7" t="s">
        <v>3297</v>
      </c>
      <c r="H1378" s="7" t="s">
        <v>3511</v>
      </c>
      <c r="I1378" s="7" t="s">
        <v>3457</v>
      </c>
      <c r="J1378" s="7" t="s">
        <v>3385</v>
      </c>
      <c r="K1378" s="7" t="str">
        <f t="shared" si="2"/>
        <v/>
      </c>
      <c r="L1378" s="7" t="str">
        <f t="shared" si="1026"/>
        <v/>
      </c>
      <c r="M1378" s="7">
        <f t="shared" ref="M1378:N1378" si="1396">IF(LEN(M$1),COUNTIF($G1378:$J1378,M$1),"")</f>
        <v>0</v>
      </c>
      <c r="N1378" s="7" t="str">
        <f t="shared" si="1396"/>
        <v/>
      </c>
      <c r="O1378" s="7" t="str">
        <f t="shared" si="1028"/>
        <v/>
      </c>
      <c r="P1378" s="7">
        <f t="shared" si="1332"/>
        <v>0</v>
      </c>
      <c r="Q1378" s="7" t="str">
        <f t="shared" si="7"/>
        <v/>
      </c>
      <c r="T1378" s="7"/>
    </row>
    <row r="1379" ht="12.75" customHeight="1">
      <c r="A1379" s="7">
        <v>1378.0</v>
      </c>
      <c r="B1379" s="7" t="s">
        <v>989</v>
      </c>
      <c r="C1379" s="7" t="s">
        <v>2659</v>
      </c>
      <c r="D1379" s="7"/>
      <c r="E1379" s="7"/>
      <c r="F1379" s="7" t="s">
        <v>4873</v>
      </c>
      <c r="G1379" s="7" t="s">
        <v>3323</v>
      </c>
      <c r="H1379" s="7" t="s">
        <v>3520</v>
      </c>
      <c r="I1379" s="7" t="s">
        <v>3567</v>
      </c>
      <c r="J1379" s="7" t="s">
        <v>3336</v>
      </c>
      <c r="K1379" s="7" t="str">
        <f t="shared" si="2"/>
        <v/>
      </c>
      <c r="L1379" s="7" t="str">
        <f t="shared" si="1026"/>
        <v/>
      </c>
      <c r="M1379" s="7">
        <f t="shared" ref="M1379:N1379" si="1397">IF(LEN(M$1),COUNTIF($G1379:$J1379,M$1),"")</f>
        <v>0</v>
      </c>
      <c r="N1379" s="7" t="str">
        <f t="shared" si="1397"/>
        <v/>
      </c>
      <c r="O1379" s="7" t="str">
        <f t="shared" si="1028"/>
        <v/>
      </c>
      <c r="P1379" s="7">
        <f t="shared" si="1332"/>
        <v>0</v>
      </c>
      <c r="Q1379" s="7" t="str">
        <f t="shared" si="7"/>
        <v/>
      </c>
      <c r="T1379" s="7"/>
    </row>
    <row r="1380" ht="12.75" customHeight="1">
      <c r="A1380" s="7">
        <v>1379.0</v>
      </c>
      <c r="B1380" s="7" t="s">
        <v>996</v>
      </c>
      <c r="C1380" s="7" t="s">
        <v>2659</v>
      </c>
      <c r="D1380" s="7"/>
      <c r="E1380" s="7"/>
      <c r="F1380" s="7" t="s">
        <v>4873</v>
      </c>
      <c r="G1380" s="7" t="s">
        <v>3541</v>
      </c>
      <c r="H1380" s="7" t="s">
        <v>3290</v>
      </c>
      <c r="I1380" s="7" t="s">
        <v>3502</v>
      </c>
      <c r="J1380" s="7" t="s">
        <v>3520</v>
      </c>
      <c r="K1380" s="7" t="str">
        <f t="shared" si="2"/>
        <v/>
      </c>
      <c r="L1380" s="7" t="str">
        <f t="shared" si="1026"/>
        <v/>
      </c>
      <c r="M1380" s="7">
        <f t="shared" ref="M1380:N1380" si="1398">IF(LEN(M$1),COUNTIF($G1380:$J1380,M$1),"")</f>
        <v>0</v>
      </c>
      <c r="N1380" s="7" t="str">
        <f t="shared" si="1398"/>
        <v/>
      </c>
      <c r="O1380" s="7" t="str">
        <f t="shared" si="1028"/>
        <v/>
      </c>
      <c r="P1380" s="7">
        <f t="shared" si="1332"/>
        <v>0</v>
      </c>
      <c r="Q1380" s="7" t="str">
        <f t="shared" si="7"/>
        <v/>
      </c>
      <c r="T1380" s="7"/>
    </row>
    <row r="1381" ht="12.75" customHeight="1">
      <c r="A1381" s="7">
        <v>1380.0</v>
      </c>
      <c r="B1381" s="7" t="s">
        <v>996</v>
      </c>
      <c r="C1381" s="7" t="s">
        <v>2659</v>
      </c>
      <c r="D1381" s="7"/>
      <c r="E1381" s="7"/>
      <c r="F1381" s="7" t="s">
        <v>4873</v>
      </c>
      <c r="G1381" s="7" t="s">
        <v>3455</v>
      </c>
      <c r="H1381" s="7" t="s">
        <v>3527</v>
      </c>
      <c r="I1381" s="7" t="s">
        <v>3555</v>
      </c>
      <c r="J1381" s="7" t="s">
        <v>3520</v>
      </c>
      <c r="K1381" s="7" t="str">
        <f t="shared" si="2"/>
        <v/>
      </c>
      <c r="L1381" s="7" t="str">
        <f t="shared" si="1026"/>
        <v/>
      </c>
      <c r="M1381" s="7">
        <f t="shared" ref="M1381:N1381" si="1399">IF(LEN(M$1),COUNTIF($G1381:$J1381,M$1),"")</f>
        <v>0</v>
      </c>
      <c r="N1381" s="7" t="str">
        <f t="shared" si="1399"/>
        <v/>
      </c>
      <c r="O1381" s="7" t="str">
        <f t="shared" si="1028"/>
        <v/>
      </c>
      <c r="P1381" s="7">
        <f t="shared" si="1332"/>
        <v>0</v>
      </c>
      <c r="Q1381" s="7" t="str">
        <f t="shared" si="7"/>
        <v/>
      </c>
      <c r="T1381" s="7"/>
    </row>
    <row r="1382" ht="12.75" customHeight="1">
      <c r="A1382" s="7">
        <v>1381.0</v>
      </c>
      <c r="B1382" s="7" t="s">
        <v>1004</v>
      </c>
      <c r="C1382" s="7" t="s">
        <v>2659</v>
      </c>
      <c r="D1382" s="7"/>
      <c r="E1382" s="7"/>
      <c r="F1382" s="7" t="s">
        <v>4873</v>
      </c>
      <c r="G1382" s="7" t="s">
        <v>3476</v>
      </c>
      <c r="H1382" s="7" t="s">
        <v>3336</v>
      </c>
      <c r="I1382" s="7" t="s">
        <v>3544</v>
      </c>
      <c r="J1382" s="7" t="s">
        <v>3525</v>
      </c>
      <c r="K1382" s="7" t="str">
        <f t="shared" si="2"/>
        <v/>
      </c>
      <c r="L1382" s="7" t="str">
        <f t="shared" si="1026"/>
        <v/>
      </c>
      <c r="M1382" s="7">
        <f t="shared" ref="M1382:N1382" si="1400">IF(LEN(M$1),COUNTIF($G1382:$J1382,M$1),"")</f>
        <v>0</v>
      </c>
      <c r="N1382" s="7" t="str">
        <f t="shared" si="1400"/>
        <v/>
      </c>
      <c r="O1382" s="7" t="str">
        <f t="shared" si="1028"/>
        <v/>
      </c>
      <c r="P1382" s="7">
        <f t="shared" si="1332"/>
        <v>0</v>
      </c>
      <c r="Q1382" s="7" t="str">
        <f t="shared" si="7"/>
        <v/>
      </c>
      <c r="T1382" s="7"/>
    </row>
    <row r="1383" ht="12.75" customHeight="1">
      <c r="A1383" s="7">
        <v>1382.0</v>
      </c>
      <c r="B1383" s="7" t="s">
        <v>1004</v>
      </c>
      <c r="C1383" s="7" t="s">
        <v>2659</v>
      </c>
      <c r="D1383" s="7"/>
      <c r="E1383" s="7"/>
      <c r="F1383" s="7" t="s">
        <v>4873</v>
      </c>
      <c r="G1383" s="7" t="s">
        <v>3413</v>
      </c>
      <c r="H1383" s="7" t="s">
        <v>3549</v>
      </c>
      <c r="I1383" s="7" t="s">
        <v>3480</v>
      </c>
      <c r="J1383" s="7" t="s">
        <v>3342</v>
      </c>
      <c r="K1383" s="7" t="str">
        <f t="shared" si="2"/>
        <v/>
      </c>
      <c r="L1383" s="7" t="str">
        <f t="shared" si="1026"/>
        <v/>
      </c>
      <c r="M1383" s="7">
        <f t="shared" ref="M1383:N1383" si="1401">IF(LEN(M$1),COUNTIF($G1383:$J1383,M$1),"")</f>
        <v>0</v>
      </c>
      <c r="N1383" s="7" t="str">
        <f t="shared" si="1401"/>
        <v/>
      </c>
      <c r="O1383" s="7" t="str">
        <f t="shared" si="1028"/>
        <v/>
      </c>
      <c r="P1383" s="7">
        <f t="shared" si="1332"/>
        <v>0</v>
      </c>
      <c r="Q1383" s="7" t="str">
        <f t="shared" si="7"/>
        <v/>
      </c>
      <c r="T1383" s="7"/>
    </row>
    <row r="1384" ht="12.75" customHeight="1">
      <c r="A1384" s="7">
        <v>1383.0</v>
      </c>
      <c r="B1384" s="7" t="s">
        <v>1012</v>
      </c>
      <c r="C1384" s="7" t="s">
        <v>2659</v>
      </c>
      <c r="D1384" s="7"/>
      <c r="E1384" s="7"/>
      <c r="F1384" s="7" t="s">
        <v>4873</v>
      </c>
      <c r="G1384" s="7" t="s">
        <v>3321</v>
      </c>
      <c r="H1384" s="7" t="s">
        <v>3581</v>
      </c>
      <c r="I1384" s="7" t="s">
        <v>3457</v>
      </c>
      <c r="J1384" s="7" t="s">
        <v>3287</v>
      </c>
      <c r="K1384" s="7" t="str">
        <f t="shared" si="2"/>
        <v/>
      </c>
      <c r="L1384" s="7" t="str">
        <f t="shared" si="1026"/>
        <v/>
      </c>
      <c r="M1384" s="7">
        <f t="shared" ref="M1384:N1384" si="1402">IF(LEN(M$1),COUNTIF($G1384:$J1384,M$1),"")</f>
        <v>0</v>
      </c>
      <c r="N1384" s="7" t="str">
        <f t="shared" si="1402"/>
        <v/>
      </c>
      <c r="O1384" s="7" t="str">
        <f t="shared" si="1028"/>
        <v/>
      </c>
      <c r="P1384" s="7">
        <f t="shared" si="1332"/>
        <v>0</v>
      </c>
      <c r="Q1384" s="7" t="str">
        <f t="shared" si="7"/>
        <v/>
      </c>
      <c r="T1384" s="7"/>
    </row>
    <row r="1385" ht="12.75" customHeight="1">
      <c r="A1385" s="7">
        <v>1384.0</v>
      </c>
      <c r="B1385" s="7" t="s">
        <v>1012</v>
      </c>
      <c r="C1385" s="7" t="s">
        <v>2659</v>
      </c>
      <c r="D1385" s="7"/>
      <c r="E1385" s="7"/>
      <c r="F1385" s="7" t="s">
        <v>4873</v>
      </c>
      <c r="G1385" s="7" t="s">
        <v>3455</v>
      </c>
      <c r="H1385" s="7" t="s">
        <v>3513</v>
      </c>
      <c r="I1385" s="7" t="s">
        <v>3465</v>
      </c>
      <c r="J1385" s="7" t="s">
        <v>3443</v>
      </c>
      <c r="K1385" s="7" t="str">
        <f t="shared" si="2"/>
        <v/>
      </c>
      <c r="L1385" s="7" t="str">
        <f t="shared" si="1026"/>
        <v/>
      </c>
      <c r="M1385" s="7">
        <f t="shared" ref="M1385:N1385" si="1403">IF(LEN(M$1),COUNTIF($G1385:$J1385,M$1),"")</f>
        <v>0</v>
      </c>
      <c r="N1385" s="7" t="str">
        <f t="shared" si="1403"/>
        <v/>
      </c>
      <c r="O1385" s="7" t="str">
        <f t="shared" si="1028"/>
        <v/>
      </c>
      <c r="P1385" s="7">
        <f t="shared" si="1332"/>
        <v>0</v>
      </c>
      <c r="Q1385" s="7" t="str">
        <f t="shared" si="7"/>
        <v/>
      </c>
      <c r="T1385" s="7"/>
    </row>
    <row r="1386" ht="12.75" customHeight="1">
      <c r="A1386" s="7">
        <v>1385.0</v>
      </c>
      <c r="B1386" s="7" t="s">
        <v>1020</v>
      </c>
      <c r="C1386" s="7" t="s">
        <v>2659</v>
      </c>
      <c r="D1386" s="7"/>
      <c r="E1386" s="7"/>
      <c r="F1386" s="7" t="s">
        <v>4873</v>
      </c>
      <c r="G1386" s="7" t="s">
        <v>3525</v>
      </c>
      <c r="H1386" s="7" t="s">
        <v>3305</v>
      </c>
      <c r="I1386" s="7" t="s">
        <v>3494</v>
      </c>
      <c r="J1386" s="7" t="s">
        <v>3325</v>
      </c>
      <c r="K1386" s="7" t="str">
        <f t="shared" si="2"/>
        <v/>
      </c>
      <c r="L1386" s="7" t="str">
        <f t="shared" si="1026"/>
        <v/>
      </c>
      <c r="M1386" s="7">
        <f t="shared" ref="M1386:N1386" si="1404">IF(LEN(M$1),COUNTIF($G1386:$J1386,M$1),"")</f>
        <v>0</v>
      </c>
      <c r="N1386" s="7" t="str">
        <f t="shared" si="1404"/>
        <v/>
      </c>
      <c r="O1386" s="7" t="str">
        <f t="shared" si="1028"/>
        <v/>
      </c>
      <c r="P1386" s="7">
        <f t="shared" si="1332"/>
        <v>0</v>
      </c>
      <c r="Q1386" s="7" t="str">
        <f t="shared" si="7"/>
        <v/>
      </c>
      <c r="T1386" s="7"/>
    </row>
    <row r="1387" ht="12.75" customHeight="1">
      <c r="A1387" s="7">
        <v>1386.0</v>
      </c>
      <c r="B1387" s="7" t="s">
        <v>1020</v>
      </c>
      <c r="C1387" s="7" t="s">
        <v>2659</v>
      </c>
      <c r="D1387" s="7"/>
      <c r="E1387" s="7"/>
      <c r="F1387" s="7" t="s">
        <v>4873</v>
      </c>
      <c r="G1387" s="7" t="s">
        <v>3581</v>
      </c>
      <c r="H1387" s="7" t="s">
        <v>3541</v>
      </c>
      <c r="I1387" s="7" t="s">
        <v>3473</v>
      </c>
      <c r="J1387" s="7" t="s">
        <v>3488</v>
      </c>
      <c r="K1387" s="7" t="str">
        <f t="shared" si="2"/>
        <v/>
      </c>
      <c r="L1387" s="7" t="str">
        <f t="shared" si="1026"/>
        <v/>
      </c>
      <c r="M1387" s="7">
        <f t="shared" ref="M1387:N1387" si="1405">IF(LEN(M$1),COUNTIF($G1387:$J1387,M$1),"")</f>
        <v>0</v>
      </c>
      <c r="N1387" s="7" t="str">
        <f t="shared" si="1405"/>
        <v/>
      </c>
      <c r="O1387" s="7" t="str">
        <f t="shared" si="1028"/>
        <v/>
      </c>
      <c r="P1387" s="7">
        <f t="shared" si="1332"/>
        <v>0</v>
      </c>
      <c r="Q1387" s="7" t="str">
        <f t="shared" si="7"/>
        <v/>
      </c>
      <c r="T1387" s="7"/>
    </row>
    <row r="1388" ht="12.75" customHeight="1">
      <c r="A1388" s="7">
        <v>1387.0</v>
      </c>
      <c r="B1388" s="7" t="s">
        <v>194</v>
      </c>
      <c r="C1388" s="7" t="s">
        <v>4830</v>
      </c>
      <c r="D1388" s="7"/>
      <c r="E1388" s="7"/>
      <c r="F1388" s="7" t="s">
        <v>4873</v>
      </c>
      <c r="G1388" s="7" t="s">
        <v>3551</v>
      </c>
      <c r="H1388" s="7" t="s">
        <v>3539</v>
      </c>
      <c r="I1388" s="7" t="s">
        <v>3494</v>
      </c>
      <c r="J1388" s="7" t="s">
        <v>3546</v>
      </c>
      <c r="K1388" s="7" t="str">
        <f t="shared" si="2"/>
        <v/>
      </c>
      <c r="L1388" s="7" t="str">
        <f t="shared" si="1026"/>
        <v/>
      </c>
      <c r="M1388" s="7">
        <f t="shared" ref="M1388:N1388" si="1406">IF(LEN(M$1),COUNTIF($G1388:$J1388,M$1),"")</f>
        <v>0</v>
      </c>
      <c r="N1388" s="7" t="str">
        <f t="shared" si="1406"/>
        <v/>
      </c>
      <c r="O1388" s="7" t="str">
        <f t="shared" si="1028"/>
        <v/>
      </c>
      <c r="P1388" s="7">
        <f t="shared" si="1332"/>
        <v>0</v>
      </c>
      <c r="Q1388" s="7" t="str">
        <f t="shared" si="7"/>
        <v/>
      </c>
      <c r="T1388" s="7"/>
    </row>
    <row r="1389" ht="12.75" customHeight="1">
      <c r="A1389" s="7">
        <v>1388.0</v>
      </c>
      <c r="B1389" s="7" t="s">
        <v>194</v>
      </c>
      <c r="C1389" s="7" t="s">
        <v>4830</v>
      </c>
      <c r="D1389" s="7"/>
      <c r="E1389" s="7"/>
      <c r="F1389" s="7" t="s">
        <v>4873</v>
      </c>
      <c r="G1389" s="7" t="s">
        <v>3581</v>
      </c>
      <c r="H1389" s="7" t="s">
        <v>3465</v>
      </c>
      <c r="I1389" s="7" t="s">
        <v>3508</v>
      </c>
      <c r="J1389" s="7" t="s">
        <v>3527</v>
      </c>
      <c r="K1389" s="7" t="str">
        <f t="shared" si="2"/>
        <v/>
      </c>
      <c r="L1389" s="7" t="str">
        <f t="shared" si="1026"/>
        <v/>
      </c>
      <c r="M1389" s="7">
        <f t="shared" ref="M1389:N1389" si="1407">IF(LEN(M$1),COUNTIF($G1389:$J1389,M$1),"")</f>
        <v>0</v>
      </c>
      <c r="N1389" s="7" t="str">
        <f t="shared" si="1407"/>
        <v/>
      </c>
      <c r="O1389" s="7" t="str">
        <f t="shared" si="1028"/>
        <v/>
      </c>
      <c r="P1389" s="7">
        <f t="shared" si="1332"/>
        <v>0</v>
      </c>
      <c r="Q1389" s="7" t="str">
        <f t="shared" si="7"/>
        <v/>
      </c>
      <c r="T1389" s="7"/>
    </row>
    <row r="1390" ht="12.75" customHeight="1">
      <c r="A1390" s="7">
        <v>1389.0</v>
      </c>
      <c r="B1390" s="7" t="s">
        <v>1033</v>
      </c>
      <c r="C1390" s="7" t="s">
        <v>4830</v>
      </c>
      <c r="D1390" s="7"/>
      <c r="E1390" s="7"/>
      <c r="F1390" s="7" t="s">
        <v>4873</v>
      </c>
      <c r="G1390" s="7" t="s">
        <v>3533</v>
      </c>
      <c r="H1390" s="7" t="s">
        <v>3287</v>
      </c>
      <c r="I1390" s="7" t="s">
        <v>3480</v>
      </c>
      <c r="J1390" s="7" t="s">
        <v>3549</v>
      </c>
      <c r="K1390" s="7" t="str">
        <f t="shared" si="2"/>
        <v/>
      </c>
      <c r="L1390" s="7" t="str">
        <f t="shared" si="1026"/>
        <v/>
      </c>
      <c r="M1390" s="7">
        <f t="shared" ref="M1390:N1390" si="1408">IF(LEN(M$1),COUNTIF($G1390:$J1390,M$1),"")</f>
        <v>0</v>
      </c>
      <c r="N1390" s="7" t="str">
        <f t="shared" si="1408"/>
        <v/>
      </c>
      <c r="O1390" s="7" t="str">
        <f t="shared" si="1028"/>
        <v/>
      </c>
      <c r="P1390" s="7">
        <f t="shared" si="1332"/>
        <v>0</v>
      </c>
      <c r="Q1390" s="7" t="str">
        <f t="shared" si="7"/>
        <v/>
      </c>
      <c r="T1390" s="7"/>
    </row>
    <row r="1391" ht="12.75" customHeight="1">
      <c r="A1391" s="7">
        <v>1390.0</v>
      </c>
      <c r="B1391" s="7" t="s">
        <v>1033</v>
      </c>
      <c r="C1391" s="7" t="s">
        <v>4830</v>
      </c>
      <c r="D1391" s="7"/>
      <c r="E1391" s="7"/>
      <c r="F1391" s="7" t="s">
        <v>4873</v>
      </c>
      <c r="G1391" s="7" t="s">
        <v>3497</v>
      </c>
      <c r="H1391" s="7" t="s">
        <v>3574</v>
      </c>
      <c r="I1391" s="7" t="s">
        <v>3530</v>
      </c>
      <c r="J1391" s="7" t="s">
        <v>3576</v>
      </c>
      <c r="K1391" s="7" t="str">
        <f t="shared" si="2"/>
        <v/>
      </c>
      <c r="L1391" s="7" t="str">
        <f t="shared" si="1026"/>
        <v/>
      </c>
      <c r="M1391" s="7">
        <f t="shared" ref="M1391:N1391" si="1409">IF(LEN(M$1),COUNTIF($G1391:$J1391,M$1),"")</f>
        <v>0</v>
      </c>
      <c r="N1391" s="7" t="str">
        <f t="shared" si="1409"/>
        <v/>
      </c>
      <c r="O1391" s="7" t="str">
        <f t="shared" si="1028"/>
        <v/>
      </c>
      <c r="P1391" s="7">
        <f t="shared" si="1332"/>
        <v>0</v>
      </c>
      <c r="Q1391" s="7" t="str">
        <f t="shared" si="7"/>
        <v/>
      </c>
      <c r="T1391" s="7"/>
    </row>
    <row r="1392" ht="12.75" customHeight="1">
      <c r="A1392" s="7">
        <v>1391.0</v>
      </c>
      <c r="B1392" s="7" t="s">
        <v>1041</v>
      </c>
      <c r="C1392" s="7" t="s">
        <v>4830</v>
      </c>
      <c r="D1392" s="7"/>
      <c r="E1392" s="7"/>
      <c r="F1392" s="7" t="s">
        <v>4873</v>
      </c>
      <c r="G1392" s="7" t="s">
        <v>3469</v>
      </c>
      <c r="H1392" s="7" t="s">
        <v>3329</v>
      </c>
      <c r="I1392" s="7" t="s">
        <v>3457</v>
      </c>
      <c r="J1392" s="7" t="s">
        <v>3485</v>
      </c>
      <c r="K1392" s="7" t="str">
        <f t="shared" si="2"/>
        <v/>
      </c>
      <c r="L1392" s="7" t="str">
        <f t="shared" si="1026"/>
        <v/>
      </c>
      <c r="M1392" s="7">
        <f t="shared" ref="M1392:N1392" si="1410">IF(LEN(M$1),COUNTIF($G1392:$J1392,M$1),"")</f>
        <v>0</v>
      </c>
      <c r="N1392" s="7" t="str">
        <f t="shared" si="1410"/>
        <v/>
      </c>
      <c r="O1392" s="7" t="str">
        <f t="shared" si="1028"/>
        <v/>
      </c>
      <c r="P1392" s="7">
        <f t="shared" si="1332"/>
        <v>0</v>
      </c>
      <c r="Q1392" s="7" t="str">
        <f t="shared" si="7"/>
        <v/>
      </c>
      <c r="T1392" s="7"/>
    </row>
    <row r="1393" ht="12.75" customHeight="1">
      <c r="A1393" s="7">
        <v>1392.0</v>
      </c>
      <c r="B1393" s="7" t="s">
        <v>1041</v>
      </c>
      <c r="C1393" s="7" t="s">
        <v>4830</v>
      </c>
      <c r="D1393" s="7"/>
      <c r="E1393" s="7"/>
      <c r="F1393" s="7" t="s">
        <v>4873</v>
      </c>
      <c r="G1393" s="7" t="s">
        <v>3460</v>
      </c>
      <c r="H1393" s="7" t="s">
        <v>3400</v>
      </c>
      <c r="I1393" s="7" t="s">
        <v>3449</v>
      </c>
      <c r="J1393" s="7" t="s">
        <v>3373</v>
      </c>
      <c r="K1393" s="7" t="str">
        <f t="shared" si="2"/>
        <v/>
      </c>
      <c r="L1393" s="7" t="str">
        <f t="shared" si="1026"/>
        <v/>
      </c>
      <c r="M1393" s="7">
        <f t="shared" ref="M1393:N1393" si="1411">IF(LEN(M$1),COUNTIF($G1393:$J1393,M$1),"")</f>
        <v>0</v>
      </c>
      <c r="N1393" s="7" t="str">
        <f t="shared" si="1411"/>
        <v/>
      </c>
      <c r="O1393" s="7" t="str">
        <f t="shared" si="1028"/>
        <v/>
      </c>
      <c r="P1393" s="7">
        <f t="shared" si="1332"/>
        <v>0</v>
      </c>
      <c r="Q1393" s="7" t="str">
        <f t="shared" si="7"/>
        <v/>
      </c>
      <c r="T1393" s="7"/>
    </row>
    <row r="1394" ht="12.75" customHeight="1">
      <c r="A1394" s="7">
        <v>1393.0</v>
      </c>
      <c r="B1394" s="7" t="s">
        <v>1049</v>
      </c>
      <c r="C1394" s="7" t="s">
        <v>4831</v>
      </c>
      <c r="D1394" s="7"/>
      <c r="E1394" s="7"/>
      <c r="F1394" s="7" t="s">
        <v>4873</v>
      </c>
      <c r="G1394" s="7" t="s">
        <v>3505</v>
      </c>
      <c r="H1394" s="7" t="s">
        <v>3336</v>
      </c>
      <c r="I1394" s="7" t="s">
        <v>3500</v>
      </c>
      <c r="J1394" s="7" t="s">
        <v>3451</v>
      </c>
      <c r="K1394" s="7" t="str">
        <f t="shared" si="2"/>
        <v/>
      </c>
      <c r="L1394" s="7" t="str">
        <f t="shared" si="1026"/>
        <v/>
      </c>
      <c r="M1394" s="7">
        <f t="shared" ref="M1394:N1394" si="1412">IF(LEN(M$1),COUNTIF($G1394:$J1394,M$1),"")</f>
        <v>0</v>
      </c>
      <c r="N1394" s="7" t="str">
        <f t="shared" si="1412"/>
        <v/>
      </c>
      <c r="O1394" s="7" t="str">
        <f t="shared" si="1028"/>
        <v/>
      </c>
      <c r="P1394" s="7">
        <f t="shared" si="1332"/>
        <v>0</v>
      </c>
      <c r="Q1394" s="7" t="str">
        <f t="shared" si="7"/>
        <v/>
      </c>
      <c r="T1394" s="7"/>
    </row>
    <row r="1395" ht="12.75" customHeight="1">
      <c r="A1395" s="7">
        <v>1394.0</v>
      </c>
      <c r="B1395" s="7" t="s">
        <v>1049</v>
      </c>
      <c r="C1395" s="7" t="s">
        <v>4831</v>
      </c>
      <c r="D1395" s="7"/>
      <c r="E1395" s="7"/>
      <c r="F1395" s="7" t="s">
        <v>4873</v>
      </c>
      <c r="G1395" s="7" t="s">
        <v>3533</v>
      </c>
      <c r="H1395" s="7" t="s">
        <v>3494</v>
      </c>
      <c r="I1395" s="7" t="s">
        <v>3476</v>
      </c>
      <c r="J1395" s="7" t="s">
        <v>3445</v>
      </c>
      <c r="K1395" s="7" t="str">
        <f t="shared" si="2"/>
        <v/>
      </c>
      <c r="L1395" s="7" t="str">
        <f t="shared" si="1026"/>
        <v/>
      </c>
      <c r="M1395" s="7">
        <f t="shared" ref="M1395:N1395" si="1413">IF(LEN(M$1),COUNTIF($G1395:$J1395,M$1),"")</f>
        <v>0</v>
      </c>
      <c r="N1395" s="7" t="str">
        <f t="shared" si="1413"/>
        <v/>
      </c>
      <c r="O1395" s="7" t="str">
        <f t="shared" si="1028"/>
        <v/>
      </c>
      <c r="P1395" s="7">
        <f t="shared" si="1332"/>
        <v>0</v>
      </c>
      <c r="Q1395" s="7" t="str">
        <f t="shared" si="7"/>
        <v/>
      </c>
      <c r="T1395" s="7"/>
    </row>
    <row r="1396" ht="12.75" customHeight="1">
      <c r="A1396" s="7">
        <v>1395.0</v>
      </c>
      <c r="B1396" s="7" t="s">
        <v>1057</v>
      </c>
      <c r="C1396" s="7" t="s">
        <v>4831</v>
      </c>
      <c r="D1396" s="7"/>
      <c r="E1396" s="7"/>
      <c r="F1396" s="7" t="s">
        <v>4873</v>
      </c>
      <c r="G1396" s="7" t="s">
        <v>3445</v>
      </c>
      <c r="H1396" s="7" t="s">
        <v>3307</v>
      </c>
      <c r="I1396" s="7" t="s">
        <v>3518</v>
      </c>
      <c r="J1396" s="7" t="s">
        <v>3378</v>
      </c>
      <c r="K1396" s="7" t="str">
        <f t="shared" si="2"/>
        <v/>
      </c>
      <c r="L1396" s="7" t="str">
        <f t="shared" si="1026"/>
        <v/>
      </c>
      <c r="M1396" s="7">
        <f t="shared" ref="M1396:N1396" si="1414">IF(LEN(M$1),COUNTIF($G1396:$J1396,M$1),"")</f>
        <v>0</v>
      </c>
      <c r="N1396" s="7" t="str">
        <f t="shared" si="1414"/>
        <v/>
      </c>
      <c r="O1396" s="7" t="str">
        <f t="shared" si="1028"/>
        <v/>
      </c>
      <c r="P1396" s="7">
        <f t="shared" si="1332"/>
        <v>0</v>
      </c>
      <c r="Q1396" s="7" t="str">
        <f t="shared" si="7"/>
        <v/>
      </c>
      <c r="T1396" s="7"/>
    </row>
    <row r="1397" ht="12.75" customHeight="1">
      <c r="A1397" s="7">
        <v>1396.0</v>
      </c>
      <c r="B1397" s="7" t="s">
        <v>1057</v>
      </c>
      <c r="C1397" s="7" t="s">
        <v>4831</v>
      </c>
      <c r="D1397" s="7"/>
      <c r="E1397" s="7"/>
      <c r="F1397" s="7" t="s">
        <v>4873</v>
      </c>
      <c r="G1397" s="7" t="s">
        <v>3549</v>
      </c>
      <c r="H1397" s="7" t="s">
        <v>3333</v>
      </c>
      <c r="I1397" s="7" t="s">
        <v>3533</v>
      </c>
      <c r="J1397" s="7" t="s">
        <v>3451</v>
      </c>
      <c r="K1397" s="7" t="str">
        <f t="shared" si="2"/>
        <v/>
      </c>
      <c r="L1397" s="7" t="str">
        <f t="shared" si="1026"/>
        <v/>
      </c>
      <c r="M1397" s="7">
        <f t="shared" ref="M1397:N1397" si="1415">IF(LEN(M$1),COUNTIF($G1397:$J1397,M$1),"")</f>
        <v>0</v>
      </c>
      <c r="N1397" s="7" t="str">
        <f t="shared" si="1415"/>
        <v/>
      </c>
      <c r="O1397" s="7" t="str">
        <f t="shared" si="1028"/>
        <v/>
      </c>
      <c r="P1397" s="7">
        <f t="shared" si="1332"/>
        <v>0</v>
      </c>
      <c r="Q1397" s="7" t="str">
        <f t="shared" si="7"/>
        <v/>
      </c>
      <c r="T1397" s="7"/>
    </row>
    <row r="1398" ht="12.75" customHeight="1">
      <c r="A1398" s="7">
        <v>1397.0</v>
      </c>
      <c r="B1398" s="7" t="s">
        <v>1066</v>
      </c>
      <c r="C1398" s="7" t="s">
        <v>4831</v>
      </c>
      <c r="D1398" s="7"/>
      <c r="E1398" s="7"/>
      <c r="F1398" s="7" t="s">
        <v>4873</v>
      </c>
      <c r="G1398" s="7" t="s">
        <v>3579</v>
      </c>
      <c r="H1398" s="7" t="s">
        <v>3290</v>
      </c>
      <c r="I1398" s="7" t="s">
        <v>3445</v>
      </c>
      <c r="J1398" s="7" t="s">
        <v>3331</v>
      </c>
      <c r="K1398" s="7" t="str">
        <f t="shared" si="2"/>
        <v/>
      </c>
      <c r="L1398" s="7" t="str">
        <f t="shared" si="1026"/>
        <v/>
      </c>
      <c r="M1398" s="7">
        <f t="shared" ref="M1398:N1398" si="1416">IF(LEN(M$1),COUNTIF($G1398:$J1398,M$1),"")</f>
        <v>0</v>
      </c>
      <c r="N1398" s="7" t="str">
        <f t="shared" si="1416"/>
        <v/>
      </c>
      <c r="O1398" s="7" t="str">
        <f t="shared" si="1028"/>
        <v/>
      </c>
      <c r="P1398" s="7">
        <f t="shared" si="1332"/>
        <v>0</v>
      </c>
      <c r="Q1398" s="7" t="str">
        <f t="shared" si="7"/>
        <v/>
      </c>
      <c r="T1398" s="7"/>
    </row>
    <row r="1399" ht="12.75" customHeight="1">
      <c r="A1399" s="7">
        <v>1398.0</v>
      </c>
      <c r="B1399" s="7" t="s">
        <v>1066</v>
      </c>
      <c r="C1399" s="7" t="s">
        <v>4831</v>
      </c>
      <c r="D1399" s="7"/>
      <c r="E1399" s="7"/>
      <c r="F1399" s="7" t="s">
        <v>4873</v>
      </c>
      <c r="G1399" s="7" t="s">
        <v>3476</v>
      </c>
      <c r="H1399" s="7" t="s">
        <v>3533</v>
      </c>
      <c r="I1399" s="7" t="s">
        <v>3505</v>
      </c>
      <c r="J1399" s="7" t="s">
        <v>3480</v>
      </c>
      <c r="K1399" s="7" t="str">
        <f t="shared" si="2"/>
        <v/>
      </c>
      <c r="L1399" s="7" t="str">
        <f t="shared" si="1026"/>
        <v/>
      </c>
      <c r="M1399" s="7">
        <f t="shared" ref="M1399:N1399" si="1417">IF(LEN(M$1),COUNTIF($G1399:$J1399,M$1),"")</f>
        <v>0</v>
      </c>
      <c r="N1399" s="7" t="str">
        <f t="shared" si="1417"/>
        <v/>
      </c>
      <c r="O1399" s="7" t="str">
        <f t="shared" si="1028"/>
        <v/>
      </c>
      <c r="P1399" s="7">
        <f t="shared" si="1332"/>
        <v>0</v>
      </c>
      <c r="Q1399" s="7" t="str">
        <f t="shared" si="7"/>
        <v/>
      </c>
      <c r="T1399" s="7"/>
    </row>
    <row r="1400" ht="12.75" customHeight="1">
      <c r="A1400" s="7">
        <v>1399.0</v>
      </c>
      <c r="B1400" s="7" t="s">
        <v>1075</v>
      </c>
      <c r="C1400" s="7" t="s">
        <v>4840</v>
      </c>
      <c r="D1400" s="7"/>
      <c r="E1400" s="7"/>
      <c r="F1400" s="7" t="s">
        <v>4873</v>
      </c>
      <c r="G1400" s="7" t="s">
        <v>3579</v>
      </c>
      <c r="H1400" s="7" t="s">
        <v>3574</v>
      </c>
      <c r="I1400" s="7" t="s">
        <v>3467</v>
      </c>
      <c r="J1400" s="7" t="s">
        <v>3511</v>
      </c>
      <c r="K1400" s="7" t="str">
        <f t="shared" si="2"/>
        <v/>
      </c>
      <c r="L1400" s="7" t="str">
        <f t="shared" si="1026"/>
        <v/>
      </c>
      <c r="M1400" s="7">
        <f t="shared" ref="M1400:N1400" si="1418">IF(LEN(M$1),COUNTIF($G1400:$J1400,M$1),"")</f>
        <v>0</v>
      </c>
      <c r="N1400" s="7" t="str">
        <f t="shared" si="1418"/>
        <v/>
      </c>
      <c r="O1400" s="7" t="str">
        <f t="shared" si="1028"/>
        <v/>
      </c>
      <c r="P1400" s="7">
        <f t="shared" si="1332"/>
        <v>0</v>
      </c>
      <c r="Q1400" s="7" t="str">
        <f t="shared" si="7"/>
        <v/>
      </c>
      <c r="T1400" s="7"/>
    </row>
    <row r="1401" ht="12.75" customHeight="1">
      <c r="A1401" s="7">
        <v>1400.0</v>
      </c>
      <c r="B1401" s="7" t="s">
        <v>1075</v>
      </c>
      <c r="C1401" s="7" t="s">
        <v>4840</v>
      </c>
      <c r="D1401" s="7"/>
      <c r="E1401" s="7"/>
      <c r="F1401" s="7" t="s">
        <v>4873</v>
      </c>
      <c r="G1401" s="7" t="s">
        <v>3388</v>
      </c>
      <c r="H1401" s="7" t="s">
        <v>3491</v>
      </c>
      <c r="I1401" s="7" t="s">
        <v>3559</v>
      </c>
      <c r="J1401" s="7" t="s">
        <v>3371</v>
      </c>
      <c r="K1401" s="7" t="str">
        <f t="shared" si="2"/>
        <v/>
      </c>
      <c r="L1401" s="7" t="str">
        <f t="shared" si="1026"/>
        <v/>
      </c>
      <c r="M1401" s="7">
        <f t="shared" ref="M1401:N1401" si="1419">IF(LEN(M$1),COUNTIF($G1401:$J1401,M$1),"")</f>
        <v>0</v>
      </c>
      <c r="N1401" s="7" t="str">
        <f t="shared" si="1419"/>
        <v/>
      </c>
      <c r="O1401" s="7" t="str">
        <f t="shared" si="1028"/>
        <v/>
      </c>
      <c r="P1401" s="7">
        <f t="shared" si="1332"/>
        <v>0</v>
      </c>
      <c r="Q1401" s="7" t="str">
        <f t="shared" si="7"/>
        <v/>
      </c>
    </row>
    <row r="1402" ht="12.75" customHeight="1">
      <c r="A1402" s="7">
        <v>1401.0</v>
      </c>
      <c r="B1402" s="7" t="s">
        <v>1082</v>
      </c>
      <c r="C1402" s="7" t="s">
        <v>4840</v>
      </c>
      <c r="D1402" s="7"/>
      <c r="E1402" s="7"/>
      <c r="F1402" s="7" t="s">
        <v>4873</v>
      </c>
      <c r="G1402" s="7" t="s">
        <v>3497</v>
      </c>
      <c r="H1402" s="7" t="s">
        <v>3413</v>
      </c>
      <c r="I1402" s="7" t="s">
        <v>3541</v>
      </c>
      <c r="J1402" s="7" t="s">
        <v>3383</v>
      </c>
      <c r="K1402" s="7" t="str">
        <f t="shared" si="2"/>
        <v/>
      </c>
      <c r="L1402" s="7" t="str">
        <f t="shared" si="1026"/>
        <v/>
      </c>
      <c r="M1402" s="7">
        <f t="shared" ref="M1402:N1402" si="1420">IF(LEN(M$1),COUNTIF($G1402:$J1402,M$1),"")</f>
        <v>0</v>
      </c>
      <c r="N1402" s="7" t="str">
        <f t="shared" si="1420"/>
        <v/>
      </c>
      <c r="O1402" s="7" t="str">
        <f t="shared" si="1028"/>
        <v/>
      </c>
      <c r="P1402" s="7">
        <f t="shared" si="1332"/>
        <v>0</v>
      </c>
      <c r="Q1402" s="7" t="str">
        <f t="shared" si="7"/>
        <v/>
      </c>
      <c r="T1402" s="7"/>
    </row>
    <row r="1403" ht="12.75" customHeight="1">
      <c r="A1403" s="7">
        <v>1402.0</v>
      </c>
      <c r="B1403" s="7" t="s">
        <v>1091</v>
      </c>
      <c r="C1403" s="7" t="s">
        <v>4834</v>
      </c>
      <c r="D1403" s="7"/>
      <c r="E1403" s="7"/>
      <c r="F1403" s="7" t="s">
        <v>4873</v>
      </c>
      <c r="G1403" s="7" t="s">
        <v>3564</v>
      </c>
      <c r="H1403" s="7" t="s">
        <v>3321</v>
      </c>
      <c r="I1403" s="7" t="s">
        <v>3502</v>
      </c>
      <c r="J1403" s="7" t="s">
        <v>3292</v>
      </c>
      <c r="K1403" s="7" t="str">
        <f t="shared" si="2"/>
        <v/>
      </c>
      <c r="L1403" s="7" t="str">
        <f t="shared" si="1026"/>
        <v/>
      </c>
      <c r="M1403" s="7">
        <f t="shared" ref="M1403:N1403" si="1421">IF(LEN(M$1),COUNTIF($G1403:$J1403,M$1),"")</f>
        <v>0</v>
      </c>
      <c r="N1403" s="7" t="str">
        <f t="shared" si="1421"/>
        <v/>
      </c>
      <c r="O1403" s="7" t="str">
        <f t="shared" si="1028"/>
        <v/>
      </c>
      <c r="P1403" s="7">
        <f t="shared" si="1332"/>
        <v>0</v>
      </c>
      <c r="Q1403" s="7" t="str">
        <f t="shared" si="7"/>
        <v/>
      </c>
      <c r="T1403" s="7"/>
    </row>
    <row r="1404" ht="12.75" customHeight="1">
      <c r="A1404" s="7">
        <v>1403.0</v>
      </c>
      <c r="B1404" s="7" t="s">
        <v>1091</v>
      </c>
      <c r="C1404" s="7" t="s">
        <v>4834</v>
      </c>
      <c r="D1404" s="7"/>
      <c r="E1404" s="7"/>
      <c r="F1404" s="7" t="s">
        <v>4873</v>
      </c>
      <c r="G1404" s="7" t="s">
        <v>3342</v>
      </c>
      <c r="H1404" s="7" t="s">
        <v>3511</v>
      </c>
      <c r="I1404" s="7" t="s">
        <v>3462</v>
      </c>
      <c r="J1404" s="7" t="s">
        <v>3393</v>
      </c>
      <c r="K1404" s="7" t="str">
        <f t="shared" si="2"/>
        <v/>
      </c>
      <c r="L1404" s="7" t="str">
        <f t="shared" si="1026"/>
        <v/>
      </c>
      <c r="M1404" s="7">
        <f t="shared" ref="M1404:N1404" si="1422">IF(LEN(M$1),COUNTIF($G1404:$J1404,M$1),"")</f>
        <v>0</v>
      </c>
      <c r="N1404" s="7" t="str">
        <f t="shared" si="1422"/>
        <v/>
      </c>
      <c r="O1404" s="7" t="str">
        <f t="shared" si="1028"/>
        <v/>
      </c>
      <c r="P1404" s="7">
        <f t="shared" si="1332"/>
        <v>0</v>
      </c>
      <c r="Q1404" s="7" t="str">
        <f t="shared" si="7"/>
        <v/>
      </c>
      <c r="T1404" s="7"/>
    </row>
    <row r="1405" ht="12.75" customHeight="1">
      <c r="A1405" s="7">
        <v>1404.0</v>
      </c>
      <c r="B1405" s="7" t="s">
        <v>1098</v>
      </c>
      <c r="C1405" s="7" t="s">
        <v>4834</v>
      </c>
      <c r="D1405" s="7"/>
      <c r="E1405" s="7"/>
      <c r="F1405" s="7" t="s">
        <v>4873</v>
      </c>
      <c r="G1405" s="7" t="s">
        <v>3443</v>
      </c>
      <c r="H1405" s="7" t="s">
        <v>3321</v>
      </c>
      <c r="I1405" s="7" t="s">
        <v>3525</v>
      </c>
      <c r="J1405" s="7" t="s">
        <v>3576</v>
      </c>
      <c r="K1405" s="7" t="str">
        <f t="shared" si="2"/>
        <v/>
      </c>
      <c r="L1405" s="7" t="str">
        <f t="shared" si="1026"/>
        <v/>
      </c>
      <c r="M1405" s="7">
        <f t="shared" ref="M1405:N1405" si="1423">IF(LEN(M$1),COUNTIF($G1405:$J1405,M$1),"")</f>
        <v>0</v>
      </c>
      <c r="N1405" s="7" t="str">
        <f t="shared" si="1423"/>
        <v/>
      </c>
      <c r="O1405" s="7" t="str">
        <f t="shared" si="1028"/>
        <v/>
      </c>
      <c r="P1405" s="7">
        <f t="shared" si="1332"/>
        <v>0</v>
      </c>
      <c r="Q1405" s="7" t="str">
        <f t="shared" si="7"/>
        <v/>
      </c>
      <c r="T1405" s="7"/>
    </row>
    <row r="1406" ht="12.75" customHeight="1">
      <c r="A1406" s="7">
        <v>1405.0</v>
      </c>
      <c r="B1406" s="7" t="s">
        <v>1098</v>
      </c>
      <c r="C1406" s="7" t="s">
        <v>4834</v>
      </c>
      <c r="D1406" s="7"/>
      <c r="E1406" s="7"/>
      <c r="F1406" s="7" t="s">
        <v>4873</v>
      </c>
      <c r="G1406" s="7" t="s">
        <v>3533</v>
      </c>
      <c r="H1406" s="7" t="s">
        <v>3331</v>
      </c>
      <c r="I1406" s="7" t="s">
        <v>3513</v>
      </c>
      <c r="J1406" s="7" t="s">
        <v>3393</v>
      </c>
      <c r="K1406" s="7" t="str">
        <f t="shared" si="2"/>
        <v/>
      </c>
      <c r="L1406" s="7" t="str">
        <f t="shared" si="1026"/>
        <v/>
      </c>
      <c r="M1406" s="7">
        <f t="shared" ref="M1406:N1406" si="1424">IF(LEN(M$1),COUNTIF($G1406:$J1406,M$1),"")</f>
        <v>0</v>
      </c>
      <c r="N1406" s="7" t="str">
        <f t="shared" si="1424"/>
        <v/>
      </c>
      <c r="O1406" s="7" t="str">
        <f t="shared" si="1028"/>
        <v/>
      </c>
      <c r="P1406" s="7">
        <f t="shared" si="1332"/>
        <v>0</v>
      </c>
      <c r="Q1406" s="7" t="str">
        <f t="shared" si="7"/>
        <v/>
      </c>
      <c r="T1406" s="7"/>
    </row>
    <row r="1407" ht="12.75" customHeight="1">
      <c r="A1407" s="7">
        <v>1406.0</v>
      </c>
      <c r="B1407" s="7" t="s">
        <v>1106</v>
      </c>
      <c r="C1407" s="7" t="s">
        <v>4829</v>
      </c>
      <c r="D1407" s="7"/>
      <c r="E1407" s="7"/>
      <c r="F1407" s="7" t="s">
        <v>4873</v>
      </c>
      <c r="G1407" s="7" t="s">
        <v>3530</v>
      </c>
      <c r="H1407" s="7" t="s">
        <v>3307</v>
      </c>
      <c r="I1407" s="7" t="s">
        <v>3572</v>
      </c>
      <c r="J1407" s="7" t="s">
        <v>3323</v>
      </c>
      <c r="K1407" s="7" t="str">
        <f t="shared" si="2"/>
        <v/>
      </c>
      <c r="L1407" s="7" t="str">
        <f t="shared" si="1026"/>
        <v/>
      </c>
      <c r="M1407" s="7">
        <f t="shared" ref="M1407:N1407" si="1425">IF(LEN(M$1),COUNTIF($G1407:$J1407,M$1),"")</f>
        <v>0</v>
      </c>
      <c r="N1407" s="7" t="str">
        <f t="shared" si="1425"/>
        <v/>
      </c>
      <c r="O1407" s="7" t="str">
        <f t="shared" si="1028"/>
        <v/>
      </c>
      <c r="P1407" s="7">
        <f t="shared" si="1332"/>
        <v>0</v>
      </c>
      <c r="Q1407" s="7" t="str">
        <f t="shared" si="7"/>
        <v/>
      </c>
      <c r="T1407" s="7"/>
    </row>
    <row r="1408" ht="12.75" customHeight="1">
      <c r="A1408" s="7">
        <v>1407.0</v>
      </c>
      <c r="B1408" s="7" t="s">
        <v>1106</v>
      </c>
      <c r="C1408" s="7" t="s">
        <v>4829</v>
      </c>
      <c r="D1408" s="7"/>
      <c r="E1408" s="7"/>
      <c r="F1408" s="7" t="s">
        <v>4873</v>
      </c>
      <c r="G1408" s="7" t="s">
        <v>3317</v>
      </c>
      <c r="H1408" s="7" t="s">
        <v>3451</v>
      </c>
      <c r="I1408" s="7" t="s">
        <v>3539</v>
      </c>
      <c r="J1408" s="7" t="s">
        <v>3381</v>
      </c>
      <c r="K1408" s="7" t="str">
        <f t="shared" si="2"/>
        <v/>
      </c>
      <c r="L1408" s="7" t="str">
        <f t="shared" si="1026"/>
        <v/>
      </c>
      <c r="M1408" s="7">
        <f t="shared" ref="M1408:N1408" si="1426">IF(LEN(M$1),COUNTIF($G1408:$J1408,M$1),"")</f>
        <v>0</v>
      </c>
      <c r="N1408" s="7" t="str">
        <f t="shared" si="1426"/>
        <v/>
      </c>
      <c r="O1408" s="7" t="str">
        <f t="shared" si="1028"/>
        <v/>
      </c>
      <c r="P1408" s="7">
        <f t="shared" si="1332"/>
        <v>0</v>
      </c>
      <c r="Q1408" s="7" t="str">
        <f t="shared" si="7"/>
        <v/>
      </c>
      <c r="T1408" s="7"/>
    </row>
    <row r="1409" ht="12.75" customHeight="1">
      <c r="A1409" s="7">
        <v>1408.0</v>
      </c>
      <c r="B1409" s="7" t="s">
        <v>1115</v>
      </c>
      <c r="C1409" s="7" t="s">
        <v>4829</v>
      </c>
      <c r="D1409" s="7"/>
      <c r="E1409" s="7"/>
      <c r="F1409" s="7" t="s">
        <v>4873</v>
      </c>
      <c r="G1409" s="7" t="s">
        <v>3564</v>
      </c>
      <c r="H1409" s="7" t="s">
        <v>3530</v>
      </c>
      <c r="I1409" s="7" t="s">
        <v>3520</v>
      </c>
      <c r="J1409" s="7" t="s">
        <v>3551</v>
      </c>
      <c r="K1409" s="7" t="str">
        <f t="shared" si="2"/>
        <v/>
      </c>
      <c r="L1409" s="7" t="str">
        <f t="shared" si="1026"/>
        <v/>
      </c>
      <c r="M1409" s="7">
        <f t="shared" ref="M1409:N1409" si="1427">IF(LEN(M$1),COUNTIF($G1409:$J1409,M$1),"")</f>
        <v>0</v>
      </c>
      <c r="N1409" s="7" t="str">
        <f t="shared" si="1427"/>
        <v/>
      </c>
      <c r="O1409" s="7" t="str">
        <f t="shared" si="1028"/>
        <v/>
      </c>
      <c r="P1409" s="7">
        <f t="shared" si="1332"/>
        <v>0</v>
      </c>
      <c r="Q1409" s="7" t="str">
        <f t="shared" si="7"/>
        <v/>
      </c>
      <c r="T1409" s="7"/>
    </row>
    <row r="1410" ht="12.75" customHeight="1">
      <c r="A1410" s="7">
        <v>1409.0</v>
      </c>
      <c r="B1410" s="7" t="s">
        <v>1123</v>
      </c>
      <c r="C1410" s="7" t="s">
        <v>4832</v>
      </c>
      <c r="D1410" s="7"/>
      <c r="E1410" s="7"/>
      <c r="F1410" s="7" t="s">
        <v>4873</v>
      </c>
      <c r="G1410" s="7" t="s">
        <v>3480</v>
      </c>
      <c r="H1410" s="7" t="s">
        <v>3562</v>
      </c>
      <c r="I1410" s="7" t="s">
        <v>3536</v>
      </c>
      <c r="J1410" s="7" t="s">
        <v>3508</v>
      </c>
      <c r="K1410" s="7" t="str">
        <f t="shared" si="2"/>
        <v/>
      </c>
      <c r="L1410" s="7" t="str">
        <f t="shared" si="1026"/>
        <v/>
      </c>
      <c r="M1410" s="7">
        <f t="shared" ref="M1410:N1410" si="1428">IF(LEN(M$1),COUNTIF($G1410:$J1410,M$1),"")</f>
        <v>0</v>
      </c>
      <c r="N1410" s="7" t="str">
        <f t="shared" si="1428"/>
        <v/>
      </c>
      <c r="O1410" s="7" t="str">
        <f t="shared" si="1028"/>
        <v/>
      </c>
      <c r="P1410" s="7">
        <f t="shared" si="1332"/>
        <v>0</v>
      </c>
      <c r="Q1410" s="7" t="str">
        <f t="shared" si="7"/>
        <v/>
      </c>
      <c r="T1410" s="7"/>
    </row>
    <row r="1411" ht="12.75" customHeight="1">
      <c r="A1411" s="7">
        <v>1410.0</v>
      </c>
      <c r="B1411" s="7" t="s">
        <v>1029</v>
      </c>
      <c r="C1411" s="7" t="s">
        <v>4832</v>
      </c>
      <c r="D1411" s="7"/>
      <c r="E1411" s="7"/>
      <c r="F1411" s="7" t="s">
        <v>4873</v>
      </c>
      <c r="G1411" s="7" t="s">
        <v>3469</v>
      </c>
      <c r="H1411" s="7" t="s">
        <v>3541</v>
      </c>
      <c r="I1411" s="7" t="s">
        <v>3570</v>
      </c>
      <c r="J1411" s="7" t="s">
        <v>3562</v>
      </c>
      <c r="K1411" s="7" t="str">
        <f t="shared" si="2"/>
        <v/>
      </c>
      <c r="L1411" s="7" t="str">
        <f t="shared" si="1026"/>
        <v/>
      </c>
      <c r="M1411" s="7">
        <f t="shared" ref="M1411:N1411" si="1429">IF(LEN(M$1),COUNTIF($G1411:$J1411,M$1),"")</f>
        <v>0</v>
      </c>
      <c r="N1411" s="7" t="str">
        <f t="shared" si="1429"/>
        <v/>
      </c>
      <c r="O1411" s="7" t="str">
        <f t="shared" si="1028"/>
        <v/>
      </c>
      <c r="P1411" s="7">
        <f t="shared" si="1332"/>
        <v>0</v>
      </c>
      <c r="Q1411" s="7" t="str">
        <f t="shared" si="7"/>
        <v/>
      </c>
      <c r="T1411" s="7"/>
    </row>
    <row r="1412" ht="12.75" customHeight="1">
      <c r="A1412" s="7">
        <v>1411.0</v>
      </c>
      <c r="B1412" s="7" t="s">
        <v>1136</v>
      </c>
      <c r="C1412" s="7" t="s">
        <v>4837</v>
      </c>
      <c r="D1412" s="7"/>
      <c r="E1412" s="7"/>
      <c r="F1412" s="7" t="s">
        <v>4873</v>
      </c>
      <c r="G1412" s="7" t="s">
        <v>3455</v>
      </c>
      <c r="H1412" s="7" t="s">
        <v>3323</v>
      </c>
      <c r="I1412" s="7" t="s">
        <v>3494</v>
      </c>
      <c r="J1412" s="7" t="s">
        <v>3299</v>
      </c>
      <c r="K1412" s="7" t="str">
        <f t="shared" si="2"/>
        <v/>
      </c>
      <c r="L1412" s="7" t="str">
        <f t="shared" si="1026"/>
        <v/>
      </c>
      <c r="M1412" s="7">
        <f t="shared" ref="M1412:N1412" si="1430">IF(LEN(M$1),COUNTIF($G1412:$J1412,M$1),"")</f>
        <v>0</v>
      </c>
      <c r="N1412" s="7" t="str">
        <f t="shared" si="1430"/>
        <v/>
      </c>
      <c r="O1412" s="7" t="str">
        <f t="shared" si="1028"/>
        <v/>
      </c>
      <c r="P1412" s="7">
        <f t="shared" si="1332"/>
        <v>0</v>
      </c>
      <c r="Q1412" s="7" t="str">
        <f t="shared" si="7"/>
        <v/>
      </c>
      <c r="T1412" s="7"/>
    </row>
    <row r="1413" ht="12.75" customHeight="1">
      <c r="A1413" s="7">
        <v>1412.0</v>
      </c>
      <c r="B1413" s="7" t="s">
        <v>882</v>
      </c>
      <c r="C1413" s="7" t="s">
        <v>4839</v>
      </c>
      <c r="D1413" s="7"/>
      <c r="E1413" s="7"/>
      <c r="F1413" s="7" t="s">
        <v>4874</v>
      </c>
      <c r="G1413" s="7" t="s">
        <v>3649</v>
      </c>
      <c r="H1413" s="7" t="s">
        <v>3698</v>
      </c>
      <c r="I1413" s="7" t="s">
        <v>3598</v>
      </c>
      <c r="J1413" s="7" t="s">
        <v>3663</v>
      </c>
      <c r="K1413" s="7" t="str">
        <f t="shared" si="2"/>
        <v/>
      </c>
      <c r="L1413" s="7" t="str">
        <f t="shared" si="1026"/>
        <v/>
      </c>
      <c r="M1413" s="7">
        <f t="shared" ref="M1413:N1413" si="1431">IF(LEN(M$1),COUNTIF($G1413:$J1413,M$1),"")</f>
        <v>0</v>
      </c>
      <c r="N1413" s="7" t="str">
        <f t="shared" si="1431"/>
        <v/>
      </c>
      <c r="O1413" s="7" t="str">
        <f t="shared" si="1028"/>
        <v/>
      </c>
      <c r="P1413" s="7">
        <f t="shared" ref="P1413:P1512" si="1433">IF(LEN(P$1),IF(P$1=5,1,0),"")</f>
        <v>0</v>
      </c>
      <c r="Q1413" s="7" t="str">
        <f t="shared" si="7"/>
        <v/>
      </c>
      <c r="T1413" s="7"/>
    </row>
    <row r="1414" ht="12.75" customHeight="1">
      <c r="A1414" s="7">
        <v>1413.0</v>
      </c>
      <c r="B1414" s="7" t="s">
        <v>889</v>
      </c>
      <c r="C1414" s="7" t="s">
        <v>4839</v>
      </c>
      <c r="D1414" s="7"/>
      <c r="E1414" s="7"/>
      <c r="F1414" s="7" t="s">
        <v>4874</v>
      </c>
      <c r="G1414" s="7" t="s">
        <v>3598</v>
      </c>
      <c r="H1414" s="7" t="s">
        <v>3564</v>
      </c>
      <c r="I1414" s="7" t="s">
        <v>3708</v>
      </c>
      <c r="J1414" s="7" t="s">
        <v>3588</v>
      </c>
      <c r="K1414" s="7" t="str">
        <f t="shared" si="2"/>
        <v/>
      </c>
      <c r="L1414" s="7" t="str">
        <f t="shared" si="1026"/>
        <v/>
      </c>
      <c r="M1414" s="7">
        <f t="shared" ref="M1414:N1414" si="1432">IF(LEN(M$1),COUNTIF($G1414:$J1414,M$1),"")</f>
        <v>0</v>
      </c>
      <c r="N1414" s="7" t="str">
        <f t="shared" si="1432"/>
        <v/>
      </c>
      <c r="O1414" s="7" t="str">
        <f t="shared" si="1028"/>
        <v/>
      </c>
      <c r="P1414" s="7">
        <f t="shared" si="1433"/>
        <v>0</v>
      </c>
      <c r="Q1414" s="7" t="str">
        <f t="shared" si="7"/>
        <v/>
      </c>
      <c r="T1414" s="7"/>
    </row>
    <row r="1415" ht="12.75" customHeight="1">
      <c r="A1415" s="7">
        <v>1414.0</v>
      </c>
      <c r="B1415" s="7" t="s">
        <v>895</v>
      </c>
      <c r="C1415" s="7" t="s">
        <v>3108</v>
      </c>
      <c r="D1415" s="7"/>
      <c r="E1415" s="7"/>
      <c r="F1415" s="7" t="s">
        <v>4874</v>
      </c>
      <c r="G1415" s="7" t="s">
        <v>3698</v>
      </c>
      <c r="H1415" s="7" t="s">
        <v>3679</v>
      </c>
      <c r="I1415" s="7" t="s">
        <v>3618</v>
      </c>
      <c r="J1415" s="7" t="s">
        <v>3669</v>
      </c>
      <c r="K1415" s="7" t="str">
        <f t="shared" si="2"/>
        <v/>
      </c>
      <c r="L1415" s="7" t="str">
        <f t="shared" si="1026"/>
        <v/>
      </c>
      <c r="M1415" s="7">
        <f t="shared" ref="M1415:N1415" si="1434">IF(LEN(M$1),COUNTIF($G1415:$J1415,M$1),"")</f>
        <v>0</v>
      </c>
      <c r="N1415" s="7" t="str">
        <f t="shared" si="1434"/>
        <v/>
      </c>
      <c r="O1415" s="7" t="str">
        <f t="shared" si="1028"/>
        <v/>
      </c>
      <c r="P1415" s="7">
        <f t="shared" si="1433"/>
        <v>0</v>
      </c>
      <c r="Q1415" s="7" t="str">
        <f t="shared" si="7"/>
        <v/>
      </c>
      <c r="T1415" s="7"/>
    </row>
    <row r="1416" ht="12.75" customHeight="1">
      <c r="A1416" s="7">
        <v>1415.0</v>
      </c>
      <c r="B1416" s="7" t="s">
        <v>903</v>
      </c>
      <c r="C1416" s="7" t="s">
        <v>3108</v>
      </c>
      <c r="D1416" s="7"/>
      <c r="E1416" s="7"/>
      <c r="F1416" s="7" t="s">
        <v>4874</v>
      </c>
      <c r="G1416" s="7" t="s">
        <v>3724</v>
      </c>
      <c r="H1416" s="7" t="s">
        <v>3443</v>
      </c>
      <c r="I1416" s="7" t="s">
        <v>3713</v>
      </c>
      <c r="J1416" s="7" t="s">
        <v>3541</v>
      </c>
      <c r="K1416" s="7" t="str">
        <f t="shared" si="2"/>
        <v/>
      </c>
      <c r="L1416" s="7" t="str">
        <f t="shared" si="1026"/>
        <v/>
      </c>
      <c r="M1416" s="7">
        <f t="shared" ref="M1416:N1416" si="1435">IF(LEN(M$1),COUNTIF($G1416:$J1416,M$1),"")</f>
        <v>0</v>
      </c>
      <c r="N1416" s="7" t="str">
        <f t="shared" si="1435"/>
        <v/>
      </c>
      <c r="O1416" s="7" t="str">
        <f t="shared" si="1028"/>
        <v/>
      </c>
      <c r="P1416" s="7">
        <f t="shared" si="1433"/>
        <v>0</v>
      </c>
      <c r="Q1416" s="7" t="str">
        <f t="shared" si="7"/>
        <v/>
      </c>
      <c r="T1416" s="7"/>
    </row>
    <row r="1417" ht="12.75" customHeight="1">
      <c r="A1417" s="7">
        <v>1416.0</v>
      </c>
      <c r="B1417" s="7" t="s">
        <v>910</v>
      </c>
      <c r="C1417" s="7" t="s">
        <v>3108</v>
      </c>
      <c r="D1417" s="7"/>
      <c r="E1417" s="7"/>
      <c r="F1417" s="7" t="s">
        <v>4874</v>
      </c>
      <c r="G1417" s="7" t="s">
        <v>3673</v>
      </c>
      <c r="H1417" s="7" t="s">
        <v>3681</v>
      </c>
      <c r="I1417" s="7" t="s">
        <v>3683</v>
      </c>
      <c r="J1417" s="7" t="s">
        <v>3693</v>
      </c>
      <c r="K1417" s="7" t="str">
        <f t="shared" si="2"/>
        <v/>
      </c>
      <c r="L1417" s="7" t="str">
        <f t="shared" si="1026"/>
        <v/>
      </c>
      <c r="M1417" s="7">
        <f t="shared" ref="M1417:N1417" si="1436">IF(LEN(M$1),COUNTIF($G1417:$J1417,M$1),"")</f>
        <v>0</v>
      </c>
      <c r="N1417" s="7" t="str">
        <f t="shared" si="1436"/>
        <v/>
      </c>
      <c r="O1417" s="7" t="str">
        <f t="shared" si="1028"/>
        <v/>
      </c>
      <c r="P1417" s="7">
        <f t="shared" si="1433"/>
        <v>0</v>
      </c>
      <c r="Q1417" s="7" t="str">
        <f t="shared" si="7"/>
        <v/>
      </c>
      <c r="T1417" s="7"/>
    </row>
    <row r="1418" ht="12.75" customHeight="1">
      <c r="A1418" s="7">
        <v>1417.0</v>
      </c>
      <c r="B1418" s="7" t="s">
        <v>918</v>
      </c>
      <c r="C1418" s="7" t="s">
        <v>4839</v>
      </c>
      <c r="D1418" s="7"/>
      <c r="E1418" s="7"/>
      <c r="F1418" s="7" t="s">
        <v>4874</v>
      </c>
      <c r="G1418" s="7" t="s">
        <v>3502</v>
      </c>
      <c r="H1418" s="7" t="s">
        <v>3724</v>
      </c>
      <c r="I1418" s="7" t="s">
        <v>3606</v>
      </c>
      <c r="J1418" s="7" t="s">
        <v>3581</v>
      </c>
      <c r="K1418" s="7" t="str">
        <f t="shared" si="2"/>
        <v/>
      </c>
      <c r="L1418" s="7" t="str">
        <f t="shared" si="1026"/>
        <v/>
      </c>
      <c r="M1418" s="7">
        <f t="shared" ref="M1418:N1418" si="1437">IF(LEN(M$1),COUNTIF($G1418:$J1418,M$1),"")</f>
        <v>0</v>
      </c>
      <c r="N1418" s="7" t="str">
        <f t="shared" si="1437"/>
        <v/>
      </c>
      <c r="O1418" s="7" t="str">
        <f t="shared" si="1028"/>
        <v/>
      </c>
      <c r="P1418" s="7">
        <f t="shared" si="1433"/>
        <v>0</v>
      </c>
      <c r="Q1418" s="7" t="str">
        <f t="shared" si="7"/>
        <v/>
      </c>
      <c r="T1418" s="7"/>
    </row>
    <row r="1419" ht="12.75" customHeight="1">
      <c r="A1419" s="7">
        <v>1418.0</v>
      </c>
      <c r="B1419" s="7" t="s">
        <v>924</v>
      </c>
      <c r="C1419" s="7" t="s">
        <v>4839</v>
      </c>
      <c r="D1419" s="7"/>
      <c r="E1419" s="7"/>
      <c r="F1419" s="7" t="s">
        <v>4874</v>
      </c>
      <c r="G1419" s="7" t="s">
        <v>3656</v>
      </c>
      <c r="H1419" s="7" t="s">
        <v>3683</v>
      </c>
      <c r="I1419" s="7" t="s">
        <v>3609</v>
      </c>
      <c r="J1419" s="7" t="s">
        <v>3615</v>
      </c>
      <c r="K1419" s="7" t="str">
        <f t="shared" si="2"/>
        <v/>
      </c>
      <c r="L1419" s="7" t="str">
        <f t="shared" si="1026"/>
        <v/>
      </c>
      <c r="M1419" s="7">
        <f t="shared" ref="M1419:N1419" si="1438">IF(LEN(M$1),COUNTIF($G1419:$J1419,M$1),"")</f>
        <v>0</v>
      </c>
      <c r="N1419" s="7" t="str">
        <f t="shared" si="1438"/>
        <v/>
      </c>
      <c r="O1419" s="7" t="str">
        <f t="shared" si="1028"/>
        <v/>
      </c>
      <c r="P1419" s="7">
        <f t="shared" si="1433"/>
        <v>0</v>
      </c>
      <c r="Q1419" s="7" t="str">
        <f t="shared" si="7"/>
        <v/>
      </c>
      <c r="T1419" s="7"/>
    </row>
    <row r="1420" ht="12.75" customHeight="1">
      <c r="A1420" s="7">
        <v>1419.0</v>
      </c>
      <c r="B1420" s="7" t="s">
        <v>930</v>
      </c>
      <c r="C1420" s="7" t="s">
        <v>4839</v>
      </c>
      <c r="D1420" s="7"/>
      <c r="E1420" s="7"/>
      <c r="F1420" s="7" t="s">
        <v>4874</v>
      </c>
      <c r="G1420" s="7" t="s">
        <v>3660</v>
      </c>
      <c r="H1420" s="7" t="s">
        <v>3658</v>
      </c>
      <c r="I1420" s="7" t="s">
        <v>3623</v>
      </c>
      <c r="J1420" s="7" t="s">
        <v>3633</v>
      </c>
      <c r="K1420" s="7" t="str">
        <f t="shared" si="2"/>
        <v/>
      </c>
      <c r="L1420" s="7" t="str">
        <f t="shared" si="1026"/>
        <v/>
      </c>
      <c r="M1420" s="7">
        <f t="shared" ref="M1420:N1420" si="1439">IF(LEN(M$1),COUNTIF($G1420:$J1420,M$1),"")</f>
        <v>0</v>
      </c>
      <c r="N1420" s="7" t="str">
        <f t="shared" si="1439"/>
        <v/>
      </c>
      <c r="O1420" s="7" t="str">
        <f t="shared" si="1028"/>
        <v/>
      </c>
      <c r="P1420" s="7">
        <f t="shared" si="1433"/>
        <v>0</v>
      </c>
      <c r="Q1420" s="7" t="str">
        <f t="shared" si="7"/>
        <v/>
      </c>
      <c r="T1420" s="7"/>
    </row>
    <row r="1421" ht="12.75" customHeight="1">
      <c r="A1421" s="7">
        <v>1420.0</v>
      </c>
      <c r="B1421" s="7" t="s">
        <v>939</v>
      </c>
      <c r="C1421" s="7" t="s">
        <v>4827</v>
      </c>
      <c r="D1421" s="7"/>
      <c r="E1421" s="7"/>
      <c r="F1421" s="7" t="s">
        <v>4874</v>
      </c>
      <c r="G1421" s="7" t="s">
        <v>3511</v>
      </c>
      <c r="H1421" s="7" t="s">
        <v>3656</v>
      </c>
      <c r="I1421" s="7" t="s">
        <v>3681</v>
      </c>
      <c r="J1421" s="7" t="s">
        <v>3533</v>
      </c>
      <c r="K1421" s="7" t="str">
        <f t="shared" si="2"/>
        <v/>
      </c>
      <c r="L1421" s="7" t="str">
        <f t="shared" si="1026"/>
        <v/>
      </c>
      <c r="M1421" s="7">
        <f t="shared" ref="M1421:N1421" si="1440">IF(LEN(M$1),COUNTIF($G1421:$J1421,M$1),"")</f>
        <v>0</v>
      </c>
      <c r="N1421" s="7" t="str">
        <f t="shared" si="1440"/>
        <v/>
      </c>
      <c r="O1421" s="7" t="str">
        <f t="shared" si="1028"/>
        <v/>
      </c>
      <c r="P1421" s="7">
        <f t="shared" si="1433"/>
        <v>0</v>
      </c>
      <c r="Q1421" s="7" t="str">
        <f t="shared" si="7"/>
        <v/>
      </c>
      <c r="T1421" s="7"/>
    </row>
    <row r="1422" ht="12.75" customHeight="1">
      <c r="A1422" s="7">
        <v>1421.0</v>
      </c>
      <c r="B1422" s="7" t="s">
        <v>946</v>
      </c>
      <c r="C1422" s="7" t="s">
        <v>4827</v>
      </c>
      <c r="D1422" s="7"/>
      <c r="E1422" s="7"/>
      <c r="F1422" s="7" t="s">
        <v>4874</v>
      </c>
      <c r="G1422" s="7" t="s">
        <v>3618</v>
      </c>
      <c r="H1422" s="7" t="s">
        <v>3675</v>
      </c>
      <c r="I1422" s="7" t="s">
        <v>3656</v>
      </c>
      <c r="J1422" s="7" t="s">
        <v>3701</v>
      </c>
      <c r="K1422" s="7" t="str">
        <f t="shared" si="2"/>
        <v/>
      </c>
      <c r="L1422" s="7" t="str">
        <f t="shared" si="1026"/>
        <v/>
      </c>
      <c r="M1422" s="7">
        <f t="shared" ref="M1422:N1422" si="1441">IF(LEN(M$1),COUNTIF($G1422:$J1422,M$1),"")</f>
        <v>0</v>
      </c>
      <c r="N1422" s="7" t="str">
        <f t="shared" si="1441"/>
        <v/>
      </c>
      <c r="O1422" s="7" t="str">
        <f t="shared" si="1028"/>
        <v/>
      </c>
      <c r="P1422" s="7">
        <f t="shared" si="1433"/>
        <v>0</v>
      </c>
      <c r="Q1422" s="7" t="str">
        <f t="shared" si="7"/>
        <v/>
      </c>
      <c r="T1422" s="7"/>
    </row>
    <row r="1423" ht="12.75" customHeight="1">
      <c r="A1423" s="7">
        <v>1422.0</v>
      </c>
      <c r="B1423" s="7" t="s">
        <v>954</v>
      </c>
      <c r="C1423" s="7" t="s">
        <v>4827</v>
      </c>
      <c r="D1423" s="7"/>
      <c r="E1423" s="7"/>
      <c r="F1423" s="7" t="s">
        <v>4874</v>
      </c>
      <c r="G1423" s="7" t="s">
        <v>3701</v>
      </c>
      <c r="H1423" s="7" t="s">
        <v>3660</v>
      </c>
      <c r="I1423" s="7" t="s">
        <v>3665</v>
      </c>
      <c r="J1423" s="7" t="s">
        <v>3690</v>
      </c>
      <c r="K1423" s="7" t="str">
        <f t="shared" si="2"/>
        <v/>
      </c>
      <c r="L1423" s="7" t="str">
        <f t="shared" si="1026"/>
        <v/>
      </c>
      <c r="M1423" s="7">
        <f t="shared" ref="M1423:N1423" si="1442">IF(LEN(M$1),COUNTIF($G1423:$J1423,M$1),"")</f>
        <v>0</v>
      </c>
      <c r="N1423" s="7" t="str">
        <f t="shared" si="1442"/>
        <v/>
      </c>
      <c r="O1423" s="7" t="str">
        <f t="shared" si="1028"/>
        <v/>
      </c>
      <c r="P1423" s="7">
        <f t="shared" si="1433"/>
        <v>0</v>
      </c>
      <c r="Q1423" s="7" t="str">
        <f t="shared" si="7"/>
        <v/>
      </c>
      <c r="T1423" s="7"/>
    </row>
    <row r="1424" ht="12.75" customHeight="1">
      <c r="A1424" s="7">
        <v>1423.0</v>
      </c>
      <c r="B1424" s="7" t="s">
        <v>961</v>
      </c>
      <c r="C1424" s="7" t="s">
        <v>4838</v>
      </c>
      <c r="D1424" s="7"/>
      <c r="E1424" s="7"/>
      <c r="F1424" s="7" t="s">
        <v>4874</v>
      </c>
      <c r="G1424" s="7" t="s">
        <v>3562</v>
      </c>
      <c r="H1424" s="7" t="s">
        <v>3716</v>
      </c>
      <c r="I1424" s="7" t="s">
        <v>3669</v>
      </c>
      <c r="J1424" s="7" t="s">
        <v>3649</v>
      </c>
      <c r="K1424" s="7" t="str">
        <f t="shared" si="2"/>
        <v/>
      </c>
      <c r="L1424" s="7" t="str">
        <f t="shared" si="1026"/>
        <v/>
      </c>
      <c r="M1424" s="7">
        <f t="shared" ref="M1424:N1424" si="1443">IF(LEN(M$1),COUNTIF($G1424:$J1424,M$1),"")</f>
        <v>0</v>
      </c>
      <c r="N1424" s="7" t="str">
        <f t="shared" si="1443"/>
        <v/>
      </c>
      <c r="O1424" s="7" t="str">
        <f t="shared" si="1028"/>
        <v/>
      </c>
      <c r="P1424" s="7">
        <f t="shared" si="1433"/>
        <v>0</v>
      </c>
      <c r="Q1424" s="7" t="str">
        <f t="shared" si="7"/>
        <v/>
      </c>
      <c r="T1424" s="7"/>
    </row>
    <row r="1425" ht="12.75" customHeight="1">
      <c r="A1425" s="7">
        <v>1424.0</v>
      </c>
      <c r="B1425" s="7" t="s">
        <v>969</v>
      </c>
      <c r="C1425" s="7" t="s">
        <v>4838</v>
      </c>
      <c r="D1425" s="7"/>
      <c r="E1425" s="7"/>
      <c r="F1425" s="7" t="s">
        <v>4874</v>
      </c>
      <c r="G1425" s="7" t="s">
        <v>3703</v>
      </c>
      <c r="H1425" s="7" t="s">
        <v>3574</v>
      </c>
      <c r="I1425" s="7" t="s">
        <v>3711</v>
      </c>
      <c r="J1425" s="7" t="s">
        <v>3473</v>
      </c>
      <c r="K1425" s="7" t="str">
        <f t="shared" si="2"/>
        <v/>
      </c>
      <c r="L1425" s="7" t="str">
        <f t="shared" si="1026"/>
        <v/>
      </c>
      <c r="M1425" s="7">
        <f t="shared" ref="M1425:N1425" si="1444">IF(LEN(M$1),COUNTIF($G1425:$J1425,M$1),"")</f>
        <v>0</v>
      </c>
      <c r="N1425" s="7" t="str">
        <f t="shared" si="1444"/>
        <v/>
      </c>
      <c r="O1425" s="7" t="str">
        <f t="shared" si="1028"/>
        <v/>
      </c>
      <c r="P1425" s="7">
        <f t="shared" si="1433"/>
        <v>0</v>
      </c>
      <c r="Q1425" s="7" t="str">
        <f t="shared" si="7"/>
        <v/>
      </c>
      <c r="T1425" s="7"/>
    </row>
    <row r="1426" ht="12.75" customHeight="1">
      <c r="A1426" s="7">
        <v>1425.0</v>
      </c>
      <c r="B1426" s="7" t="s">
        <v>975</v>
      </c>
      <c r="C1426" s="7" t="s">
        <v>4838</v>
      </c>
      <c r="D1426" s="7"/>
      <c r="E1426" s="7"/>
      <c r="F1426" s="7" t="s">
        <v>4874</v>
      </c>
      <c r="G1426" s="7" t="s">
        <v>3671</v>
      </c>
      <c r="H1426" s="7" t="s">
        <v>3476</v>
      </c>
      <c r="I1426" s="7" t="s">
        <v>3695</v>
      </c>
      <c r="J1426" s="7" t="s">
        <v>3525</v>
      </c>
      <c r="K1426" s="7" t="str">
        <f t="shared" si="2"/>
        <v/>
      </c>
      <c r="L1426" s="7" t="str">
        <f t="shared" si="1026"/>
        <v/>
      </c>
      <c r="M1426" s="7">
        <f t="shared" ref="M1426:N1426" si="1445">IF(LEN(M$1),COUNTIF($G1426:$J1426,M$1),"")</f>
        <v>0</v>
      </c>
      <c r="N1426" s="7" t="str">
        <f t="shared" si="1445"/>
        <v/>
      </c>
      <c r="O1426" s="7" t="str">
        <f t="shared" si="1028"/>
        <v/>
      </c>
      <c r="P1426" s="7">
        <f t="shared" si="1433"/>
        <v>0</v>
      </c>
      <c r="Q1426" s="7" t="str">
        <f t="shared" si="7"/>
        <v/>
      </c>
      <c r="T1426" s="7"/>
    </row>
    <row r="1427" ht="12.75" customHeight="1">
      <c r="A1427" s="7">
        <v>1426.0</v>
      </c>
      <c r="B1427" s="7" t="s">
        <v>981</v>
      </c>
      <c r="C1427" s="7" t="s">
        <v>2659</v>
      </c>
      <c r="D1427" s="7"/>
      <c r="E1427" s="7"/>
      <c r="F1427" s="7" t="s">
        <v>4874</v>
      </c>
      <c r="G1427" s="7" t="s">
        <v>3595</v>
      </c>
      <c r="H1427" s="7" t="s">
        <v>3518</v>
      </c>
      <c r="I1427" s="7" t="s">
        <v>3713</v>
      </c>
      <c r="J1427" s="7" t="s">
        <v>3502</v>
      </c>
      <c r="K1427" s="7" t="str">
        <f t="shared" si="2"/>
        <v/>
      </c>
      <c r="L1427" s="7" t="str">
        <f t="shared" si="1026"/>
        <v/>
      </c>
      <c r="M1427" s="7">
        <f t="shared" ref="M1427:N1427" si="1446">IF(LEN(M$1),COUNTIF($G1427:$J1427,M$1),"")</f>
        <v>0</v>
      </c>
      <c r="N1427" s="7" t="str">
        <f t="shared" si="1446"/>
        <v/>
      </c>
      <c r="O1427" s="7" t="str">
        <f t="shared" si="1028"/>
        <v/>
      </c>
      <c r="P1427" s="7">
        <f t="shared" si="1433"/>
        <v>0</v>
      </c>
      <c r="Q1427" s="7" t="str">
        <f t="shared" si="7"/>
        <v/>
      </c>
      <c r="T1427" s="7"/>
    </row>
    <row r="1428" ht="12.75" customHeight="1">
      <c r="A1428" s="7">
        <v>1427.0</v>
      </c>
      <c r="B1428" s="7" t="s">
        <v>989</v>
      </c>
      <c r="C1428" s="7" t="s">
        <v>2659</v>
      </c>
      <c r="D1428" s="7"/>
      <c r="E1428" s="7"/>
      <c r="F1428" s="7" t="s">
        <v>4874</v>
      </c>
      <c r="G1428" s="7" t="s">
        <v>3520</v>
      </c>
      <c r="H1428" s="7" t="s">
        <v>3623</v>
      </c>
      <c r="I1428" s="7" t="s">
        <v>3716</v>
      </c>
      <c r="J1428" s="7" t="s">
        <v>3505</v>
      </c>
      <c r="K1428" s="7" t="str">
        <f t="shared" si="2"/>
        <v/>
      </c>
      <c r="L1428" s="7" t="str">
        <f t="shared" si="1026"/>
        <v/>
      </c>
      <c r="M1428" s="7">
        <f t="shared" ref="M1428:N1428" si="1447">IF(LEN(M$1),COUNTIF($G1428:$J1428,M$1),"")</f>
        <v>0</v>
      </c>
      <c r="N1428" s="7" t="str">
        <f t="shared" si="1447"/>
        <v/>
      </c>
      <c r="O1428" s="7" t="str">
        <f t="shared" si="1028"/>
        <v/>
      </c>
      <c r="P1428" s="7">
        <f t="shared" si="1433"/>
        <v>0</v>
      </c>
      <c r="Q1428" s="7" t="str">
        <f t="shared" si="7"/>
        <v/>
      </c>
      <c r="T1428" s="7"/>
    </row>
    <row r="1429" ht="12.75" customHeight="1">
      <c r="A1429" s="7">
        <v>1428.0</v>
      </c>
      <c r="B1429" s="7" t="s">
        <v>996</v>
      </c>
      <c r="C1429" s="7" t="s">
        <v>2659</v>
      </c>
      <c r="D1429" s="7"/>
      <c r="E1429" s="7"/>
      <c r="F1429" s="7" t="s">
        <v>4874</v>
      </c>
      <c r="G1429" s="7" t="s">
        <v>3588</v>
      </c>
      <c r="H1429" s="7" t="s">
        <v>3631</v>
      </c>
      <c r="I1429" s="7" t="s">
        <v>3688</v>
      </c>
      <c r="J1429" s="7" t="s">
        <v>3705</v>
      </c>
      <c r="K1429" s="7" t="str">
        <f t="shared" si="2"/>
        <v/>
      </c>
      <c r="L1429" s="7" t="str">
        <f t="shared" si="1026"/>
        <v/>
      </c>
      <c r="M1429" s="7">
        <f t="shared" ref="M1429:N1429" si="1448">IF(LEN(M$1),COUNTIF($G1429:$J1429,M$1),"")</f>
        <v>0</v>
      </c>
      <c r="N1429" s="7" t="str">
        <f t="shared" si="1448"/>
        <v/>
      </c>
      <c r="O1429" s="7" t="str">
        <f t="shared" si="1028"/>
        <v/>
      </c>
      <c r="P1429" s="7">
        <f t="shared" si="1433"/>
        <v>0</v>
      </c>
      <c r="Q1429" s="7" t="str">
        <f t="shared" si="7"/>
        <v/>
      </c>
      <c r="T1429" s="7"/>
    </row>
    <row r="1430" ht="12.75" customHeight="1">
      <c r="A1430" s="7">
        <v>1429.0</v>
      </c>
      <c r="B1430" s="7" t="s">
        <v>1004</v>
      </c>
      <c r="C1430" s="7" t="s">
        <v>2659</v>
      </c>
      <c r="D1430" s="7"/>
      <c r="E1430" s="7"/>
      <c r="F1430" s="7" t="s">
        <v>4874</v>
      </c>
      <c r="G1430" s="7" t="s">
        <v>3516</v>
      </c>
      <c r="H1430" s="7" t="s">
        <v>3679</v>
      </c>
      <c r="I1430" s="7" t="s">
        <v>3693</v>
      </c>
      <c r="J1430" s="7" t="s">
        <v>3455</v>
      </c>
      <c r="K1430" s="7" t="str">
        <f t="shared" si="2"/>
        <v/>
      </c>
      <c r="L1430" s="7" t="str">
        <f t="shared" si="1026"/>
        <v/>
      </c>
      <c r="M1430" s="7">
        <f t="shared" ref="M1430:N1430" si="1449">IF(LEN(M$1),COUNTIF($G1430:$J1430,M$1),"")</f>
        <v>0</v>
      </c>
      <c r="N1430" s="7" t="str">
        <f t="shared" si="1449"/>
        <v/>
      </c>
      <c r="O1430" s="7" t="str">
        <f t="shared" si="1028"/>
        <v/>
      </c>
      <c r="P1430" s="7">
        <f t="shared" si="1433"/>
        <v>0</v>
      </c>
      <c r="Q1430" s="7" t="str">
        <f t="shared" si="7"/>
        <v/>
      </c>
      <c r="T1430" s="7"/>
    </row>
    <row r="1431" ht="12.75" customHeight="1">
      <c r="A1431" s="7">
        <v>1430.0</v>
      </c>
      <c r="B1431" s="7" t="s">
        <v>1012</v>
      </c>
      <c r="C1431" s="7" t="s">
        <v>2659</v>
      </c>
      <c r="D1431" s="7"/>
      <c r="E1431" s="7"/>
      <c r="F1431" s="7" t="s">
        <v>4874</v>
      </c>
      <c r="G1431" s="7" t="s">
        <v>3562</v>
      </c>
      <c r="H1431" s="7" t="s">
        <v>3675</v>
      </c>
      <c r="I1431" s="7" t="s">
        <v>3609</v>
      </c>
      <c r="J1431" s="7" t="s">
        <v>3576</v>
      </c>
      <c r="K1431" s="7" t="str">
        <f t="shared" si="2"/>
        <v/>
      </c>
      <c r="L1431" s="7" t="str">
        <f t="shared" si="1026"/>
        <v/>
      </c>
      <c r="M1431" s="7">
        <f t="shared" ref="M1431:N1431" si="1450">IF(LEN(M$1),COUNTIF($G1431:$J1431,M$1),"")</f>
        <v>0</v>
      </c>
      <c r="N1431" s="7" t="str">
        <f t="shared" si="1450"/>
        <v/>
      </c>
      <c r="O1431" s="7" t="str">
        <f t="shared" si="1028"/>
        <v/>
      </c>
      <c r="P1431" s="7">
        <f t="shared" si="1433"/>
        <v>0</v>
      </c>
      <c r="Q1431" s="7" t="str">
        <f t="shared" si="7"/>
        <v/>
      </c>
      <c r="T1431" s="7"/>
    </row>
    <row r="1432" ht="12.75" customHeight="1">
      <c r="A1432" s="7">
        <v>1431.0</v>
      </c>
      <c r="B1432" s="7" t="s">
        <v>1020</v>
      </c>
      <c r="C1432" s="7" t="s">
        <v>2659</v>
      </c>
      <c r="D1432" s="7"/>
      <c r="E1432" s="7"/>
      <c r="F1432" s="7" t="s">
        <v>4874</v>
      </c>
      <c r="G1432" s="7" t="s">
        <v>3591</v>
      </c>
      <c r="H1432" s="7" t="s">
        <v>3574</v>
      </c>
      <c r="I1432" s="7" t="s">
        <v>3698</v>
      </c>
      <c r="J1432" s="7" t="s">
        <v>3665</v>
      </c>
      <c r="K1432" s="7" t="str">
        <f t="shared" si="2"/>
        <v/>
      </c>
      <c r="L1432" s="7" t="str">
        <f t="shared" si="1026"/>
        <v/>
      </c>
      <c r="M1432" s="7">
        <f t="shared" ref="M1432:N1432" si="1451">IF(LEN(M$1),COUNTIF($G1432:$J1432,M$1),"")</f>
        <v>0</v>
      </c>
      <c r="N1432" s="7" t="str">
        <f t="shared" si="1451"/>
        <v/>
      </c>
      <c r="O1432" s="7" t="str">
        <f t="shared" si="1028"/>
        <v/>
      </c>
      <c r="P1432" s="7">
        <f t="shared" si="1433"/>
        <v>0</v>
      </c>
      <c r="Q1432" s="7" t="str">
        <f t="shared" si="7"/>
        <v/>
      </c>
      <c r="T1432" s="7"/>
    </row>
    <row r="1433" ht="12.75" customHeight="1">
      <c r="A1433" s="7">
        <v>1432.0</v>
      </c>
      <c r="B1433" s="7" t="s">
        <v>194</v>
      </c>
      <c r="C1433" s="7" t="s">
        <v>4830</v>
      </c>
      <c r="D1433" s="7"/>
      <c r="E1433" s="7"/>
      <c r="F1433" s="7" t="s">
        <v>4874</v>
      </c>
      <c r="G1433" s="7" t="s">
        <v>3660</v>
      </c>
      <c r="H1433" s="7" t="s">
        <v>3562</v>
      </c>
      <c r="I1433" s="7" t="s">
        <v>3722</v>
      </c>
      <c r="J1433" s="7" t="s">
        <v>3465</v>
      </c>
      <c r="K1433" s="7" t="str">
        <f t="shared" si="2"/>
        <v/>
      </c>
      <c r="L1433" s="7" t="str">
        <f t="shared" si="1026"/>
        <v/>
      </c>
      <c r="M1433" s="7">
        <f t="shared" ref="M1433:N1433" si="1452">IF(LEN(M$1),COUNTIF($G1433:$J1433,M$1),"")</f>
        <v>0</v>
      </c>
      <c r="N1433" s="7" t="str">
        <f t="shared" si="1452"/>
        <v/>
      </c>
      <c r="O1433" s="7" t="str">
        <f t="shared" si="1028"/>
        <v/>
      </c>
      <c r="P1433" s="7">
        <f t="shared" si="1433"/>
        <v>0</v>
      </c>
      <c r="Q1433" s="7" t="str">
        <f t="shared" si="7"/>
        <v/>
      </c>
      <c r="T1433" s="7"/>
    </row>
    <row r="1434" ht="12.75" customHeight="1">
      <c r="A1434" s="7">
        <v>1433.0</v>
      </c>
      <c r="B1434" s="7" t="s">
        <v>1033</v>
      </c>
      <c r="C1434" s="7" t="s">
        <v>4830</v>
      </c>
      <c r="D1434" s="7"/>
      <c r="E1434" s="7"/>
      <c r="F1434" s="7" t="s">
        <v>4874</v>
      </c>
      <c r="G1434" s="7" t="s">
        <v>3627</v>
      </c>
      <c r="H1434" s="7" t="s">
        <v>3527</v>
      </c>
      <c r="I1434" s="7" t="s">
        <v>3722</v>
      </c>
      <c r="J1434" s="7" t="s">
        <v>3716</v>
      </c>
      <c r="K1434" s="7" t="str">
        <f t="shared" si="2"/>
        <v/>
      </c>
      <c r="L1434" s="7" t="str">
        <f t="shared" si="1026"/>
        <v/>
      </c>
      <c r="M1434" s="7">
        <f t="shared" ref="M1434:N1434" si="1453">IF(LEN(M$1),COUNTIF($G1434:$J1434,M$1),"")</f>
        <v>0</v>
      </c>
      <c r="N1434" s="7" t="str">
        <f t="shared" si="1453"/>
        <v/>
      </c>
      <c r="O1434" s="7" t="str">
        <f t="shared" si="1028"/>
        <v/>
      </c>
      <c r="P1434" s="7">
        <f t="shared" si="1433"/>
        <v>0</v>
      </c>
      <c r="Q1434" s="7" t="str">
        <f t="shared" si="7"/>
        <v/>
      </c>
      <c r="T1434" s="7"/>
    </row>
    <row r="1435" ht="12.75" customHeight="1">
      <c r="A1435" s="7">
        <v>1434.0</v>
      </c>
      <c r="B1435" s="7" t="s">
        <v>1041</v>
      </c>
      <c r="C1435" s="7" t="s">
        <v>4830</v>
      </c>
      <c r="D1435" s="7"/>
      <c r="E1435" s="7"/>
      <c r="F1435" s="7" t="s">
        <v>4874</v>
      </c>
      <c r="G1435" s="7" t="s">
        <v>3683</v>
      </c>
      <c r="H1435" s="7" t="s">
        <v>3485</v>
      </c>
      <c r="I1435" s="7" t="s">
        <v>3637</v>
      </c>
      <c r="J1435" s="7" t="s">
        <v>3473</v>
      </c>
      <c r="K1435" s="7" t="str">
        <f t="shared" si="2"/>
        <v/>
      </c>
      <c r="L1435" s="7" t="str">
        <f t="shared" si="1026"/>
        <v/>
      </c>
      <c r="M1435" s="7">
        <f t="shared" ref="M1435:N1435" si="1454">IF(LEN(M$1),COUNTIF($G1435:$J1435,M$1),"")</f>
        <v>0</v>
      </c>
      <c r="N1435" s="7" t="str">
        <f t="shared" si="1454"/>
        <v/>
      </c>
      <c r="O1435" s="7" t="str">
        <f t="shared" si="1028"/>
        <v/>
      </c>
      <c r="P1435" s="7">
        <f t="shared" si="1433"/>
        <v>0</v>
      </c>
      <c r="Q1435" s="7" t="str">
        <f t="shared" si="7"/>
        <v/>
      </c>
      <c r="T1435" s="7"/>
    </row>
    <row r="1436" ht="12.75" customHeight="1">
      <c r="A1436" s="7">
        <v>1435.0</v>
      </c>
      <c r="B1436" s="7" t="s">
        <v>1049</v>
      </c>
      <c r="C1436" s="7" t="s">
        <v>4831</v>
      </c>
      <c r="D1436" s="7"/>
      <c r="E1436" s="7"/>
      <c r="F1436" s="7" t="s">
        <v>4874</v>
      </c>
      <c r="G1436" s="7" t="s">
        <v>3544</v>
      </c>
      <c r="H1436" s="7" t="s">
        <v>3695</v>
      </c>
      <c r="I1436" s="7" t="s">
        <v>3623</v>
      </c>
      <c r="J1436" s="7" t="s">
        <v>3480</v>
      </c>
      <c r="K1436" s="7" t="str">
        <f t="shared" si="2"/>
        <v/>
      </c>
      <c r="L1436" s="7" t="str">
        <f t="shared" si="1026"/>
        <v/>
      </c>
      <c r="M1436" s="7">
        <f t="shared" ref="M1436:N1436" si="1455">IF(LEN(M$1),COUNTIF($G1436:$J1436,M$1),"")</f>
        <v>0</v>
      </c>
      <c r="N1436" s="7" t="str">
        <f t="shared" si="1455"/>
        <v/>
      </c>
      <c r="O1436" s="7" t="str">
        <f t="shared" si="1028"/>
        <v/>
      </c>
      <c r="P1436" s="7">
        <f t="shared" si="1433"/>
        <v>0</v>
      </c>
      <c r="Q1436" s="7" t="str">
        <f t="shared" si="7"/>
        <v/>
      </c>
      <c r="T1436" s="7"/>
    </row>
    <row r="1437" ht="12.75" customHeight="1">
      <c r="A1437" s="7">
        <v>1436.0</v>
      </c>
      <c r="B1437" s="7" t="s">
        <v>1057</v>
      </c>
      <c r="C1437" s="7" t="s">
        <v>4831</v>
      </c>
      <c r="D1437" s="7"/>
      <c r="E1437" s="7"/>
      <c r="F1437" s="7" t="s">
        <v>4874</v>
      </c>
      <c r="G1437" s="7" t="s">
        <v>3705</v>
      </c>
      <c r="H1437" s="7" t="s">
        <v>3500</v>
      </c>
      <c r="I1437" s="7" t="s">
        <v>3591</v>
      </c>
      <c r="J1437" s="7" t="s">
        <v>3654</v>
      </c>
      <c r="K1437" s="7" t="str">
        <f t="shared" si="2"/>
        <v/>
      </c>
      <c r="L1437" s="7" t="str">
        <f t="shared" si="1026"/>
        <v/>
      </c>
      <c r="M1437" s="7">
        <f t="shared" ref="M1437:N1437" si="1456">IF(LEN(M$1),COUNTIF($G1437:$J1437,M$1),"")</f>
        <v>0</v>
      </c>
      <c r="N1437" s="7" t="str">
        <f t="shared" si="1456"/>
        <v/>
      </c>
      <c r="O1437" s="7" t="str">
        <f t="shared" si="1028"/>
        <v/>
      </c>
      <c r="P1437" s="7">
        <f t="shared" si="1433"/>
        <v>0</v>
      </c>
      <c r="Q1437" s="7" t="str">
        <f t="shared" si="7"/>
        <v/>
      </c>
      <c r="T1437" s="7"/>
    </row>
    <row r="1438" ht="12.75" customHeight="1">
      <c r="A1438" s="7">
        <v>1437.0</v>
      </c>
      <c r="B1438" s="7" t="s">
        <v>1066</v>
      </c>
      <c r="C1438" s="7" t="s">
        <v>4831</v>
      </c>
      <c r="D1438" s="7"/>
      <c r="E1438" s="7"/>
      <c r="F1438" s="7" t="s">
        <v>4874</v>
      </c>
      <c r="G1438" s="7" t="s">
        <v>3588</v>
      </c>
      <c r="H1438" s="7" t="s">
        <v>3623</v>
      </c>
      <c r="I1438" s="7" t="s">
        <v>3671</v>
      </c>
      <c r="J1438" s="7" t="s">
        <v>3627</v>
      </c>
      <c r="K1438" s="7" t="str">
        <f t="shared" si="2"/>
        <v/>
      </c>
      <c r="L1438" s="7" t="str">
        <f t="shared" si="1026"/>
        <v/>
      </c>
      <c r="M1438" s="7">
        <f t="shared" ref="M1438:N1438" si="1457">IF(LEN(M$1),COUNTIF($G1438:$J1438,M$1),"")</f>
        <v>0</v>
      </c>
      <c r="N1438" s="7" t="str">
        <f t="shared" si="1457"/>
        <v/>
      </c>
      <c r="O1438" s="7" t="str">
        <f t="shared" si="1028"/>
        <v/>
      </c>
      <c r="P1438" s="7">
        <f t="shared" si="1433"/>
        <v>0</v>
      </c>
      <c r="Q1438" s="7" t="str">
        <f t="shared" si="7"/>
        <v/>
      </c>
      <c r="T1438" s="7"/>
    </row>
    <row r="1439" ht="12.75" customHeight="1">
      <c r="A1439" s="7">
        <v>1438.0</v>
      </c>
      <c r="B1439" s="7" t="s">
        <v>1075</v>
      </c>
      <c r="C1439" s="7" t="s">
        <v>4840</v>
      </c>
      <c r="D1439" s="7"/>
      <c r="E1439" s="7"/>
      <c r="F1439" s="7" t="s">
        <v>4874</v>
      </c>
      <c r="G1439" s="7" t="s">
        <v>3720</v>
      </c>
      <c r="H1439" s="7" t="s">
        <v>3588</v>
      </c>
      <c r="I1439" s="7" t="s">
        <v>3620</v>
      </c>
      <c r="J1439" s="7" t="s">
        <v>3601</v>
      </c>
      <c r="K1439" s="7" t="str">
        <f t="shared" si="2"/>
        <v/>
      </c>
      <c r="L1439" s="7" t="str">
        <f t="shared" si="1026"/>
        <v/>
      </c>
      <c r="M1439" s="7">
        <f t="shared" ref="M1439:N1439" si="1458">IF(LEN(M$1),COUNTIF($G1439:$J1439,M$1),"")</f>
        <v>0</v>
      </c>
      <c r="N1439" s="7" t="str">
        <f t="shared" si="1458"/>
        <v/>
      </c>
      <c r="O1439" s="7" t="str">
        <f t="shared" si="1028"/>
        <v/>
      </c>
      <c r="P1439" s="7">
        <f t="shared" si="1433"/>
        <v>0</v>
      </c>
      <c r="Q1439" s="7" t="str">
        <f t="shared" si="7"/>
        <v/>
      </c>
      <c r="T1439" s="7"/>
    </row>
    <row r="1440" ht="12.75" customHeight="1">
      <c r="A1440" s="7">
        <v>1439.0</v>
      </c>
      <c r="B1440" s="7" t="s">
        <v>1082</v>
      </c>
      <c r="C1440" s="7" t="s">
        <v>4840</v>
      </c>
      <c r="D1440" s="7"/>
      <c r="E1440" s="7"/>
      <c r="F1440" s="7" t="s">
        <v>4874</v>
      </c>
      <c r="G1440" s="7" t="s">
        <v>3713</v>
      </c>
      <c r="H1440" s="7" t="s">
        <v>3451</v>
      </c>
      <c r="I1440" s="7" t="s">
        <v>3637</v>
      </c>
      <c r="J1440" s="7" t="s">
        <v>3551</v>
      </c>
      <c r="K1440" s="7" t="str">
        <f t="shared" si="2"/>
        <v/>
      </c>
      <c r="L1440" s="7" t="str">
        <f t="shared" si="1026"/>
        <v/>
      </c>
      <c r="M1440" s="7">
        <f t="shared" ref="M1440:N1440" si="1459">IF(LEN(M$1),COUNTIF($G1440:$J1440,M$1),"")</f>
        <v>0</v>
      </c>
      <c r="N1440" s="7" t="str">
        <f t="shared" si="1459"/>
        <v/>
      </c>
      <c r="O1440" s="7" t="str">
        <f t="shared" si="1028"/>
        <v/>
      </c>
      <c r="P1440" s="7">
        <f t="shared" si="1433"/>
        <v>0</v>
      </c>
      <c r="Q1440" s="7" t="str">
        <f t="shared" si="7"/>
        <v/>
      </c>
      <c r="T1440" s="7"/>
    </row>
    <row r="1441" ht="12.75" customHeight="1">
      <c r="A1441" s="7">
        <v>1440.0</v>
      </c>
      <c r="B1441" s="7" t="s">
        <v>1091</v>
      </c>
      <c r="C1441" s="7" t="s">
        <v>4834</v>
      </c>
      <c r="D1441" s="7"/>
      <c r="E1441" s="7"/>
      <c r="F1441" s="7" t="s">
        <v>4874</v>
      </c>
      <c r="G1441" s="7" t="s">
        <v>3604</v>
      </c>
      <c r="H1441" s="7" t="s">
        <v>3627</v>
      </c>
      <c r="I1441" s="7" t="s">
        <v>3669</v>
      </c>
      <c r="J1441" s="7" t="s">
        <v>3647</v>
      </c>
      <c r="K1441" s="7" t="str">
        <f t="shared" si="2"/>
        <v/>
      </c>
      <c r="L1441" s="7" t="str">
        <f t="shared" si="1026"/>
        <v/>
      </c>
      <c r="M1441" s="7">
        <f t="shared" ref="M1441:N1441" si="1460">IF(LEN(M$1),COUNTIF($G1441:$J1441,M$1),"")</f>
        <v>0</v>
      </c>
      <c r="N1441" s="7" t="str">
        <f t="shared" si="1460"/>
        <v/>
      </c>
      <c r="O1441" s="7" t="str">
        <f t="shared" si="1028"/>
        <v/>
      </c>
      <c r="P1441" s="7">
        <f t="shared" si="1433"/>
        <v>0</v>
      </c>
      <c r="Q1441" s="7" t="str">
        <f t="shared" si="7"/>
        <v/>
      </c>
      <c r="T1441" s="7"/>
    </row>
    <row r="1442" ht="12.75" customHeight="1">
      <c r="A1442" s="7">
        <v>1441.0</v>
      </c>
      <c r="B1442" s="7" t="s">
        <v>1098</v>
      </c>
      <c r="C1442" s="7" t="s">
        <v>4834</v>
      </c>
      <c r="D1442" s="7"/>
      <c r="E1442" s="7"/>
      <c r="F1442" s="7" t="s">
        <v>4874</v>
      </c>
      <c r="G1442" s="7" t="s">
        <v>3669</v>
      </c>
      <c r="H1442" s="7" t="s">
        <v>3473</v>
      </c>
      <c r="I1442" s="7" t="s">
        <v>3690</v>
      </c>
      <c r="J1442" s="7" t="s">
        <v>3656</v>
      </c>
      <c r="K1442" s="7" t="str">
        <f t="shared" si="2"/>
        <v/>
      </c>
      <c r="L1442" s="7" t="str">
        <f t="shared" si="1026"/>
        <v/>
      </c>
      <c r="M1442" s="7">
        <f t="shared" ref="M1442:N1442" si="1461">IF(LEN(M$1),COUNTIF($G1442:$J1442,M$1),"")</f>
        <v>0</v>
      </c>
      <c r="N1442" s="7" t="str">
        <f t="shared" si="1461"/>
        <v/>
      </c>
      <c r="O1442" s="7" t="str">
        <f t="shared" si="1028"/>
        <v/>
      </c>
      <c r="P1442" s="7">
        <f t="shared" si="1433"/>
        <v>0</v>
      </c>
      <c r="Q1442" s="7" t="str">
        <f t="shared" si="7"/>
        <v/>
      </c>
      <c r="T1442" s="7"/>
    </row>
    <row r="1443" ht="12.75" customHeight="1">
      <c r="A1443" s="7">
        <v>1442.0</v>
      </c>
      <c r="B1443" s="7" t="s">
        <v>1106</v>
      </c>
      <c r="C1443" s="7" t="s">
        <v>4829</v>
      </c>
      <c r="D1443" s="7"/>
      <c r="E1443" s="7"/>
      <c r="F1443" s="7" t="s">
        <v>4874</v>
      </c>
      <c r="G1443" s="7" t="s">
        <v>3713</v>
      </c>
      <c r="H1443" s="7" t="s">
        <v>3567</v>
      </c>
      <c r="I1443" s="7" t="s">
        <v>3647</v>
      </c>
      <c r="J1443" s="7" t="s">
        <v>3663</v>
      </c>
      <c r="K1443" s="7" t="str">
        <f t="shared" si="2"/>
        <v/>
      </c>
      <c r="L1443" s="7" t="str">
        <f t="shared" si="1026"/>
        <v/>
      </c>
      <c r="M1443" s="7">
        <f t="shared" ref="M1443:N1443" si="1462">IF(LEN(M$1),COUNTIF($G1443:$J1443,M$1),"")</f>
        <v>0</v>
      </c>
      <c r="N1443" s="7" t="str">
        <f t="shared" si="1462"/>
        <v/>
      </c>
      <c r="O1443" s="7" t="str">
        <f t="shared" si="1028"/>
        <v/>
      </c>
      <c r="P1443" s="7">
        <f t="shared" si="1433"/>
        <v>0</v>
      </c>
      <c r="Q1443" s="7" t="str">
        <f t="shared" si="7"/>
        <v/>
      </c>
      <c r="T1443" s="7"/>
    </row>
    <row r="1444" ht="12.75" customHeight="1">
      <c r="A1444" s="7">
        <v>1443.0</v>
      </c>
      <c r="B1444" s="7" t="s">
        <v>1115</v>
      </c>
      <c r="C1444" s="7" t="s">
        <v>4829</v>
      </c>
      <c r="D1444" s="7"/>
      <c r="E1444" s="7"/>
      <c r="F1444" s="7" t="s">
        <v>4874</v>
      </c>
      <c r="G1444" s="7" t="s">
        <v>3720</v>
      </c>
      <c r="H1444" s="7" t="s">
        <v>3570</v>
      </c>
      <c r="I1444" s="7" t="s">
        <v>3618</v>
      </c>
      <c r="J1444" s="7" t="s">
        <v>3462</v>
      </c>
      <c r="K1444" s="7" t="str">
        <f t="shared" si="2"/>
        <v/>
      </c>
      <c r="L1444" s="7" t="str">
        <f t="shared" si="1026"/>
        <v/>
      </c>
      <c r="M1444" s="7">
        <f t="shared" ref="M1444:N1444" si="1463">IF(LEN(M$1),COUNTIF($G1444:$J1444,M$1),"")</f>
        <v>0</v>
      </c>
      <c r="N1444" s="7" t="str">
        <f t="shared" si="1463"/>
        <v/>
      </c>
      <c r="O1444" s="7" t="str">
        <f t="shared" si="1028"/>
        <v/>
      </c>
      <c r="P1444" s="7">
        <f t="shared" si="1433"/>
        <v>0</v>
      </c>
      <c r="Q1444" s="7" t="str">
        <f t="shared" si="7"/>
        <v/>
      </c>
      <c r="T1444" s="7"/>
    </row>
    <row r="1445" ht="12.75" customHeight="1">
      <c r="A1445" s="7">
        <v>1444.0</v>
      </c>
      <c r="B1445" s="7" t="s">
        <v>1123</v>
      </c>
      <c r="C1445" s="7" t="s">
        <v>4832</v>
      </c>
      <c r="D1445" s="7"/>
      <c r="E1445" s="7"/>
      <c r="F1445" s="7" t="s">
        <v>4874</v>
      </c>
      <c r="G1445" s="7" t="s">
        <v>3679</v>
      </c>
      <c r="H1445" s="7" t="s">
        <v>3606</v>
      </c>
      <c r="I1445" s="7" t="s">
        <v>3713</v>
      </c>
      <c r="J1445" s="7" t="s">
        <v>3665</v>
      </c>
      <c r="K1445" s="7" t="str">
        <f t="shared" si="2"/>
        <v/>
      </c>
      <c r="L1445" s="7" t="str">
        <f t="shared" si="1026"/>
        <v/>
      </c>
      <c r="M1445" s="7">
        <f t="shared" ref="M1445:N1445" si="1464">IF(LEN(M$1),COUNTIF($G1445:$J1445,M$1),"")</f>
        <v>0</v>
      </c>
      <c r="N1445" s="7" t="str">
        <f t="shared" si="1464"/>
        <v/>
      </c>
      <c r="O1445" s="7" t="str">
        <f t="shared" si="1028"/>
        <v/>
      </c>
      <c r="P1445" s="7">
        <f t="shared" si="1433"/>
        <v>0</v>
      </c>
      <c r="Q1445" s="7" t="str">
        <f t="shared" si="7"/>
        <v/>
      </c>
      <c r="T1445" s="7"/>
    </row>
    <row r="1446" ht="12.75" customHeight="1">
      <c r="A1446" s="7">
        <v>1445.0</v>
      </c>
      <c r="B1446" s="7" t="s">
        <v>1029</v>
      </c>
      <c r="C1446" s="7" t="s">
        <v>4832</v>
      </c>
      <c r="D1446" s="7"/>
      <c r="E1446" s="7"/>
      <c r="F1446" s="7" t="s">
        <v>4874</v>
      </c>
      <c r="G1446" s="7" t="s">
        <v>3612</v>
      </c>
      <c r="H1446" s="7" t="s">
        <v>3658</v>
      </c>
      <c r="I1446" s="7" t="s">
        <v>3601</v>
      </c>
      <c r="J1446" s="7" t="s">
        <v>3720</v>
      </c>
      <c r="K1446" s="7" t="str">
        <f t="shared" si="2"/>
        <v/>
      </c>
      <c r="L1446" s="7" t="str">
        <f t="shared" si="1026"/>
        <v/>
      </c>
      <c r="M1446" s="7">
        <f t="shared" ref="M1446:N1446" si="1465">IF(LEN(M$1),COUNTIF($G1446:$J1446,M$1),"")</f>
        <v>0</v>
      </c>
      <c r="N1446" s="7" t="str">
        <f t="shared" si="1465"/>
        <v/>
      </c>
      <c r="O1446" s="7" t="str">
        <f t="shared" si="1028"/>
        <v/>
      </c>
      <c r="P1446" s="7">
        <f t="shared" si="1433"/>
        <v>0</v>
      </c>
      <c r="Q1446" s="7" t="str">
        <f t="shared" si="7"/>
        <v/>
      </c>
      <c r="T1446" s="7"/>
    </row>
    <row r="1447" ht="12.75" customHeight="1">
      <c r="A1447" s="7">
        <v>1446.0</v>
      </c>
      <c r="B1447" s="7" t="s">
        <v>1136</v>
      </c>
      <c r="C1447" s="7" t="s">
        <v>4837</v>
      </c>
      <c r="D1447" s="7"/>
      <c r="E1447" s="7"/>
      <c r="F1447" s="7" t="s">
        <v>4874</v>
      </c>
      <c r="G1447" s="7" t="s">
        <v>3500</v>
      </c>
      <c r="H1447" s="7" t="s">
        <v>3679</v>
      </c>
      <c r="I1447" s="7" t="s">
        <v>3660</v>
      </c>
      <c r="J1447" s="7" t="s">
        <v>3451</v>
      </c>
      <c r="K1447" s="7" t="str">
        <f t="shared" si="2"/>
        <v/>
      </c>
      <c r="L1447" s="7" t="str">
        <f t="shared" si="1026"/>
        <v/>
      </c>
      <c r="M1447" s="7">
        <f t="shared" ref="M1447:N1447" si="1466">IF(LEN(M$1),COUNTIF($G1447:$J1447,M$1),"")</f>
        <v>0</v>
      </c>
      <c r="N1447" s="7" t="str">
        <f t="shared" si="1466"/>
        <v/>
      </c>
      <c r="O1447" s="7" t="str">
        <f t="shared" si="1028"/>
        <v/>
      </c>
      <c r="P1447" s="7">
        <f t="shared" si="1433"/>
        <v>0</v>
      </c>
      <c r="Q1447" s="7" t="str">
        <f t="shared" si="7"/>
        <v/>
      </c>
      <c r="T1447" s="7"/>
    </row>
    <row r="1448" ht="12.75" customHeight="1">
      <c r="A1448" s="7">
        <v>1447.0</v>
      </c>
      <c r="B1448" s="7" t="s">
        <v>1144</v>
      </c>
      <c r="C1448" s="7" t="s">
        <v>4837</v>
      </c>
      <c r="D1448" s="7"/>
      <c r="E1448" s="7"/>
      <c r="F1448" s="7" t="s">
        <v>4874</v>
      </c>
      <c r="G1448" s="7" t="s">
        <v>3713</v>
      </c>
      <c r="H1448" s="7" t="s">
        <v>3520</v>
      </c>
      <c r="I1448" s="7" t="s">
        <v>3690</v>
      </c>
      <c r="J1448" s="7" t="s">
        <v>3595</v>
      </c>
      <c r="K1448" s="7" t="str">
        <f t="shared" si="2"/>
        <v/>
      </c>
      <c r="L1448" s="7" t="str">
        <f t="shared" si="1026"/>
        <v/>
      </c>
      <c r="M1448" s="7">
        <f t="shared" ref="M1448:N1448" si="1467">IF(LEN(M$1),COUNTIF($G1448:$J1448,M$1),"")</f>
        <v>0</v>
      </c>
      <c r="N1448" s="7" t="str">
        <f t="shared" si="1467"/>
        <v/>
      </c>
      <c r="O1448" s="7" t="str">
        <f t="shared" si="1028"/>
        <v/>
      </c>
      <c r="P1448" s="7">
        <f t="shared" si="1433"/>
        <v>0</v>
      </c>
      <c r="Q1448" s="7" t="str">
        <f t="shared" si="7"/>
        <v/>
      </c>
      <c r="T1448" s="7"/>
    </row>
    <row r="1449" ht="12.75" customHeight="1">
      <c r="A1449" s="7">
        <v>1448.0</v>
      </c>
      <c r="B1449" s="7" t="s">
        <v>1144</v>
      </c>
      <c r="C1449" s="7" t="s">
        <v>4837</v>
      </c>
      <c r="D1449" s="7"/>
      <c r="E1449" s="7"/>
      <c r="F1449" s="7" t="s">
        <v>4874</v>
      </c>
      <c r="G1449" s="7" t="s">
        <v>3585</v>
      </c>
      <c r="H1449" s="7" t="s">
        <v>3520</v>
      </c>
      <c r="I1449" s="7" t="s">
        <v>3671</v>
      </c>
      <c r="J1449" s="7" t="s">
        <v>3467</v>
      </c>
      <c r="K1449" s="7" t="str">
        <f t="shared" si="2"/>
        <v/>
      </c>
      <c r="L1449" s="7" t="str">
        <f t="shared" si="1026"/>
        <v/>
      </c>
      <c r="M1449" s="7">
        <f t="shared" ref="M1449:N1449" si="1468">IF(LEN(M$1),COUNTIF($G1449:$J1449,M$1),"")</f>
        <v>0</v>
      </c>
      <c r="N1449" s="7" t="str">
        <f t="shared" si="1468"/>
        <v/>
      </c>
      <c r="O1449" s="7" t="str">
        <f t="shared" si="1028"/>
        <v/>
      </c>
      <c r="P1449" s="7">
        <f t="shared" si="1433"/>
        <v>0</v>
      </c>
      <c r="Q1449" s="7" t="str">
        <f t="shared" si="7"/>
        <v/>
      </c>
      <c r="T1449" s="7"/>
    </row>
    <row r="1450" ht="12.75" customHeight="1">
      <c r="A1450" s="7">
        <v>1449.0</v>
      </c>
      <c r="B1450" s="7" t="s">
        <v>1151</v>
      </c>
      <c r="C1450" s="7" t="s">
        <v>4837</v>
      </c>
      <c r="D1450" s="7"/>
      <c r="E1450" s="7"/>
      <c r="F1450" s="7" t="s">
        <v>4874</v>
      </c>
      <c r="G1450" s="7" t="s">
        <v>3660</v>
      </c>
      <c r="H1450" s="7" t="s">
        <v>3606</v>
      </c>
      <c r="I1450" s="7" t="s">
        <v>3643</v>
      </c>
      <c r="J1450" s="7" t="s">
        <v>3637</v>
      </c>
      <c r="K1450" s="7" t="str">
        <f t="shared" si="2"/>
        <v/>
      </c>
      <c r="L1450" s="7" t="str">
        <f t="shared" si="1026"/>
        <v/>
      </c>
      <c r="M1450" s="7">
        <f t="shared" ref="M1450:N1450" si="1469">IF(LEN(M$1),COUNTIF($G1450:$J1450,M$1),"")</f>
        <v>0</v>
      </c>
      <c r="N1450" s="7" t="str">
        <f t="shared" si="1469"/>
        <v/>
      </c>
      <c r="O1450" s="7" t="str">
        <f t="shared" si="1028"/>
        <v/>
      </c>
      <c r="P1450" s="7">
        <f t="shared" si="1433"/>
        <v>0</v>
      </c>
      <c r="Q1450" s="7" t="str">
        <f t="shared" si="7"/>
        <v/>
      </c>
      <c r="T1450" s="7"/>
    </row>
    <row r="1451" ht="12.75" customHeight="1">
      <c r="A1451" s="7">
        <v>1450.0</v>
      </c>
      <c r="B1451" s="7" t="s">
        <v>1151</v>
      </c>
      <c r="C1451" s="7" t="s">
        <v>4837</v>
      </c>
      <c r="D1451" s="7"/>
      <c r="E1451" s="7"/>
      <c r="F1451" s="7" t="s">
        <v>4874</v>
      </c>
      <c r="G1451" s="7" t="s">
        <v>3633</v>
      </c>
      <c r="H1451" s="7" t="s">
        <v>3518</v>
      </c>
      <c r="I1451" s="7" t="s">
        <v>3720</v>
      </c>
      <c r="J1451" s="7" t="s">
        <v>3654</v>
      </c>
      <c r="K1451" s="7" t="str">
        <f t="shared" si="2"/>
        <v/>
      </c>
      <c r="L1451" s="7" t="str">
        <f t="shared" si="1026"/>
        <v/>
      </c>
      <c r="M1451" s="7">
        <f t="shared" ref="M1451:N1451" si="1470">IF(LEN(M$1),COUNTIF($G1451:$J1451,M$1),"")</f>
        <v>0</v>
      </c>
      <c r="N1451" s="7" t="str">
        <f t="shared" si="1470"/>
        <v/>
      </c>
      <c r="O1451" s="7" t="str">
        <f t="shared" si="1028"/>
        <v/>
      </c>
      <c r="P1451" s="7">
        <f t="shared" si="1433"/>
        <v>0</v>
      </c>
      <c r="Q1451" s="7" t="str">
        <f t="shared" si="7"/>
        <v/>
      </c>
      <c r="T1451" s="7"/>
    </row>
    <row r="1452" ht="12.75" customHeight="1">
      <c r="A1452" s="7">
        <v>1451.0</v>
      </c>
      <c r="B1452" s="7" t="s">
        <v>1159</v>
      </c>
      <c r="C1452" s="7" t="s">
        <v>4845</v>
      </c>
      <c r="D1452" s="7"/>
      <c r="E1452" s="7"/>
      <c r="F1452" s="7" t="s">
        <v>4874</v>
      </c>
      <c r="G1452" s="7" t="s">
        <v>3494</v>
      </c>
      <c r="H1452" s="7" t="s">
        <v>3703</v>
      </c>
      <c r="I1452" s="7" t="s">
        <v>3716</v>
      </c>
      <c r="J1452" s="7" t="s">
        <v>3467</v>
      </c>
      <c r="K1452" s="7" t="str">
        <f t="shared" si="2"/>
        <v/>
      </c>
      <c r="L1452" s="7" t="str">
        <f t="shared" si="1026"/>
        <v/>
      </c>
      <c r="M1452" s="7">
        <f t="shared" ref="M1452:N1452" si="1471">IF(LEN(M$1),COUNTIF($G1452:$J1452,M$1),"")</f>
        <v>0</v>
      </c>
      <c r="N1452" s="7" t="str">
        <f t="shared" si="1471"/>
        <v/>
      </c>
      <c r="O1452" s="7" t="str">
        <f t="shared" si="1028"/>
        <v/>
      </c>
      <c r="P1452" s="7">
        <f t="shared" si="1433"/>
        <v>0</v>
      </c>
      <c r="Q1452" s="7" t="str">
        <f t="shared" si="7"/>
        <v/>
      </c>
      <c r="T1452" s="7"/>
    </row>
    <row r="1453" ht="12.75" customHeight="1">
      <c r="A1453" s="7">
        <v>1452.0</v>
      </c>
      <c r="B1453" s="7" t="s">
        <v>1159</v>
      </c>
      <c r="C1453" s="7" t="s">
        <v>4845</v>
      </c>
      <c r="D1453" s="7"/>
      <c r="E1453" s="7"/>
      <c r="F1453" s="7" t="s">
        <v>4874</v>
      </c>
      <c r="G1453" s="7" t="s">
        <v>3681</v>
      </c>
      <c r="H1453" s="7" t="s">
        <v>3588</v>
      </c>
      <c r="I1453" s="7" t="s">
        <v>3612</v>
      </c>
      <c r="J1453" s="7" t="s">
        <v>3663</v>
      </c>
      <c r="K1453" s="7" t="str">
        <f t="shared" si="2"/>
        <v/>
      </c>
      <c r="L1453" s="7" t="str">
        <f t="shared" si="1026"/>
        <v/>
      </c>
      <c r="M1453" s="7">
        <f t="shared" ref="M1453:N1453" si="1472">IF(LEN(M$1),COUNTIF($G1453:$J1453,M$1),"")</f>
        <v>0</v>
      </c>
      <c r="N1453" s="7" t="str">
        <f t="shared" si="1472"/>
        <v/>
      </c>
      <c r="O1453" s="7" t="str">
        <f t="shared" si="1028"/>
        <v/>
      </c>
      <c r="P1453" s="7">
        <f t="shared" si="1433"/>
        <v>0</v>
      </c>
      <c r="Q1453" s="7" t="str">
        <f t="shared" si="7"/>
        <v/>
      </c>
      <c r="T1453" s="7"/>
    </row>
    <row r="1454" ht="12.75" customHeight="1">
      <c r="A1454" s="7">
        <v>1453.0</v>
      </c>
      <c r="B1454" s="7" t="s">
        <v>1167</v>
      </c>
      <c r="C1454" s="7" t="s">
        <v>4845</v>
      </c>
      <c r="D1454" s="7"/>
      <c r="E1454" s="7"/>
      <c r="F1454" s="7" t="s">
        <v>4874</v>
      </c>
      <c r="G1454" s="7" t="s">
        <v>3643</v>
      </c>
      <c r="H1454" s="7" t="s">
        <v>3615</v>
      </c>
      <c r="I1454" s="7" t="s">
        <v>3724</v>
      </c>
      <c r="J1454" s="7" t="s">
        <v>3720</v>
      </c>
      <c r="K1454" s="7" t="str">
        <f t="shared" si="2"/>
        <v/>
      </c>
      <c r="L1454" s="7" t="str">
        <f t="shared" si="1026"/>
        <v/>
      </c>
      <c r="M1454" s="7">
        <f t="shared" ref="M1454:N1454" si="1473">IF(LEN(M$1),COUNTIF($G1454:$J1454,M$1),"")</f>
        <v>0</v>
      </c>
      <c r="N1454" s="7" t="str">
        <f t="shared" si="1473"/>
        <v/>
      </c>
      <c r="O1454" s="7" t="str">
        <f t="shared" si="1028"/>
        <v/>
      </c>
      <c r="P1454" s="7">
        <f t="shared" si="1433"/>
        <v>0</v>
      </c>
      <c r="Q1454" s="7" t="str">
        <f t="shared" si="7"/>
        <v/>
      </c>
      <c r="T1454" s="7"/>
    </row>
    <row r="1455" ht="12.75" customHeight="1">
      <c r="A1455" s="7">
        <v>1454.0</v>
      </c>
      <c r="B1455" s="7" t="s">
        <v>1167</v>
      </c>
      <c r="C1455" s="7" t="s">
        <v>4845</v>
      </c>
      <c r="D1455" s="7"/>
      <c r="E1455" s="7"/>
      <c r="F1455" s="7" t="s">
        <v>4874</v>
      </c>
      <c r="G1455" s="7" t="s">
        <v>3485</v>
      </c>
      <c r="H1455" s="7" t="s">
        <v>3620</v>
      </c>
      <c r="I1455" s="7" t="s">
        <v>3708</v>
      </c>
      <c r="J1455" s="7" t="s">
        <v>3562</v>
      </c>
      <c r="K1455" s="7" t="str">
        <f t="shared" si="2"/>
        <v/>
      </c>
      <c r="L1455" s="7" t="str">
        <f t="shared" si="1026"/>
        <v/>
      </c>
      <c r="M1455" s="7">
        <f t="shared" ref="M1455:N1455" si="1474">IF(LEN(M$1),COUNTIF($G1455:$J1455,M$1),"")</f>
        <v>0</v>
      </c>
      <c r="N1455" s="7" t="str">
        <f t="shared" si="1474"/>
        <v/>
      </c>
      <c r="O1455" s="7" t="str">
        <f t="shared" si="1028"/>
        <v/>
      </c>
      <c r="P1455" s="7">
        <f t="shared" si="1433"/>
        <v>0</v>
      </c>
      <c r="Q1455" s="7" t="str">
        <f t="shared" si="7"/>
        <v/>
      </c>
      <c r="T1455" s="7"/>
    </row>
    <row r="1456" ht="12.75" customHeight="1">
      <c r="A1456" s="7">
        <v>1455.0</v>
      </c>
      <c r="B1456" s="7" t="s">
        <v>1174</v>
      </c>
      <c r="C1456" s="7" t="s">
        <v>4845</v>
      </c>
      <c r="D1456" s="7"/>
      <c r="E1456" s="7"/>
      <c r="F1456" s="7" t="s">
        <v>4874</v>
      </c>
      <c r="G1456" s="7" t="s">
        <v>3591</v>
      </c>
      <c r="H1456" s="7" t="s">
        <v>3525</v>
      </c>
      <c r="I1456" s="7" t="s">
        <v>3677</v>
      </c>
      <c r="J1456" s="7" t="s">
        <v>3581</v>
      </c>
      <c r="K1456" s="7" t="str">
        <f t="shared" si="2"/>
        <v/>
      </c>
      <c r="L1456" s="7" t="str">
        <f t="shared" si="1026"/>
        <v/>
      </c>
      <c r="M1456" s="7">
        <f t="shared" ref="M1456:N1456" si="1475">IF(LEN(M$1),COUNTIF($G1456:$J1456,M$1),"")</f>
        <v>0</v>
      </c>
      <c r="N1456" s="7" t="str">
        <f t="shared" si="1475"/>
        <v/>
      </c>
      <c r="O1456" s="7" t="str">
        <f t="shared" si="1028"/>
        <v/>
      </c>
      <c r="P1456" s="7">
        <f t="shared" si="1433"/>
        <v>0</v>
      </c>
      <c r="Q1456" s="7" t="str">
        <f t="shared" si="7"/>
        <v/>
      </c>
      <c r="T1456" s="7"/>
    </row>
    <row r="1457" ht="12.75" customHeight="1">
      <c r="A1457" s="7">
        <v>1456.0</v>
      </c>
      <c r="B1457" s="7" t="s">
        <v>1174</v>
      </c>
      <c r="C1457" s="7" t="s">
        <v>4845</v>
      </c>
      <c r="D1457" s="7"/>
      <c r="E1457" s="7"/>
      <c r="F1457" s="7" t="s">
        <v>4874</v>
      </c>
      <c r="G1457" s="7" t="s">
        <v>3643</v>
      </c>
      <c r="H1457" s="7" t="s">
        <v>3720</v>
      </c>
      <c r="I1457" s="7" t="s">
        <v>3673</v>
      </c>
      <c r="J1457" s="7" t="s">
        <v>3620</v>
      </c>
      <c r="K1457" s="7" t="str">
        <f t="shared" si="2"/>
        <v/>
      </c>
      <c r="L1457" s="7" t="str">
        <f t="shared" si="1026"/>
        <v/>
      </c>
      <c r="M1457" s="7">
        <f t="shared" ref="M1457:N1457" si="1476">IF(LEN(M$1),COUNTIF($G1457:$J1457,M$1),"")</f>
        <v>0</v>
      </c>
      <c r="N1457" s="7" t="str">
        <f t="shared" si="1476"/>
        <v/>
      </c>
      <c r="O1457" s="7" t="str">
        <f t="shared" si="1028"/>
        <v/>
      </c>
      <c r="P1457" s="7">
        <f t="shared" si="1433"/>
        <v>0</v>
      </c>
      <c r="Q1457" s="7" t="str">
        <f t="shared" si="7"/>
        <v/>
      </c>
      <c r="T1457" s="7"/>
    </row>
    <row r="1458" ht="12.75" customHeight="1">
      <c r="A1458" s="7">
        <v>1457.0</v>
      </c>
      <c r="B1458" s="7" t="s">
        <v>1182</v>
      </c>
      <c r="C1458" s="7" t="s">
        <v>4841</v>
      </c>
      <c r="D1458" s="7"/>
      <c r="E1458" s="7"/>
      <c r="F1458" s="7" t="s">
        <v>4874</v>
      </c>
      <c r="G1458" s="7" t="s">
        <v>3623</v>
      </c>
      <c r="H1458" s="7" t="s">
        <v>3604</v>
      </c>
      <c r="I1458" s="7" t="s">
        <v>3647</v>
      </c>
      <c r="J1458" s="7" t="s">
        <v>3703</v>
      </c>
      <c r="K1458" s="7" t="str">
        <f t="shared" si="2"/>
        <v/>
      </c>
      <c r="L1458" s="7" t="str">
        <f t="shared" si="1026"/>
        <v/>
      </c>
      <c r="M1458" s="7">
        <f t="shared" ref="M1458:N1458" si="1477">IF(LEN(M$1),COUNTIF($G1458:$J1458,M$1),"")</f>
        <v>0</v>
      </c>
      <c r="N1458" s="7" t="str">
        <f t="shared" si="1477"/>
        <v/>
      </c>
      <c r="O1458" s="7" t="str">
        <f t="shared" si="1028"/>
        <v/>
      </c>
      <c r="P1458" s="7">
        <f t="shared" si="1433"/>
        <v>0</v>
      </c>
      <c r="Q1458" s="7" t="str">
        <f t="shared" si="7"/>
        <v/>
      </c>
      <c r="T1458" s="7"/>
    </row>
    <row r="1459" ht="12.75" customHeight="1">
      <c r="A1459" s="7">
        <v>1458.0</v>
      </c>
      <c r="B1459" s="7" t="s">
        <v>1182</v>
      </c>
      <c r="C1459" s="7" t="s">
        <v>4841</v>
      </c>
      <c r="D1459" s="7"/>
      <c r="E1459" s="7"/>
      <c r="F1459" s="7" t="s">
        <v>4874</v>
      </c>
      <c r="G1459" s="7" t="s">
        <v>3695</v>
      </c>
      <c r="H1459" s="7" t="s">
        <v>3677</v>
      </c>
      <c r="I1459" s="7" t="s">
        <v>3658</v>
      </c>
      <c r="J1459" s="7" t="s">
        <v>3615</v>
      </c>
      <c r="K1459" s="7" t="str">
        <f t="shared" si="2"/>
        <v/>
      </c>
      <c r="L1459" s="7" t="str">
        <f t="shared" si="1026"/>
        <v/>
      </c>
      <c r="M1459" s="7">
        <f t="shared" ref="M1459:N1459" si="1478">IF(LEN(M$1),COUNTIF($G1459:$J1459,M$1),"")</f>
        <v>0</v>
      </c>
      <c r="N1459" s="7" t="str">
        <f t="shared" si="1478"/>
        <v/>
      </c>
      <c r="O1459" s="7" t="str">
        <f t="shared" si="1028"/>
        <v/>
      </c>
      <c r="P1459" s="7">
        <f t="shared" si="1433"/>
        <v>0</v>
      </c>
      <c r="Q1459" s="7" t="str">
        <f t="shared" si="7"/>
        <v/>
      </c>
      <c r="T1459" s="7"/>
    </row>
    <row r="1460" ht="12.75" customHeight="1">
      <c r="A1460" s="7">
        <v>1459.0</v>
      </c>
      <c r="B1460" s="7" t="s">
        <v>1190</v>
      </c>
      <c r="C1460" s="7" t="s">
        <v>4841</v>
      </c>
      <c r="D1460" s="7"/>
      <c r="E1460" s="7"/>
      <c r="F1460" s="7" t="s">
        <v>4874</v>
      </c>
      <c r="G1460" s="7" t="s">
        <v>3604</v>
      </c>
      <c r="H1460" s="7" t="s">
        <v>3701</v>
      </c>
      <c r="I1460" s="7" t="s">
        <v>3669</v>
      </c>
      <c r="J1460" s="7" t="s">
        <v>3724</v>
      </c>
      <c r="K1460" s="7" t="str">
        <f t="shared" si="2"/>
        <v/>
      </c>
      <c r="L1460" s="7" t="str">
        <f t="shared" si="1026"/>
        <v/>
      </c>
      <c r="M1460" s="7">
        <f t="shared" ref="M1460:N1460" si="1479">IF(LEN(M$1),COUNTIF($G1460:$J1460,M$1),"")</f>
        <v>0</v>
      </c>
      <c r="N1460" s="7" t="str">
        <f t="shared" si="1479"/>
        <v/>
      </c>
      <c r="O1460" s="7" t="str">
        <f t="shared" si="1028"/>
        <v/>
      </c>
      <c r="P1460" s="7">
        <f t="shared" si="1433"/>
        <v>0</v>
      </c>
      <c r="Q1460" s="7" t="str">
        <f t="shared" si="7"/>
        <v/>
      </c>
      <c r="T1460" s="7"/>
    </row>
    <row r="1461" ht="12.75" customHeight="1">
      <c r="A1461" s="7">
        <v>1460.0</v>
      </c>
      <c r="B1461" s="7" t="s">
        <v>1190</v>
      </c>
      <c r="C1461" s="7" t="s">
        <v>4841</v>
      </c>
      <c r="D1461" s="7"/>
      <c r="E1461" s="7"/>
      <c r="F1461" s="7" t="s">
        <v>4874</v>
      </c>
      <c r="G1461" s="7" t="s">
        <v>3693</v>
      </c>
      <c r="H1461" s="7" t="s">
        <v>3476</v>
      </c>
      <c r="I1461" s="7" t="s">
        <v>3601</v>
      </c>
      <c r="J1461" s="7" t="s">
        <v>3663</v>
      </c>
      <c r="K1461" s="7" t="str">
        <f t="shared" si="2"/>
        <v/>
      </c>
      <c r="L1461" s="7" t="str">
        <f t="shared" si="1026"/>
        <v/>
      </c>
      <c r="M1461" s="7">
        <f t="shared" ref="M1461:N1461" si="1480">IF(LEN(M$1),COUNTIF($G1461:$J1461,M$1),"")</f>
        <v>0</v>
      </c>
      <c r="N1461" s="7" t="str">
        <f t="shared" si="1480"/>
        <v/>
      </c>
      <c r="O1461" s="7" t="str">
        <f t="shared" si="1028"/>
        <v/>
      </c>
      <c r="P1461" s="7">
        <f t="shared" si="1433"/>
        <v>0</v>
      </c>
      <c r="Q1461" s="7" t="str">
        <f t="shared" si="7"/>
        <v/>
      </c>
      <c r="T1461" s="7"/>
    </row>
    <row r="1462" ht="12.75" customHeight="1">
      <c r="A1462" s="7">
        <v>1461.0</v>
      </c>
      <c r="B1462" s="7" t="s">
        <v>1198</v>
      </c>
      <c r="C1462" s="7" t="s">
        <v>4841</v>
      </c>
      <c r="D1462" s="7"/>
      <c r="E1462" s="7"/>
      <c r="F1462" s="7" t="s">
        <v>4874</v>
      </c>
      <c r="G1462" s="7" t="s">
        <v>3722</v>
      </c>
      <c r="H1462" s="7" t="s">
        <v>3544</v>
      </c>
      <c r="I1462" s="7" t="s">
        <v>3585</v>
      </c>
      <c r="J1462" s="7" t="s">
        <v>3462</v>
      </c>
      <c r="K1462" s="7" t="str">
        <f t="shared" si="2"/>
        <v/>
      </c>
      <c r="L1462" s="7" t="str">
        <f t="shared" si="1026"/>
        <v/>
      </c>
      <c r="M1462" s="7">
        <f t="shared" ref="M1462:N1462" si="1481">IF(LEN(M$1),COUNTIF($G1462:$J1462,M$1),"")</f>
        <v>0</v>
      </c>
      <c r="N1462" s="7" t="str">
        <f t="shared" si="1481"/>
        <v/>
      </c>
      <c r="O1462" s="7" t="str">
        <f t="shared" si="1028"/>
        <v/>
      </c>
      <c r="P1462" s="7">
        <f t="shared" si="1433"/>
        <v>0</v>
      </c>
      <c r="Q1462" s="7" t="str">
        <f t="shared" si="7"/>
        <v/>
      </c>
      <c r="T1462" s="7"/>
    </row>
    <row r="1463" ht="12.75" customHeight="1">
      <c r="A1463" s="7">
        <v>1462.0</v>
      </c>
      <c r="B1463" s="7" t="s">
        <v>1198</v>
      </c>
      <c r="C1463" s="7" t="s">
        <v>4841</v>
      </c>
      <c r="D1463" s="7"/>
      <c r="E1463" s="7"/>
      <c r="F1463" s="7" t="s">
        <v>4874</v>
      </c>
      <c r="G1463" s="7" t="s">
        <v>3612</v>
      </c>
      <c r="H1463" s="7" t="s">
        <v>3588</v>
      </c>
      <c r="I1463" s="7" t="s">
        <v>3598</v>
      </c>
      <c r="J1463" s="7" t="s">
        <v>3708</v>
      </c>
      <c r="K1463" s="7" t="str">
        <f t="shared" si="2"/>
        <v/>
      </c>
      <c r="L1463" s="7" t="str">
        <f t="shared" si="1026"/>
        <v/>
      </c>
      <c r="M1463" s="7">
        <f t="shared" ref="M1463:N1463" si="1482">IF(LEN(M$1),COUNTIF($G1463:$J1463,M$1),"")</f>
        <v>0</v>
      </c>
      <c r="N1463" s="7" t="str">
        <f t="shared" si="1482"/>
        <v/>
      </c>
      <c r="O1463" s="7" t="str">
        <f t="shared" si="1028"/>
        <v/>
      </c>
      <c r="P1463" s="7">
        <f t="shared" si="1433"/>
        <v>0</v>
      </c>
      <c r="Q1463" s="7" t="str">
        <f t="shared" si="7"/>
        <v/>
      </c>
      <c r="T1463" s="7"/>
    </row>
    <row r="1464" ht="12.75" customHeight="1">
      <c r="A1464" s="7">
        <v>1463.0</v>
      </c>
      <c r="B1464" s="7" t="s">
        <v>1205</v>
      </c>
      <c r="C1464" s="7" t="s">
        <v>4846</v>
      </c>
      <c r="D1464" s="7"/>
      <c r="E1464" s="7"/>
      <c r="F1464" s="7" t="s">
        <v>4874</v>
      </c>
      <c r="G1464" s="7" t="s">
        <v>3722</v>
      </c>
      <c r="H1464" s="7" t="s">
        <v>3572</v>
      </c>
      <c r="I1464" s="7" t="s">
        <v>3598</v>
      </c>
      <c r="J1464" s="7" t="s">
        <v>3612</v>
      </c>
      <c r="K1464" s="7" t="str">
        <f t="shared" si="2"/>
        <v/>
      </c>
      <c r="L1464" s="7" t="str">
        <f t="shared" si="1026"/>
        <v/>
      </c>
      <c r="M1464" s="7">
        <f t="shared" ref="M1464:N1464" si="1483">IF(LEN(M$1),COUNTIF($G1464:$J1464,M$1),"")</f>
        <v>0</v>
      </c>
      <c r="N1464" s="7" t="str">
        <f t="shared" si="1483"/>
        <v/>
      </c>
      <c r="O1464" s="7" t="str">
        <f t="shared" si="1028"/>
        <v/>
      </c>
      <c r="P1464" s="7">
        <f t="shared" si="1433"/>
        <v>0</v>
      </c>
      <c r="Q1464" s="7" t="str">
        <f t="shared" si="7"/>
        <v/>
      </c>
      <c r="T1464" s="7"/>
    </row>
    <row r="1465" ht="12.75" customHeight="1">
      <c r="A1465" s="7">
        <v>1464.0</v>
      </c>
      <c r="B1465" s="7" t="s">
        <v>1205</v>
      </c>
      <c r="C1465" s="7" t="s">
        <v>4846</v>
      </c>
      <c r="D1465" s="7"/>
      <c r="E1465" s="7"/>
      <c r="F1465" s="7" t="s">
        <v>4874</v>
      </c>
      <c r="G1465" s="7" t="s">
        <v>3701</v>
      </c>
      <c r="H1465" s="7" t="s">
        <v>3476</v>
      </c>
      <c r="I1465" s="7" t="s">
        <v>3658</v>
      </c>
      <c r="J1465" s="7" t="s">
        <v>3677</v>
      </c>
      <c r="K1465" s="7" t="str">
        <f t="shared" si="2"/>
        <v/>
      </c>
      <c r="L1465" s="7" t="str">
        <f t="shared" si="1026"/>
        <v/>
      </c>
      <c r="M1465" s="7">
        <f t="shared" ref="M1465:N1465" si="1484">IF(LEN(M$1),COUNTIF($G1465:$J1465,M$1),"")</f>
        <v>0</v>
      </c>
      <c r="N1465" s="7" t="str">
        <f t="shared" si="1484"/>
        <v/>
      </c>
      <c r="O1465" s="7" t="str">
        <f t="shared" si="1028"/>
        <v/>
      </c>
      <c r="P1465" s="7">
        <f t="shared" si="1433"/>
        <v>0</v>
      </c>
      <c r="Q1465" s="7" t="str">
        <f t="shared" si="7"/>
        <v/>
      </c>
      <c r="T1465" s="7"/>
    </row>
    <row r="1466" ht="12.75" customHeight="1">
      <c r="A1466" s="7">
        <v>1465.0</v>
      </c>
      <c r="B1466" s="7" t="s">
        <v>1214</v>
      </c>
      <c r="C1466" s="7" t="s">
        <v>4846</v>
      </c>
      <c r="D1466" s="7"/>
      <c r="E1466" s="7"/>
      <c r="F1466" s="7" t="s">
        <v>4874</v>
      </c>
      <c r="G1466" s="7" t="s">
        <v>3675</v>
      </c>
      <c r="H1466" s="7" t="s">
        <v>3595</v>
      </c>
      <c r="I1466" s="7" t="s">
        <v>3681</v>
      </c>
      <c r="J1466" s="7" t="s">
        <v>3679</v>
      </c>
      <c r="K1466" s="7" t="str">
        <f t="shared" si="2"/>
        <v/>
      </c>
      <c r="L1466" s="7" t="str">
        <f t="shared" si="1026"/>
        <v/>
      </c>
      <c r="M1466" s="7">
        <f t="shared" ref="M1466:N1466" si="1485">IF(LEN(M$1),COUNTIF($G1466:$J1466,M$1),"")</f>
        <v>0</v>
      </c>
      <c r="N1466" s="7" t="str">
        <f t="shared" si="1485"/>
        <v/>
      </c>
      <c r="O1466" s="7" t="str">
        <f t="shared" si="1028"/>
        <v/>
      </c>
      <c r="P1466" s="7">
        <f t="shared" si="1433"/>
        <v>0</v>
      </c>
      <c r="Q1466" s="7" t="str">
        <f t="shared" si="7"/>
        <v/>
      </c>
      <c r="T1466" s="7"/>
    </row>
    <row r="1467" ht="12.75" customHeight="1">
      <c r="A1467" s="7">
        <v>1466.0</v>
      </c>
      <c r="B1467" s="7" t="s">
        <v>1214</v>
      </c>
      <c r="C1467" s="7" t="s">
        <v>4846</v>
      </c>
      <c r="D1467" s="7"/>
      <c r="E1467" s="7"/>
      <c r="F1467" s="7" t="s">
        <v>4874</v>
      </c>
      <c r="G1467" s="7" t="s">
        <v>3606</v>
      </c>
      <c r="H1467" s="7" t="s">
        <v>3683</v>
      </c>
      <c r="I1467" s="7" t="s">
        <v>3681</v>
      </c>
      <c r="J1467" s="7" t="s">
        <v>3698</v>
      </c>
      <c r="K1467" s="7" t="str">
        <f t="shared" si="2"/>
        <v/>
      </c>
      <c r="L1467" s="7" t="str">
        <f t="shared" si="1026"/>
        <v/>
      </c>
      <c r="M1467" s="7">
        <f t="shared" ref="M1467:N1467" si="1486">IF(LEN(M$1),COUNTIF($G1467:$J1467,M$1),"")</f>
        <v>0</v>
      </c>
      <c r="N1467" s="7" t="str">
        <f t="shared" si="1486"/>
        <v/>
      </c>
      <c r="O1467" s="7" t="str">
        <f t="shared" si="1028"/>
        <v/>
      </c>
      <c r="P1467" s="7">
        <f t="shared" si="1433"/>
        <v>0</v>
      </c>
      <c r="Q1467" s="7" t="str">
        <f t="shared" si="7"/>
        <v/>
      </c>
      <c r="T1467" s="7"/>
    </row>
    <row r="1468" ht="12.75" customHeight="1">
      <c r="A1468" s="7">
        <v>1467.0</v>
      </c>
      <c r="B1468" s="7" t="s">
        <v>1222</v>
      </c>
      <c r="C1468" s="7" t="s">
        <v>4846</v>
      </c>
      <c r="D1468" s="7"/>
      <c r="E1468" s="7"/>
      <c r="F1468" s="7" t="s">
        <v>4874</v>
      </c>
      <c r="G1468" s="7" t="s">
        <v>3716</v>
      </c>
      <c r="H1468" s="7" t="s">
        <v>3544</v>
      </c>
      <c r="I1468" s="7" t="s">
        <v>3612</v>
      </c>
      <c r="J1468" s="7" t="s">
        <v>3462</v>
      </c>
      <c r="K1468" s="7" t="str">
        <f t="shared" si="2"/>
        <v/>
      </c>
      <c r="L1468" s="7" t="str">
        <f t="shared" si="1026"/>
        <v/>
      </c>
      <c r="M1468" s="7">
        <f t="shared" ref="M1468:N1468" si="1487">IF(LEN(M$1),COUNTIF($G1468:$J1468,M$1),"")</f>
        <v>0</v>
      </c>
      <c r="N1468" s="7" t="str">
        <f t="shared" si="1487"/>
        <v/>
      </c>
      <c r="O1468" s="7" t="str">
        <f t="shared" si="1028"/>
        <v/>
      </c>
      <c r="P1468" s="7">
        <f t="shared" si="1433"/>
        <v>0</v>
      </c>
      <c r="Q1468" s="7" t="str">
        <f t="shared" si="7"/>
        <v/>
      </c>
      <c r="T1468" s="7"/>
    </row>
    <row r="1469" ht="12.75" customHeight="1">
      <c r="A1469" s="7">
        <v>1468.0</v>
      </c>
      <c r="B1469" s="7" t="s">
        <v>1222</v>
      </c>
      <c r="C1469" s="7" t="s">
        <v>4846</v>
      </c>
      <c r="D1469" s="7"/>
      <c r="E1469" s="7"/>
      <c r="F1469" s="7" t="s">
        <v>4874</v>
      </c>
      <c r="G1469" s="7" t="s">
        <v>3711</v>
      </c>
      <c r="H1469" s="7" t="s">
        <v>3724</v>
      </c>
      <c r="I1469" s="7" t="s">
        <v>3604</v>
      </c>
      <c r="J1469" s="7" t="s">
        <v>3585</v>
      </c>
      <c r="K1469" s="7" t="str">
        <f t="shared" si="2"/>
        <v/>
      </c>
      <c r="L1469" s="7" t="str">
        <f t="shared" si="1026"/>
        <v/>
      </c>
      <c r="M1469" s="7">
        <f t="shared" ref="M1469:N1469" si="1488">IF(LEN(M$1),COUNTIF($G1469:$J1469,M$1),"")</f>
        <v>0</v>
      </c>
      <c r="N1469" s="7" t="str">
        <f t="shared" si="1488"/>
        <v/>
      </c>
      <c r="O1469" s="7" t="str">
        <f t="shared" si="1028"/>
        <v/>
      </c>
      <c r="P1469" s="7">
        <f t="shared" si="1433"/>
        <v>0</v>
      </c>
      <c r="Q1469" s="7" t="str">
        <f t="shared" si="7"/>
        <v/>
      </c>
      <c r="T1469" s="7"/>
    </row>
    <row r="1470" ht="12.75" customHeight="1">
      <c r="A1470" s="7">
        <v>1469.0</v>
      </c>
      <c r="B1470" s="7" t="s">
        <v>1229</v>
      </c>
      <c r="C1470" s="7" t="s">
        <v>4844</v>
      </c>
      <c r="D1470" s="7"/>
      <c r="E1470" s="7"/>
      <c r="F1470" s="7" t="s">
        <v>4874</v>
      </c>
      <c r="G1470" s="7" t="s">
        <v>3591</v>
      </c>
      <c r="H1470" s="7" t="s">
        <v>3711</v>
      </c>
      <c r="I1470" s="7" t="s">
        <v>3595</v>
      </c>
      <c r="J1470" s="7" t="s">
        <v>3601</v>
      </c>
      <c r="K1470" s="7" t="str">
        <f t="shared" si="2"/>
        <v/>
      </c>
      <c r="L1470" s="7" t="str">
        <f t="shared" si="1026"/>
        <v/>
      </c>
      <c r="M1470" s="7">
        <f t="shared" ref="M1470:N1470" si="1489">IF(LEN(M$1),COUNTIF($G1470:$J1470,M$1),"")</f>
        <v>0</v>
      </c>
      <c r="N1470" s="7" t="str">
        <f t="shared" si="1489"/>
        <v/>
      </c>
      <c r="O1470" s="7" t="str">
        <f t="shared" si="1028"/>
        <v/>
      </c>
      <c r="P1470" s="7">
        <f t="shared" si="1433"/>
        <v>0</v>
      </c>
      <c r="Q1470" s="7" t="str">
        <f t="shared" si="7"/>
        <v/>
      </c>
      <c r="T1470" s="7"/>
    </row>
    <row r="1471" ht="12.75" customHeight="1">
      <c r="A1471" s="7">
        <v>1470.0</v>
      </c>
      <c r="B1471" s="7" t="s">
        <v>1229</v>
      </c>
      <c r="C1471" s="7" t="s">
        <v>4844</v>
      </c>
      <c r="D1471" s="7"/>
      <c r="E1471" s="7"/>
      <c r="F1471" s="7" t="s">
        <v>4874</v>
      </c>
      <c r="G1471" s="7" t="s">
        <v>3585</v>
      </c>
      <c r="H1471" s="7" t="s">
        <v>3618</v>
      </c>
      <c r="I1471" s="7" t="s">
        <v>3698</v>
      </c>
      <c r="J1471" s="7" t="s">
        <v>3688</v>
      </c>
      <c r="K1471" s="7" t="str">
        <f t="shared" si="2"/>
        <v/>
      </c>
      <c r="L1471" s="7" t="str">
        <f t="shared" si="1026"/>
        <v/>
      </c>
      <c r="M1471" s="7">
        <f t="shared" ref="M1471:N1471" si="1490">IF(LEN(M$1),COUNTIF($G1471:$J1471,M$1),"")</f>
        <v>0</v>
      </c>
      <c r="N1471" s="7" t="str">
        <f t="shared" si="1490"/>
        <v/>
      </c>
      <c r="O1471" s="7" t="str">
        <f t="shared" si="1028"/>
        <v/>
      </c>
      <c r="P1471" s="7">
        <f t="shared" si="1433"/>
        <v>0</v>
      </c>
      <c r="Q1471" s="7" t="str">
        <f t="shared" si="7"/>
        <v/>
      </c>
      <c r="T1471" s="7"/>
    </row>
    <row r="1472" ht="12.75" customHeight="1">
      <c r="A1472" s="7">
        <v>1471.0</v>
      </c>
      <c r="B1472" s="7" t="s">
        <v>1236</v>
      </c>
      <c r="C1472" s="7" t="s">
        <v>4844</v>
      </c>
      <c r="D1472" s="7"/>
      <c r="E1472" s="7"/>
      <c r="F1472" s="7" t="s">
        <v>4874</v>
      </c>
      <c r="G1472" s="7" t="s">
        <v>3559</v>
      </c>
      <c r="H1472" s="7" t="s">
        <v>3673</v>
      </c>
      <c r="I1472" s="7" t="s">
        <v>3705</v>
      </c>
      <c r="J1472" s="7" t="s">
        <v>3530</v>
      </c>
      <c r="K1472" s="7" t="str">
        <f t="shared" si="2"/>
        <v/>
      </c>
      <c r="L1472" s="7" t="str">
        <f t="shared" si="1026"/>
        <v/>
      </c>
      <c r="M1472" s="7">
        <f t="shared" ref="M1472:N1472" si="1491">IF(LEN(M$1),COUNTIF($G1472:$J1472,M$1),"")</f>
        <v>0</v>
      </c>
      <c r="N1472" s="7" t="str">
        <f t="shared" si="1491"/>
        <v/>
      </c>
      <c r="O1472" s="7" t="str">
        <f t="shared" si="1028"/>
        <v/>
      </c>
      <c r="P1472" s="7">
        <f t="shared" si="1433"/>
        <v>0</v>
      </c>
      <c r="Q1472" s="7" t="str">
        <f t="shared" si="7"/>
        <v/>
      </c>
      <c r="T1472" s="7"/>
    </row>
    <row r="1473" ht="12.75" customHeight="1">
      <c r="A1473" s="7">
        <v>1472.0</v>
      </c>
      <c r="B1473" s="7" t="s">
        <v>1236</v>
      </c>
      <c r="C1473" s="7" t="s">
        <v>4844</v>
      </c>
      <c r="D1473" s="7"/>
      <c r="E1473" s="7"/>
      <c r="F1473" s="7" t="s">
        <v>4874</v>
      </c>
      <c r="G1473" s="7" t="s">
        <v>3643</v>
      </c>
      <c r="H1473" s="7" t="s">
        <v>3443</v>
      </c>
      <c r="I1473" s="7" t="s">
        <v>3701</v>
      </c>
      <c r="J1473" s="7" t="s">
        <v>3551</v>
      </c>
      <c r="K1473" s="7" t="str">
        <f t="shared" si="2"/>
        <v/>
      </c>
      <c r="L1473" s="7" t="str">
        <f t="shared" si="1026"/>
        <v/>
      </c>
      <c r="M1473" s="7">
        <f t="shared" ref="M1473:N1473" si="1492">IF(LEN(M$1),COUNTIF($G1473:$J1473,M$1),"")</f>
        <v>0</v>
      </c>
      <c r="N1473" s="7" t="str">
        <f t="shared" si="1492"/>
        <v/>
      </c>
      <c r="O1473" s="7" t="str">
        <f t="shared" si="1028"/>
        <v/>
      </c>
      <c r="P1473" s="7">
        <f t="shared" si="1433"/>
        <v>0</v>
      </c>
      <c r="Q1473" s="7" t="str">
        <f t="shared" si="7"/>
        <v/>
      </c>
      <c r="T1473" s="7"/>
    </row>
    <row r="1474" ht="12.75" customHeight="1">
      <c r="A1474" s="7">
        <v>1473.0</v>
      </c>
      <c r="B1474" s="7" t="s">
        <v>1244</v>
      </c>
      <c r="C1474" s="7" t="s">
        <v>4843</v>
      </c>
      <c r="D1474" s="7"/>
      <c r="E1474" s="7"/>
      <c r="F1474" s="7" t="s">
        <v>4874</v>
      </c>
      <c r="G1474" s="7" t="s">
        <v>3705</v>
      </c>
      <c r="H1474" s="7" t="s">
        <v>3462</v>
      </c>
      <c r="I1474" s="7" t="s">
        <v>3722</v>
      </c>
      <c r="J1474" s="7" t="s">
        <v>3455</v>
      </c>
      <c r="K1474" s="7" t="str">
        <f t="shared" si="2"/>
        <v/>
      </c>
      <c r="L1474" s="7" t="str">
        <f t="shared" si="1026"/>
        <v/>
      </c>
      <c r="M1474" s="7">
        <f t="shared" ref="M1474:N1474" si="1493">IF(LEN(M$1),COUNTIF($G1474:$J1474,M$1),"")</f>
        <v>0</v>
      </c>
      <c r="N1474" s="7" t="str">
        <f t="shared" si="1493"/>
        <v/>
      </c>
      <c r="O1474" s="7" t="str">
        <f t="shared" si="1028"/>
        <v/>
      </c>
      <c r="P1474" s="7">
        <f t="shared" si="1433"/>
        <v>0</v>
      </c>
      <c r="Q1474" s="7" t="str">
        <f t="shared" si="7"/>
        <v/>
      </c>
      <c r="T1474" s="7"/>
    </row>
    <row r="1475" ht="12.75" customHeight="1">
      <c r="A1475" s="7">
        <v>1474.0</v>
      </c>
      <c r="B1475" s="7" t="s">
        <v>1244</v>
      </c>
      <c r="C1475" s="7" t="s">
        <v>4843</v>
      </c>
      <c r="D1475" s="7"/>
      <c r="E1475" s="7"/>
      <c r="F1475" s="7" t="s">
        <v>4874</v>
      </c>
      <c r="G1475" s="7" t="s">
        <v>3695</v>
      </c>
      <c r="H1475" s="7" t="s">
        <v>3677</v>
      </c>
      <c r="I1475" s="7" t="s">
        <v>3620</v>
      </c>
      <c r="J1475" s="7" t="s">
        <v>3683</v>
      </c>
      <c r="K1475" s="7" t="str">
        <f t="shared" si="2"/>
        <v/>
      </c>
      <c r="L1475" s="7" t="str">
        <f t="shared" si="1026"/>
        <v/>
      </c>
      <c r="M1475" s="7">
        <f t="shared" ref="M1475:N1475" si="1494">IF(LEN(M$1),COUNTIF($G1475:$J1475,M$1),"")</f>
        <v>0</v>
      </c>
      <c r="N1475" s="7" t="str">
        <f t="shared" si="1494"/>
        <v/>
      </c>
      <c r="O1475" s="7" t="str">
        <f t="shared" si="1028"/>
        <v/>
      </c>
      <c r="P1475" s="7">
        <f t="shared" si="1433"/>
        <v>0</v>
      </c>
      <c r="Q1475" s="7" t="str">
        <f t="shared" si="7"/>
        <v/>
      </c>
      <c r="T1475" s="7"/>
    </row>
    <row r="1476" ht="12.75" customHeight="1">
      <c r="A1476" s="7">
        <v>1475.0</v>
      </c>
      <c r="B1476" s="7" t="s">
        <v>1251</v>
      </c>
      <c r="C1476" s="7" t="s">
        <v>4843</v>
      </c>
      <c r="D1476" s="7"/>
      <c r="E1476" s="7"/>
      <c r="F1476" s="7" t="s">
        <v>4874</v>
      </c>
      <c r="G1476" s="7" t="s">
        <v>3627</v>
      </c>
      <c r="H1476" s="7" t="s">
        <v>3494</v>
      </c>
      <c r="I1476" s="7" t="s">
        <v>3663</v>
      </c>
      <c r="J1476" s="7" t="s">
        <v>3451</v>
      </c>
      <c r="K1476" s="7" t="str">
        <f t="shared" si="2"/>
        <v/>
      </c>
      <c r="L1476" s="7" t="str">
        <f t="shared" si="1026"/>
        <v/>
      </c>
      <c r="M1476" s="7">
        <f t="shared" ref="M1476:N1476" si="1495">IF(LEN(M$1),COUNTIF($G1476:$J1476,M$1),"")</f>
        <v>0</v>
      </c>
      <c r="N1476" s="7" t="str">
        <f t="shared" si="1495"/>
        <v/>
      </c>
      <c r="O1476" s="7" t="str">
        <f t="shared" si="1028"/>
        <v/>
      </c>
      <c r="P1476" s="7">
        <f t="shared" si="1433"/>
        <v>0</v>
      </c>
      <c r="Q1476" s="7" t="str">
        <f t="shared" si="7"/>
        <v/>
      </c>
      <c r="T1476" s="7"/>
    </row>
    <row r="1477" ht="12.75" customHeight="1">
      <c r="A1477" s="7">
        <v>1476.0</v>
      </c>
      <c r="B1477" s="7" t="s">
        <v>1251</v>
      </c>
      <c r="C1477" s="7" t="s">
        <v>4843</v>
      </c>
      <c r="D1477" s="7"/>
      <c r="E1477" s="7"/>
      <c r="F1477" s="7" t="s">
        <v>4874</v>
      </c>
      <c r="G1477" s="7" t="s">
        <v>3520</v>
      </c>
      <c r="H1477" s="7" t="s">
        <v>3631</v>
      </c>
      <c r="I1477" s="7" t="s">
        <v>3703</v>
      </c>
      <c r="J1477" s="7" t="s">
        <v>3549</v>
      </c>
      <c r="K1477" s="7" t="str">
        <f t="shared" si="2"/>
        <v/>
      </c>
      <c r="L1477" s="7" t="str">
        <f t="shared" si="1026"/>
        <v/>
      </c>
      <c r="M1477" s="7">
        <f t="shared" ref="M1477:N1477" si="1496">IF(LEN(M$1),COUNTIF($G1477:$J1477,M$1),"")</f>
        <v>0</v>
      </c>
      <c r="N1477" s="7" t="str">
        <f t="shared" si="1496"/>
        <v/>
      </c>
      <c r="O1477" s="7" t="str">
        <f t="shared" si="1028"/>
        <v/>
      </c>
      <c r="P1477" s="7">
        <f t="shared" si="1433"/>
        <v>0</v>
      </c>
      <c r="Q1477" s="7" t="str">
        <f t="shared" si="7"/>
        <v/>
      </c>
      <c r="T1477" s="7"/>
    </row>
    <row r="1478" ht="12.75" customHeight="1">
      <c r="A1478" s="7">
        <v>1477.0</v>
      </c>
      <c r="B1478" s="7" t="s">
        <v>1257</v>
      </c>
      <c r="C1478" s="7" t="s">
        <v>4837</v>
      </c>
      <c r="D1478" s="7"/>
      <c r="E1478" s="7"/>
      <c r="F1478" s="7" t="s">
        <v>4874</v>
      </c>
      <c r="G1478" s="7" t="s">
        <v>3508</v>
      </c>
      <c r="H1478" s="7" t="s">
        <v>3631</v>
      </c>
      <c r="I1478" s="7" t="s">
        <v>3633</v>
      </c>
      <c r="J1478" s="7" t="s">
        <v>3564</v>
      </c>
      <c r="K1478" s="7" t="str">
        <f t="shared" si="2"/>
        <v/>
      </c>
      <c r="L1478" s="7" t="str">
        <f t="shared" si="1026"/>
        <v/>
      </c>
      <c r="M1478" s="7">
        <f t="shared" ref="M1478:N1478" si="1497">IF(LEN(M$1),COUNTIF($G1478:$J1478,M$1),"")</f>
        <v>0</v>
      </c>
      <c r="N1478" s="7" t="str">
        <f t="shared" si="1497"/>
        <v/>
      </c>
      <c r="O1478" s="7" t="str">
        <f t="shared" si="1028"/>
        <v/>
      </c>
      <c r="P1478" s="7">
        <f t="shared" si="1433"/>
        <v>0</v>
      </c>
      <c r="Q1478" s="7" t="str">
        <f t="shared" si="7"/>
        <v/>
      </c>
    </row>
    <row r="1479" ht="12.75" customHeight="1">
      <c r="A1479" s="7">
        <v>1478.0</v>
      </c>
      <c r="B1479" s="7" t="s">
        <v>1265</v>
      </c>
      <c r="C1479" s="7" t="s">
        <v>4837</v>
      </c>
      <c r="D1479" s="7"/>
      <c r="E1479" s="7"/>
      <c r="F1479" s="7" t="s">
        <v>4874</v>
      </c>
      <c r="G1479" s="7" t="s">
        <v>3675</v>
      </c>
      <c r="H1479" s="7" t="s">
        <v>3511</v>
      </c>
      <c r="I1479" s="7" t="s">
        <v>3690</v>
      </c>
      <c r="J1479" s="7" t="s">
        <v>3508</v>
      </c>
      <c r="K1479" s="7" t="str">
        <f t="shared" si="2"/>
        <v/>
      </c>
      <c r="L1479" s="7" t="str">
        <f t="shared" si="1026"/>
        <v/>
      </c>
      <c r="M1479" s="7">
        <f t="shared" ref="M1479:N1479" si="1498">IF(LEN(M$1),COUNTIF($G1479:$J1479,M$1),"")</f>
        <v>0</v>
      </c>
      <c r="N1479" s="7" t="str">
        <f t="shared" si="1498"/>
        <v/>
      </c>
      <c r="O1479" s="7" t="str">
        <f t="shared" si="1028"/>
        <v/>
      </c>
      <c r="P1479" s="7">
        <f t="shared" si="1433"/>
        <v>0</v>
      </c>
      <c r="Q1479" s="7" t="str">
        <f t="shared" si="7"/>
        <v/>
      </c>
    </row>
    <row r="1480" ht="12.75" customHeight="1">
      <c r="A1480" s="7">
        <v>1479.0</v>
      </c>
      <c r="B1480" s="7" t="s">
        <v>1265</v>
      </c>
      <c r="C1480" s="7" t="s">
        <v>4837</v>
      </c>
      <c r="D1480" s="7"/>
      <c r="E1480" s="7"/>
      <c r="F1480" s="7" t="s">
        <v>4874</v>
      </c>
      <c r="G1480" s="7" t="s">
        <v>3720</v>
      </c>
      <c r="H1480" s="7" t="s">
        <v>3665</v>
      </c>
      <c r="I1480" s="7" t="s">
        <v>3688</v>
      </c>
      <c r="J1480" s="7" t="s">
        <v>3663</v>
      </c>
      <c r="K1480" s="7" t="str">
        <f t="shared" si="2"/>
        <v/>
      </c>
      <c r="L1480" s="7" t="str">
        <f t="shared" si="1026"/>
        <v/>
      </c>
      <c r="M1480" s="7">
        <f t="shared" ref="M1480:N1480" si="1499">IF(LEN(M$1),COUNTIF($G1480:$J1480,M$1),"")</f>
        <v>0</v>
      </c>
      <c r="N1480" s="7" t="str">
        <f t="shared" si="1499"/>
        <v/>
      </c>
      <c r="O1480" s="7" t="str">
        <f t="shared" si="1028"/>
        <v/>
      </c>
      <c r="P1480" s="7">
        <f t="shared" si="1433"/>
        <v>0</v>
      </c>
      <c r="Q1480" s="7" t="str">
        <f t="shared" si="7"/>
        <v/>
      </c>
    </row>
    <row r="1481" ht="12.75" customHeight="1">
      <c r="A1481" s="7">
        <v>1480.0</v>
      </c>
      <c r="B1481" s="7" t="s">
        <v>379</v>
      </c>
      <c r="C1481" s="7" t="s">
        <v>4845</v>
      </c>
      <c r="D1481" s="7"/>
      <c r="E1481" s="7"/>
      <c r="F1481" s="7" t="s">
        <v>4874</v>
      </c>
      <c r="G1481" s="7" t="s">
        <v>3627</v>
      </c>
      <c r="H1481" s="7" t="s">
        <v>3637</v>
      </c>
      <c r="I1481" s="7" t="s">
        <v>3677</v>
      </c>
      <c r="J1481" s="7" t="s">
        <v>3620</v>
      </c>
      <c r="K1481" s="7" t="str">
        <f t="shared" si="2"/>
        <v/>
      </c>
      <c r="L1481" s="7" t="str">
        <f t="shared" si="1026"/>
        <v/>
      </c>
      <c r="M1481" s="7">
        <f t="shared" ref="M1481:N1481" si="1500">IF(LEN(M$1),COUNTIF($G1481:$J1481,M$1),"")</f>
        <v>0</v>
      </c>
      <c r="N1481" s="7" t="str">
        <f t="shared" si="1500"/>
        <v/>
      </c>
      <c r="O1481" s="7" t="str">
        <f t="shared" si="1028"/>
        <v/>
      </c>
      <c r="P1481" s="7">
        <f t="shared" si="1433"/>
        <v>0</v>
      </c>
      <c r="Q1481" s="7" t="str">
        <f t="shared" si="7"/>
        <v/>
      </c>
      <c r="T1481" s="7"/>
    </row>
    <row r="1482" ht="12.75" customHeight="1">
      <c r="A1482" s="7">
        <v>1481.0</v>
      </c>
      <c r="B1482" s="7" t="s">
        <v>379</v>
      </c>
      <c r="C1482" s="7" t="s">
        <v>4845</v>
      </c>
      <c r="D1482" s="7"/>
      <c r="E1482" s="7"/>
      <c r="F1482" s="7" t="s">
        <v>4874</v>
      </c>
      <c r="G1482" s="7" t="s">
        <v>3536</v>
      </c>
      <c r="H1482" s="7" t="s">
        <v>3695</v>
      </c>
      <c r="I1482" s="7" t="s">
        <v>3671</v>
      </c>
      <c r="J1482" s="7" t="s">
        <v>3576</v>
      </c>
      <c r="K1482" s="7" t="str">
        <f t="shared" si="2"/>
        <v/>
      </c>
      <c r="L1482" s="7" t="str">
        <f t="shared" si="1026"/>
        <v/>
      </c>
      <c r="M1482" s="7">
        <f t="shared" ref="M1482:N1482" si="1501">IF(LEN(M$1),COUNTIF($G1482:$J1482,M$1),"")</f>
        <v>0</v>
      </c>
      <c r="N1482" s="7" t="str">
        <f t="shared" si="1501"/>
        <v/>
      </c>
      <c r="O1482" s="7" t="str">
        <f t="shared" si="1028"/>
        <v/>
      </c>
      <c r="P1482" s="7">
        <f t="shared" si="1433"/>
        <v>0</v>
      </c>
      <c r="Q1482" s="7" t="str">
        <f t="shared" si="7"/>
        <v/>
      </c>
      <c r="T1482" s="7"/>
    </row>
    <row r="1483" ht="12.75" customHeight="1">
      <c r="A1483" s="7">
        <v>1482.0</v>
      </c>
      <c r="B1483" s="7" t="s">
        <v>1277</v>
      </c>
      <c r="C1483" s="7" t="s">
        <v>4845</v>
      </c>
      <c r="D1483" s="7"/>
      <c r="E1483" s="7"/>
      <c r="F1483" s="7" t="s">
        <v>4874</v>
      </c>
      <c r="G1483" s="7" t="s">
        <v>3559</v>
      </c>
      <c r="H1483" s="7" t="s">
        <v>3609</v>
      </c>
      <c r="I1483" s="7" t="s">
        <v>3623</v>
      </c>
      <c r="J1483" s="7" t="s">
        <v>3562</v>
      </c>
      <c r="K1483" s="7" t="str">
        <f t="shared" si="2"/>
        <v/>
      </c>
      <c r="L1483" s="7" t="str">
        <f t="shared" si="1026"/>
        <v/>
      </c>
      <c r="M1483" s="7">
        <f t="shared" ref="M1483:N1483" si="1502">IF(LEN(M$1),COUNTIF($G1483:$J1483,M$1),"")</f>
        <v>0</v>
      </c>
      <c r="N1483" s="7" t="str">
        <f t="shared" si="1502"/>
        <v/>
      </c>
      <c r="O1483" s="7" t="str">
        <f t="shared" si="1028"/>
        <v/>
      </c>
      <c r="P1483" s="7">
        <f t="shared" si="1433"/>
        <v>0</v>
      </c>
      <c r="Q1483" s="7" t="str">
        <f t="shared" si="7"/>
        <v/>
      </c>
      <c r="T1483" s="7"/>
    </row>
    <row r="1484" ht="12.75" customHeight="1">
      <c r="A1484" s="7">
        <v>1483.0</v>
      </c>
      <c r="B1484" s="7" t="s">
        <v>1277</v>
      </c>
      <c r="C1484" s="7" t="s">
        <v>4845</v>
      </c>
      <c r="D1484" s="7"/>
      <c r="E1484" s="7"/>
      <c r="F1484" s="7" t="s">
        <v>4874</v>
      </c>
      <c r="G1484" s="7" t="s">
        <v>3647</v>
      </c>
      <c r="H1484" s="7" t="s">
        <v>3591</v>
      </c>
      <c r="I1484" s="7" t="s">
        <v>3698</v>
      </c>
      <c r="J1484" s="7" t="s">
        <v>3703</v>
      </c>
      <c r="K1484" s="7" t="str">
        <f t="shared" si="2"/>
        <v/>
      </c>
      <c r="L1484" s="7" t="str">
        <f t="shared" si="1026"/>
        <v/>
      </c>
      <c r="M1484" s="7">
        <f t="shared" ref="M1484:N1484" si="1503">IF(LEN(M$1),COUNTIF($G1484:$J1484,M$1),"")</f>
        <v>0</v>
      </c>
      <c r="N1484" s="7" t="str">
        <f t="shared" si="1503"/>
        <v/>
      </c>
      <c r="O1484" s="7" t="str">
        <f t="shared" si="1028"/>
        <v/>
      </c>
      <c r="P1484" s="7">
        <f t="shared" si="1433"/>
        <v>0</v>
      </c>
      <c r="Q1484" s="7" t="str">
        <f t="shared" si="7"/>
        <v/>
      </c>
      <c r="T1484" s="7"/>
    </row>
    <row r="1485" ht="12.75" customHeight="1">
      <c r="A1485" s="7">
        <v>1484.0</v>
      </c>
      <c r="B1485" s="7" t="s">
        <v>1286</v>
      </c>
      <c r="C1485" s="7" t="s">
        <v>4701</v>
      </c>
      <c r="D1485" s="7"/>
      <c r="E1485" s="7"/>
      <c r="F1485" s="7" t="s">
        <v>4874</v>
      </c>
      <c r="G1485" s="7" t="s">
        <v>3654</v>
      </c>
      <c r="H1485" s="7" t="s">
        <v>3533</v>
      </c>
      <c r="I1485" s="7" t="s">
        <v>3703</v>
      </c>
      <c r="J1485" s="7" t="s">
        <v>3705</v>
      </c>
      <c r="K1485" s="7" t="str">
        <f t="shared" si="2"/>
        <v/>
      </c>
      <c r="L1485" s="7" t="str">
        <f t="shared" si="1026"/>
        <v/>
      </c>
      <c r="M1485" s="7">
        <f t="shared" ref="M1485:N1485" si="1504">IF(LEN(M$1),COUNTIF($G1485:$J1485,M$1),"")</f>
        <v>0</v>
      </c>
      <c r="N1485" s="7" t="str">
        <f t="shared" si="1504"/>
        <v/>
      </c>
      <c r="O1485" s="7" t="str">
        <f t="shared" si="1028"/>
        <v/>
      </c>
      <c r="P1485" s="7">
        <f t="shared" si="1433"/>
        <v>0</v>
      </c>
      <c r="Q1485" s="7" t="str">
        <f t="shared" si="7"/>
        <v/>
      </c>
      <c r="T1485" s="7"/>
    </row>
    <row r="1486" ht="12.75" customHeight="1">
      <c r="A1486" s="7">
        <v>1485.0</v>
      </c>
      <c r="B1486" s="7" t="s">
        <v>1286</v>
      </c>
      <c r="C1486" s="7" t="s">
        <v>4701</v>
      </c>
      <c r="D1486" s="7"/>
      <c r="E1486" s="7"/>
      <c r="F1486" s="7" t="s">
        <v>4874</v>
      </c>
      <c r="G1486" s="7" t="s">
        <v>3591</v>
      </c>
      <c r="H1486" s="7" t="s">
        <v>3609</v>
      </c>
      <c r="I1486" s="7" t="s">
        <v>3693</v>
      </c>
      <c r="J1486" s="7" t="s">
        <v>3654</v>
      </c>
      <c r="K1486" s="7" t="str">
        <f t="shared" si="2"/>
        <v/>
      </c>
      <c r="L1486" s="7" t="str">
        <f t="shared" si="1026"/>
        <v/>
      </c>
      <c r="M1486" s="7">
        <f t="shared" ref="M1486:N1486" si="1505">IF(LEN(M$1),COUNTIF($G1486:$J1486,M$1),"")</f>
        <v>0</v>
      </c>
      <c r="N1486" s="7" t="str">
        <f t="shared" si="1505"/>
        <v/>
      </c>
      <c r="O1486" s="7" t="str">
        <f t="shared" si="1028"/>
        <v/>
      </c>
      <c r="P1486" s="7">
        <f t="shared" si="1433"/>
        <v>0</v>
      </c>
      <c r="Q1486" s="7" t="str">
        <f t="shared" si="7"/>
        <v/>
      </c>
      <c r="T1486" s="7"/>
    </row>
    <row r="1487" ht="12.75" customHeight="1">
      <c r="A1487" s="7">
        <v>1486.0</v>
      </c>
      <c r="B1487" s="7" t="s">
        <v>1261</v>
      </c>
      <c r="C1487" s="7" t="s">
        <v>4701</v>
      </c>
      <c r="D1487" s="7"/>
      <c r="E1487" s="7"/>
      <c r="F1487" s="7" t="s">
        <v>4874</v>
      </c>
      <c r="G1487" s="7" t="s">
        <v>3675</v>
      </c>
      <c r="H1487" s="7" t="s">
        <v>3525</v>
      </c>
      <c r="I1487" s="7" t="s">
        <v>3658</v>
      </c>
      <c r="J1487" s="7" t="s">
        <v>3711</v>
      </c>
      <c r="K1487" s="7" t="str">
        <f t="shared" si="2"/>
        <v/>
      </c>
      <c r="L1487" s="7" t="str">
        <f t="shared" si="1026"/>
        <v/>
      </c>
      <c r="M1487" s="7">
        <f t="shared" ref="M1487:N1487" si="1506">IF(LEN(M$1),COUNTIF($G1487:$J1487,M$1),"")</f>
        <v>0</v>
      </c>
      <c r="N1487" s="7" t="str">
        <f t="shared" si="1506"/>
        <v/>
      </c>
      <c r="O1487" s="7" t="str">
        <f t="shared" si="1028"/>
        <v/>
      </c>
      <c r="P1487" s="7">
        <f t="shared" si="1433"/>
        <v>0</v>
      </c>
      <c r="Q1487" s="7" t="str">
        <f t="shared" si="7"/>
        <v/>
      </c>
      <c r="T1487" s="7"/>
    </row>
    <row r="1488" ht="12.75" customHeight="1">
      <c r="A1488" s="7">
        <v>1487.0</v>
      </c>
      <c r="B1488" s="7" t="s">
        <v>1261</v>
      </c>
      <c r="C1488" s="7" t="s">
        <v>4701</v>
      </c>
      <c r="D1488" s="7"/>
      <c r="E1488" s="7"/>
      <c r="F1488" s="7" t="s">
        <v>4874</v>
      </c>
      <c r="G1488" s="7" t="s">
        <v>3604</v>
      </c>
      <c r="H1488" s="7" t="s">
        <v>3460</v>
      </c>
      <c r="I1488" s="7" t="s">
        <v>3649</v>
      </c>
      <c r="J1488" s="7" t="s">
        <v>3654</v>
      </c>
      <c r="K1488" s="7" t="str">
        <f t="shared" si="2"/>
        <v/>
      </c>
      <c r="L1488" s="7" t="str">
        <f t="shared" si="1026"/>
        <v/>
      </c>
      <c r="M1488" s="7">
        <f t="shared" ref="M1488:N1488" si="1507">IF(LEN(M$1),COUNTIF($G1488:$J1488,M$1),"")</f>
        <v>0</v>
      </c>
      <c r="N1488" s="7" t="str">
        <f t="shared" si="1507"/>
        <v/>
      </c>
      <c r="O1488" s="7" t="str">
        <f t="shared" si="1028"/>
        <v/>
      </c>
      <c r="P1488" s="7">
        <f t="shared" si="1433"/>
        <v>0</v>
      </c>
      <c r="Q1488" s="7" t="str">
        <f t="shared" si="7"/>
        <v/>
      </c>
      <c r="T1488" s="7"/>
    </row>
    <row r="1489" ht="12.75" customHeight="1">
      <c r="A1489" s="7">
        <v>1488.0</v>
      </c>
      <c r="B1489" s="7" t="s">
        <v>977</v>
      </c>
      <c r="C1489" s="7" t="s">
        <v>4711</v>
      </c>
      <c r="D1489" s="7"/>
      <c r="E1489" s="7"/>
      <c r="F1489" s="7" t="s">
        <v>4874</v>
      </c>
      <c r="G1489" s="7" t="s">
        <v>3643</v>
      </c>
      <c r="H1489" s="7" t="s">
        <v>3505</v>
      </c>
      <c r="I1489" s="7" t="s">
        <v>3673</v>
      </c>
      <c r="J1489" s="7" t="s">
        <v>3539</v>
      </c>
      <c r="K1489" s="7" t="str">
        <f t="shared" si="2"/>
        <v/>
      </c>
      <c r="L1489" s="7" t="str">
        <f t="shared" si="1026"/>
        <v/>
      </c>
      <c r="M1489" s="7">
        <f t="shared" ref="M1489:N1489" si="1508">IF(LEN(M$1),COUNTIF($G1489:$J1489,M$1),"")</f>
        <v>0</v>
      </c>
      <c r="N1489" s="7" t="str">
        <f t="shared" si="1508"/>
        <v/>
      </c>
      <c r="O1489" s="7" t="str">
        <f t="shared" si="1028"/>
        <v/>
      </c>
      <c r="P1489" s="7">
        <f t="shared" si="1433"/>
        <v>0</v>
      </c>
      <c r="Q1489" s="7" t="str">
        <f t="shared" si="7"/>
        <v/>
      </c>
      <c r="T1489" s="7"/>
    </row>
    <row r="1490" ht="12.75" customHeight="1">
      <c r="A1490" s="7">
        <v>1489.0</v>
      </c>
      <c r="B1490" s="7" t="s">
        <v>977</v>
      </c>
      <c r="C1490" s="7" t="s">
        <v>4711</v>
      </c>
      <c r="D1490" s="7"/>
      <c r="E1490" s="7"/>
      <c r="F1490" s="7" t="s">
        <v>4874</v>
      </c>
      <c r="G1490" s="7" t="s">
        <v>3633</v>
      </c>
      <c r="H1490" s="7" t="s">
        <v>3488</v>
      </c>
      <c r="I1490" s="7" t="s">
        <v>3693</v>
      </c>
      <c r="J1490" s="7" t="s">
        <v>3451</v>
      </c>
      <c r="K1490" s="7" t="str">
        <f t="shared" si="2"/>
        <v/>
      </c>
      <c r="L1490" s="7" t="str">
        <f t="shared" si="1026"/>
        <v/>
      </c>
      <c r="M1490" s="7">
        <f t="shared" ref="M1490:N1490" si="1509">IF(LEN(M$1),COUNTIF($G1490:$J1490,M$1),"")</f>
        <v>0</v>
      </c>
      <c r="N1490" s="7" t="str">
        <f t="shared" si="1509"/>
        <v/>
      </c>
      <c r="O1490" s="7" t="str">
        <f t="shared" si="1028"/>
        <v/>
      </c>
      <c r="P1490" s="7">
        <f t="shared" si="1433"/>
        <v>0</v>
      </c>
      <c r="Q1490" s="7" t="str">
        <f t="shared" si="7"/>
        <v/>
      </c>
      <c r="T1490" s="7"/>
    </row>
    <row r="1491" ht="12.75" customHeight="1">
      <c r="A1491" s="7">
        <v>1490.0</v>
      </c>
      <c r="B1491" s="85" t="s">
        <v>1308</v>
      </c>
      <c r="C1491" s="7" t="s">
        <v>4711</v>
      </c>
      <c r="D1491" s="7"/>
      <c r="E1491" s="7"/>
      <c r="F1491" s="7" t="s">
        <v>4874</v>
      </c>
      <c r="G1491" s="7" t="s">
        <v>3598</v>
      </c>
      <c r="H1491" s="7" t="s">
        <v>3615</v>
      </c>
      <c r="I1491" s="7" t="s">
        <v>3609</v>
      </c>
      <c r="J1491" s="7" t="s">
        <v>3595</v>
      </c>
      <c r="K1491" s="7" t="str">
        <f t="shared" si="2"/>
        <v/>
      </c>
      <c r="L1491" s="7" t="str">
        <f t="shared" si="1026"/>
        <v/>
      </c>
      <c r="M1491" s="7">
        <f t="shared" ref="M1491:N1491" si="1510">IF(LEN(M$1),COUNTIF($G1491:$J1491,M$1),"")</f>
        <v>0</v>
      </c>
      <c r="N1491" s="7" t="str">
        <f t="shared" si="1510"/>
        <v/>
      </c>
      <c r="O1491" s="7" t="str">
        <f t="shared" si="1028"/>
        <v/>
      </c>
      <c r="P1491" s="7">
        <f t="shared" si="1433"/>
        <v>0</v>
      </c>
      <c r="Q1491" s="7" t="str">
        <f t="shared" si="7"/>
        <v/>
      </c>
      <c r="T1491" s="7"/>
    </row>
    <row r="1492" ht="12.75" customHeight="1">
      <c r="A1492" s="7">
        <v>1491.0</v>
      </c>
      <c r="B1492" s="85" t="s">
        <v>1308</v>
      </c>
      <c r="C1492" s="7" t="s">
        <v>4711</v>
      </c>
      <c r="D1492" s="7"/>
      <c r="E1492" s="7"/>
      <c r="F1492" s="7" t="s">
        <v>4874</v>
      </c>
      <c r="G1492" s="7" t="s">
        <v>3695</v>
      </c>
      <c r="H1492" s="7" t="s">
        <v>3677</v>
      </c>
      <c r="I1492" s="7" t="s">
        <v>3688</v>
      </c>
      <c r="J1492" s="7" t="s">
        <v>3690</v>
      </c>
      <c r="K1492" s="7" t="str">
        <f t="shared" si="2"/>
        <v/>
      </c>
      <c r="L1492" s="7" t="str">
        <f t="shared" si="1026"/>
        <v/>
      </c>
      <c r="M1492" s="7">
        <f t="shared" ref="M1492:N1492" si="1511">IF(LEN(M$1),COUNTIF($G1492:$J1492,M$1),"")</f>
        <v>0</v>
      </c>
      <c r="N1492" s="7" t="str">
        <f t="shared" si="1511"/>
        <v/>
      </c>
      <c r="O1492" s="7" t="str">
        <f t="shared" si="1028"/>
        <v/>
      </c>
      <c r="P1492" s="7">
        <f t="shared" si="1433"/>
        <v>0</v>
      </c>
      <c r="Q1492" s="7" t="str">
        <f t="shared" si="7"/>
        <v/>
      </c>
      <c r="T1492" s="7"/>
    </row>
    <row r="1493" ht="12.75" customHeight="1">
      <c r="A1493" s="7">
        <v>1492.0</v>
      </c>
      <c r="B1493" s="7" t="s">
        <v>1315</v>
      </c>
      <c r="C1493" s="7" t="s">
        <v>4717</v>
      </c>
      <c r="D1493" s="7"/>
      <c r="E1493" s="7"/>
      <c r="F1493" s="7" t="s">
        <v>4874</v>
      </c>
      <c r="G1493" s="7" t="s">
        <v>3716</v>
      </c>
      <c r="H1493" s="7" t="s">
        <v>3462</v>
      </c>
      <c r="I1493" s="7" t="s">
        <v>3671</v>
      </c>
      <c r="J1493" s="7" t="s">
        <v>3647</v>
      </c>
      <c r="K1493" s="7" t="str">
        <f t="shared" si="2"/>
        <v/>
      </c>
      <c r="L1493" s="7" t="str">
        <f t="shared" si="1026"/>
        <v/>
      </c>
      <c r="M1493" s="7">
        <f t="shared" ref="M1493:N1493" si="1512">IF(LEN(M$1),COUNTIF($G1493:$J1493,M$1),"")</f>
        <v>0</v>
      </c>
      <c r="N1493" s="7" t="str">
        <f t="shared" si="1512"/>
        <v/>
      </c>
      <c r="O1493" s="7" t="str">
        <f t="shared" si="1028"/>
        <v/>
      </c>
      <c r="P1493" s="7">
        <f t="shared" si="1433"/>
        <v>0</v>
      </c>
      <c r="Q1493" s="7" t="str">
        <f t="shared" si="7"/>
        <v/>
      </c>
      <c r="T1493" s="7"/>
    </row>
    <row r="1494" ht="12.75" customHeight="1">
      <c r="A1494" s="7">
        <v>1493.0</v>
      </c>
      <c r="B1494" s="7" t="s">
        <v>1315</v>
      </c>
      <c r="C1494" s="7" t="s">
        <v>4717</v>
      </c>
      <c r="D1494" s="7"/>
      <c r="E1494" s="7"/>
      <c r="F1494" s="7" t="s">
        <v>4874</v>
      </c>
      <c r="G1494" s="7" t="s">
        <v>3671</v>
      </c>
      <c r="H1494" s="7" t="s">
        <v>3679</v>
      </c>
      <c r="I1494" s="7" t="s">
        <v>3604</v>
      </c>
      <c r="J1494" s="7" t="s">
        <v>3618</v>
      </c>
      <c r="K1494" s="7" t="str">
        <f t="shared" si="2"/>
        <v/>
      </c>
      <c r="L1494" s="7" t="str">
        <f t="shared" si="1026"/>
        <v/>
      </c>
      <c r="M1494" s="7">
        <f t="shared" ref="M1494:N1494" si="1513">IF(LEN(M$1),COUNTIF($G1494:$J1494,M$1),"")</f>
        <v>0</v>
      </c>
      <c r="N1494" s="7" t="str">
        <f t="shared" si="1513"/>
        <v/>
      </c>
      <c r="O1494" s="7" t="str">
        <f t="shared" si="1028"/>
        <v/>
      </c>
      <c r="P1494" s="7">
        <f t="shared" si="1433"/>
        <v>0</v>
      </c>
      <c r="Q1494" s="7" t="str">
        <f t="shared" si="7"/>
        <v/>
      </c>
      <c r="T1494" s="7"/>
    </row>
    <row r="1495" ht="12.75" customHeight="1">
      <c r="A1495" s="7">
        <v>1494.0</v>
      </c>
      <c r="B1495" s="7" t="s">
        <v>1323</v>
      </c>
      <c r="C1495" s="7" t="s">
        <v>4717</v>
      </c>
      <c r="D1495" s="7"/>
      <c r="E1495" s="7"/>
      <c r="F1495" s="7" t="s">
        <v>4874</v>
      </c>
      <c r="G1495" s="7" t="s">
        <v>3455</v>
      </c>
      <c r="H1495" s="7" t="s">
        <v>3675</v>
      </c>
      <c r="I1495" s="7" t="s">
        <v>3656</v>
      </c>
      <c r="J1495" s="7" t="s">
        <v>3530</v>
      </c>
      <c r="K1495" s="7" t="str">
        <f t="shared" si="2"/>
        <v/>
      </c>
      <c r="L1495" s="7" t="str">
        <f t="shared" si="1026"/>
        <v/>
      </c>
      <c r="M1495" s="7">
        <f t="shared" ref="M1495:N1495" si="1514">IF(LEN(M$1),COUNTIF($G1495:$J1495,M$1),"")</f>
        <v>0</v>
      </c>
      <c r="N1495" s="7" t="str">
        <f t="shared" si="1514"/>
        <v/>
      </c>
      <c r="O1495" s="7" t="str">
        <f t="shared" si="1028"/>
        <v/>
      </c>
      <c r="P1495" s="7">
        <f t="shared" si="1433"/>
        <v>0</v>
      </c>
      <c r="Q1495" s="7" t="str">
        <f t="shared" si="7"/>
        <v/>
      </c>
      <c r="T1495" s="7"/>
    </row>
    <row r="1496" ht="12.75" customHeight="1">
      <c r="A1496" s="7">
        <v>1495.0</v>
      </c>
      <c r="B1496" s="7" t="s">
        <v>1323</v>
      </c>
      <c r="C1496" s="7" t="s">
        <v>4717</v>
      </c>
      <c r="D1496" s="7"/>
      <c r="E1496" s="7"/>
      <c r="F1496" s="7" t="s">
        <v>4874</v>
      </c>
      <c r="G1496" s="7" t="s">
        <v>3627</v>
      </c>
      <c r="H1496" s="7" t="s">
        <v>3658</v>
      </c>
      <c r="I1496" s="7" t="s">
        <v>3681</v>
      </c>
      <c r="J1496" s="7" t="s">
        <v>3665</v>
      </c>
      <c r="K1496" s="7" t="str">
        <f t="shared" si="2"/>
        <v/>
      </c>
      <c r="L1496" s="7" t="str">
        <f t="shared" si="1026"/>
        <v/>
      </c>
      <c r="M1496" s="7">
        <f t="shared" ref="M1496:N1496" si="1515">IF(LEN(M$1),COUNTIF($G1496:$J1496,M$1),"")</f>
        <v>0</v>
      </c>
      <c r="N1496" s="7" t="str">
        <f t="shared" si="1515"/>
        <v/>
      </c>
      <c r="O1496" s="7" t="str">
        <f t="shared" si="1028"/>
        <v/>
      </c>
      <c r="P1496" s="7">
        <f t="shared" si="1433"/>
        <v>0</v>
      </c>
      <c r="Q1496" s="7" t="str">
        <f t="shared" si="7"/>
        <v/>
      </c>
      <c r="T1496" s="7"/>
    </row>
    <row r="1497" ht="12.75" customHeight="1">
      <c r="A1497" s="7">
        <v>1496.0</v>
      </c>
      <c r="B1497" s="7" t="s">
        <v>1330</v>
      </c>
      <c r="C1497" s="7" t="s">
        <v>4724</v>
      </c>
      <c r="D1497" s="7"/>
      <c r="E1497" s="7"/>
      <c r="F1497" s="7" t="s">
        <v>4874</v>
      </c>
      <c r="G1497" s="7" t="s">
        <v>3660</v>
      </c>
      <c r="H1497" s="7" t="s">
        <v>3473</v>
      </c>
      <c r="I1497" s="7" t="s">
        <v>3609</v>
      </c>
      <c r="J1497" s="7" t="s">
        <v>3647</v>
      </c>
      <c r="K1497" s="7" t="str">
        <f t="shared" si="2"/>
        <v/>
      </c>
      <c r="L1497" s="7" t="str">
        <f t="shared" si="1026"/>
        <v/>
      </c>
      <c r="M1497" s="7">
        <f t="shared" ref="M1497:N1497" si="1516">IF(LEN(M$1),COUNTIF($G1497:$J1497,M$1),"")</f>
        <v>0</v>
      </c>
      <c r="N1497" s="7" t="str">
        <f t="shared" si="1516"/>
        <v/>
      </c>
      <c r="O1497" s="7" t="str">
        <f t="shared" si="1028"/>
        <v/>
      </c>
      <c r="P1497" s="7">
        <f t="shared" si="1433"/>
        <v>0</v>
      </c>
      <c r="Q1497" s="7" t="str">
        <f t="shared" si="7"/>
        <v/>
      </c>
      <c r="T1497" s="7"/>
    </row>
    <row r="1498" ht="12.75" customHeight="1">
      <c r="A1498" s="7">
        <v>1497.0</v>
      </c>
      <c r="B1498" s="7" t="s">
        <v>1330</v>
      </c>
      <c r="C1498" s="7" t="s">
        <v>4724</v>
      </c>
      <c r="D1498" s="7"/>
      <c r="E1498" s="7"/>
      <c r="F1498" s="7" t="s">
        <v>4874</v>
      </c>
      <c r="G1498" s="7" t="s">
        <v>3449</v>
      </c>
      <c r="H1498" s="7" t="s">
        <v>3693</v>
      </c>
      <c r="I1498" s="7" t="s">
        <v>3711</v>
      </c>
      <c r="J1498" s="7" t="s">
        <v>3513</v>
      </c>
      <c r="K1498" s="7" t="str">
        <f t="shared" si="2"/>
        <v/>
      </c>
      <c r="L1498" s="7" t="str">
        <f t="shared" si="1026"/>
        <v/>
      </c>
      <c r="M1498" s="7">
        <f t="shared" ref="M1498:N1498" si="1517">IF(LEN(M$1),COUNTIF($G1498:$J1498,M$1),"")</f>
        <v>0</v>
      </c>
      <c r="N1498" s="7" t="str">
        <f t="shared" si="1517"/>
        <v/>
      </c>
      <c r="O1498" s="7" t="str">
        <f t="shared" si="1028"/>
        <v/>
      </c>
      <c r="P1498" s="7">
        <f t="shared" si="1433"/>
        <v>0</v>
      </c>
      <c r="Q1498" s="7" t="str">
        <f t="shared" si="7"/>
        <v/>
      </c>
      <c r="T1498" s="7"/>
    </row>
    <row r="1499" ht="12.75" customHeight="1">
      <c r="A1499" s="7">
        <v>1498.0</v>
      </c>
      <c r="B1499" s="7" t="s">
        <v>1339</v>
      </c>
      <c r="C1499" s="7" t="s">
        <v>4724</v>
      </c>
      <c r="D1499" s="7"/>
      <c r="E1499" s="7"/>
      <c r="F1499" s="7" t="s">
        <v>4874</v>
      </c>
      <c r="G1499" s="7" t="s">
        <v>3708</v>
      </c>
      <c r="H1499" s="7" t="s">
        <v>3572</v>
      </c>
      <c r="I1499" s="7" t="s">
        <v>3615</v>
      </c>
      <c r="J1499" s="7" t="s">
        <v>3546</v>
      </c>
      <c r="K1499" s="7" t="str">
        <f t="shared" si="2"/>
        <v/>
      </c>
      <c r="L1499" s="7" t="str">
        <f t="shared" si="1026"/>
        <v/>
      </c>
      <c r="M1499" s="7">
        <f t="shared" ref="M1499:N1499" si="1518">IF(LEN(M$1),COUNTIF($G1499:$J1499,M$1),"")</f>
        <v>0</v>
      </c>
      <c r="N1499" s="7" t="str">
        <f t="shared" si="1518"/>
        <v/>
      </c>
      <c r="O1499" s="7" t="str">
        <f t="shared" si="1028"/>
        <v/>
      </c>
      <c r="P1499" s="7">
        <f t="shared" si="1433"/>
        <v>0</v>
      </c>
      <c r="Q1499" s="7" t="str">
        <f t="shared" si="7"/>
        <v/>
      </c>
      <c r="T1499" s="7"/>
    </row>
    <row r="1500" ht="12.75" customHeight="1">
      <c r="A1500" s="7">
        <v>1499.0</v>
      </c>
      <c r="B1500" s="7" t="s">
        <v>1339</v>
      </c>
      <c r="C1500" s="7" t="s">
        <v>4724</v>
      </c>
      <c r="D1500" s="7"/>
      <c r="E1500" s="7"/>
      <c r="F1500" s="7" t="s">
        <v>4874</v>
      </c>
      <c r="G1500" s="7" t="s">
        <v>3574</v>
      </c>
      <c r="H1500" s="7" t="s">
        <v>3631</v>
      </c>
      <c r="I1500" s="7" t="s">
        <v>3637</v>
      </c>
      <c r="J1500" s="7" t="s">
        <v>3500</v>
      </c>
      <c r="K1500" s="7" t="str">
        <f t="shared" si="2"/>
        <v/>
      </c>
      <c r="L1500" s="7" t="str">
        <f t="shared" si="1026"/>
        <v/>
      </c>
      <c r="M1500" s="7">
        <f t="shared" ref="M1500:N1500" si="1519">IF(LEN(M$1),COUNTIF($G1500:$J1500,M$1),"")</f>
        <v>0</v>
      </c>
      <c r="N1500" s="7" t="str">
        <f t="shared" si="1519"/>
        <v/>
      </c>
      <c r="O1500" s="7" t="str">
        <f t="shared" si="1028"/>
        <v/>
      </c>
      <c r="P1500" s="7">
        <f t="shared" si="1433"/>
        <v>0</v>
      </c>
      <c r="Q1500" s="7" t="str">
        <f t="shared" si="7"/>
        <v/>
      </c>
      <c r="T1500" s="7"/>
    </row>
    <row r="1501" ht="12.75" customHeight="1">
      <c r="A1501" s="7">
        <v>1500.0</v>
      </c>
      <c r="B1501" s="7" t="s">
        <v>1347</v>
      </c>
      <c r="C1501" s="7" t="s">
        <v>4731</v>
      </c>
      <c r="D1501" s="7"/>
      <c r="E1501" s="7"/>
      <c r="F1501" s="7" t="s">
        <v>4874</v>
      </c>
      <c r="G1501" s="7" t="s">
        <v>3480</v>
      </c>
      <c r="H1501" s="7" t="s">
        <v>3683</v>
      </c>
      <c r="I1501" s="7" t="s">
        <v>3722</v>
      </c>
      <c r="J1501" s="7" t="s">
        <v>3574</v>
      </c>
      <c r="K1501" s="7" t="str">
        <f t="shared" si="2"/>
        <v/>
      </c>
      <c r="L1501" s="7" t="str">
        <f t="shared" si="1026"/>
        <v/>
      </c>
      <c r="M1501" s="7">
        <f t="shared" ref="M1501:N1501" si="1520">IF(LEN(M$1),COUNTIF($G1501:$J1501,M$1),"")</f>
        <v>0</v>
      </c>
      <c r="N1501" s="7" t="str">
        <f t="shared" si="1520"/>
        <v/>
      </c>
      <c r="O1501" s="7" t="str">
        <f t="shared" si="1028"/>
        <v/>
      </c>
      <c r="P1501" s="7">
        <f t="shared" si="1433"/>
        <v>0</v>
      </c>
      <c r="Q1501" s="7" t="str">
        <f t="shared" si="7"/>
        <v/>
      </c>
      <c r="T1501" s="7"/>
    </row>
    <row r="1502" ht="12.75" customHeight="1">
      <c r="A1502" s="7">
        <v>1501.0</v>
      </c>
      <c r="B1502" s="7" t="s">
        <v>1356</v>
      </c>
      <c r="C1502" s="7" t="s">
        <v>4731</v>
      </c>
      <c r="D1502" s="7"/>
      <c r="E1502" s="7"/>
      <c r="F1502" s="7" t="s">
        <v>4874</v>
      </c>
      <c r="G1502" s="7" t="s">
        <v>3673</v>
      </c>
      <c r="H1502" s="7" t="s">
        <v>3711</v>
      </c>
      <c r="I1502" s="7" t="s">
        <v>3601</v>
      </c>
      <c r="J1502" s="7" t="s">
        <v>3633</v>
      </c>
      <c r="K1502" s="7" t="str">
        <f t="shared" si="2"/>
        <v/>
      </c>
      <c r="L1502" s="7" t="str">
        <f t="shared" si="1026"/>
        <v/>
      </c>
      <c r="M1502" s="7">
        <f t="shared" ref="M1502:N1502" si="1521">IF(LEN(M$1),COUNTIF($G1502:$J1502,M$1),"")</f>
        <v>0</v>
      </c>
      <c r="N1502" s="7" t="str">
        <f t="shared" si="1521"/>
        <v/>
      </c>
      <c r="O1502" s="7" t="str">
        <f t="shared" si="1028"/>
        <v/>
      </c>
      <c r="P1502" s="7">
        <f t="shared" si="1433"/>
        <v>0</v>
      </c>
      <c r="Q1502" s="7" t="str">
        <f t="shared" si="7"/>
        <v/>
      </c>
      <c r="T1502" s="7"/>
    </row>
    <row r="1503" ht="12.75" customHeight="1">
      <c r="A1503" s="7">
        <v>1502.0</v>
      </c>
      <c r="B1503" s="7" t="s">
        <v>1356</v>
      </c>
      <c r="C1503" s="7" t="s">
        <v>4731</v>
      </c>
      <c r="D1503" s="7"/>
      <c r="E1503" s="7"/>
      <c r="F1503" s="7" t="s">
        <v>4874</v>
      </c>
      <c r="G1503" s="7" t="s">
        <v>3669</v>
      </c>
      <c r="H1503" s="7" t="s">
        <v>3530</v>
      </c>
      <c r="I1503" s="7" t="s">
        <v>3690</v>
      </c>
      <c r="J1503" s="7" t="s">
        <v>3637</v>
      </c>
      <c r="K1503" s="7" t="str">
        <f t="shared" si="2"/>
        <v/>
      </c>
      <c r="L1503" s="7" t="str">
        <f t="shared" si="1026"/>
        <v/>
      </c>
      <c r="M1503" s="7">
        <f t="shared" ref="M1503:N1503" si="1522">IF(LEN(M$1),COUNTIF($G1503:$J1503,M$1),"")</f>
        <v>0</v>
      </c>
      <c r="N1503" s="7" t="str">
        <f t="shared" si="1522"/>
        <v/>
      </c>
      <c r="O1503" s="7" t="str">
        <f t="shared" si="1028"/>
        <v/>
      </c>
      <c r="P1503" s="7">
        <f t="shared" si="1433"/>
        <v>0</v>
      </c>
      <c r="Q1503" s="7" t="str">
        <f t="shared" si="7"/>
        <v/>
      </c>
      <c r="T1503" s="7"/>
    </row>
    <row r="1504" ht="12.75" customHeight="1">
      <c r="A1504" s="7">
        <v>1503.0</v>
      </c>
      <c r="B1504" s="7" t="s">
        <v>1363</v>
      </c>
      <c r="C1504" s="7" t="s">
        <v>4735</v>
      </c>
      <c r="D1504" s="7"/>
      <c r="E1504" s="7"/>
      <c r="F1504" s="7" t="s">
        <v>4874</v>
      </c>
      <c r="G1504" s="7" t="s">
        <v>3688</v>
      </c>
      <c r="H1504" s="7" t="s">
        <v>3649</v>
      </c>
      <c r="I1504" s="7" t="s">
        <v>3598</v>
      </c>
      <c r="J1504" s="7" t="s">
        <v>3708</v>
      </c>
      <c r="K1504" s="7" t="str">
        <f t="shared" si="2"/>
        <v/>
      </c>
      <c r="L1504" s="7" t="str">
        <f t="shared" si="1026"/>
        <v/>
      </c>
      <c r="M1504" s="7">
        <f t="shared" ref="M1504:N1504" si="1523">IF(LEN(M$1),COUNTIF($G1504:$J1504,M$1),"")</f>
        <v>0</v>
      </c>
      <c r="N1504" s="7" t="str">
        <f t="shared" si="1523"/>
        <v/>
      </c>
      <c r="O1504" s="7" t="str">
        <f t="shared" si="1028"/>
        <v/>
      </c>
      <c r="P1504" s="7">
        <f t="shared" si="1433"/>
        <v>0</v>
      </c>
      <c r="Q1504" s="7" t="str">
        <f t="shared" si="7"/>
        <v/>
      </c>
      <c r="T1504" s="7"/>
    </row>
    <row r="1505" ht="12.75" customHeight="1">
      <c r="A1505" s="7">
        <v>1504.0</v>
      </c>
      <c r="B1505" s="7" t="s">
        <v>1371</v>
      </c>
      <c r="C1505" s="7" t="s">
        <v>4735</v>
      </c>
      <c r="D1505" s="7"/>
      <c r="E1505" s="7"/>
      <c r="F1505" s="7" t="s">
        <v>4874</v>
      </c>
      <c r="G1505" s="7" t="s">
        <v>3631</v>
      </c>
      <c r="H1505" s="7" t="s">
        <v>3673</v>
      </c>
      <c r="I1505" s="7" t="s">
        <v>3665</v>
      </c>
      <c r="J1505" s="7" t="s">
        <v>3649</v>
      </c>
      <c r="K1505" s="7" t="str">
        <f t="shared" si="2"/>
        <v/>
      </c>
      <c r="L1505" s="7" t="str">
        <f t="shared" si="1026"/>
        <v/>
      </c>
      <c r="M1505" s="7">
        <f t="shared" ref="M1505:N1505" si="1524">IF(LEN(M$1),COUNTIF($G1505:$J1505,M$1),"")</f>
        <v>0</v>
      </c>
      <c r="N1505" s="7" t="str">
        <f t="shared" si="1524"/>
        <v/>
      </c>
      <c r="O1505" s="7" t="str">
        <f t="shared" si="1028"/>
        <v/>
      </c>
      <c r="P1505" s="7">
        <f t="shared" si="1433"/>
        <v>0</v>
      </c>
      <c r="Q1505" s="7" t="str">
        <f t="shared" si="7"/>
        <v/>
      </c>
      <c r="T1505" s="7"/>
    </row>
    <row r="1506" ht="12.75" customHeight="1">
      <c r="A1506" s="7">
        <v>1505.0</v>
      </c>
      <c r="B1506" s="7" t="s">
        <v>1371</v>
      </c>
      <c r="C1506" s="7" t="s">
        <v>4735</v>
      </c>
      <c r="D1506" s="7"/>
      <c r="E1506" s="7"/>
      <c r="F1506" s="7" t="s">
        <v>4874</v>
      </c>
      <c r="G1506" s="7" t="s">
        <v>3618</v>
      </c>
      <c r="H1506" s="7" t="s">
        <v>3505</v>
      </c>
      <c r="I1506" s="7" t="s">
        <v>3606</v>
      </c>
      <c r="J1506" s="7" t="s">
        <v>3708</v>
      </c>
      <c r="K1506" s="7" t="str">
        <f t="shared" si="2"/>
        <v/>
      </c>
      <c r="L1506" s="7" t="str">
        <f t="shared" si="1026"/>
        <v/>
      </c>
      <c r="M1506" s="7">
        <f t="shared" ref="M1506:N1506" si="1525">IF(LEN(M$1),COUNTIF($G1506:$J1506,M$1),"")</f>
        <v>0</v>
      </c>
      <c r="N1506" s="7" t="str">
        <f t="shared" si="1525"/>
        <v/>
      </c>
      <c r="O1506" s="7" t="str">
        <f t="shared" si="1028"/>
        <v/>
      </c>
      <c r="P1506" s="7">
        <f t="shared" si="1433"/>
        <v>0</v>
      </c>
      <c r="Q1506" s="7" t="str">
        <f t="shared" si="7"/>
        <v/>
      </c>
      <c r="T1506" s="7"/>
    </row>
    <row r="1507" ht="12.75" customHeight="1">
      <c r="A1507" s="7">
        <v>1506.0</v>
      </c>
      <c r="B1507" s="7" t="s">
        <v>1379</v>
      </c>
      <c r="C1507" s="7" t="s">
        <v>4784</v>
      </c>
      <c r="D1507" s="7"/>
      <c r="E1507" s="7"/>
      <c r="F1507" s="7" t="s">
        <v>4874</v>
      </c>
      <c r="G1507" s="7" t="s">
        <v>3620</v>
      </c>
      <c r="H1507" s="7" t="s">
        <v>3572</v>
      </c>
      <c r="I1507" s="7" t="s">
        <v>3601</v>
      </c>
      <c r="J1507" s="7" t="s">
        <v>3656</v>
      </c>
      <c r="K1507" s="7" t="str">
        <f t="shared" si="2"/>
        <v/>
      </c>
      <c r="L1507" s="7" t="str">
        <f t="shared" si="1026"/>
        <v/>
      </c>
      <c r="M1507" s="7">
        <f t="shared" ref="M1507:N1507" si="1526">IF(LEN(M$1),COUNTIF($G1507:$J1507,M$1),"")</f>
        <v>0</v>
      </c>
      <c r="N1507" s="7" t="str">
        <f t="shared" si="1526"/>
        <v/>
      </c>
      <c r="O1507" s="7" t="str">
        <f t="shared" si="1028"/>
        <v/>
      </c>
      <c r="P1507" s="7">
        <f t="shared" si="1433"/>
        <v>0</v>
      </c>
      <c r="Q1507" s="7" t="str">
        <f t="shared" si="7"/>
        <v/>
      </c>
      <c r="T1507" s="7"/>
    </row>
    <row r="1508" ht="12.75" customHeight="1">
      <c r="A1508" s="7">
        <v>1507.0</v>
      </c>
      <c r="B1508" s="7" t="s">
        <v>1379</v>
      </c>
      <c r="C1508" s="7" t="s">
        <v>4784</v>
      </c>
      <c r="D1508" s="7"/>
      <c r="E1508" s="7"/>
      <c r="F1508" s="7" t="s">
        <v>4874</v>
      </c>
      <c r="G1508" s="7" t="s">
        <v>3643</v>
      </c>
      <c r="H1508" s="7" t="s">
        <v>3612</v>
      </c>
      <c r="I1508" s="7" t="s">
        <v>3701</v>
      </c>
      <c r="J1508" s="7" t="s">
        <v>3595</v>
      </c>
      <c r="K1508" s="7" t="str">
        <f t="shared" si="2"/>
        <v/>
      </c>
      <c r="L1508" s="7" t="str">
        <f t="shared" si="1026"/>
        <v/>
      </c>
      <c r="M1508" s="7">
        <f t="shared" ref="M1508:N1508" si="1527">IF(LEN(M$1),COUNTIF($G1508:$J1508,M$1),"")</f>
        <v>0</v>
      </c>
      <c r="N1508" s="7" t="str">
        <f t="shared" si="1527"/>
        <v/>
      </c>
      <c r="O1508" s="7" t="str">
        <f t="shared" si="1028"/>
        <v/>
      </c>
      <c r="P1508" s="7">
        <f t="shared" si="1433"/>
        <v>0</v>
      </c>
      <c r="Q1508" s="7" t="str">
        <f t="shared" si="7"/>
        <v/>
      </c>
      <c r="T1508" s="7"/>
    </row>
    <row r="1509" ht="12.75" customHeight="1">
      <c r="A1509" s="7">
        <v>1508.0</v>
      </c>
      <c r="B1509" s="7" t="s">
        <v>1385</v>
      </c>
      <c r="C1509" s="7" t="s">
        <v>4784</v>
      </c>
      <c r="D1509" s="7"/>
      <c r="E1509" s="7"/>
      <c r="F1509" s="7" t="s">
        <v>4874</v>
      </c>
      <c r="G1509" s="7" t="s">
        <v>3585</v>
      </c>
      <c r="H1509" s="7" t="s">
        <v>3473</v>
      </c>
      <c r="I1509" s="7" t="s">
        <v>3705</v>
      </c>
      <c r="J1509" s="7" t="s">
        <v>3525</v>
      </c>
      <c r="K1509" s="7" t="str">
        <f t="shared" si="2"/>
        <v/>
      </c>
      <c r="L1509" s="7" t="str">
        <f t="shared" si="1026"/>
        <v/>
      </c>
      <c r="M1509" s="7">
        <f t="shared" ref="M1509:N1509" si="1528">IF(LEN(M$1),COUNTIF($G1509:$J1509,M$1),"")</f>
        <v>0</v>
      </c>
      <c r="N1509" s="7" t="str">
        <f t="shared" si="1528"/>
        <v/>
      </c>
      <c r="O1509" s="7" t="str">
        <f t="shared" si="1028"/>
        <v/>
      </c>
      <c r="P1509" s="7">
        <f t="shared" si="1433"/>
        <v>0</v>
      </c>
      <c r="Q1509" s="7" t="str">
        <f t="shared" si="7"/>
        <v/>
      </c>
      <c r="T1509" s="7"/>
    </row>
    <row r="1510" ht="12.75" customHeight="1">
      <c r="A1510" s="7">
        <v>1509.0</v>
      </c>
      <c r="B1510" s="7" t="s">
        <v>1393</v>
      </c>
      <c r="C1510" s="7" t="s">
        <v>4786</v>
      </c>
      <c r="D1510" s="7"/>
      <c r="E1510" s="7"/>
      <c r="F1510" s="7" t="s">
        <v>4874</v>
      </c>
      <c r="G1510" s="7" t="s">
        <v>3724</v>
      </c>
      <c r="H1510" s="7" t="s">
        <v>3688</v>
      </c>
      <c r="I1510" s="7" t="s">
        <v>3615</v>
      </c>
      <c r="J1510" s="7" t="s">
        <v>3606</v>
      </c>
      <c r="K1510" s="7" t="str">
        <f t="shared" si="2"/>
        <v/>
      </c>
      <c r="L1510" s="7" t="str">
        <f t="shared" si="1026"/>
        <v/>
      </c>
      <c r="M1510" s="7">
        <f t="shared" ref="M1510:N1510" si="1529">IF(LEN(M$1),COUNTIF($G1510:$J1510,M$1),"")</f>
        <v>0</v>
      </c>
      <c r="N1510" s="7" t="str">
        <f t="shared" si="1529"/>
        <v/>
      </c>
      <c r="O1510" s="7" t="str">
        <f t="shared" si="1028"/>
        <v/>
      </c>
      <c r="P1510" s="7">
        <f t="shared" si="1433"/>
        <v>0</v>
      </c>
      <c r="Q1510" s="7" t="str">
        <f t="shared" si="7"/>
        <v/>
      </c>
      <c r="T1510" s="7"/>
    </row>
    <row r="1511" ht="12.75" customHeight="1">
      <c r="A1511" s="7">
        <v>1510.0</v>
      </c>
      <c r="B1511" s="7" t="s">
        <v>1393</v>
      </c>
      <c r="C1511" s="7" t="s">
        <v>4786</v>
      </c>
      <c r="D1511" s="7"/>
      <c r="E1511" s="7"/>
      <c r="F1511" s="7" t="s">
        <v>4874</v>
      </c>
      <c r="G1511" s="7" t="s">
        <v>3649</v>
      </c>
      <c r="H1511" s="7" t="s">
        <v>3455</v>
      </c>
      <c r="I1511" s="7" t="s">
        <v>3631</v>
      </c>
      <c r="J1511" s="7" t="s">
        <v>3633</v>
      </c>
      <c r="K1511" s="7" t="str">
        <f t="shared" si="2"/>
        <v/>
      </c>
      <c r="L1511" s="7" t="str">
        <f t="shared" si="1026"/>
        <v/>
      </c>
      <c r="M1511" s="7">
        <f t="shared" ref="M1511:N1511" si="1530">IF(LEN(M$1),COUNTIF($G1511:$J1511,M$1),"")</f>
        <v>0</v>
      </c>
      <c r="N1511" s="7" t="str">
        <f t="shared" si="1530"/>
        <v/>
      </c>
      <c r="O1511" s="7" t="str">
        <f t="shared" si="1028"/>
        <v/>
      </c>
      <c r="P1511" s="7">
        <f t="shared" si="1433"/>
        <v>0</v>
      </c>
      <c r="Q1511" s="7" t="str">
        <f t="shared" si="7"/>
        <v/>
      </c>
      <c r="T1511" s="7"/>
    </row>
    <row r="1512" ht="12.75" customHeight="1">
      <c r="A1512" s="7">
        <v>1511.0</v>
      </c>
      <c r="B1512" s="7" t="s">
        <v>1402</v>
      </c>
      <c r="C1512" s="7" t="s">
        <v>4786</v>
      </c>
      <c r="D1512" s="7"/>
      <c r="E1512" s="7"/>
      <c r="F1512" s="7" t="s">
        <v>4874</v>
      </c>
      <c r="G1512" s="7" t="s">
        <v>3570</v>
      </c>
      <c r="H1512" s="7" t="s">
        <v>3585</v>
      </c>
      <c r="I1512" s="7" t="s">
        <v>3654</v>
      </c>
      <c r="J1512" s="7" t="s">
        <v>3564</v>
      </c>
      <c r="K1512" s="7" t="str">
        <f t="shared" si="2"/>
        <v/>
      </c>
      <c r="L1512" s="7" t="str">
        <f t="shared" si="1026"/>
        <v/>
      </c>
      <c r="M1512" s="7">
        <f t="shared" ref="M1512:N1512" si="1531">IF(LEN(M$1),COUNTIF($G1512:$J1512,M$1),"")</f>
        <v>0</v>
      </c>
      <c r="N1512" s="7" t="str">
        <f t="shared" si="1531"/>
        <v/>
      </c>
      <c r="O1512" s="7" t="str">
        <f t="shared" si="1028"/>
        <v/>
      </c>
      <c r="P1512" s="7">
        <f t="shared" si="1433"/>
        <v>0</v>
      </c>
      <c r="Q1512" s="7" t="str">
        <f t="shared" si="7"/>
        <v/>
      </c>
      <c r="T1512" s="7"/>
    </row>
    <row r="1513" ht="12.75" customHeight="1">
      <c r="A1513" s="7">
        <v>1512.0</v>
      </c>
      <c r="B1513" s="7" t="s">
        <v>1144</v>
      </c>
      <c r="C1513" s="7" t="s">
        <v>4837</v>
      </c>
      <c r="D1513" s="7"/>
      <c r="E1513" s="7"/>
      <c r="F1513" s="7" t="s">
        <v>4875</v>
      </c>
      <c r="G1513" s="7" t="s">
        <v>3813</v>
      </c>
      <c r="H1513" s="7" t="s">
        <v>3771</v>
      </c>
      <c r="I1513" s="7" t="s">
        <v>3741</v>
      </c>
      <c r="J1513" s="7" t="s">
        <v>3847</v>
      </c>
      <c r="K1513" s="7" t="str">
        <f t="shared" si="2"/>
        <v/>
      </c>
      <c r="L1513" s="7" t="str">
        <f t="shared" si="1026"/>
        <v/>
      </c>
      <c r="M1513" s="7">
        <f t="shared" ref="M1513:N1513" si="1532">IF(LEN(M$1),COUNTIF($G1513:$J1513,M$1),"")</f>
        <v>0</v>
      </c>
      <c r="N1513" s="7" t="str">
        <f t="shared" si="1532"/>
        <v/>
      </c>
      <c r="O1513" s="7" t="str">
        <f t="shared" si="1028"/>
        <v/>
      </c>
      <c r="P1513" s="7">
        <f t="shared" ref="P1513:P1612" si="1534">IF(LEN(P$1),IF(P$1=6,1,0),"")</f>
        <v>0</v>
      </c>
      <c r="Q1513" s="7" t="str">
        <f t="shared" si="7"/>
        <v/>
      </c>
      <c r="T1513" s="7"/>
    </row>
    <row r="1514" ht="12.75" customHeight="1">
      <c r="A1514" s="7">
        <v>1513.0</v>
      </c>
      <c r="B1514" s="7" t="s">
        <v>1151</v>
      </c>
      <c r="C1514" s="7" t="s">
        <v>4837</v>
      </c>
      <c r="D1514" s="7"/>
      <c r="E1514" s="7"/>
      <c r="F1514" s="7" t="s">
        <v>4875</v>
      </c>
      <c r="G1514" s="7" t="s">
        <v>3801</v>
      </c>
      <c r="H1514" s="7" t="s">
        <v>3833</v>
      </c>
      <c r="I1514" s="7" t="s">
        <v>3794</v>
      </c>
      <c r="J1514" s="7" t="s">
        <v>3821</v>
      </c>
      <c r="K1514" s="7" t="str">
        <f t="shared" si="2"/>
        <v/>
      </c>
      <c r="L1514" s="7" t="str">
        <f t="shared" si="1026"/>
        <v/>
      </c>
      <c r="M1514" s="7">
        <f t="shared" ref="M1514:N1514" si="1533">IF(LEN(M$1),COUNTIF($G1514:$J1514,M$1),"")</f>
        <v>0</v>
      </c>
      <c r="N1514" s="7" t="str">
        <f t="shared" si="1533"/>
        <v/>
      </c>
      <c r="O1514" s="7" t="str">
        <f t="shared" si="1028"/>
        <v/>
      </c>
      <c r="P1514" s="7">
        <f t="shared" si="1534"/>
        <v>0</v>
      </c>
      <c r="Q1514" s="7" t="str">
        <f t="shared" si="7"/>
        <v/>
      </c>
      <c r="T1514" s="7"/>
    </row>
    <row r="1515" ht="12.75" customHeight="1">
      <c r="A1515" s="7">
        <v>1514.0</v>
      </c>
      <c r="B1515" s="7" t="s">
        <v>1159</v>
      </c>
      <c r="C1515" s="7" t="s">
        <v>4845</v>
      </c>
      <c r="D1515" s="7"/>
      <c r="E1515" s="7"/>
      <c r="F1515" s="7" t="s">
        <v>4875</v>
      </c>
      <c r="G1515" s="7" t="s">
        <v>3789</v>
      </c>
      <c r="H1515" s="7" t="s">
        <v>3631</v>
      </c>
      <c r="I1515" s="7" t="s">
        <v>3741</v>
      </c>
      <c r="J1515" s="7" t="s">
        <v>3673</v>
      </c>
      <c r="K1515" s="7" t="str">
        <f t="shared" si="2"/>
        <v/>
      </c>
      <c r="L1515" s="7" t="str">
        <f t="shared" si="1026"/>
        <v/>
      </c>
      <c r="M1515" s="7">
        <f t="shared" ref="M1515:N1515" si="1535">IF(LEN(M$1),COUNTIF($G1515:$J1515,M$1),"")</f>
        <v>0</v>
      </c>
      <c r="N1515" s="7" t="str">
        <f t="shared" si="1535"/>
        <v/>
      </c>
      <c r="O1515" s="7" t="str">
        <f t="shared" si="1028"/>
        <v/>
      </c>
      <c r="P1515" s="7">
        <f t="shared" si="1534"/>
        <v>0</v>
      </c>
      <c r="Q1515" s="7" t="str">
        <f t="shared" si="7"/>
        <v/>
      </c>
      <c r="T1515" s="7"/>
    </row>
    <row r="1516" ht="12.75" customHeight="1">
      <c r="A1516" s="7">
        <v>1515.0</v>
      </c>
      <c r="B1516" s="7" t="s">
        <v>1167</v>
      </c>
      <c r="C1516" s="7" t="s">
        <v>4845</v>
      </c>
      <c r="D1516" s="7"/>
      <c r="E1516" s="7"/>
      <c r="F1516" s="7" t="s">
        <v>4875</v>
      </c>
      <c r="G1516" s="7" t="s">
        <v>3606</v>
      </c>
      <c r="H1516" s="7" t="s">
        <v>3734</v>
      </c>
      <c r="I1516" s="7" t="s">
        <v>3801</v>
      </c>
      <c r="J1516" s="7" t="s">
        <v>3595</v>
      </c>
      <c r="K1516" s="7" t="str">
        <f t="shared" si="2"/>
        <v/>
      </c>
      <c r="L1516" s="7" t="str">
        <f t="shared" si="1026"/>
        <v/>
      </c>
      <c r="M1516" s="7">
        <f t="shared" ref="M1516:N1516" si="1536">IF(LEN(M$1),COUNTIF($G1516:$J1516,M$1),"")</f>
        <v>0</v>
      </c>
      <c r="N1516" s="7" t="str">
        <f t="shared" si="1536"/>
        <v/>
      </c>
      <c r="O1516" s="7" t="str">
        <f t="shared" si="1028"/>
        <v/>
      </c>
      <c r="P1516" s="7">
        <f t="shared" si="1534"/>
        <v>0</v>
      </c>
      <c r="Q1516" s="7" t="str">
        <f t="shared" si="7"/>
        <v/>
      </c>
      <c r="T1516" s="7"/>
    </row>
    <row r="1517" ht="12.75" customHeight="1">
      <c r="A1517" s="7">
        <v>1516.0</v>
      </c>
      <c r="B1517" s="7" t="s">
        <v>1174</v>
      </c>
      <c r="C1517" s="7" t="s">
        <v>4845</v>
      </c>
      <c r="D1517" s="7"/>
      <c r="E1517" s="7"/>
      <c r="F1517" s="7" t="s">
        <v>4875</v>
      </c>
      <c r="G1517" s="7" t="s">
        <v>3794</v>
      </c>
      <c r="H1517" s="7" t="s">
        <v>3637</v>
      </c>
      <c r="I1517" s="7" t="s">
        <v>3813</v>
      </c>
      <c r="J1517" s="7" t="s">
        <v>3643</v>
      </c>
      <c r="K1517" s="7" t="str">
        <f t="shared" si="2"/>
        <v/>
      </c>
      <c r="L1517" s="7" t="str">
        <f t="shared" si="1026"/>
        <v/>
      </c>
      <c r="M1517" s="7">
        <f t="shared" ref="M1517:N1517" si="1537">IF(LEN(M$1),COUNTIF($G1517:$J1517,M$1),"")</f>
        <v>0</v>
      </c>
      <c r="N1517" s="7" t="str">
        <f t="shared" si="1537"/>
        <v/>
      </c>
      <c r="O1517" s="7" t="str">
        <f t="shared" si="1028"/>
        <v/>
      </c>
      <c r="P1517" s="7">
        <f t="shared" si="1534"/>
        <v>0</v>
      </c>
      <c r="Q1517" s="7" t="str">
        <f t="shared" si="7"/>
        <v/>
      </c>
      <c r="T1517" s="7"/>
    </row>
    <row r="1518" ht="12.75" customHeight="1">
      <c r="A1518" s="7">
        <v>1517.0</v>
      </c>
      <c r="B1518" s="7" t="s">
        <v>1182</v>
      </c>
      <c r="C1518" s="7" t="s">
        <v>4841</v>
      </c>
      <c r="D1518" s="7"/>
      <c r="E1518" s="7"/>
      <c r="F1518" s="7" t="s">
        <v>4875</v>
      </c>
      <c r="G1518" s="7" t="s">
        <v>3847</v>
      </c>
      <c r="H1518" s="7" t="s">
        <v>3737</v>
      </c>
      <c r="I1518" s="7" t="s">
        <v>3769</v>
      </c>
      <c r="J1518" s="7" t="s">
        <v>3821</v>
      </c>
      <c r="K1518" s="7" t="str">
        <f t="shared" si="2"/>
        <v/>
      </c>
      <c r="L1518" s="7" t="str">
        <f t="shared" si="1026"/>
        <v/>
      </c>
      <c r="M1518" s="7">
        <f t="shared" ref="M1518:N1518" si="1538">IF(LEN(M$1),COUNTIF($G1518:$J1518,M$1),"")</f>
        <v>0</v>
      </c>
      <c r="N1518" s="7" t="str">
        <f t="shared" si="1538"/>
        <v/>
      </c>
      <c r="O1518" s="7" t="str">
        <f t="shared" si="1028"/>
        <v/>
      </c>
      <c r="P1518" s="7">
        <f t="shared" si="1534"/>
        <v>0</v>
      </c>
      <c r="Q1518" s="7" t="str">
        <f t="shared" si="7"/>
        <v/>
      </c>
      <c r="T1518" s="7"/>
    </row>
    <row r="1519" ht="12.75" customHeight="1">
      <c r="A1519" s="7">
        <v>1518.0</v>
      </c>
      <c r="B1519" s="7" t="s">
        <v>1190</v>
      </c>
      <c r="C1519" s="7" t="s">
        <v>4841</v>
      </c>
      <c r="D1519" s="7"/>
      <c r="E1519" s="7"/>
      <c r="F1519" s="7" t="s">
        <v>4875</v>
      </c>
      <c r="G1519" s="7" t="s">
        <v>3727</v>
      </c>
      <c r="H1519" s="7" t="s">
        <v>3837</v>
      </c>
      <c r="I1519" s="7" t="s">
        <v>3831</v>
      </c>
      <c r="J1519" s="7" t="s">
        <v>3775</v>
      </c>
      <c r="K1519" s="7" t="str">
        <f t="shared" si="2"/>
        <v/>
      </c>
      <c r="L1519" s="7" t="str">
        <f t="shared" si="1026"/>
        <v/>
      </c>
      <c r="M1519" s="7">
        <f t="shared" ref="M1519:N1519" si="1539">IF(LEN(M$1),COUNTIF($G1519:$J1519,M$1),"")</f>
        <v>0</v>
      </c>
      <c r="N1519" s="7" t="str">
        <f t="shared" si="1539"/>
        <v/>
      </c>
      <c r="O1519" s="7" t="str">
        <f t="shared" si="1028"/>
        <v/>
      </c>
      <c r="P1519" s="7">
        <f t="shared" si="1534"/>
        <v>0</v>
      </c>
      <c r="Q1519" s="7" t="str">
        <f t="shared" si="7"/>
        <v/>
      </c>
      <c r="T1519" s="7"/>
    </row>
    <row r="1520" ht="12.75" customHeight="1">
      <c r="A1520" s="7">
        <v>1519.0</v>
      </c>
      <c r="B1520" s="7" t="s">
        <v>1198</v>
      </c>
      <c r="C1520" s="7" t="s">
        <v>4841</v>
      </c>
      <c r="D1520" s="7"/>
      <c r="E1520" s="7"/>
      <c r="F1520" s="7" t="s">
        <v>4875</v>
      </c>
      <c r="G1520" s="7" t="s">
        <v>3854</v>
      </c>
      <c r="H1520" s="7" t="s">
        <v>3798</v>
      </c>
      <c r="I1520" s="7" t="s">
        <v>3804</v>
      </c>
      <c r="J1520" s="7" t="s">
        <v>3752</v>
      </c>
      <c r="K1520" s="7" t="str">
        <f t="shared" si="2"/>
        <v/>
      </c>
      <c r="L1520" s="7" t="str">
        <f t="shared" si="1026"/>
        <v/>
      </c>
      <c r="M1520" s="7">
        <f t="shared" ref="M1520:N1520" si="1540">IF(LEN(M$1),COUNTIF($G1520:$J1520,M$1),"")</f>
        <v>0</v>
      </c>
      <c r="N1520" s="7" t="str">
        <f t="shared" si="1540"/>
        <v/>
      </c>
      <c r="O1520" s="7" t="str">
        <f t="shared" si="1028"/>
        <v/>
      </c>
      <c r="P1520" s="7">
        <f t="shared" si="1534"/>
        <v>0</v>
      </c>
      <c r="Q1520" s="7" t="str">
        <f t="shared" si="7"/>
        <v/>
      </c>
      <c r="T1520" s="7"/>
    </row>
    <row r="1521" ht="12.75" customHeight="1">
      <c r="A1521" s="7">
        <v>1520.0</v>
      </c>
      <c r="B1521" s="7" t="s">
        <v>1205</v>
      </c>
      <c r="C1521" s="7" t="s">
        <v>4846</v>
      </c>
      <c r="D1521" s="7"/>
      <c r="E1521" s="7"/>
      <c r="F1521" s="7" t="s">
        <v>4875</v>
      </c>
      <c r="G1521" s="7" t="s">
        <v>3695</v>
      </c>
      <c r="H1521" s="7" t="s">
        <v>3760</v>
      </c>
      <c r="I1521" s="7" t="s">
        <v>3743</v>
      </c>
      <c r="J1521" s="7" t="s">
        <v>3675</v>
      </c>
      <c r="K1521" s="7" t="str">
        <f t="shared" si="2"/>
        <v/>
      </c>
      <c r="L1521" s="7" t="str">
        <f t="shared" si="1026"/>
        <v/>
      </c>
      <c r="M1521" s="7">
        <f t="shared" ref="M1521:N1521" si="1541">IF(LEN(M$1),COUNTIF($G1521:$J1521,M$1),"")</f>
        <v>0</v>
      </c>
      <c r="N1521" s="7" t="str">
        <f t="shared" si="1541"/>
        <v/>
      </c>
      <c r="O1521" s="7" t="str">
        <f t="shared" si="1028"/>
        <v/>
      </c>
      <c r="P1521" s="7">
        <f t="shared" si="1534"/>
        <v>0</v>
      </c>
      <c r="Q1521" s="7" t="str">
        <f t="shared" si="7"/>
        <v/>
      </c>
      <c r="T1521" s="7"/>
    </row>
    <row r="1522" ht="12.75" customHeight="1">
      <c r="A1522" s="7">
        <v>1521.0</v>
      </c>
      <c r="B1522" s="7" t="s">
        <v>1214</v>
      </c>
      <c r="C1522" s="7" t="s">
        <v>4846</v>
      </c>
      <c r="D1522" s="7"/>
      <c r="E1522" s="7"/>
      <c r="F1522" s="7" t="s">
        <v>4875</v>
      </c>
      <c r="G1522" s="7" t="s">
        <v>3688</v>
      </c>
      <c r="H1522" s="7" t="s">
        <v>3815</v>
      </c>
      <c r="I1522" s="7" t="s">
        <v>3850</v>
      </c>
      <c r="J1522" s="7" t="s">
        <v>3660</v>
      </c>
      <c r="K1522" s="7" t="str">
        <f t="shared" si="2"/>
        <v/>
      </c>
      <c r="L1522" s="7" t="str">
        <f t="shared" si="1026"/>
        <v/>
      </c>
      <c r="M1522" s="7">
        <f t="shared" ref="M1522:N1522" si="1542">IF(LEN(M$1),COUNTIF($G1522:$J1522,M$1),"")</f>
        <v>0</v>
      </c>
      <c r="N1522" s="7" t="str">
        <f t="shared" si="1542"/>
        <v/>
      </c>
      <c r="O1522" s="7" t="str">
        <f t="shared" si="1028"/>
        <v/>
      </c>
      <c r="P1522" s="7">
        <f t="shared" si="1534"/>
        <v>0</v>
      </c>
      <c r="Q1522" s="7" t="str">
        <f t="shared" si="7"/>
        <v/>
      </c>
      <c r="T1522" s="7"/>
    </row>
    <row r="1523" ht="12.75" customHeight="1">
      <c r="A1523" s="7">
        <v>1522.0</v>
      </c>
      <c r="B1523" s="7" t="s">
        <v>1222</v>
      </c>
      <c r="C1523" s="7" t="s">
        <v>4846</v>
      </c>
      <c r="D1523" s="7"/>
      <c r="E1523" s="7"/>
      <c r="F1523" s="7" t="s">
        <v>4875</v>
      </c>
      <c r="G1523" s="7" t="s">
        <v>3835</v>
      </c>
      <c r="H1523" s="7" t="s">
        <v>3827</v>
      </c>
      <c r="I1523" s="7" t="s">
        <v>3750</v>
      </c>
      <c r="J1523" s="7" t="s">
        <v>3727</v>
      </c>
      <c r="K1523" s="7" t="str">
        <f t="shared" si="2"/>
        <v/>
      </c>
      <c r="L1523" s="7" t="str">
        <f t="shared" si="1026"/>
        <v/>
      </c>
      <c r="M1523" s="7">
        <f t="shared" ref="M1523:N1523" si="1543">IF(LEN(M$1),COUNTIF($G1523:$J1523,M$1),"")</f>
        <v>0</v>
      </c>
      <c r="N1523" s="7" t="str">
        <f t="shared" si="1543"/>
        <v/>
      </c>
      <c r="O1523" s="7" t="str">
        <f t="shared" si="1028"/>
        <v/>
      </c>
      <c r="P1523" s="7">
        <f t="shared" si="1534"/>
        <v>0</v>
      </c>
      <c r="Q1523" s="7" t="str">
        <f t="shared" si="7"/>
        <v/>
      </c>
      <c r="T1523" s="7"/>
    </row>
    <row r="1524" ht="12.75" customHeight="1">
      <c r="A1524" s="7">
        <v>1523.0</v>
      </c>
      <c r="B1524" s="7" t="s">
        <v>1229</v>
      </c>
      <c r="C1524" s="7" t="s">
        <v>4844</v>
      </c>
      <c r="D1524" s="7"/>
      <c r="E1524" s="7"/>
      <c r="F1524" s="7" t="s">
        <v>4875</v>
      </c>
      <c r="G1524" s="7" t="s">
        <v>3734</v>
      </c>
      <c r="H1524" s="7" t="s">
        <v>3743</v>
      </c>
      <c r="I1524" s="7" t="s">
        <v>3752</v>
      </c>
      <c r="J1524" s="7" t="s">
        <v>3631</v>
      </c>
      <c r="K1524" s="7" t="str">
        <f t="shared" si="2"/>
        <v/>
      </c>
      <c r="L1524" s="7" t="str">
        <f t="shared" si="1026"/>
        <v/>
      </c>
      <c r="M1524" s="7">
        <f t="shared" ref="M1524:N1524" si="1544">IF(LEN(M$1),COUNTIF($G1524:$J1524,M$1),"")</f>
        <v>0</v>
      </c>
      <c r="N1524" s="7" t="str">
        <f t="shared" si="1544"/>
        <v/>
      </c>
      <c r="O1524" s="7" t="str">
        <f t="shared" si="1028"/>
        <v/>
      </c>
      <c r="P1524" s="7">
        <f t="shared" si="1534"/>
        <v>0</v>
      </c>
      <c r="Q1524" s="7" t="str">
        <f t="shared" si="7"/>
        <v/>
      </c>
      <c r="T1524" s="7"/>
    </row>
    <row r="1525" ht="12.75" customHeight="1">
      <c r="A1525" s="7">
        <v>1524.0</v>
      </c>
      <c r="B1525" s="7" t="s">
        <v>1236</v>
      </c>
      <c r="C1525" s="7" t="s">
        <v>4844</v>
      </c>
      <c r="D1525" s="7"/>
      <c r="E1525" s="7"/>
      <c r="F1525" s="7" t="s">
        <v>4875</v>
      </c>
      <c r="G1525" s="7" t="s">
        <v>3757</v>
      </c>
      <c r="H1525" s="7" t="s">
        <v>3606</v>
      </c>
      <c r="I1525" s="7" t="s">
        <v>3791</v>
      </c>
      <c r="J1525" s="7" t="s">
        <v>3835</v>
      </c>
      <c r="K1525" s="7" t="str">
        <f t="shared" si="2"/>
        <v/>
      </c>
      <c r="L1525" s="7" t="str">
        <f t="shared" si="1026"/>
        <v/>
      </c>
      <c r="M1525" s="7">
        <f t="shared" ref="M1525:N1525" si="1545">IF(LEN(M$1),COUNTIF($G1525:$J1525,M$1),"")</f>
        <v>0</v>
      </c>
      <c r="N1525" s="7" t="str">
        <f t="shared" si="1545"/>
        <v/>
      </c>
      <c r="O1525" s="7" t="str">
        <f t="shared" si="1028"/>
        <v/>
      </c>
      <c r="P1525" s="7">
        <f t="shared" si="1534"/>
        <v>0</v>
      </c>
      <c r="Q1525" s="7" t="str">
        <f t="shared" si="7"/>
        <v/>
      </c>
      <c r="T1525" s="7"/>
    </row>
    <row r="1526" ht="12.75" customHeight="1">
      <c r="A1526" s="7">
        <v>1525.0</v>
      </c>
      <c r="B1526" s="7" t="s">
        <v>1244</v>
      </c>
      <c r="C1526" s="7" t="s">
        <v>4843</v>
      </c>
      <c r="D1526" s="7"/>
      <c r="E1526" s="7"/>
      <c r="F1526" s="7" t="s">
        <v>4875</v>
      </c>
      <c r="G1526" s="7" t="s">
        <v>3831</v>
      </c>
      <c r="H1526" s="7" t="s">
        <v>3601</v>
      </c>
      <c r="I1526" s="7" t="s">
        <v>3798</v>
      </c>
      <c r="J1526" s="7" t="s">
        <v>3681</v>
      </c>
      <c r="K1526" s="7" t="str">
        <f t="shared" si="2"/>
        <v/>
      </c>
      <c r="L1526" s="7" t="str">
        <f t="shared" si="1026"/>
        <v/>
      </c>
      <c r="M1526" s="7">
        <f t="shared" ref="M1526:N1526" si="1546">IF(LEN(M$1),COUNTIF($G1526:$J1526,M$1),"")</f>
        <v>0</v>
      </c>
      <c r="N1526" s="7" t="str">
        <f t="shared" si="1546"/>
        <v/>
      </c>
      <c r="O1526" s="7" t="str">
        <f t="shared" si="1028"/>
        <v/>
      </c>
      <c r="P1526" s="7">
        <f t="shared" si="1534"/>
        <v>0</v>
      </c>
      <c r="Q1526" s="7" t="str">
        <f t="shared" si="7"/>
        <v/>
      </c>
      <c r="T1526" s="7"/>
    </row>
    <row r="1527" ht="12.75" customHeight="1">
      <c r="A1527" s="7">
        <v>1526.0</v>
      </c>
      <c r="B1527" s="7" t="s">
        <v>1251</v>
      </c>
      <c r="C1527" s="7" t="s">
        <v>4843</v>
      </c>
      <c r="D1527" s="7"/>
      <c r="E1527" s="7"/>
      <c r="F1527" s="7" t="s">
        <v>4875</v>
      </c>
      <c r="G1527" s="7" t="s">
        <v>3847</v>
      </c>
      <c r="H1527" s="7" t="s">
        <v>3615</v>
      </c>
      <c r="I1527" s="7" t="s">
        <v>3773</v>
      </c>
      <c r="J1527" s="7" t="s">
        <v>3606</v>
      </c>
      <c r="K1527" s="7" t="str">
        <f t="shared" si="2"/>
        <v/>
      </c>
      <c r="L1527" s="7" t="str">
        <f t="shared" si="1026"/>
        <v/>
      </c>
      <c r="M1527" s="7">
        <f t="shared" ref="M1527:N1527" si="1547">IF(LEN(M$1),COUNTIF($G1527:$J1527,M$1),"")</f>
        <v>0</v>
      </c>
      <c r="N1527" s="7" t="str">
        <f t="shared" si="1547"/>
        <v/>
      </c>
      <c r="O1527" s="7" t="str">
        <f t="shared" si="1028"/>
        <v/>
      </c>
      <c r="P1527" s="7">
        <f t="shared" si="1534"/>
        <v>0</v>
      </c>
      <c r="Q1527" s="7" t="str">
        <f t="shared" si="7"/>
        <v/>
      </c>
      <c r="T1527" s="7"/>
    </row>
    <row r="1528" ht="12.75" customHeight="1">
      <c r="A1528" s="7">
        <v>1527.0</v>
      </c>
      <c r="B1528" s="7" t="s">
        <v>1257</v>
      </c>
      <c r="C1528" s="7" t="s">
        <v>4837</v>
      </c>
      <c r="D1528" s="7"/>
      <c r="E1528" s="7"/>
      <c r="F1528" s="7" t="s">
        <v>4875</v>
      </c>
      <c r="G1528" s="7" t="s">
        <v>3850</v>
      </c>
      <c r="H1528" s="7" t="s">
        <v>3823</v>
      </c>
      <c r="I1528" s="7" t="s">
        <v>3760</v>
      </c>
      <c r="J1528" s="7" t="s">
        <v>3835</v>
      </c>
      <c r="K1528" s="7" t="str">
        <f t="shared" si="2"/>
        <v/>
      </c>
      <c r="L1528" s="7" t="str">
        <f t="shared" si="1026"/>
        <v/>
      </c>
      <c r="M1528" s="7">
        <f t="shared" ref="M1528:N1528" si="1548">IF(LEN(M$1),COUNTIF($G1528:$J1528,M$1),"")</f>
        <v>0</v>
      </c>
      <c r="N1528" s="7" t="str">
        <f t="shared" si="1548"/>
        <v/>
      </c>
      <c r="O1528" s="7" t="str">
        <f t="shared" si="1028"/>
        <v/>
      </c>
      <c r="P1528" s="7">
        <f t="shared" si="1534"/>
        <v>0</v>
      </c>
      <c r="Q1528" s="7" t="str">
        <f t="shared" si="7"/>
        <v/>
      </c>
      <c r="T1528" s="7"/>
    </row>
    <row r="1529" ht="12.75" customHeight="1">
      <c r="A1529" s="7">
        <v>1528.0</v>
      </c>
      <c r="B1529" s="7" t="s">
        <v>1265</v>
      </c>
      <c r="C1529" s="7" t="s">
        <v>4837</v>
      </c>
      <c r="D1529" s="7"/>
      <c r="E1529" s="7"/>
      <c r="F1529" s="7" t="s">
        <v>4875</v>
      </c>
      <c r="G1529" s="7" t="s">
        <v>3835</v>
      </c>
      <c r="H1529" s="7" t="s">
        <v>3737</v>
      </c>
      <c r="I1529" s="7" t="s">
        <v>3789</v>
      </c>
      <c r="J1529" s="7" t="s">
        <v>3856</v>
      </c>
      <c r="K1529" s="7" t="str">
        <f t="shared" si="2"/>
        <v/>
      </c>
      <c r="L1529" s="7" t="str">
        <f t="shared" si="1026"/>
        <v/>
      </c>
      <c r="M1529" s="7">
        <f t="shared" ref="M1529:N1529" si="1549">IF(LEN(M$1),COUNTIF($G1529:$J1529,M$1),"")</f>
        <v>0</v>
      </c>
      <c r="N1529" s="7" t="str">
        <f t="shared" si="1549"/>
        <v/>
      </c>
      <c r="O1529" s="7" t="str">
        <f t="shared" si="1028"/>
        <v/>
      </c>
      <c r="P1529" s="7">
        <f t="shared" si="1534"/>
        <v>0</v>
      </c>
      <c r="Q1529" s="7" t="str">
        <f t="shared" si="7"/>
        <v/>
      </c>
      <c r="T1529" s="7"/>
    </row>
    <row r="1530" ht="12.75" customHeight="1">
      <c r="A1530" s="7">
        <v>1529.0</v>
      </c>
      <c r="B1530" s="7" t="s">
        <v>379</v>
      </c>
      <c r="C1530" s="7" t="s">
        <v>4845</v>
      </c>
      <c r="D1530" s="7"/>
      <c r="E1530" s="7"/>
      <c r="F1530" s="7" t="s">
        <v>4875</v>
      </c>
      <c r="G1530" s="7" t="s">
        <v>3837</v>
      </c>
      <c r="H1530" s="7" t="s">
        <v>3669</v>
      </c>
      <c r="I1530" s="7" t="s">
        <v>3760</v>
      </c>
      <c r="J1530" s="7" t="s">
        <v>3711</v>
      </c>
      <c r="K1530" s="7" t="str">
        <f t="shared" si="2"/>
        <v/>
      </c>
      <c r="L1530" s="7" t="str">
        <f t="shared" si="1026"/>
        <v/>
      </c>
      <c r="M1530" s="7">
        <f t="shared" ref="M1530:N1530" si="1550">IF(LEN(M$1),COUNTIF($G1530:$J1530,M$1),"")</f>
        <v>0</v>
      </c>
      <c r="N1530" s="7" t="str">
        <f t="shared" si="1550"/>
        <v/>
      </c>
      <c r="O1530" s="7" t="str">
        <f t="shared" si="1028"/>
        <v/>
      </c>
      <c r="P1530" s="7">
        <f t="shared" si="1534"/>
        <v>0</v>
      </c>
      <c r="Q1530" s="7" t="str">
        <f t="shared" si="7"/>
        <v/>
      </c>
      <c r="T1530" s="7"/>
    </row>
    <row r="1531" ht="12.75" customHeight="1">
      <c r="A1531" s="7">
        <v>1530.0</v>
      </c>
      <c r="B1531" s="7" t="s">
        <v>1277</v>
      </c>
      <c r="C1531" s="7" t="s">
        <v>4845</v>
      </c>
      <c r="D1531" s="7"/>
      <c r="E1531" s="7"/>
      <c r="F1531" s="7" t="s">
        <v>4875</v>
      </c>
      <c r="G1531" s="7" t="s">
        <v>3804</v>
      </c>
      <c r="H1531" s="7" t="s">
        <v>3595</v>
      </c>
      <c r="I1531" s="7" t="s">
        <v>3831</v>
      </c>
      <c r="J1531" s="7" t="s">
        <v>3649</v>
      </c>
      <c r="K1531" s="7" t="str">
        <f t="shared" si="2"/>
        <v/>
      </c>
      <c r="L1531" s="7" t="str">
        <f t="shared" si="1026"/>
        <v/>
      </c>
      <c r="M1531" s="7">
        <f t="shared" ref="M1531:N1531" si="1551">IF(LEN(M$1),COUNTIF($G1531:$J1531,M$1),"")</f>
        <v>0</v>
      </c>
      <c r="N1531" s="7" t="str">
        <f t="shared" si="1551"/>
        <v/>
      </c>
      <c r="O1531" s="7" t="str">
        <f t="shared" si="1028"/>
        <v/>
      </c>
      <c r="P1531" s="7">
        <f t="shared" si="1534"/>
        <v>0</v>
      </c>
      <c r="Q1531" s="7" t="str">
        <f t="shared" si="7"/>
        <v/>
      </c>
      <c r="T1531" s="7"/>
    </row>
    <row r="1532" ht="12.75" customHeight="1">
      <c r="A1532" s="7">
        <v>1531.0</v>
      </c>
      <c r="B1532" s="7" t="s">
        <v>1286</v>
      </c>
      <c r="C1532" s="7" t="s">
        <v>4701</v>
      </c>
      <c r="D1532" s="7"/>
      <c r="E1532" s="7"/>
      <c r="F1532" s="7" t="s">
        <v>4875</v>
      </c>
      <c r="G1532" s="7" t="s">
        <v>3847</v>
      </c>
      <c r="H1532" s="7" t="s">
        <v>3791</v>
      </c>
      <c r="I1532" s="7" t="s">
        <v>3854</v>
      </c>
      <c r="J1532" s="7" t="s">
        <v>3782</v>
      </c>
      <c r="K1532" s="7" t="str">
        <f t="shared" si="2"/>
        <v/>
      </c>
      <c r="L1532" s="7" t="str">
        <f t="shared" si="1026"/>
        <v/>
      </c>
      <c r="M1532" s="7">
        <f t="shared" ref="M1532:N1532" si="1552">IF(LEN(M$1),COUNTIF($G1532:$J1532,M$1),"")</f>
        <v>0</v>
      </c>
      <c r="N1532" s="7" t="str">
        <f t="shared" si="1552"/>
        <v/>
      </c>
      <c r="O1532" s="7" t="str">
        <f t="shared" si="1028"/>
        <v/>
      </c>
      <c r="P1532" s="7">
        <f t="shared" si="1534"/>
        <v>0</v>
      </c>
      <c r="Q1532" s="7" t="str">
        <f t="shared" si="7"/>
        <v/>
      </c>
      <c r="T1532" s="7"/>
    </row>
    <row r="1533" ht="12.75" customHeight="1">
      <c r="A1533" s="7">
        <v>1532.0</v>
      </c>
      <c r="B1533" s="7" t="s">
        <v>1261</v>
      </c>
      <c r="C1533" s="7" t="s">
        <v>4701</v>
      </c>
      <c r="D1533" s="7"/>
      <c r="E1533" s="7"/>
      <c r="F1533" s="7" t="s">
        <v>4875</v>
      </c>
      <c r="G1533" s="7" t="s">
        <v>3856</v>
      </c>
      <c r="H1533" s="7" t="s">
        <v>3606</v>
      </c>
      <c r="I1533" s="7" t="s">
        <v>3842</v>
      </c>
      <c r="J1533" s="7" t="s">
        <v>3827</v>
      </c>
      <c r="K1533" s="7" t="str">
        <f t="shared" si="2"/>
        <v/>
      </c>
      <c r="L1533" s="7" t="str">
        <f t="shared" si="1026"/>
        <v/>
      </c>
      <c r="M1533" s="7">
        <f t="shared" ref="M1533:N1533" si="1553">IF(LEN(M$1),COUNTIF($G1533:$J1533,M$1),"")</f>
        <v>0</v>
      </c>
      <c r="N1533" s="7" t="str">
        <f t="shared" si="1553"/>
        <v/>
      </c>
      <c r="O1533" s="7" t="str">
        <f t="shared" si="1028"/>
        <v/>
      </c>
      <c r="P1533" s="7">
        <f t="shared" si="1534"/>
        <v>0</v>
      </c>
      <c r="Q1533" s="7" t="str">
        <f t="shared" si="7"/>
        <v/>
      </c>
      <c r="T1533" s="7"/>
    </row>
    <row r="1534" ht="12.75" customHeight="1">
      <c r="A1534" s="7">
        <v>1533.0</v>
      </c>
      <c r="B1534" s="7" t="s">
        <v>977</v>
      </c>
      <c r="C1534" s="7" t="s">
        <v>4711</v>
      </c>
      <c r="D1534" s="7"/>
      <c r="E1534" s="7"/>
      <c r="F1534" s="7" t="s">
        <v>4875</v>
      </c>
      <c r="G1534" s="7" t="s">
        <v>3681</v>
      </c>
      <c r="H1534" s="7" t="s">
        <v>3773</v>
      </c>
      <c r="I1534" s="7" t="s">
        <v>3842</v>
      </c>
      <c r="J1534" s="7" t="s">
        <v>3698</v>
      </c>
      <c r="K1534" s="7" t="str">
        <f t="shared" si="2"/>
        <v/>
      </c>
      <c r="L1534" s="7" t="str">
        <f t="shared" si="1026"/>
        <v/>
      </c>
      <c r="M1534" s="7">
        <f t="shared" ref="M1534:N1534" si="1554">IF(LEN(M$1),COUNTIF($G1534:$J1534,M$1),"")</f>
        <v>0</v>
      </c>
      <c r="N1534" s="7" t="str">
        <f t="shared" si="1554"/>
        <v/>
      </c>
      <c r="O1534" s="7" t="str">
        <f t="shared" si="1028"/>
        <v/>
      </c>
      <c r="P1534" s="7">
        <f t="shared" si="1534"/>
        <v>0</v>
      </c>
      <c r="Q1534" s="7" t="str">
        <f t="shared" si="7"/>
        <v/>
      </c>
      <c r="T1534" s="7"/>
    </row>
    <row r="1535" ht="12.75" customHeight="1">
      <c r="A1535" s="7">
        <v>1534.0</v>
      </c>
      <c r="B1535" s="85" t="s">
        <v>1308</v>
      </c>
      <c r="C1535" s="7" t="s">
        <v>4711</v>
      </c>
      <c r="D1535" s="7"/>
      <c r="E1535" s="7"/>
      <c r="F1535" s="7" t="s">
        <v>4875</v>
      </c>
      <c r="G1535" s="7" t="s">
        <v>3764</v>
      </c>
      <c r="H1535" s="7" t="s">
        <v>3748</v>
      </c>
      <c r="I1535" s="7" t="s">
        <v>3746</v>
      </c>
      <c r="J1535" s="7" t="s">
        <v>3780</v>
      </c>
      <c r="K1535" s="7" t="str">
        <f t="shared" si="2"/>
        <v/>
      </c>
      <c r="L1535" s="7" t="str">
        <f t="shared" si="1026"/>
        <v/>
      </c>
      <c r="M1535" s="7">
        <f t="shared" ref="M1535:N1535" si="1555">IF(LEN(M$1),COUNTIF($G1535:$J1535,M$1),"")</f>
        <v>0</v>
      </c>
      <c r="N1535" s="7" t="str">
        <f t="shared" si="1555"/>
        <v/>
      </c>
      <c r="O1535" s="7" t="str">
        <f t="shared" si="1028"/>
        <v/>
      </c>
      <c r="P1535" s="7">
        <f t="shared" si="1534"/>
        <v>0</v>
      </c>
      <c r="Q1535" s="7" t="str">
        <f t="shared" si="7"/>
        <v/>
      </c>
      <c r="T1535" s="7"/>
    </row>
    <row r="1536" ht="12.75" customHeight="1">
      <c r="A1536" s="7">
        <v>1535.0</v>
      </c>
      <c r="B1536" s="7" t="s">
        <v>1315</v>
      </c>
      <c r="C1536" s="7" t="s">
        <v>4717</v>
      </c>
      <c r="D1536" s="7"/>
      <c r="E1536" s="7"/>
      <c r="F1536" s="7" t="s">
        <v>4875</v>
      </c>
      <c r="G1536" s="7" t="s">
        <v>3818</v>
      </c>
      <c r="H1536" s="7" t="s">
        <v>3609</v>
      </c>
      <c r="I1536" s="7" t="s">
        <v>3764</v>
      </c>
      <c r="J1536" s="7" t="s">
        <v>3739</v>
      </c>
      <c r="K1536" s="7" t="str">
        <f t="shared" si="2"/>
        <v/>
      </c>
      <c r="L1536" s="7" t="str">
        <f t="shared" si="1026"/>
        <v/>
      </c>
      <c r="M1536" s="7">
        <f t="shared" ref="M1536:N1536" si="1556">IF(LEN(M$1),COUNTIF($G1536:$J1536,M$1),"")</f>
        <v>0</v>
      </c>
      <c r="N1536" s="7" t="str">
        <f t="shared" si="1556"/>
        <v/>
      </c>
      <c r="O1536" s="7" t="str">
        <f t="shared" si="1028"/>
        <v/>
      </c>
      <c r="P1536" s="7">
        <f t="shared" si="1534"/>
        <v>0</v>
      </c>
      <c r="Q1536" s="7" t="str">
        <f t="shared" si="7"/>
        <v/>
      </c>
      <c r="T1536" s="7"/>
    </row>
    <row r="1537" ht="12.75" customHeight="1">
      <c r="A1537" s="7">
        <v>1536.0</v>
      </c>
      <c r="B1537" s="7" t="s">
        <v>1323</v>
      </c>
      <c r="C1537" s="7" t="s">
        <v>4717</v>
      </c>
      <c r="D1537" s="7"/>
      <c r="E1537" s="7"/>
      <c r="F1537" s="7" t="s">
        <v>4875</v>
      </c>
      <c r="G1537" s="7" t="s">
        <v>3658</v>
      </c>
      <c r="H1537" s="7" t="s">
        <v>3847</v>
      </c>
      <c r="I1537" s="7" t="s">
        <v>3833</v>
      </c>
      <c r="J1537" s="7" t="s">
        <v>3598</v>
      </c>
      <c r="K1537" s="7" t="str">
        <f t="shared" si="2"/>
        <v/>
      </c>
      <c r="L1537" s="7" t="str">
        <f t="shared" si="1026"/>
        <v/>
      </c>
      <c r="M1537" s="7">
        <f t="shared" ref="M1537:N1537" si="1557">IF(LEN(M$1),COUNTIF($G1537:$J1537,M$1),"")</f>
        <v>0</v>
      </c>
      <c r="N1537" s="7" t="str">
        <f t="shared" si="1557"/>
        <v/>
      </c>
      <c r="O1537" s="7" t="str">
        <f t="shared" si="1028"/>
        <v/>
      </c>
      <c r="P1537" s="7">
        <f t="shared" si="1534"/>
        <v>0</v>
      </c>
      <c r="Q1537" s="7" t="str">
        <f t="shared" si="7"/>
        <v/>
      </c>
      <c r="T1537" s="7"/>
    </row>
    <row r="1538" ht="12.75" customHeight="1">
      <c r="A1538" s="7">
        <v>1537.0</v>
      </c>
      <c r="B1538" s="7" t="s">
        <v>1330</v>
      </c>
      <c r="C1538" s="7" t="s">
        <v>4724</v>
      </c>
      <c r="D1538" s="7"/>
      <c r="E1538" s="7"/>
      <c r="F1538" s="7" t="s">
        <v>4875</v>
      </c>
      <c r="G1538" s="7" t="s">
        <v>3856</v>
      </c>
      <c r="H1538" s="7" t="s">
        <v>3764</v>
      </c>
      <c r="I1538" s="7" t="s">
        <v>3746</v>
      </c>
      <c r="J1538" s="7" t="s">
        <v>3731</v>
      </c>
      <c r="K1538" s="7" t="str">
        <f t="shared" si="2"/>
        <v/>
      </c>
      <c r="L1538" s="7" t="str">
        <f t="shared" si="1026"/>
        <v/>
      </c>
      <c r="M1538" s="7">
        <f t="shared" ref="M1538:N1538" si="1558">IF(LEN(M$1),COUNTIF($G1538:$J1538,M$1),"")</f>
        <v>0</v>
      </c>
      <c r="N1538" s="7" t="str">
        <f t="shared" si="1558"/>
        <v/>
      </c>
      <c r="O1538" s="7" t="str">
        <f t="shared" si="1028"/>
        <v/>
      </c>
      <c r="P1538" s="7">
        <f t="shared" si="1534"/>
        <v>0</v>
      </c>
      <c r="Q1538" s="7" t="str">
        <f t="shared" si="7"/>
        <v/>
      </c>
      <c r="T1538" s="7"/>
    </row>
    <row r="1539" ht="12.75" customHeight="1">
      <c r="A1539" s="7">
        <v>1538.0</v>
      </c>
      <c r="B1539" s="7" t="s">
        <v>1339</v>
      </c>
      <c r="C1539" s="7" t="s">
        <v>4724</v>
      </c>
      <c r="D1539" s="7"/>
      <c r="E1539" s="7"/>
      <c r="F1539" s="7" t="s">
        <v>4875</v>
      </c>
      <c r="G1539" s="7" t="s">
        <v>3769</v>
      </c>
      <c r="H1539" s="7" t="s">
        <v>3677</v>
      </c>
      <c r="I1539" s="7" t="s">
        <v>3791</v>
      </c>
      <c r="J1539" s="7" t="s">
        <v>3727</v>
      </c>
      <c r="K1539" s="7" t="str">
        <f t="shared" si="2"/>
        <v/>
      </c>
      <c r="L1539" s="7" t="str">
        <f t="shared" si="1026"/>
        <v/>
      </c>
      <c r="M1539" s="7">
        <f t="shared" ref="M1539:N1539" si="1559">IF(LEN(M$1),COUNTIF($G1539:$J1539,M$1),"")</f>
        <v>0</v>
      </c>
      <c r="N1539" s="7" t="str">
        <f t="shared" si="1559"/>
        <v/>
      </c>
      <c r="O1539" s="7" t="str">
        <f t="shared" si="1028"/>
        <v/>
      </c>
      <c r="P1539" s="7">
        <f t="shared" si="1534"/>
        <v>0</v>
      </c>
      <c r="Q1539" s="7" t="str">
        <f t="shared" si="7"/>
        <v/>
      </c>
      <c r="T1539" s="7"/>
    </row>
    <row r="1540" ht="12.75" customHeight="1">
      <c r="A1540" s="7">
        <v>1539.0</v>
      </c>
      <c r="B1540" s="7" t="s">
        <v>1347</v>
      </c>
      <c r="C1540" s="7" t="s">
        <v>4731</v>
      </c>
      <c r="D1540" s="7"/>
      <c r="E1540" s="7"/>
      <c r="F1540" s="7" t="s">
        <v>4875</v>
      </c>
      <c r="G1540" s="7" t="s">
        <v>3804</v>
      </c>
      <c r="H1540" s="7" t="s">
        <v>3665</v>
      </c>
      <c r="I1540" s="7" t="s">
        <v>3739</v>
      </c>
      <c r="J1540" s="7" t="s">
        <v>3688</v>
      </c>
      <c r="K1540" s="7" t="str">
        <f t="shared" si="2"/>
        <v/>
      </c>
      <c r="L1540" s="7" t="str">
        <f t="shared" si="1026"/>
        <v/>
      </c>
      <c r="M1540" s="7">
        <f t="shared" ref="M1540:N1540" si="1560">IF(LEN(M$1),COUNTIF($G1540:$J1540,M$1),"")</f>
        <v>0</v>
      </c>
      <c r="N1540" s="7" t="str">
        <f t="shared" si="1560"/>
        <v/>
      </c>
      <c r="O1540" s="7" t="str">
        <f t="shared" si="1028"/>
        <v/>
      </c>
      <c r="P1540" s="7">
        <f t="shared" si="1534"/>
        <v>0</v>
      </c>
      <c r="Q1540" s="7" t="str">
        <f t="shared" si="7"/>
        <v/>
      </c>
      <c r="T1540" s="7"/>
    </row>
    <row r="1541" ht="12.75" customHeight="1">
      <c r="A1541" s="7">
        <v>1540.0</v>
      </c>
      <c r="B1541" s="7" t="s">
        <v>1356</v>
      </c>
      <c r="C1541" s="7" t="s">
        <v>4731</v>
      </c>
      <c r="D1541" s="7"/>
      <c r="E1541" s="7"/>
      <c r="F1541" s="7" t="s">
        <v>4875</v>
      </c>
      <c r="G1541" s="7" t="s">
        <v>3663</v>
      </c>
      <c r="H1541" s="7" t="s">
        <v>3782</v>
      </c>
      <c r="I1541" s="7" t="s">
        <v>3748</v>
      </c>
      <c r="J1541" s="7" t="s">
        <v>3601</v>
      </c>
      <c r="K1541" s="7" t="str">
        <f t="shared" si="2"/>
        <v/>
      </c>
      <c r="L1541" s="7" t="str">
        <f t="shared" si="1026"/>
        <v/>
      </c>
      <c r="M1541" s="7">
        <f t="shared" ref="M1541:N1541" si="1561">IF(LEN(M$1),COUNTIF($G1541:$J1541,M$1),"")</f>
        <v>0</v>
      </c>
      <c r="N1541" s="7" t="str">
        <f t="shared" si="1561"/>
        <v/>
      </c>
      <c r="O1541" s="7" t="str">
        <f t="shared" si="1028"/>
        <v/>
      </c>
      <c r="P1541" s="7">
        <f t="shared" si="1534"/>
        <v>0</v>
      </c>
      <c r="Q1541" s="7" t="str">
        <f t="shared" si="7"/>
        <v/>
      </c>
      <c r="T1541" s="7"/>
    </row>
    <row r="1542" ht="12.75" customHeight="1">
      <c r="A1542" s="7">
        <v>1541.0</v>
      </c>
      <c r="B1542" s="7" t="s">
        <v>1363</v>
      </c>
      <c r="C1542" s="7" t="s">
        <v>4735</v>
      </c>
      <c r="D1542" s="7"/>
      <c r="E1542" s="7"/>
      <c r="F1542" s="7" t="s">
        <v>4875</v>
      </c>
      <c r="G1542" s="7" t="s">
        <v>3713</v>
      </c>
      <c r="H1542" s="7" t="s">
        <v>3831</v>
      </c>
      <c r="I1542" s="7" t="s">
        <v>3778</v>
      </c>
      <c r="J1542" s="7" t="s">
        <v>3598</v>
      </c>
      <c r="K1542" s="7" t="str">
        <f t="shared" si="2"/>
        <v/>
      </c>
      <c r="L1542" s="7" t="str">
        <f t="shared" si="1026"/>
        <v/>
      </c>
      <c r="M1542" s="7">
        <f t="shared" ref="M1542:N1542" si="1562">IF(LEN(M$1),COUNTIF($G1542:$J1542,M$1),"")</f>
        <v>0</v>
      </c>
      <c r="N1542" s="7" t="str">
        <f t="shared" si="1562"/>
        <v/>
      </c>
      <c r="O1542" s="7" t="str">
        <f t="shared" si="1028"/>
        <v/>
      </c>
      <c r="P1542" s="7">
        <f t="shared" si="1534"/>
        <v>0</v>
      </c>
      <c r="Q1542" s="7" t="str">
        <f t="shared" si="7"/>
        <v/>
      </c>
      <c r="T1542" s="7"/>
    </row>
    <row r="1543" ht="12.75" customHeight="1">
      <c r="A1543" s="7">
        <v>1542.0</v>
      </c>
      <c r="B1543" s="7" t="s">
        <v>1371</v>
      </c>
      <c r="C1543" s="7" t="s">
        <v>4735</v>
      </c>
      <c r="D1543" s="7"/>
      <c r="E1543" s="7"/>
      <c r="F1543" s="7" t="s">
        <v>4875</v>
      </c>
      <c r="G1543" s="7" t="s">
        <v>3821</v>
      </c>
      <c r="H1543" s="7" t="s">
        <v>3623</v>
      </c>
      <c r="I1543" s="7" t="s">
        <v>3731</v>
      </c>
      <c r="J1543" s="7" t="s">
        <v>3845</v>
      </c>
      <c r="K1543" s="7" t="str">
        <f t="shared" si="2"/>
        <v/>
      </c>
      <c r="L1543" s="7" t="str">
        <f t="shared" si="1026"/>
        <v/>
      </c>
      <c r="M1543" s="7">
        <f t="shared" ref="M1543:N1543" si="1563">IF(LEN(M$1),COUNTIF($G1543:$J1543,M$1),"")</f>
        <v>0</v>
      </c>
      <c r="N1543" s="7" t="str">
        <f t="shared" si="1563"/>
        <v/>
      </c>
      <c r="O1543" s="7" t="str">
        <f t="shared" si="1028"/>
        <v/>
      </c>
      <c r="P1543" s="7">
        <f t="shared" si="1534"/>
        <v>0</v>
      </c>
      <c r="Q1543" s="7" t="str">
        <f t="shared" si="7"/>
        <v/>
      </c>
      <c r="T1543" s="7"/>
    </row>
    <row r="1544" ht="12.75" customHeight="1">
      <c r="A1544" s="7">
        <v>1543.0</v>
      </c>
      <c r="B1544" s="7" t="s">
        <v>1379</v>
      </c>
      <c r="C1544" s="7" t="s">
        <v>4784</v>
      </c>
      <c r="D1544" s="7"/>
      <c r="E1544" s="7"/>
      <c r="F1544" s="7" t="s">
        <v>4875</v>
      </c>
      <c r="G1544" s="7" t="s">
        <v>3829</v>
      </c>
      <c r="H1544" s="7" t="s">
        <v>3627</v>
      </c>
      <c r="I1544" s="7" t="s">
        <v>3766</v>
      </c>
      <c r="J1544" s="7" t="s">
        <v>3752</v>
      </c>
      <c r="K1544" s="7" t="str">
        <f t="shared" si="2"/>
        <v/>
      </c>
      <c r="L1544" s="7" t="str">
        <f t="shared" si="1026"/>
        <v/>
      </c>
      <c r="M1544" s="7">
        <f t="shared" ref="M1544:N1544" si="1564">IF(LEN(M$1),COUNTIF($G1544:$J1544,M$1),"")</f>
        <v>0</v>
      </c>
      <c r="N1544" s="7" t="str">
        <f t="shared" si="1564"/>
        <v/>
      </c>
      <c r="O1544" s="7" t="str">
        <f t="shared" si="1028"/>
        <v/>
      </c>
      <c r="P1544" s="7">
        <f t="shared" si="1534"/>
        <v>0</v>
      </c>
      <c r="Q1544" s="7" t="str">
        <f t="shared" si="7"/>
        <v/>
      </c>
      <c r="T1544" s="7"/>
    </row>
    <row r="1545" ht="12.75" customHeight="1">
      <c r="A1545" s="7">
        <v>1544.0</v>
      </c>
      <c r="B1545" s="7" t="s">
        <v>1385</v>
      </c>
      <c r="C1545" s="7" t="s">
        <v>4784</v>
      </c>
      <c r="D1545" s="7"/>
      <c r="E1545" s="7"/>
      <c r="F1545" s="7" t="s">
        <v>4875</v>
      </c>
      <c r="G1545" s="7" t="s">
        <v>3739</v>
      </c>
      <c r="H1545" s="7" t="s">
        <v>3681</v>
      </c>
      <c r="I1545" s="7" t="s">
        <v>3766</v>
      </c>
      <c r="J1545" s="7" t="s">
        <v>3780</v>
      </c>
      <c r="K1545" s="7" t="str">
        <f t="shared" si="2"/>
        <v/>
      </c>
      <c r="L1545" s="7" t="str">
        <f t="shared" si="1026"/>
        <v/>
      </c>
      <c r="M1545" s="7">
        <f t="shared" ref="M1545:N1545" si="1565">IF(LEN(M$1),COUNTIF($G1545:$J1545,M$1),"")</f>
        <v>0</v>
      </c>
      <c r="N1545" s="7" t="str">
        <f t="shared" si="1565"/>
        <v/>
      </c>
      <c r="O1545" s="7" t="str">
        <f t="shared" si="1028"/>
        <v/>
      </c>
      <c r="P1545" s="7">
        <f t="shared" si="1534"/>
        <v>0</v>
      </c>
      <c r="Q1545" s="7" t="str">
        <f t="shared" si="7"/>
        <v/>
      </c>
      <c r="T1545" s="7"/>
    </row>
    <row r="1546" ht="12.75" customHeight="1">
      <c r="A1546" s="7">
        <v>1545.0</v>
      </c>
      <c r="B1546" s="7" t="s">
        <v>1393</v>
      </c>
      <c r="C1546" s="7" t="s">
        <v>4786</v>
      </c>
      <c r="D1546" s="7"/>
      <c r="E1546" s="7"/>
      <c r="F1546" s="7" t="s">
        <v>4875</v>
      </c>
      <c r="G1546" s="7" t="s">
        <v>3743</v>
      </c>
      <c r="H1546" s="7" t="s">
        <v>3748</v>
      </c>
      <c r="I1546" s="7" t="s">
        <v>3845</v>
      </c>
      <c r="J1546" s="7" t="s">
        <v>3796</v>
      </c>
      <c r="K1546" s="7" t="str">
        <f t="shared" si="2"/>
        <v/>
      </c>
      <c r="L1546" s="7" t="str">
        <f t="shared" si="1026"/>
        <v/>
      </c>
      <c r="M1546" s="7">
        <f t="shared" ref="M1546:N1546" si="1566">IF(LEN(M$1),COUNTIF($G1546:$J1546,M$1),"")</f>
        <v>0</v>
      </c>
      <c r="N1546" s="7" t="str">
        <f t="shared" si="1566"/>
        <v/>
      </c>
      <c r="O1546" s="7" t="str">
        <f t="shared" si="1028"/>
        <v/>
      </c>
      <c r="P1546" s="7">
        <f t="shared" si="1534"/>
        <v>0</v>
      </c>
      <c r="Q1546" s="7" t="str">
        <f t="shared" si="7"/>
        <v/>
      </c>
      <c r="T1546" s="7"/>
    </row>
    <row r="1547" ht="12.75" customHeight="1">
      <c r="A1547" s="7">
        <v>1546.0</v>
      </c>
      <c r="B1547" s="7" t="s">
        <v>1402</v>
      </c>
      <c r="C1547" s="7" t="s">
        <v>4786</v>
      </c>
      <c r="D1547" s="7"/>
      <c r="E1547" s="7"/>
      <c r="F1547" s="7" t="s">
        <v>4875</v>
      </c>
      <c r="G1547" s="7" t="s">
        <v>3842</v>
      </c>
      <c r="H1547" s="7" t="s">
        <v>3755</v>
      </c>
      <c r="I1547" s="7" t="s">
        <v>3750</v>
      </c>
      <c r="J1547" s="7" t="s">
        <v>3741</v>
      </c>
      <c r="K1547" s="7" t="str">
        <f t="shared" si="2"/>
        <v/>
      </c>
      <c r="L1547" s="7" t="str">
        <f t="shared" si="1026"/>
        <v/>
      </c>
      <c r="M1547" s="7">
        <f t="shared" ref="M1547:N1547" si="1567">IF(LEN(M$1),COUNTIF($G1547:$J1547,M$1),"")</f>
        <v>0</v>
      </c>
      <c r="N1547" s="7" t="str">
        <f t="shared" si="1567"/>
        <v/>
      </c>
      <c r="O1547" s="7" t="str">
        <f t="shared" si="1028"/>
        <v/>
      </c>
      <c r="P1547" s="7">
        <f t="shared" si="1534"/>
        <v>0</v>
      </c>
      <c r="Q1547" s="7" t="str">
        <f t="shared" si="7"/>
        <v/>
      </c>
      <c r="T1547" s="7"/>
    </row>
    <row r="1548" ht="12.75" customHeight="1">
      <c r="A1548" s="7">
        <v>1547.0</v>
      </c>
      <c r="B1548" s="7" t="s">
        <v>1375</v>
      </c>
      <c r="C1548" s="7" t="s">
        <v>4848</v>
      </c>
      <c r="D1548" s="7"/>
      <c r="E1548" s="7"/>
      <c r="F1548" s="7" t="s">
        <v>4875</v>
      </c>
      <c r="G1548" s="7" t="s">
        <v>3815</v>
      </c>
      <c r="H1548" s="7" t="s">
        <v>3845</v>
      </c>
      <c r="I1548" s="7" t="s">
        <v>3810</v>
      </c>
      <c r="J1548" s="7" t="s">
        <v>3823</v>
      </c>
      <c r="K1548" s="7" t="str">
        <f t="shared" si="2"/>
        <v/>
      </c>
      <c r="L1548" s="7" t="str">
        <f t="shared" si="1026"/>
        <v/>
      </c>
      <c r="M1548" s="7">
        <f t="shared" ref="M1548:N1548" si="1568">IF(LEN(M$1),COUNTIF($G1548:$J1548,M$1),"")</f>
        <v>0</v>
      </c>
      <c r="N1548" s="7" t="str">
        <f t="shared" si="1568"/>
        <v/>
      </c>
      <c r="O1548" s="7" t="str">
        <f t="shared" si="1028"/>
        <v/>
      </c>
      <c r="P1548" s="7">
        <f t="shared" si="1534"/>
        <v>0</v>
      </c>
      <c r="Q1548" s="7" t="str">
        <f t="shared" si="7"/>
        <v/>
      </c>
      <c r="T1548" s="7"/>
    </row>
    <row r="1549" ht="12.75" customHeight="1">
      <c r="A1549" s="7">
        <v>1548.0</v>
      </c>
      <c r="B1549" s="7" t="s">
        <v>1375</v>
      </c>
      <c r="C1549" s="7" t="s">
        <v>4848</v>
      </c>
      <c r="D1549" s="7"/>
      <c r="E1549" s="7"/>
      <c r="F1549" s="7" t="s">
        <v>4875</v>
      </c>
      <c r="G1549" s="7" t="s">
        <v>3669</v>
      </c>
      <c r="H1549" s="7" t="s">
        <v>3741</v>
      </c>
      <c r="I1549" s="7" t="s">
        <v>3798</v>
      </c>
      <c r="J1549" s="7" t="s">
        <v>3693</v>
      </c>
      <c r="K1549" s="7" t="str">
        <f t="shared" si="2"/>
        <v/>
      </c>
      <c r="L1549" s="7" t="str">
        <f t="shared" si="1026"/>
        <v/>
      </c>
      <c r="M1549" s="7">
        <f t="shared" ref="M1549:N1549" si="1569">IF(LEN(M$1),COUNTIF($G1549:$J1549,M$1),"")</f>
        <v>0</v>
      </c>
      <c r="N1549" s="7" t="str">
        <f t="shared" si="1569"/>
        <v/>
      </c>
      <c r="O1549" s="7" t="str">
        <f t="shared" si="1028"/>
        <v/>
      </c>
      <c r="P1549" s="7">
        <f t="shared" si="1534"/>
        <v>0</v>
      </c>
      <c r="Q1549" s="7" t="str">
        <f t="shared" si="7"/>
        <v/>
      </c>
      <c r="T1549" s="7"/>
    </row>
    <row r="1550" ht="12.75" customHeight="1">
      <c r="A1550" s="7">
        <v>1549.0</v>
      </c>
      <c r="B1550" s="7" t="s">
        <v>1417</v>
      </c>
      <c r="C1550" s="7" t="s">
        <v>4848</v>
      </c>
      <c r="D1550" s="7"/>
      <c r="E1550" s="7"/>
      <c r="F1550" s="7" t="s">
        <v>4875</v>
      </c>
      <c r="G1550" s="7" t="s">
        <v>3658</v>
      </c>
      <c r="H1550" s="7" t="s">
        <v>3833</v>
      </c>
      <c r="I1550" s="7" t="s">
        <v>3789</v>
      </c>
      <c r="J1550" s="7" t="s">
        <v>3671</v>
      </c>
      <c r="K1550" s="7" t="str">
        <f t="shared" si="2"/>
        <v/>
      </c>
      <c r="L1550" s="7" t="str">
        <f t="shared" si="1026"/>
        <v/>
      </c>
      <c r="M1550" s="7">
        <f t="shared" ref="M1550:N1550" si="1570">IF(LEN(M$1),COUNTIF($G1550:$J1550,M$1),"")</f>
        <v>0</v>
      </c>
      <c r="N1550" s="7" t="str">
        <f t="shared" si="1570"/>
        <v/>
      </c>
      <c r="O1550" s="7" t="str">
        <f t="shared" si="1028"/>
        <v/>
      </c>
      <c r="P1550" s="7">
        <f t="shared" si="1534"/>
        <v>0</v>
      </c>
      <c r="Q1550" s="7" t="str">
        <f t="shared" si="7"/>
        <v/>
      </c>
      <c r="T1550" s="7"/>
    </row>
    <row r="1551" ht="12.75" customHeight="1">
      <c r="A1551" s="7">
        <v>1550.0</v>
      </c>
      <c r="B1551" s="7" t="s">
        <v>1417</v>
      </c>
      <c r="C1551" s="7" t="s">
        <v>4848</v>
      </c>
      <c r="D1551" s="7"/>
      <c r="E1551" s="7"/>
      <c r="F1551" s="7" t="s">
        <v>4875</v>
      </c>
      <c r="G1551" s="7" t="s">
        <v>3780</v>
      </c>
      <c r="H1551" s="7" t="s">
        <v>3794</v>
      </c>
      <c r="I1551" s="7" t="s">
        <v>3764</v>
      </c>
      <c r="J1551" s="7" t="s">
        <v>3810</v>
      </c>
      <c r="K1551" s="7" t="str">
        <f t="shared" si="2"/>
        <v/>
      </c>
      <c r="L1551" s="7" t="str">
        <f t="shared" si="1026"/>
        <v/>
      </c>
      <c r="M1551" s="7">
        <f t="shared" ref="M1551:N1551" si="1571">IF(LEN(M$1),COUNTIF($G1551:$J1551,M$1),"")</f>
        <v>0</v>
      </c>
      <c r="N1551" s="7" t="str">
        <f t="shared" si="1571"/>
        <v/>
      </c>
      <c r="O1551" s="7" t="str">
        <f t="shared" si="1028"/>
        <v/>
      </c>
      <c r="P1551" s="7">
        <f t="shared" si="1534"/>
        <v>0</v>
      </c>
      <c r="Q1551" s="7" t="str">
        <f t="shared" si="7"/>
        <v/>
      </c>
      <c r="T1551" s="7"/>
    </row>
    <row r="1552" ht="12.75" customHeight="1">
      <c r="A1552" s="7">
        <v>1551.0</v>
      </c>
      <c r="B1552" s="7" t="s">
        <v>1424</v>
      </c>
      <c r="C1552" s="7" t="s">
        <v>4758</v>
      </c>
      <c r="D1552" s="7"/>
      <c r="E1552" s="7"/>
      <c r="F1552" s="7" t="s">
        <v>4875</v>
      </c>
      <c r="G1552" s="7" t="s">
        <v>3806</v>
      </c>
      <c r="H1552" s="7" t="s">
        <v>3693</v>
      </c>
      <c r="I1552" s="7" t="s">
        <v>3821</v>
      </c>
      <c r="J1552" s="7" t="s">
        <v>3755</v>
      </c>
      <c r="K1552" s="7" t="str">
        <f t="shared" si="2"/>
        <v/>
      </c>
      <c r="L1552" s="7" t="str">
        <f t="shared" si="1026"/>
        <v/>
      </c>
      <c r="M1552" s="7">
        <f t="shared" ref="M1552:N1552" si="1572">IF(LEN(M$1),COUNTIF($G1552:$J1552,M$1),"")</f>
        <v>0</v>
      </c>
      <c r="N1552" s="7" t="str">
        <f t="shared" si="1572"/>
        <v/>
      </c>
      <c r="O1552" s="7" t="str">
        <f t="shared" si="1028"/>
        <v/>
      </c>
      <c r="P1552" s="7">
        <f t="shared" si="1534"/>
        <v>0</v>
      </c>
      <c r="Q1552" s="7" t="str">
        <f t="shared" si="7"/>
        <v/>
      </c>
      <c r="T1552" s="7"/>
    </row>
    <row r="1553" ht="12.75" customHeight="1">
      <c r="A1553" s="7">
        <v>1552.0</v>
      </c>
      <c r="B1553" s="7" t="s">
        <v>1424</v>
      </c>
      <c r="C1553" s="7" t="s">
        <v>4758</v>
      </c>
      <c r="D1553" s="7"/>
      <c r="E1553" s="7"/>
      <c r="F1553" s="7" t="s">
        <v>4875</v>
      </c>
      <c r="G1553" s="7" t="s">
        <v>3801</v>
      </c>
      <c r="H1553" s="7" t="s">
        <v>3752</v>
      </c>
      <c r="I1553" s="7" t="s">
        <v>3757</v>
      </c>
      <c r="J1553" s="7" t="s">
        <v>3821</v>
      </c>
      <c r="K1553" s="7" t="str">
        <f t="shared" si="2"/>
        <v/>
      </c>
      <c r="L1553" s="7" t="str">
        <f t="shared" si="1026"/>
        <v/>
      </c>
      <c r="M1553" s="7">
        <f t="shared" ref="M1553:N1553" si="1573">IF(LEN(M$1),COUNTIF($G1553:$J1553,M$1),"")</f>
        <v>0</v>
      </c>
      <c r="N1553" s="7" t="str">
        <f t="shared" si="1573"/>
        <v/>
      </c>
      <c r="O1553" s="7" t="str">
        <f t="shared" si="1028"/>
        <v/>
      </c>
      <c r="P1553" s="7">
        <f t="shared" si="1534"/>
        <v>0</v>
      </c>
      <c r="Q1553" s="7" t="str">
        <f t="shared" si="7"/>
        <v/>
      </c>
      <c r="T1553" s="7"/>
    </row>
    <row r="1554" ht="12.75" customHeight="1">
      <c r="A1554" s="7">
        <v>1553.0</v>
      </c>
      <c r="B1554" s="7" t="s">
        <v>1433</v>
      </c>
      <c r="C1554" s="7" t="s">
        <v>4758</v>
      </c>
      <c r="D1554" s="7"/>
      <c r="E1554" s="7"/>
      <c r="F1554" s="7" t="s">
        <v>4875</v>
      </c>
      <c r="G1554" s="7" t="s">
        <v>3703</v>
      </c>
      <c r="H1554" s="7" t="s">
        <v>3778</v>
      </c>
      <c r="I1554" s="7" t="s">
        <v>3854</v>
      </c>
      <c r="J1554" s="7" t="s">
        <v>3620</v>
      </c>
      <c r="K1554" s="7" t="str">
        <f t="shared" si="2"/>
        <v/>
      </c>
      <c r="L1554" s="7" t="str">
        <f t="shared" si="1026"/>
        <v/>
      </c>
      <c r="M1554" s="7">
        <f t="shared" ref="M1554:N1554" si="1574">IF(LEN(M$1),COUNTIF($G1554:$J1554,M$1),"")</f>
        <v>0</v>
      </c>
      <c r="N1554" s="7" t="str">
        <f t="shared" si="1574"/>
        <v/>
      </c>
      <c r="O1554" s="7" t="str">
        <f t="shared" si="1028"/>
        <v/>
      </c>
      <c r="P1554" s="7">
        <f t="shared" si="1534"/>
        <v>0</v>
      </c>
      <c r="Q1554" s="7" t="str">
        <f t="shared" si="7"/>
        <v/>
      </c>
      <c r="T1554" s="7"/>
    </row>
    <row r="1555" ht="12.75" customHeight="1">
      <c r="A1555" s="7">
        <v>1554.0</v>
      </c>
      <c r="B1555" s="7" t="s">
        <v>1433</v>
      </c>
      <c r="C1555" s="7" t="s">
        <v>4758</v>
      </c>
      <c r="D1555" s="7"/>
      <c r="E1555" s="7"/>
      <c r="F1555" s="7" t="s">
        <v>4875</v>
      </c>
      <c r="G1555" s="7" t="s">
        <v>3791</v>
      </c>
      <c r="H1555" s="7" t="s">
        <v>3679</v>
      </c>
      <c r="I1555" s="7" t="s">
        <v>3737</v>
      </c>
      <c r="J1555" s="7" t="s">
        <v>3813</v>
      </c>
      <c r="K1555" s="7" t="str">
        <f t="shared" si="2"/>
        <v/>
      </c>
      <c r="L1555" s="7" t="str">
        <f t="shared" si="1026"/>
        <v/>
      </c>
      <c r="M1555" s="7">
        <f t="shared" ref="M1555:N1555" si="1575">IF(LEN(M$1),COUNTIF($G1555:$J1555,M$1),"")</f>
        <v>0</v>
      </c>
      <c r="N1555" s="7" t="str">
        <f t="shared" si="1575"/>
        <v/>
      </c>
      <c r="O1555" s="7" t="str">
        <f t="shared" si="1028"/>
        <v/>
      </c>
      <c r="P1555" s="7">
        <f t="shared" si="1534"/>
        <v>0</v>
      </c>
      <c r="Q1555" s="7" t="str">
        <f t="shared" si="7"/>
        <v/>
      </c>
      <c r="T1555" s="7"/>
    </row>
    <row r="1556" ht="12.75" customHeight="1">
      <c r="A1556" s="7">
        <v>1555.0</v>
      </c>
      <c r="B1556" s="7" t="s">
        <v>1317</v>
      </c>
      <c r="C1556" s="7" t="s">
        <v>4815</v>
      </c>
      <c r="D1556" s="7"/>
      <c r="E1556" s="7"/>
      <c r="F1556" s="7" t="s">
        <v>4875</v>
      </c>
      <c r="G1556" s="7" t="s">
        <v>3829</v>
      </c>
      <c r="H1556" s="7" t="s">
        <v>3823</v>
      </c>
      <c r="I1556" s="7" t="s">
        <v>3731</v>
      </c>
      <c r="J1556" s="7" t="s">
        <v>3818</v>
      </c>
      <c r="K1556" s="7" t="str">
        <f t="shared" si="2"/>
        <v/>
      </c>
      <c r="L1556" s="7" t="str">
        <f t="shared" si="1026"/>
        <v/>
      </c>
      <c r="M1556" s="7">
        <f t="shared" ref="M1556:N1556" si="1576">IF(LEN(M$1),COUNTIF($G1556:$J1556,M$1),"")</f>
        <v>0</v>
      </c>
      <c r="N1556" s="7" t="str">
        <f t="shared" si="1576"/>
        <v/>
      </c>
      <c r="O1556" s="7" t="str">
        <f t="shared" si="1028"/>
        <v/>
      </c>
      <c r="P1556" s="7">
        <f t="shared" si="1534"/>
        <v>0</v>
      </c>
      <c r="Q1556" s="7" t="str">
        <f t="shared" si="7"/>
        <v/>
      </c>
      <c r="T1556" s="7"/>
    </row>
    <row r="1557" ht="12.75" customHeight="1">
      <c r="A1557" s="7">
        <v>1556.0</v>
      </c>
      <c r="B1557" s="7" t="s">
        <v>1317</v>
      </c>
      <c r="C1557" s="7" t="s">
        <v>4815</v>
      </c>
      <c r="D1557" s="7"/>
      <c r="E1557" s="7"/>
      <c r="F1557" s="7" t="s">
        <v>4875</v>
      </c>
      <c r="G1557" s="7" t="s">
        <v>3647</v>
      </c>
      <c r="H1557" s="7" t="s">
        <v>3782</v>
      </c>
      <c r="I1557" s="7" t="s">
        <v>3813</v>
      </c>
      <c r="J1557" s="7" t="s">
        <v>3598</v>
      </c>
      <c r="K1557" s="7" t="str">
        <f t="shared" si="2"/>
        <v/>
      </c>
      <c r="L1557" s="7" t="str">
        <f t="shared" si="1026"/>
        <v/>
      </c>
      <c r="M1557" s="7">
        <f t="shared" ref="M1557:N1557" si="1577">IF(LEN(M$1),COUNTIF($G1557:$J1557,M$1),"")</f>
        <v>0</v>
      </c>
      <c r="N1557" s="7" t="str">
        <f t="shared" si="1577"/>
        <v/>
      </c>
      <c r="O1557" s="7" t="str">
        <f t="shared" si="1028"/>
        <v/>
      </c>
      <c r="P1557" s="7">
        <f t="shared" si="1534"/>
        <v>0</v>
      </c>
      <c r="Q1557" s="7" t="str">
        <f t="shared" si="7"/>
        <v/>
      </c>
      <c r="T1557" s="7"/>
    </row>
    <row r="1558" ht="12.75" customHeight="1">
      <c r="A1558" s="7">
        <v>1557.0</v>
      </c>
      <c r="B1558" s="7" t="s">
        <v>1445</v>
      </c>
      <c r="C1558" s="7" t="s">
        <v>4815</v>
      </c>
      <c r="D1558" s="7"/>
      <c r="E1558" s="7"/>
      <c r="F1558" s="7" t="s">
        <v>4875</v>
      </c>
      <c r="G1558" s="7" t="s">
        <v>3778</v>
      </c>
      <c r="H1558" s="7" t="s">
        <v>3796</v>
      </c>
      <c r="I1558" s="7" t="s">
        <v>3748</v>
      </c>
      <c r="J1558" s="7" t="s">
        <v>3773</v>
      </c>
      <c r="K1558" s="7" t="str">
        <f t="shared" si="2"/>
        <v/>
      </c>
      <c r="L1558" s="7" t="str">
        <f t="shared" si="1026"/>
        <v/>
      </c>
      <c r="M1558" s="7">
        <f t="shared" ref="M1558:N1558" si="1578">IF(LEN(M$1),COUNTIF($G1558:$J1558,M$1),"")</f>
        <v>0</v>
      </c>
      <c r="N1558" s="7" t="str">
        <f t="shared" si="1578"/>
        <v/>
      </c>
      <c r="O1558" s="7" t="str">
        <f t="shared" si="1028"/>
        <v/>
      </c>
      <c r="P1558" s="7">
        <f t="shared" si="1534"/>
        <v>0</v>
      </c>
      <c r="Q1558" s="7" t="str">
        <f t="shared" si="7"/>
        <v/>
      </c>
    </row>
    <row r="1559" ht="12.75" customHeight="1">
      <c r="A1559" s="7">
        <v>1558.0</v>
      </c>
      <c r="B1559" s="7" t="s">
        <v>1445</v>
      </c>
      <c r="C1559" s="7" t="s">
        <v>4815</v>
      </c>
      <c r="D1559" s="7"/>
      <c r="E1559" s="7"/>
      <c r="F1559" s="7" t="s">
        <v>4875</v>
      </c>
      <c r="G1559" s="7" t="s">
        <v>3821</v>
      </c>
      <c r="H1559" s="7" t="s">
        <v>3823</v>
      </c>
      <c r="I1559" s="7" t="s">
        <v>3827</v>
      </c>
      <c r="J1559" s="7" t="s">
        <v>3810</v>
      </c>
      <c r="K1559" s="7" t="str">
        <f t="shared" si="2"/>
        <v/>
      </c>
      <c r="L1559" s="7" t="str">
        <f t="shared" si="1026"/>
        <v/>
      </c>
      <c r="M1559" s="7">
        <f t="shared" ref="M1559:N1559" si="1579">IF(LEN(M$1),COUNTIF($G1559:$J1559,M$1),"")</f>
        <v>0</v>
      </c>
      <c r="N1559" s="7" t="str">
        <f t="shared" si="1579"/>
        <v/>
      </c>
      <c r="O1559" s="7" t="str">
        <f t="shared" si="1028"/>
        <v/>
      </c>
      <c r="P1559" s="7">
        <f t="shared" si="1534"/>
        <v>0</v>
      </c>
      <c r="Q1559" s="7" t="str">
        <f t="shared" si="7"/>
        <v/>
      </c>
    </row>
    <row r="1560" ht="12.75" customHeight="1">
      <c r="A1560" s="7">
        <v>1559.0</v>
      </c>
      <c r="B1560" s="7" t="s">
        <v>1453</v>
      </c>
      <c r="C1560" s="7" t="s">
        <v>4791</v>
      </c>
      <c r="D1560" s="7"/>
      <c r="E1560" s="7"/>
      <c r="F1560" s="7" t="s">
        <v>4875</v>
      </c>
      <c r="G1560" s="7" t="s">
        <v>3734</v>
      </c>
      <c r="H1560" s="7" t="s">
        <v>3698</v>
      </c>
      <c r="I1560" s="7" t="s">
        <v>3829</v>
      </c>
      <c r="J1560" s="7" t="s">
        <v>3606</v>
      </c>
      <c r="K1560" s="7" t="str">
        <f t="shared" si="2"/>
        <v/>
      </c>
      <c r="L1560" s="7" t="str">
        <f t="shared" si="1026"/>
        <v/>
      </c>
      <c r="M1560" s="7">
        <f t="shared" ref="M1560:N1560" si="1580">IF(LEN(M$1),COUNTIF($G1560:$J1560,M$1),"")</f>
        <v>0</v>
      </c>
      <c r="N1560" s="7" t="str">
        <f t="shared" si="1580"/>
        <v/>
      </c>
      <c r="O1560" s="7" t="str">
        <f t="shared" si="1028"/>
        <v/>
      </c>
      <c r="P1560" s="7">
        <f t="shared" si="1534"/>
        <v>0</v>
      </c>
      <c r="Q1560" s="7" t="str">
        <f t="shared" si="7"/>
        <v/>
      </c>
    </row>
    <row r="1561" ht="12.75" customHeight="1">
      <c r="A1561" s="7">
        <v>1560.0</v>
      </c>
      <c r="B1561" s="7" t="s">
        <v>1453</v>
      </c>
      <c r="C1561" s="7" t="s">
        <v>4791</v>
      </c>
      <c r="D1561" s="7"/>
      <c r="E1561" s="7"/>
      <c r="F1561" s="7" t="s">
        <v>4875</v>
      </c>
      <c r="G1561" s="7" t="s">
        <v>3752</v>
      </c>
      <c r="H1561" s="7" t="s">
        <v>3755</v>
      </c>
      <c r="I1561" s="7" t="s">
        <v>3806</v>
      </c>
      <c r="J1561" s="7" t="s">
        <v>3780</v>
      </c>
      <c r="K1561" s="7" t="str">
        <f t="shared" si="2"/>
        <v/>
      </c>
      <c r="L1561" s="7" t="str">
        <f t="shared" si="1026"/>
        <v/>
      </c>
      <c r="M1561" s="7">
        <f t="shared" ref="M1561:N1561" si="1581">IF(LEN(M$1),COUNTIF($G1561:$J1561,M$1),"")</f>
        <v>0</v>
      </c>
      <c r="N1561" s="7" t="str">
        <f t="shared" si="1581"/>
        <v/>
      </c>
      <c r="O1561" s="7" t="str">
        <f t="shared" si="1028"/>
        <v/>
      </c>
      <c r="P1561" s="7">
        <f t="shared" si="1534"/>
        <v>0</v>
      </c>
      <c r="Q1561" s="7" t="str">
        <f t="shared" si="7"/>
        <v/>
      </c>
      <c r="T1561" s="7"/>
    </row>
    <row r="1562" ht="12.75" customHeight="1">
      <c r="A1562" s="7">
        <v>1561.0</v>
      </c>
      <c r="B1562" s="7" t="s">
        <v>1461</v>
      </c>
      <c r="C1562" s="7" t="s">
        <v>4791</v>
      </c>
      <c r="D1562" s="7"/>
      <c r="E1562" s="7"/>
      <c r="F1562" s="7" t="s">
        <v>4875</v>
      </c>
      <c r="G1562" s="7" t="s">
        <v>3769</v>
      </c>
      <c r="H1562" s="7" t="s">
        <v>3737</v>
      </c>
      <c r="I1562" s="7" t="s">
        <v>3833</v>
      </c>
      <c r="J1562" s="7" t="s">
        <v>3771</v>
      </c>
      <c r="K1562" s="7" t="str">
        <f t="shared" si="2"/>
        <v/>
      </c>
      <c r="L1562" s="7" t="str">
        <f t="shared" si="1026"/>
        <v/>
      </c>
      <c r="M1562" s="7">
        <f t="shared" ref="M1562:N1562" si="1582">IF(LEN(M$1),COUNTIF($G1562:$J1562,M$1),"")</f>
        <v>0</v>
      </c>
      <c r="N1562" s="7" t="str">
        <f t="shared" si="1582"/>
        <v/>
      </c>
      <c r="O1562" s="7" t="str">
        <f t="shared" si="1028"/>
        <v/>
      </c>
      <c r="P1562" s="7">
        <f t="shared" si="1534"/>
        <v>0</v>
      </c>
      <c r="Q1562" s="7" t="str">
        <f t="shared" si="7"/>
        <v/>
      </c>
      <c r="T1562" s="7"/>
    </row>
    <row r="1563" ht="12.75" customHeight="1">
      <c r="A1563" s="7">
        <v>1562.0</v>
      </c>
      <c r="B1563" s="7" t="s">
        <v>1461</v>
      </c>
      <c r="C1563" s="7" t="s">
        <v>4791</v>
      </c>
      <c r="D1563" s="7"/>
      <c r="E1563" s="7"/>
      <c r="F1563" s="7" t="s">
        <v>4875</v>
      </c>
      <c r="G1563" s="7" t="s">
        <v>3796</v>
      </c>
      <c r="H1563" s="7" t="s">
        <v>3711</v>
      </c>
      <c r="I1563" s="7" t="s">
        <v>3845</v>
      </c>
      <c r="J1563" s="7" t="s">
        <v>3780</v>
      </c>
      <c r="K1563" s="7" t="str">
        <f t="shared" si="2"/>
        <v/>
      </c>
      <c r="L1563" s="7" t="str">
        <f t="shared" si="1026"/>
        <v/>
      </c>
      <c r="M1563" s="7">
        <f t="shared" ref="M1563:N1563" si="1583">IF(LEN(M$1),COUNTIF($G1563:$J1563,M$1),"")</f>
        <v>0</v>
      </c>
      <c r="N1563" s="7" t="str">
        <f t="shared" si="1583"/>
        <v/>
      </c>
      <c r="O1563" s="7" t="str">
        <f t="shared" si="1028"/>
        <v/>
      </c>
      <c r="P1563" s="7">
        <f t="shared" si="1534"/>
        <v>0</v>
      </c>
      <c r="Q1563" s="7" t="str">
        <f t="shared" si="7"/>
        <v/>
      </c>
      <c r="T1563" s="7"/>
    </row>
    <row r="1564" ht="12.75" customHeight="1">
      <c r="A1564" s="7">
        <v>1563.0</v>
      </c>
      <c r="B1564" s="7" t="s">
        <v>1468</v>
      </c>
      <c r="C1564" s="7" t="s">
        <v>4793</v>
      </c>
      <c r="D1564" s="7"/>
      <c r="E1564" s="7"/>
      <c r="F1564" s="7" t="s">
        <v>4875</v>
      </c>
      <c r="G1564" s="7" t="s">
        <v>3789</v>
      </c>
      <c r="H1564" s="7" t="s">
        <v>3773</v>
      </c>
      <c r="I1564" s="7" t="s">
        <v>3769</v>
      </c>
      <c r="J1564" s="7" t="s">
        <v>3766</v>
      </c>
      <c r="K1564" s="7" t="str">
        <f t="shared" si="2"/>
        <v/>
      </c>
      <c r="L1564" s="7" t="str">
        <f t="shared" si="1026"/>
        <v/>
      </c>
      <c r="M1564" s="7">
        <f t="shared" ref="M1564:N1564" si="1584">IF(LEN(M$1),COUNTIF($G1564:$J1564,M$1),"")</f>
        <v>0</v>
      </c>
      <c r="N1564" s="7" t="str">
        <f t="shared" si="1584"/>
        <v/>
      </c>
      <c r="O1564" s="7" t="str">
        <f t="shared" si="1028"/>
        <v/>
      </c>
      <c r="P1564" s="7">
        <f t="shared" si="1534"/>
        <v>0</v>
      </c>
      <c r="Q1564" s="7" t="str">
        <f t="shared" si="7"/>
        <v/>
      </c>
      <c r="T1564" s="7"/>
    </row>
    <row r="1565" ht="12.75" customHeight="1">
      <c r="A1565" s="7">
        <v>1564.0</v>
      </c>
      <c r="B1565" s="7" t="s">
        <v>1468</v>
      </c>
      <c r="C1565" s="7" t="s">
        <v>4793</v>
      </c>
      <c r="D1565" s="7"/>
      <c r="E1565" s="7"/>
      <c r="F1565" s="7" t="s">
        <v>4875</v>
      </c>
      <c r="G1565" s="7" t="s">
        <v>3833</v>
      </c>
      <c r="H1565" s="7" t="s">
        <v>3722</v>
      </c>
      <c r="I1565" s="7" t="s">
        <v>3750</v>
      </c>
      <c r="J1565" s="7" t="s">
        <v>3643</v>
      </c>
      <c r="K1565" s="7" t="str">
        <f t="shared" si="2"/>
        <v/>
      </c>
      <c r="L1565" s="7" t="str">
        <f t="shared" si="1026"/>
        <v/>
      </c>
      <c r="M1565" s="7">
        <f t="shared" ref="M1565:N1565" si="1585">IF(LEN(M$1),COUNTIF($G1565:$J1565,M$1),"")</f>
        <v>0</v>
      </c>
      <c r="N1565" s="7" t="str">
        <f t="shared" si="1585"/>
        <v/>
      </c>
      <c r="O1565" s="7" t="str">
        <f t="shared" si="1028"/>
        <v/>
      </c>
      <c r="P1565" s="7">
        <f t="shared" si="1534"/>
        <v>0</v>
      </c>
      <c r="Q1565" s="7" t="str">
        <f t="shared" si="7"/>
        <v/>
      </c>
      <c r="T1565" s="7"/>
    </row>
    <row r="1566" ht="12.75" customHeight="1">
      <c r="A1566" s="7">
        <v>1565.0</v>
      </c>
      <c r="B1566" s="7" t="s">
        <v>1477</v>
      </c>
      <c r="C1566" s="7" t="s">
        <v>4793</v>
      </c>
      <c r="D1566" s="7"/>
      <c r="E1566" s="7"/>
      <c r="F1566" s="7" t="s">
        <v>4875</v>
      </c>
      <c r="G1566" s="7" t="s">
        <v>3598</v>
      </c>
      <c r="H1566" s="7" t="s">
        <v>3771</v>
      </c>
      <c r="I1566" s="7" t="s">
        <v>3731</v>
      </c>
      <c r="J1566" s="7" t="s">
        <v>3591</v>
      </c>
      <c r="K1566" s="7" t="str">
        <f t="shared" si="2"/>
        <v/>
      </c>
      <c r="L1566" s="7" t="str">
        <f t="shared" si="1026"/>
        <v/>
      </c>
      <c r="M1566" s="7">
        <f t="shared" ref="M1566:N1566" si="1586">IF(LEN(M$1),COUNTIF($G1566:$J1566,M$1),"")</f>
        <v>0</v>
      </c>
      <c r="N1566" s="7" t="str">
        <f t="shared" si="1586"/>
        <v/>
      </c>
      <c r="O1566" s="7" t="str">
        <f t="shared" si="1028"/>
        <v/>
      </c>
      <c r="P1566" s="7">
        <f t="shared" si="1534"/>
        <v>0</v>
      </c>
      <c r="Q1566" s="7" t="str">
        <f t="shared" si="7"/>
        <v/>
      </c>
      <c r="T1566" s="7"/>
    </row>
    <row r="1567" ht="12.75" customHeight="1">
      <c r="A1567" s="7">
        <v>1566.0</v>
      </c>
      <c r="B1567" s="7" t="s">
        <v>1477</v>
      </c>
      <c r="C1567" s="7" t="s">
        <v>4793</v>
      </c>
      <c r="D1567" s="7"/>
      <c r="E1567" s="7"/>
      <c r="F1567" s="7" t="s">
        <v>4875</v>
      </c>
      <c r="G1567" s="7" t="s">
        <v>3690</v>
      </c>
      <c r="H1567" s="7" t="s">
        <v>3743</v>
      </c>
      <c r="I1567" s="7" t="s">
        <v>3757</v>
      </c>
      <c r="J1567" s="7" t="s">
        <v>3693</v>
      </c>
      <c r="K1567" s="7" t="str">
        <f t="shared" si="2"/>
        <v/>
      </c>
      <c r="L1567" s="7" t="str">
        <f t="shared" si="1026"/>
        <v/>
      </c>
      <c r="M1567" s="7">
        <f t="shared" ref="M1567:N1567" si="1587">IF(LEN(M$1),COUNTIF($G1567:$J1567,M$1),"")</f>
        <v>0</v>
      </c>
      <c r="N1567" s="7" t="str">
        <f t="shared" si="1587"/>
        <v/>
      </c>
      <c r="O1567" s="7" t="str">
        <f t="shared" si="1028"/>
        <v/>
      </c>
      <c r="P1567" s="7">
        <f t="shared" si="1534"/>
        <v>0</v>
      </c>
      <c r="Q1567" s="7" t="str">
        <f t="shared" si="7"/>
        <v/>
      </c>
      <c r="T1567" s="7"/>
    </row>
    <row r="1568" ht="12.75" customHeight="1">
      <c r="A1568" s="7">
        <v>1567.0</v>
      </c>
      <c r="B1568" s="7" t="s">
        <v>1486</v>
      </c>
      <c r="C1568" s="7" t="s">
        <v>4795</v>
      </c>
      <c r="D1568" s="7"/>
      <c r="E1568" s="7"/>
      <c r="F1568" s="7" t="s">
        <v>4875</v>
      </c>
      <c r="G1568" s="7" t="s">
        <v>3703</v>
      </c>
      <c r="H1568" s="7" t="s">
        <v>3782</v>
      </c>
      <c r="I1568" s="7" t="s">
        <v>3804</v>
      </c>
      <c r="J1568" s="7" t="s">
        <v>3585</v>
      </c>
      <c r="K1568" s="7" t="str">
        <f t="shared" si="2"/>
        <v/>
      </c>
      <c r="L1568" s="7" t="str">
        <f t="shared" si="1026"/>
        <v/>
      </c>
      <c r="M1568" s="7">
        <f t="shared" ref="M1568:N1568" si="1588">IF(LEN(M$1),COUNTIF($G1568:$J1568,M$1),"")</f>
        <v>0</v>
      </c>
      <c r="N1568" s="7" t="str">
        <f t="shared" si="1588"/>
        <v/>
      </c>
      <c r="O1568" s="7" t="str">
        <f t="shared" si="1028"/>
        <v/>
      </c>
      <c r="P1568" s="7">
        <f t="shared" si="1534"/>
        <v>0</v>
      </c>
      <c r="Q1568" s="7" t="str">
        <f t="shared" si="7"/>
        <v/>
      </c>
      <c r="T1568" s="7"/>
    </row>
    <row r="1569" ht="12.75" customHeight="1">
      <c r="A1569" s="7">
        <v>1568.0</v>
      </c>
      <c r="B1569" s="7" t="s">
        <v>1486</v>
      </c>
      <c r="C1569" s="7" t="s">
        <v>4795</v>
      </c>
      <c r="D1569" s="7"/>
      <c r="E1569" s="7"/>
      <c r="F1569" s="7" t="s">
        <v>4875</v>
      </c>
      <c r="G1569" s="7" t="s">
        <v>3785</v>
      </c>
      <c r="H1569" s="7" t="s">
        <v>3675</v>
      </c>
      <c r="I1569" s="7" t="s">
        <v>3743</v>
      </c>
      <c r="J1569" s="7" t="s">
        <v>3837</v>
      </c>
      <c r="K1569" s="7" t="str">
        <f t="shared" si="2"/>
        <v/>
      </c>
      <c r="L1569" s="7" t="str">
        <f t="shared" si="1026"/>
        <v/>
      </c>
      <c r="M1569" s="7">
        <f t="shared" ref="M1569:N1569" si="1589">IF(LEN(M$1),COUNTIF($G1569:$J1569,M$1),"")</f>
        <v>0</v>
      </c>
      <c r="N1569" s="7" t="str">
        <f t="shared" si="1589"/>
        <v/>
      </c>
      <c r="O1569" s="7" t="str">
        <f t="shared" si="1028"/>
        <v/>
      </c>
      <c r="P1569" s="7">
        <f t="shared" si="1534"/>
        <v>0</v>
      </c>
      <c r="Q1569" s="7" t="str">
        <f t="shared" si="7"/>
        <v/>
      </c>
      <c r="T1569" s="7"/>
    </row>
    <row r="1570" ht="12.75" customHeight="1">
      <c r="A1570" s="7">
        <v>1569.0</v>
      </c>
      <c r="B1570" s="7" t="s">
        <v>1493</v>
      </c>
      <c r="C1570" s="7" t="s">
        <v>4795</v>
      </c>
      <c r="D1570" s="7"/>
      <c r="E1570" s="7"/>
      <c r="F1570" s="7" t="s">
        <v>4875</v>
      </c>
      <c r="G1570" s="7" t="s">
        <v>3643</v>
      </c>
      <c r="H1570" s="7" t="s">
        <v>3815</v>
      </c>
      <c r="I1570" s="7" t="s">
        <v>3798</v>
      </c>
      <c r="J1570" s="7" t="s">
        <v>3695</v>
      </c>
      <c r="K1570" s="7" t="str">
        <f t="shared" si="2"/>
        <v/>
      </c>
      <c r="L1570" s="7" t="str">
        <f t="shared" si="1026"/>
        <v/>
      </c>
      <c r="M1570" s="7">
        <f t="shared" ref="M1570:N1570" si="1590">IF(LEN(M$1),COUNTIF($G1570:$J1570,M$1),"")</f>
        <v>0</v>
      </c>
      <c r="N1570" s="7" t="str">
        <f t="shared" si="1590"/>
        <v/>
      </c>
      <c r="O1570" s="7" t="str">
        <f t="shared" si="1028"/>
        <v/>
      </c>
      <c r="P1570" s="7">
        <f t="shared" si="1534"/>
        <v>0</v>
      </c>
      <c r="Q1570" s="7" t="str">
        <f t="shared" si="7"/>
        <v/>
      </c>
      <c r="T1570" s="7"/>
    </row>
    <row r="1571" ht="12.75" customHeight="1">
      <c r="A1571" s="7">
        <v>1570.0</v>
      </c>
      <c r="B1571" s="7" t="s">
        <v>1493</v>
      </c>
      <c r="C1571" s="7" t="s">
        <v>4795</v>
      </c>
      <c r="D1571" s="7"/>
      <c r="E1571" s="7"/>
      <c r="F1571" s="7" t="s">
        <v>4875</v>
      </c>
      <c r="G1571" s="7" t="s">
        <v>3845</v>
      </c>
      <c r="H1571" s="7" t="s">
        <v>3842</v>
      </c>
      <c r="I1571" s="7" t="s">
        <v>3764</v>
      </c>
      <c r="J1571" s="7" t="s">
        <v>3778</v>
      </c>
      <c r="K1571" s="7" t="str">
        <f t="shared" si="2"/>
        <v/>
      </c>
      <c r="L1571" s="7" t="str">
        <f t="shared" si="1026"/>
        <v/>
      </c>
      <c r="M1571" s="7">
        <f t="shared" ref="M1571:N1571" si="1591">IF(LEN(M$1),COUNTIF($G1571:$J1571,M$1),"")</f>
        <v>0</v>
      </c>
      <c r="N1571" s="7" t="str">
        <f t="shared" si="1591"/>
        <v/>
      </c>
      <c r="O1571" s="7" t="str">
        <f t="shared" si="1028"/>
        <v/>
      </c>
      <c r="P1571" s="7">
        <f t="shared" si="1534"/>
        <v>0</v>
      </c>
      <c r="Q1571" s="7" t="str">
        <f t="shared" si="7"/>
        <v/>
      </c>
      <c r="T1571" s="7"/>
    </row>
    <row r="1572" ht="12.75" customHeight="1">
      <c r="A1572" s="7">
        <v>1571.0</v>
      </c>
      <c r="B1572" s="7" t="s">
        <v>1501</v>
      </c>
      <c r="C1572" s="7" t="s">
        <v>4756</v>
      </c>
      <c r="D1572" s="7"/>
      <c r="E1572" s="7"/>
      <c r="F1572" s="7" t="s">
        <v>4875</v>
      </c>
      <c r="G1572" s="7" t="s">
        <v>3734</v>
      </c>
      <c r="H1572" s="7" t="s">
        <v>3720</v>
      </c>
      <c r="I1572" s="7" t="s">
        <v>3775</v>
      </c>
      <c r="J1572" s="7" t="s">
        <v>3785</v>
      </c>
      <c r="K1572" s="7" t="str">
        <f t="shared" si="2"/>
        <v/>
      </c>
      <c r="L1572" s="7" t="str">
        <f t="shared" si="1026"/>
        <v/>
      </c>
      <c r="M1572" s="7">
        <f t="shared" ref="M1572:N1572" si="1592">IF(LEN(M$1),COUNTIF($G1572:$J1572,M$1),"")</f>
        <v>0</v>
      </c>
      <c r="N1572" s="7" t="str">
        <f t="shared" si="1592"/>
        <v/>
      </c>
      <c r="O1572" s="7" t="str">
        <f t="shared" si="1028"/>
        <v/>
      </c>
      <c r="P1572" s="7">
        <f t="shared" si="1534"/>
        <v>0</v>
      </c>
      <c r="Q1572" s="7" t="str">
        <f t="shared" si="7"/>
        <v/>
      </c>
      <c r="T1572" s="7"/>
    </row>
    <row r="1573" ht="12.75" customHeight="1">
      <c r="A1573" s="7">
        <v>1572.0</v>
      </c>
      <c r="B1573" s="7" t="s">
        <v>1501</v>
      </c>
      <c r="C1573" s="7" t="s">
        <v>4756</v>
      </c>
      <c r="D1573" s="7"/>
      <c r="E1573" s="7"/>
      <c r="F1573" s="7" t="s">
        <v>4875</v>
      </c>
      <c r="G1573" s="7" t="s">
        <v>3791</v>
      </c>
      <c r="H1573" s="7" t="s">
        <v>3615</v>
      </c>
      <c r="I1573" s="7" t="s">
        <v>3775</v>
      </c>
      <c r="J1573" s="7" t="s">
        <v>3847</v>
      </c>
      <c r="K1573" s="7" t="str">
        <f t="shared" si="2"/>
        <v/>
      </c>
      <c r="L1573" s="7" t="str">
        <f t="shared" si="1026"/>
        <v/>
      </c>
      <c r="M1573" s="7">
        <f t="shared" ref="M1573:N1573" si="1593">IF(LEN(M$1),COUNTIF($G1573:$J1573,M$1),"")</f>
        <v>0</v>
      </c>
      <c r="N1573" s="7" t="str">
        <f t="shared" si="1593"/>
        <v/>
      </c>
      <c r="O1573" s="7" t="str">
        <f t="shared" si="1028"/>
        <v/>
      </c>
      <c r="P1573" s="7">
        <f t="shared" si="1534"/>
        <v>0</v>
      </c>
      <c r="Q1573" s="7" t="str">
        <f t="shared" si="7"/>
        <v/>
      </c>
      <c r="T1573" s="7"/>
    </row>
    <row r="1574" ht="12.75" customHeight="1">
      <c r="A1574" s="7">
        <v>1573.0</v>
      </c>
      <c r="B1574" s="7" t="s">
        <v>1510</v>
      </c>
      <c r="C1574" s="7" t="s">
        <v>4756</v>
      </c>
      <c r="D1574" s="7"/>
      <c r="E1574" s="7"/>
      <c r="F1574" s="7" t="s">
        <v>4875</v>
      </c>
      <c r="G1574" s="7" t="s">
        <v>3835</v>
      </c>
      <c r="H1574" s="7" t="s">
        <v>3755</v>
      </c>
      <c r="I1574" s="7" t="s">
        <v>3818</v>
      </c>
      <c r="J1574" s="7" t="s">
        <v>3856</v>
      </c>
      <c r="K1574" s="7" t="str">
        <f t="shared" si="2"/>
        <v/>
      </c>
      <c r="L1574" s="7" t="str">
        <f t="shared" si="1026"/>
        <v/>
      </c>
      <c r="M1574" s="7">
        <f t="shared" ref="M1574:N1574" si="1594">IF(LEN(M$1),COUNTIF($G1574:$J1574,M$1),"")</f>
        <v>0</v>
      </c>
      <c r="N1574" s="7" t="str">
        <f t="shared" si="1594"/>
        <v/>
      </c>
      <c r="O1574" s="7" t="str">
        <f t="shared" si="1028"/>
        <v/>
      </c>
      <c r="P1574" s="7">
        <f t="shared" si="1534"/>
        <v>0</v>
      </c>
      <c r="Q1574" s="7" t="str">
        <f t="shared" si="7"/>
        <v/>
      </c>
      <c r="T1574" s="7"/>
    </row>
    <row r="1575" ht="12.75" customHeight="1">
      <c r="A1575" s="7">
        <v>1574.0</v>
      </c>
      <c r="B1575" s="7" t="s">
        <v>1510</v>
      </c>
      <c r="C1575" s="7" t="s">
        <v>4756</v>
      </c>
      <c r="D1575" s="7"/>
      <c r="E1575" s="7"/>
      <c r="F1575" s="7" t="s">
        <v>4875</v>
      </c>
      <c r="G1575" s="7" t="s">
        <v>3766</v>
      </c>
      <c r="H1575" s="7" t="s">
        <v>3815</v>
      </c>
      <c r="I1575" s="7" t="s">
        <v>3794</v>
      </c>
      <c r="J1575" s="7" t="s">
        <v>3782</v>
      </c>
      <c r="K1575" s="7" t="str">
        <f t="shared" si="2"/>
        <v/>
      </c>
      <c r="L1575" s="7" t="str">
        <f t="shared" si="1026"/>
        <v/>
      </c>
      <c r="M1575" s="7">
        <f t="shared" ref="M1575:N1575" si="1595">IF(LEN(M$1),COUNTIF($G1575:$J1575,M$1),"")</f>
        <v>0</v>
      </c>
      <c r="N1575" s="7" t="str">
        <f t="shared" si="1595"/>
        <v/>
      </c>
      <c r="O1575" s="7" t="str">
        <f t="shared" si="1028"/>
        <v/>
      </c>
      <c r="P1575" s="7">
        <f t="shared" si="1534"/>
        <v>0</v>
      </c>
      <c r="Q1575" s="7" t="str">
        <f t="shared" si="7"/>
        <v/>
      </c>
      <c r="T1575" s="7"/>
    </row>
    <row r="1576" ht="12.75" customHeight="1">
      <c r="A1576" s="7">
        <v>1575.0</v>
      </c>
      <c r="B1576" s="7" t="s">
        <v>1518</v>
      </c>
      <c r="C1576" s="7" t="s">
        <v>4809</v>
      </c>
      <c r="D1576" s="7"/>
      <c r="E1576" s="7"/>
      <c r="F1576" s="7" t="s">
        <v>4875</v>
      </c>
      <c r="G1576" s="7" t="s">
        <v>3794</v>
      </c>
      <c r="H1576" s="7" t="s">
        <v>3633</v>
      </c>
      <c r="I1576" s="7" t="s">
        <v>3727</v>
      </c>
      <c r="J1576" s="7" t="s">
        <v>3835</v>
      </c>
      <c r="K1576" s="7" t="str">
        <f t="shared" si="2"/>
        <v/>
      </c>
      <c r="L1576" s="7" t="str">
        <f t="shared" si="1026"/>
        <v/>
      </c>
      <c r="M1576" s="7">
        <f t="shared" ref="M1576:N1576" si="1596">IF(LEN(M$1),COUNTIF($G1576:$J1576,M$1),"")</f>
        <v>0</v>
      </c>
      <c r="N1576" s="7" t="str">
        <f t="shared" si="1596"/>
        <v/>
      </c>
      <c r="O1576" s="7" t="str">
        <f t="shared" si="1028"/>
        <v/>
      </c>
      <c r="P1576" s="7">
        <f t="shared" si="1534"/>
        <v>0</v>
      </c>
      <c r="Q1576" s="7" t="str">
        <f t="shared" si="7"/>
        <v/>
      </c>
      <c r="T1576" s="7"/>
    </row>
    <row r="1577" ht="12.75" customHeight="1">
      <c r="A1577" s="7">
        <v>1576.0</v>
      </c>
      <c r="B1577" s="7" t="s">
        <v>1518</v>
      </c>
      <c r="C1577" s="7" t="s">
        <v>4809</v>
      </c>
      <c r="D1577" s="7"/>
      <c r="E1577" s="7"/>
      <c r="F1577" s="7" t="s">
        <v>4875</v>
      </c>
      <c r="G1577" s="7" t="s">
        <v>3734</v>
      </c>
      <c r="H1577" s="7" t="s">
        <v>3829</v>
      </c>
      <c r="I1577" s="7" t="s">
        <v>3854</v>
      </c>
      <c r="J1577" s="7" t="s">
        <v>3755</v>
      </c>
      <c r="K1577" s="7" t="str">
        <f t="shared" si="2"/>
        <v/>
      </c>
      <c r="L1577" s="7" t="str">
        <f t="shared" si="1026"/>
        <v/>
      </c>
      <c r="M1577" s="7">
        <f t="shared" ref="M1577:N1577" si="1597">IF(LEN(M$1),COUNTIF($G1577:$J1577,M$1),"")</f>
        <v>0</v>
      </c>
      <c r="N1577" s="7" t="str">
        <f t="shared" si="1597"/>
        <v/>
      </c>
      <c r="O1577" s="7" t="str">
        <f t="shared" si="1028"/>
        <v/>
      </c>
      <c r="P1577" s="7">
        <f t="shared" si="1534"/>
        <v>0</v>
      </c>
      <c r="Q1577" s="7" t="str">
        <f t="shared" si="7"/>
        <v/>
      </c>
      <c r="T1577" s="7"/>
    </row>
    <row r="1578" ht="12.75" customHeight="1">
      <c r="A1578" s="7">
        <v>1577.0</v>
      </c>
      <c r="B1578" s="7" t="s">
        <v>1527</v>
      </c>
      <c r="C1578" s="7" t="s">
        <v>4809</v>
      </c>
      <c r="D1578" s="7"/>
      <c r="E1578" s="7"/>
      <c r="F1578" s="7" t="s">
        <v>4875</v>
      </c>
      <c r="G1578" s="7" t="s">
        <v>3785</v>
      </c>
      <c r="H1578" s="7" t="s">
        <v>3727</v>
      </c>
      <c r="I1578" s="7" t="s">
        <v>3760</v>
      </c>
      <c r="J1578" s="7" t="s">
        <v>3801</v>
      </c>
      <c r="K1578" s="7" t="str">
        <f t="shared" si="2"/>
        <v/>
      </c>
      <c r="L1578" s="7" t="str">
        <f t="shared" si="1026"/>
        <v/>
      </c>
      <c r="M1578" s="7">
        <f t="shared" ref="M1578:N1578" si="1598">IF(LEN(M$1),COUNTIF($G1578:$J1578,M$1),"")</f>
        <v>0</v>
      </c>
      <c r="N1578" s="7" t="str">
        <f t="shared" si="1598"/>
        <v/>
      </c>
      <c r="O1578" s="7" t="str">
        <f t="shared" si="1028"/>
        <v/>
      </c>
      <c r="P1578" s="7">
        <f t="shared" si="1534"/>
        <v>0</v>
      </c>
      <c r="Q1578" s="7" t="str">
        <f t="shared" si="7"/>
        <v/>
      </c>
      <c r="T1578" s="7"/>
    </row>
    <row r="1579" ht="12.75" customHeight="1">
      <c r="A1579" s="7">
        <v>1578.0</v>
      </c>
      <c r="B1579" s="7" t="s">
        <v>1527</v>
      </c>
      <c r="C1579" s="7" t="s">
        <v>4809</v>
      </c>
      <c r="D1579" s="7"/>
      <c r="E1579" s="7"/>
      <c r="F1579" s="7" t="s">
        <v>4875</v>
      </c>
      <c r="G1579" s="7" t="s">
        <v>3850</v>
      </c>
      <c r="H1579" s="7" t="s">
        <v>3677</v>
      </c>
      <c r="I1579" s="7" t="s">
        <v>3737</v>
      </c>
      <c r="J1579" s="7" t="s">
        <v>3695</v>
      </c>
      <c r="K1579" s="7" t="str">
        <f t="shared" si="2"/>
        <v/>
      </c>
      <c r="L1579" s="7" t="str">
        <f t="shared" si="1026"/>
        <v/>
      </c>
      <c r="M1579" s="7">
        <f t="shared" ref="M1579:N1579" si="1599">IF(LEN(M$1),COUNTIF($G1579:$J1579,M$1),"")</f>
        <v>0</v>
      </c>
      <c r="N1579" s="7" t="str">
        <f t="shared" si="1599"/>
        <v/>
      </c>
      <c r="O1579" s="7" t="str">
        <f t="shared" si="1028"/>
        <v/>
      </c>
      <c r="P1579" s="7">
        <f t="shared" si="1534"/>
        <v>0</v>
      </c>
      <c r="Q1579" s="7" t="str">
        <f t="shared" si="7"/>
        <v/>
      </c>
      <c r="T1579" s="7"/>
    </row>
    <row r="1580" ht="12.75" customHeight="1">
      <c r="A1580" s="7">
        <v>1579.0</v>
      </c>
      <c r="B1580" s="7" t="s">
        <v>542</v>
      </c>
      <c r="C1580" s="7" t="s">
        <v>4812</v>
      </c>
      <c r="D1580" s="7"/>
      <c r="E1580" s="7"/>
      <c r="F1580" s="7" t="s">
        <v>4875</v>
      </c>
      <c r="G1580" s="7" t="s">
        <v>3829</v>
      </c>
      <c r="H1580" s="7" t="s">
        <v>3701</v>
      </c>
      <c r="I1580" s="7" t="s">
        <v>3760</v>
      </c>
      <c r="J1580" s="7" t="s">
        <v>3669</v>
      </c>
      <c r="K1580" s="7" t="str">
        <f t="shared" si="2"/>
        <v/>
      </c>
      <c r="L1580" s="7" t="str">
        <f t="shared" si="1026"/>
        <v/>
      </c>
      <c r="M1580" s="7">
        <f t="shared" ref="M1580:N1580" si="1600">IF(LEN(M$1),COUNTIF($G1580:$J1580,M$1),"")</f>
        <v>0</v>
      </c>
      <c r="N1580" s="7" t="str">
        <f t="shared" si="1600"/>
        <v/>
      </c>
      <c r="O1580" s="7" t="str">
        <f t="shared" si="1028"/>
        <v/>
      </c>
      <c r="P1580" s="7">
        <f t="shared" si="1534"/>
        <v>0</v>
      </c>
      <c r="Q1580" s="7" t="str">
        <f t="shared" si="7"/>
        <v/>
      </c>
      <c r="T1580" s="7"/>
    </row>
    <row r="1581" ht="12.75" customHeight="1">
      <c r="A1581" s="7">
        <v>1580.0</v>
      </c>
      <c r="B1581" s="7" t="s">
        <v>542</v>
      </c>
      <c r="C1581" s="7" t="s">
        <v>4812</v>
      </c>
      <c r="D1581" s="7"/>
      <c r="E1581" s="7"/>
      <c r="F1581" s="7" t="s">
        <v>4875</v>
      </c>
      <c r="G1581" s="7" t="s">
        <v>3746</v>
      </c>
      <c r="H1581" s="7" t="s">
        <v>3722</v>
      </c>
      <c r="I1581" s="7" t="s">
        <v>3850</v>
      </c>
      <c r="J1581" s="7" t="s">
        <v>3656</v>
      </c>
      <c r="K1581" s="7" t="str">
        <f t="shared" si="2"/>
        <v/>
      </c>
      <c r="L1581" s="7" t="str">
        <f t="shared" si="1026"/>
        <v/>
      </c>
      <c r="M1581" s="7">
        <f t="shared" ref="M1581:N1581" si="1601">IF(LEN(M$1),COUNTIF($G1581:$J1581,M$1),"")</f>
        <v>0</v>
      </c>
      <c r="N1581" s="7" t="str">
        <f t="shared" si="1601"/>
        <v/>
      </c>
      <c r="O1581" s="7" t="str">
        <f t="shared" si="1028"/>
        <v/>
      </c>
      <c r="P1581" s="7">
        <f t="shared" si="1534"/>
        <v>0</v>
      </c>
      <c r="Q1581" s="7" t="str">
        <f t="shared" si="7"/>
        <v/>
      </c>
      <c r="T1581" s="7"/>
    </row>
    <row r="1582" ht="12.75" customHeight="1">
      <c r="A1582" s="7">
        <v>1581.0</v>
      </c>
      <c r="B1582" s="7" t="s">
        <v>1540</v>
      </c>
      <c r="C1582" s="7" t="s">
        <v>4812</v>
      </c>
      <c r="D1582" s="7"/>
      <c r="E1582" s="7"/>
      <c r="F1582" s="7" t="s">
        <v>4875</v>
      </c>
      <c r="G1582" s="7" t="s">
        <v>3810</v>
      </c>
      <c r="H1582" s="7" t="s">
        <v>3856</v>
      </c>
      <c r="I1582" s="7" t="s">
        <v>3798</v>
      </c>
      <c r="J1582" s="7" t="s">
        <v>3813</v>
      </c>
      <c r="K1582" s="7" t="str">
        <f t="shared" si="2"/>
        <v/>
      </c>
      <c r="L1582" s="7" t="str">
        <f t="shared" si="1026"/>
        <v/>
      </c>
      <c r="M1582" s="7">
        <f t="shared" ref="M1582:N1582" si="1602">IF(LEN(M$1),COUNTIF($G1582:$J1582,M$1),"")</f>
        <v>0</v>
      </c>
      <c r="N1582" s="7" t="str">
        <f t="shared" si="1602"/>
        <v/>
      </c>
      <c r="O1582" s="7" t="str">
        <f t="shared" si="1028"/>
        <v/>
      </c>
      <c r="P1582" s="7">
        <f t="shared" si="1534"/>
        <v>0</v>
      </c>
      <c r="Q1582" s="7" t="str">
        <f t="shared" si="7"/>
        <v/>
      </c>
      <c r="T1582" s="7"/>
    </row>
    <row r="1583" ht="12.75" customHeight="1">
      <c r="A1583" s="7">
        <v>1582.0</v>
      </c>
      <c r="B1583" s="7" t="s">
        <v>1540</v>
      </c>
      <c r="C1583" s="7" t="s">
        <v>4812</v>
      </c>
      <c r="D1583" s="7"/>
      <c r="E1583" s="7"/>
      <c r="F1583" s="7" t="s">
        <v>4875</v>
      </c>
      <c r="G1583" s="7" t="s">
        <v>3804</v>
      </c>
      <c r="H1583" s="7" t="s">
        <v>3620</v>
      </c>
      <c r="I1583" s="7" t="s">
        <v>3813</v>
      </c>
      <c r="J1583" s="7" t="s">
        <v>3757</v>
      </c>
      <c r="K1583" s="7" t="str">
        <f t="shared" si="2"/>
        <v/>
      </c>
      <c r="L1583" s="7" t="str">
        <f t="shared" si="1026"/>
        <v/>
      </c>
      <c r="M1583" s="7">
        <f t="shared" ref="M1583:N1583" si="1603">IF(LEN(M$1),COUNTIF($G1583:$J1583,M$1),"")</f>
        <v>0</v>
      </c>
      <c r="N1583" s="7" t="str">
        <f t="shared" si="1603"/>
        <v/>
      </c>
      <c r="O1583" s="7" t="str">
        <f t="shared" si="1028"/>
        <v/>
      </c>
      <c r="P1583" s="7">
        <f t="shared" si="1534"/>
        <v>0</v>
      </c>
      <c r="Q1583" s="7" t="str">
        <f t="shared" si="7"/>
        <v/>
      </c>
      <c r="T1583" s="7"/>
    </row>
    <row r="1584" ht="12.75" customHeight="1">
      <c r="A1584" s="7">
        <v>1583.0</v>
      </c>
      <c r="B1584" s="7" t="s">
        <v>1549</v>
      </c>
      <c r="C1584" s="7" t="s">
        <v>4814</v>
      </c>
      <c r="D1584" s="7"/>
      <c r="E1584" s="7"/>
      <c r="F1584" s="7" t="s">
        <v>4875</v>
      </c>
      <c r="G1584" s="7" t="s">
        <v>3827</v>
      </c>
      <c r="H1584" s="7" t="s">
        <v>3627</v>
      </c>
      <c r="I1584" s="7" t="s">
        <v>3837</v>
      </c>
      <c r="J1584" s="7" t="s">
        <v>3775</v>
      </c>
      <c r="K1584" s="7" t="str">
        <f t="shared" si="2"/>
        <v/>
      </c>
      <c r="L1584" s="7" t="str">
        <f t="shared" si="1026"/>
        <v/>
      </c>
      <c r="M1584" s="7">
        <f t="shared" ref="M1584:N1584" si="1604">IF(LEN(M$1),COUNTIF($G1584:$J1584,M$1),"")</f>
        <v>0</v>
      </c>
      <c r="N1584" s="7" t="str">
        <f t="shared" si="1604"/>
        <v/>
      </c>
      <c r="O1584" s="7" t="str">
        <f t="shared" si="1028"/>
        <v/>
      </c>
      <c r="P1584" s="7">
        <f t="shared" si="1534"/>
        <v>0</v>
      </c>
      <c r="Q1584" s="7" t="str">
        <f t="shared" si="7"/>
        <v/>
      </c>
      <c r="T1584" s="7"/>
    </row>
    <row r="1585" ht="12.75" customHeight="1">
      <c r="A1585" s="7">
        <v>1584.0</v>
      </c>
      <c r="B1585" s="7" t="s">
        <v>1549</v>
      </c>
      <c r="C1585" s="7" t="s">
        <v>4814</v>
      </c>
      <c r="D1585" s="7"/>
      <c r="E1585" s="7"/>
      <c r="F1585" s="7" t="s">
        <v>4875</v>
      </c>
      <c r="G1585" s="7" t="s">
        <v>3766</v>
      </c>
      <c r="H1585" s="7" t="s">
        <v>3598</v>
      </c>
      <c r="I1585" s="7" t="s">
        <v>3845</v>
      </c>
      <c r="J1585" s="7" t="s">
        <v>3623</v>
      </c>
      <c r="K1585" s="7" t="str">
        <f t="shared" si="2"/>
        <v/>
      </c>
      <c r="L1585" s="7" t="str">
        <f t="shared" si="1026"/>
        <v/>
      </c>
      <c r="M1585" s="7">
        <f t="shared" ref="M1585:N1585" si="1605">IF(LEN(M$1),COUNTIF($G1585:$J1585,M$1),"")</f>
        <v>0</v>
      </c>
      <c r="N1585" s="7" t="str">
        <f t="shared" si="1605"/>
        <v/>
      </c>
      <c r="O1585" s="7" t="str">
        <f t="shared" si="1028"/>
        <v/>
      </c>
      <c r="P1585" s="7">
        <f t="shared" si="1534"/>
        <v>0</v>
      </c>
      <c r="Q1585" s="7" t="str">
        <f t="shared" si="7"/>
        <v/>
      </c>
      <c r="T1585" s="7"/>
    </row>
    <row r="1586" ht="12.75" customHeight="1">
      <c r="A1586" s="7">
        <v>1585.0</v>
      </c>
      <c r="B1586" s="7" t="s">
        <v>1549</v>
      </c>
      <c r="C1586" s="7" t="s">
        <v>4814</v>
      </c>
      <c r="D1586" s="7"/>
      <c r="E1586" s="7"/>
      <c r="F1586" s="7" t="s">
        <v>4875</v>
      </c>
      <c r="G1586" s="7" t="s">
        <v>3760</v>
      </c>
      <c r="H1586" s="7" t="s">
        <v>3716</v>
      </c>
      <c r="I1586" s="7" t="s">
        <v>3789</v>
      </c>
      <c r="J1586" s="7" t="s">
        <v>3671</v>
      </c>
      <c r="K1586" s="7" t="str">
        <f t="shared" si="2"/>
        <v/>
      </c>
      <c r="L1586" s="7" t="str">
        <f t="shared" si="1026"/>
        <v/>
      </c>
      <c r="M1586" s="7">
        <f t="shared" ref="M1586:N1586" si="1606">IF(LEN(M$1),COUNTIF($G1586:$J1586,M$1),"")</f>
        <v>0</v>
      </c>
      <c r="N1586" s="7" t="str">
        <f t="shared" si="1606"/>
        <v/>
      </c>
      <c r="O1586" s="7" t="str">
        <f t="shared" si="1028"/>
        <v/>
      </c>
      <c r="P1586" s="7">
        <f t="shared" si="1534"/>
        <v>0</v>
      </c>
      <c r="Q1586" s="7" t="str">
        <f t="shared" si="7"/>
        <v/>
      </c>
      <c r="T1586" s="7"/>
    </row>
    <row r="1587" ht="12.75" customHeight="1">
      <c r="A1587" s="7">
        <v>1586.0</v>
      </c>
      <c r="B1587" s="7" t="s">
        <v>1549</v>
      </c>
      <c r="C1587" s="7" t="s">
        <v>4814</v>
      </c>
      <c r="D1587" s="7"/>
      <c r="E1587" s="7"/>
      <c r="F1587" s="7" t="s">
        <v>4875</v>
      </c>
      <c r="G1587" s="7" t="s">
        <v>3796</v>
      </c>
      <c r="H1587" s="7" t="s">
        <v>3656</v>
      </c>
      <c r="I1587" s="7" t="s">
        <v>3785</v>
      </c>
      <c r="J1587" s="7" t="s">
        <v>3606</v>
      </c>
      <c r="K1587" s="7" t="str">
        <f t="shared" si="2"/>
        <v/>
      </c>
      <c r="L1587" s="7" t="str">
        <f t="shared" si="1026"/>
        <v/>
      </c>
      <c r="M1587" s="7">
        <f t="shared" ref="M1587:N1587" si="1607">IF(LEN(M$1),COUNTIF($G1587:$J1587,M$1),"")</f>
        <v>0</v>
      </c>
      <c r="N1587" s="7" t="str">
        <f t="shared" si="1607"/>
        <v/>
      </c>
      <c r="O1587" s="7" t="str">
        <f t="shared" si="1028"/>
        <v/>
      </c>
      <c r="P1587" s="7">
        <f t="shared" si="1534"/>
        <v>0</v>
      </c>
      <c r="Q1587" s="7" t="str">
        <f t="shared" si="7"/>
        <v/>
      </c>
      <c r="T1587" s="7"/>
    </row>
    <row r="1588" ht="12.75" customHeight="1">
      <c r="A1588" s="7">
        <v>1587.0</v>
      </c>
      <c r="B1588" s="7" t="s">
        <v>1549</v>
      </c>
      <c r="C1588" s="7" t="s">
        <v>4814</v>
      </c>
      <c r="D1588" s="7"/>
      <c r="E1588" s="7"/>
      <c r="F1588" s="7" t="s">
        <v>4875</v>
      </c>
      <c r="G1588" s="7" t="s">
        <v>3831</v>
      </c>
      <c r="H1588" s="7" t="s">
        <v>3815</v>
      </c>
      <c r="I1588" s="7" t="s">
        <v>3854</v>
      </c>
      <c r="J1588" s="7" t="s">
        <v>3823</v>
      </c>
      <c r="K1588" s="7" t="str">
        <f t="shared" si="2"/>
        <v/>
      </c>
      <c r="L1588" s="7" t="str">
        <f t="shared" si="1026"/>
        <v/>
      </c>
      <c r="M1588" s="7">
        <f t="shared" ref="M1588:N1588" si="1608">IF(LEN(M$1),COUNTIF($G1588:$J1588,M$1),"")</f>
        <v>0</v>
      </c>
      <c r="N1588" s="7" t="str">
        <f t="shared" si="1608"/>
        <v/>
      </c>
      <c r="O1588" s="7" t="str">
        <f t="shared" si="1028"/>
        <v/>
      </c>
      <c r="P1588" s="7">
        <f t="shared" si="1534"/>
        <v>0</v>
      </c>
      <c r="Q1588" s="7" t="str">
        <f t="shared" si="7"/>
        <v/>
      </c>
      <c r="T1588" s="7"/>
    </row>
    <row r="1589" ht="12.75" customHeight="1">
      <c r="A1589" s="7">
        <v>1588.0</v>
      </c>
      <c r="B1589" s="7" t="s">
        <v>1556</v>
      </c>
      <c r="C1589" s="7" t="s">
        <v>4814</v>
      </c>
      <c r="D1589" s="7"/>
      <c r="E1589" s="7"/>
      <c r="F1589" s="7" t="s">
        <v>4875</v>
      </c>
      <c r="G1589" s="7" t="s">
        <v>3698</v>
      </c>
      <c r="H1589" s="7" t="s">
        <v>3785</v>
      </c>
      <c r="I1589" s="7" t="s">
        <v>3831</v>
      </c>
      <c r="J1589" s="7" t="s">
        <v>3669</v>
      </c>
      <c r="K1589" s="7" t="str">
        <f t="shared" si="2"/>
        <v/>
      </c>
      <c r="L1589" s="7" t="str">
        <f t="shared" si="1026"/>
        <v/>
      </c>
      <c r="M1589" s="7">
        <f t="shared" ref="M1589:N1589" si="1609">IF(LEN(M$1),COUNTIF($G1589:$J1589,M$1),"")</f>
        <v>0</v>
      </c>
      <c r="N1589" s="7" t="str">
        <f t="shared" si="1609"/>
        <v/>
      </c>
      <c r="O1589" s="7" t="str">
        <f t="shared" si="1028"/>
        <v/>
      </c>
      <c r="P1589" s="7">
        <f t="shared" si="1534"/>
        <v>0</v>
      </c>
      <c r="Q1589" s="7" t="str">
        <f t="shared" si="7"/>
        <v/>
      </c>
      <c r="T1589" s="7"/>
    </row>
    <row r="1590" ht="12.75" customHeight="1">
      <c r="A1590" s="7">
        <v>1589.0</v>
      </c>
      <c r="B1590" s="7" t="s">
        <v>1556</v>
      </c>
      <c r="C1590" s="7" t="s">
        <v>4814</v>
      </c>
      <c r="D1590" s="7"/>
      <c r="E1590" s="7"/>
      <c r="F1590" s="7" t="s">
        <v>4875</v>
      </c>
      <c r="G1590" s="7" t="s">
        <v>3746</v>
      </c>
      <c r="H1590" s="7" t="s">
        <v>3818</v>
      </c>
      <c r="I1590" s="7" t="s">
        <v>3764</v>
      </c>
      <c r="J1590" s="7" t="s">
        <v>3750</v>
      </c>
      <c r="K1590" s="7" t="str">
        <f t="shared" si="2"/>
        <v/>
      </c>
      <c r="L1590" s="7" t="str">
        <f t="shared" si="1026"/>
        <v/>
      </c>
      <c r="M1590" s="7">
        <f t="shared" ref="M1590:N1590" si="1610">IF(LEN(M$1),COUNTIF($G1590:$J1590,M$1),"")</f>
        <v>0</v>
      </c>
      <c r="N1590" s="7" t="str">
        <f t="shared" si="1610"/>
        <v/>
      </c>
      <c r="O1590" s="7" t="str">
        <f t="shared" si="1028"/>
        <v/>
      </c>
      <c r="P1590" s="7">
        <f t="shared" si="1534"/>
        <v>0</v>
      </c>
      <c r="Q1590" s="7" t="str">
        <f t="shared" si="7"/>
        <v/>
      </c>
      <c r="T1590" s="7"/>
    </row>
    <row r="1591" ht="12.75" customHeight="1">
      <c r="A1591" s="7">
        <v>1590.0</v>
      </c>
      <c r="B1591" s="7" t="s">
        <v>1148</v>
      </c>
      <c r="C1591" s="7" t="s">
        <v>4850</v>
      </c>
      <c r="D1591" s="7"/>
      <c r="E1591" s="7"/>
      <c r="F1591" s="7" t="s">
        <v>4875</v>
      </c>
      <c r="G1591" s="7" t="s">
        <v>3806</v>
      </c>
      <c r="H1591" s="7" t="s">
        <v>3705</v>
      </c>
      <c r="I1591" s="7" t="s">
        <v>3850</v>
      </c>
      <c r="J1591" s="7" t="s">
        <v>3837</v>
      </c>
      <c r="K1591" s="7" t="str">
        <f t="shared" si="2"/>
        <v/>
      </c>
      <c r="L1591" s="7" t="str">
        <f t="shared" si="1026"/>
        <v/>
      </c>
      <c r="M1591" s="7">
        <f t="shared" ref="M1591:N1591" si="1611">IF(LEN(M$1),COUNTIF($G1591:$J1591,M$1),"")</f>
        <v>0</v>
      </c>
      <c r="N1591" s="7" t="str">
        <f t="shared" si="1611"/>
        <v/>
      </c>
      <c r="O1591" s="7" t="str">
        <f t="shared" si="1028"/>
        <v/>
      </c>
      <c r="P1591" s="7">
        <f t="shared" si="1534"/>
        <v>0</v>
      </c>
      <c r="Q1591" s="7" t="str">
        <f t="shared" si="7"/>
        <v/>
      </c>
      <c r="T1591" s="7"/>
    </row>
    <row r="1592" ht="12.75" customHeight="1">
      <c r="A1592" s="7">
        <v>1591.0</v>
      </c>
      <c r="B1592" s="7" t="s">
        <v>1148</v>
      </c>
      <c r="C1592" s="7" t="s">
        <v>4850</v>
      </c>
      <c r="D1592" s="7"/>
      <c r="E1592" s="7"/>
      <c r="F1592" s="7" t="s">
        <v>4875</v>
      </c>
      <c r="G1592" s="7" t="s">
        <v>3773</v>
      </c>
      <c r="H1592" s="7" t="s">
        <v>3673</v>
      </c>
      <c r="I1592" s="7" t="s">
        <v>3785</v>
      </c>
      <c r="J1592" s="7" t="s">
        <v>3679</v>
      </c>
      <c r="K1592" s="7" t="str">
        <f t="shared" si="2"/>
        <v/>
      </c>
      <c r="L1592" s="7" t="str">
        <f t="shared" si="1026"/>
        <v/>
      </c>
      <c r="M1592" s="7">
        <f t="shared" ref="M1592:N1592" si="1612">IF(LEN(M$1),COUNTIF($G1592:$J1592,M$1),"")</f>
        <v>0</v>
      </c>
      <c r="N1592" s="7" t="str">
        <f t="shared" si="1612"/>
        <v/>
      </c>
      <c r="O1592" s="7" t="str">
        <f t="shared" si="1028"/>
        <v/>
      </c>
      <c r="P1592" s="7">
        <f t="shared" si="1534"/>
        <v>0</v>
      </c>
      <c r="Q1592" s="7" t="str">
        <f t="shared" si="7"/>
        <v/>
      </c>
      <c r="T1592" s="7"/>
    </row>
    <row r="1593" ht="12.75" customHeight="1">
      <c r="A1593" s="7">
        <v>1592.0</v>
      </c>
      <c r="B1593" s="7" t="s">
        <v>1570</v>
      </c>
      <c r="C1593" s="7" t="s">
        <v>4850</v>
      </c>
      <c r="D1593" s="7"/>
      <c r="E1593" s="7"/>
      <c r="F1593" s="7" t="s">
        <v>4875</v>
      </c>
      <c r="G1593" s="7" t="s">
        <v>3775</v>
      </c>
      <c r="H1593" s="7" t="s">
        <v>3585</v>
      </c>
      <c r="I1593" s="7" t="s">
        <v>3818</v>
      </c>
      <c r="J1593" s="7" t="s">
        <v>3647</v>
      </c>
      <c r="K1593" s="7" t="str">
        <f t="shared" si="2"/>
        <v/>
      </c>
      <c r="L1593" s="7" t="str">
        <f t="shared" si="1026"/>
        <v/>
      </c>
      <c r="M1593" s="7">
        <f t="shared" ref="M1593:N1593" si="1613">IF(LEN(M$1),COUNTIF($G1593:$J1593,M$1),"")</f>
        <v>0</v>
      </c>
      <c r="N1593" s="7" t="str">
        <f t="shared" si="1613"/>
        <v/>
      </c>
      <c r="O1593" s="7" t="str">
        <f t="shared" si="1028"/>
        <v/>
      </c>
      <c r="P1593" s="7">
        <f t="shared" si="1534"/>
        <v>0</v>
      </c>
      <c r="Q1593" s="7" t="str">
        <f t="shared" si="7"/>
        <v/>
      </c>
      <c r="T1593" s="7"/>
    </row>
    <row r="1594" ht="12.75" customHeight="1">
      <c r="A1594" s="7">
        <v>1593.0</v>
      </c>
      <c r="B1594" s="7" t="s">
        <v>1570</v>
      </c>
      <c r="C1594" s="7" t="s">
        <v>4850</v>
      </c>
      <c r="D1594" s="7"/>
      <c r="E1594" s="7"/>
      <c r="F1594" s="7" t="s">
        <v>4875</v>
      </c>
      <c r="G1594" s="7" t="s">
        <v>3856</v>
      </c>
      <c r="H1594" s="7" t="s">
        <v>3771</v>
      </c>
      <c r="I1594" s="7" t="s">
        <v>3827</v>
      </c>
      <c r="J1594" s="7" t="s">
        <v>3739</v>
      </c>
      <c r="K1594" s="7" t="str">
        <f t="shared" si="2"/>
        <v/>
      </c>
      <c r="L1594" s="7" t="str">
        <f t="shared" si="1026"/>
        <v/>
      </c>
      <c r="M1594" s="7">
        <f t="shared" ref="M1594:N1594" si="1614">IF(LEN(M$1),COUNTIF($G1594:$J1594,M$1),"")</f>
        <v>0</v>
      </c>
      <c r="N1594" s="7" t="str">
        <f t="shared" si="1614"/>
        <v/>
      </c>
      <c r="O1594" s="7" t="str">
        <f t="shared" si="1028"/>
        <v/>
      </c>
      <c r="P1594" s="7">
        <f t="shared" si="1534"/>
        <v>0</v>
      </c>
      <c r="Q1594" s="7" t="str">
        <f t="shared" si="7"/>
        <v/>
      </c>
      <c r="T1594" s="7"/>
    </row>
    <row r="1595" ht="12.75" customHeight="1">
      <c r="A1595" s="7">
        <v>1594.0</v>
      </c>
      <c r="B1595" s="7" t="s">
        <v>1577</v>
      </c>
      <c r="C1595" s="7" t="s">
        <v>4849</v>
      </c>
      <c r="D1595" s="7"/>
      <c r="E1595" s="7"/>
      <c r="F1595" s="7" t="s">
        <v>4875</v>
      </c>
      <c r="G1595" s="7" t="s">
        <v>3695</v>
      </c>
      <c r="H1595" s="7" t="s">
        <v>3731</v>
      </c>
      <c r="I1595" s="7" t="s">
        <v>3842</v>
      </c>
      <c r="J1595" s="7" t="s">
        <v>3683</v>
      </c>
      <c r="K1595" s="7" t="str">
        <f t="shared" si="2"/>
        <v/>
      </c>
      <c r="L1595" s="7" t="str">
        <f t="shared" si="1026"/>
        <v/>
      </c>
      <c r="M1595" s="7">
        <f t="shared" ref="M1595:N1595" si="1615">IF(LEN(M$1),COUNTIF($G1595:$J1595,M$1),"")</f>
        <v>0</v>
      </c>
      <c r="N1595" s="7" t="str">
        <f t="shared" si="1615"/>
        <v/>
      </c>
      <c r="O1595" s="7" t="str">
        <f t="shared" si="1028"/>
        <v/>
      </c>
      <c r="P1595" s="7">
        <f t="shared" si="1534"/>
        <v>0</v>
      </c>
      <c r="Q1595" s="7" t="str">
        <f t="shared" si="7"/>
        <v/>
      </c>
      <c r="T1595" s="7"/>
    </row>
    <row r="1596" ht="12.75" customHeight="1">
      <c r="A1596" s="7">
        <v>1595.0</v>
      </c>
      <c r="B1596" s="7" t="s">
        <v>1585</v>
      </c>
      <c r="C1596" s="7" t="s">
        <v>4849</v>
      </c>
      <c r="D1596" s="7"/>
      <c r="E1596" s="7"/>
      <c r="F1596" s="7" t="s">
        <v>4875</v>
      </c>
      <c r="G1596" s="7" t="s">
        <v>3585</v>
      </c>
      <c r="H1596" s="7" t="s">
        <v>3833</v>
      </c>
      <c r="I1596" s="7" t="s">
        <v>3757</v>
      </c>
      <c r="J1596" s="7" t="s">
        <v>3724</v>
      </c>
      <c r="K1596" s="7" t="str">
        <f t="shared" si="2"/>
        <v/>
      </c>
      <c r="L1596" s="7" t="str">
        <f t="shared" si="1026"/>
        <v/>
      </c>
      <c r="M1596" s="7">
        <f t="shared" ref="M1596:N1596" si="1616">IF(LEN(M$1),COUNTIF($G1596:$J1596,M$1),"")</f>
        <v>0</v>
      </c>
      <c r="N1596" s="7" t="str">
        <f t="shared" si="1616"/>
        <v/>
      </c>
      <c r="O1596" s="7" t="str">
        <f t="shared" si="1028"/>
        <v/>
      </c>
      <c r="P1596" s="7">
        <f t="shared" si="1534"/>
        <v>0</v>
      </c>
      <c r="Q1596" s="7" t="str">
        <f t="shared" si="7"/>
        <v/>
      </c>
      <c r="T1596" s="7"/>
    </row>
    <row r="1597" ht="12.75" customHeight="1">
      <c r="A1597" s="7">
        <v>1596.0</v>
      </c>
      <c r="B1597" s="7" t="s">
        <v>1593</v>
      </c>
      <c r="C1597" s="7" t="s">
        <v>4740</v>
      </c>
      <c r="D1597" s="7"/>
      <c r="E1597" s="7"/>
      <c r="F1597" s="7" t="s">
        <v>4875</v>
      </c>
      <c r="G1597" s="7" t="s">
        <v>3778</v>
      </c>
      <c r="H1597" s="7" t="s">
        <v>3789</v>
      </c>
      <c r="I1597" s="7" t="s">
        <v>3810</v>
      </c>
      <c r="J1597" s="7" t="s">
        <v>3782</v>
      </c>
      <c r="K1597" s="7" t="str">
        <f t="shared" si="2"/>
        <v/>
      </c>
      <c r="L1597" s="7" t="str">
        <f t="shared" si="1026"/>
        <v/>
      </c>
      <c r="M1597" s="7">
        <f t="shared" ref="M1597:N1597" si="1617">IF(LEN(M$1),COUNTIF($G1597:$J1597,M$1),"")</f>
        <v>0</v>
      </c>
      <c r="N1597" s="7" t="str">
        <f t="shared" si="1617"/>
        <v/>
      </c>
      <c r="O1597" s="7" t="str">
        <f t="shared" si="1028"/>
        <v/>
      </c>
      <c r="P1597" s="7">
        <f t="shared" si="1534"/>
        <v>0</v>
      </c>
      <c r="Q1597" s="7" t="str">
        <f t="shared" si="7"/>
        <v/>
      </c>
      <c r="T1597" s="7"/>
    </row>
    <row r="1598" ht="12.75" customHeight="1">
      <c r="A1598" s="7">
        <v>1597.0</v>
      </c>
      <c r="B1598" s="7" t="s">
        <v>1593</v>
      </c>
      <c r="C1598" s="7" t="s">
        <v>4740</v>
      </c>
      <c r="D1598" s="7"/>
      <c r="E1598" s="7"/>
      <c r="F1598" s="7" t="s">
        <v>4875</v>
      </c>
      <c r="G1598" s="7" t="s">
        <v>3752</v>
      </c>
      <c r="H1598" s="7" t="s">
        <v>3663</v>
      </c>
      <c r="I1598" s="7" t="s">
        <v>3827</v>
      </c>
      <c r="J1598" s="7" t="s">
        <v>3731</v>
      </c>
      <c r="K1598" s="7" t="str">
        <f t="shared" si="2"/>
        <v/>
      </c>
      <c r="L1598" s="7" t="str">
        <f t="shared" si="1026"/>
        <v/>
      </c>
      <c r="M1598" s="7">
        <f t="shared" ref="M1598:N1598" si="1618">IF(LEN(M$1),COUNTIF($G1598:$J1598,M$1),"")</f>
        <v>0</v>
      </c>
      <c r="N1598" s="7" t="str">
        <f t="shared" si="1618"/>
        <v/>
      </c>
      <c r="O1598" s="7" t="str">
        <f t="shared" si="1028"/>
        <v/>
      </c>
      <c r="P1598" s="7">
        <f t="shared" si="1534"/>
        <v>0</v>
      </c>
      <c r="Q1598" s="7" t="str">
        <f t="shared" si="7"/>
        <v/>
      </c>
      <c r="T1598" s="7"/>
    </row>
    <row r="1599" ht="12.75" customHeight="1">
      <c r="A1599" s="7">
        <v>1598.0</v>
      </c>
      <c r="B1599" s="7" t="s">
        <v>1600</v>
      </c>
      <c r="C1599" s="7" t="s">
        <v>4740</v>
      </c>
      <c r="D1599" s="7"/>
      <c r="E1599" s="7"/>
      <c r="F1599" s="7" t="s">
        <v>4875</v>
      </c>
      <c r="G1599" s="7" t="s">
        <v>3703</v>
      </c>
      <c r="H1599" s="7" t="s">
        <v>3801</v>
      </c>
      <c r="I1599" s="7" t="s">
        <v>3798</v>
      </c>
      <c r="J1599" s="7" t="s">
        <v>3623</v>
      </c>
      <c r="K1599" s="7" t="str">
        <f t="shared" si="2"/>
        <v/>
      </c>
      <c r="L1599" s="7" t="str">
        <f t="shared" si="1026"/>
        <v/>
      </c>
      <c r="M1599" s="7">
        <f t="shared" ref="M1599:N1599" si="1619">IF(LEN(M$1),COUNTIF($G1599:$J1599,M$1),"")</f>
        <v>0</v>
      </c>
      <c r="N1599" s="7" t="str">
        <f t="shared" si="1619"/>
        <v/>
      </c>
      <c r="O1599" s="7" t="str">
        <f t="shared" si="1028"/>
        <v/>
      </c>
      <c r="P1599" s="7">
        <f t="shared" si="1534"/>
        <v>0</v>
      </c>
      <c r="Q1599" s="7" t="str">
        <f t="shared" si="7"/>
        <v/>
      </c>
      <c r="T1599" s="7"/>
    </row>
    <row r="1600" ht="12.75" customHeight="1">
      <c r="A1600" s="7">
        <v>1599.0</v>
      </c>
      <c r="B1600" s="7" t="s">
        <v>1600</v>
      </c>
      <c r="C1600" s="7" t="s">
        <v>4740</v>
      </c>
      <c r="D1600" s="7"/>
      <c r="E1600" s="7"/>
      <c r="F1600" s="7" t="s">
        <v>4875</v>
      </c>
      <c r="G1600" s="7" t="s">
        <v>3806</v>
      </c>
      <c r="H1600" s="7" t="s">
        <v>3794</v>
      </c>
      <c r="I1600" s="7" t="s">
        <v>3773</v>
      </c>
      <c r="J1600" s="7" t="s">
        <v>3748</v>
      </c>
      <c r="K1600" s="7" t="str">
        <f t="shared" si="2"/>
        <v/>
      </c>
      <c r="L1600" s="7" t="str">
        <f t="shared" si="1026"/>
        <v/>
      </c>
      <c r="M1600" s="7">
        <f t="shared" ref="M1600:N1600" si="1620">IF(LEN(M$1),COUNTIF($G1600:$J1600,M$1),"")</f>
        <v>0</v>
      </c>
      <c r="N1600" s="7" t="str">
        <f t="shared" si="1620"/>
        <v/>
      </c>
      <c r="O1600" s="7" t="str">
        <f t="shared" si="1028"/>
        <v/>
      </c>
      <c r="P1600" s="7">
        <f t="shared" si="1534"/>
        <v>0</v>
      </c>
      <c r="Q1600" s="7" t="str">
        <f t="shared" si="7"/>
        <v/>
      </c>
      <c r="T1600" s="7"/>
    </row>
    <row r="1601" ht="12.75" customHeight="1">
      <c r="A1601" s="7">
        <v>1600.0</v>
      </c>
      <c r="B1601" s="7" t="s">
        <v>1607</v>
      </c>
      <c r="C1601" s="7" t="s">
        <v>4743</v>
      </c>
      <c r="D1601" s="7"/>
      <c r="E1601" s="7"/>
      <c r="F1601" s="7" t="s">
        <v>4875</v>
      </c>
      <c r="G1601" s="7" t="s">
        <v>3739</v>
      </c>
      <c r="H1601" s="7" t="s">
        <v>3791</v>
      </c>
      <c r="I1601" s="7" t="s">
        <v>3837</v>
      </c>
      <c r="J1601" s="7" t="s">
        <v>3796</v>
      </c>
      <c r="K1601" s="7" t="str">
        <f t="shared" si="2"/>
        <v/>
      </c>
      <c r="L1601" s="7" t="str">
        <f t="shared" si="1026"/>
        <v/>
      </c>
      <c r="M1601" s="7">
        <f t="shared" ref="M1601:N1601" si="1621">IF(LEN(M$1),COUNTIF($G1601:$J1601,M$1),"")</f>
        <v>0</v>
      </c>
      <c r="N1601" s="7" t="str">
        <f t="shared" si="1621"/>
        <v/>
      </c>
      <c r="O1601" s="7" t="str">
        <f t="shared" si="1028"/>
        <v/>
      </c>
      <c r="P1601" s="7">
        <f t="shared" si="1534"/>
        <v>0</v>
      </c>
      <c r="Q1601" s="7" t="str">
        <f t="shared" si="7"/>
        <v/>
      </c>
      <c r="T1601" s="7"/>
    </row>
    <row r="1602" ht="12.75" customHeight="1">
      <c r="A1602" s="7">
        <v>1601.0</v>
      </c>
      <c r="B1602" s="7" t="s">
        <v>1607</v>
      </c>
      <c r="C1602" s="7" t="s">
        <v>4743</v>
      </c>
      <c r="D1602" s="7"/>
      <c r="E1602" s="7"/>
      <c r="F1602" s="7" t="s">
        <v>4875</v>
      </c>
      <c r="G1602" s="7" t="s">
        <v>3810</v>
      </c>
      <c r="H1602" s="7" t="s">
        <v>3780</v>
      </c>
      <c r="I1602" s="7" t="s">
        <v>3854</v>
      </c>
      <c r="J1602" s="7" t="s">
        <v>3801</v>
      </c>
      <c r="K1602" s="7" t="str">
        <f t="shared" si="2"/>
        <v/>
      </c>
      <c r="L1602" s="7" t="str">
        <f t="shared" si="1026"/>
        <v/>
      </c>
      <c r="M1602" s="7">
        <f t="shared" ref="M1602:N1602" si="1622">IF(LEN(M$1),COUNTIF($G1602:$J1602,M$1),"")</f>
        <v>0</v>
      </c>
      <c r="N1602" s="7" t="str">
        <f t="shared" si="1622"/>
        <v/>
      </c>
      <c r="O1602" s="7" t="str">
        <f t="shared" si="1028"/>
        <v/>
      </c>
      <c r="P1602" s="7">
        <f t="shared" si="1534"/>
        <v>0</v>
      </c>
      <c r="Q1602" s="7" t="str">
        <f t="shared" si="7"/>
        <v/>
      </c>
      <c r="T1602" s="7"/>
    </row>
    <row r="1603" ht="12.75" customHeight="1">
      <c r="A1603" s="7">
        <v>1602.0</v>
      </c>
      <c r="B1603" s="7" t="s">
        <v>1614</v>
      </c>
      <c r="C1603" s="7" t="s">
        <v>4743</v>
      </c>
      <c r="D1603" s="7"/>
      <c r="E1603" s="7"/>
      <c r="F1603" s="7" t="s">
        <v>4875</v>
      </c>
      <c r="G1603" s="7" t="s">
        <v>3771</v>
      </c>
      <c r="H1603" s="7" t="s">
        <v>3677</v>
      </c>
      <c r="I1603" s="7" t="s">
        <v>3727</v>
      </c>
      <c r="J1603" s="7" t="s">
        <v>3850</v>
      </c>
      <c r="K1603" s="7" t="str">
        <f t="shared" si="2"/>
        <v/>
      </c>
      <c r="L1603" s="7" t="str">
        <f t="shared" si="1026"/>
        <v/>
      </c>
      <c r="M1603" s="7">
        <f t="shared" ref="M1603:N1603" si="1623">IF(LEN(M$1),COUNTIF($G1603:$J1603,M$1),"")</f>
        <v>0</v>
      </c>
      <c r="N1603" s="7" t="str">
        <f t="shared" si="1623"/>
        <v/>
      </c>
      <c r="O1603" s="7" t="str">
        <f t="shared" si="1028"/>
        <v/>
      </c>
      <c r="P1603" s="7">
        <f t="shared" si="1534"/>
        <v>0</v>
      </c>
      <c r="Q1603" s="7" t="str">
        <f t="shared" si="7"/>
        <v/>
      </c>
      <c r="T1603" s="7"/>
    </row>
    <row r="1604" ht="12.75" customHeight="1">
      <c r="A1604" s="7">
        <v>1603.0</v>
      </c>
      <c r="B1604" s="7" t="s">
        <v>1622</v>
      </c>
      <c r="C1604" s="7" t="s">
        <v>4756</v>
      </c>
      <c r="D1604" s="7"/>
      <c r="E1604" s="7"/>
      <c r="F1604" s="7" t="s">
        <v>4875</v>
      </c>
      <c r="G1604" s="7" t="s">
        <v>3748</v>
      </c>
      <c r="H1604" s="7" t="s">
        <v>3693</v>
      </c>
      <c r="I1604" s="7" t="s">
        <v>3750</v>
      </c>
      <c r="J1604" s="7" t="s">
        <v>3673</v>
      </c>
      <c r="K1604" s="7" t="str">
        <f t="shared" si="2"/>
        <v/>
      </c>
      <c r="L1604" s="7" t="str">
        <f t="shared" si="1026"/>
        <v/>
      </c>
      <c r="M1604" s="7">
        <f t="shared" ref="M1604:N1604" si="1624">IF(LEN(M$1),COUNTIF($G1604:$J1604,M$1),"")</f>
        <v>0</v>
      </c>
      <c r="N1604" s="7" t="str">
        <f t="shared" si="1624"/>
        <v/>
      </c>
      <c r="O1604" s="7" t="str">
        <f t="shared" si="1028"/>
        <v/>
      </c>
      <c r="P1604" s="7">
        <f t="shared" si="1534"/>
        <v>0</v>
      </c>
      <c r="Q1604" s="7" t="str">
        <f t="shared" si="7"/>
        <v/>
      </c>
      <c r="T1604" s="7"/>
    </row>
    <row r="1605" ht="12.75" customHeight="1">
      <c r="A1605" s="7">
        <v>1604.0</v>
      </c>
      <c r="B1605" s="7" t="s">
        <v>1630</v>
      </c>
      <c r="C1605" s="7" t="s">
        <v>4756</v>
      </c>
      <c r="D1605" s="7"/>
      <c r="E1605" s="7"/>
      <c r="F1605" s="7" t="s">
        <v>4875</v>
      </c>
      <c r="G1605" s="7" t="s">
        <v>3775</v>
      </c>
      <c r="H1605" s="7" t="s">
        <v>3806</v>
      </c>
      <c r="I1605" s="7" t="s">
        <v>3746</v>
      </c>
      <c r="J1605" s="7" t="s">
        <v>3829</v>
      </c>
      <c r="K1605" s="7" t="str">
        <f t="shared" si="2"/>
        <v/>
      </c>
      <c r="L1605" s="7" t="str">
        <f t="shared" si="1026"/>
        <v/>
      </c>
      <c r="M1605" s="7">
        <f t="shared" ref="M1605:N1605" si="1625">IF(LEN(M$1),COUNTIF($G1605:$J1605,M$1),"")</f>
        <v>0</v>
      </c>
      <c r="N1605" s="7" t="str">
        <f t="shared" si="1625"/>
        <v/>
      </c>
      <c r="O1605" s="7" t="str">
        <f t="shared" si="1028"/>
        <v/>
      </c>
      <c r="P1605" s="7">
        <f t="shared" si="1534"/>
        <v>0</v>
      </c>
      <c r="Q1605" s="7" t="str">
        <f t="shared" si="7"/>
        <v/>
      </c>
      <c r="T1605" s="7"/>
    </row>
    <row r="1606" ht="12.75" customHeight="1">
      <c r="A1606" s="7">
        <v>1605.0</v>
      </c>
      <c r="B1606" s="7" t="s">
        <v>1638</v>
      </c>
      <c r="C1606" s="7" t="s">
        <v>4758</v>
      </c>
      <c r="D1606" s="7"/>
      <c r="E1606" s="7"/>
      <c r="F1606" s="7" t="s">
        <v>4875</v>
      </c>
      <c r="G1606" s="7" t="s">
        <v>3782</v>
      </c>
      <c r="H1606" s="7" t="s">
        <v>3703</v>
      </c>
      <c r="I1606" s="7" t="s">
        <v>3769</v>
      </c>
      <c r="J1606" s="7" t="s">
        <v>3660</v>
      </c>
      <c r="K1606" s="7" t="str">
        <f t="shared" si="2"/>
        <v/>
      </c>
      <c r="L1606" s="7" t="str">
        <f t="shared" si="1026"/>
        <v/>
      </c>
      <c r="M1606" s="7">
        <f t="shared" ref="M1606:N1606" si="1626">IF(LEN(M$1),COUNTIF($G1606:$J1606,M$1),"")</f>
        <v>0</v>
      </c>
      <c r="N1606" s="7" t="str">
        <f t="shared" si="1626"/>
        <v/>
      </c>
      <c r="O1606" s="7" t="str">
        <f t="shared" si="1028"/>
        <v/>
      </c>
      <c r="P1606" s="7">
        <f t="shared" si="1534"/>
        <v>0</v>
      </c>
      <c r="Q1606" s="7" t="str">
        <f t="shared" si="7"/>
        <v/>
      </c>
      <c r="T1606" s="7"/>
    </row>
    <row r="1607" ht="12.75" customHeight="1">
      <c r="A1607" s="7">
        <v>1606.0</v>
      </c>
      <c r="B1607" s="7" t="s">
        <v>1638</v>
      </c>
      <c r="C1607" s="7" t="s">
        <v>4758</v>
      </c>
      <c r="D1607" s="7"/>
      <c r="E1607" s="7"/>
      <c r="F1607" s="7" t="s">
        <v>4875</v>
      </c>
      <c r="G1607" s="7" t="s">
        <v>3806</v>
      </c>
      <c r="H1607" s="7" t="s">
        <v>3643</v>
      </c>
      <c r="I1607" s="7" t="s">
        <v>3746</v>
      </c>
      <c r="J1607" s="7" t="s">
        <v>3818</v>
      </c>
      <c r="K1607" s="7" t="str">
        <f t="shared" si="2"/>
        <v/>
      </c>
      <c r="L1607" s="7" t="str">
        <f t="shared" si="1026"/>
        <v/>
      </c>
      <c r="M1607" s="7">
        <f t="shared" ref="M1607:N1607" si="1627">IF(LEN(M$1),COUNTIF($G1607:$J1607,M$1),"")</f>
        <v>0</v>
      </c>
      <c r="N1607" s="7" t="str">
        <f t="shared" si="1627"/>
        <v/>
      </c>
      <c r="O1607" s="7" t="str">
        <f t="shared" si="1028"/>
        <v/>
      </c>
      <c r="P1607" s="7">
        <f t="shared" si="1534"/>
        <v>0</v>
      </c>
      <c r="Q1607" s="7" t="str">
        <f t="shared" si="7"/>
        <v/>
      </c>
      <c r="T1607" s="7"/>
    </row>
    <row r="1608" ht="12.75" customHeight="1">
      <c r="A1608" s="7">
        <v>1607.0</v>
      </c>
      <c r="B1608" s="7" t="s">
        <v>1645</v>
      </c>
      <c r="C1608" s="7" t="s">
        <v>4758</v>
      </c>
      <c r="D1608" s="7"/>
      <c r="E1608" s="7"/>
      <c r="F1608" s="7" t="s">
        <v>4875</v>
      </c>
      <c r="G1608" s="7" t="s">
        <v>3766</v>
      </c>
      <c r="H1608" s="7" t="s">
        <v>3734</v>
      </c>
      <c r="I1608" s="7" t="s">
        <v>3755</v>
      </c>
      <c r="J1608" s="7" t="s">
        <v>3842</v>
      </c>
      <c r="K1608" s="7" t="str">
        <f t="shared" si="2"/>
        <v/>
      </c>
      <c r="L1608" s="7" t="str">
        <f t="shared" si="1026"/>
        <v/>
      </c>
      <c r="M1608" s="7">
        <f t="shared" ref="M1608:N1608" si="1628">IF(LEN(M$1),COUNTIF($G1608:$J1608,M$1),"")</f>
        <v>0</v>
      </c>
      <c r="N1608" s="7" t="str">
        <f t="shared" si="1628"/>
        <v/>
      </c>
      <c r="O1608" s="7" t="str">
        <f t="shared" si="1028"/>
        <v/>
      </c>
      <c r="P1608" s="7">
        <f t="shared" si="1534"/>
        <v>0</v>
      </c>
      <c r="Q1608" s="7" t="str">
        <f t="shared" si="7"/>
        <v/>
      </c>
      <c r="T1608" s="7"/>
    </row>
    <row r="1609" ht="12.75" customHeight="1">
      <c r="A1609" s="7">
        <v>1608.0</v>
      </c>
      <c r="B1609" s="7" t="s">
        <v>1653</v>
      </c>
      <c r="C1609" s="7" t="s">
        <v>4775</v>
      </c>
      <c r="D1609" s="7"/>
      <c r="E1609" s="7"/>
      <c r="F1609" s="7" t="s">
        <v>4875</v>
      </c>
      <c r="G1609" s="7" t="s">
        <v>3796</v>
      </c>
      <c r="H1609" s="7" t="s">
        <v>3713</v>
      </c>
      <c r="I1609" s="7" t="s">
        <v>3741</v>
      </c>
      <c r="J1609" s="7" t="s">
        <v>3778</v>
      </c>
      <c r="K1609" s="7" t="str">
        <f t="shared" si="2"/>
        <v/>
      </c>
      <c r="L1609" s="7" t="str">
        <f t="shared" si="1026"/>
        <v/>
      </c>
      <c r="M1609" s="7">
        <f t="shared" ref="M1609:N1609" si="1629">IF(LEN(M$1),COUNTIF($G1609:$J1609,M$1),"")</f>
        <v>0</v>
      </c>
      <c r="N1609" s="7" t="str">
        <f t="shared" si="1629"/>
        <v/>
      </c>
      <c r="O1609" s="7" t="str">
        <f t="shared" si="1028"/>
        <v/>
      </c>
      <c r="P1609" s="7">
        <f t="shared" si="1534"/>
        <v>0</v>
      </c>
      <c r="Q1609" s="7" t="str">
        <f t="shared" si="7"/>
        <v/>
      </c>
      <c r="T1609" s="7"/>
    </row>
    <row r="1610" ht="12.75" customHeight="1">
      <c r="A1610" s="7">
        <v>1609.0</v>
      </c>
      <c r="B1610" s="7" t="s">
        <v>1660</v>
      </c>
      <c r="C1610" s="7" t="s">
        <v>4775</v>
      </c>
      <c r="D1610" s="7"/>
      <c r="E1610" s="7"/>
      <c r="F1610" s="7" t="s">
        <v>4875</v>
      </c>
      <c r="G1610" s="7" t="s">
        <v>3769</v>
      </c>
      <c r="H1610" s="7" t="s">
        <v>3823</v>
      </c>
      <c r="I1610" s="7" t="s">
        <v>3750</v>
      </c>
      <c r="J1610" s="7" t="s">
        <v>3739</v>
      </c>
      <c r="K1610" s="7" t="str">
        <f t="shared" si="2"/>
        <v/>
      </c>
      <c r="L1610" s="7" t="str">
        <f t="shared" si="1026"/>
        <v/>
      </c>
      <c r="M1610" s="7">
        <f t="shared" ref="M1610:N1610" si="1630">IF(LEN(M$1),COUNTIF($G1610:$J1610,M$1),"")</f>
        <v>0</v>
      </c>
      <c r="N1610" s="7" t="str">
        <f t="shared" si="1630"/>
        <v/>
      </c>
      <c r="O1610" s="7" t="str">
        <f t="shared" si="1028"/>
        <v/>
      </c>
      <c r="P1610" s="7">
        <f t="shared" si="1534"/>
        <v>0</v>
      </c>
      <c r="Q1610" s="7" t="str">
        <f t="shared" si="7"/>
        <v/>
      </c>
      <c r="T1610" s="7"/>
    </row>
    <row r="1611" ht="12.75" customHeight="1">
      <c r="A1611" s="7">
        <v>1610.0</v>
      </c>
      <c r="B1611" s="7" t="s">
        <v>85</v>
      </c>
      <c r="C1611" s="7" t="s">
        <v>4778</v>
      </c>
      <c r="D1611" s="7"/>
      <c r="E1611" s="7"/>
      <c r="F1611" s="7" t="s">
        <v>4875</v>
      </c>
      <c r="G1611" s="7" t="s">
        <v>3773</v>
      </c>
      <c r="H1611" s="7" t="s">
        <v>3804</v>
      </c>
      <c r="I1611" s="7" t="s">
        <v>3737</v>
      </c>
      <c r="J1611" s="7" t="s">
        <v>3771</v>
      </c>
      <c r="K1611" s="7" t="str">
        <f t="shared" si="2"/>
        <v/>
      </c>
      <c r="L1611" s="7" t="str">
        <f t="shared" si="1026"/>
        <v/>
      </c>
      <c r="M1611" s="7">
        <f t="shared" ref="M1611:N1611" si="1631">IF(LEN(M$1),COUNTIF($G1611:$J1611,M$1),"")</f>
        <v>0</v>
      </c>
      <c r="N1611" s="7" t="str">
        <f t="shared" si="1631"/>
        <v/>
      </c>
      <c r="O1611" s="7" t="str">
        <f t="shared" si="1028"/>
        <v/>
      </c>
      <c r="P1611" s="7">
        <f t="shared" si="1534"/>
        <v>0</v>
      </c>
      <c r="Q1611" s="7" t="str">
        <f t="shared" si="7"/>
        <v/>
      </c>
      <c r="T1611" s="7"/>
    </row>
    <row r="1612" ht="12.75" customHeight="1">
      <c r="A1612" s="7">
        <v>1611.0</v>
      </c>
      <c r="B1612" s="7" t="s">
        <v>85</v>
      </c>
      <c r="C1612" s="7" t="s">
        <v>4778</v>
      </c>
      <c r="D1612" s="7"/>
      <c r="E1612" s="7"/>
      <c r="F1612" s="7" t="s">
        <v>4875</v>
      </c>
      <c r="G1612" s="7" t="s">
        <v>3757</v>
      </c>
      <c r="H1612" s="7" t="s">
        <v>3741</v>
      </c>
      <c r="I1612" s="7" t="s">
        <v>3815</v>
      </c>
      <c r="J1612" s="7" t="s">
        <v>3743</v>
      </c>
      <c r="K1612" s="7" t="str">
        <f t="shared" si="2"/>
        <v/>
      </c>
      <c r="L1612" s="7" t="str">
        <f t="shared" si="1026"/>
        <v/>
      </c>
      <c r="M1612" s="7">
        <f t="shared" ref="M1612:N1612" si="1632">IF(LEN(M$1),COUNTIF($G1612:$J1612,M$1),"")</f>
        <v>0</v>
      </c>
      <c r="N1612" s="7" t="str">
        <f t="shared" si="1632"/>
        <v/>
      </c>
      <c r="O1612" s="7" t="str">
        <f t="shared" si="1028"/>
        <v/>
      </c>
      <c r="P1612" s="7">
        <f t="shared" si="1534"/>
        <v>0</v>
      </c>
      <c r="Q1612" s="7" t="str">
        <f t="shared" si="7"/>
        <v/>
      </c>
      <c r="T1612" s="7"/>
    </row>
    <row r="1613" ht="12.75" customHeight="1">
      <c r="A1613" s="7">
        <v>1612.0</v>
      </c>
      <c r="B1613" s="7" t="s">
        <v>1375</v>
      </c>
      <c r="C1613" s="7" t="s">
        <v>4848</v>
      </c>
      <c r="D1613" s="7"/>
      <c r="E1613" s="7"/>
      <c r="F1613" s="7" t="s">
        <v>4876</v>
      </c>
      <c r="G1613" s="7" t="s">
        <v>3868</v>
      </c>
      <c r="H1613" s="7" t="s">
        <v>3789</v>
      </c>
      <c r="I1613" s="7" t="s">
        <v>3948</v>
      </c>
      <c r="J1613" s="7" t="s">
        <v>3956</v>
      </c>
      <c r="K1613" s="7" t="str">
        <f t="shared" si="2"/>
        <v/>
      </c>
      <c r="L1613" s="7" t="str">
        <f t="shared" si="1026"/>
        <v/>
      </c>
      <c r="M1613" s="7">
        <f t="shared" ref="M1613:N1613" si="1633">IF(LEN(M$1),COUNTIF($G1613:$J1613,M$1),"")</f>
        <v>0</v>
      </c>
      <c r="N1613" s="7" t="str">
        <f t="shared" si="1633"/>
        <v/>
      </c>
      <c r="O1613" s="7" t="str">
        <f t="shared" si="1028"/>
        <v/>
      </c>
      <c r="P1613" s="7">
        <f t="shared" ref="P1613:P1712" si="1635">IF(LEN(P$1),IF(P$1=7,1,0),"")</f>
        <v>0</v>
      </c>
      <c r="Q1613" s="7" t="str">
        <f t="shared" si="7"/>
        <v/>
      </c>
      <c r="T1613" s="7"/>
    </row>
    <row r="1614" ht="12.75" customHeight="1">
      <c r="A1614" s="7">
        <v>1613.0</v>
      </c>
      <c r="B1614" s="7" t="s">
        <v>1417</v>
      </c>
      <c r="C1614" s="7" t="s">
        <v>4848</v>
      </c>
      <c r="D1614" s="7"/>
      <c r="E1614" s="7"/>
      <c r="F1614" s="7" t="s">
        <v>4876</v>
      </c>
      <c r="G1614" s="7" t="s">
        <v>3915</v>
      </c>
      <c r="H1614" s="7" t="s">
        <v>3946</v>
      </c>
      <c r="I1614" s="7" t="s">
        <v>3927</v>
      </c>
      <c r="J1614" s="7" t="s">
        <v>3860</v>
      </c>
      <c r="K1614" s="7" t="str">
        <f t="shared" si="2"/>
        <v/>
      </c>
      <c r="L1614" s="7" t="str">
        <f t="shared" si="1026"/>
        <v/>
      </c>
      <c r="M1614" s="7">
        <f t="shared" ref="M1614:N1614" si="1634">IF(LEN(M$1),COUNTIF($G1614:$J1614,M$1),"")</f>
        <v>0</v>
      </c>
      <c r="N1614" s="7" t="str">
        <f t="shared" si="1634"/>
        <v/>
      </c>
      <c r="O1614" s="7" t="str">
        <f t="shared" si="1028"/>
        <v/>
      </c>
      <c r="P1614" s="7">
        <f t="shared" si="1635"/>
        <v>0</v>
      </c>
      <c r="Q1614" s="7" t="str">
        <f t="shared" si="7"/>
        <v/>
      </c>
      <c r="T1614" s="7"/>
    </row>
    <row r="1615" ht="12.75" customHeight="1">
      <c r="A1615" s="7">
        <v>1614.0</v>
      </c>
      <c r="B1615" s="7" t="s">
        <v>1424</v>
      </c>
      <c r="C1615" s="7" t="s">
        <v>4758</v>
      </c>
      <c r="D1615" s="7"/>
      <c r="E1615" s="7"/>
      <c r="F1615" s="7" t="s">
        <v>4876</v>
      </c>
      <c r="G1615" s="7" t="s">
        <v>3862</v>
      </c>
      <c r="H1615" s="7" t="s">
        <v>3956</v>
      </c>
      <c r="I1615" s="7" t="s">
        <v>4282</v>
      </c>
      <c r="J1615" s="7" t="s">
        <v>3935</v>
      </c>
      <c r="K1615" s="7" t="str">
        <f t="shared" si="2"/>
        <v/>
      </c>
      <c r="L1615" s="7" t="str">
        <f t="shared" si="1026"/>
        <v/>
      </c>
      <c r="M1615" s="7">
        <f t="shared" ref="M1615:N1615" si="1636">IF(LEN(M$1),COUNTIF($G1615:$J1615,M$1),"")</f>
        <v>0</v>
      </c>
      <c r="N1615" s="7" t="str">
        <f t="shared" si="1636"/>
        <v/>
      </c>
      <c r="O1615" s="7" t="str">
        <f t="shared" si="1028"/>
        <v/>
      </c>
      <c r="P1615" s="7">
        <f t="shared" si="1635"/>
        <v>0</v>
      </c>
      <c r="Q1615" s="7" t="str">
        <f t="shared" si="7"/>
        <v/>
      </c>
      <c r="T1615" s="7"/>
    </row>
    <row r="1616" ht="12.75" customHeight="1">
      <c r="A1616" s="7">
        <v>1615.0</v>
      </c>
      <c r="B1616" s="7" t="s">
        <v>1433</v>
      </c>
      <c r="C1616" s="7" t="s">
        <v>4758</v>
      </c>
      <c r="D1616" s="7"/>
      <c r="E1616" s="7"/>
      <c r="F1616" s="7" t="s">
        <v>4876</v>
      </c>
      <c r="G1616" s="7" t="s">
        <v>3956</v>
      </c>
      <c r="H1616" s="7" t="s">
        <v>3880</v>
      </c>
      <c r="I1616" s="7" t="s">
        <v>3866</v>
      </c>
      <c r="J1616" s="7" t="s">
        <v>3870</v>
      </c>
      <c r="K1616" s="7" t="str">
        <f t="shared" si="2"/>
        <v/>
      </c>
      <c r="L1616" s="7" t="str">
        <f t="shared" si="1026"/>
        <v/>
      </c>
      <c r="M1616" s="7">
        <f t="shared" ref="M1616:N1616" si="1637">IF(LEN(M$1),COUNTIF($G1616:$J1616,M$1),"")</f>
        <v>0</v>
      </c>
      <c r="N1616" s="7" t="str">
        <f t="shared" si="1637"/>
        <v/>
      </c>
      <c r="O1616" s="7" t="str">
        <f t="shared" si="1028"/>
        <v/>
      </c>
      <c r="P1616" s="7">
        <f t="shared" si="1635"/>
        <v>0</v>
      </c>
      <c r="Q1616" s="7" t="str">
        <f t="shared" si="7"/>
        <v/>
      </c>
      <c r="T1616" s="7"/>
    </row>
    <row r="1617" ht="12.75" customHeight="1">
      <c r="A1617" s="7">
        <v>1616.0</v>
      </c>
      <c r="B1617" s="7" t="s">
        <v>1317</v>
      </c>
      <c r="C1617" s="7" t="s">
        <v>4815</v>
      </c>
      <c r="D1617" s="7"/>
      <c r="E1617" s="7"/>
      <c r="F1617" s="7" t="s">
        <v>4876</v>
      </c>
      <c r="G1617" s="7" t="s">
        <v>3829</v>
      </c>
      <c r="H1617" s="7" t="s">
        <v>3947</v>
      </c>
      <c r="I1617" s="7" t="s">
        <v>3870</v>
      </c>
      <c r="J1617" s="7" t="s">
        <v>3789</v>
      </c>
      <c r="K1617" s="7" t="str">
        <f t="shared" si="2"/>
        <v/>
      </c>
      <c r="L1617" s="7" t="str">
        <f t="shared" si="1026"/>
        <v/>
      </c>
      <c r="M1617" s="7">
        <f t="shared" ref="M1617:N1617" si="1638">IF(LEN(M$1),COUNTIF($G1617:$J1617,M$1),"")</f>
        <v>0</v>
      </c>
      <c r="N1617" s="7" t="str">
        <f t="shared" si="1638"/>
        <v/>
      </c>
      <c r="O1617" s="7" t="str">
        <f t="shared" si="1028"/>
        <v/>
      </c>
      <c r="P1617" s="7">
        <f t="shared" si="1635"/>
        <v>0</v>
      </c>
      <c r="Q1617" s="7" t="str">
        <f t="shared" si="7"/>
        <v/>
      </c>
      <c r="T1617" s="7"/>
    </row>
    <row r="1618" ht="12.75" customHeight="1">
      <c r="A1618" s="7">
        <v>1617.0</v>
      </c>
      <c r="B1618" s="7" t="s">
        <v>1445</v>
      </c>
      <c r="C1618" s="7" t="s">
        <v>4815</v>
      </c>
      <c r="D1618" s="7"/>
      <c r="E1618" s="7"/>
      <c r="F1618" s="7" t="s">
        <v>4876</v>
      </c>
      <c r="G1618" s="7" t="s">
        <v>3949</v>
      </c>
      <c r="H1618" s="7" t="s">
        <v>3791</v>
      </c>
      <c r="I1618" s="7" t="s">
        <v>3904</v>
      </c>
      <c r="J1618" s="7" t="s">
        <v>3801</v>
      </c>
      <c r="K1618" s="7" t="str">
        <f t="shared" si="2"/>
        <v/>
      </c>
      <c r="L1618" s="7" t="str">
        <f t="shared" si="1026"/>
        <v/>
      </c>
      <c r="M1618" s="7">
        <f t="shared" ref="M1618:N1618" si="1639">IF(LEN(M$1),COUNTIF($G1618:$J1618,M$1),"")</f>
        <v>0</v>
      </c>
      <c r="N1618" s="7" t="str">
        <f t="shared" si="1639"/>
        <v/>
      </c>
      <c r="O1618" s="7" t="str">
        <f t="shared" si="1028"/>
        <v/>
      </c>
      <c r="P1618" s="7">
        <f t="shared" si="1635"/>
        <v>0</v>
      </c>
      <c r="Q1618" s="7" t="str">
        <f t="shared" si="7"/>
        <v/>
      </c>
      <c r="T1618" s="7"/>
    </row>
    <row r="1619" ht="12.75" customHeight="1">
      <c r="A1619" s="7">
        <v>1618.0</v>
      </c>
      <c r="B1619" s="7" t="s">
        <v>1453</v>
      </c>
      <c r="C1619" s="7" t="s">
        <v>4791</v>
      </c>
      <c r="D1619" s="7"/>
      <c r="E1619" s="7"/>
      <c r="F1619" s="7" t="s">
        <v>4876</v>
      </c>
      <c r="G1619" s="7" t="s">
        <v>3831</v>
      </c>
      <c r="H1619" s="7" t="s">
        <v>3943</v>
      </c>
      <c r="I1619" s="7" t="s">
        <v>3868</v>
      </c>
      <c r="J1619" s="7" t="s">
        <v>3773</v>
      </c>
      <c r="K1619" s="7" t="str">
        <f t="shared" si="2"/>
        <v/>
      </c>
      <c r="L1619" s="7" t="str">
        <f t="shared" si="1026"/>
        <v/>
      </c>
      <c r="M1619" s="7">
        <f t="shared" ref="M1619:N1619" si="1640">IF(LEN(M$1),COUNTIF($G1619:$J1619,M$1),"")</f>
        <v>0</v>
      </c>
      <c r="N1619" s="7" t="str">
        <f t="shared" si="1640"/>
        <v/>
      </c>
      <c r="O1619" s="7" t="str">
        <f t="shared" si="1028"/>
        <v/>
      </c>
      <c r="P1619" s="7">
        <f t="shared" si="1635"/>
        <v>0</v>
      </c>
      <c r="Q1619" s="7" t="str">
        <f t="shared" si="7"/>
        <v/>
      </c>
      <c r="T1619" s="7"/>
    </row>
    <row r="1620" ht="12.75" customHeight="1">
      <c r="A1620" s="7">
        <v>1619.0</v>
      </c>
      <c r="B1620" s="7" t="s">
        <v>1461</v>
      </c>
      <c r="C1620" s="7" t="s">
        <v>4791</v>
      </c>
      <c r="D1620" s="7"/>
      <c r="E1620" s="7"/>
      <c r="F1620" s="7" t="s">
        <v>4876</v>
      </c>
      <c r="G1620" s="7" t="s">
        <v>3937</v>
      </c>
      <c r="H1620" s="7" t="s">
        <v>3823</v>
      </c>
      <c r="I1620" s="7" t="s">
        <v>3908</v>
      </c>
      <c r="J1620" s="7" t="s">
        <v>3810</v>
      </c>
      <c r="K1620" s="7" t="str">
        <f t="shared" si="2"/>
        <v/>
      </c>
      <c r="L1620" s="7" t="str">
        <f t="shared" si="1026"/>
        <v/>
      </c>
      <c r="M1620" s="7">
        <f t="shared" ref="M1620:N1620" si="1641">IF(LEN(M$1),COUNTIF($G1620:$J1620,M$1),"")</f>
        <v>0</v>
      </c>
      <c r="N1620" s="7" t="str">
        <f t="shared" si="1641"/>
        <v/>
      </c>
      <c r="O1620" s="7" t="str">
        <f t="shared" si="1028"/>
        <v/>
      </c>
      <c r="P1620" s="7">
        <f t="shared" si="1635"/>
        <v>0</v>
      </c>
      <c r="Q1620" s="7" t="str">
        <f t="shared" si="7"/>
        <v/>
      </c>
      <c r="T1620" s="7"/>
    </row>
    <row r="1621" ht="12.75" customHeight="1">
      <c r="A1621" s="7">
        <v>1620.0</v>
      </c>
      <c r="B1621" s="7" t="s">
        <v>1468</v>
      </c>
      <c r="C1621" s="7" t="s">
        <v>4793</v>
      </c>
      <c r="D1621" s="7"/>
      <c r="E1621" s="7"/>
      <c r="F1621" s="7" t="s">
        <v>4876</v>
      </c>
      <c r="G1621" s="7" t="s">
        <v>3922</v>
      </c>
      <c r="H1621" s="7" t="s">
        <v>3956</v>
      </c>
      <c r="I1621" s="7" t="s">
        <v>3928</v>
      </c>
      <c r="J1621" s="7" t="s">
        <v>3932</v>
      </c>
      <c r="K1621" s="7" t="str">
        <f t="shared" si="2"/>
        <v/>
      </c>
      <c r="L1621" s="7" t="str">
        <f t="shared" si="1026"/>
        <v/>
      </c>
      <c r="M1621" s="7">
        <f t="shared" ref="M1621:N1621" si="1642">IF(LEN(M$1),COUNTIF($G1621:$J1621,M$1),"")</f>
        <v>0</v>
      </c>
      <c r="N1621" s="7" t="str">
        <f t="shared" si="1642"/>
        <v/>
      </c>
      <c r="O1621" s="7" t="str">
        <f t="shared" si="1028"/>
        <v/>
      </c>
      <c r="P1621" s="7">
        <f t="shared" si="1635"/>
        <v>0</v>
      </c>
      <c r="Q1621" s="7" t="str">
        <f t="shared" si="7"/>
        <v/>
      </c>
      <c r="T1621" s="7"/>
    </row>
    <row r="1622" ht="12.75" customHeight="1">
      <c r="A1622" s="7">
        <v>1621.0</v>
      </c>
      <c r="B1622" s="7" t="s">
        <v>1477</v>
      </c>
      <c r="C1622" s="7" t="s">
        <v>4793</v>
      </c>
      <c r="D1622" s="7"/>
      <c r="E1622" s="7"/>
      <c r="F1622" s="7" t="s">
        <v>4876</v>
      </c>
      <c r="G1622" s="7" t="s">
        <v>3916</v>
      </c>
      <c r="H1622" s="7" t="s">
        <v>3901</v>
      </c>
      <c r="I1622" s="7" t="s">
        <v>3947</v>
      </c>
      <c r="J1622" s="7" t="s">
        <v>3858</v>
      </c>
      <c r="K1622" s="7" t="str">
        <f t="shared" si="2"/>
        <v/>
      </c>
      <c r="L1622" s="7" t="str">
        <f t="shared" si="1026"/>
        <v/>
      </c>
      <c r="M1622" s="7">
        <f t="shared" ref="M1622:N1622" si="1643">IF(LEN(M$1),COUNTIF($G1622:$J1622,M$1),"")</f>
        <v>0</v>
      </c>
      <c r="N1622" s="7" t="str">
        <f t="shared" si="1643"/>
        <v/>
      </c>
      <c r="O1622" s="7" t="str">
        <f t="shared" si="1028"/>
        <v/>
      </c>
      <c r="P1622" s="7">
        <f t="shared" si="1635"/>
        <v>0</v>
      </c>
      <c r="Q1622" s="7" t="str">
        <f t="shared" si="7"/>
        <v/>
      </c>
      <c r="T1622" s="7"/>
    </row>
    <row r="1623" ht="12.75" customHeight="1">
      <c r="A1623" s="7">
        <v>1622.0</v>
      </c>
      <c r="B1623" s="7" t="s">
        <v>1486</v>
      </c>
      <c r="C1623" s="7" t="s">
        <v>4795</v>
      </c>
      <c r="D1623" s="7"/>
      <c r="E1623" s="7"/>
      <c r="F1623" s="7" t="s">
        <v>4876</v>
      </c>
      <c r="G1623" s="7" t="s">
        <v>3928</v>
      </c>
      <c r="H1623" s="7" t="s">
        <v>3778</v>
      </c>
      <c r="I1623" s="7" t="s">
        <v>3860</v>
      </c>
      <c r="J1623" s="7" t="s">
        <v>3949</v>
      </c>
      <c r="K1623" s="7" t="str">
        <f t="shared" si="2"/>
        <v/>
      </c>
      <c r="L1623" s="7" t="str">
        <f t="shared" si="1026"/>
        <v/>
      </c>
      <c r="M1623" s="7">
        <f t="shared" ref="M1623:N1623" si="1644">IF(LEN(M$1),COUNTIF($G1623:$J1623,M$1),"")</f>
        <v>0</v>
      </c>
      <c r="N1623" s="7" t="str">
        <f t="shared" si="1644"/>
        <v/>
      </c>
      <c r="O1623" s="7" t="str">
        <f t="shared" si="1028"/>
        <v/>
      </c>
      <c r="P1623" s="7">
        <f t="shared" si="1635"/>
        <v>0</v>
      </c>
      <c r="Q1623" s="7" t="str">
        <f t="shared" si="7"/>
        <v/>
      </c>
      <c r="T1623" s="7"/>
    </row>
    <row r="1624" ht="12.75" customHeight="1">
      <c r="A1624" s="7">
        <v>1623.0</v>
      </c>
      <c r="B1624" s="7" t="s">
        <v>1493</v>
      </c>
      <c r="C1624" s="7" t="s">
        <v>4795</v>
      </c>
      <c r="D1624" s="7"/>
      <c r="E1624" s="7"/>
      <c r="F1624" s="7" t="s">
        <v>4876</v>
      </c>
      <c r="G1624" s="7" t="s">
        <v>3955</v>
      </c>
      <c r="H1624" s="7" t="s">
        <v>3823</v>
      </c>
      <c r="I1624" s="7" t="s">
        <v>3862</v>
      </c>
      <c r="J1624" s="7" t="s">
        <v>3815</v>
      </c>
      <c r="K1624" s="7" t="str">
        <f t="shared" si="2"/>
        <v/>
      </c>
      <c r="L1624" s="7" t="str">
        <f t="shared" si="1026"/>
        <v/>
      </c>
      <c r="M1624" s="7">
        <f t="shared" ref="M1624:N1624" si="1645">IF(LEN(M$1),COUNTIF($G1624:$J1624,M$1),"")</f>
        <v>0</v>
      </c>
      <c r="N1624" s="7" t="str">
        <f t="shared" si="1645"/>
        <v/>
      </c>
      <c r="O1624" s="7" t="str">
        <f t="shared" si="1028"/>
        <v/>
      </c>
      <c r="P1624" s="7">
        <f t="shared" si="1635"/>
        <v>0</v>
      </c>
      <c r="Q1624" s="7" t="str">
        <f t="shared" si="7"/>
        <v/>
      </c>
      <c r="T1624" s="7"/>
    </row>
    <row r="1625" ht="12.75" customHeight="1">
      <c r="A1625" s="7">
        <v>1624.0</v>
      </c>
      <c r="B1625" s="7" t="s">
        <v>1501</v>
      </c>
      <c r="C1625" s="7" t="s">
        <v>4756</v>
      </c>
      <c r="D1625" s="7"/>
      <c r="E1625" s="7"/>
      <c r="F1625" s="7" t="s">
        <v>4876</v>
      </c>
      <c r="G1625" s="7" t="s">
        <v>3956</v>
      </c>
      <c r="H1625" s="7" t="s">
        <v>3941</v>
      </c>
      <c r="I1625" s="7" t="s">
        <v>3953</v>
      </c>
      <c r="J1625" s="7" t="s">
        <v>3860</v>
      </c>
      <c r="K1625" s="7" t="str">
        <f t="shared" si="2"/>
        <v/>
      </c>
      <c r="L1625" s="7" t="str">
        <f t="shared" si="1026"/>
        <v/>
      </c>
      <c r="M1625" s="7">
        <f t="shared" ref="M1625:N1625" si="1646">IF(LEN(M$1),COUNTIF($G1625:$J1625,M$1),"")</f>
        <v>0</v>
      </c>
      <c r="N1625" s="7" t="str">
        <f t="shared" si="1646"/>
        <v/>
      </c>
      <c r="O1625" s="7" t="str">
        <f t="shared" si="1028"/>
        <v/>
      </c>
      <c r="P1625" s="7">
        <f t="shared" si="1635"/>
        <v>0</v>
      </c>
      <c r="Q1625" s="7" t="str">
        <f t="shared" si="7"/>
        <v/>
      </c>
      <c r="T1625" s="7"/>
    </row>
    <row r="1626" ht="12.75" customHeight="1">
      <c r="A1626" s="7">
        <v>1625.0</v>
      </c>
      <c r="B1626" s="7" t="s">
        <v>1510</v>
      </c>
      <c r="C1626" s="7" t="s">
        <v>4756</v>
      </c>
      <c r="D1626" s="7"/>
      <c r="E1626" s="7"/>
      <c r="F1626" s="7" t="s">
        <v>4876</v>
      </c>
      <c r="G1626" s="7" t="s">
        <v>3947</v>
      </c>
      <c r="H1626" s="7" t="s">
        <v>3946</v>
      </c>
      <c r="I1626" s="7" t="s">
        <v>3942</v>
      </c>
      <c r="J1626" s="7" t="s">
        <v>3901</v>
      </c>
      <c r="K1626" s="7" t="str">
        <f t="shared" si="2"/>
        <v/>
      </c>
      <c r="L1626" s="7" t="str">
        <f t="shared" si="1026"/>
        <v/>
      </c>
      <c r="M1626" s="7">
        <f t="shared" ref="M1626:N1626" si="1647">IF(LEN(M$1),COUNTIF($G1626:$J1626,M$1),"")</f>
        <v>0</v>
      </c>
      <c r="N1626" s="7" t="str">
        <f t="shared" si="1647"/>
        <v/>
      </c>
      <c r="O1626" s="7" t="str">
        <f t="shared" si="1028"/>
        <v/>
      </c>
      <c r="P1626" s="7">
        <f t="shared" si="1635"/>
        <v>0</v>
      </c>
      <c r="Q1626" s="7" t="str">
        <f t="shared" si="7"/>
        <v/>
      </c>
      <c r="T1626" s="7"/>
    </row>
    <row r="1627" ht="12.75" customHeight="1">
      <c r="A1627" s="7">
        <v>1626.0</v>
      </c>
      <c r="B1627" s="7" t="s">
        <v>1518</v>
      </c>
      <c r="C1627" s="7" t="s">
        <v>4809</v>
      </c>
      <c r="D1627" s="7"/>
      <c r="E1627" s="7"/>
      <c r="F1627" s="7" t="s">
        <v>4876</v>
      </c>
      <c r="G1627" s="7" t="s">
        <v>3930</v>
      </c>
      <c r="H1627" s="7" t="s">
        <v>3868</v>
      </c>
      <c r="I1627" s="7" t="s">
        <v>3951</v>
      </c>
      <c r="J1627" s="7" t="s">
        <v>3932</v>
      </c>
      <c r="K1627" s="7" t="str">
        <f t="shared" si="2"/>
        <v/>
      </c>
      <c r="L1627" s="7" t="str">
        <f t="shared" si="1026"/>
        <v/>
      </c>
      <c r="M1627" s="7">
        <f t="shared" ref="M1627:N1627" si="1648">IF(LEN(M$1),COUNTIF($G1627:$J1627,M$1),"")</f>
        <v>0</v>
      </c>
      <c r="N1627" s="7" t="str">
        <f t="shared" si="1648"/>
        <v/>
      </c>
      <c r="O1627" s="7" t="str">
        <f t="shared" si="1028"/>
        <v/>
      </c>
      <c r="P1627" s="7">
        <f t="shared" si="1635"/>
        <v>0</v>
      </c>
      <c r="Q1627" s="7" t="str">
        <f t="shared" si="7"/>
        <v/>
      </c>
      <c r="T1627" s="7"/>
    </row>
    <row r="1628" ht="12.75" customHeight="1">
      <c r="A1628" s="7">
        <v>1627.0</v>
      </c>
      <c r="B1628" s="7" t="s">
        <v>1527</v>
      </c>
      <c r="C1628" s="7" t="s">
        <v>4809</v>
      </c>
      <c r="D1628" s="7"/>
      <c r="E1628" s="7"/>
      <c r="F1628" s="7" t="s">
        <v>4876</v>
      </c>
      <c r="G1628" s="7" t="s">
        <v>3870</v>
      </c>
      <c r="H1628" s="7" t="s">
        <v>3741</v>
      </c>
      <c r="I1628" s="7" t="s">
        <v>3897</v>
      </c>
      <c r="J1628" s="7" t="s">
        <v>3864</v>
      </c>
      <c r="K1628" s="7" t="str">
        <f t="shared" si="2"/>
        <v/>
      </c>
      <c r="L1628" s="7" t="str">
        <f t="shared" si="1026"/>
        <v/>
      </c>
      <c r="M1628" s="7">
        <f t="shared" ref="M1628:N1628" si="1649">IF(LEN(M$1),COUNTIF($G1628:$J1628,M$1),"")</f>
        <v>0</v>
      </c>
      <c r="N1628" s="7" t="str">
        <f t="shared" si="1649"/>
        <v/>
      </c>
      <c r="O1628" s="7" t="str">
        <f t="shared" si="1028"/>
        <v/>
      </c>
      <c r="P1628" s="7">
        <f t="shared" si="1635"/>
        <v>0</v>
      </c>
      <c r="Q1628" s="7" t="str">
        <f t="shared" si="7"/>
        <v/>
      </c>
      <c r="T1628" s="7"/>
    </row>
    <row r="1629" ht="12.75" customHeight="1">
      <c r="A1629" s="7">
        <v>1628.0</v>
      </c>
      <c r="B1629" s="7" t="s">
        <v>542</v>
      </c>
      <c r="C1629" s="7" t="s">
        <v>4812</v>
      </c>
      <c r="D1629" s="7"/>
      <c r="E1629" s="7"/>
      <c r="F1629" s="7" t="s">
        <v>4876</v>
      </c>
      <c r="G1629" s="7" t="s">
        <v>3902</v>
      </c>
      <c r="H1629" s="7" t="s">
        <v>3827</v>
      </c>
      <c r="I1629" s="7" t="s">
        <v>3915</v>
      </c>
      <c r="J1629" s="7" t="s">
        <v>3872</v>
      </c>
      <c r="K1629" s="7" t="str">
        <f t="shared" si="2"/>
        <v/>
      </c>
      <c r="L1629" s="7" t="str">
        <f t="shared" si="1026"/>
        <v/>
      </c>
      <c r="M1629" s="7">
        <f t="shared" ref="M1629:N1629" si="1650">IF(LEN(M$1),COUNTIF($G1629:$J1629,M$1),"")</f>
        <v>0</v>
      </c>
      <c r="N1629" s="7" t="str">
        <f t="shared" si="1650"/>
        <v/>
      </c>
      <c r="O1629" s="7" t="str">
        <f t="shared" si="1028"/>
        <v/>
      </c>
      <c r="P1629" s="7">
        <f t="shared" si="1635"/>
        <v>0</v>
      </c>
      <c r="Q1629" s="7" t="str">
        <f t="shared" si="7"/>
        <v/>
      </c>
      <c r="T1629" s="7"/>
    </row>
    <row r="1630" ht="12.75" customHeight="1">
      <c r="A1630" s="7">
        <v>1629.0</v>
      </c>
      <c r="B1630" s="7" t="s">
        <v>1540</v>
      </c>
      <c r="C1630" s="7" t="s">
        <v>4812</v>
      </c>
      <c r="D1630" s="7"/>
      <c r="E1630" s="7"/>
      <c r="F1630" s="7" t="s">
        <v>4876</v>
      </c>
      <c r="G1630" s="7" t="s">
        <v>3880</v>
      </c>
      <c r="H1630" s="7" t="s">
        <v>3837</v>
      </c>
      <c r="I1630" s="7" t="s">
        <v>3949</v>
      </c>
      <c r="J1630" s="7" t="s">
        <v>3954</v>
      </c>
      <c r="K1630" s="7" t="str">
        <f t="shared" si="2"/>
        <v/>
      </c>
      <c r="L1630" s="7" t="str">
        <f t="shared" si="1026"/>
        <v/>
      </c>
      <c r="M1630" s="7">
        <f t="shared" ref="M1630:N1630" si="1651">IF(LEN(M$1),COUNTIF($G1630:$J1630,M$1),"")</f>
        <v>0</v>
      </c>
      <c r="N1630" s="7" t="str">
        <f t="shared" si="1651"/>
        <v/>
      </c>
      <c r="O1630" s="7" t="str">
        <f t="shared" si="1028"/>
        <v/>
      </c>
      <c r="P1630" s="7">
        <f t="shared" si="1635"/>
        <v>0</v>
      </c>
      <c r="Q1630" s="7" t="str">
        <f t="shared" si="7"/>
        <v/>
      </c>
      <c r="T1630" s="7"/>
    </row>
    <row r="1631" ht="12.75" customHeight="1">
      <c r="A1631" s="7">
        <v>1630.0</v>
      </c>
      <c r="B1631" s="7" t="s">
        <v>1549</v>
      </c>
      <c r="C1631" s="7" t="s">
        <v>4814</v>
      </c>
      <c r="D1631" s="7"/>
      <c r="E1631" s="7"/>
      <c r="F1631" s="7" t="s">
        <v>4876</v>
      </c>
      <c r="G1631" s="7" t="s">
        <v>3915</v>
      </c>
      <c r="H1631" s="7" t="s">
        <v>3868</v>
      </c>
      <c r="I1631" s="7" t="s">
        <v>3904</v>
      </c>
      <c r="J1631" s="7" t="s">
        <v>3902</v>
      </c>
      <c r="K1631" s="7" t="str">
        <f t="shared" si="2"/>
        <v/>
      </c>
      <c r="L1631" s="7" t="str">
        <f t="shared" si="1026"/>
        <v/>
      </c>
      <c r="M1631" s="7">
        <f t="shared" ref="M1631:N1631" si="1652">IF(LEN(M$1),COUNTIF($G1631:$J1631,M$1),"")</f>
        <v>0</v>
      </c>
      <c r="N1631" s="7" t="str">
        <f t="shared" si="1652"/>
        <v/>
      </c>
      <c r="O1631" s="7" t="str">
        <f t="shared" si="1028"/>
        <v/>
      </c>
      <c r="P1631" s="7">
        <f t="shared" si="1635"/>
        <v>0</v>
      </c>
      <c r="Q1631" s="7" t="str">
        <f t="shared" si="7"/>
        <v/>
      </c>
      <c r="T1631" s="7"/>
    </row>
    <row r="1632" ht="12.75" customHeight="1">
      <c r="A1632" s="7">
        <v>1631.0</v>
      </c>
      <c r="B1632" s="7" t="s">
        <v>1556</v>
      </c>
      <c r="C1632" s="7" t="s">
        <v>4814</v>
      </c>
      <c r="D1632" s="7"/>
      <c r="E1632" s="7"/>
      <c r="F1632" s="7" t="s">
        <v>4876</v>
      </c>
      <c r="G1632" s="7" t="s">
        <v>3911</v>
      </c>
      <c r="H1632" s="7" t="s">
        <v>3743</v>
      </c>
      <c r="I1632" s="7" t="s">
        <v>3932</v>
      </c>
      <c r="J1632" s="7" t="s">
        <v>3818</v>
      </c>
      <c r="K1632" s="7" t="str">
        <f t="shared" si="2"/>
        <v/>
      </c>
      <c r="L1632" s="7" t="str">
        <f t="shared" si="1026"/>
        <v/>
      </c>
      <c r="M1632" s="7">
        <f t="shared" ref="M1632:N1632" si="1653">IF(LEN(M$1),COUNTIF($G1632:$J1632,M$1),"")</f>
        <v>0</v>
      </c>
      <c r="N1632" s="7" t="str">
        <f t="shared" si="1653"/>
        <v/>
      </c>
      <c r="O1632" s="7" t="str">
        <f t="shared" si="1028"/>
        <v/>
      </c>
      <c r="P1632" s="7">
        <f t="shared" si="1635"/>
        <v>0</v>
      </c>
      <c r="Q1632" s="7" t="str">
        <f t="shared" si="7"/>
        <v/>
      </c>
      <c r="T1632" s="7"/>
    </row>
    <row r="1633" ht="12.75" customHeight="1">
      <c r="A1633" s="7">
        <v>1632.0</v>
      </c>
      <c r="B1633" s="7" t="s">
        <v>1148</v>
      </c>
      <c r="C1633" s="7" t="s">
        <v>4850</v>
      </c>
      <c r="D1633" s="7"/>
      <c r="E1633" s="7"/>
      <c r="F1633" s="7" t="s">
        <v>4876</v>
      </c>
      <c r="G1633" s="7" t="s">
        <v>3954</v>
      </c>
      <c r="H1633" s="7" t="s">
        <v>3739</v>
      </c>
      <c r="I1633" s="7" t="s">
        <v>3904</v>
      </c>
      <c r="J1633" s="7" t="s">
        <v>3948</v>
      </c>
      <c r="K1633" s="7" t="str">
        <f t="shared" si="2"/>
        <v/>
      </c>
      <c r="L1633" s="7" t="str">
        <f t="shared" si="1026"/>
        <v/>
      </c>
      <c r="M1633" s="7">
        <f t="shared" ref="M1633:N1633" si="1654">IF(LEN(M$1),COUNTIF($G1633:$J1633,M$1),"")</f>
        <v>0</v>
      </c>
      <c r="N1633" s="7" t="str">
        <f t="shared" si="1654"/>
        <v/>
      </c>
      <c r="O1633" s="7" t="str">
        <f t="shared" si="1028"/>
        <v/>
      </c>
      <c r="P1633" s="7">
        <f t="shared" si="1635"/>
        <v>0</v>
      </c>
      <c r="Q1633" s="7" t="str">
        <f t="shared" si="7"/>
        <v/>
      </c>
      <c r="T1633" s="7"/>
    </row>
    <row r="1634" ht="12.75" customHeight="1">
      <c r="A1634" s="7">
        <v>1633.0</v>
      </c>
      <c r="B1634" s="7" t="s">
        <v>1570</v>
      </c>
      <c r="C1634" s="7" t="s">
        <v>4850</v>
      </c>
      <c r="D1634" s="7"/>
      <c r="E1634" s="7"/>
      <c r="F1634" s="7" t="s">
        <v>4876</v>
      </c>
      <c r="G1634" s="7" t="s">
        <v>3947</v>
      </c>
      <c r="H1634" s="7" t="s">
        <v>3930</v>
      </c>
      <c r="I1634" s="7" t="s">
        <v>3928</v>
      </c>
      <c r="J1634" s="7" t="s">
        <v>3904</v>
      </c>
      <c r="K1634" s="7" t="str">
        <f t="shared" si="2"/>
        <v/>
      </c>
      <c r="L1634" s="7" t="str">
        <f t="shared" si="1026"/>
        <v/>
      </c>
      <c r="M1634" s="7">
        <f t="shared" ref="M1634:N1634" si="1655">IF(LEN(M$1),COUNTIF($G1634:$J1634,M$1),"")</f>
        <v>0</v>
      </c>
      <c r="N1634" s="7" t="str">
        <f t="shared" si="1655"/>
        <v/>
      </c>
      <c r="O1634" s="7" t="str">
        <f t="shared" si="1028"/>
        <v/>
      </c>
      <c r="P1634" s="7">
        <f t="shared" si="1635"/>
        <v>0</v>
      </c>
      <c r="Q1634" s="7" t="str">
        <f t="shared" si="7"/>
        <v/>
      </c>
      <c r="T1634" s="7"/>
    </row>
    <row r="1635" ht="12.75" customHeight="1">
      <c r="A1635" s="7">
        <v>1634.0</v>
      </c>
      <c r="B1635" s="7" t="s">
        <v>1577</v>
      </c>
      <c r="C1635" s="7" t="s">
        <v>4849</v>
      </c>
      <c r="D1635" s="7"/>
      <c r="E1635" s="7"/>
      <c r="F1635" s="7" t="s">
        <v>4876</v>
      </c>
      <c r="G1635" s="7" t="s">
        <v>3764</v>
      </c>
      <c r="H1635" s="7" t="s">
        <v>3899</v>
      </c>
      <c r="I1635" s="7" t="s">
        <v>3875</v>
      </c>
      <c r="J1635" s="7" t="s">
        <v>3727</v>
      </c>
      <c r="K1635" s="7" t="str">
        <f t="shared" si="2"/>
        <v/>
      </c>
      <c r="L1635" s="7" t="str">
        <f t="shared" si="1026"/>
        <v/>
      </c>
      <c r="M1635" s="7">
        <f t="shared" ref="M1635:N1635" si="1656">IF(LEN(M$1),COUNTIF($G1635:$J1635,M$1),"")</f>
        <v>0</v>
      </c>
      <c r="N1635" s="7" t="str">
        <f t="shared" si="1656"/>
        <v/>
      </c>
      <c r="O1635" s="7" t="str">
        <f t="shared" si="1028"/>
        <v/>
      </c>
      <c r="P1635" s="7">
        <f t="shared" si="1635"/>
        <v>0</v>
      </c>
      <c r="Q1635" s="7" t="str">
        <f t="shared" si="7"/>
        <v/>
      </c>
      <c r="T1635" s="7"/>
    </row>
    <row r="1636" ht="12.75" customHeight="1">
      <c r="A1636" s="7">
        <v>1635.0</v>
      </c>
      <c r="B1636" s="7" t="s">
        <v>1585</v>
      </c>
      <c r="C1636" s="7" t="s">
        <v>4849</v>
      </c>
      <c r="D1636" s="7"/>
      <c r="E1636" s="7"/>
      <c r="F1636" s="7" t="s">
        <v>4876</v>
      </c>
      <c r="G1636" s="7" t="s">
        <v>3872</v>
      </c>
      <c r="H1636" s="7" t="s">
        <v>3895</v>
      </c>
      <c r="I1636" s="7" t="s">
        <v>3880</v>
      </c>
      <c r="J1636" s="7" t="s">
        <v>3875</v>
      </c>
      <c r="K1636" s="7" t="str">
        <f t="shared" si="2"/>
        <v/>
      </c>
      <c r="L1636" s="7" t="str">
        <f t="shared" si="1026"/>
        <v/>
      </c>
      <c r="M1636" s="7">
        <f t="shared" ref="M1636:N1636" si="1657">IF(LEN(M$1),COUNTIF($G1636:$J1636,M$1),"")</f>
        <v>0</v>
      </c>
      <c r="N1636" s="7" t="str">
        <f t="shared" si="1657"/>
        <v/>
      </c>
      <c r="O1636" s="7" t="str">
        <f t="shared" si="1028"/>
        <v/>
      </c>
      <c r="P1636" s="7">
        <f t="shared" si="1635"/>
        <v>0</v>
      </c>
      <c r="Q1636" s="7" t="str">
        <f t="shared" si="7"/>
        <v/>
      </c>
      <c r="T1636" s="7"/>
    </row>
    <row r="1637" ht="12.75" customHeight="1">
      <c r="A1637" s="7">
        <v>1636.0</v>
      </c>
      <c r="B1637" s="7" t="s">
        <v>1593</v>
      </c>
      <c r="C1637" s="7" t="s">
        <v>4740</v>
      </c>
      <c r="D1637" s="7"/>
      <c r="E1637" s="7"/>
      <c r="F1637" s="7" t="s">
        <v>4876</v>
      </c>
      <c r="G1637" s="7" t="s">
        <v>3845</v>
      </c>
      <c r="H1637" s="7" t="s">
        <v>3915</v>
      </c>
      <c r="I1637" s="7" t="s">
        <v>3880</v>
      </c>
      <c r="J1637" s="7" t="s">
        <v>3727</v>
      </c>
      <c r="K1637" s="7" t="str">
        <f t="shared" si="2"/>
        <v/>
      </c>
      <c r="L1637" s="7" t="str">
        <f t="shared" si="1026"/>
        <v/>
      </c>
      <c r="M1637" s="7">
        <f t="shared" ref="M1637:N1637" si="1658">IF(LEN(M$1),COUNTIF($G1637:$J1637,M$1),"")</f>
        <v>0</v>
      </c>
      <c r="N1637" s="7" t="str">
        <f t="shared" si="1658"/>
        <v/>
      </c>
      <c r="O1637" s="7" t="str">
        <f t="shared" si="1028"/>
        <v/>
      </c>
      <c r="P1637" s="7">
        <f t="shared" si="1635"/>
        <v>0</v>
      </c>
      <c r="Q1637" s="7" t="str">
        <f t="shared" si="7"/>
        <v/>
      </c>
      <c r="T1637" s="7"/>
    </row>
    <row r="1638" ht="12.75" customHeight="1">
      <c r="A1638" s="7">
        <v>1637.0</v>
      </c>
      <c r="B1638" s="7" t="s">
        <v>1600</v>
      </c>
      <c r="C1638" s="7" t="s">
        <v>4740</v>
      </c>
      <c r="D1638" s="7"/>
      <c r="E1638" s="7"/>
      <c r="F1638" s="7" t="s">
        <v>4876</v>
      </c>
      <c r="G1638" s="7" t="s">
        <v>3951</v>
      </c>
      <c r="H1638" s="7" t="s">
        <v>3941</v>
      </c>
      <c r="I1638" s="7" t="s">
        <v>3919</v>
      </c>
      <c r="J1638" s="7" t="s">
        <v>3897</v>
      </c>
      <c r="K1638" s="7" t="str">
        <f t="shared" si="2"/>
        <v/>
      </c>
      <c r="L1638" s="7" t="str">
        <f t="shared" si="1026"/>
        <v/>
      </c>
      <c r="M1638" s="7">
        <f t="shared" ref="M1638:N1638" si="1659">IF(LEN(M$1),COUNTIF($G1638:$J1638,M$1),"")</f>
        <v>0</v>
      </c>
      <c r="N1638" s="7" t="str">
        <f t="shared" si="1659"/>
        <v/>
      </c>
      <c r="O1638" s="7" t="str">
        <f t="shared" si="1028"/>
        <v/>
      </c>
      <c r="P1638" s="7">
        <f t="shared" si="1635"/>
        <v>0</v>
      </c>
      <c r="Q1638" s="7" t="str">
        <f t="shared" si="7"/>
        <v/>
      </c>
      <c r="T1638" s="7"/>
    </row>
    <row r="1639" ht="12.75" customHeight="1">
      <c r="A1639" s="7">
        <v>1638.0</v>
      </c>
      <c r="B1639" s="7" t="s">
        <v>1607</v>
      </c>
      <c r="C1639" s="7" t="s">
        <v>4743</v>
      </c>
      <c r="D1639" s="7"/>
      <c r="E1639" s="7"/>
      <c r="F1639" s="7" t="s">
        <v>4876</v>
      </c>
      <c r="G1639" s="7" t="s">
        <v>3941</v>
      </c>
      <c r="H1639" s="7" t="s">
        <v>3801</v>
      </c>
      <c r="I1639" s="7" t="s">
        <v>3954</v>
      </c>
      <c r="J1639" s="7" t="s">
        <v>3850</v>
      </c>
      <c r="K1639" s="7" t="str">
        <f t="shared" si="2"/>
        <v/>
      </c>
      <c r="L1639" s="7" t="str">
        <f t="shared" si="1026"/>
        <v/>
      </c>
      <c r="M1639" s="7">
        <f t="shared" ref="M1639:N1639" si="1660">IF(LEN(M$1),COUNTIF($G1639:$J1639,M$1),"")</f>
        <v>0</v>
      </c>
      <c r="N1639" s="7" t="str">
        <f t="shared" si="1660"/>
        <v/>
      </c>
      <c r="O1639" s="7" t="str">
        <f t="shared" si="1028"/>
        <v/>
      </c>
      <c r="P1639" s="7">
        <f t="shared" si="1635"/>
        <v>0</v>
      </c>
      <c r="Q1639" s="7" t="str">
        <f t="shared" si="7"/>
        <v/>
      </c>
      <c r="T1639" s="7"/>
    </row>
    <row r="1640" ht="12.75" customHeight="1">
      <c r="A1640" s="7">
        <v>1639.0</v>
      </c>
      <c r="B1640" s="7" t="s">
        <v>1614</v>
      </c>
      <c r="C1640" s="7" t="s">
        <v>4743</v>
      </c>
      <c r="D1640" s="7"/>
      <c r="E1640" s="7"/>
      <c r="F1640" s="7" t="s">
        <v>4876</v>
      </c>
      <c r="G1640" s="7" t="s">
        <v>3946</v>
      </c>
      <c r="H1640" s="7" t="s">
        <v>3858</v>
      </c>
      <c r="I1640" s="7" t="s">
        <v>3919</v>
      </c>
      <c r="J1640" s="7" t="s">
        <v>3954</v>
      </c>
      <c r="K1640" s="7" t="str">
        <f t="shared" si="2"/>
        <v/>
      </c>
      <c r="L1640" s="7" t="str">
        <f t="shared" si="1026"/>
        <v/>
      </c>
      <c r="M1640" s="7">
        <f t="shared" ref="M1640:N1640" si="1661">IF(LEN(M$1),COUNTIF($G1640:$J1640,M$1),"")</f>
        <v>0</v>
      </c>
      <c r="N1640" s="7" t="str">
        <f t="shared" si="1661"/>
        <v/>
      </c>
      <c r="O1640" s="7" t="str">
        <f t="shared" si="1028"/>
        <v/>
      </c>
      <c r="P1640" s="7">
        <f t="shared" si="1635"/>
        <v>0</v>
      </c>
      <c r="Q1640" s="7" t="str">
        <f t="shared" si="7"/>
        <v/>
      </c>
      <c r="T1640" s="7"/>
    </row>
    <row r="1641" ht="12.75" customHeight="1">
      <c r="A1641" s="7">
        <v>1640.0</v>
      </c>
      <c r="B1641" s="7" t="s">
        <v>1622</v>
      </c>
      <c r="C1641" s="7" t="s">
        <v>4756</v>
      </c>
      <c r="D1641" s="7"/>
      <c r="E1641" s="7"/>
      <c r="F1641" s="7" t="s">
        <v>4876</v>
      </c>
      <c r="G1641" s="7" t="s">
        <v>3906</v>
      </c>
      <c r="H1641" s="7" t="s">
        <v>4006</v>
      </c>
      <c r="I1641" s="7" t="s">
        <v>3919</v>
      </c>
      <c r="J1641" s="7" t="s">
        <v>3928</v>
      </c>
      <c r="K1641" s="7" t="str">
        <f t="shared" si="2"/>
        <v/>
      </c>
      <c r="L1641" s="7" t="str">
        <f t="shared" si="1026"/>
        <v/>
      </c>
      <c r="M1641" s="7">
        <f t="shared" ref="M1641:N1641" si="1662">IF(LEN(M$1),COUNTIF($G1641:$J1641,M$1),"")</f>
        <v>0</v>
      </c>
      <c r="N1641" s="7" t="str">
        <f t="shared" si="1662"/>
        <v/>
      </c>
      <c r="O1641" s="7" t="str">
        <f t="shared" si="1028"/>
        <v/>
      </c>
      <c r="P1641" s="7">
        <f t="shared" si="1635"/>
        <v>0</v>
      </c>
      <c r="Q1641" s="7" t="str">
        <f t="shared" si="7"/>
        <v/>
      </c>
      <c r="T1641" s="7"/>
    </row>
    <row r="1642" ht="12.75" customHeight="1">
      <c r="A1642" s="7">
        <v>1641.0</v>
      </c>
      <c r="B1642" s="7" t="s">
        <v>1630</v>
      </c>
      <c r="C1642" s="7" t="s">
        <v>4756</v>
      </c>
      <c r="D1642" s="7"/>
      <c r="E1642" s="7"/>
      <c r="F1642" s="7" t="s">
        <v>4876</v>
      </c>
      <c r="G1642" s="7" t="s">
        <v>3878</v>
      </c>
      <c r="H1642" s="7" t="s">
        <v>3780</v>
      </c>
      <c r="I1642" s="7" t="s">
        <v>3906</v>
      </c>
      <c r="J1642" s="7" t="s">
        <v>3727</v>
      </c>
      <c r="K1642" s="7" t="str">
        <f t="shared" si="2"/>
        <v/>
      </c>
      <c r="L1642" s="7" t="str">
        <f t="shared" si="1026"/>
        <v/>
      </c>
      <c r="M1642" s="7">
        <f t="shared" ref="M1642:N1642" si="1663">IF(LEN(M$1),COUNTIF($G1642:$J1642,M$1),"")</f>
        <v>0</v>
      </c>
      <c r="N1642" s="7" t="str">
        <f t="shared" si="1663"/>
        <v/>
      </c>
      <c r="O1642" s="7" t="str">
        <f t="shared" si="1028"/>
        <v/>
      </c>
      <c r="P1642" s="7">
        <f t="shared" si="1635"/>
        <v>0</v>
      </c>
      <c r="Q1642" s="7" t="str">
        <f t="shared" si="7"/>
        <v/>
      </c>
      <c r="T1642" s="7"/>
    </row>
    <row r="1643" ht="12.75" customHeight="1">
      <c r="A1643" s="7">
        <v>1642.0</v>
      </c>
      <c r="B1643" s="7" t="s">
        <v>1638</v>
      </c>
      <c r="C1643" s="7" t="s">
        <v>4758</v>
      </c>
      <c r="D1643" s="7"/>
      <c r="E1643" s="7"/>
      <c r="F1643" s="7" t="s">
        <v>4876</v>
      </c>
      <c r="G1643" s="7" t="s">
        <v>3866</v>
      </c>
      <c r="H1643" s="7" t="s">
        <v>4439</v>
      </c>
      <c r="I1643" s="7" t="s">
        <v>3887</v>
      </c>
      <c r="J1643" s="7" t="s">
        <v>3911</v>
      </c>
      <c r="K1643" s="7" t="str">
        <f t="shared" si="2"/>
        <v/>
      </c>
      <c r="L1643" s="7" t="str">
        <f t="shared" si="1026"/>
        <v/>
      </c>
      <c r="M1643" s="7">
        <f t="shared" ref="M1643:N1643" si="1664">IF(LEN(M$1),COUNTIF($G1643:$J1643,M$1),"")</f>
        <v>0</v>
      </c>
      <c r="N1643" s="7" t="str">
        <f t="shared" si="1664"/>
        <v/>
      </c>
      <c r="O1643" s="7" t="str">
        <f t="shared" si="1028"/>
        <v/>
      </c>
      <c r="P1643" s="7">
        <f t="shared" si="1635"/>
        <v>0</v>
      </c>
      <c r="Q1643" s="7" t="str">
        <f t="shared" si="7"/>
        <v/>
      </c>
      <c r="T1643" s="7"/>
    </row>
    <row r="1644" ht="12.75" customHeight="1">
      <c r="A1644" s="7">
        <v>1643.0</v>
      </c>
      <c r="B1644" s="7" t="s">
        <v>1645</v>
      </c>
      <c r="C1644" s="7" t="s">
        <v>4758</v>
      </c>
      <c r="D1644" s="7"/>
      <c r="E1644" s="7"/>
      <c r="F1644" s="7" t="s">
        <v>4876</v>
      </c>
      <c r="G1644" s="7" t="s">
        <v>3935</v>
      </c>
      <c r="H1644" s="7" t="s">
        <v>4310</v>
      </c>
      <c r="I1644" s="7" t="s">
        <v>3956</v>
      </c>
      <c r="J1644" s="7" t="s">
        <v>3906</v>
      </c>
      <c r="K1644" s="7" t="str">
        <f t="shared" si="2"/>
        <v/>
      </c>
      <c r="L1644" s="7" t="str">
        <f t="shared" si="1026"/>
        <v/>
      </c>
      <c r="M1644" s="7">
        <f t="shared" ref="M1644:N1644" si="1665">IF(LEN(M$1),COUNTIF($G1644:$J1644,M$1),"")</f>
        <v>0</v>
      </c>
      <c r="N1644" s="7" t="str">
        <f t="shared" si="1665"/>
        <v/>
      </c>
      <c r="O1644" s="7" t="str">
        <f t="shared" si="1028"/>
        <v/>
      </c>
      <c r="P1644" s="7">
        <f t="shared" si="1635"/>
        <v>0</v>
      </c>
      <c r="Q1644" s="7" t="str">
        <f t="shared" si="7"/>
        <v/>
      </c>
      <c r="T1644" s="7"/>
    </row>
    <row r="1645" ht="12.75" customHeight="1">
      <c r="A1645" s="7">
        <v>1644.0</v>
      </c>
      <c r="B1645" s="7" t="s">
        <v>1653</v>
      </c>
      <c r="C1645" s="7" t="s">
        <v>4775</v>
      </c>
      <c r="D1645" s="7"/>
      <c r="E1645" s="7"/>
      <c r="F1645" s="7" t="s">
        <v>4876</v>
      </c>
      <c r="G1645" s="7" t="s">
        <v>3827</v>
      </c>
      <c r="H1645" s="7" t="s">
        <v>3884</v>
      </c>
      <c r="I1645" s="7" t="s">
        <v>3951</v>
      </c>
      <c r="J1645" s="7" t="s">
        <v>3821</v>
      </c>
      <c r="K1645" s="7" t="str">
        <f t="shared" si="2"/>
        <v/>
      </c>
      <c r="L1645" s="7" t="str">
        <f t="shared" si="1026"/>
        <v/>
      </c>
      <c r="M1645" s="7">
        <f t="shared" ref="M1645:N1645" si="1666">IF(LEN(M$1),COUNTIF($G1645:$J1645,M$1),"")</f>
        <v>0</v>
      </c>
      <c r="N1645" s="7" t="str">
        <f t="shared" si="1666"/>
        <v/>
      </c>
      <c r="O1645" s="7" t="str">
        <f t="shared" si="1028"/>
        <v/>
      </c>
      <c r="P1645" s="7">
        <f t="shared" si="1635"/>
        <v>0</v>
      </c>
      <c r="Q1645" s="7" t="str">
        <f t="shared" si="7"/>
        <v/>
      </c>
      <c r="T1645" s="7"/>
    </row>
    <row r="1646" ht="12.75" customHeight="1">
      <c r="A1646" s="7">
        <v>1645.0</v>
      </c>
      <c r="B1646" s="7" t="s">
        <v>1660</v>
      </c>
      <c r="C1646" s="7" t="s">
        <v>4775</v>
      </c>
      <c r="D1646" s="7"/>
      <c r="E1646" s="7"/>
      <c r="F1646" s="7" t="s">
        <v>4876</v>
      </c>
      <c r="G1646" s="7" t="s">
        <v>3842</v>
      </c>
      <c r="H1646" s="7" t="s">
        <v>3948</v>
      </c>
      <c r="I1646" s="7" t="s">
        <v>3919</v>
      </c>
      <c r="J1646" s="7" t="s">
        <v>4057</v>
      </c>
      <c r="K1646" s="7" t="str">
        <f t="shared" si="2"/>
        <v/>
      </c>
      <c r="L1646" s="7" t="str">
        <f t="shared" si="1026"/>
        <v/>
      </c>
      <c r="M1646" s="7">
        <f t="shared" ref="M1646:N1646" si="1667">IF(LEN(M$1),COUNTIF($G1646:$J1646,M$1),"")</f>
        <v>0</v>
      </c>
      <c r="N1646" s="7" t="str">
        <f t="shared" si="1667"/>
        <v/>
      </c>
      <c r="O1646" s="7" t="str">
        <f t="shared" si="1028"/>
        <v/>
      </c>
      <c r="P1646" s="7">
        <f t="shared" si="1635"/>
        <v>0</v>
      </c>
      <c r="Q1646" s="7" t="str">
        <f t="shared" si="7"/>
        <v/>
      </c>
      <c r="T1646" s="7"/>
    </row>
    <row r="1647" ht="12.75" customHeight="1">
      <c r="A1647" s="7">
        <v>1646.0</v>
      </c>
      <c r="B1647" s="7" t="s">
        <v>85</v>
      </c>
      <c r="C1647" s="7" t="s">
        <v>4778</v>
      </c>
      <c r="D1647" s="7"/>
      <c r="E1647" s="7"/>
      <c r="F1647" s="7" t="s">
        <v>4876</v>
      </c>
      <c r="G1647" s="7" t="s">
        <v>3941</v>
      </c>
      <c r="H1647" s="7" t="s">
        <v>4092</v>
      </c>
      <c r="I1647" s="7" t="s">
        <v>3895</v>
      </c>
      <c r="J1647" s="7" t="s">
        <v>3782</v>
      </c>
      <c r="K1647" s="7" t="str">
        <f t="shared" si="2"/>
        <v/>
      </c>
      <c r="L1647" s="7" t="str">
        <f t="shared" si="1026"/>
        <v/>
      </c>
      <c r="M1647" s="7">
        <f t="shared" ref="M1647:N1647" si="1668">IF(LEN(M$1),COUNTIF($G1647:$J1647,M$1),"")</f>
        <v>0</v>
      </c>
      <c r="N1647" s="7" t="str">
        <f t="shared" si="1668"/>
        <v/>
      </c>
      <c r="O1647" s="7" t="str">
        <f t="shared" si="1028"/>
        <v/>
      </c>
      <c r="P1647" s="7">
        <f t="shared" si="1635"/>
        <v>0</v>
      </c>
      <c r="Q1647" s="7" t="str">
        <f t="shared" si="7"/>
        <v/>
      </c>
      <c r="T1647" s="7"/>
    </row>
    <row r="1648" ht="12.75" customHeight="1">
      <c r="A1648" s="7">
        <v>1647.0</v>
      </c>
      <c r="B1648" s="7" t="s">
        <v>1673</v>
      </c>
      <c r="C1648" s="7" t="s">
        <v>4778</v>
      </c>
      <c r="D1648" s="7"/>
      <c r="E1648" s="7"/>
      <c r="F1648" s="7" t="s">
        <v>4876</v>
      </c>
      <c r="G1648" s="7" t="s">
        <v>3941</v>
      </c>
      <c r="H1648" s="7" t="s">
        <v>3932</v>
      </c>
      <c r="I1648" s="7" t="s">
        <v>3899</v>
      </c>
      <c r="J1648" s="7" t="s">
        <v>3902</v>
      </c>
      <c r="K1648" s="7" t="str">
        <f t="shared" si="2"/>
        <v/>
      </c>
      <c r="L1648" s="7" t="str">
        <f t="shared" si="1026"/>
        <v/>
      </c>
      <c r="M1648" s="7">
        <f t="shared" ref="M1648:N1648" si="1669">IF(LEN(M$1),COUNTIF($G1648:$J1648,M$1),"")</f>
        <v>0</v>
      </c>
      <c r="N1648" s="7" t="str">
        <f t="shared" si="1669"/>
        <v/>
      </c>
      <c r="O1648" s="7" t="str">
        <f t="shared" si="1028"/>
        <v/>
      </c>
      <c r="P1648" s="7">
        <f t="shared" si="1635"/>
        <v>0</v>
      </c>
      <c r="Q1648" s="7" t="str">
        <f t="shared" si="7"/>
        <v/>
      </c>
      <c r="T1648" s="7"/>
    </row>
    <row r="1649" ht="12.75" customHeight="1">
      <c r="A1649" s="7">
        <v>1648.0</v>
      </c>
      <c r="B1649" s="7" t="s">
        <v>1673</v>
      </c>
      <c r="C1649" s="7" t="s">
        <v>4778</v>
      </c>
      <c r="D1649" s="7"/>
      <c r="E1649" s="7"/>
      <c r="F1649" s="7" t="s">
        <v>4876</v>
      </c>
      <c r="G1649" s="7" t="s">
        <v>3956</v>
      </c>
      <c r="H1649" s="7" t="s">
        <v>3935</v>
      </c>
      <c r="I1649" s="7" t="s">
        <v>3946</v>
      </c>
      <c r="J1649" s="7" t="s">
        <v>3734</v>
      </c>
      <c r="K1649" s="7" t="str">
        <f t="shared" si="2"/>
        <v/>
      </c>
      <c r="L1649" s="7" t="str">
        <f t="shared" si="1026"/>
        <v/>
      </c>
      <c r="M1649" s="7">
        <f t="shared" ref="M1649:N1649" si="1670">IF(LEN(M$1),COUNTIF($G1649:$J1649,M$1),"")</f>
        <v>0</v>
      </c>
      <c r="N1649" s="7" t="str">
        <f t="shared" si="1670"/>
        <v/>
      </c>
      <c r="O1649" s="7" t="str">
        <f t="shared" si="1028"/>
        <v/>
      </c>
      <c r="P1649" s="7">
        <f t="shared" si="1635"/>
        <v>0</v>
      </c>
      <c r="Q1649" s="7" t="str">
        <f t="shared" si="7"/>
        <v/>
      </c>
      <c r="T1649" s="7"/>
    </row>
    <row r="1650" ht="12.75" customHeight="1">
      <c r="A1650" s="7">
        <v>1649.0</v>
      </c>
      <c r="B1650" s="7" t="s">
        <v>1680</v>
      </c>
      <c r="C1650" s="7" t="s">
        <v>4819</v>
      </c>
      <c r="D1650" s="7"/>
      <c r="E1650" s="7"/>
      <c r="F1650" s="7" t="s">
        <v>4876</v>
      </c>
      <c r="G1650" s="7" t="s">
        <v>3944</v>
      </c>
      <c r="H1650" s="7" t="s">
        <v>3860</v>
      </c>
      <c r="I1650" s="7" t="s">
        <v>3932</v>
      </c>
      <c r="J1650" s="7" t="s">
        <v>3930</v>
      </c>
      <c r="K1650" s="7" t="str">
        <f t="shared" si="2"/>
        <v/>
      </c>
      <c r="L1650" s="7" t="str">
        <f t="shared" si="1026"/>
        <v/>
      </c>
      <c r="M1650" s="7">
        <f t="shared" ref="M1650:N1650" si="1671">IF(LEN(M$1),COUNTIF($G1650:$J1650,M$1),"")</f>
        <v>0</v>
      </c>
      <c r="N1650" s="7" t="str">
        <f t="shared" si="1671"/>
        <v/>
      </c>
      <c r="O1650" s="7" t="str">
        <f t="shared" si="1028"/>
        <v/>
      </c>
      <c r="P1650" s="7">
        <f t="shared" si="1635"/>
        <v>0</v>
      </c>
      <c r="Q1650" s="7" t="str">
        <f t="shared" si="7"/>
        <v/>
      </c>
      <c r="T1650" s="7"/>
    </row>
    <row r="1651" ht="12.75" customHeight="1">
      <c r="A1651" s="7">
        <v>1650.0</v>
      </c>
      <c r="B1651" s="7" t="s">
        <v>1680</v>
      </c>
      <c r="C1651" s="7" t="s">
        <v>4819</v>
      </c>
      <c r="D1651" s="7"/>
      <c r="E1651" s="7"/>
      <c r="F1651" s="7" t="s">
        <v>4876</v>
      </c>
      <c r="G1651" s="7" t="s">
        <v>3862</v>
      </c>
      <c r="H1651" s="7" t="s">
        <v>3901</v>
      </c>
      <c r="I1651" s="7" t="s">
        <v>3955</v>
      </c>
      <c r="J1651" s="7" t="s">
        <v>3944</v>
      </c>
      <c r="K1651" s="7" t="str">
        <f t="shared" si="2"/>
        <v/>
      </c>
      <c r="L1651" s="7" t="str">
        <f t="shared" si="1026"/>
        <v/>
      </c>
      <c r="M1651" s="7">
        <f t="shared" ref="M1651:N1651" si="1672">IF(LEN(M$1),COUNTIF($G1651:$J1651,M$1),"")</f>
        <v>0</v>
      </c>
      <c r="N1651" s="7" t="str">
        <f t="shared" si="1672"/>
        <v/>
      </c>
      <c r="O1651" s="7" t="str">
        <f t="shared" si="1028"/>
        <v/>
      </c>
      <c r="P1651" s="7">
        <f t="shared" si="1635"/>
        <v>0</v>
      </c>
      <c r="Q1651" s="7" t="str">
        <f t="shared" si="7"/>
        <v/>
      </c>
      <c r="T1651" s="7"/>
    </row>
    <row r="1652" ht="12.75" customHeight="1">
      <c r="A1652" s="7">
        <v>1651.0</v>
      </c>
      <c r="B1652" s="7" t="s">
        <v>1688</v>
      </c>
      <c r="C1652" s="7" t="s">
        <v>4819</v>
      </c>
      <c r="D1652" s="7"/>
      <c r="E1652" s="7"/>
      <c r="F1652" s="7" t="s">
        <v>4876</v>
      </c>
      <c r="G1652" s="7" t="s">
        <v>3872</v>
      </c>
      <c r="H1652" s="7" t="s">
        <v>3887</v>
      </c>
      <c r="I1652" s="7" t="s">
        <v>3866</v>
      </c>
      <c r="J1652" s="7" t="s">
        <v>3915</v>
      </c>
      <c r="K1652" s="7" t="str">
        <f t="shared" si="2"/>
        <v/>
      </c>
      <c r="L1652" s="7" t="str">
        <f t="shared" si="1026"/>
        <v/>
      </c>
      <c r="M1652" s="7">
        <f t="shared" ref="M1652:N1652" si="1673">IF(LEN(M$1),COUNTIF($G1652:$J1652,M$1),"")</f>
        <v>0</v>
      </c>
      <c r="N1652" s="7" t="str">
        <f t="shared" si="1673"/>
        <v/>
      </c>
      <c r="O1652" s="7" t="str">
        <f t="shared" si="1028"/>
        <v/>
      </c>
      <c r="P1652" s="7">
        <f t="shared" si="1635"/>
        <v>0</v>
      </c>
      <c r="Q1652" s="7" t="str">
        <f t="shared" si="7"/>
        <v/>
      </c>
      <c r="T1652" s="7"/>
    </row>
    <row r="1653" ht="12.75" customHeight="1">
      <c r="A1653" s="7">
        <v>1652.0</v>
      </c>
      <c r="B1653" s="7" t="s">
        <v>1688</v>
      </c>
      <c r="C1653" s="7" t="s">
        <v>4819</v>
      </c>
      <c r="D1653" s="7"/>
      <c r="E1653" s="7"/>
      <c r="F1653" s="7" t="s">
        <v>4876</v>
      </c>
      <c r="G1653" s="7" t="s">
        <v>3890</v>
      </c>
      <c r="H1653" s="7" t="s">
        <v>3942</v>
      </c>
      <c r="I1653" s="7" t="s">
        <v>3948</v>
      </c>
      <c r="J1653" s="7" t="s">
        <v>3951</v>
      </c>
      <c r="K1653" s="7" t="str">
        <f t="shared" si="2"/>
        <v/>
      </c>
      <c r="L1653" s="7" t="str">
        <f t="shared" si="1026"/>
        <v/>
      </c>
      <c r="M1653" s="7">
        <f t="shared" ref="M1653:N1653" si="1674">IF(LEN(M$1),COUNTIF($G1653:$J1653,M$1),"")</f>
        <v>0</v>
      </c>
      <c r="N1653" s="7" t="str">
        <f t="shared" si="1674"/>
        <v/>
      </c>
      <c r="O1653" s="7" t="str">
        <f t="shared" si="1028"/>
        <v/>
      </c>
      <c r="P1653" s="7">
        <f t="shared" si="1635"/>
        <v>0</v>
      </c>
      <c r="Q1653" s="7" t="str">
        <f t="shared" si="7"/>
        <v/>
      </c>
      <c r="T1653" s="7"/>
    </row>
    <row r="1654" ht="12.75" customHeight="1">
      <c r="A1654" s="7">
        <v>1653.0</v>
      </c>
      <c r="B1654" s="7" t="s">
        <v>266</v>
      </c>
      <c r="C1654" s="7" t="s">
        <v>4820</v>
      </c>
      <c r="D1654" s="7"/>
      <c r="E1654" s="7"/>
      <c r="F1654" s="7" t="s">
        <v>4876</v>
      </c>
      <c r="G1654" s="7" t="s">
        <v>3890</v>
      </c>
      <c r="H1654" s="7" t="s">
        <v>3942</v>
      </c>
      <c r="I1654" s="7" t="s">
        <v>3954</v>
      </c>
      <c r="J1654" s="7" t="s">
        <v>3943</v>
      </c>
      <c r="K1654" s="7" t="str">
        <f t="shared" si="2"/>
        <v/>
      </c>
      <c r="L1654" s="7" t="str">
        <f t="shared" si="1026"/>
        <v/>
      </c>
      <c r="M1654" s="7">
        <f t="shared" ref="M1654:N1654" si="1675">IF(LEN(M$1),COUNTIF($G1654:$J1654,M$1),"")</f>
        <v>0</v>
      </c>
      <c r="N1654" s="7" t="str">
        <f t="shared" si="1675"/>
        <v/>
      </c>
      <c r="O1654" s="7" t="str">
        <f t="shared" si="1028"/>
        <v/>
      </c>
      <c r="P1654" s="7">
        <f t="shared" si="1635"/>
        <v>0</v>
      </c>
      <c r="Q1654" s="7" t="str">
        <f t="shared" si="7"/>
        <v/>
      </c>
      <c r="T1654" s="7"/>
    </row>
    <row r="1655" ht="12.75" customHeight="1">
      <c r="A1655" s="7">
        <v>1654.0</v>
      </c>
      <c r="B1655" s="7" t="s">
        <v>266</v>
      </c>
      <c r="C1655" s="7" t="s">
        <v>4820</v>
      </c>
      <c r="D1655" s="7"/>
      <c r="E1655" s="7"/>
      <c r="F1655" s="7" t="s">
        <v>4876</v>
      </c>
      <c r="G1655" s="7" t="s">
        <v>3949</v>
      </c>
      <c r="H1655" s="7" t="s">
        <v>3858</v>
      </c>
      <c r="I1655" s="7" t="s">
        <v>3884</v>
      </c>
      <c r="J1655" s="7" t="s">
        <v>3911</v>
      </c>
      <c r="K1655" s="7" t="str">
        <f t="shared" si="2"/>
        <v/>
      </c>
      <c r="L1655" s="7" t="str">
        <f t="shared" si="1026"/>
        <v/>
      </c>
      <c r="M1655" s="7">
        <f t="shared" ref="M1655:N1655" si="1676">IF(LEN(M$1),COUNTIF($G1655:$J1655,M$1),"")</f>
        <v>0</v>
      </c>
      <c r="N1655" s="7" t="str">
        <f t="shared" si="1676"/>
        <v/>
      </c>
      <c r="O1655" s="7" t="str">
        <f t="shared" si="1028"/>
        <v/>
      </c>
      <c r="P1655" s="7">
        <f t="shared" si="1635"/>
        <v>0</v>
      </c>
      <c r="Q1655" s="7" t="str">
        <f t="shared" si="7"/>
        <v/>
      </c>
      <c r="T1655" s="7"/>
    </row>
    <row r="1656" ht="12.75" customHeight="1">
      <c r="A1656" s="7">
        <v>1655.0</v>
      </c>
      <c r="B1656" s="7" t="s">
        <v>1703</v>
      </c>
      <c r="C1656" s="7" t="s">
        <v>4820</v>
      </c>
      <c r="D1656" s="7"/>
      <c r="E1656" s="7"/>
      <c r="F1656" s="7" t="s">
        <v>4876</v>
      </c>
      <c r="G1656" s="7" t="s">
        <v>3919</v>
      </c>
      <c r="H1656" s="7" t="s">
        <v>3789</v>
      </c>
      <c r="I1656" s="7" t="s">
        <v>3887</v>
      </c>
      <c r="J1656" s="7" t="s">
        <v>3892</v>
      </c>
      <c r="K1656" s="7" t="str">
        <f t="shared" si="2"/>
        <v/>
      </c>
      <c r="L1656" s="7" t="str">
        <f t="shared" si="1026"/>
        <v/>
      </c>
      <c r="M1656" s="7">
        <f t="shared" ref="M1656:N1656" si="1677">IF(LEN(M$1),COUNTIF($G1656:$J1656,M$1),"")</f>
        <v>0</v>
      </c>
      <c r="N1656" s="7" t="str">
        <f t="shared" si="1677"/>
        <v/>
      </c>
      <c r="O1656" s="7" t="str">
        <f t="shared" si="1028"/>
        <v/>
      </c>
      <c r="P1656" s="7">
        <f t="shared" si="1635"/>
        <v>0</v>
      </c>
      <c r="Q1656" s="7" t="str">
        <f t="shared" si="7"/>
        <v/>
      </c>
      <c r="T1656" s="7"/>
    </row>
    <row r="1657" ht="12.75" customHeight="1">
      <c r="A1657" s="7">
        <v>1656.0</v>
      </c>
      <c r="B1657" s="7" t="s">
        <v>1703</v>
      </c>
      <c r="C1657" s="7" t="s">
        <v>4820</v>
      </c>
      <c r="D1657" s="7"/>
      <c r="E1657" s="7"/>
      <c r="F1657" s="7" t="s">
        <v>4876</v>
      </c>
      <c r="G1657" s="7" t="s">
        <v>3906</v>
      </c>
      <c r="H1657" s="7" t="s">
        <v>3930</v>
      </c>
      <c r="I1657" s="7" t="s">
        <v>3954</v>
      </c>
      <c r="J1657" s="7" t="s">
        <v>3946</v>
      </c>
      <c r="K1657" s="7" t="str">
        <f t="shared" si="2"/>
        <v/>
      </c>
      <c r="L1657" s="7" t="str">
        <f t="shared" si="1026"/>
        <v/>
      </c>
      <c r="M1657" s="7">
        <f t="shared" ref="M1657:N1657" si="1678">IF(LEN(M$1),COUNTIF($G1657:$J1657,M$1),"")</f>
        <v>0</v>
      </c>
      <c r="N1657" s="7" t="str">
        <f t="shared" si="1678"/>
        <v/>
      </c>
      <c r="O1657" s="7" t="str">
        <f t="shared" si="1028"/>
        <v/>
      </c>
      <c r="P1657" s="7">
        <f t="shared" si="1635"/>
        <v>0</v>
      </c>
      <c r="Q1657" s="7" t="str">
        <f t="shared" si="7"/>
        <v/>
      </c>
      <c r="T1657" s="7"/>
    </row>
    <row r="1658" ht="12.75" customHeight="1">
      <c r="A1658" s="7">
        <v>1657.0</v>
      </c>
      <c r="B1658" s="7" t="s">
        <v>1710</v>
      </c>
      <c r="C1658" s="7" t="s">
        <v>4830</v>
      </c>
      <c r="D1658" s="7"/>
      <c r="E1658" s="7"/>
      <c r="F1658" s="7" t="s">
        <v>4876</v>
      </c>
      <c r="G1658" s="7" t="s">
        <v>3930</v>
      </c>
      <c r="H1658" s="7" t="s">
        <v>3748</v>
      </c>
      <c r="I1658" s="7" t="s">
        <v>3897</v>
      </c>
      <c r="J1658" s="7" t="s">
        <v>3880</v>
      </c>
      <c r="K1658" s="7" t="str">
        <f t="shared" si="2"/>
        <v/>
      </c>
      <c r="L1658" s="7" t="str">
        <f t="shared" si="1026"/>
        <v/>
      </c>
      <c r="M1658" s="7">
        <f t="shared" ref="M1658:N1658" si="1679">IF(LEN(M$1),COUNTIF($G1658:$J1658,M$1),"")</f>
        <v>0</v>
      </c>
      <c r="N1658" s="7" t="str">
        <f t="shared" si="1679"/>
        <v/>
      </c>
      <c r="O1658" s="7" t="str">
        <f t="shared" si="1028"/>
        <v/>
      </c>
      <c r="P1658" s="7">
        <f t="shared" si="1635"/>
        <v>0</v>
      </c>
      <c r="Q1658" s="7" t="str">
        <f t="shared" si="7"/>
        <v/>
      </c>
      <c r="T1658" s="7"/>
    </row>
    <row r="1659" ht="12.75" customHeight="1">
      <c r="A1659" s="7">
        <v>1658.0</v>
      </c>
      <c r="B1659" s="7" t="s">
        <v>1710</v>
      </c>
      <c r="C1659" s="7" t="s">
        <v>4830</v>
      </c>
      <c r="D1659" s="7"/>
      <c r="E1659" s="7"/>
      <c r="F1659" s="7" t="s">
        <v>4876</v>
      </c>
      <c r="G1659" s="7" t="s">
        <v>3866</v>
      </c>
      <c r="H1659" s="7" t="s">
        <v>3908</v>
      </c>
      <c r="I1659" s="7" t="s">
        <v>3884</v>
      </c>
      <c r="J1659" s="7" t="s">
        <v>3948</v>
      </c>
      <c r="K1659" s="7" t="str">
        <f t="shared" si="2"/>
        <v/>
      </c>
      <c r="L1659" s="7" t="str">
        <f t="shared" si="1026"/>
        <v/>
      </c>
      <c r="M1659" s="7">
        <f t="shared" ref="M1659:N1659" si="1680">IF(LEN(M$1),COUNTIF($G1659:$J1659,M$1),"")</f>
        <v>0</v>
      </c>
      <c r="N1659" s="7" t="str">
        <f t="shared" si="1680"/>
        <v/>
      </c>
      <c r="O1659" s="7" t="str">
        <f t="shared" si="1028"/>
        <v/>
      </c>
      <c r="P1659" s="7">
        <f t="shared" si="1635"/>
        <v>0</v>
      </c>
      <c r="Q1659" s="7" t="str">
        <f t="shared" si="7"/>
        <v/>
      </c>
      <c r="T1659" s="7"/>
    </row>
    <row r="1660" ht="12.75" customHeight="1">
      <c r="A1660" s="7">
        <v>1659.0</v>
      </c>
      <c r="B1660" s="7" t="s">
        <v>1718</v>
      </c>
      <c r="C1660" s="7" t="s">
        <v>4830</v>
      </c>
      <c r="D1660" s="7"/>
      <c r="E1660" s="7"/>
      <c r="F1660" s="7" t="s">
        <v>4876</v>
      </c>
      <c r="G1660" s="7" t="s">
        <v>3798</v>
      </c>
      <c r="H1660" s="7" t="s">
        <v>3922</v>
      </c>
      <c r="I1660" s="7" t="s">
        <v>3925</v>
      </c>
      <c r="J1660" s="7" t="s">
        <v>3806</v>
      </c>
      <c r="K1660" s="7" t="str">
        <f t="shared" si="2"/>
        <v/>
      </c>
      <c r="L1660" s="7" t="str">
        <f t="shared" si="1026"/>
        <v/>
      </c>
      <c r="M1660" s="7">
        <f t="shared" ref="M1660:N1660" si="1681">IF(LEN(M$1),COUNTIF($G1660:$J1660,M$1),"")</f>
        <v>0</v>
      </c>
      <c r="N1660" s="7" t="str">
        <f t="shared" si="1681"/>
        <v/>
      </c>
      <c r="O1660" s="7" t="str">
        <f t="shared" si="1028"/>
        <v/>
      </c>
      <c r="P1660" s="7">
        <f t="shared" si="1635"/>
        <v>0</v>
      </c>
      <c r="Q1660" s="7" t="str">
        <f t="shared" si="7"/>
        <v/>
      </c>
      <c r="T1660" s="7"/>
    </row>
    <row r="1661" ht="12.75" customHeight="1">
      <c r="A1661" s="7">
        <v>1660.0</v>
      </c>
      <c r="B1661" s="7" t="s">
        <v>1718</v>
      </c>
      <c r="C1661" s="7" t="s">
        <v>4830</v>
      </c>
      <c r="D1661" s="7"/>
      <c r="E1661" s="7"/>
      <c r="F1661" s="7" t="s">
        <v>4876</v>
      </c>
      <c r="G1661" s="7" t="s">
        <v>3922</v>
      </c>
      <c r="H1661" s="7" t="s">
        <v>3895</v>
      </c>
      <c r="I1661" s="7" t="s">
        <v>3899</v>
      </c>
      <c r="J1661" s="7" t="s">
        <v>3913</v>
      </c>
      <c r="K1661" s="7" t="str">
        <f t="shared" si="2"/>
        <v/>
      </c>
      <c r="L1661" s="7" t="str">
        <f t="shared" si="1026"/>
        <v/>
      </c>
      <c r="M1661" s="7">
        <f t="shared" ref="M1661:N1661" si="1682">IF(LEN(M$1),COUNTIF($G1661:$J1661,M$1),"")</f>
        <v>0</v>
      </c>
      <c r="N1661" s="7" t="str">
        <f t="shared" si="1682"/>
        <v/>
      </c>
      <c r="O1661" s="7" t="str">
        <f t="shared" si="1028"/>
        <v/>
      </c>
      <c r="P1661" s="7">
        <f t="shared" si="1635"/>
        <v>0</v>
      </c>
      <c r="Q1661" s="7" t="str">
        <f t="shared" si="7"/>
        <v/>
      </c>
      <c r="T1661" s="7"/>
    </row>
    <row r="1662" ht="12.75" customHeight="1">
      <c r="A1662" s="7">
        <v>1661.0</v>
      </c>
      <c r="B1662" s="7" t="s">
        <v>1726</v>
      </c>
      <c r="C1662" s="7" t="s">
        <v>4831</v>
      </c>
      <c r="D1662" s="7"/>
      <c r="E1662" s="7"/>
      <c r="F1662" s="7" t="s">
        <v>4876</v>
      </c>
      <c r="G1662" s="7" t="s">
        <v>3842</v>
      </c>
      <c r="H1662" s="7" t="s">
        <v>3862</v>
      </c>
      <c r="I1662" s="7" t="s">
        <v>3899</v>
      </c>
      <c r="J1662" s="7" t="s">
        <v>3804</v>
      </c>
      <c r="K1662" s="7" t="str">
        <f t="shared" si="2"/>
        <v/>
      </c>
      <c r="L1662" s="7" t="str">
        <f t="shared" si="1026"/>
        <v/>
      </c>
      <c r="M1662" s="7">
        <f t="shared" ref="M1662:N1662" si="1683">IF(LEN(M$1),COUNTIF($G1662:$J1662,M$1),"")</f>
        <v>0</v>
      </c>
      <c r="N1662" s="7" t="str">
        <f t="shared" si="1683"/>
        <v/>
      </c>
      <c r="O1662" s="7" t="str">
        <f t="shared" si="1028"/>
        <v/>
      </c>
      <c r="P1662" s="7">
        <f t="shared" si="1635"/>
        <v>0</v>
      </c>
      <c r="Q1662" s="7" t="str">
        <f t="shared" si="7"/>
        <v/>
      </c>
      <c r="T1662" s="7"/>
    </row>
    <row r="1663" ht="12.75" customHeight="1">
      <c r="A1663" s="7">
        <v>1662.0</v>
      </c>
      <c r="B1663" s="7" t="s">
        <v>1726</v>
      </c>
      <c r="C1663" s="7" t="s">
        <v>4831</v>
      </c>
      <c r="D1663" s="7"/>
      <c r="E1663" s="7"/>
      <c r="F1663" s="7" t="s">
        <v>4876</v>
      </c>
      <c r="G1663" s="7" t="s">
        <v>3899</v>
      </c>
      <c r="H1663" s="7" t="s">
        <v>3972</v>
      </c>
      <c r="I1663" s="7" t="s">
        <v>3875</v>
      </c>
      <c r="J1663" s="7" t="s">
        <v>3884</v>
      </c>
      <c r="K1663" s="7" t="str">
        <f t="shared" si="2"/>
        <v/>
      </c>
      <c r="L1663" s="7" t="str">
        <f t="shared" si="1026"/>
        <v/>
      </c>
      <c r="M1663" s="7">
        <f t="shared" ref="M1663:N1663" si="1684">IF(LEN(M$1),COUNTIF($G1663:$J1663,M$1),"")</f>
        <v>0</v>
      </c>
      <c r="N1663" s="7" t="str">
        <f t="shared" si="1684"/>
        <v/>
      </c>
      <c r="O1663" s="7" t="str">
        <f t="shared" si="1028"/>
        <v/>
      </c>
      <c r="P1663" s="7">
        <f t="shared" si="1635"/>
        <v>0</v>
      </c>
      <c r="Q1663" s="7" t="str">
        <f t="shared" si="7"/>
        <v/>
      </c>
      <c r="T1663" s="7"/>
    </row>
    <row r="1664" ht="12.75" customHeight="1">
      <c r="A1664" s="7">
        <v>1663.0</v>
      </c>
      <c r="B1664" s="7" t="s">
        <v>1734</v>
      </c>
      <c r="C1664" s="7" t="s">
        <v>4831</v>
      </c>
      <c r="D1664" s="7"/>
      <c r="E1664" s="7"/>
      <c r="F1664" s="7" t="s">
        <v>4876</v>
      </c>
      <c r="G1664" s="7" t="s">
        <v>3743</v>
      </c>
      <c r="H1664" s="7" t="s">
        <v>3951</v>
      </c>
      <c r="I1664" s="7" t="s">
        <v>3878</v>
      </c>
      <c r="J1664" s="7" t="s">
        <v>3766</v>
      </c>
      <c r="K1664" s="7" t="str">
        <f t="shared" si="2"/>
        <v/>
      </c>
      <c r="L1664" s="7" t="str">
        <f t="shared" si="1026"/>
        <v/>
      </c>
      <c r="M1664" s="7">
        <f t="shared" ref="M1664:N1664" si="1685">IF(LEN(M$1),COUNTIF($G1664:$J1664,M$1),"")</f>
        <v>0</v>
      </c>
      <c r="N1664" s="7" t="str">
        <f t="shared" si="1685"/>
        <v/>
      </c>
      <c r="O1664" s="7" t="str">
        <f t="shared" si="1028"/>
        <v/>
      </c>
      <c r="P1664" s="7">
        <f t="shared" si="1635"/>
        <v>0</v>
      </c>
      <c r="Q1664" s="7" t="str">
        <f t="shared" si="7"/>
        <v/>
      </c>
      <c r="T1664" s="7"/>
    </row>
    <row r="1665" ht="12.75" customHeight="1">
      <c r="A1665" s="7">
        <v>1664.0</v>
      </c>
      <c r="B1665" s="7" t="s">
        <v>1734</v>
      </c>
      <c r="C1665" s="7" t="s">
        <v>4831</v>
      </c>
      <c r="D1665" s="7"/>
      <c r="E1665" s="7"/>
      <c r="F1665" s="7" t="s">
        <v>4876</v>
      </c>
      <c r="G1665" s="7" t="s">
        <v>3908</v>
      </c>
      <c r="H1665" s="7" t="s">
        <v>3746</v>
      </c>
      <c r="I1665" s="7" t="s">
        <v>3890</v>
      </c>
      <c r="J1665" s="7" t="s">
        <v>3804</v>
      </c>
      <c r="K1665" s="7" t="str">
        <f t="shared" si="2"/>
        <v/>
      </c>
      <c r="L1665" s="7" t="str">
        <f t="shared" si="1026"/>
        <v/>
      </c>
      <c r="M1665" s="7">
        <f t="shared" ref="M1665:N1665" si="1686">IF(LEN(M$1),COUNTIF($G1665:$J1665,M$1),"")</f>
        <v>0</v>
      </c>
      <c r="N1665" s="7" t="str">
        <f t="shared" si="1686"/>
        <v/>
      </c>
      <c r="O1665" s="7" t="str">
        <f t="shared" si="1028"/>
        <v/>
      </c>
      <c r="P1665" s="7">
        <f t="shared" si="1635"/>
        <v>0</v>
      </c>
      <c r="Q1665" s="7" t="str">
        <f t="shared" si="7"/>
        <v/>
      </c>
      <c r="T1665" s="7"/>
    </row>
    <row r="1666" ht="12.75" customHeight="1">
      <c r="A1666" s="7">
        <v>1665.0</v>
      </c>
      <c r="B1666" s="7" t="s">
        <v>1095</v>
      </c>
      <c r="C1666" s="7" t="s">
        <v>4837</v>
      </c>
      <c r="D1666" s="7"/>
      <c r="E1666" s="7"/>
      <c r="F1666" s="7" t="s">
        <v>4876</v>
      </c>
      <c r="G1666" s="7" t="s">
        <v>3919</v>
      </c>
      <c r="H1666" s="7" t="s">
        <v>3741</v>
      </c>
      <c r="I1666" s="7" t="s">
        <v>3890</v>
      </c>
      <c r="J1666" s="7" t="s">
        <v>3858</v>
      </c>
      <c r="K1666" s="7" t="str">
        <f t="shared" si="2"/>
        <v/>
      </c>
      <c r="L1666" s="7" t="str">
        <f t="shared" si="1026"/>
        <v/>
      </c>
      <c r="M1666" s="7">
        <f t="shared" ref="M1666:N1666" si="1687">IF(LEN(M$1),COUNTIF($G1666:$J1666,M$1),"")</f>
        <v>0</v>
      </c>
      <c r="N1666" s="7" t="str">
        <f t="shared" si="1687"/>
        <v/>
      </c>
      <c r="O1666" s="7" t="str">
        <f t="shared" si="1028"/>
        <v/>
      </c>
      <c r="P1666" s="7">
        <f t="shared" si="1635"/>
        <v>0</v>
      </c>
      <c r="Q1666" s="7" t="str">
        <f t="shared" si="7"/>
        <v/>
      </c>
      <c r="T1666" s="7"/>
    </row>
    <row r="1667" ht="12.75" customHeight="1">
      <c r="A1667" s="7">
        <v>1666.0</v>
      </c>
      <c r="B1667" s="7" t="s">
        <v>1095</v>
      </c>
      <c r="C1667" s="7" t="s">
        <v>4837</v>
      </c>
      <c r="D1667" s="7"/>
      <c r="E1667" s="7"/>
      <c r="F1667" s="7" t="s">
        <v>4876</v>
      </c>
      <c r="G1667" s="7" t="s">
        <v>3860</v>
      </c>
      <c r="H1667" s="7" t="s">
        <v>3750</v>
      </c>
      <c r="I1667" s="7" t="s">
        <v>3916</v>
      </c>
      <c r="J1667" s="7" t="s">
        <v>3866</v>
      </c>
      <c r="K1667" s="7" t="str">
        <f t="shared" si="2"/>
        <v/>
      </c>
      <c r="L1667" s="7" t="str">
        <f t="shared" si="1026"/>
        <v/>
      </c>
      <c r="M1667" s="7">
        <f t="shared" ref="M1667:N1667" si="1688">IF(LEN(M$1),COUNTIF($G1667:$J1667,M$1),"")</f>
        <v>0</v>
      </c>
      <c r="N1667" s="7" t="str">
        <f t="shared" si="1688"/>
        <v/>
      </c>
      <c r="O1667" s="7" t="str">
        <f t="shared" si="1028"/>
        <v/>
      </c>
      <c r="P1667" s="7">
        <f t="shared" si="1635"/>
        <v>0</v>
      </c>
      <c r="Q1667" s="7" t="str">
        <f t="shared" si="7"/>
        <v/>
      </c>
      <c r="T1667" s="7"/>
    </row>
    <row r="1668" ht="12.75" customHeight="1">
      <c r="A1668" s="7">
        <v>1667.0</v>
      </c>
      <c r="B1668" s="7" t="s">
        <v>1748</v>
      </c>
      <c r="C1668" s="7" t="s">
        <v>4837</v>
      </c>
      <c r="D1668" s="7"/>
      <c r="E1668" s="7"/>
      <c r="F1668" s="7" t="s">
        <v>4876</v>
      </c>
      <c r="G1668" s="7" t="s">
        <v>3845</v>
      </c>
      <c r="H1668" s="7" t="s">
        <v>3925</v>
      </c>
      <c r="I1668" s="7" t="s">
        <v>3913</v>
      </c>
      <c r="J1668" s="7" t="s">
        <v>3755</v>
      </c>
      <c r="K1668" s="7" t="str">
        <f t="shared" si="2"/>
        <v/>
      </c>
      <c r="L1668" s="7" t="str">
        <f t="shared" si="1026"/>
        <v/>
      </c>
      <c r="M1668" s="7">
        <f t="shared" ref="M1668:N1668" si="1689">IF(LEN(M$1),COUNTIF($G1668:$J1668,M$1),"")</f>
        <v>0</v>
      </c>
      <c r="N1668" s="7" t="str">
        <f t="shared" si="1689"/>
        <v/>
      </c>
      <c r="O1668" s="7" t="str">
        <f t="shared" si="1028"/>
        <v/>
      </c>
      <c r="P1668" s="7">
        <f t="shared" si="1635"/>
        <v>0</v>
      </c>
      <c r="Q1668" s="7" t="str">
        <f t="shared" si="7"/>
        <v/>
      </c>
      <c r="T1668" s="7"/>
    </row>
    <row r="1669" ht="12.75" customHeight="1">
      <c r="A1669" s="7">
        <v>1668.0</v>
      </c>
      <c r="B1669" s="7" t="s">
        <v>1748</v>
      </c>
      <c r="C1669" s="7" t="s">
        <v>4837</v>
      </c>
      <c r="D1669" s="7"/>
      <c r="E1669" s="7"/>
      <c r="F1669" s="7" t="s">
        <v>4876</v>
      </c>
      <c r="G1669" s="7" t="s">
        <v>3884</v>
      </c>
      <c r="H1669" s="7" t="s">
        <v>3796</v>
      </c>
      <c r="I1669" s="7" t="s">
        <v>3925</v>
      </c>
      <c r="J1669" s="7" t="s">
        <v>3827</v>
      </c>
      <c r="K1669" s="7" t="str">
        <f t="shared" si="2"/>
        <v/>
      </c>
      <c r="L1669" s="7" t="str">
        <f t="shared" si="1026"/>
        <v/>
      </c>
      <c r="M1669" s="7">
        <f t="shared" ref="M1669:N1669" si="1690">IF(LEN(M$1),COUNTIF($G1669:$J1669,M$1),"")</f>
        <v>0</v>
      </c>
      <c r="N1669" s="7" t="str">
        <f t="shared" si="1690"/>
        <v/>
      </c>
      <c r="O1669" s="7" t="str">
        <f t="shared" si="1028"/>
        <v/>
      </c>
      <c r="P1669" s="7">
        <f t="shared" si="1635"/>
        <v>0</v>
      </c>
      <c r="Q1669" s="7" t="str">
        <f t="shared" si="7"/>
        <v/>
      </c>
      <c r="T1669" s="7"/>
    </row>
    <row r="1670" ht="12.75" customHeight="1">
      <c r="A1670" s="7">
        <v>1669.0</v>
      </c>
      <c r="B1670" s="7" t="s">
        <v>547</v>
      </c>
      <c r="C1670" s="7" t="s">
        <v>4845</v>
      </c>
      <c r="D1670" s="7"/>
      <c r="E1670" s="7"/>
      <c r="F1670" s="7" t="s">
        <v>4876</v>
      </c>
      <c r="G1670" s="7" t="s">
        <v>3930</v>
      </c>
      <c r="H1670" s="7" t="s">
        <v>3755</v>
      </c>
      <c r="I1670" s="7" t="s">
        <v>3913</v>
      </c>
      <c r="J1670" s="7" t="s">
        <v>3831</v>
      </c>
      <c r="K1670" s="7" t="str">
        <f t="shared" si="2"/>
        <v/>
      </c>
      <c r="L1670" s="7" t="str">
        <f t="shared" si="1026"/>
        <v/>
      </c>
      <c r="M1670" s="7">
        <f t="shared" ref="M1670:N1670" si="1691">IF(LEN(M$1),COUNTIF($G1670:$J1670,M$1),"")</f>
        <v>0</v>
      </c>
      <c r="N1670" s="7" t="str">
        <f t="shared" si="1691"/>
        <v/>
      </c>
      <c r="O1670" s="7" t="str">
        <f t="shared" si="1028"/>
        <v/>
      </c>
      <c r="P1670" s="7">
        <f t="shared" si="1635"/>
        <v>0</v>
      </c>
      <c r="Q1670" s="7" t="str">
        <f t="shared" si="7"/>
        <v/>
      </c>
      <c r="T1670" s="7"/>
    </row>
    <row r="1671" ht="12.75" customHeight="1">
      <c r="A1671" s="7">
        <v>1670.0</v>
      </c>
      <c r="B1671" s="7" t="s">
        <v>547</v>
      </c>
      <c r="C1671" s="7" t="s">
        <v>4845</v>
      </c>
      <c r="D1671" s="7"/>
      <c r="E1671" s="7"/>
      <c r="F1671" s="7" t="s">
        <v>4876</v>
      </c>
      <c r="G1671" s="7" t="s">
        <v>3872</v>
      </c>
      <c r="H1671" s="7" t="s">
        <v>3937</v>
      </c>
      <c r="I1671" s="7" t="s">
        <v>3927</v>
      </c>
      <c r="J1671" s="7" t="s">
        <v>3940</v>
      </c>
      <c r="K1671" s="7" t="str">
        <f t="shared" si="2"/>
        <v/>
      </c>
      <c r="L1671" s="7" t="str">
        <f t="shared" si="1026"/>
        <v/>
      </c>
      <c r="M1671" s="7">
        <f t="shared" ref="M1671:N1671" si="1692">IF(LEN(M$1),COUNTIF($G1671:$J1671,M$1),"")</f>
        <v>0</v>
      </c>
      <c r="N1671" s="7" t="str">
        <f t="shared" si="1692"/>
        <v/>
      </c>
      <c r="O1671" s="7" t="str">
        <f t="shared" si="1028"/>
        <v/>
      </c>
      <c r="P1671" s="7">
        <f t="shared" si="1635"/>
        <v>0</v>
      </c>
      <c r="Q1671" s="7" t="str">
        <f t="shared" si="7"/>
        <v/>
      </c>
      <c r="T1671" s="7"/>
    </row>
    <row r="1672" ht="12.75" customHeight="1">
      <c r="A1672" s="7">
        <v>1671.0</v>
      </c>
      <c r="B1672" s="7" t="s">
        <v>1761</v>
      </c>
      <c r="C1672" s="7" t="s">
        <v>4845</v>
      </c>
      <c r="D1672" s="7"/>
      <c r="E1672" s="7"/>
      <c r="F1672" s="7" t="s">
        <v>4876</v>
      </c>
      <c r="G1672" s="7" t="s">
        <v>3780</v>
      </c>
      <c r="H1672" s="7" t="s">
        <v>3916</v>
      </c>
      <c r="I1672" s="7" t="s">
        <v>3947</v>
      </c>
      <c r="J1672" s="7" t="s">
        <v>3847</v>
      </c>
      <c r="K1672" s="7" t="str">
        <f t="shared" si="2"/>
        <v/>
      </c>
      <c r="L1672" s="7" t="str">
        <f t="shared" si="1026"/>
        <v/>
      </c>
      <c r="M1672" s="7">
        <f t="shared" ref="M1672:N1672" si="1693">IF(LEN(M$1),COUNTIF($G1672:$J1672,M$1),"")</f>
        <v>0</v>
      </c>
      <c r="N1672" s="7" t="str">
        <f t="shared" si="1693"/>
        <v/>
      </c>
      <c r="O1672" s="7" t="str">
        <f t="shared" si="1028"/>
        <v/>
      </c>
      <c r="P1672" s="7">
        <f t="shared" si="1635"/>
        <v>0</v>
      </c>
      <c r="Q1672" s="7" t="str">
        <f t="shared" si="7"/>
        <v/>
      </c>
      <c r="T1672" s="7"/>
    </row>
    <row r="1673" ht="12.75" customHeight="1">
      <c r="A1673" s="7">
        <v>1672.0</v>
      </c>
      <c r="B1673" s="7" t="s">
        <v>1761</v>
      </c>
      <c r="C1673" s="7" t="s">
        <v>4845</v>
      </c>
      <c r="D1673" s="7"/>
      <c r="E1673" s="7"/>
      <c r="F1673" s="7" t="s">
        <v>4876</v>
      </c>
      <c r="G1673" s="7" t="s">
        <v>3746</v>
      </c>
      <c r="H1673" s="7" t="s">
        <v>3937</v>
      </c>
      <c r="I1673" s="7" t="s">
        <v>3949</v>
      </c>
      <c r="J1673" s="7" t="s">
        <v>3810</v>
      </c>
      <c r="K1673" s="7" t="str">
        <f t="shared" si="2"/>
        <v/>
      </c>
      <c r="L1673" s="7" t="str">
        <f t="shared" si="1026"/>
        <v/>
      </c>
      <c r="M1673" s="7">
        <f t="shared" ref="M1673:N1673" si="1694">IF(LEN(M$1),COUNTIF($G1673:$J1673,M$1),"")</f>
        <v>0</v>
      </c>
      <c r="N1673" s="7" t="str">
        <f t="shared" si="1694"/>
        <v/>
      </c>
      <c r="O1673" s="7" t="str">
        <f t="shared" si="1028"/>
        <v/>
      </c>
      <c r="P1673" s="7">
        <f t="shared" si="1635"/>
        <v>0</v>
      </c>
      <c r="Q1673" s="7" t="str">
        <f t="shared" si="7"/>
        <v/>
      </c>
      <c r="T1673" s="7"/>
    </row>
    <row r="1674" ht="12.75" customHeight="1">
      <c r="A1674" s="7">
        <v>1673.0</v>
      </c>
      <c r="B1674" s="7" t="s">
        <v>1770</v>
      </c>
      <c r="C1674" s="7" t="s">
        <v>4837</v>
      </c>
      <c r="D1674" s="7"/>
      <c r="E1674" s="7"/>
      <c r="F1674" s="7" t="s">
        <v>4876</v>
      </c>
      <c r="G1674" s="7" t="s">
        <v>3908</v>
      </c>
      <c r="H1674" s="7" t="s">
        <v>3965</v>
      </c>
      <c r="I1674" s="7" t="s">
        <v>3862</v>
      </c>
      <c r="J1674" s="7" t="s">
        <v>3782</v>
      </c>
      <c r="K1674" s="7" t="str">
        <f t="shared" si="2"/>
        <v/>
      </c>
      <c r="L1674" s="7" t="str">
        <f t="shared" si="1026"/>
        <v/>
      </c>
      <c r="M1674" s="7">
        <f t="shared" ref="M1674:N1674" si="1695">IF(LEN(M$1),COUNTIF($G1674:$J1674,M$1),"")</f>
        <v>0</v>
      </c>
      <c r="N1674" s="7" t="str">
        <f t="shared" si="1695"/>
        <v/>
      </c>
      <c r="O1674" s="7" t="str">
        <f t="shared" si="1028"/>
        <v/>
      </c>
      <c r="P1674" s="7">
        <f t="shared" si="1635"/>
        <v>0</v>
      </c>
      <c r="Q1674" s="7" t="str">
        <f t="shared" si="7"/>
        <v/>
      </c>
      <c r="T1674" s="7"/>
    </row>
    <row r="1675" ht="12.75" customHeight="1">
      <c r="A1675" s="7">
        <v>1674.0</v>
      </c>
      <c r="B1675" s="7" t="s">
        <v>1770</v>
      </c>
      <c r="C1675" s="7" t="s">
        <v>4837</v>
      </c>
      <c r="D1675" s="7"/>
      <c r="E1675" s="7"/>
      <c r="F1675" s="7" t="s">
        <v>4876</v>
      </c>
      <c r="G1675" s="7" t="s">
        <v>3906</v>
      </c>
      <c r="H1675" s="7" t="s">
        <v>3928</v>
      </c>
      <c r="I1675" s="7" t="s">
        <v>3953</v>
      </c>
      <c r="J1675" s="7" t="s">
        <v>3937</v>
      </c>
      <c r="K1675" s="7" t="str">
        <f t="shared" si="2"/>
        <v/>
      </c>
      <c r="L1675" s="7" t="str">
        <f t="shared" si="1026"/>
        <v/>
      </c>
      <c r="M1675" s="7">
        <f t="shared" ref="M1675:N1675" si="1696">IF(LEN(M$1),COUNTIF($G1675:$J1675,M$1),"")</f>
        <v>0</v>
      </c>
      <c r="N1675" s="7" t="str">
        <f t="shared" si="1696"/>
        <v/>
      </c>
      <c r="O1675" s="7" t="str">
        <f t="shared" si="1028"/>
        <v/>
      </c>
      <c r="P1675" s="7">
        <f t="shared" si="1635"/>
        <v>0</v>
      </c>
      <c r="Q1675" s="7" t="str">
        <f t="shared" si="7"/>
        <v/>
      </c>
      <c r="T1675" s="7"/>
    </row>
    <row r="1676" ht="12.75" customHeight="1">
      <c r="A1676" s="7">
        <v>1675.0</v>
      </c>
      <c r="B1676" s="7" t="s">
        <v>1778</v>
      </c>
      <c r="C1676" s="7" t="s">
        <v>4837</v>
      </c>
      <c r="D1676" s="7"/>
      <c r="E1676" s="7"/>
      <c r="F1676" s="7" t="s">
        <v>4876</v>
      </c>
      <c r="G1676" s="7" t="s">
        <v>3899</v>
      </c>
      <c r="H1676" s="7" t="s">
        <v>3895</v>
      </c>
      <c r="I1676" s="7" t="s">
        <v>3902</v>
      </c>
      <c r="J1676" s="7" t="s">
        <v>3915</v>
      </c>
      <c r="K1676" s="7" t="str">
        <f t="shared" si="2"/>
        <v/>
      </c>
      <c r="L1676" s="7" t="str">
        <f t="shared" si="1026"/>
        <v/>
      </c>
      <c r="M1676" s="7">
        <f t="shared" ref="M1676:N1676" si="1697">IF(LEN(M$1),COUNTIF($G1676:$J1676,M$1),"")</f>
        <v>0</v>
      </c>
      <c r="N1676" s="7" t="str">
        <f t="shared" si="1697"/>
        <v/>
      </c>
      <c r="O1676" s="7" t="str">
        <f t="shared" si="1028"/>
        <v/>
      </c>
      <c r="P1676" s="7">
        <f t="shared" si="1635"/>
        <v>0</v>
      </c>
      <c r="Q1676" s="7" t="str">
        <f t="shared" si="7"/>
        <v/>
      </c>
      <c r="T1676" s="7"/>
    </row>
    <row r="1677" ht="12.75" customHeight="1">
      <c r="A1677" s="7">
        <v>1676.0</v>
      </c>
      <c r="B1677" s="7" t="s">
        <v>1778</v>
      </c>
      <c r="C1677" s="7" t="s">
        <v>4837</v>
      </c>
      <c r="D1677" s="7"/>
      <c r="E1677" s="7"/>
      <c r="F1677" s="7" t="s">
        <v>4876</v>
      </c>
      <c r="G1677" s="7" t="s">
        <v>3813</v>
      </c>
      <c r="H1677" s="7" t="s">
        <v>3935</v>
      </c>
      <c r="I1677" s="7" t="s">
        <v>3870</v>
      </c>
      <c r="J1677" s="7" t="s">
        <v>3755</v>
      </c>
      <c r="K1677" s="7" t="str">
        <f t="shared" si="2"/>
        <v/>
      </c>
      <c r="L1677" s="7" t="str">
        <f t="shared" si="1026"/>
        <v/>
      </c>
      <c r="M1677" s="7">
        <f t="shared" ref="M1677:N1677" si="1698">IF(LEN(M$1),COUNTIF($G1677:$J1677,M$1),"")</f>
        <v>0</v>
      </c>
      <c r="N1677" s="7" t="str">
        <f t="shared" si="1698"/>
        <v/>
      </c>
      <c r="O1677" s="7" t="str">
        <f t="shared" si="1028"/>
        <v/>
      </c>
      <c r="P1677" s="7">
        <f t="shared" si="1635"/>
        <v>0</v>
      </c>
      <c r="Q1677" s="7" t="str">
        <f t="shared" si="7"/>
        <v/>
      </c>
      <c r="T1677" s="7"/>
    </row>
    <row r="1678" ht="12.75" customHeight="1">
      <c r="A1678" s="7">
        <v>1677.0</v>
      </c>
      <c r="B1678" s="7" t="s">
        <v>1786</v>
      </c>
      <c r="C1678" s="7" t="s">
        <v>4845</v>
      </c>
      <c r="D1678" s="7"/>
      <c r="E1678" s="7"/>
      <c r="F1678" s="7" t="s">
        <v>4876</v>
      </c>
      <c r="G1678" s="7" t="s">
        <v>3785</v>
      </c>
      <c r="H1678" s="7" t="s">
        <v>3868</v>
      </c>
      <c r="I1678" s="7" t="s">
        <v>3911</v>
      </c>
      <c r="J1678" s="7" t="s">
        <v>3813</v>
      </c>
      <c r="K1678" s="7" t="str">
        <f t="shared" si="2"/>
        <v/>
      </c>
      <c r="L1678" s="7" t="str">
        <f t="shared" si="1026"/>
        <v/>
      </c>
      <c r="M1678" s="7">
        <f t="shared" ref="M1678:N1678" si="1699">IF(LEN(M$1),COUNTIF($G1678:$J1678,M$1),"")</f>
        <v>0</v>
      </c>
      <c r="N1678" s="7" t="str">
        <f t="shared" si="1699"/>
        <v/>
      </c>
      <c r="O1678" s="7" t="str">
        <f t="shared" si="1028"/>
        <v/>
      </c>
      <c r="P1678" s="7">
        <f t="shared" si="1635"/>
        <v>0</v>
      </c>
      <c r="Q1678" s="7" t="str">
        <f t="shared" si="7"/>
        <v/>
      </c>
      <c r="T1678" s="7"/>
    </row>
    <row r="1679" ht="12.75" customHeight="1">
      <c r="A1679" s="7">
        <v>1678.0</v>
      </c>
      <c r="B1679" s="7" t="s">
        <v>1786</v>
      </c>
      <c r="C1679" s="7" t="s">
        <v>4845</v>
      </c>
      <c r="D1679" s="7"/>
      <c r="E1679" s="7"/>
      <c r="F1679" s="7" t="s">
        <v>4876</v>
      </c>
      <c r="G1679" s="7" t="s">
        <v>3955</v>
      </c>
      <c r="H1679" s="7" t="s">
        <v>3835</v>
      </c>
      <c r="I1679" s="7" t="s">
        <v>3880</v>
      </c>
      <c r="J1679" s="7" t="s">
        <v>3782</v>
      </c>
      <c r="K1679" s="7" t="str">
        <f t="shared" si="2"/>
        <v/>
      </c>
      <c r="L1679" s="7" t="str">
        <f t="shared" si="1026"/>
        <v/>
      </c>
      <c r="M1679" s="7">
        <f t="shared" ref="M1679:N1679" si="1700">IF(LEN(M$1),COUNTIF($G1679:$J1679,M$1),"")</f>
        <v>0</v>
      </c>
      <c r="N1679" s="7" t="str">
        <f t="shared" si="1700"/>
        <v/>
      </c>
      <c r="O1679" s="7" t="str">
        <f t="shared" si="1028"/>
        <v/>
      </c>
      <c r="P1679" s="7">
        <f t="shared" si="1635"/>
        <v>0</v>
      </c>
      <c r="Q1679" s="7" t="str">
        <f t="shared" si="7"/>
        <v/>
      </c>
      <c r="T1679" s="7"/>
    </row>
    <row r="1680" ht="12.75" customHeight="1">
      <c r="A1680" s="7">
        <v>1679.0</v>
      </c>
      <c r="B1680" s="7" t="s">
        <v>329</v>
      </c>
      <c r="C1680" s="7" t="s">
        <v>4845</v>
      </c>
      <c r="D1680" s="7"/>
      <c r="E1680" s="7"/>
      <c r="F1680" s="7" t="s">
        <v>4876</v>
      </c>
      <c r="G1680" s="7" t="s">
        <v>3937</v>
      </c>
      <c r="H1680" s="7" t="s">
        <v>4022</v>
      </c>
      <c r="I1680" s="7" t="s">
        <v>3922</v>
      </c>
      <c r="J1680" s="7" t="s">
        <v>3943</v>
      </c>
      <c r="K1680" s="7" t="str">
        <f t="shared" si="2"/>
        <v/>
      </c>
      <c r="L1680" s="7" t="str">
        <f t="shared" si="1026"/>
        <v/>
      </c>
      <c r="M1680" s="7">
        <f t="shared" ref="M1680:N1680" si="1701">IF(LEN(M$1),COUNTIF($G1680:$J1680,M$1),"")</f>
        <v>0</v>
      </c>
      <c r="N1680" s="7" t="str">
        <f t="shared" si="1701"/>
        <v/>
      </c>
      <c r="O1680" s="7" t="str">
        <f t="shared" si="1028"/>
        <v/>
      </c>
      <c r="P1680" s="7">
        <f t="shared" si="1635"/>
        <v>0</v>
      </c>
      <c r="Q1680" s="7" t="str">
        <f t="shared" si="7"/>
        <v/>
      </c>
      <c r="T1680" s="7"/>
    </row>
    <row r="1681" ht="12.75" customHeight="1">
      <c r="A1681" s="7">
        <v>1680.0</v>
      </c>
      <c r="B1681" s="7" t="s">
        <v>329</v>
      </c>
      <c r="C1681" s="7" t="s">
        <v>4845</v>
      </c>
      <c r="D1681" s="7"/>
      <c r="E1681" s="7"/>
      <c r="F1681" s="7" t="s">
        <v>4876</v>
      </c>
      <c r="G1681" s="7" t="s">
        <v>3955</v>
      </c>
      <c r="H1681" s="7" t="s">
        <v>3944</v>
      </c>
      <c r="I1681" s="7" t="s">
        <v>3884</v>
      </c>
      <c r="J1681" s="7" t="s">
        <v>3925</v>
      </c>
      <c r="K1681" s="7" t="str">
        <f t="shared" si="2"/>
        <v/>
      </c>
      <c r="L1681" s="7" t="str">
        <f t="shared" si="1026"/>
        <v/>
      </c>
      <c r="M1681" s="7">
        <f t="shared" ref="M1681:N1681" si="1702">IF(LEN(M$1),COUNTIF($G1681:$J1681,M$1),"")</f>
        <v>0</v>
      </c>
      <c r="N1681" s="7" t="str">
        <f t="shared" si="1702"/>
        <v/>
      </c>
      <c r="O1681" s="7" t="str">
        <f t="shared" si="1028"/>
        <v/>
      </c>
      <c r="P1681" s="7">
        <f t="shared" si="1635"/>
        <v>0</v>
      </c>
      <c r="Q1681" s="7" t="str">
        <f t="shared" si="7"/>
        <v/>
      </c>
      <c r="T1681" s="7"/>
    </row>
    <row r="1682" ht="12.75" customHeight="1">
      <c r="A1682" s="7">
        <v>1681.0</v>
      </c>
      <c r="B1682" s="7" t="s">
        <v>1800</v>
      </c>
      <c r="C1682" s="7" t="s">
        <v>4841</v>
      </c>
      <c r="D1682" s="7"/>
      <c r="E1682" s="7"/>
      <c r="F1682" s="7" t="s">
        <v>4876</v>
      </c>
      <c r="G1682" s="7" t="s">
        <v>3755</v>
      </c>
      <c r="H1682" s="7" t="s">
        <v>3901</v>
      </c>
      <c r="I1682" s="7" t="s">
        <v>3913</v>
      </c>
      <c r="J1682" s="7" t="s">
        <v>3847</v>
      </c>
      <c r="K1682" s="7" t="str">
        <f t="shared" si="2"/>
        <v/>
      </c>
      <c r="L1682" s="7" t="str">
        <f t="shared" si="1026"/>
        <v/>
      </c>
      <c r="M1682" s="7">
        <f t="shared" ref="M1682:N1682" si="1703">IF(LEN(M$1),COUNTIF($G1682:$J1682,M$1),"")</f>
        <v>0</v>
      </c>
      <c r="N1682" s="7" t="str">
        <f t="shared" si="1703"/>
        <v/>
      </c>
      <c r="O1682" s="7" t="str">
        <f t="shared" si="1028"/>
        <v/>
      </c>
      <c r="P1682" s="7">
        <f t="shared" si="1635"/>
        <v>0</v>
      </c>
      <c r="Q1682" s="7" t="str">
        <f t="shared" si="7"/>
        <v/>
      </c>
      <c r="T1682" s="7"/>
    </row>
    <row r="1683" ht="12.75" customHeight="1">
      <c r="A1683" s="7">
        <v>1682.0</v>
      </c>
      <c r="B1683" s="7" t="s">
        <v>1800</v>
      </c>
      <c r="C1683" s="7" t="s">
        <v>4841</v>
      </c>
      <c r="D1683" s="7"/>
      <c r="E1683" s="7"/>
      <c r="F1683" s="7" t="s">
        <v>4876</v>
      </c>
      <c r="G1683" s="7" t="s">
        <v>3901</v>
      </c>
      <c r="H1683" s="7" t="s">
        <v>3895</v>
      </c>
      <c r="I1683" s="7" t="s">
        <v>3911</v>
      </c>
      <c r="J1683" s="7" t="s">
        <v>3864</v>
      </c>
      <c r="K1683" s="7" t="str">
        <f t="shared" si="2"/>
        <v/>
      </c>
      <c r="L1683" s="7" t="str">
        <f t="shared" si="1026"/>
        <v/>
      </c>
      <c r="M1683" s="7">
        <f t="shared" ref="M1683:N1683" si="1704">IF(LEN(M$1),COUNTIF($G1683:$J1683,M$1),"")</f>
        <v>0</v>
      </c>
      <c r="N1683" s="7" t="str">
        <f t="shared" si="1704"/>
        <v/>
      </c>
      <c r="O1683" s="7" t="str">
        <f t="shared" si="1028"/>
        <v/>
      </c>
      <c r="P1683" s="7">
        <f t="shared" si="1635"/>
        <v>0</v>
      </c>
      <c r="Q1683" s="7" t="str">
        <f t="shared" si="7"/>
        <v/>
      </c>
      <c r="T1683" s="7"/>
    </row>
    <row r="1684" ht="12.75" customHeight="1">
      <c r="A1684" s="7">
        <v>1683.0</v>
      </c>
      <c r="B1684" s="7" t="s">
        <v>1807</v>
      </c>
      <c r="C1684" s="7" t="s">
        <v>4841</v>
      </c>
      <c r="D1684" s="7"/>
      <c r="E1684" s="7"/>
      <c r="F1684" s="7" t="s">
        <v>4876</v>
      </c>
      <c r="G1684" s="7" t="s">
        <v>3935</v>
      </c>
      <c r="H1684" s="7" t="s">
        <v>3804</v>
      </c>
      <c r="I1684" s="7" t="s">
        <v>3916</v>
      </c>
      <c r="J1684" s="7" t="s">
        <v>3940</v>
      </c>
      <c r="K1684" s="7" t="str">
        <f t="shared" si="2"/>
        <v/>
      </c>
      <c r="L1684" s="7" t="str">
        <f t="shared" si="1026"/>
        <v/>
      </c>
      <c r="M1684" s="7">
        <f t="shared" ref="M1684:N1684" si="1705">IF(LEN(M$1),COUNTIF($G1684:$J1684,M$1),"")</f>
        <v>0</v>
      </c>
      <c r="N1684" s="7" t="str">
        <f t="shared" si="1705"/>
        <v/>
      </c>
      <c r="O1684" s="7" t="str">
        <f t="shared" si="1028"/>
        <v/>
      </c>
      <c r="P1684" s="7">
        <f t="shared" si="1635"/>
        <v>0</v>
      </c>
      <c r="Q1684" s="7" t="str">
        <f t="shared" si="7"/>
        <v/>
      </c>
      <c r="T1684" s="7"/>
    </row>
    <row r="1685" ht="12.75" customHeight="1">
      <c r="A1685" s="7">
        <v>1684.0</v>
      </c>
      <c r="B1685" s="7" t="s">
        <v>1807</v>
      </c>
      <c r="C1685" s="7" t="s">
        <v>4841</v>
      </c>
      <c r="D1685" s="7"/>
      <c r="E1685" s="7"/>
      <c r="F1685" s="7" t="s">
        <v>4876</v>
      </c>
      <c r="G1685" s="7" t="s">
        <v>3913</v>
      </c>
      <c r="H1685" s="7" t="s">
        <v>3932</v>
      </c>
      <c r="I1685" s="7" t="s">
        <v>3925</v>
      </c>
      <c r="J1685" s="7" t="s">
        <v>3866</v>
      </c>
      <c r="K1685" s="7" t="str">
        <f t="shared" si="2"/>
        <v/>
      </c>
      <c r="L1685" s="7" t="str">
        <f t="shared" si="1026"/>
        <v/>
      </c>
      <c r="M1685" s="7">
        <f t="shared" ref="M1685:N1685" si="1706">IF(LEN(M$1),COUNTIF($G1685:$J1685,M$1),"")</f>
        <v>0</v>
      </c>
      <c r="N1685" s="7" t="str">
        <f t="shared" si="1706"/>
        <v/>
      </c>
      <c r="O1685" s="7" t="str">
        <f t="shared" si="1028"/>
        <v/>
      </c>
      <c r="P1685" s="7">
        <f t="shared" si="1635"/>
        <v>0</v>
      </c>
      <c r="Q1685" s="7" t="str">
        <f t="shared" si="7"/>
        <v/>
      </c>
      <c r="T1685" s="7"/>
    </row>
    <row r="1686" ht="12.75" customHeight="1">
      <c r="A1686" s="7">
        <v>1685.0</v>
      </c>
      <c r="B1686" s="7" t="s">
        <v>1813</v>
      </c>
      <c r="C1686" s="7" t="s">
        <v>4846</v>
      </c>
      <c r="D1686" s="7"/>
      <c r="E1686" s="7"/>
      <c r="F1686" s="7" t="s">
        <v>4876</v>
      </c>
      <c r="G1686" s="7" t="s">
        <v>3892</v>
      </c>
      <c r="H1686" s="7" t="s">
        <v>3872</v>
      </c>
      <c r="I1686" s="7" t="s">
        <v>3955</v>
      </c>
      <c r="J1686" s="7" t="s">
        <v>3866</v>
      </c>
      <c r="K1686" s="7" t="str">
        <f t="shared" si="2"/>
        <v/>
      </c>
      <c r="L1686" s="7" t="str">
        <f t="shared" si="1026"/>
        <v/>
      </c>
      <c r="M1686" s="7">
        <f t="shared" ref="M1686:N1686" si="1707">IF(LEN(M$1),COUNTIF($G1686:$J1686,M$1),"")</f>
        <v>0</v>
      </c>
      <c r="N1686" s="7" t="str">
        <f t="shared" si="1707"/>
        <v/>
      </c>
      <c r="O1686" s="7" t="str">
        <f t="shared" si="1028"/>
        <v/>
      </c>
      <c r="P1686" s="7">
        <f t="shared" si="1635"/>
        <v>0</v>
      </c>
      <c r="Q1686" s="7" t="str">
        <f t="shared" si="7"/>
        <v/>
      </c>
      <c r="T1686" s="7"/>
    </row>
    <row r="1687" ht="12.75" customHeight="1">
      <c r="A1687" s="7">
        <v>1686.0</v>
      </c>
      <c r="B1687" s="7" t="s">
        <v>1813</v>
      </c>
      <c r="C1687" s="7" t="s">
        <v>4846</v>
      </c>
      <c r="D1687" s="7"/>
      <c r="E1687" s="7"/>
      <c r="F1687" s="7" t="s">
        <v>4876</v>
      </c>
      <c r="G1687" s="7" t="s">
        <v>3887</v>
      </c>
      <c r="H1687" s="7" t="s">
        <v>3847</v>
      </c>
      <c r="I1687" s="7" t="s">
        <v>3941</v>
      </c>
      <c r="J1687" s="7" t="s">
        <v>3942</v>
      </c>
      <c r="K1687" s="7" t="str">
        <f t="shared" si="2"/>
        <v/>
      </c>
      <c r="L1687" s="7" t="str">
        <f t="shared" si="1026"/>
        <v/>
      </c>
      <c r="M1687" s="7">
        <f t="shared" ref="M1687:N1687" si="1708">IF(LEN(M$1),COUNTIF($G1687:$J1687,M$1),"")</f>
        <v>0</v>
      </c>
      <c r="N1687" s="7" t="str">
        <f t="shared" si="1708"/>
        <v/>
      </c>
      <c r="O1687" s="7" t="str">
        <f t="shared" si="1028"/>
        <v/>
      </c>
      <c r="P1687" s="7">
        <f t="shared" si="1635"/>
        <v>0</v>
      </c>
      <c r="Q1687" s="7" t="str">
        <f t="shared" si="7"/>
        <v/>
      </c>
      <c r="T1687" s="7"/>
    </row>
    <row r="1688" ht="12.75" customHeight="1">
      <c r="A1688" s="7">
        <v>1687.0</v>
      </c>
      <c r="B1688" s="7" t="s">
        <v>1820</v>
      </c>
      <c r="C1688" s="7" t="s">
        <v>4846</v>
      </c>
      <c r="D1688" s="7"/>
      <c r="E1688" s="7"/>
      <c r="F1688" s="7" t="s">
        <v>4876</v>
      </c>
      <c r="G1688" s="7" t="s">
        <v>3989</v>
      </c>
      <c r="H1688" s="7" t="s">
        <v>3937</v>
      </c>
      <c r="I1688" s="7" t="s">
        <v>3897</v>
      </c>
      <c r="J1688" s="7" t="s">
        <v>3815</v>
      </c>
      <c r="K1688" s="7" t="str">
        <f t="shared" si="2"/>
        <v/>
      </c>
      <c r="L1688" s="7" t="str">
        <f t="shared" si="1026"/>
        <v/>
      </c>
      <c r="M1688" s="7">
        <f t="shared" ref="M1688:N1688" si="1709">IF(LEN(M$1),COUNTIF($G1688:$J1688,M$1),"")</f>
        <v>0</v>
      </c>
      <c r="N1688" s="7" t="str">
        <f t="shared" si="1709"/>
        <v/>
      </c>
      <c r="O1688" s="7" t="str">
        <f t="shared" si="1028"/>
        <v/>
      </c>
      <c r="P1688" s="7">
        <f t="shared" si="1635"/>
        <v>0</v>
      </c>
      <c r="Q1688" s="7" t="str">
        <f t="shared" si="7"/>
        <v/>
      </c>
      <c r="T1688" s="7"/>
    </row>
    <row r="1689" ht="12.75" customHeight="1">
      <c r="A1689" s="7">
        <v>1688.0</v>
      </c>
      <c r="B1689" s="7" t="s">
        <v>1820</v>
      </c>
      <c r="C1689" s="7" t="s">
        <v>4846</v>
      </c>
      <c r="D1689" s="7"/>
      <c r="E1689" s="7"/>
      <c r="F1689" s="7" t="s">
        <v>4876</v>
      </c>
      <c r="G1689" s="7" t="s">
        <v>3922</v>
      </c>
      <c r="H1689" s="7" t="s">
        <v>3925</v>
      </c>
      <c r="I1689" s="7" t="s">
        <v>3908</v>
      </c>
      <c r="J1689" s="7" t="s">
        <v>3940</v>
      </c>
      <c r="K1689" s="7" t="str">
        <f t="shared" si="2"/>
        <v/>
      </c>
      <c r="L1689" s="7" t="str">
        <f t="shared" si="1026"/>
        <v/>
      </c>
      <c r="M1689" s="7">
        <f t="shared" ref="M1689:N1689" si="1710">IF(LEN(M$1),COUNTIF($G1689:$J1689,M$1),"")</f>
        <v>0</v>
      </c>
      <c r="N1689" s="7" t="str">
        <f t="shared" si="1710"/>
        <v/>
      </c>
      <c r="O1689" s="7" t="str">
        <f t="shared" si="1028"/>
        <v/>
      </c>
      <c r="P1689" s="7">
        <f t="shared" si="1635"/>
        <v>0</v>
      </c>
      <c r="Q1689" s="7" t="str">
        <f t="shared" si="7"/>
        <v/>
      </c>
      <c r="T1689" s="7"/>
    </row>
    <row r="1690" ht="12.75" customHeight="1">
      <c r="A1690" s="7">
        <v>1689.0</v>
      </c>
      <c r="B1690" s="7" t="s">
        <v>1828</v>
      </c>
      <c r="C1690" s="7" t="s">
        <v>4852</v>
      </c>
      <c r="D1690" s="7"/>
      <c r="E1690" s="7"/>
      <c r="F1690" s="7" t="s">
        <v>4876</v>
      </c>
      <c r="G1690" s="7" t="s">
        <v>3906</v>
      </c>
      <c r="H1690" s="7" t="s">
        <v>3766</v>
      </c>
      <c r="I1690" s="7" t="s">
        <v>3870</v>
      </c>
      <c r="J1690" s="7" t="s">
        <v>3741</v>
      </c>
      <c r="K1690" s="7" t="str">
        <f t="shared" si="2"/>
        <v/>
      </c>
      <c r="L1690" s="7" t="str">
        <f t="shared" si="1026"/>
        <v/>
      </c>
      <c r="M1690" s="7">
        <f t="shared" ref="M1690:N1690" si="1711">IF(LEN(M$1),COUNTIF($G1690:$J1690,M$1),"")</f>
        <v>0</v>
      </c>
      <c r="N1690" s="7" t="str">
        <f t="shared" si="1711"/>
        <v/>
      </c>
      <c r="O1690" s="7" t="str">
        <f t="shared" si="1028"/>
        <v/>
      </c>
      <c r="P1690" s="7">
        <f t="shared" si="1635"/>
        <v>0</v>
      </c>
      <c r="Q1690" s="7" t="str">
        <f t="shared" si="7"/>
        <v/>
      </c>
      <c r="T1690" s="7"/>
    </row>
    <row r="1691" ht="12.75" customHeight="1">
      <c r="A1691" s="7">
        <v>1690.0</v>
      </c>
      <c r="B1691" s="7" t="s">
        <v>1828</v>
      </c>
      <c r="C1691" s="7" t="s">
        <v>4852</v>
      </c>
      <c r="D1691" s="7"/>
      <c r="E1691" s="7"/>
      <c r="F1691" s="7" t="s">
        <v>4876</v>
      </c>
      <c r="G1691" s="7" t="s">
        <v>3860</v>
      </c>
      <c r="H1691" s="7" t="s">
        <v>3953</v>
      </c>
      <c r="I1691" s="7" t="s">
        <v>3944</v>
      </c>
      <c r="J1691" s="7" t="s">
        <v>3892</v>
      </c>
      <c r="K1691" s="7" t="str">
        <f t="shared" si="2"/>
        <v/>
      </c>
      <c r="L1691" s="7" t="str">
        <f t="shared" si="1026"/>
        <v/>
      </c>
      <c r="M1691" s="7">
        <f t="shared" ref="M1691:N1691" si="1712">IF(LEN(M$1),COUNTIF($G1691:$J1691,M$1),"")</f>
        <v>0</v>
      </c>
      <c r="N1691" s="7" t="str">
        <f t="shared" si="1712"/>
        <v/>
      </c>
      <c r="O1691" s="7" t="str">
        <f t="shared" si="1028"/>
        <v/>
      </c>
      <c r="P1691" s="7">
        <f t="shared" si="1635"/>
        <v>0</v>
      </c>
      <c r="Q1691" s="7" t="str">
        <f t="shared" si="7"/>
        <v/>
      </c>
      <c r="T1691" s="7"/>
    </row>
    <row r="1692" ht="12.75" customHeight="1">
      <c r="A1692" s="7">
        <v>1691.0</v>
      </c>
      <c r="B1692" s="7" t="s">
        <v>1835</v>
      </c>
      <c r="C1692" s="7" t="s">
        <v>4852</v>
      </c>
      <c r="D1692" s="7"/>
      <c r="E1692" s="7"/>
      <c r="F1692" s="7" t="s">
        <v>4876</v>
      </c>
      <c r="G1692" s="7" t="s">
        <v>3892</v>
      </c>
      <c r="H1692" s="7" t="s">
        <v>3953</v>
      </c>
      <c r="I1692" s="7" t="s">
        <v>3878</v>
      </c>
      <c r="J1692" s="7" t="s">
        <v>3895</v>
      </c>
      <c r="K1692" s="7" t="str">
        <f t="shared" si="2"/>
        <v/>
      </c>
      <c r="L1692" s="7" t="str">
        <f t="shared" si="1026"/>
        <v/>
      </c>
      <c r="M1692" s="7">
        <f t="shared" ref="M1692:N1692" si="1713">IF(LEN(M$1),COUNTIF($G1692:$J1692,M$1),"")</f>
        <v>0</v>
      </c>
      <c r="N1692" s="7" t="str">
        <f t="shared" si="1713"/>
        <v/>
      </c>
      <c r="O1692" s="7" t="str">
        <f t="shared" si="1028"/>
        <v/>
      </c>
      <c r="P1692" s="7">
        <f t="shared" si="1635"/>
        <v>0</v>
      </c>
      <c r="Q1692" s="7" t="str">
        <f t="shared" si="7"/>
        <v/>
      </c>
      <c r="T1692" s="7"/>
    </row>
    <row r="1693" ht="12.75" customHeight="1">
      <c r="A1693" s="7">
        <v>1692.0</v>
      </c>
      <c r="B1693" s="7" t="s">
        <v>1843</v>
      </c>
      <c r="C1693" s="7" t="s">
        <v>3108</v>
      </c>
      <c r="D1693" s="7"/>
      <c r="E1693" s="7"/>
      <c r="F1693" s="7" t="s">
        <v>4876</v>
      </c>
      <c r="G1693" s="7" t="s">
        <v>3940</v>
      </c>
      <c r="H1693" s="7" t="s">
        <v>3794</v>
      </c>
      <c r="I1693" s="7" t="s">
        <v>3935</v>
      </c>
      <c r="J1693" s="7" t="s">
        <v>3866</v>
      </c>
      <c r="K1693" s="7" t="str">
        <f t="shared" si="2"/>
        <v/>
      </c>
      <c r="L1693" s="7" t="str">
        <f t="shared" si="1026"/>
        <v/>
      </c>
      <c r="M1693" s="7">
        <f t="shared" ref="M1693:N1693" si="1714">IF(LEN(M$1),COUNTIF($G1693:$J1693,M$1),"")</f>
        <v>0</v>
      </c>
      <c r="N1693" s="7" t="str">
        <f t="shared" si="1714"/>
        <v/>
      </c>
      <c r="O1693" s="7" t="str">
        <f t="shared" si="1028"/>
        <v/>
      </c>
      <c r="P1693" s="7">
        <f t="shared" si="1635"/>
        <v>0</v>
      </c>
      <c r="Q1693" s="7" t="str">
        <f t="shared" si="7"/>
        <v/>
      </c>
      <c r="T1693" s="7"/>
    </row>
    <row r="1694" ht="12.75" customHeight="1">
      <c r="A1694" s="7">
        <v>1693.0</v>
      </c>
      <c r="B1694" s="7" t="s">
        <v>1851</v>
      </c>
      <c r="C1694" s="7" t="s">
        <v>3108</v>
      </c>
      <c r="D1694" s="7"/>
      <c r="E1694" s="7"/>
      <c r="F1694" s="7" t="s">
        <v>4876</v>
      </c>
      <c r="G1694" s="7" t="s">
        <v>3940</v>
      </c>
      <c r="H1694" s="7" t="s">
        <v>3727</v>
      </c>
      <c r="I1694" s="7" t="s">
        <v>3901</v>
      </c>
      <c r="J1694" s="7" t="s">
        <v>3773</v>
      </c>
      <c r="K1694" s="7" t="str">
        <f t="shared" si="2"/>
        <v/>
      </c>
      <c r="L1694" s="7" t="str">
        <f t="shared" si="1026"/>
        <v/>
      </c>
      <c r="M1694" s="7">
        <f t="shared" ref="M1694:N1694" si="1715">IF(LEN(M$1),COUNTIF($G1694:$J1694,M$1),"")</f>
        <v>0</v>
      </c>
      <c r="N1694" s="7" t="str">
        <f t="shared" si="1715"/>
        <v/>
      </c>
      <c r="O1694" s="7" t="str">
        <f t="shared" si="1028"/>
        <v/>
      </c>
      <c r="P1694" s="7">
        <f t="shared" si="1635"/>
        <v>0</v>
      </c>
      <c r="Q1694" s="7" t="str">
        <f t="shared" si="7"/>
        <v/>
      </c>
      <c r="T1694" s="7"/>
    </row>
    <row r="1695" ht="12.75" customHeight="1">
      <c r="A1695" s="7">
        <v>1694.0</v>
      </c>
      <c r="B1695" s="7" t="s">
        <v>1851</v>
      </c>
      <c r="C1695" s="7" t="s">
        <v>3108</v>
      </c>
      <c r="D1695" s="7"/>
      <c r="E1695" s="7"/>
      <c r="F1695" s="7" t="s">
        <v>4876</v>
      </c>
      <c r="G1695" s="7" t="s">
        <v>3878</v>
      </c>
      <c r="H1695" s="7" t="s">
        <v>3897</v>
      </c>
      <c r="I1695" s="7" t="s">
        <v>3870</v>
      </c>
      <c r="J1695" s="7" t="s">
        <v>3916</v>
      </c>
      <c r="K1695" s="7" t="str">
        <f t="shared" si="2"/>
        <v/>
      </c>
      <c r="L1695" s="7" t="str">
        <f t="shared" si="1026"/>
        <v/>
      </c>
      <c r="M1695" s="7">
        <f t="shared" ref="M1695:N1695" si="1716">IF(LEN(M$1),COUNTIF($G1695:$J1695,M$1),"")</f>
        <v>0</v>
      </c>
      <c r="N1695" s="7" t="str">
        <f t="shared" si="1716"/>
        <v/>
      </c>
      <c r="O1695" s="7" t="str">
        <f t="shared" si="1028"/>
        <v/>
      </c>
      <c r="P1695" s="7">
        <f t="shared" si="1635"/>
        <v>0</v>
      </c>
      <c r="Q1695" s="7" t="str">
        <f t="shared" si="7"/>
        <v/>
      </c>
      <c r="T1695" s="7"/>
    </row>
    <row r="1696" ht="12.75" customHeight="1">
      <c r="A1696" s="7">
        <v>1695.0</v>
      </c>
      <c r="B1696" s="7" t="s">
        <v>1857</v>
      </c>
      <c r="C1696" s="7" t="s">
        <v>4839</v>
      </c>
      <c r="D1696" s="7"/>
      <c r="E1696" s="7"/>
      <c r="F1696" s="7" t="s">
        <v>4876</v>
      </c>
      <c r="G1696" s="7" t="s">
        <v>3940</v>
      </c>
      <c r="H1696" s="7" t="s">
        <v>3815</v>
      </c>
      <c r="I1696" s="7" t="s">
        <v>3955</v>
      </c>
      <c r="J1696" s="7" t="s">
        <v>3916</v>
      </c>
      <c r="K1696" s="7" t="str">
        <f t="shared" si="2"/>
        <v/>
      </c>
      <c r="L1696" s="7" t="str">
        <f t="shared" si="1026"/>
        <v/>
      </c>
      <c r="M1696" s="7">
        <f t="shared" ref="M1696:N1696" si="1717">IF(LEN(M$1),COUNTIF($G1696:$J1696,M$1),"")</f>
        <v>0</v>
      </c>
      <c r="N1696" s="7" t="str">
        <f t="shared" si="1717"/>
        <v/>
      </c>
      <c r="O1696" s="7" t="str">
        <f t="shared" si="1028"/>
        <v/>
      </c>
      <c r="P1696" s="7">
        <f t="shared" si="1635"/>
        <v>0</v>
      </c>
      <c r="Q1696" s="7" t="str">
        <f t="shared" si="7"/>
        <v/>
      </c>
      <c r="T1696" s="7"/>
    </row>
    <row r="1697" ht="12.75" customHeight="1">
      <c r="A1697" s="7">
        <v>1696.0</v>
      </c>
      <c r="B1697" s="7" t="s">
        <v>1857</v>
      </c>
      <c r="C1697" s="7" t="s">
        <v>4839</v>
      </c>
      <c r="D1697" s="7"/>
      <c r="E1697" s="7"/>
      <c r="F1697" s="7" t="s">
        <v>4876</v>
      </c>
      <c r="G1697" s="7" t="s">
        <v>3878</v>
      </c>
      <c r="H1697" s="7" t="s">
        <v>3927</v>
      </c>
      <c r="I1697" s="7" t="s">
        <v>3908</v>
      </c>
      <c r="J1697" s="7" t="s">
        <v>3887</v>
      </c>
      <c r="K1697" s="7" t="str">
        <f t="shared" si="2"/>
        <v/>
      </c>
      <c r="L1697" s="7" t="str">
        <f t="shared" si="1026"/>
        <v/>
      </c>
      <c r="M1697" s="7">
        <f t="shared" ref="M1697:N1697" si="1718">IF(LEN(M$1),COUNTIF($G1697:$J1697,M$1),"")</f>
        <v>0</v>
      </c>
      <c r="N1697" s="7" t="str">
        <f t="shared" si="1718"/>
        <v/>
      </c>
      <c r="O1697" s="7" t="str">
        <f t="shared" si="1028"/>
        <v/>
      </c>
      <c r="P1697" s="7">
        <f t="shared" si="1635"/>
        <v>0</v>
      </c>
      <c r="Q1697" s="7" t="str">
        <f t="shared" si="7"/>
        <v/>
      </c>
      <c r="T1697" s="7"/>
    </row>
    <row r="1698" ht="12.75" customHeight="1">
      <c r="A1698" s="7">
        <v>1697.0</v>
      </c>
      <c r="B1698" s="7" t="s">
        <v>1864</v>
      </c>
      <c r="C1698" s="7" t="s">
        <v>4839</v>
      </c>
      <c r="D1698" s="7"/>
      <c r="E1698" s="7"/>
      <c r="F1698" s="7" t="s">
        <v>4876</v>
      </c>
      <c r="G1698" s="7" t="s">
        <v>3872</v>
      </c>
      <c r="H1698" s="7" t="s">
        <v>3743</v>
      </c>
      <c r="I1698" s="7" t="s">
        <v>3942</v>
      </c>
      <c r="J1698" s="7" t="s">
        <v>3847</v>
      </c>
      <c r="K1698" s="7" t="str">
        <f t="shared" si="2"/>
        <v/>
      </c>
      <c r="L1698" s="7" t="str">
        <f t="shared" si="1026"/>
        <v/>
      </c>
      <c r="M1698" s="7">
        <f t="shared" ref="M1698:N1698" si="1719">IF(LEN(M$1),COUNTIF($G1698:$J1698,M$1),"")</f>
        <v>0</v>
      </c>
      <c r="N1698" s="7" t="str">
        <f t="shared" si="1719"/>
        <v/>
      </c>
      <c r="O1698" s="7" t="str">
        <f t="shared" si="1028"/>
        <v/>
      </c>
      <c r="P1698" s="7">
        <f t="shared" si="1635"/>
        <v>0</v>
      </c>
      <c r="Q1698" s="7" t="str">
        <f t="shared" si="7"/>
        <v/>
      </c>
      <c r="T1698" s="7"/>
    </row>
    <row r="1699" ht="12.75" customHeight="1">
      <c r="A1699" s="7">
        <v>1698.0</v>
      </c>
      <c r="B1699" s="7" t="s">
        <v>1864</v>
      </c>
      <c r="C1699" s="7" t="s">
        <v>4839</v>
      </c>
      <c r="D1699" s="7"/>
      <c r="E1699" s="7"/>
      <c r="F1699" s="7" t="s">
        <v>4876</v>
      </c>
      <c r="G1699" s="7" t="s">
        <v>3858</v>
      </c>
      <c r="H1699" s="7" t="s">
        <v>3902</v>
      </c>
      <c r="I1699" s="7" t="s">
        <v>3875</v>
      </c>
      <c r="J1699" s="7" t="s">
        <v>3953</v>
      </c>
      <c r="K1699" s="7" t="str">
        <f t="shared" si="2"/>
        <v/>
      </c>
      <c r="L1699" s="7" t="str">
        <f t="shared" si="1026"/>
        <v/>
      </c>
      <c r="M1699" s="7">
        <f t="shared" ref="M1699:N1699" si="1720">IF(LEN(M$1),COUNTIF($G1699:$J1699,M$1),"")</f>
        <v>0</v>
      </c>
      <c r="N1699" s="7" t="str">
        <f t="shared" si="1720"/>
        <v/>
      </c>
      <c r="O1699" s="7" t="str">
        <f t="shared" si="1028"/>
        <v/>
      </c>
      <c r="P1699" s="7">
        <f t="shared" si="1635"/>
        <v>0</v>
      </c>
      <c r="Q1699" s="7" t="str">
        <f t="shared" si="7"/>
        <v/>
      </c>
      <c r="T1699" s="7"/>
    </row>
    <row r="1700" ht="12.75" customHeight="1">
      <c r="A1700" s="7">
        <v>1699.0</v>
      </c>
      <c r="B1700" s="7" t="s">
        <v>346</v>
      </c>
      <c r="C1700" s="7" t="s">
        <v>4827</v>
      </c>
      <c r="D1700" s="7"/>
      <c r="E1700" s="7"/>
      <c r="F1700" s="7" t="s">
        <v>4876</v>
      </c>
      <c r="G1700" s="7" t="s">
        <v>3887</v>
      </c>
      <c r="H1700" s="7" t="s">
        <v>3890</v>
      </c>
      <c r="I1700" s="7" t="s">
        <v>3906</v>
      </c>
      <c r="J1700" s="7" t="s">
        <v>3875</v>
      </c>
      <c r="K1700" s="7" t="str">
        <f t="shared" si="2"/>
        <v/>
      </c>
      <c r="L1700" s="7" t="str">
        <f t="shared" si="1026"/>
        <v/>
      </c>
      <c r="M1700" s="7">
        <f t="shared" ref="M1700:N1700" si="1721">IF(LEN(M$1),COUNTIF($G1700:$J1700,M$1),"")</f>
        <v>0</v>
      </c>
      <c r="N1700" s="7" t="str">
        <f t="shared" si="1721"/>
        <v/>
      </c>
      <c r="O1700" s="7" t="str">
        <f t="shared" si="1028"/>
        <v/>
      </c>
      <c r="P1700" s="7">
        <f t="shared" si="1635"/>
        <v>0</v>
      </c>
      <c r="Q1700" s="7" t="str">
        <f t="shared" si="7"/>
        <v/>
      </c>
      <c r="T1700" s="7"/>
    </row>
    <row r="1701" ht="12.75" customHeight="1">
      <c r="A1701" s="7">
        <v>1700.0</v>
      </c>
      <c r="B1701" s="7" t="s">
        <v>1878</v>
      </c>
      <c r="C1701" s="7" t="s">
        <v>4827</v>
      </c>
      <c r="D1701" s="7"/>
      <c r="E1701" s="7"/>
      <c r="F1701" s="7" t="s">
        <v>4876</v>
      </c>
      <c r="G1701" s="7" t="s">
        <v>3864</v>
      </c>
      <c r="H1701" s="7" t="s">
        <v>3949</v>
      </c>
      <c r="I1701" s="7" t="s">
        <v>3948</v>
      </c>
      <c r="J1701" s="7" t="s">
        <v>3947</v>
      </c>
      <c r="K1701" s="7" t="str">
        <f t="shared" si="2"/>
        <v/>
      </c>
      <c r="L1701" s="7" t="str">
        <f t="shared" si="1026"/>
        <v/>
      </c>
      <c r="M1701" s="7">
        <f t="shared" ref="M1701:N1701" si="1722">IF(LEN(M$1),COUNTIF($G1701:$J1701,M$1),"")</f>
        <v>0</v>
      </c>
      <c r="N1701" s="7" t="str">
        <f t="shared" si="1722"/>
        <v/>
      </c>
      <c r="O1701" s="7" t="str">
        <f t="shared" si="1028"/>
        <v/>
      </c>
      <c r="P1701" s="7">
        <f t="shared" si="1635"/>
        <v>0</v>
      </c>
      <c r="Q1701" s="7" t="str">
        <f t="shared" si="7"/>
        <v/>
      </c>
      <c r="T1701" s="7"/>
    </row>
    <row r="1702" ht="12.75" customHeight="1">
      <c r="A1702" s="7">
        <v>1701.0</v>
      </c>
      <c r="B1702" s="7" t="s">
        <v>1886</v>
      </c>
      <c r="C1702" s="7" t="s">
        <v>4838</v>
      </c>
      <c r="D1702" s="7"/>
      <c r="E1702" s="7"/>
      <c r="F1702" s="7" t="s">
        <v>4876</v>
      </c>
      <c r="G1702" s="7" t="s">
        <v>3922</v>
      </c>
      <c r="H1702" s="7" t="s">
        <v>3957</v>
      </c>
      <c r="I1702" s="7" t="s">
        <v>3928</v>
      </c>
      <c r="J1702" s="7" t="s">
        <v>3746</v>
      </c>
      <c r="K1702" s="7" t="str">
        <f t="shared" si="2"/>
        <v/>
      </c>
      <c r="L1702" s="7" t="str">
        <f t="shared" si="1026"/>
        <v/>
      </c>
      <c r="M1702" s="7">
        <f t="shared" ref="M1702:N1702" si="1723">IF(LEN(M$1),COUNTIF($G1702:$J1702,M$1),"")</f>
        <v>0</v>
      </c>
      <c r="N1702" s="7" t="str">
        <f t="shared" si="1723"/>
        <v/>
      </c>
      <c r="O1702" s="7" t="str">
        <f t="shared" si="1028"/>
        <v/>
      </c>
      <c r="P1702" s="7">
        <f t="shared" si="1635"/>
        <v>0</v>
      </c>
      <c r="Q1702" s="7" t="str">
        <f t="shared" si="7"/>
        <v/>
      </c>
      <c r="T1702" s="7"/>
    </row>
    <row r="1703" ht="12.75" customHeight="1">
      <c r="A1703" s="7">
        <v>1702.0</v>
      </c>
      <c r="B1703" s="7" t="s">
        <v>1886</v>
      </c>
      <c r="C1703" s="7" t="s">
        <v>4838</v>
      </c>
      <c r="D1703" s="7"/>
      <c r="E1703" s="7"/>
      <c r="F1703" s="7" t="s">
        <v>4876</v>
      </c>
      <c r="G1703" s="7" t="s">
        <v>3943</v>
      </c>
      <c r="H1703" s="7" t="s">
        <v>3748</v>
      </c>
      <c r="I1703" s="7" t="s">
        <v>3897</v>
      </c>
      <c r="J1703" s="7" t="s">
        <v>3927</v>
      </c>
      <c r="K1703" s="7" t="str">
        <f t="shared" si="2"/>
        <v/>
      </c>
      <c r="L1703" s="7" t="str">
        <f t="shared" si="1026"/>
        <v/>
      </c>
      <c r="M1703" s="7">
        <f t="shared" ref="M1703:N1703" si="1724">IF(LEN(M$1),COUNTIF($G1703:$J1703,M$1),"")</f>
        <v>0</v>
      </c>
      <c r="N1703" s="7" t="str">
        <f t="shared" si="1724"/>
        <v/>
      </c>
      <c r="O1703" s="7" t="str">
        <f t="shared" si="1028"/>
        <v/>
      </c>
      <c r="P1703" s="7">
        <f t="shared" si="1635"/>
        <v>0</v>
      </c>
      <c r="Q1703" s="7" t="str">
        <f t="shared" si="7"/>
        <v/>
      </c>
      <c r="T1703" s="7"/>
    </row>
    <row r="1704" ht="12.75" customHeight="1">
      <c r="A1704" s="7">
        <v>1703.0</v>
      </c>
      <c r="B1704" s="7" t="s">
        <v>1895</v>
      </c>
      <c r="C1704" s="7" t="s">
        <v>4838</v>
      </c>
      <c r="D1704" s="7"/>
      <c r="E1704" s="7"/>
      <c r="F1704" s="7" t="s">
        <v>4876</v>
      </c>
      <c r="G1704" s="7" t="s">
        <v>3944</v>
      </c>
      <c r="H1704" s="7" t="s">
        <v>3875</v>
      </c>
      <c r="I1704" s="7" t="s">
        <v>3904</v>
      </c>
      <c r="J1704" s="7" t="s">
        <v>3868</v>
      </c>
      <c r="K1704" s="7" t="str">
        <f t="shared" si="2"/>
        <v/>
      </c>
      <c r="L1704" s="7" t="str">
        <f t="shared" si="1026"/>
        <v/>
      </c>
      <c r="M1704" s="7">
        <f t="shared" ref="M1704:N1704" si="1725">IF(LEN(M$1),COUNTIF($G1704:$J1704,M$1),"")</f>
        <v>0</v>
      </c>
      <c r="N1704" s="7" t="str">
        <f t="shared" si="1725"/>
        <v/>
      </c>
      <c r="O1704" s="7" t="str">
        <f t="shared" si="1028"/>
        <v/>
      </c>
      <c r="P1704" s="7">
        <f t="shared" si="1635"/>
        <v>0</v>
      </c>
      <c r="Q1704" s="7" t="str">
        <f t="shared" si="7"/>
        <v/>
      </c>
      <c r="T1704" s="7"/>
    </row>
    <row r="1705" ht="12.75" customHeight="1">
      <c r="A1705" s="7">
        <v>1704.0</v>
      </c>
      <c r="B1705" s="7" t="s">
        <v>1895</v>
      </c>
      <c r="C1705" s="7" t="s">
        <v>4838</v>
      </c>
      <c r="D1705" s="7"/>
      <c r="E1705" s="7"/>
      <c r="F1705" s="7" t="s">
        <v>4876</v>
      </c>
      <c r="G1705" s="7" t="s">
        <v>3831</v>
      </c>
      <c r="H1705" s="7" t="s">
        <v>3927</v>
      </c>
      <c r="I1705" s="7" t="s">
        <v>3858</v>
      </c>
      <c r="J1705" s="7" t="s">
        <v>3810</v>
      </c>
      <c r="K1705" s="7" t="str">
        <f t="shared" si="2"/>
        <v/>
      </c>
      <c r="L1705" s="7" t="str">
        <f t="shared" si="1026"/>
        <v/>
      </c>
      <c r="M1705" s="7">
        <f t="shared" ref="M1705:N1705" si="1726">IF(LEN(M$1),COUNTIF($G1705:$J1705,M$1),"")</f>
        <v>0</v>
      </c>
      <c r="N1705" s="7" t="str">
        <f t="shared" si="1726"/>
        <v/>
      </c>
      <c r="O1705" s="7" t="str">
        <f t="shared" si="1028"/>
        <v/>
      </c>
      <c r="P1705" s="7">
        <f t="shared" si="1635"/>
        <v>0</v>
      </c>
      <c r="Q1705" s="7" t="str">
        <f t="shared" si="7"/>
        <v/>
      </c>
      <c r="T1705" s="7"/>
    </row>
    <row r="1706" ht="12.75" customHeight="1">
      <c r="A1706" s="7">
        <v>1705.0</v>
      </c>
      <c r="B1706" s="7" t="s">
        <v>1902</v>
      </c>
      <c r="C1706" s="7" t="s">
        <v>2659</v>
      </c>
      <c r="D1706" s="7"/>
      <c r="E1706" s="7"/>
      <c r="F1706" s="7" t="s">
        <v>4876</v>
      </c>
      <c r="G1706" s="7" t="s">
        <v>3862</v>
      </c>
      <c r="H1706" s="7" t="s">
        <v>3771</v>
      </c>
      <c r="I1706" s="7" t="s">
        <v>3878</v>
      </c>
      <c r="J1706" s="7" t="s">
        <v>3752</v>
      </c>
      <c r="K1706" s="7" t="str">
        <f t="shared" si="2"/>
        <v/>
      </c>
      <c r="L1706" s="7" t="str">
        <f t="shared" si="1026"/>
        <v/>
      </c>
      <c r="M1706" s="7">
        <f t="shared" ref="M1706:N1706" si="1727">IF(LEN(M$1),COUNTIF($G1706:$J1706,M$1),"")</f>
        <v>0</v>
      </c>
      <c r="N1706" s="7" t="str">
        <f t="shared" si="1727"/>
        <v/>
      </c>
      <c r="O1706" s="7" t="str">
        <f t="shared" si="1028"/>
        <v/>
      </c>
      <c r="P1706" s="7">
        <f t="shared" si="1635"/>
        <v>0</v>
      </c>
      <c r="Q1706" s="7" t="str">
        <f t="shared" si="7"/>
        <v/>
      </c>
      <c r="T1706" s="7"/>
    </row>
    <row r="1707" ht="12.75" customHeight="1">
      <c r="A1707" s="7">
        <v>1706.0</v>
      </c>
      <c r="B1707" s="7" t="s">
        <v>1902</v>
      </c>
      <c r="C1707" s="7" t="s">
        <v>2659</v>
      </c>
      <c r="D1707" s="7"/>
      <c r="E1707" s="7"/>
      <c r="F1707" s="7" t="s">
        <v>4876</v>
      </c>
      <c r="G1707" s="7" t="s">
        <v>3798</v>
      </c>
      <c r="H1707" s="7" t="s">
        <v>3935</v>
      </c>
      <c r="I1707" s="7" t="s">
        <v>3943</v>
      </c>
      <c r="J1707" s="7" t="s">
        <v>3850</v>
      </c>
      <c r="K1707" s="7" t="str">
        <f t="shared" si="2"/>
        <v/>
      </c>
      <c r="L1707" s="7" t="str">
        <f t="shared" si="1026"/>
        <v/>
      </c>
      <c r="M1707" s="7">
        <f t="shared" ref="M1707:N1707" si="1728">IF(LEN(M$1),COUNTIF($G1707:$J1707,M$1),"")</f>
        <v>0</v>
      </c>
      <c r="N1707" s="7" t="str">
        <f t="shared" si="1728"/>
        <v/>
      </c>
      <c r="O1707" s="7" t="str">
        <f t="shared" si="1028"/>
        <v/>
      </c>
      <c r="P1707" s="7">
        <f t="shared" si="1635"/>
        <v>0</v>
      </c>
      <c r="Q1707" s="7" t="str">
        <f t="shared" si="7"/>
        <v/>
      </c>
      <c r="T1707" s="7"/>
    </row>
    <row r="1708" ht="12.75" customHeight="1">
      <c r="A1708" s="7">
        <v>1707.0</v>
      </c>
      <c r="B1708" s="7" t="s">
        <v>1911</v>
      </c>
      <c r="C1708" s="7" t="s">
        <v>2659</v>
      </c>
      <c r="D1708" s="7"/>
      <c r="E1708" s="7"/>
      <c r="F1708" s="7" t="s">
        <v>4876</v>
      </c>
      <c r="G1708" s="7" t="s">
        <v>3935</v>
      </c>
      <c r="H1708" s="7" t="s">
        <v>4092</v>
      </c>
      <c r="I1708" s="7" t="s">
        <v>3942</v>
      </c>
      <c r="J1708" s="7" t="s">
        <v>3943</v>
      </c>
      <c r="K1708" s="7" t="str">
        <f t="shared" si="2"/>
        <v/>
      </c>
      <c r="L1708" s="7" t="str">
        <f t="shared" si="1026"/>
        <v/>
      </c>
      <c r="M1708" s="7">
        <f t="shared" ref="M1708:N1708" si="1729">IF(LEN(M$1),COUNTIF($G1708:$J1708,M$1),"")</f>
        <v>0</v>
      </c>
      <c r="N1708" s="7" t="str">
        <f t="shared" si="1729"/>
        <v/>
      </c>
      <c r="O1708" s="7" t="str">
        <f t="shared" si="1028"/>
        <v/>
      </c>
      <c r="P1708" s="7">
        <f t="shared" si="1635"/>
        <v>0</v>
      </c>
      <c r="Q1708" s="7" t="str">
        <f t="shared" si="7"/>
        <v/>
      </c>
      <c r="T1708" s="7"/>
    </row>
    <row r="1709" ht="12.75" customHeight="1">
      <c r="A1709" s="7">
        <v>1708.0</v>
      </c>
      <c r="B1709" s="7" t="s">
        <v>1911</v>
      </c>
      <c r="C1709" s="7" t="s">
        <v>2659</v>
      </c>
      <c r="D1709" s="7"/>
      <c r="E1709" s="7"/>
      <c r="F1709" s="7" t="s">
        <v>4876</v>
      </c>
      <c r="G1709" s="7" t="s">
        <v>3890</v>
      </c>
      <c r="H1709" s="7" t="s">
        <v>3818</v>
      </c>
      <c r="I1709" s="7" t="s">
        <v>3911</v>
      </c>
      <c r="J1709" s="7" t="s">
        <v>3737</v>
      </c>
      <c r="K1709" s="7" t="str">
        <f t="shared" si="2"/>
        <v/>
      </c>
      <c r="L1709" s="7" t="str">
        <f t="shared" si="1026"/>
        <v/>
      </c>
      <c r="M1709" s="7">
        <f t="shared" ref="M1709:N1709" si="1730">IF(LEN(M$1),COUNTIF($G1709:$J1709,M$1),"")</f>
        <v>0</v>
      </c>
      <c r="N1709" s="7" t="str">
        <f t="shared" si="1730"/>
        <v/>
      </c>
      <c r="O1709" s="7" t="str">
        <f t="shared" si="1028"/>
        <v/>
      </c>
      <c r="P1709" s="7">
        <f t="shared" si="1635"/>
        <v>0</v>
      </c>
      <c r="Q1709" s="7" t="str">
        <f t="shared" si="7"/>
        <v/>
      </c>
      <c r="T1709" s="7"/>
    </row>
    <row r="1710" ht="12.75" customHeight="1">
      <c r="A1710" s="7">
        <v>1709.0</v>
      </c>
      <c r="B1710" s="7" t="s">
        <v>487</v>
      </c>
      <c r="C1710" s="7" t="s">
        <v>2659</v>
      </c>
      <c r="D1710" s="7"/>
      <c r="E1710" s="7"/>
      <c r="F1710" s="7" t="s">
        <v>4876</v>
      </c>
      <c r="G1710" s="7" t="s">
        <v>3946</v>
      </c>
      <c r="H1710" s="7" t="s">
        <v>3778</v>
      </c>
      <c r="I1710" s="7" t="s">
        <v>3927</v>
      </c>
      <c r="J1710" s="7" t="s">
        <v>3804</v>
      </c>
      <c r="K1710" s="7" t="str">
        <f t="shared" si="2"/>
        <v/>
      </c>
      <c r="L1710" s="7" t="str">
        <f t="shared" si="1026"/>
        <v/>
      </c>
      <c r="M1710" s="7">
        <f t="shared" ref="M1710:N1710" si="1731">IF(LEN(M$1),COUNTIF($G1710:$J1710,M$1),"")</f>
        <v>0</v>
      </c>
      <c r="N1710" s="7" t="str">
        <f t="shared" si="1731"/>
        <v/>
      </c>
      <c r="O1710" s="7" t="str">
        <f t="shared" si="1028"/>
        <v/>
      </c>
      <c r="P1710" s="7">
        <f t="shared" si="1635"/>
        <v>0</v>
      </c>
      <c r="Q1710" s="7" t="str">
        <f t="shared" si="7"/>
        <v/>
      </c>
      <c r="T1710" s="7"/>
    </row>
    <row r="1711" ht="12.75" customHeight="1">
      <c r="A1711" s="7">
        <v>1710.0</v>
      </c>
      <c r="B1711" s="7" t="s">
        <v>853</v>
      </c>
      <c r="C1711" s="7" t="s">
        <v>2659</v>
      </c>
      <c r="D1711" s="7"/>
      <c r="E1711" s="7"/>
      <c r="F1711" s="7" t="s">
        <v>4876</v>
      </c>
      <c r="G1711" s="7" t="s">
        <v>3944</v>
      </c>
      <c r="H1711" s="7" t="s">
        <v>3831</v>
      </c>
      <c r="I1711" s="7" t="s">
        <v>3864</v>
      </c>
      <c r="J1711" s="7" t="s">
        <v>3847</v>
      </c>
      <c r="K1711" s="7" t="str">
        <f t="shared" si="2"/>
        <v/>
      </c>
      <c r="L1711" s="7" t="str">
        <f t="shared" si="1026"/>
        <v/>
      </c>
      <c r="M1711" s="7">
        <f t="shared" ref="M1711:N1711" si="1732">IF(LEN(M$1),COUNTIF($G1711:$J1711,M$1),"")</f>
        <v>0</v>
      </c>
      <c r="N1711" s="7" t="str">
        <f t="shared" si="1732"/>
        <v/>
      </c>
      <c r="O1711" s="7" t="str">
        <f t="shared" si="1028"/>
        <v/>
      </c>
      <c r="P1711" s="7">
        <f t="shared" si="1635"/>
        <v>0</v>
      </c>
      <c r="Q1711" s="7" t="str">
        <f t="shared" si="7"/>
        <v/>
      </c>
      <c r="T1711" s="7"/>
    </row>
    <row r="1712" ht="12.75" customHeight="1">
      <c r="A1712" s="7">
        <v>1711.0</v>
      </c>
      <c r="B1712" s="7" t="s">
        <v>853</v>
      </c>
      <c r="C1712" s="7" t="s">
        <v>2659</v>
      </c>
      <c r="D1712" s="7"/>
      <c r="E1712" s="7"/>
      <c r="F1712" s="7" t="s">
        <v>4876</v>
      </c>
      <c r="G1712" s="7" t="s">
        <v>3727</v>
      </c>
      <c r="H1712" s="7" t="s">
        <v>3913</v>
      </c>
      <c r="I1712" s="7" t="s">
        <v>3904</v>
      </c>
      <c r="J1712" s="7" t="s">
        <v>3782</v>
      </c>
      <c r="K1712" s="7" t="str">
        <f t="shared" si="2"/>
        <v/>
      </c>
      <c r="L1712" s="7" t="str">
        <f t="shared" si="1026"/>
        <v/>
      </c>
      <c r="M1712" s="7">
        <f t="shared" ref="M1712:N1712" si="1733">IF(LEN(M$1),COUNTIF($G1712:$J1712,M$1),"")</f>
        <v>0</v>
      </c>
      <c r="N1712" s="7" t="str">
        <f t="shared" si="1733"/>
        <v/>
      </c>
      <c r="O1712" s="7" t="str">
        <f t="shared" si="1028"/>
        <v/>
      </c>
      <c r="P1712" s="7">
        <f t="shared" si="1635"/>
        <v>0</v>
      </c>
      <c r="Q1712" s="7" t="str">
        <f t="shared" si="7"/>
        <v/>
      </c>
      <c r="T1712" s="7"/>
    </row>
    <row r="1713" ht="12.75" customHeight="1">
      <c r="A1713" s="7">
        <v>1712.0</v>
      </c>
      <c r="B1713" s="7" t="s">
        <v>1136</v>
      </c>
      <c r="C1713" s="7" t="s">
        <v>4837</v>
      </c>
      <c r="D1713" s="7" t="s">
        <v>1159</v>
      </c>
      <c r="E1713" s="7" t="s">
        <v>4845</v>
      </c>
      <c r="F1713" s="7" t="s">
        <v>4877</v>
      </c>
      <c r="G1713" s="7" t="s">
        <v>4325</v>
      </c>
      <c r="H1713" s="7" t="s">
        <v>4327</v>
      </c>
      <c r="I1713" s="7" t="s">
        <v>4326</v>
      </c>
      <c r="J1713" s="7" t="s">
        <v>4328</v>
      </c>
      <c r="K1713" s="7" t="str">
        <f t="shared" si="2"/>
        <v/>
      </c>
      <c r="L1713" s="7" t="str">
        <f t="shared" ref="L1713:L2004" si="1735">IF(LEN(L$1),IF(OR(L$1=G1713,L$1=I1713),1,0),"")</f>
        <v/>
      </c>
      <c r="M1713" s="7">
        <f t="shared" ref="M1713:N1713" si="1734">IF(LEN(M$1),COUNTIF($G1713:$J1713,M$1),"")</f>
        <v>0</v>
      </c>
      <c r="N1713" s="7" t="str">
        <f t="shared" si="1734"/>
        <v/>
      </c>
      <c r="O1713" s="7" t="str">
        <f t="shared" si="1028"/>
        <v/>
      </c>
      <c r="P1713" s="7">
        <f t="shared" ref="P1713:P1974" si="1737">IF(LEN(P$1),IF(P$1="M",1,0),"")</f>
        <v>1</v>
      </c>
      <c r="Q1713" s="7" t="str">
        <f t="shared" ref="Q1713:Q2004" si="1738">IF(AND(LEN(L$1&amp;M$1&amp;N$1),PRODUCT(L1713:P1713)),B1713&amp;" &amp; "&amp;D1713,"")</f>
        <v/>
      </c>
      <c r="T1713" s="7"/>
    </row>
    <row r="1714" ht="12.75" customHeight="1">
      <c r="A1714" s="7">
        <v>1713.0</v>
      </c>
      <c r="B1714" s="7" t="s">
        <v>1136</v>
      </c>
      <c r="C1714" s="7" t="s">
        <v>4837</v>
      </c>
      <c r="D1714" s="7" t="s">
        <v>1159</v>
      </c>
      <c r="E1714" s="7" t="s">
        <v>4845</v>
      </c>
      <c r="F1714" s="7" t="s">
        <v>4877</v>
      </c>
      <c r="G1714" s="7" t="s">
        <v>4325</v>
      </c>
      <c r="H1714" s="7" t="s">
        <v>4327</v>
      </c>
      <c r="I1714" s="7" t="s">
        <v>4326</v>
      </c>
      <c r="J1714" s="7" t="s">
        <v>4342</v>
      </c>
      <c r="K1714" s="7" t="str">
        <f t="shared" si="2"/>
        <v/>
      </c>
      <c r="L1714" s="7" t="str">
        <f t="shared" si="1735"/>
        <v/>
      </c>
      <c r="M1714" s="7">
        <f t="shared" ref="M1714:N1714" si="1736">IF(LEN(M$1),COUNTIF($G1714:$J1714,M$1),"")</f>
        <v>0</v>
      </c>
      <c r="N1714" s="7" t="str">
        <f t="shared" si="1736"/>
        <v/>
      </c>
      <c r="O1714" s="7" t="str">
        <f t="shared" si="1028"/>
        <v/>
      </c>
      <c r="P1714" s="7">
        <f t="shared" si="1737"/>
        <v>1</v>
      </c>
      <c r="Q1714" s="7" t="str">
        <f t="shared" si="1738"/>
        <v/>
      </c>
      <c r="T1714" s="7"/>
    </row>
    <row r="1715" ht="12.75" customHeight="1">
      <c r="A1715" s="7">
        <v>1714.0</v>
      </c>
      <c r="B1715" s="7" t="s">
        <v>1136</v>
      </c>
      <c r="C1715" s="7" t="s">
        <v>4837</v>
      </c>
      <c r="D1715" s="7" t="s">
        <v>1167</v>
      </c>
      <c r="E1715" s="7" t="s">
        <v>4845</v>
      </c>
      <c r="F1715" s="7" t="s">
        <v>4877</v>
      </c>
      <c r="G1715" s="7" t="s">
        <v>4349</v>
      </c>
      <c r="H1715" s="7" t="s">
        <v>4352</v>
      </c>
      <c r="I1715" s="7" t="s">
        <v>4351</v>
      </c>
      <c r="J1715" s="7" t="s">
        <v>4353</v>
      </c>
      <c r="K1715" s="7" t="str">
        <f t="shared" si="2"/>
        <v/>
      </c>
      <c r="L1715" s="7" t="str">
        <f t="shared" si="1735"/>
        <v/>
      </c>
      <c r="M1715" s="7">
        <f t="shared" ref="M1715:N1715" si="1739">IF(LEN(M$1),COUNTIF($G1715:$J1715,M$1),"")</f>
        <v>0</v>
      </c>
      <c r="N1715" s="7" t="str">
        <f t="shared" si="1739"/>
        <v/>
      </c>
      <c r="O1715" s="7" t="str">
        <f t="shared" si="1028"/>
        <v/>
      </c>
      <c r="P1715" s="7">
        <f t="shared" si="1737"/>
        <v>1</v>
      </c>
      <c r="Q1715" s="7" t="str">
        <f t="shared" si="1738"/>
        <v/>
      </c>
      <c r="T1715" s="7"/>
    </row>
    <row r="1716" ht="12.75" customHeight="1">
      <c r="A1716" s="7">
        <v>1715.0</v>
      </c>
      <c r="B1716" s="7" t="s">
        <v>1136</v>
      </c>
      <c r="C1716" s="7" t="s">
        <v>4837</v>
      </c>
      <c r="D1716" s="7" t="s">
        <v>1167</v>
      </c>
      <c r="E1716" s="7" t="s">
        <v>4845</v>
      </c>
      <c r="F1716" s="7" t="s">
        <v>4877</v>
      </c>
      <c r="G1716" s="7" t="s">
        <v>4349</v>
      </c>
      <c r="H1716" s="7" t="s">
        <v>4352</v>
      </c>
      <c r="I1716" s="7" t="s">
        <v>4351</v>
      </c>
      <c r="J1716" s="7" t="s">
        <v>4353</v>
      </c>
      <c r="K1716" s="7" t="str">
        <f t="shared" si="2"/>
        <v/>
      </c>
      <c r="L1716" s="7" t="str">
        <f t="shared" si="1735"/>
        <v/>
      </c>
      <c r="M1716" s="7">
        <f t="shared" ref="M1716:N1716" si="1740">IF(LEN(M$1),COUNTIF($G1716:$J1716,M$1),"")</f>
        <v>0</v>
      </c>
      <c r="N1716" s="7" t="str">
        <f t="shared" si="1740"/>
        <v/>
      </c>
      <c r="O1716" s="7" t="str">
        <f t="shared" si="1028"/>
        <v/>
      </c>
      <c r="P1716" s="7">
        <f t="shared" si="1737"/>
        <v>1</v>
      </c>
      <c r="Q1716" s="7" t="str">
        <f t="shared" si="1738"/>
        <v/>
      </c>
      <c r="T1716" s="7"/>
    </row>
    <row r="1717" ht="12.75" customHeight="1">
      <c r="A1717" s="7">
        <v>1716.0</v>
      </c>
      <c r="B1717" s="7" t="s">
        <v>1144</v>
      </c>
      <c r="C1717" s="7" t="s">
        <v>4837</v>
      </c>
      <c r="D1717" s="7" t="s">
        <v>1167</v>
      </c>
      <c r="E1717" s="7" t="s">
        <v>4845</v>
      </c>
      <c r="F1717" s="7" t="s">
        <v>4877</v>
      </c>
      <c r="G1717" s="7" t="s">
        <v>4329</v>
      </c>
      <c r="H1717" s="7" t="s">
        <v>4331</v>
      </c>
      <c r="I1717" s="7" t="s">
        <v>4330</v>
      </c>
      <c r="J1717" s="7" t="s">
        <v>4332</v>
      </c>
      <c r="K1717" s="7" t="str">
        <f t="shared" si="2"/>
        <v/>
      </c>
      <c r="L1717" s="7" t="str">
        <f t="shared" si="1735"/>
        <v/>
      </c>
      <c r="M1717" s="7">
        <f t="shared" ref="M1717:N1717" si="1741">IF(LEN(M$1),COUNTIF($G1717:$J1717,M$1),"")</f>
        <v>0</v>
      </c>
      <c r="N1717" s="7" t="str">
        <f t="shared" si="1741"/>
        <v/>
      </c>
      <c r="O1717" s="7" t="str">
        <f t="shared" si="1028"/>
        <v/>
      </c>
      <c r="P1717" s="7">
        <f t="shared" si="1737"/>
        <v>1</v>
      </c>
      <c r="Q1717" s="7" t="str">
        <f t="shared" si="1738"/>
        <v/>
      </c>
      <c r="T1717" s="7"/>
    </row>
    <row r="1718" ht="12.75" customHeight="1">
      <c r="A1718" s="7">
        <v>1717.0</v>
      </c>
      <c r="B1718" s="7" t="s">
        <v>1144</v>
      </c>
      <c r="C1718" s="7" t="s">
        <v>4837</v>
      </c>
      <c r="D1718" s="7" t="s">
        <v>1167</v>
      </c>
      <c r="E1718" s="7" t="s">
        <v>4845</v>
      </c>
      <c r="F1718" s="7" t="s">
        <v>4877</v>
      </c>
      <c r="G1718" s="7" t="s">
        <v>4329</v>
      </c>
      <c r="H1718" s="7" t="s">
        <v>4347</v>
      </c>
      <c r="I1718" s="7" t="s">
        <v>4330</v>
      </c>
      <c r="J1718" s="7" t="s">
        <v>4332</v>
      </c>
      <c r="K1718" s="7" t="str">
        <f t="shared" si="2"/>
        <v/>
      </c>
      <c r="L1718" s="7" t="str">
        <f t="shared" si="1735"/>
        <v/>
      </c>
      <c r="M1718" s="7">
        <f t="shared" ref="M1718:N1718" si="1742">IF(LEN(M$1),COUNTIF($G1718:$J1718,M$1),"")</f>
        <v>0</v>
      </c>
      <c r="N1718" s="7" t="str">
        <f t="shared" si="1742"/>
        <v/>
      </c>
      <c r="O1718" s="7" t="str">
        <f t="shared" si="1028"/>
        <v/>
      </c>
      <c r="P1718" s="7">
        <f t="shared" si="1737"/>
        <v>1</v>
      </c>
      <c r="Q1718" s="7" t="str">
        <f t="shared" si="1738"/>
        <v/>
      </c>
      <c r="T1718" s="7"/>
    </row>
    <row r="1719" ht="12.75" customHeight="1">
      <c r="A1719" s="7">
        <v>1718.0</v>
      </c>
      <c r="B1719" s="7" t="s">
        <v>1151</v>
      </c>
      <c r="C1719" s="7" t="s">
        <v>4837</v>
      </c>
      <c r="D1719" s="7" t="s">
        <v>1174</v>
      </c>
      <c r="E1719" s="7" t="s">
        <v>4845</v>
      </c>
      <c r="F1719" s="7" t="s">
        <v>4877</v>
      </c>
      <c r="G1719" s="7" t="s">
        <v>4333</v>
      </c>
      <c r="H1719" s="7" t="s">
        <v>4337</v>
      </c>
      <c r="I1719" s="7" t="s">
        <v>4336</v>
      </c>
      <c r="J1719" s="7" t="s">
        <v>4339</v>
      </c>
      <c r="K1719" s="7" t="str">
        <f t="shared" si="2"/>
        <v/>
      </c>
      <c r="L1719" s="7" t="str">
        <f t="shared" si="1735"/>
        <v/>
      </c>
      <c r="M1719" s="7">
        <f t="shared" ref="M1719:N1719" si="1743">IF(LEN(M$1),COUNTIF($G1719:$J1719,M$1),"")</f>
        <v>0</v>
      </c>
      <c r="N1719" s="7" t="str">
        <f t="shared" si="1743"/>
        <v/>
      </c>
      <c r="O1719" s="7" t="str">
        <f t="shared" si="1028"/>
        <v/>
      </c>
      <c r="P1719" s="7">
        <f t="shared" si="1737"/>
        <v>1</v>
      </c>
      <c r="Q1719" s="7" t="str">
        <f t="shared" si="1738"/>
        <v/>
      </c>
      <c r="T1719" s="7"/>
    </row>
    <row r="1720" ht="12.75" customHeight="1">
      <c r="A1720" s="7">
        <v>1719.0</v>
      </c>
      <c r="B1720" s="7" t="s">
        <v>1151</v>
      </c>
      <c r="C1720" s="7" t="s">
        <v>4837</v>
      </c>
      <c r="D1720" s="7" t="s">
        <v>1174</v>
      </c>
      <c r="E1720" s="7" t="s">
        <v>4845</v>
      </c>
      <c r="F1720" s="7" t="s">
        <v>4877</v>
      </c>
      <c r="G1720" s="7" t="s">
        <v>4333</v>
      </c>
      <c r="H1720" s="7" t="s">
        <v>4337</v>
      </c>
      <c r="I1720" s="7" t="s">
        <v>4336</v>
      </c>
      <c r="J1720" s="7" t="s">
        <v>4282</v>
      </c>
      <c r="K1720" s="7" t="str">
        <f t="shared" si="2"/>
        <v/>
      </c>
      <c r="L1720" s="7" t="str">
        <f t="shared" si="1735"/>
        <v/>
      </c>
      <c r="M1720" s="7">
        <f t="shared" ref="M1720:N1720" si="1744">IF(LEN(M$1),COUNTIF($G1720:$J1720,M$1),"")</f>
        <v>0</v>
      </c>
      <c r="N1720" s="7" t="str">
        <f t="shared" si="1744"/>
        <v/>
      </c>
      <c r="O1720" s="7" t="str">
        <f t="shared" si="1028"/>
        <v/>
      </c>
      <c r="P1720" s="7">
        <f t="shared" si="1737"/>
        <v>1</v>
      </c>
      <c r="Q1720" s="7" t="str">
        <f t="shared" si="1738"/>
        <v/>
      </c>
      <c r="T1720" s="7"/>
    </row>
    <row r="1721" ht="12.75" customHeight="1">
      <c r="A1721" s="7">
        <v>1720.0</v>
      </c>
      <c r="B1721" s="7" t="s">
        <v>1680</v>
      </c>
      <c r="C1721" s="7" t="s">
        <v>4819</v>
      </c>
      <c r="D1721" s="7" t="s">
        <v>1688</v>
      </c>
      <c r="E1721" s="7" t="s">
        <v>4819</v>
      </c>
      <c r="F1721" s="7" t="s">
        <v>4877</v>
      </c>
      <c r="G1721" s="7" t="s">
        <v>4365</v>
      </c>
      <c r="H1721" s="7" t="s">
        <v>4422</v>
      </c>
      <c r="I1721" s="7" t="s">
        <v>4414</v>
      </c>
      <c r="J1721" s="7" t="s">
        <v>4364</v>
      </c>
      <c r="K1721" s="7" t="str">
        <f t="shared" si="2"/>
        <v/>
      </c>
      <c r="L1721" s="7" t="str">
        <f t="shared" si="1735"/>
        <v/>
      </c>
      <c r="M1721" s="7">
        <f t="shared" ref="M1721:N1721" si="1745">IF(LEN(M$1),COUNTIF($G1721:$J1721,M$1),"")</f>
        <v>1</v>
      </c>
      <c r="N1721" s="7" t="str">
        <f t="shared" si="1745"/>
        <v/>
      </c>
      <c r="O1721" s="7" t="str">
        <f t="shared" si="1028"/>
        <v/>
      </c>
      <c r="P1721" s="7">
        <f t="shared" si="1737"/>
        <v>1</v>
      </c>
      <c r="Q1721" s="7" t="str">
        <f t="shared" si="1738"/>
        <v>Kellen &amp; Alton</v>
      </c>
      <c r="T1721" s="7"/>
    </row>
    <row r="1722" ht="12.75" customHeight="1">
      <c r="A1722" s="7">
        <v>1721.0</v>
      </c>
      <c r="B1722" s="7" t="s">
        <v>1680</v>
      </c>
      <c r="C1722" s="7" t="s">
        <v>4819</v>
      </c>
      <c r="D1722" s="7" t="s">
        <v>346</v>
      </c>
      <c r="E1722" s="7" t="s">
        <v>4827</v>
      </c>
      <c r="F1722" s="7" t="s">
        <v>4877</v>
      </c>
      <c r="G1722" s="7" t="s">
        <v>4029</v>
      </c>
      <c r="H1722" s="7" t="s">
        <v>4208</v>
      </c>
      <c r="I1722" s="7" t="s">
        <v>4198</v>
      </c>
      <c r="J1722" s="7" t="s">
        <v>3985</v>
      </c>
      <c r="K1722" s="7" t="str">
        <f t="shared" si="2"/>
        <v/>
      </c>
      <c r="L1722" s="7" t="str">
        <f t="shared" si="1735"/>
        <v/>
      </c>
      <c r="M1722" s="7">
        <f t="shared" ref="M1722:N1722" si="1746">IF(LEN(M$1),COUNTIF($G1722:$J1722,M$1),"")</f>
        <v>0</v>
      </c>
      <c r="N1722" s="7" t="str">
        <f t="shared" si="1746"/>
        <v/>
      </c>
      <c r="O1722" s="7" t="str">
        <f t="shared" si="1028"/>
        <v/>
      </c>
      <c r="P1722" s="7">
        <f t="shared" si="1737"/>
        <v>1</v>
      </c>
      <c r="Q1722" s="7" t="str">
        <f t="shared" si="1738"/>
        <v/>
      </c>
    </row>
    <row r="1723" ht="12.75" customHeight="1">
      <c r="A1723" s="7">
        <v>1722.0</v>
      </c>
      <c r="B1723" s="7" t="s">
        <v>1680</v>
      </c>
      <c r="C1723" s="7" t="s">
        <v>4819</v>
      </c>
      <c r="D1723" s="7" t="s">
        <v>2168</v>
      </c>
      <c r="E1723" s="7" t="s">
        <v>4829</v>
      </c>
      <c r="F1723" s="7" t="s">
        <v>4877</v>
      </c>
      <c r="G1723" s="7" t="s">
        <v>4377</v>
      </c>
      <c r="H1723" s="7" t="s">
        <v>4399</v>
      </c>
      <c r="I1723" s="7" t="s">
        <v>4400</v>
      </c>
      <c r="J1723" s="7" t="s">
        <v>4434</v>
      </c>
      <c r="K1723" s="7" t="str">
        <f t="shared" si="2"/>
        <v/>
      </c>
      <c r="L1723" s="7" t="str">
        <f t="shared" si="1735"/>
        <v/>
      </c>
      <c r="M1723" s="7">
        <f t="shared" ref="M1723:N1723" si="1747">IF(LEN(M$1),COUNTIF($G1723:$J1723,M$1),"")</f>
        <v>0</v>
      </c>
      <c r="N1723" s="7" t="str">
        <f t="shared" si="1747"/>
        <v/>
      </c>
      <c r="O1723" s="7" t="str">
        <f t="shared" si="1028"/>
        <v/>
      </c>
      <c r="P1723" s="7">
        <f t="shared" si="1737"/>
        <v>1</v>
      </c>
      <c r="Q1723" s="7" t="str">
        <f t="shared" si="1738"/>
        <v/>
      </c>
    </row>
    <row r="1724" ht="12.75" customHeight="1">
      <c r="A1724" s="7">
        <v>1723.0</v>
      </c>
      <c r="B1724" s="7" t="s">
        <v>1688</v>
      </c>
      <c r="C1724" s="7" t="s">
        <v>4819</v>
      </c>
      <c r="D1724" s="7" t="s">
        <v>1820</v>
      </c>
      <c r="E1724" s="7" t="s">
        <v>4846</v>
      </c>
      <c r="F1724" s="7" t="s">
        <v>4877</v>
      </c>
      <c r="G1724" s="7" t="s">
        <v>4132</v>
      </c>
      <c r="H1724" s="7" t="s">
        <v>4182</v>
      </c>
      <c r="I1724" s="7" t="s">
        <v>4241</v>
      </c>
      <c r="J1724" s="7" t="s">
        <v>4052</v>
      </c>
      <c r="K1724" s="7" t="str">
        <f t="shared" si="2"/>
        <v/>
      </c>
      <c r="L1724" s="7" t="str">
        <f t="shared" si="1735"/>
        <v/>
      </c>
      <c r="M1724" s="7">
        <f t="shared" ref="M1724:N1724" si="1748">IF(LEN(M$1),COUNTIF($G1724:$J1724,M$1),"")</f>
        <v>0</v>
      </c>
      <c r="N1724" s="7" t="str">
        <f t="shared" si="1748"/>
        <v/>
      </c>
      <c r="O1724" s="7" t="str">
        <f t="shared" si="1028"/>
        <v/>
      </c>
      <c r="P1724" s="7">
        <f t="shared" si="1737"/>
        <v>1</v>
      </c>
      <c r="Q1724" s="7" t="str">
        <f t="shared" si="1738"/>
        <v/>
      </c>
    </row>
    <row r="1725" ht="12.75" customHeight="1">
      <c r="A1725" s="7">
        <v>1724.0</v>
      </c>
      <c r="B1725" s="7" t="s">
        <v>1688</v>
      </c>
      <c r="C1725" s="7" t="s">
        <v>4819</v>
      </c>
      <c r="D1725" s="7" t="s">
        <v>1996</v>
      </c>
      <c r="E1725" s="7" t="s">
        <v>4854</v>
      </c>
      <c r="F1725" s="7" t="s">
        <v>4877</v>
      </c>
      <c r="G1725" s="7" t="s">
        <v>4415</v>
      </c>
      <c r="H1725" s="7" t="s">
        <v>4398</v>
      </c>
      <c r="I1725" s="7" t="s">
        <v>4433</v>
      </c>
      <c r="J1725" s="7" t="s">
        <v>4424</v>
      </c>
      <c r="K1725" s="7" t="str">
        <f t="shared" si="2"/>
        <v/>
      </c>
      <c r="L1725" s="7" t="str">
        <f t="shared" si="1735"/>
        <v/>
      </c>
      <c r="M1725" s="7">
        <f t="shared" ref="M1725:N1725" si="1749">IF(LEN(M$1),COUNTIF($G1725:$J1725,M$1),"")</f>
        <v>0</v>
      </c>
      <c r="N1725" s="7" t="str">
        <f t="shared" si="1749"/>
        <v/>
      </c>
      <c r="O1725" s="7" t="str">
        <f t="shared" si="1028"/>
        <v/>
      </c>
      <c r="P1725" s="7">
        <f t="shared" si="1737"/>
        <v>1</v>
      </c>
      <c r="Q1725" s="7" t="str">
        <f t="shared" si="1738"/>
        <v/>
      </c>
      <c r="T1725" s="7"/>
    </row>
    <row r="1726" ht="12.75" customHeight="1">
      <c r="A1726" s="7">
        <v>1725.0</v>
      </c>
      <c r="B1726" s="7" t="s">
        <v>1688</v>
      </c>
      <c r="C1726" s="7" t="s">
        <v>4819</v>
      </c>
      <c r="D1726" s="7" t="s">
        <v>2103</v>
      </c>
      <c r="E1726" s="7" t="s">
        <v>4814</v>
      </c>
      <c r="F1726" s="7" t="s">
        <v>4877</v>
      </c>
      <c r="G1726" s="7" t="s">
        <v>4415</v>
      </c>
      <c r="H1726" s="7" t="s">
        <v>4379</v>
      </c>
      <c r="I1726" s="7" t="s">
        <v>4390</v>
      </c>
      <c r="J1726" s="7" t="s">
        <v>4405</v>
      </c>
      <c r="K1726" s="7" t="str">
        <f t="shared" si="2"/>
        <v/>
      </c>
      <c r="L1726" s="7" t="str">
        <f t="shared" si="1735"/>
        <v/>
      </c>
      <c r="M1726" s="7">
        <f t="shared" ref="M1726:N1726" si="1750">IF(LEN(M$1),COUNTIF($G1726:$J1726,M$1),"")</f>
        <v>0</v>
      </c>
      <c r="N1726" s="7" t="str">
        <f t="shared" si="1750"/>
        <v/>
      </c>
      <c r="O1726" s="7" t="str">
        <f t="shared" si="1028"/>
        <v/>
      </c>
      <c r="P1726" s="7">
        <f t="shared" si="1737"/>
        <v>1</v>
      </c>
      <c r="Q1726" s="7" t="str">
        <f t="shared" si="1738"/>
        <v/>
      </c>
      <c r="T1726" s="7"/>
    </row>
    <row r="1727" ht="12.75" customHeight="1">
      <c r="A1727" s="7">
        <v>1726.0</v>
      </c>
      <c r="B1727" s="7" t="s">
        <v>1688</v>
      </c>
      <c r="C1727" s="7" t="s">
        <v>4819</v>
      </c>
      <c r="D1727" s="7" t="s">
        <v>2125</v>
      </c>
      <c r="E1727" s="7" t="s">
        <v>4756</v>
      </c>
      <c r="F1727" s="7" t="s">
        <v>4877</v>
      </c>
      <c r="G1727" s="7" t="s">
        <v>4399</v>
      </c>
      <c r="H1727" s="7" t="s">
        <v>4417</v>
      </c>
      <c r="I1727" s="7" t="s">
        <v>4377</v>
      </c>
      <c r="J1727" s="7" t="s">
        <v>4424</v>
      </c>
      <c r="K1727" s="7" t="str">
        <f t="shared" si="2"/>
        <v/>
      </c>
      <c r="L1727" s="7" t="str">
        <f t="shared" si="1735"/>
        <v/>
      </c>
      <c r="M1727" s="7">
        <f t="shared" ref="M1727:N1727" si="1751">IF(LEN(M$1),COUNTIF($G1727:$J1727,M$1),"")</f>
        <v>0</v>
      </c>
      <c r="N1727" s="7" t="str">
        <f t="shared" si="1751"/>
        <v/>
      </c>
      <c r="O1727" s="7" t="str">
        <f t="shared" si="1028"/>
        <v/>
      </c>
      <c r="P1727" s="7">
        <f t="shared" si="1737"/>
        <v>1</v>
      </c>
      <c r="Q1727" s="7" t="str">
        <f t="shared" si="1738"/>
        <v/>
      </c>
      <c r="T1727" s="7"/>
    </row>
    <row r="1728" ht="12.75" customHeight="1">
      <c r="A1728" s="7">
        <v>1727.0</v>
      </c>
      <c r="B1728" s="7" t="s">
        <v>266</v>
      </c>
      <c r="C1728" s="7" t="s">
        <v>4820</v>
      </c>
      <c r="D1728" s="7" t="s">
        <v>2065</v>
      </c>
      <c r="E1728" s="7" t="s">
        <v>4791</v>
      </c>
      <c r="F1728" s="7" t="s">
        <v>4877</v>
      </c>
      <c r="G1728" s="7" t="s">
        <v>3989</v>
      </c>
      <c r="H1728" s="7" t="s">
        <v>4218</v>
      </c>
      <c r="I1728" s="7" t="s">
        <v>4125</v>
      </c>
      <c r="J1728" s="7" t="s">
        <v>3979</v>
      </c>
      <c r="K1728" s="7" t="str">
        <f t="shared" si="2"/>
        <v/>
      </c>
      <c r="L1728" s="7" t="str">
        <f t="shared" si="1735"/>
        <v/>
      </c>
      <c r="M1728" s="7">
        <f t="shared" ref="M1728:N1728" si="1752">IF(LEN(M$1),COUNTIF($G1728:$J1728,M$1),"")</f>
        <v>0</v>
      </c>
      <c r="N1728" s="7" t="str">
        <f t="shared" si="1752"/>
        <v/>
      </c>
      <c r="O1728" s="7" t="str">
        <f t="shared" si="1028"/>
        <v/>
      </c>
      <c r="P1728" s="7">
        <f t="shared" si="1737"/>
        <v>1</v>
      </c>
      <c r="Q1728" s="7" t="str">
        <f t="shared" si="1738"/>
        <v/>
      </c>
      <c r="T1728" s="7"/>
    </row>
    <row r="1729" ht="12.75" customHeight="1">
      <c r="A1729" s="7">
        <v>1728.0</v>
      </c>
      <c r="B1729" s="7" t="s">
        <v>266</v>
      </c>
      <c r="C1729" s="7" t="s">
        <v>4820</v>
      </c>
      <c r="D1729" s="7" t="s">
        <v>2266</v>
      </c>
      <c r="E1729" s="7" t="s">
        <v>4797</v>
      </c>
      <c r="F1729" s="7" t="s">
        <v>4877</v>
      </c>
      <c r="G1729" s="7" t="s">
        <v>4119</v>
      </c>
      <c r="H1729" s="7" t="s">
        <v>4020</v>
      </c>
      <c r="I1729" s="7" t="s">
        <v>4253</v>
      </c>
      <c r="J1729" s="7" t="s">
        <v>4044</v>
      </c>
      <c r="K1729" s="7" t="str">
        <f t="shared" si="2"/>
        <v/>
      </c>
      <c r="L1729" s="7" t="str">
        <f t="shared" si="1735"/>
        <v/>
      </c>
      <c r="M1729" s="7">
        <f t="shared" ref="M1729:N1729" si="1753">IF(LEN(M$1),COUNTIF($G1729:$J1729,M$1),"")</f>
        <v>0</v>
      </c>
      <c r="N1729" s="7" t="str">
        <f t="shared" si="1753"/>
        <v/>
      </c>
      <c r="O1729" s="7" t="str">
        <f t="shared" si="1028"/>
        <v/>
      </c>
      <c r="P1729" s="7">
        <f t="shared" si="1737"/>
        <v>1</v>
      </c>
      <c r="Q1729" s="7" t="str">
        <f t="shared" si="1738"/>
        <v/>
      </c>
      <c r="T1729" s="7"/>
    </row>
    <row r="1730" ht="12.75" customHeight="1">
      <c r="A1730" s="7">
        <v>1729.0</v>
      </c>
      <c r="B1730" s="7" t="s">
        <v>1703</v>
      </c>
      <c r="C1730" s="7" t="s">
        <v>4820</v>
      </c>
      <c r="D1730" s="7" t="s">
        <v>547</v>
      </c>
      <c r="E1730" s="7" t="s">
        <v>4845</v>
      </c>
      <c r="F1730" s="7" t="s">
        <v>4877</v>
      </c>
      <c r="G1730" s="7" t="s">
        <v>4273</v>
      </c>
      <c r="H1730" s="7" t="s">
        <v>4110</v>
      </c>
      <c r="I1730" s="7" t="s">
        <v>4278</v>
      </c>
      <c r="J1730" s="7" t="s">
        <v>4098</v>
      </c>
      <c r="K1730" s="7" t="str">
        <f t="shared" si="2"/>
        <v/>
      </c>
      <c r="L1730" s="7" t="str">
        <f t="shared" si="1735"/>
        <v/>
      </c>
      <c r="M1730" s="7">
        <f t="shared" ref="M1730:N1730" si="1754">IF(LEN(M$1),COUNTIF($G1730:$J1730,M$1),"")</f>
        <v>0</v>
      </c>
      <c r="N1730" s="7" t="str">
        <f t="shared" si="1754"/>
        <v/>
      </c>
      <c r="O1730" s="7" t="str">
        <f t="shared" si="1028"/>
        <v/>
      </c>
      <c r="P1730" s="7">
        <f t="shared" si="1737"/>
        <v>1</v>
      </c>
      <c r="Q1730" s="7" t="str">
        <f t="shared" si="1738"/>
        <v/>
      </c>
      <c r="T1730" s="7"/>
    </row>
    <row r="1731" ht="12.75" customHeight="1">
      <c r="A1731" s="7">
        <v>1730.0</v>
      </c>
      <c r="B1731" s="7" t="s">
        <v>1703</v>
      </c>
      <c r="C1731" s="7" t="s">
        <v>4820</v>
      </c>
      <c r="D1731" s="7" t="s">
        <v>1843</v>
      </c>
      <c r="E1731" s="7" t="s">
        <v>3108</v>
      </c>
      <c r="F1731" s="7" t="s">
        <v>4877</v>
      </c>
      <c r="G1731" s="7" t="s">
        <v>4372</v>
      </c>
      <c r="H1731" s="7" t="s">
        <v>4365</v>
      </c>
      <c r="I1731" s="7" t="s">
        <v>4432</v>
      </c>
      <c r="J1731" s="7" t="s">
        <v>4416</v>
      </c>
      <c r="K1731" s="7" t="str">
        <f t="shared" si="2"/>
        <v/>
      </c>
      <c r="L1731" s="7" t="str">
        <f t="shared" si="1735"/>
        <v/>
      </c>
      <c r="M1731" s="7">
        <f t="shared" ref="M1731:N1731" si="1755">IF(LEN(M$1),COUNTIF($G1731:$J1731,M$1),"")</f>
        <v>0</v>
      </c>
      <c r="N1731" s="7" t="str">
        <f t="shared" si="1755"/>
        <v/>
      </c>
      <c r="O1731" s="7" t="str">
        <f t="shared" si="1028"/>
        <v/>
      </c>
      <c r="P1731" s="7">
        <f t="shared" si="1737"/>
        <v>1</v>
      </c>
      <c r="Q1731" s="7" t="str">
        <f t="shared" si="1738"/>
        <v/>
      </c>
      <c r="T1731" s="7"/>
    </row>
    <row r="1732" ht="12.75" customHeight="1">
      <c r="A1732" s="7">
        <v>1731.0</v>
      </c>
      <c r="B1732" s="7" t="s">
        <v>1703</v>
      </c>
      <c r="C1732" s="7" t="s">
        <v>4820</v>
      </c>
      <c r="D1732" s="7" t="s">
        <v>1941</v>
      </c>
      <c r="E1732" s="7" t="s">
        <v>4780</v>
      </c>
      <c r="F1732" s="7" t="s">
        <v>4877</v>
      </c>
      <c r="G1732" s="7" t="s">
        <v>4161</v>
      </c>
      <c r="H1732" s="7" t="s">
        <v>4036</v>
      </c>
      <c r="I1732" s="7" t="s">
        <v>4064</v>
      </c>
      <c r="J1732" s="7" t="s">
        <v>4152</v>
      </c>
      <c r="K1732" s="7" t="str">
        <f t="shared" si="2"/>
        <v/>
      </c>
      <c r="L1732" s="7" t="str">
        <f t="shared" si="1735"/>
        <v/>
      </c>
      <c r="M1732" s="7">
        <f t="shared" ref="M1732:N1732" si="1756">IF(LEN(M$1),COUNTIF($G1732:$J1732,M$1),"")</f>
        <v>0</v>
      </c>
      <c r="N1732" s="7" t="str">
        <f t="shared" si="1756"/>
        <v/>
      </c>
      <c r="O1732" s="7" t="str">
        <f t="shared" si="1028"/>
        <v/>
      </c>
      <c r="P1732" s="7">
        <f t="shared" si="1737"/>
        <v>1</v>
      </c>
      <c r="Q1732" s="7" t="str">
        <f t="shared" si="1738"/>
        <v/>
      </c>
      <c r="T1732" s="7"/>
    </row>
    <row r="1733" ht="12.75" customHeight="1">
      <c r="A1733" s="7">
        <v>1732.0</v>
      </c>
      <c r="B1733" s="7" t="s">
        <v>1703</v>
      </c>
      <c r="C1733" s="7" t="s">
        <v>4820</v>
      </c>
      <c r="D1733" s="7" t="s">
        <v>2248</v>
      </c>
      <c r="E1733" s="7" t="s">
        <v>4849</v>
      </c>
      <c r="F1733" s="7" t="s">
        <v>4877</v>
      </c>
      <c r="G1733" s="7" t="s">
        <v>4407</v>
      </c>
      <c r="H1733" s="7" t="s">
        <v>4426</v>
      </c>
      <c r="I1733" s="7" t="s">
        <v>4413</v>
      </c>
      <c r="J1733" s="7" t="s">
        <v>4385</v>
      </c>
      <c r="K1733" s="7" t="str">
        <f t="shared" si="2"/>
        <v/>
      </c>
      <c r="L1733" s="7" t="str">
        <f t="shared" si="1735"/>
        <v/>
      </c>
      <c r="M1733" s="7">
        <f t="shared" ref="M1733:N1733" si="1757">IF(LEN(M$1),COUNTIF($G1733:$J1733,M$1),"")</f>
        <v>0</v>
      </c>
      <c r="N1733" s="7" t="str">
        <f t="shared" si="1757"/>
        <v/>
      </c>
      <c r="O1733" s="7" t="str">
        <f t="shared" si="1028"/>
        <v/>
      </c>
      <c r="P1733" s="7">
        <f t="shared" si="1737"/>
        <v>1</v>
      </c>
      <c r="Q1733" s="7" t="str">
        <f t="shared" si="1738"/>
        <v/>
      </c>
      <c r="T1733" s="7"/>
    </row>
    <row r="1734" ht="12.75" customHeight="1">
      <c r="A1734" s="7">
        <v>1733.0</v>
      </c>
      <c r="B1734" s="7" t="s">
        <v>1710</v>
      </c>
      <c r="C1734" s="7" t="s">
        <v>4830</v>
      </c>
      <c r="D1734" s="7" t="s">
        <v>1933</v>
      </c>
      <c r="E1734" s="7" t="s">
        <v>4780</v>
      </c>
      <c r="F1734" s="7" t="s">
        <v>4877</v>
      </c>
      <c r="G1734" s="7" t="s">
        <v>4103</v>
      </c>
      <c r="H1734" s="7" t="s">
        <v>4245</v>
      </c>
      <c r="I1734" s="7" t="s">
        <v>4146</v>
      </c>
      <c r="J1734" s="7" t="s">
        <v>3998</v>
      </c>
      <c r="K1734" s="7" t="str">
        <f t="shared" si="2"/>
        <v/>
      </c>
      <c r="L1734" s="7" t="str">
        <f t="shared" si="1735"/>
        <v/>
      </c>
      <c r="M1734" s="7">
        <f t="shared" ref="M1734:N1734" si="1758">IF(LEN(M$1),COUNTIF($G1734:$J1734,M$1),"")</f>
        <v>0</v>
      </c>
      <c r="N1734" s="7" t="str">
        <f t="shared" si="1758"/>
        <v/>
      </c>
      <c r="O1734" s="7" t="str">
        <f t="shared" si="1028"/>
        <v/>
      </c>
      <c r="P1734" s="7">
        <f t="shared" si="1737"/>
        <v>1</v>
      </c>
      <c r="Q1734" s="7" t="str">
        <f t="shared" si="1738"/>
        <v/>
      </c>
      <c r="T1734" s="7"/>
    </row>
    <row r="1735" ht="12.75" customHeight="1">
      <c r="A1735" s="7">
        <v>1734.0</v>
      </c>
      <c r="B1735" s="7" t="s">
        <v>1710</v>
      </c>
      <c r="C1735" s="7" t="s">
        <v>4830</v>
      </c>
      <c r="D1735" s="7" t="s">
        <v>2133</v>
      </c>
      <c r="E1735" s="7" t="s">
        <v>4756</v>
      </c>
      <c r="F1735" s="7" t="s">
        <v>4877</v>
      </c>
      <c r="G1735" s="7" t="s">
        <v>4431</v>
      </c>
      <c r="H1735" s="7" t="s">
        <v>4402</v>
      </c>
      <c r="I1735" s="7" t="s">
        <v>4366</v>
      </c>
      <c r="J1735" s="7" t="s">
        <v>4373</v>
      </c>
      <c r="K1735" s="7" t="str">
        <f t="shared" si="2"/>
        <v/>
      </c>
      <c r="L1735" s="7" t="str">
        <f t="shared" si="1735"/>
        <v/>
      </c>
      <c r="M1735" s="7">
        <f t="shared" ref="M1735:N1735" si="1759">IF(LEN(M$1),COUNTIF($G1735:$J1735,M$1),"")</f>
        <v>0</v>
      </c>
      <c r="N1735" s="7" t="str">
        <f t="shared" si="1759"/>
        <v/>
      </c>
      <c r="O1735" s="7" t="str">
        <f t="shared" si="1028"/>
        <v/>
      </c>
      <c r="P1735" s="7">
        <f t="shared" si="1737"/>
        <v>1</v>
      </c>
      <c r="Q1735" s="7" t="str">
        <f t="shared" si="1738"/>
        <v/>
      </c>
      <c r="T1735" s="7"/>
    </row>
    <row r="1736" ht="12.75" customHeight="1">
      <c r="A1736" s="7">
        <v>1735.0</v>
      </c>
      <c r="B1736" s="7" t="s">
        <v>1718</v>
      </c>
      <c r="C1736" s="7" t="s">
        <v>4830</v>
      </c>
      <c r="D1736" s="7" t="s">
        <v>1703</v>
      </c>
      <c r="E1736" s="7" t="s">
        <v>4820</v>
      </c>
      <c r="F1736" s="7" t="s">
        <v>4877</v>
      </c>
      <c r="G1736" s="7" t="s">
        <v>4372</v>
      </c>
      <c r="H1736" s="7" t="s">
        <v>4360</v>
      </c>
      <c r="I1736" s="7" t="s">
        <v>4432</v>
      </c>
      <c r="J1736" s="7" t="s">
        <v>4383</v>
      </c>
      <c r="K1736" s="7" t="str">
        <f t="shared" si="2"/>
        <v/>
      </c>
      <c r="L1736" s="7" t="str">
        <f t="shared" si="1735"/>
        <v/>
      </c>
      <c r="M1736" s="7">
        <f t="shared" ref="M1736:N1736" si="1760">IF(LEN(M$1),COUNTIF($G1736:$J1736,M$1),"")</f>
        <v>0</v>
      </c>
      <c r="N1736" s="7" t="str">
        <f t="shared" si="1760"/>
        <v/>
      </c>
      <c r="O1736" s="7" t="str">
        <f t="shared" si="1028"/>
        <v/>
      </c>
      <c r="P1736" s="7">
        <f t="shared" si="1737"/>
        <v>1</v>
      </c>
      <c r="Q1736" s="7" t="str">
        <f t="shared" si="1738"/>
        <v/>
      </c>
      <c r="T1736" s="7"/>
    </row>
    <row r="1737" ht="12.75" customHeight="1">
      <c r="A1737" s="7">
        <v>1736.0</v>
      </c>
      <c r="B1737" s="7" t="s">
        <v>1718</v>
      </c>
      <c r="C1737" s="7" t="s">
        <v>4830</v>
      </c>
      <c r="D1737" s="7" t="s">
        <v>1996</v>
      </c>
      <c r="E1737" s="7" t="s">
        <v>4854</v>
      </c>
      <c r="F1737" s="7" t="s">
        <v>4877</v>
      </c>
      <c r="G1737" s="7" t="s">
        <v>4173</v>
      </c>
      <c r="H1737" s="7" t="s">
        <v>4006</v>
      </c>
      <c r="I1737" s="7" t="s">
        <v>4279</v>
      </c>
      <c r="J1737" s="7" t="s">
        <v>4168</v>
      </c>
      <c r="K1737" s="7" t="str">
        <f t="shared" si="2"/>
        <v/>
      </c>
      <c r="L1737" s="7" t="str">
        <f t="shared" si="1735"/>
        <v/>
      </c>
      <c r="M1737" s="7">
        <f t="shared" ref="M1737:N1737" si="1761">IF(LEN(M$1),COUNTIF($G1737:$J1737,M$1),"")</f>
        <v>0</v>
      </c>
      <c r="N1737" s="7" t="str">
        <f t="shared" si="1761"/>
        <v/>
      </c>
      <c r="O1737" s="7" t="str">
        <f t="shared" si="1028"/>
        <v/>
      </c>
      <c r="P1737" s="7">
        <f t="shared" si="1737"/>
        <v>1</v>
      </c>
      <c r="Q1737" s="7" t="str">
        <f t="shared" si="1738"/>
        <v/>
      </c>
      <c r="T1737" s="7"/>
    </row>
    <row r="1738" ht="12.75" customHeight="1">
      <c r="A1738" s="7">
        <v>1737.0</v>
      </c>
      <c r="B1738" s="7" t="s">
        <v>1718</v>
      </c>
      <c r="C1738" s="7" t="s">
        <v>4830</v>
      </c>
      <c r="D1738" s="7" t="s">
        <v>2139</v>
      </c>
      <c r="E1738" s="7" t="s">
        <v>4795</v>
      </c>
      <c r="F1738" s="7" t="s">
        <v>4877</v>
      </c>
      <c r="G1738" s="7" t="s">
        <v>4143</v>
      </c>
      <c r="H1738" s="7" t="s">
        <v>4160</v>
      </c>
      <c r="I1738" s="7" t="s">
        <v>4238</v>
      </c>
      <c r="J1738" s="7" t="s">
        <v>4165</v>
      </c>
      <c r="K1738" s="7" t="str">
        <f t="shared" si="2"/>
        <v/>
      </c>
      <c r="L1738" s="7" t="str">
        <f t="shared" si="1735"/>
        <v/>
      </c>
      <c r="M1738" s="7">
        <f t="shared" ref="M1738:N1738" si="1762">IF(LEN(M$1),COUNTIF($G1738:$J1738,M$1),"")</f>
        <v>0</v>
      </c>
      <c r="N1738" s="7" t="str">
        <f t="shared" si="1762"/>
        <v/>
      </c>
      <c r="O1738" s="7" t="str">
        <f t="shared" si="1028"/>
        <v/>
      </c>
      <c r="P1738" s="7">
        <f t="shared" si="1737"/>
        <v>1</v>
      </c>
      <c r="Q1738" s="7" t="str">
        <f t="shared" si="1738"/>
        <v/>
      </c>
      <c r="T1738" s="7"/>
    </row>
    <row r="1739" ht="12.75" customHeight="1">
      <c r="A1739" s="7">
        <v>1738.0</v>
      </c>
      <c r="B1739" s="7" t="s">
        <v>1726</v>
      </c>
      <c r="C1739" s="7" t="s">
        <v>4831</v>
      </c>
      <c r="D1739" s="7" t="s">
        <v>2168</v>
      </c>
      <c r="E1739" s="7" t="s">
        <v>4829</v>
      </c>
      <c r="F1739" s="7" t="s">
        <v>4877</v>
      </c>
      <c r="G1739" s="7" t="s">
        <v>4384</v>
      </c>
      <c r="H1739" s="7" t="s">
        <v>4379</v>
      </c>
      <c r="I1739" s="7" t="s">
        <v>4428</v>
      </c>
      <c r="J1739" s="7" t="s">
        <v>4405</v>
      </c>
      <c r="K1739" s="7" t="str">
        <f t="shared" si="2"/>
        <v/>
      </c>
      <c r="L1739" s="7" t="str">
        <f t="shared" si="1735"/>
        <v/>
      </c>
      <c r="M1739" s="7">
        <f t="shared" ref="M1739:N1739" si="1763">IF(LEN(M$1),COUNTIF($G1739:$J1739,M$1),"")</f>
        <v>0</v>
      </c>
      <c r="N1739" s="7" t="str">
        <f t="shared" si="1763"/>
        <v/>
      </c>
      <c r="O1739" s="7" t="str">
        <f t="shared" si="1028"/>
        <v/>
      </c>
      <c r="P1739" s="7">
        <f t="shared" si="1737"/>
        <v>1</v>
      </c>
      <c r="Q1739" s="7" t="str">
        <f t="shared" si="1738"/>
        <v/>
      </c>
      <c r="T1739" s="7"/>
    </row>
    <row r="1740" ht="12.75" customHeight="1">
      <c r="A1740" s="7">
        <v>1739.0</v>
      </c>
      <c r="B1740" s="7" t="s">
        <v>1734</v>
      </c>
      <c r="C1740" s="7" t="s">
        <v>4831</v>
      </c>
      <c r="D1740" s="7" t="s">
        <v>1962</v>
      </c>
      <c r="E1740" s="7" t="s">
        <v>4822</v>
      </c>
      <c r="F1740" s="7" t="s">
        <v>4877</v>
      </c>
      <c r="G1740" s="7" t="s">
        <v>4128</v>
      </c>
      <c r="H1740" s="7" t="s">
        <v>4264</v>
      </c>
      <c r="I1740" s="7" t="s">
        <v>4163</v>
      </c>
      <c r="J1740" s="7" t="s">
        <v>4165</v>
      </c>
      <c r="K1740" s="7" t="str">
        <f t="shared" si="2"/>
        <v/>
      </c>
      <c r="L1740" s="7" t="str">
        <f t="shared" si="1735"/>
        <v/>
      </c>
      <c r="M1740" s="7">
        <f t="shared" ref="M1740:N1740" si="1764">IF(LEN(M$1),COUNTIF($G1740:$J1740,M$1),"")</f>
        <v>0</v>
      </c>
      <c r="N1740" s="7" t="str">
        <f t="shared" si="1764"/>
        <v/>
      </c>
      <c r="O1740" s="7" t="str">
        <f t="shared" si="1028"/>
        <v/>
      </c>
      <c r="P1740" s="7">
        <f t="shared" si="1737"/>
        <v>1</v>
      </c>
      <c r="Q1740" s="7" t="str">
        <f t="shared" si="1738"/>
        <v/>
      </c>
      <c r="T1740" s="7"/>
    </row>
    <row r="1741" ht="12.75" customHeight="1">
      <c r="A1741" s="7">
        <v>1740.0</v>
      </c>
      <c r="B1741" s="7" t="s">
        <v>1734</v>
      </c>
      <c r="C1741" s="7" t="s">
        <v>4831</v>
      </c>
      <c r="D1741" s="7" t="s">
        <v>2043</v>
      </c>
      <c r="E1741" s="7" t="s">
        <v>4758</v>
      </c>
      <c r="F1741" s="7" t="s">
        <v>4877</v>
      </c>
      <c r="G1741" s="7" t="s">
        <v>4382</v>
      </c>
      <c r="H1741" s="7" t="s">
        <v>4413</v>
      </c>
      <c r="I1741" s="7" t="s">
        <v>4432</v>
      </c>
      <c r="J1741" s="7" t="s">
        <v>4420</v>
      </c>
      <c r="K1741" s="7" t="str">
        <f t="shared" si="2"/>
        <v/>
      </c>
      <c r="L1741" s="7" t="str">
        <f t="shared" si="1735"/>
        <v/>
      </c>
      <c r="M1741" s="7">
        <f t="shared" ref="M1741:N1741" si="1765">IF(LEN(M$1),COUNTIF($G1741:$J1741,M$1),"")</f>
        <v>0</v>
      </c>
      <c r="N1741" s="7" t="str">
        <f t="shared" si="1765"/>
        <v/>
      </c>
      <c r="O1741" s="7" t="str">
        <f t="shared" si="1028"/>
        <v/>
      </c>
      <c r="P1741" s="7">
        <f t="shared" si="1737"/>
        <v>1</v>
      </c>
      <c r="Q1741" s="7" t="str">
        <f t="shared" si="1738"/>
        <v/>
      </c>
      <c r="T1741" s="7"/>
    </row>
    <row r="1742" ht="12.75" customHeight="1">
      <c r="A1742" s="7">
        <v>1741.0</v>
      </c>
      <c r="B1742" s="7" t="s">
        <v>1734</v>
      </c>
      <c r="C1742" s="7" t="s">
        <v>4831</v>
      </c>
      <c r="D1742" s="7" t="s">
        <v>2065</v>
      </c>
      <c r="E1742" s="7" t="s">
        <v>4791</v>
      </c>
      <c r="F1742" s="7" t="s">
        <v>4877</v>
      </c>
      <c r="G1742" s="7" t="s">
        <v>4381</v>
      </c>
      <c r="H1742" s="7" t="s">
        <v>4376</v>
      </c>
      <c r="I1742" s="7" t="s">
        <v>4425</v>
      </c>
      <c r="J1742" s="7" t="s">
        <v>4357</v>
      </c>
      <c r="K1742" s="7" t="str">
        <f t="shared" si="2"/>
        <v/>
      </c>
      <c r="L1742" s="7" t="str">
        <f t="shared" si="1735"/>
        <v/>
      </c>
      <c r="M1742" s="7">
        <f t="shared" ref="M1742:N1742" si="1766">IF(LEN(M$1),COUNTIF($G1742:$J1742,M$1),"")</f>
        <v>0</v>
      </c>
      <c r="N1742" s="7" t="str">
        <f t="shared" si="1766"/>
        <v/>
      </c>
      <c r="O1742" s="7" t="str">
        <f t="shared" si="1028"/>
        <v/>
      </c>
      <c r="P1742" s="7">
        <f t="shared" si="1737"/>
        <v>1</v>
      </c>
      <c r="Q1742" s="7" t="str">
        <f t="shared" si="1738"/>
        <v/>
      </c>
      <c r="T1742" s="7"/>
    </row>
    <row r="1743" ht="12.75" customHeight="1">
      <c r="A1743" s="7">
        <v>1742.0</v>
      </c>
      <c r="B1743" s="7" t="s">
        <v>1734</v>
      </c>
      <c r="C1743" s="7" t="s">
        <v>4831</v>
      </c>
      <c r="D1743" s="7" t="s">
        <v>2225</v>
      </c>
      <c r="E1743" s="7" t="s">
        <v>4850</v>
      </c>
      <c r="F1743" s="7" t="s">
        <v>4877</v>
      </c>
      <c r="G1743" s="7" t="s">
        <v>4090</v>
      </c>
      <c r="H1743" s="7" t="s">
        <v>4162</v>
      </c>
      <c r="I1743" s="7" t="s">
        <v>4000</v>
      </c>
      <c r="J1743" s="7" t="s">
        <v>4116</v>
      </c>
      <c r="K1743" s="7" t="str">
        <f t="shared" si="2"/>
        <v/>
      </c>
      <c r="L1743" s="7" t="str">
        <f t="shared" si="1735"/>
        <v/>
      </c>
      <c r="M1743" s="7">
        <f t="shared" ref="M1743:N1743" si="1767">IF(LEN(M$1),COUNTIF($G1743:$J1743,M$1),"")</f>
        <v>0</v>
      </c>
      <c r="N1743" s="7" t="str">
        <f t="shared" si="1767"/>
        <v/>
      </c>
      <c r="O1743" s="7" t="str">
        <f t="shared" si="1028"/>
        <v/>
      </c>
      <c r="P1743" s="7">
        <f t="shared" si="1737"/>
        <v>1</v>
      </c>
      <c r="Q1743" s="7" t="str">
        <f t="shared" si="1738"/>
        <v/>
      </c>
      <c r="T1743" s="7"/>
    </row>
    <row r="1744" ht="12.75" customHeight="1">
      <c r="A1744" s="7">
        <v>1743.0</v>
      </c>
      <c r="B1744" s="7" t="s">
        <v>1095</v>
      </c>
      <c r="C1744" s="7" t="s">
        <v>4837</v>
      </c>
      <c r="D1744" s="7" t="s">
        <v>547</v>
      </c>
      <c r="E1744" s="7" t="s">
        <v>4845</v>
      </c>
      <c r="F1744" s="7" t="s">
        <v>4877</v>
      </c>
      <c r="G1744" s="7" t="s">
        <v>4340</v>
      </c>
      <c r="H1744" s="7" t="s">
        <v>4342</v>
      </c>
      <c r="I1744" s="7" t="s">
        <v>4341</v>
      </c>
      <c r="J1744" s="7" t="s">
        <v>4343</v>
      </c>
      <c r="K1744" s="7" t="str">
        <f t="shared" si="2"/>
        <v/>
      </c>
      <c r="L1744" s="7" t="str">
        <f t="shared" si="1735"/>
        <v/>
      </c>
      <c r="M1744" s="7">
        <f t="shared" ref="M1744:N1744" si="1768">IF(LEN(M$1),COUNTIF($G1744:$J1744,M$1),"")</f>
        <v>0</v>
      </c>
      <c r="N1744" s="7" t="str">
        <f t="shared" si="1768"/>
        <v/>
      </c>
      <c r="O1744" s="7" t="str">
        <f t="shared" si="1028"/>
        <v/>
      </c>
      <c r="P1744" s="7">
        <f t="shared" si="1737"/>
        <v>1</v>
      </c>
      <c r="Q1744" s="7" t="str">
        <f t="shared" si="1738"/>
        <v/>
      </c>
      <c r="T1744" s="7"/>
    </row>
    <row r="1745" ht="12.75" customHeight="1">
      <c r="A1745" s="7">
        <v>1744.0</v>
      </c>
      <c r="B1745" s="7" t="s">
        <v>1095</v>
      </c>
      <c r="C1745" s="7" t="s">
        <v>4837</v>
      </c>
      <c r="D1745" s="7" t="s">
        <v>547</v>
      </c>
      <c r="E1745" s="7" t="s">
        <v>4845</v>
      </c>
      <c r="F1745" s="7" t="s">
        <v>4877</v>
      </c>
      <c r="G1745" s="7" t="s">
        <v>4340</v>
      </c>
      <c r="H1745" s="7" t="s">
        <v>4346</v>
      </c>
      <c r="I1745" s="7" t="s">
        <v>4341</v>
      </c>
      <c r="J1745" s="7" t="s">
        <v>4343</v>
      </c>
      <c r="K1745" s="7" t="str">
        <f t="shared" si="2"/>
        <v/>
      </c>
      <c r="L1745" s="7" t="str">
        <f t="shared" si="1735"/>
        <v/>
      </c>
      <c r="M1745" s="7">
        <f t="shared" ref="M1745:N1745" si="1769">IF(LEN(M$1),COUNTIF($G1745:$J1745,M$1),"")</f>
        <v>0</v>
      </c>
      <c r="N1745" s="7" t="str">
        <f t="shared" si="1769"/>
        <v/>
      </c>
      <c r="O1745" s="7" t="str">
        <f t="shared" si="1028"/>
        <v/>
      </c>
      <c r="P1745" s="7">
        <f t="shared" si="1737"/>
        <v>1</v>
      </c>
      <c r="Q1745" s="7" t="str">
        <f t="shared" si="1738"/>
        <v/>
      </c>
      <c r="T1745" s="7"/>
    </row>
    <row r="1746" ht="12.75" customHeight="1">
      <c r="A1746" s="7">
        <v>1745.0</v>
      </c>
      <c r="B1746" s="7" t="s">
        <v>1095</v>
      </c>
      <c r="C1746" s="7" t="s">
        <v>4837</v>
      </c>
      <c r="D1746" s="7" t="s">
        <v>1962</v>
      </c>
      <c r="E1746" s="7" t="s">
        <v>4822</v>
      </c>
      <c r="F1746" s="7" t="s">
        <v>4877</v>
      </c>
      <c r="G1746" s="7" t="s">
        <v>4275</v>
      </c>
      <c r="H1746" s="7" t="s">
        <v>4105</v>
      </c>
      <c r="I1746" s="7" t="s">
        <v>4104</v>
      </c>
      <c r="J1746" s="7" t="s">
        <v>4272</v>
      </c>
      <c r="K1746" s="7" t="str">
        <f t="shared" si="2"/>
        <v/>
      </c>
      <c r="L1746" s="7" t="str">
        <f t="shared" si="1735"/>
        <v/>
      </c>
      <c r="M1746" s="7">
        <f t="shared" ref="M1746:N1746" si="1770">IF(LEN(M$1),COUNTIF($G1746:$J1746,M$1),"")</f>
        <v>0</v>
      </c>
      <c r="N1746" s="7" t="str">
        <f t="shared" si="1770"/>
        <v/>
      </c>
      <c r="O1746" s="7" t="str">
        <f t="shared" si="1028"/>
        <v/>
      </c>
      <c r="P1746" s="7">
        <f t="shared" si="1737"/>
        <v>1</v>
      </c>
      <c r="Q1746" s="7" t="str">
        <f t="shared" si="1738"/>
        <v/>
      </c>
      <c r="T1746" s="7"/>
    </row>
    <row r="1747" ht="12.75" customHeight="1">
      <c r="A1747" s="7">
        <v>1746.0</v>
      </c>
      <c r="B1747" s="7" t="s">
        <v>1095</v>
      </c>
      <c r="C1747" s="7" t="s">
        <v>4837</v>
      </c>
      <c r="D1747" s="7" t="s">
        <v>2051</v>
      </c>
      <c r="E1747" s="7" t="s">
        <v>4815</v>
      </c>
      <c r="F1747" s="7" t="s">
        <v>4877</v>
      </c>
      <c r="G1747" s="7" t="s">
        <v>4370</v>
      </c>
      <c r="H1747" s="7" t="s">
        <v>4383</v>
      </c>
      <c r="I1747" s="7" t="s">
        <v>4437</v>
      </c>
      <c r="J1747" s="7" t="s">
        <v>4401</v>
      </c>
      <c r="K1747" s="7" t="str">
        <f t="shared" si="2"/>
        <v/>
      </c>
      <c r="L1747" s="7" t="str">
        <f t="shared" si="1735"/>
        <v/>
      </c>
      <c r="M1747" s="7">
        <f t="shared" ref="M1747:N1747" si="1771">IF(LEN(M$1),COUNTIF($G1747:$J1747,M$1),"")</f>
        <v>0</v>
      </c>
      <c r="N1747" s="7" t="str">
        <f t="shared" si="1771"/>
        <v/>
      </c>
      <c r="O1747" s="7" t="str">
        <f t="shared" si="1028"/>
        <v/>
      </c>
      <c r="P1747" s="7">
        <f t="shared" si="1737"/>
        <v>1</v>
      </c>
      <c r="Q1747" s="7" t="str">
        <f t="shared" si="1738"/>
        <v/>
      </c>
      <c r="T1747" s="7"/>
    </row>
    <row r="1748" ht="12.75" customHeight="1">
      <c r="A1748" s="7">
        <v>1747.0</v>
      </c>
      <c r="B1748" s="7" t="s">
        <v>1095</v>
      </c>
      <c r="C1748" s="7" t="s">
        <v>4837</v>
      </c>
      <c r="D1748" s="7" t="s">
        <v>2146</v>
      </c>
      <c r="E1748" s="7" t="s">
        <v>4795</v>
      </c>
      <c r="F1748" s="7" t="s">
        <v>4877</v>
      </c>
      <c r="G1748" s="7" t="s">
        <v>4046</v>
      </c>
      <c r="H1748" s="7" t="s">
        <v>4178</v>
      </c>
      <c r="I1748" s="7" t="s">
        <v>4200</v>
      </c>
      <c r="J1748" s="7" t="s">
        <v>4265</v>
      </c>
      <c r="K1748" s="7" t="str">
        <f t="shared" si="2"/>
        <v/>
      </c>
      <c r="L1748" s="7" t="str">
        <f t="shared" si="1735"/>
        <v/>
      </c>
      <c r="M1748" s="7">
        <f t="shared" ref="M1748:N1748" si="1772">IF(LEN(M$1),COUNTIF($G1748:$J1748,M$1),"")</f>
        <v>0</v>
      </c>
      <c r="N1748" s="7" t="str">
        <f t="shared" si="1772"/>
        <v/>
      </c>
      <c r="O1748" s="7" t="str">
        <f t="shared" si="1028"/>
        <v/>
      </c>
      <c r="P1748" s="7">
        <f t="shared" si="1737"/>
        <v>1</v>
      </c>
      <c r="Q1748" s="7" t="str">
        <f t="shared" si="1738"/>
        <v/>
      </c>
      <c r="T1748" s="7"/>
    </row>
    <row r="1749" ht="12.75" customHeight="1">
      <c r="A1749" s="7">
        <v>1748.0</v>
      </c>
      <c r="B1749" s="7" t="s">
        <v>1095</v>
      </c>
      <c r="C1749" s="7" t="s">
        <v>4837</v>
      </c>
      <c r="D1749" s="7" t="s">
        <v>2203</v>
      </c>
      <c r="E1749" s="7" t="s">
        <v>4818</v>
      </c>
      <c r="F1749" s="7" t="s">
        <v>4877</v>
      </c>
      <c r="G1749" s="7" t="s">
        <v>4427</v>
      </c>
      <c r="H1749" s="7" t="s">
        <v>4401</v>
      </c>
      <c r="I1749" s="7" t="s">
        <v>4360</v>
      </c>
      <c r="J1749" s="7" t="s">
        <v>4426</v>
      </c>
      <c r="K1749" s="7" t="str">
        <f t="shared" si="2"/>
        <v/>
      </c>
      <c r="L1749" s="7" t="str">
        <f t="shared" si="1735"/>
        <v/>
      </c>
      <c r="M1749" s="7">
        <f t="shared" ref="M1749:N1749" si="1773">IF(LEN(M$1),COUNTIF($G1749:$J1749,M$1),"")</f>
        <v>0</v>
      </c>
      <c r="N1749" s="7" t="str">
        <f t="shared" si="1773"/>
        <v/>
      </c>
      <c r="O1749" s="7" t="str">
        <f t="shared" si="1028"/>
        <v/>
      </c>
      <c r="P1749" s="7">
        <f t="shared" si="1737"/>
        <v>1</v>
      </c>
      <c r="Q1749" s="7" t="str">
        <f t="shared" si="1738"/>
        <v/>
      </c>
      <c r="T1749" s="7"/>
    </row>
    <row r="1750" ht="12.75" customHeight="1">
      <c r="A1750" s="7">
        <v>1749.0</v>
      </c>
      <c r="B1750" s="7" t="s">
        <v>1748</v>
      </c>
      <c r="C1750" s="7" t="s">
        <v>4837</v>
      </c>
      <c r="D1750" s="7" t="s">
        <v>1095</v>
      </c>
      <c r="E1750" s="7" t="s">
        <v>4837</v>
      </c>
      <c r="F1750" s="7" t="s">
        <v>4877</v>
      </c>
      <c r="G1750" s="7" t="s">
        <v>4370</v>
      </c>
      <c r="H1750" s="7" t="s">
        <v>4395</v>
      </c>
      <c r="I1750" s="7" t="s">
        <v>4437</v>
      </c>
      <c r="J1750" s="7" t="s">
        <v>4379</v>
      </c>
      <c r="K1750" s="7" t="str">
        <f t="shared" si="2"/>
        <v/>
      </c>
      <c r="L1750" s="7" t="str">
        <f t="shared" si="1735"/>
        <v/>
      </c>
      <c r="M1750" s="7">
        <f t="shared" ref="M1750:N1750" si="1774">IF(LEN(M$1),COUNTIF($G1750:$J1750,M$1),"")</f>
        <v>0</v>
      </c>
      <c r="N1750" s="7" t="str">
        <f t="shared" si="1774"/>
        <v/>
      </c>
      <c r="O1750" s="7" t="str">
        <f t="shared" si="1028"/>
        <v/>
      </c>
      <c r="P1750" s="7">
        <f t="shared" si="1737"/>
        <v>1</v>
      </c>
      <c r="Q1750" s="7" t="str">
        <f t="shared" si="1738"/>
        <v/>
      </c>
      <c r="T1750" s="7"/>
    </row>
    <row r="1751" ht="12.75" customHeight="1">
      <c r="A1751" s="7">
        <v>1750.0</v>
      </c>
      <c r="B1751" s="7" t="s">
        <v>1748</v>
      </c>
      <c r="C1751" s="7" t="s">
        <v>4837</v>
      </c>
      <c r="D1751" s="7" t="s">
        <v>1761</v>
      </c>
      <c r="E1751" s="7" t="s">
        <v>4845</v>
      </c>
      <c r="F1751" s="7" t="s">
        <v>4877</v>
      </c>
      <c r="G1751" s="7" t="s">
        <v>4344</v>
      </c>
      <c r="H1751" s="7" t="s">
        <v>4347</v>
      </c>
      <c r="I1751" s="7" t="s">
        <v>4346</v>
      </c>
      <c r="J1751" s="7" t="s">
        <v>4348</v>
      </c>
      <c r="K1751" s="7" t="str">
        <f t="shared" si="2"/>
        <v/>
      </c>
      <c r="L1751" s="7" t="str">
        <f t="shared" si="1735"/>
        <v/>
      </c>
      <c r="M1751" s="7">
        <f t="shared" ref="M1751:N1751" si="1775">IF(LEN(M$1),COUNTIF($G1751:$J1751,M$1),"")</f>
        <v>0</v>
      </c>
      <c r="N1751" s="7" t="str">
        <f t="shared" si="1775"/>
        <v/>
      </c>
      <c r="O1751" s="7" t="str">
        <f t="shared" si="1028"/>
        <v/>
      </c>
      <c r="P1751" s="7">
        <f t="shared" si="1737"/>
        <v>1</v>
      </c>
      <c r="Q1751" s="7" t="str">
        <f t="shared" si="1738"/>
        <v/>
      </c>
      <c r="T1751" s="7"/>
    </row>
    <row r="1752" ht="12.75" customHeight="1">
      <c r="A1752" s="7">
        <v>1751.0</v>
      </c>
      <c r="B1752" s="7" t="s">
        <v>1748</v>
      </c>
      <c r="C1752" s="7" t="s">
        <v>4837</v>
      </c>
      <c r="D1752" s="7" t="s">
        <v>1761</v>
      </c>
      <c r="E1752" s="7" t="s">
        <v>4845</v>
      </c>
      <c r="F1752" s="7" t="s">
        <v>4877</v>
      </c>
      <c r="G1752" s="7" t="s">
        <v>4344</v>
      </c>
      <c r="H1752" s="7" t="s">
        <v>4342</v>
      </c>
      <c r="I1752" s="7" t="s">
        <v>4346</v>
      </c>
      <c r="J1752" s="7" t="s">
        <v>4348</v>
      </c>
      <c r="K1752" s="7" t="str">
        <f t="shared" si="2"/>
        <v/>
      </c>
      <c r="L1752" s="7" t="str">
        <f t="shared" si="1735"/>
        <v/>
      </c>
      <c r="M1752" s="7">
        <f t="shared" ref="M1752:N1752" si="1776">IF(LEN(M$1),COUNTIF($G1752:$J1752,M$1),"")</f>
        <v>0</v>
      </c>
      <c r="N1752" s="7" t="str">
        <f t="shared" si="1776"/>
        <v/>
      </c>
      <c r="O1752" s="7" t="str">
        <f t="shared" si="1028"/>
        <v/>
      </c>
      <c r="P1752" s="7">
        <f t="shared" si="1737"/>
        <v>1</v>
      </c>
      <c r="Q1752" s="7" t="str">
        <f t="shared" si="1738"/>
        <v/>
      </c>
      <c r="T1752" s="7"/>
    </row>
    <row r="1753" ht="12.75" customHeight="1">
      <c r="A1753" s="7">
        <v>1752.0</v>
      </c>
      <c r="B1753" s="7" t="s">
        <v>1748</v>
      </c>
      <c r="C1753" s="7" t="s">
        <v>4837</v>
      </c>
      <c r="D1753" s="7" t="s">
        <v>2005</v>
      </c>
      <c r="E1753" s="7" t="s">
        <v>4854</v>
      </c>
      <c r="F1753" s="7" t="s">
        <v>4877</v>
      </c>
      <c r="G1753" s="7" t="s">
        <v>4387</v>
      </c>
      <c r="H1753" s="7" t="s">
        <v>4375</v>
      </c>
      <c r="I1753" s="7" t="s">
        <v>4384</v>
      </c>
      <c r="J1753" s="7" t="s">
        <v>4400</v>
      </c>
      <c r="K1753" s="7" t="str">
        <f t="shared" si="2"/>
        <v/>
      </c>
      <c r="L1753" s="7" t="str">
        <f t="shared" si="1735"/>
        <v/>
      </c>
      <c r="M1753" s="7">
        <f t="shared" ref="M1753:N1753" si="1777">IF(LEN(M$1),COUNTIF($G1753:$J1753,M$1),"")</f>
        <v>0</v>
      </c>
      <c r="N1753" s="7" t="str">
        <f t="shared" si="1777"/>
        <v/>
      </c>
      <c r="O1753" s="7" t="str">
        <f t="shared" si="1028"/>
        <v/>
      </c>
      <c r="P1753" s="7">
        <f t="shared" si="1737"/>
        <v>1</v>
      </c>
      <c r="Q1753" s="7" t="str">
        <f t="shared" si="1738"/>
        <v/>
      </c>
      <c r="T1753" s="7"/>
    </row>
    <row r="1754" ht="12.75" customHeight="1">
      <c r="A1754" s="7">
        <v>1753.0</v>
      </c>
      <c r="B1754" s="7" t="s">
        <v>1748</v>
      </c>
      <c r="C1754" s="7" t="s">
        <v>4837</v>
      </c>
      <c r="D1754" s="7" t="s">
        <v>1520</v>
      </c>
      <c r="E1754" s="7" t="s">
        <v>4854</v>
      </c>
      <c r="F1754" s="7" t="s">
        <v>4877</v>
      </c>
      <c r="G1754" s="7" t="s">
        <v>4190</v>
      </c>
      <c r="H1754" s="7" t="s">
        <v>4101</v>
      </c>
      <c r="I1754" s="7" t="s">
        <v>4123</v>
      </c>
      <c r="J1754" s="7" t="s">
        <v>4069</v>
      </c>
      <c r="K1754" s="7" t="str">
        <f t="shared" si="2"/>
        <v/>
      </c>
      <c r="L1754" s="7" t="str">
        <f t="shared" si="1735"/>
        <v/>
      </c>
      <c r="M1754" s="7">
        <f t="shared" ref="M1754:N1754" si="1778">IF(LEN(M$1),COUNTIF($G1754:$J1754,M$1),"")</f>
        <v>0</v>
      </c>
      <c r="N1754" s="7" t="str">
        <f t="shared" si="1778"/>
        <v/>
      </c>
      <c r="O1754" s="7" t="str">
        <f t="shared" si="1028"/>
        <v/>
      </c>
      <c r="P1754" s="7">
        <f t="shared" si="1737"/>
        <v>1</v>
      </c>
      <c r="Q1754" s="7" t="str">
        <f t="shared" si="1738"/>
        <v/>
      </c>
      <c r="T1754" s="7"/>
    </row>
    <row r="1755" ht="12.75" customHeight="1">
      <c r="A1755" s="7">
        <v>1754.0</v>
      </c>
      <c r="B1755" s="7" t="s">
        <v>1748</v>
      </c>
      <c r="C1755" s="7" t="s">
        <v>4837</v>
      </c>
      <c r="D1755" s="7" t="s">
        <v>2125</v>
      </c>
      <c r="E1755" s="7" t="s">
        <v>4756</v>
      </c>
      <c r="F1755" s="7" t="s">
        <v>4877</v>
      </c>
      <c r="G1755" s="7" t="s">
        <v>4241</v>
      </c>
      <c r="H1755" s="7" t="s">
        <v>4280</v>
      </c>
      <c r="I1755" s="7" t="s">
        <v>4180</v>
      </c>
      <c r="J1755" s="7" t="s">
        <v>4039</v>
      </c>
      <c r="K1755" s="7" t="str">
        <f t="shared" si="2"/>
        <v/>
      </c>
      <c r="L1755" s="7" t="str">
        <f t="shared" si="1735"/>
        <v/>
      </c>
      <c r="M1755" s="7">
        <f t="shared" ref="M1755:N1755" si="1779">IF(LEN(M$1),COUNTIF($G1755:$J1755,M$1),"")</f>
        <v>0</v>
      </c>
      <c r="N1755" s="7" t="str">
        <f t="shared" si="1779"/>
        <v/>
      </c>
      <c r="O1755" s="7" t="str">
        <f t="shared" si="1028"/>
        <v/>
      </c>
      <c r="P1755" s="7">
        <f t="shared" si="1737"/>
        <v>1</v>
      </c>
      <c r="Q1755" s="7" t="str">
        <f t="shared" si="1738"/>
        <v/>
      </c>
      <c r="T1755" s="7"/>
    </row>
    <row r="1756" ht="12.75" customHeight="1">
      <c r="A1756" s="7">
        <v>1755.0</v>
      </c>
      <c r="B1756" s="7" t="s">
        <v>547</v>
      </c>
      <c r="C1756" s="7" t="s">
        <v>4845</v>
      </c>
      <c r="D1756" s="7" t="s">
        <v>1813</v>
      </c>
      <c r="E1756" s="7" t="s">
        <v>4846</v>
      </c>
      <c r="F1756" s="7" t="s">
        <v>4877</v>
      </c>
      <c r="G1756" s="7" t="s">
        <v>4078</v>
      </c>
      <c r="H1756" s="7" t="s">
        <v>4021</v>
      </c>
      <c r="I1756" s="7" t="s">
        <v>4141</v>
      </c>
      <c r="J1756" s="7" t="s">
        <v>4251</v>
      </c>
      <c r="K1756" s="7" t="str">
        <f t="shared" si="2"/>
        <v/>
      </c>
      <c r="L1756" s="7" t="str">
        <f t="shared" si="1735"/>
        <v/>
      </c>
      <c r="M1756" s="7">
        <f t="shared" ref="M1756:N1756" si="1780">IF(LEN(M$1),COUNTIF($G1756:$J1756,M$1),"")</f>
        <v>0</v>
      </c>
      <c r="N1756" s="7" t="str">
        <f t="shared" si="1780"/>
        <v/>
      </c>
      <c r="O1756" s="7" t="str">
        <f t="shared" si="1028"/>
        <v/>
      </c>
      <c r="P1756" s="7">
        <f t="shared" si="1737"/>
        <v>1</v>
      </c>
      <c r="Q1756" s="7" t="str">
        <f t="shared" si="1738"/>
        <v/>
      </c>
      <c r="T1756" s="7"/>
    </row>
    <row r="1757" ht="12.75" customHeight="1">
      <c r="A1757" s="7">
        <v>1756.0</v>
      </c>
      <c r="B1757" s="7" t="s">
        <v>547</v>
      </c>
      <c r="C1757" s="7" t="s">
        <v>4845</v>
      </c>
      <c r="D1757" s="7" t="s">
        <v>1828</v>
      </c>
      <c r="E1757" s="7" t="s">
        <v>4852</v>
      </c>
      <c r="F1757" s="7" t="s">
        <v>4877</v>
      </c>
      <c r="G1757" s="7" t="s">
        <v>4387</v>
      </c>
      <c r="H1757" s="7" t="s">
        <v>4413</v>
      </c>
      <c r="I1757" s="7" t="s">
        <v>4371</v>
      </c>
      <c r="J1757" s="7" t="s">
        <v>4435</v>
      </c>
      <c r="K1757" s="7" t="str">
        <f t="shared" si="2"/>
        <v/>
      </c>
      <c r="L1757" s="7" t="str">
        <f t="shared" si="1735"/>
        <v/>
      </c>
      <c r="M1757" s="7">
        <f t="shared" ref="M1757:N1757" si="1781">IF(LEN(M$1),COUNTIF($G1757:$J1757,M$1),"")</f>
        <v>0</v>
      </c>
      <c r="N1757" s="7" t="str">
        <f t="shared" si="1781"/>
        <v/>
      </c>
      <c r="O1757" s="7" t="str">
        <f t="shared" si="1028"/>
        <v/>
      </c>
      <c r="P1757" s="7">
        <f t="shared" si="1737"/>
        <v>1</v>
      </c>
      <c r="Q1757" s="7" t="str">
        <f t="shared" si="1738"/>
        <v/>
      </c>
      <c r="T1757" s="7"/>
    </row>
    <row r="1758" ht="12.75" customHeight="1">
      <c r="A1758" s="7">
        <v>1757.0</v>
      </c>
      <c r="B1758" s="7" t="s">
        <v>547</v>
      </c>
      <c r="C1758" s="7" t="s">
        <v>4845</v>
      </c>
      <c r="D1758" s="7" t="s">
        <v>1941</v>
      </c>
      <c r="E1758" s="7" t="s">
        <v>4780</v>
      </c>
      <c r="F1758" s="7" t="s">
        <v>4877</v>
      </c>
      <c r="G1758" s="7" t="s">
        <v>4411</v>
      </c>
      <c r="H1758" s="7" t="s">
        <v>4407</v>
      </c>
      <c r="I1758" s="7" t="s">
        <v>4380</v>
      </c>
      <c r="J1758" s="7" t="s">
        <v>4359</v>
      </c>
      <c r="K1758" s="7" t="str">
        <f t="shared" si="2"/>
        <v/>
      </c>
      <c r="L1758" s="7" t="str">
        <f t="shared" si="1735"/>
        <v/>
      </c>
      <c r="M1758" s="7">
        <f t="shared" ref="M1758:N1758" si="1782">IF(LEN(M$1),COUNTIF($G1758:$J1758,M$1),"")</f>
        <v>0</v>
      </c>
      <c r="N1758" s="7" t="str">
        <f t="shared" si="1782"/>
        <v/>
      </c>
      <c r="O1758" s="7" t="str">
        <f t="shared" si="1028"/>
        <v/>
      </c>
      <c r="P1758" s="7">
        <f t="shared" si="1737"/>
        <v>1</v>
      </c>
      <c r="Q1758" s="7" t="str">
        <f t="shared" si="1738"/>
        <v/>
      </c>
      <c r="T1758" s="7"/>
    </row>
    <row r="1759" ht="12.75" customHeight="1">
      <c r="A1759" s="7">
        <v>1758.0</v>
      </c>
      <c r="B1759" s="7" t="s">
        <v>547</v>
      </c>
      <c r="C1759" s="7" t="s">
        <v>4845</v>
      </c>
      <c r="D1759" s="7" t="s">
        <v>1948</v>
      </c>
      <c r="E1759" s="7" t="s">
        <v>4782</v>
      </c>
      <c r="F1759" s="7" t="s">
        <v>4877</v>
      </c>
      <c r="G1759" s="7" t="s">
        <v>4113</v>
      </c>
      <c r="H1759" s="7" t="s">
        <v>3987</v>
      </c>
      <c r="I1759" s="7" t="s">
        <v>4065</v>
      </c>
      <c r="J1759" s="7" t="s">
        <v>4236</v>
      </c>
      <c r="K1759" s="7" t="str">
        <f t="shared" si="2"/>
        <v/>
      </c>
      <c r="L1759" s="7" t="str">
        <f t="shared" si="1735"/>
        <v/>
      </c>
      <c r="M1759" s="7">
        <f t="shared" ref="M1759:N1759" si="1783">IF(LEN(M$1),COUNTIF($G1759:$J1759,M$1),"")</f>
        <v>0</v>
      </c>
      <c r="N1759" s="7" t="str">
        <f t="shared" si="1783"/>
        <v/>
      </c>
      <c r="O1759" s="7" t="str">
        <f t="shared" si="1028"/>
        <v/>
      </c>
      <c r="P1759" s="7">
        <f t="shared" si="1737"/>
        <v>1</v>
      </c>
      <c r="Q1759" s="7" t="str">
        <f t="shared" si="1738"/>
        <v/>
      </c>
      <c r="T1759" s="7"/>
    </row>
    <row r="1760" ht="12.75" customHeight="1">
      <c r="A1760" s="7">
        <v>1759.0</v>
      </c>
      <c r="B1760" s="7" t="s">
        <v>547</v>
      </c>
      <c r="C1760" s="7" t="s">
        <v>4845</v>
      </c>
      <c r="D1760" s="7" t="s">
        <v>2300</v>
      </c>
      <c r="E1760" s="7" t="s">
        <v>4801</v>
      </c>
      <c r="F1760" s="7" t="s">
        <v>4877</v>
      </c>
      <c r="G1760" s="7" t="s">
        <v>4417</v>
      </c>
      <c r="H1760" s="7" t="s">
        <v>4390</v>
      </c>
      <c r="I1760" s="7" t="s">
        <v>4362</v>
      </c>
      <c r="J1760" s="7" t="s">
        <v>4366</v>
      </c>
      <c r="K1760" s="7" t="str">
        <f t="shared" si="2"/>
        <v/>
      </c>
      <c r="L1760" s="7" t="str">
        <f t="shared" si="1735"/>
        <v/>
      </c>
      <c r="M1760" s="7">
        <f t="shared" ref="M1760:N1760" si="1784">IF(LEN(M$1),COUNTIF($G1760:$J1760,M$1),"")</f>
        <v>0</v>
      </c>
      <c r="N1760" s="7" t="str">
        <f t="shared" si="1784"/>
        <v/>
      </c>
      <c r="O1760" s="7" t="str">
        <f t="shared" si="1028"/>
        <v/>
      </c>
      <c r="P1760" s="7">
        <f t="shared" si="1737"/>
        <v>1</v>
      </c>
      <c r="Q1760" s="7" t="str">
        <f t="shared" si="1738"/>
        <v/>
      </c>
      <c r="T1760" s="7"/>
    </row>
    <row r="1761" ht="12.75" customHeight="1">
      <c r="A1761" s="7">
        <v>1760.0</v>
      </c>
      <c r="B1761" s="7" t="s">
        <v>1761</v>
      </c>
      <c r="C1761" s="7" t="s">
        <v>4845</v>
      </c>
      <c r="D1761" s="7" t="s">
        <v>1673</v>
      </c>
      <c r="E1761" s="7" t="s">
        <v>4778</v>
      </c>
      <c r="F1761" s="7" t="s">
        <v>4877</v>
      </c>
      <c r="G1761" s="7" t="s">
        <v>4018</v>
      </c>
      <c r="H1761" s="7" t="s">
        <v>4259</v>
      </c>
      <c r="I1761" s="7" t="s">
        <v>4169</v>
      </c>
      <c r="J1761" s="7" t="s">
        <v>4040</v>
      </c>
      <c r="K1761" s="7" t="str">
        <f t="shared" si="2"/>
        <v/>
      </c>
      <c r="L1761" s="7" t="str">
        <f t="shared" si="1735"/>
        <v/>
      </c>
      <c r="M1761" s="7">
        <f t="shared" ref="M1761:N1761" si="1785">IF(LEN(M$1),COUNTIF($G1761:$J1761,M$1),"")</f>
        <v>0</v>
      </c>
      <c r="N1761" s="7" t="str">
        <f t="shared" si="1785"/>
        <v/>
      </c>
      <c r="O1761" s="7" t="str">
        <f t="shared" si="1028"/>
        <v/>
      </c>
      <c r="P1761" s="7">
        <f t="shared" si="1737"/>
        <v>1</v>
      </c>
      <c r="Q1761" s="7" t="str">
        <f t="shared" si="1738"/>
        <v/>
      </c>
      <c r="T1761" s="7"/>
    </row>
    <row r="1762" ht="12.75" customHeight="1">
      <c r="A1762" s="7">
        <v>1761.0</v>
      </c>
      <c r="B1762" s="7" t="s">
        <v>1761</v>
      </c>
      <c r="C1762" s="7" t="s">
        <v>4845</v>
      </c>
      <c r="D1762" s="7" t="s">
        <v>2152</v>
      </c>
      <c r="E1762" s="7" t="s">
        <v>4834</v>
      </c>
      <c r="F1762" s="7" t="s">
        <v>4877</v>
      </c>
      <c r="G1762" s="7" t="s">
        <v>4158</v>
      </c>
      <c r="H1762" s="7" t="s">
        <v>4026</v>
      </c>
      <c r="I1762" s="7" t="s">
        <v>4193</v>
      </c>
      <c r="J1762" s="7" t="s">
        <v>4276</v>
      </c>
      <c r="K1762" s="7" t="str">
        <f t="shared" si="2"/>
        <v/>
      </c>
      <c r="L1762" s="7" t="str">
        <f t="shared" si="1735"/>
        <v/>
      </c>
      <c r="M1762" s="7">
        <f t="shared" ref="M1762:N1762" si="1786">IF(LEN(M$1),COUNTIF($G1762:$J1762,M$1),"")</f>
        <v>0</v>
      </c>
      <c r="N1762" s="7" t="str">
        <f t="shared" si="1786"/>
        <v/>
      </c>
      <c r="O1762" s="7" t="str">
        <f t="shared" si="1028"/>
        <v/>
      </c>
      <c r="P1762" s="7">
        <f t="shared" si="1737"/>
        <v>1</v>
      </c>
      <c r="Q1762" s="7" t="str">
        <f t="shared" si="1738"/>
        <v/>
      </c>
      <c r="T1762" s="7"/>
    </row>
    <row r="1763" ht="12.75" customHeight="1">
      <c r="A1763" s="7">
        <v>1762.0</v>
      </c>
      <c r="B1763" s="7" t="s">
        <v>1770</v>
      </c>
      <c r="C1763" s="7" t="s">
        <v>4837</v>
      </c>
      <c r="D1763" s="7" t="s">
        <v>1962</v>
      </c>
      <c r="E1763" s="7" t="s">
        <v>4822</v>
      </c>
      <c r="F1763" s="7" t="s">
        <v>4877</v>
      </c>
      <c r="G1763" s="7" t="s">
        <v>4099</v>
      </c>
      <c r="H1763" s="7" t="s">
        <v>4273</v>
      </c>
      <c r="I1763" s="7" t="s">
        <v>4244</v>
      </c>
      <c r="J1763" s="7" t="s">
        <v>4112</v>
      </c>
      <c r="K1763" s="7" t="str">
        <f t="shared" si="2"/>
        <v/>
      </c>
      <c r="L1763" s="7" t="str">
        <f t="shared" si="1735"/>
        <v/>
      </c>
      <c r="M1763" s="7">
        <f t="shared" ref="M1763:N1763" si="1787">IF(LEN(M$1),COUNTIF($G1763:$J1763,M$1),"")</f>
        <v>0</v>
      </c>
      <c r="N1763" s="7" t="str">
        <f t="shared" si="1787"/>
        <v/>
      </c>
      <c r="O1763" s="7" t="str">
        <f t="shared" si="1028"/>
        <v/>
      </c>
      <c r="P1763" s="7">
        <f t="shared" si="1737"/>
        <v>1</v>
      </c>
      <c r="Q1763" s="7" t="str">
        <f t="shared" si="1738"/>
        <v/>
      </c>
      <c r="T1763" s="7"/>
    </row>
    <row r="1764" ht="12.75" customHeight="1">
      <c r="A1764" s="7">
        <v>1763.0</v>
      </c>
      <c r="B1764" s="7" t="s">
        <v>1770</v>
      </c>
      <c r="C1764" s="7" t="s">
        <v>4837</v>
      </c>
      <c r="D1764" s="7" t="s">
        <v>2059</v>
      </c>
      <c r="E1764" s="7" t="s">
        <v>4815</v>
      </c>
      <c r="F1764" s="7" t="s">
        <v>4877</v>
      </c>
      <c r="G1764" s="7" t="s">
        <v>4362</v>
      </c>
      <c r="H1764" s="7" t="s">
        <v>4406</v>
      </c>
      <c r="I1764" s="7" t="s">
        <v>4391</v>
      </c>
      <c r="J1764" s="7" t="s">
        <v>4412</v>
      </c>
      <c r="K1764" s="7" t="str">
        <f t="shared" si="2"/>
        <v/>
      </c>
      <c r="L1764" s="7" t="str">
        <f t="shared" si="1735"/>
        <v/>
      </c>
      <c r="M1764" s="7">
        <f t="shared" ref="M1764:N1764" si="1788">IF(LEN(M$1),COUNTIF($G1764:$J1764,M$1),"")</f>
        <v>0</v>
      </c>
      <c r="N1764" s="7" t="str">
        <f t="shared" si="1788"/>
        <v/>
      </c>
      <c r="O1764" s="7" t="str">
        <f t="shared" si="1028"/>
        <v/>
      </c>
      <c r="P1764" s="7">
        <f t="shared" si="1737"/>
        <v>1</v>
      </c>
      <c r="Q1764" s="7" t="str">
        <f t="shared" si="1738"/>
        <v/>
      </c>
      <c r="T1764" s="7"/>
    </row>
    <row r="1765" ht="12.75" customHeight="1">
      <c r="A1765" s="7">
        <v>1764.0</v>
      </c>
      <c r="B1765" s="7" t="s">
        <v>1770</v>
      </c>
      <c r="C1765" s="7" t="s">
        <v>4837</v>
      </c>
      <c r="D1765" s="7" t="s">
        <v>2110</v>
      </c>
      <c r="E1765" s="7" t="s">
        <v>4793</v>
      </c>
      <c r="F1765" s="7" t="s">
        <v>4877</v>
      </c>
      <c r="G1765" s="7" t="s">
        <v>4132</v>
      </c>
      <c r="H1765" s="7" t="s">
        <v>4116</v>
      </c>
      <c r="I1765" s="7" t="s">
        <v>4204</v>
      </c>
      <c r="J1765" s="7" t="s">
        <v>4161</v>
      </c>
      <c r="K1765" s="7" t="str">
        <f t="shared" si="2"/>
        <v/>
      </c>
      <c r="L1765" s="7" t="str">
        <f t="shared" si="1735"/>
        <v/>
      </c>
      <c r="M1765" s="7">
        <f t="shared" ref="M1765:N1765" si="1789">IF(LEN(M$1),COUNTIF($G1765:$J1765,M$1),"")</f>
        <v>0</v>
      </c>
      <c r="N1765" s="7" t="str">
        <f t="shared" si="1789"/>
        <v/>
      </c>
      <c r="O1765" s="7" t="str">
        <f t="shared" si="1028"/>
        <v/>
      </c>
      <c r="P1765" s="7">
        <f t="shared" si="1737"/>
        <v>1</v>
      </c>
      <c r="Q1765" s="7" t="str">
        <f t="shared" si="1738"/>
        <v/>
      </c>
      <c r="T1765" s="7"/>
    </row>
    <row r="1766" ht="12.75" customHeight="1">
      <c r="A1766" s="7">
        <v>1765.0</v>
      </c>
      <c r="B1766" s="7" t="s">
        <v>1770</v>
      </c>
      <c r="C1766" s="7" t="s">
        <v>4837</v>
      </c>
      <c r="D1766" s="7" t="s">
        <v>2110</v>
      </c>
      <c r="E1766" s="7" t="s">
        <v>4793</v>
      </c>
      <c r="F1766" s="7" t="s">
        <v>4877</v>
      </c>
      <c r="G1766" s="7" t="s">
        <v>4392</v>
      </c>
      <c r="H1766" s="7" t="s">
        <v>4394</v>
      </c>
      <c r="I1766" s="7" t="s">
        <v>4402</v>
      </c>
      <c r="J1766" s="7" t="s">
        <v>4385</v>
      </c>
      <c r="K1766" s="7" t="str">
        <f t="shared" si="2"/>
        <v/>
      </c>
      <c r="L1766" s="7" t="str">
        <f t="shared" si="1735"/>
        <v/>
      </c>
      <c r="M1766" s="7">
        <f t="shared" ref="M1766:N1766" si="1790">IF(LEN(M$1),COUNTIF($G1766:$J1766,M$1),"")</f>
        <v>0</v>
      </c>
      <c r="N1766" s="7" t="str">
        <f t="shared" si="1790"/>
        <v/>
      </c>
      <c r="O1766" s="7" t="str">
        <f t="shared" si="1028"/>
        <v/>
      </c>
      <c r="P1766" s="7">
        <f t="shared" si="1737"/>
        <v>1</v>
      </c>
      <c r="Q1766" s="7" t="str">
        <f t="shared" si="1738"/>
        <v/>
      </c>
      <c r="T1766" s="7"/>
    </row>
    <row r="1767" ht="12.75" customHeight="1">
      <c r="A1767" s="7">
        <v>1766.0</v>
      </c>
      <c r="B1767" s="7" t="s">
        <v>1778</v>
      </c>
      <c r="C1767" s="7" t="s">
        <v>4837</v>
      </c>
      <c r="D1767" s="7" t="s">
        <v>1982</v>
      </c>
      <c r="E1767" s="7" t="s">
        <v>4823</v>
      </c>
      <c r="F1767" s="7" t="s">
        <v>4877</v>
      </c>
      <c r="G1767" s="7" t="s">
        <v>4156</v>
      </c>
      <c r="H1767" s="7" t="s">
        <v>4006</v>
      </c>
      <c r="I1767" s="7" t="s">
        <v>4133</v>
      </c>
      <c r="J1767" s="7" t="s">
        <v>4129</v>
      </c>
      <c r="K1767" s="7" t="str">
        <f t="shared" si="2"/>
        <v/>
      </c>
      <c r="L1767" s="7" t="str">
        <f t="shared" si="1735"/>
        <v/>
      </c>
      <c r="M1767" s="7">
        <f t="shared" ref="M1767:N1767" si="1791">IF(LEN(M$1),COUNTIF($G1767:$J1767,M$1),"")</f>
        <v>0</v>
      </c>
      <c r="N1767" s="7" t="str">
        <f t="shared" si="1791"/>
        <v/>
      </c>
      <c r="O1767" s="7" t="str">
        <f t="shared" si="1028"/>
        <v/>
      </c>
      <c r="P1767" s="7">
        <f t="shared" si="1737"/>
        <v>1</v>
      </c>
      <c r="Q1767" s="7" t="str">
        <f t="shared" si="1738"/>
        <v/>
      </c>
      <c r="T1767" s="7"/>
    </row>
    <row r="1768" ht="12.75" customHeight="1">
      <c r="A1768" s="7">
        <v>1767.0</v>
      </c>
      <c r="B1768" s="7" t="s">
        <v>1778</v>
      </c>
      <c r="C1768" s="7" t="s">
        <v>4837</v>
      </c>
      <c r="D1768" s="7" t="s">
        <v>1982</v>
      </c>
      <c r="E1768" s="7" t="s">
        <v>4823</v>
      </c>
      <c r="F1768" s="7" t="s">
        <v>4877</v>
      </c>
      <c r="G1768" s="7" t="s">
        <v>4218</v>
      </c>
      <c r="H1768" s="7" t="s">
        <v>4240</v>
      </c>
      <c r="I1768" s="7" t="s">
        <v>4155</v>
      </c>
      <c r="J1768" s="7" t="s">
        <v>4084</v>
      </c>
      <c r="K1768" s="7" t="str">
        <f t="shared" si="2"/>
        <v/>
      </c>
      <c r="L1768" s="7" t="str">
        <f t="shared" si="1735"/>
        <v/>
      </c>
      <c r="M1768" s="7">
        <f t="shared" ref="M1768:N1768" si="1792">IF(LEN(M$1),COUNTIF($G1768:$J1768,M$1),"")</f>
        <v>0</v>
      </c>
      <c r="N1768" s="7" t="str">
        <f t="shared" si="1792"/>
        <v/>
      </c>
      <c r="O1768" s="7" t="str">
        <f t="shared" si="1028"/>
        <v/>
      </c>
      <c r="P1768" s="7">
        <f t="shared" si="1737"/>
        <v>1</v>
      </c>
      <c r="Q1768" s="7" t="str">
        <f t="shared" si="1738"/>
        <v/>
      </c>
      <c r="T1768" s="7"/>
    </row>
    <row r="1769" ht="12.75" customHeight="1">
      <c r="A1769" s="7">
        <v>1768.0</v>
      </c>
      <c r="B1769" s="7" t="s">
        <v>1786</v>
      </c>
      <c r="C1769" s="7" t="s">
        <v>4845</v>
      </c>
      <c r="D1769" s="7" t="s">
        <v>329</v>
      </c>
      <c r="E1769" s="7" t="s">
        <v>4845</v>
      </c>
      <c r="F1769" s="7" t="s">
        <v>4877</v>
      </c>
      <c r="G1769" s="7" t="s">
        <v>4014</v>
      </c>
      <c r="H1769" s="7" t="s">
        <v>4271</v>
      </c>
      <c r="I1769" s="7" t="s">
        <v>4239</v>
      </c>
      <c r="J1769" s="7" t="s">
        <v>4168</v>
      </c>
      <c r="K1769" s="7" t="str">
        <f t="shared" si="2"/>
        <v/>
      </c>
      <c r="L1769" s="7" t="str">
        <f t="shared" si="1735"/>
        <v/>
      </c>
      <c r="M1769" s="7">
        <f t="shared" ref="M1769:N1769" si="1793">IF(LEN(M$1),COUNTIF($G1769:$J1769,M$1),"")</f>
        <v>0</v>
      </c>
      <c r="N1769" s="7" t="str">
        <f t="shared" si="1793"/>
        <v/>
      </c>
      <c r="O1769" s="7" t="str">
        <f t="shared" si="1028"/>
        <v/>
      </c>
      <c r="P1769" s="7">
        <f t="shared" si="1737"/>
        <v>1</v>
      </c>
      <c r="Q1769" s="7" t="str">
        <f t="shared" si="1738"/>
        <v/>
      </c>
      <c r="T1769" s="7"/>
    </row>
    <row r="1770" ht="12.75" customHeight="1">
      <c r="A1770" s="7">
        <v>1769.0</v>
      </c>
      <c r="B1770" s="7" t="s">
        <v>1786</v>
      </c>
      <c r="C1770" s="7" t="s">
        <v>4845</v>
      </c>
      <c r="D1770" s="7" t="s">
        <v>2232</v>
      </c>
      <c r="E1770" s="7" t="s">
        <v>4850</v>
      </c>
      <c r="F1770" s="7" t="s">
        <v>4877</v>
      </c>
      <c r="G1770" s="7" t="s">
        <v>4386</v>
      </c>
      <c r="H1770" s="7" t="s">
        <v>4418</v>
      </c>
      <c r="I1770" s="7" t="s">
        <v>4378</v>
      </c>
      <c r="J1770" s="7" t="s">
        <v>4397</v>
      </c>
      <c r="K1770" s="7" t="str">
        <f t="shared" si="2"/>
        <v/>
      </c>
      <c r="L1770" s="7" t="str">
        <f t="shared" si="1735"/>
        <v/>
      </c>
      <c r="M1770" s="7">
        <f t="shared" ref="M1770:N1770" si="1794">IF(LEN(M$1),COUNTIF($G1770:$J1770,M$1),"")</f>
        <v>0</v>
      </c>
      <c r="N1770" s="7" t="str">
        <f t="shared" si="1794"/>
        <v/>
      </c>
      <c r="O1770" s="7" t="str">
        <f t="shared" si="1028"/>
        <v/>
      </c>
      <c r="P1770" s="7">
        <f t="shared" si="1737"/>
        <v>1</v>
      </c>
      <c r="Q1770" s="7" t="str">
        <f t="shared" si="1738"/>
        <v/>
      </c>
      <c r="T1770" s="7"/>
    </row>
    <row r="1771" ht="12.75" customHeight="1">
      <c r="A1771" s="7">
        <v>1770.0</v>
      </c>
      <c r="B1771" s="7" t="s">
        <v>1786</v>
      </c>
      <c r="C1771" s="7" t="s">
        <v>4845</v>
      </c>
      <c r="D1771" s="7" t="s">
        <v>2300</v>
      </c>
      <c r="E1771" s="7" t="s">
        <v>4801</v>
      </c>
      <c r="F1771" s="7" t="s">
        <v>4877</v>
      </c>
      <c r="G1771" s="7" t="s">
        <v>4432</v>
      </c>
      <c r="H1771" s="7" t="s">
        <v>4399</v>
      </c>
      <c r="I1771" s="7" t="s">
        <v>4438</v>
      </c>
      <c r="J1771" s="7" t="s">
        <v>4380</v>
      </c>
      <c r="K1771" s="7" t="str">
        <f t="shared" si="2"/>
        <v/>
      </c>
      <c r="L1771" s="7" t="str">
        <f t="shared" si="1735"/>
        <v/>
      </c>
      <c r="M1771" s="7">
        <f t="shared" ref="M1771:N1771" si="1795">IF(LEN(M$1),COUNTIF($G1771:$J1771,M$1),"")</f>
        <v>0</v>
      </c>
      <c r="N1771" s="7" t="str">
        <f t="shared" si="1795"/>
        <v/>
      </c>
      <c r="O1771" s="7" t="str">
        <f t="shared" si="1028"/>
        <v/>
      </c>
      <c r="P1771" s="7">
        <f t="shared" si="1737"/>
        <v>1</v>
      </c>
      <c r="Q1771" s="7" t="str">
        <f t="shared" si="1738"/>
        <v/>
      </c>
      <c r="T1771" s="7"/>
    </row>
    <row r="1772" ht="12.75" customHeight="1">
      <c r="A1772" s="7">
        <v>1771.0</v>
      </c>
      <c r="B1772" s="7" t="s">
        <v>329</v>
      </c>
      <c r="C1772" s="7" t="s">
        <v>4845</v>
      </c>
      <c r="D1772" s="7" t="s">
        <v>1941</v>
      </c>
      <c r="E1772" s="7" t="s">
        <v>4780</v>
      </c>
      <c r="F1772" s="7" t="s">
        <v>4877</v>
      </c>
      <c r="G1772" s="7" t="s">
        <v>4266</v>
      </c>
      <c r="H1772" s="7" t="s">
        <v>4183</v>
      </c>
      <c r="I1772" s="7" t="s">
        <v>4123</v>
      </c>
      <c r="J1772" s="7" t="s">
        <v>4012</v>
      </c>
      <c r="K1772" s="7" t="str">
        <f t="shared" si="2"/>
        <v/>
      </c>
      <c r="L1772" s="7" t="str">
        <f t="shared" si="1735"/>
        <v/>
      </c>
      <c r="M1772" s="7">
        <f t="shared" ref="M1772:N1772" si="1796">IF(LEN(M$1),COUNTIF($G1772:$J1772,M$1),"")</f>
        <v>0</v>
      </c>
      <c r="N1772" s="7" t="str">
        <f t="shared" si="1796"/>
        <v/>
      </c>
      <c r="O1772" s="7" t="str">
        <f t="shared" si="1028"/>
        <v/>
      </c>
      <c r="P1772" s="7">
        <f t="shared" si="1737"/>
        <v>1</v>
      </c>
      <c r="Q1772" s="7" t="str">
        <f t="shared" si="1738"/>
        <v/>
      </c>
      <c r="T1772" s="7"/>
    </row>
    <row r="1773" ht="12.75" customHeight="1">
      <c r="A1773" s="7">
        <v>1772.0</v>
      </c>
      <c r="B1773" s="7" t="s">
        <v>329</v>
      </c>
      <c r="C1773" s="7" t="s">
        <v>4845</v>
      </c>
      <c r="D1773" s="7" t="s">
        <v>2218</v>
      </c>
      <c r="E1773" s="7" t="s">
        <v>4832</v>
      </c>
      <c r="F1773" s="7" t="s">
        <v>4877</v>
      </c>
      <c r="G1773" s="7" t="s">
        <v>4047</v>
      </c>
      <c r="H1773" s="7" t="s">
        <v>4059</v>
      </c>
      <c r="I1773" s="7" t="s">
        <v>3991</v>
      </c>
      <c r="J1773" s="7" t="s">
        <v>4090</v>
      </c>
      <c r="K1773" s="7" t="str">
        <f t="shared" si="2"/>
        <v/>
      </c>
      <c r="L1773" s="7" t="str">
        <f t="shared" si="1735"/>
        <v/>
      </c>
      <c r="M1773" s="7">
        <f t="shared" ref="M1773:N1773" si="1797">IF(LEN(M$1),COUNTIF($G1773:$J1773,M$1),"")</f>
        <v>0</v>
      </c>
      <c r="N1773" s="7" t="str">
        <f t="shared" si="1797"/>
        <v/>
      </c>
      <c r="O1773" s="7" t="str">
        <f t="shared" si="1028"/>
        <v/>
      </c>
      <c r="P1773" s="7">
        <f t="shared" si="1737"/>
        <v>1</v>
      </c>
      <c r="Q1773" s="7" t="str">
        <f t="shared" si="1738"/>
        <v/>
      </c>
      <c r="T1773" s="7"/>
    </row>
    <row r="1774" ht="12.75" customHeight="1">
      <c r="A1774" s="7">
        <v>1773.0</v>
      </c>
      <c r="B1774" s="7" t="s">
        <v>1800</v>
      </c>
      <c r="C1774" s="7" t="s">
        <v>4841</v>
      </c>
      <c r="D1774" s="7" t="s">
        <v>1843</v>
      </c>
      <c r="E1774" s="7" t="s">
        <v>3108</v>
      </c>
      <c r="F1774" s="7" t="s">
        <v>4877</v>
      </c>
      <c r="G1774" s="7" t="s">
        <v>4411</v>
      </c>
      <c r="H1774" s="7" t="s">
        <v>4430</v>
      </c>
      <c r="I1774" s="7" t="s">
        <v>4398</v>
      </c>
      <c r="J1774" s="7" t="s">
        <v>4360</v>
      </c>
      <c r="K1774" s="7" t="str">
        <f t="shared" si="2"/>
        <v/>
      </c>
      <c r="L1774" s="7" t="str">
        <f t="shared" si="1735"/>
        <v/>
      </c>
      <c r="M1774" s="7">
        <f t="shared" ref="M1774:N1774" si="1798">IF(LEN(M$1),COUNTIF($G1774:$J1774,M$1),"")</f>
        <v>0</v>
      </c>
      <c r="N1774" s="7" t="str">
        <f t="shared" si="1798"/>
        <v/>
      </c>
      <c r="O1774" s="7" t="str">
        <f t="shared" si="1028"/>
        <v/>
      </c>
      <c r="P1774" s="7">
        <f t="shared" si="1737"/>
        <v>1</v>
      </c>
      <c r="Q1774" s="7" t="str">
        <f t="shared" si="1738"/>
        <v/>
      </c>
      <c r="T1774" s="7"/>
    </row>
    <row r="1775" ht="12.75" customHeight="1">
      <c r="A1775" s="7">
        <v>1774.0</v>
      </c>
      <c r="B1775" s="7" t="s">
        <v>1800</v>
      </c>
      <c r="C1775" s="7" t="s">
        <v>4841</v>
      </c>
      <c r="D1775" s="7" t="s">
        <v>2189</v>
      </c>
      <c r="E1775" s="7" t="s">
        <v>4840</v>
      </c>
      <c r="F1775" s="7" t="s">
        <v>4877</v>
      </c>
      <c r="G1775" s="7" t="s">
        <v>4004</v>
      </c>
      <c r="H1775" s="7" t="s">
        <v>3979</v>
      </c>
      <c r="I1775" s="7" t="s">
        <v>4193</v>
      </c>
      <c r="J1775" s="7" t="s">
        <v>4185</v>
      </c>
      <c r="K1775" s="7" t="str">
        <f t="shared" si="2"/>
        <v/>
      </c>
      <c r="L1775" s="7" t="str">
        <f t="shared" si="1735"/>
        <v/>
      </c>
      <c r="M1775" s="7">
        <f t="shared" ref="M1775:N1775" si="1799">IF(LEN(M$1),COUNTIF($G1775:$J1775,M$1),"")</f>
        <v>0</v>
      </c>
      <c r="N1775" s="7" t="str">
        <f t="shared" si="1799"/>
        <v/>
      </c>
      <c r="O1775" s="7" t="str">
        <f t="shared" si="1028"/>
        <v/>
      </c>
      <c r="P1775" s="7">
        <f t="shared" si="1737"/>
        <v>1</v>
      </c>
      <c r="Q1775" s="7" t="str">
        <f t="shared" si="1738"/>
        <v/>
      </c>
      <c r="T1775" s="7"/>
    </row>
    <row r="1776" ht="12.75" customHeight="1">
      <c r="A1776" s="7">
        <v>1775.0</v>
      </c>
      <c r="B1776" s="7" t="s">
        <v>1807</v>
      </c>
      <c r="C1776" s="7" t="s">
        <v>4841</v>
      </c>
      <c r="D1776" s="7" t="s">
        <v>2043</v>
      </c>
      <c r="E1776" s="7" t="s">
        <v>4758</v>
      </c>
      <c r="F1776" s="7" t="s">
        <v>4877</v>
      </c>
      <c r="G1776" s="7" t="s">
        <v>4024</v>
      </c>
      <c r="H1776" s="7" t="s">
        <v>4204</v>
      </c>
      <c r="I1776" s="7" t="s">
        <v>4272</v>
      </c>
      <c r="J1776" s="7" t="s">
        <v>3984</v>
      </c>
      <c r="K1776" s="7" t="str">
        <f t="shared" si="2"/>
        <v/>
      </c>
      <c r="L1776" s="7" t="str">
        <f t="shared" si="1735"/>
        <v/>
      </c>
      <c r="M1776" s="7">
        <f t="shared" ref="M1776:N1776" si="1800">IF(LEN(M$1),COUNTIF($G1776:$J1776,M$1),"")</f>
        <v>0</v>
      </c>
      <c r="N1776" s="7" t="str">
        <f t="shared" si="1800"/>
        <v/>
      </c>
      <c r="O1776" s="7" t="str">
        <f t="shared" si="1028"/>
        <v/>
      </c>
      <c r="P1776" s="7">
        <f t="shared" si="1737"/>
        <v>1</v>
      </c>
      <c r="Q1776" s="7" t="str">
        <f t="shared" si="1738"/>
        <v/>
      </c>
      <c r="T1776" s="7"/>
    </row>
    <row r="1777" ht="12.75" customHeight="1">
      <c r="A1777" s="7">
        <v>1776.0</v>
      </c>
      <c r="B1777" s="7" t="s">
        <v>1807</v>
      </c>
      <c r="C1777" s="7" t="s">
        <v>4841</v>
      </c>
      <c r="D1777" s="7" t="s">
        <v>2174</v>
      </c>
      <c r="E1777" s="7" t="s">
        <v>4829</v>
      </c>
      <c r="F1777" s="7" t="s">
        <v>4877</v>
      </c>
      <c r="G1777" s="7" t="s">
        <v>4011</v>
      </c>
      <c r="H1777" s="7" t="s">
        <v>3970</v>
      </c>
      <c r="I1777" s="7" t="s">
        <v>4181</v>
      </c>
      <c r="J1777" s="7" t="s">
        <v>4239</v>
      </c>
      <c r="K1777" s="7" t="str">
        <f t="shared" si="2"/>
        <v/>
      </c>
      <c r="L1777" s="7" t="str">
        <f t="shared" si="1735"/>
        <v/>
      </c>
      <c r="M1777" s="7">
        <f t="shared" ref="M1777:N1777" si="1801">IF(LEN(M$1),COUNTIF($G1777:$J1777,M$1),"")</f>
        <v>0</v>
      </c>
      <c r="N1777" s="7" t="str">
        <f t="shared" si="1801"/>
        <v/>
      </c>
      <c r="O1777" s="7" t="str">
        <f t="shared" si="1028"/>
        <v/>
      </c>
      <c r="P1777" s="7">
        <f t="shared" si="1737"/>
        <v>1</v>
      </c>
      <c r="Q1777" s="7" t="str">
        <f t="shared" si="1738"/>
        <v/>
      </c>
      <c r="T1777" s="7"/>
    </row>
    <row r="1778" ht="12.75" customHeight="1">
      <c r="A1778" s="7">
        <v>1777.0</v>
      </c>
      <c r="B1778" s="7" t="s">
        <v>1807</v>
      </c>
      <c r="C1778" s="7" t="s">
        <v>4841</v>
      </c>
      <c r="D1778" s="7" t="s">
        <v>2225</v>
      </c>
      <c r="E1778" s="7" t="s">
        <v>4850</v>
      </c>
      <c r="F1778" s="7" t="s">
        <v>4877</v>
      </c>
      <c r="G1778" s="7" t="s">
        <v>4388</v>
      </c>
      <c r="H1778" s="7" t="s">
        <v>4412</v>
      </c>
      <c r="I1778" s="7" t="s">
        <v>4389</v>
      </c>
      <c r="J1778" s="7" t="s">
        <v>4425</v>
      </c>
      <c r="K1778" s="7" t="str">
        <f t="shared" si="2"/>
        <v/>
      </c>
      <c r="L1778" s="7" t="str">
        <f t="shared" si="1735"/>
        <v/>
      </c>
      <c r="M1778" s="7">
        <f t="shared" ref="M1778:N1778" si="1802">IF(LEN(M$1),COUNTIF($G1778:$J1778,M$1),"")</f>
        <v>0</v>
      </c>
      <c r="N1778" s="7" t="str">
        <f t="shared" si="1802"/>
        <v/>
      </c>
      <c r="O1778" s="7" t="str">
        <f t="shared" si="1028"/>
        <v/>
      </c>
      <c r="P1778" s="7">
        <f t="shared" si="1737"/>
        <v>1</v>
      </c>
      <c r="Q1778" s="7" t="str">
        <f t="shared" si="1738"/>
        <v/>
      </c>
      <c r="T1778" s="7"/>
    </row>
    <row r="1779" ht="12.75" customHeight="1">
      <c r="A1779" s="7">
        <v>1778.0</v>
      </c>
      <c r="B1779" s="7" t="s">
        <v>1807</v>
      </c>
      <c r="C1779" s="7" t="s">
        <v>4841</v>
      </c>
      <c r="D1779" s="7" t="s">
        <v>2232</v>
      </c>
      <c r="E1779" s="7" t="s">
        <v>4850</v>
      </c>
      <c r="F1779" s="7" t="s">
        <v>4877</v>
      </c>
      <c r="G1779" s="7" t="s">
        <v>4253</v>
      </c>
      <c r="H1779" s="7" t="s">
        <v>4112</v>
      </c>
      <c r="I1779" s="7" t="s">
        <v>4145</v>
      </c>
      <c r="J1779" s="7" t="s">
        <v>4276</v>
      </c>
      <c r="K1779" s="7" t="str">
        <f t="shared" si="2"/>
        <v/>
      </c>
      <c r="L1779" s="7" t="str">
        <f t="shared" si="1735"/>
        <v/>
      </c>
      <c r="M1779" s="7">
        <f t="shared" ref="M1779:N1779" si="1803">IF(LEN(M$1),COUNTIF($G1779:$J1779,M$1),"")</f>
        <v>0</v>
      </c>
      <c r="N1779" s="7" t="str">
        <f t="shared" si="1803"/>
        <v/>
      </c>
      <c r="O1779" s="7" t="str">
        <f t="shared" si="1028"/>
        <v/>
      </c>
      <c r="P1779" s="7">
        <f t="shared" si="1737"/>
        <v>1</v>
      </c>
      <c r="Q1779" s="7" t="str">
        <f t="shared" si="1738"/>
        <v/>
      </c>
      <c r="T1779" s="7"/>
    </row>
    <row r="1780" ht="12.75" customHeight="1">
      <c r="A1780" s="7">
        <v>1779.0</v>
      </c>
      <c r="B1780" s="7" t="s">
        <v>1813</v>
      </c>
      <c r="C1780" s="7" t="s">
        <v>4846</v>
      </c>
      <c r="D1780" s="7" t="s">
        <v>2073</v>
      </c>
      <c r="E1780" s="7" t="s">
        <v>4791</v>
      </c>
      <c r="F1780" s="7" t="s">
        <v>4877</v>
      </c>
      <c r="G1780" s="7" t="s">
        <v>4380</v>
      </c>
      <c r="H1780" s="7" t="s">
        <v>4402</v>
      </c>
      <c r="I1780" s="7" t="s">
        <v>4363</v>
      </c>
      <c r="J1780" s="7" t="s">
        <v>4373</v>
      </c>
      <c r="K1780" s="7" t="str">
        <f t="shared" si="2"/>
        <v/>
      </c>
      <c r="L1780" s="7" t="str">
        <f t="shared" si="1735"/>
        <v/>
      </c>
      <c r="M1780" s="7">
        <f t="shared" ref="M1780:N1780" si="1804">IF(LEN(M$1),COUNTIF($G1780:$J1780,M$1),"")</f>
        <v>0</v>
      </c>
      <c r="N1780" s="7" t="str">
        <f t="shared" si="1804"/>
        <v/>
      </c>
      <c r="O1780" s="7" t="str">
        <f t="shared" si="1028"/>
        <v/>
      </c>
      <c r="P1780" s="7">
        <f t="shared" si="1737"/>
        <v>1</v>
      </c>
      <c r="Q1780" s="7" t="str">
        <f t="shared" si="1738"/>
        <v/>
      </c>
      <c r="T1780" s="7"/>
    </row>
    <row r="1781" ht="12.75" customHeight="1">
      <c r="A1781" s="7">
        <v>1780.0</v>
      </c>
      <c r="B1781" s="7" t="s">
        <v>1820</v>
      </c>
      <c r="C1781" s="7" t="s">
        <v>4846</v>
      </c>
      <c r="D1781" s="7" t="s">
        <v>2152</v>
      </c>
      <c r="E1781" s="7" t="s">
        <v>4834</v>
      </c>
      <c r="F1781" s="7" t="s">
        <v>4877</v>
      </c>
      <c r="G1781" s="7" t="s">
        <v>4359</v>
      </c>
      <c r="H1781" s="7" t="s">
        <v>4405</v>
      </c>
      <c r="I1781" s="7" t="s">
        <v>4439</v>
      </c>
      <c r="J1781" s="7" t="s">
        <v>4393</v>
      </c>
      <c r="K1781" s="7" t="str">
        <f t="shared" si="2"/>
        <v/>
      </c>
      <c r="L1781" s="7" t="str">
        <f t="shared" si="1735"/>
        <v/>
      </c>
      <c r="M1781" s="7">
        <f t="shared" ref="M1781:N1781" si="1805">IF(LEN(M$1),COUNTIF($G1781:$J1781,M$1),"")</f>
        <v>0</v>
      </c>
      <c r="N1781" s="7" t="str">
        <f t="shared" si="1805"/>
        <v/>
      </c>
      <c r="O1781" s="7" t="str">
        <f t="shared" si="1028"/>
        <v/>
      </c>
      <c r="P1781" s="7">
        <f t="shared" si="1737"/>
        <v>1</v>
      </c>
      <c r="Q1781" s="7" t="str">
        <f t="shared" si="1738"/>
        <v/>
      </c>
      <c r="T1781" s="7"/>
    </row>
    <row r="1782" ht="12.75" customHeight="1">
      <c r="A1782" s="7">
        <v>1781.0</v>
      </c>
      <c r="B1782" s="7" t="s">
        <v>1820</v>
      </c>
      <c r="C1782" s="7" t="s">
        <v>4846</v>
      </c>
      <c r="D1782" s="7" t="s">
        <v>2322</v>
      </c>
      <c r="E1782" s="7" t="s">
        <v>4758</v>
      </c>
      <c r="F1782" s="7" t="s">
        <v>4877</v>
      </c>
      <c r="G1782" s="7" t="s">
        <v>3983</v>
      </c>
      <c r="H1782" s="7" t="s">
        <v>4062</v>
      </c>
      <c r="I1782" s="7" t="s">
        <v>4227</v>
      </c>
      <c r="J1782" s="7" t="s">
        <v>4260</v>
      </c>
      <c r="K1782" s="7" t="str">
        <f t="shared" si="2"/>
        <v/>
      </c>
      <c r="L1782" s="7" t="str">
        <f t="shared" si="1735"/>
        <v/>
      </c>
      <c r="M1782" s="7">
        <f t="shared" ref="M1782:N1782" si="1806">IF(LEN(M$1),COUNTIF($G1782:$J1782,M$1),"")</f>
        <v>0</v>
      </c>
      <c r="N1782" s="7" t="str">
        <f t="shared" si="1806"/>
        <v/>
      </c>
      <c r="O1782" s="7" t="str">
        <f t="shared" si="1028"/>
        <v/>
      </c>
      <c r="P1782" s="7">
        <f t="shared" si="1737"/>
        <v>1</v>
      </c>
      <c r="Q1782" s="7" t="str">
        <f t="shared" si="1738"/>
        <v/>
      </c>
      <c r="T1782" s="7"/>
    </row>
    <row r="1783" ht="12.75" customHeight="1">
      <c r="A1783" s="7">
        <v>1782.0</v>
      </c>
      <c r="B1783" s="7" t="s">
        <v>1828</v>
      </c>
      <c r="C1783" s="7" t="s">
        <v>4852</v>
      </c>
      <c r="D1783" s="7" t="s">
        <v>1851</v>
      </c>
      <c r="E1783" s="7" t="s">
        <v>3108</v>
      </c>
      <c r="F1783" s="7" t="s">
        <v>4877</v>
      </c>
      <c r="G1783" s="7" t="s">
        <v>4045</v>
      </c>
      <c r="H1783" s="7" t="s">
        <v>4251</v>
      </c>
      <c r="I1783" s="7" t="s">
        <v>4068</v>
      </c>
      <c r="J1783" s="7" t="s">
        <v>4221</v>
      </c>
      <c r="K1783" s="7" t="str">
        <f t="shared" si="2"/>
        <v/>
      </c>
      <c r="L1783" s="7" t="str">
        <f t="shared" si="1735"/>
        <v/>
      </c>
      <c r="M1783" s="7">
        <f t="shared" ref="M1783:N1783" si="1807">IF(LEN(M$1),COUNTIF($G1783:$J1783,M$1),"")</f>
        <v>0</v>
      </c>
      <c r="N1783" s="7" t="str">
        <f t="shared" si="1807"/>
        <v/>
      </c>
      <c r="O1783" s="7" t="str">
        <f t="shared" si="1028"/>
        <v/>
      </c>
      <c r="P1783" s="7">
        <f t="shared" si="1737"/>
        <v>1</v>
      </c>
      <c r="Q1783" s="7" t="str">
        <f t="shared" si="1738"/>
        <v/>
      </c>
      <c r="T1783" s="7"/>
    </row>
    <row r="1784" ht="12.75" customHeight="1">
      <c r="A1784" s="7">
        <v>1783.0</v>
      </c>
      <c r="B1784" s="7" t="s">
        <v>1828</v>
      </c>
      <c r="C1784" s="7" t="s">
        <v>4852</v>
      </c>
      <c r="D1784" s="7" t="s">
        <v>2210</v>
      </c>
      <c r="E1784" s="7" t="s">
        <v>4832</v>
      </c>
      <c r="F1784" s="7" t="s">
        <v>4877</v>
      </c>
      <c r="G1784" s="7" t="s">
        <v>4008</v>
      </c>
      <c r="H1784" s="7" t="s">
        <v>4132</v>
      </c>
      <c r="I1784" s="7" t="s">
        <v>4021</v>
      </c>
      <c r="J1784" s="7" t="s">
        <v>4258</v>
      </c>
      <c r="K1784" s="7" t="str">
        <f t="shared" si="2"/>
        <v/>
      </c>
      <c r="L1784" s="7" t="str">
        <f t="shared" si="1735"/>
        <v/>
      </c>
      <c r="M1784" s="7">
        <f t="shared" ref="M1784:N1784" si="1808">IF(LEN(M$1),COUNTIF($G1784:$J1784,M$1),"")</f>
        <v>0</v>
      </c>
      <c r="N1784" s="7" t="str">
        <f t="shared" si="1808"/>
        <v/>
      </c>
      <c r="O1784" s="7" t="str">
        <f t="shared" si="1028"/>
        <v/>
      </c>
      <c r="P1784" s="7">
        <f t="shared" si="1737"/>
        <v>1</v>
      </c>
      <c r="Q1784" s="7" t="str">
        <f t="shared" si="1738"/>
        <v/>
      </c>
      <c r="T1784" s="7"/>
    </row>
    <row r="1785" ht="12.75" customHeight="1">
      <c r="A1785" s="7">
        <v>1784.0</v>
      </c>
      <c r="B1785" s="7" t="s">
        <v>1828</v>
      </c>
      <c r="C1785" s="7" t="s">
        <v>4852</v>
      </c>
      <c r="D1785" s="7" t="s">
        <v>2314</v>
      </c>
      <c r="E1785" s="7" t="s">
        <v>4758</v>
      </c>
      <c r="F1785" s="7" t="s">
        <v>4877</v>
      </c>
      <c r="G1785" s="7" t="s">
        <v>4387</v>
      </c>
      <c r="H1785" s="7" t="s">
        <v>4416</v>
      </c>
      <c r="I1785" s="7" t="s">
        <v>4371</v>
      </c>
      <c r="J1785" s="7" t="s">
        <v>4384</v>
      </c>
      <c r="K1785" s="7" t="str">
        <f t="shared" si="2"/>
        <v/>
      </c>
      <c r="L1785" s="7" t="str">
        <f t="shared" si="1735"/>
        <v/>
      </c>
      <c r="M1785" s="7">
        <f t="shared" ref="M1785:N1785" si="1809">IF(LEN(M$1),COUNTIF($G1785:$J1785,M$1),"")</f>
        <v>0</v>
      </c>
      <c r="N1785" s="7" t="str">
        <f t="shared" si="1809"/>
        <v/>
      </c>
      <c r="O1785" s="7" t="str">
        <f t="shared" si="1028"/>
        <v/>
      </c>
      <c r="P1785" s="7">
        <f t="shared" si="1737"/>
        <v>1</v>
      </c>
      <c r="Q1785" s="7" t="str">
        <f t="shared" si="1738"/>
        <v/>
      </c>
      <c r="T1785" s="7"/>
    </row>
    <row r="1786" ht="12.75" customHeight="1">
      <c r="A1786" s="7">
        <v>1785.0</v>
      </c>
      <c r="B1786" s="7" t="s">
        <v>1835</v>
      </c>
      <c r="C1786" s="7" t="s">
        <v>4852</v>
      </c>
      <c r="D1786" s="7" t="s">
        <v>1902</v>
      </c>
      <c r="E1786" s="7" t="s">
        <v>2659</v>
      </c>
      <c r="F1786" s="7" t="s">
        <v>4877</v>
      </c>
      <c r="G1786" s="7" t="s">
        <v>4363</v>
      </c>
      <c r="H1786" s="7" t="s">
        <v>4358</v>
      </c>
      <c r="I1786" s="7" t="s">
        <v>4395</v>
      </c>
      <c r="J1786" s="7" t="s">
        <v>4361</v>
      </c>
      <c r="K1786" s="7" t="str">
        <f t="shared" si="2"/>
        <v/>
      </c>
      <c r="L1786" s="7" t="str">
        <f t="shared" si="1735"/>
        <v/>
      </c>
      <c r="M1786" s="7">
        <f t="shared" ref="M1786:N1786" si="1810">IF(LEN(M$1),COUNTIF($G1786:$J1786,M$1),"")</f>
        <v>0</v>
      </c>
      <c r="N1786" s="7" t="str">
        <f t="shared" si="1810"/>
        <v/>
      </c>
      <c r="O1786" s="7" t="str">
        <f t="shared" si="1028"/>
        <v/>
      </c>
      <c r="P1786" s="7">
        <f t="shared" si="1737"/>
        <v>1</v>
      </c>
      <c r="Q1786" s="7" t="str">
        <f t="shared" si="1738"/>
        <v/>
      </c>
      <c r="T1786" s="7"/>
    </row>
    <row r="1787" ht="12.75" customHeight="1">
      <c r="A1787" s="7">
        <v>1786.0</v>
      </c>
      <c r="B1787" s="7" t="s">
        <v>1835</v>
      </c>
      <c r="C1787" s="7" t="s">
        <v>4852</v>
      </c>
      <c r="D1787" s="7" t="s">
        <v>1941</v>
      </c>
      <c r="E1787" s="7" t="s">
        <v>4780</v>
      </c>
      <c r="F1787" s="7" t="s">
        <v>4877</v>
      </c>
      <c r="G1787" s="7" t="s">
        <v>3987</v>
      </c>
      <c r="H1787" s="7" t="s">
        <v>4260</v>
      </c>
      <c r="I1787" s="7" t="s">
        <v>4118</v>
      </c>
      <c r="J1787" s="7" t="s">
        <v>4146</v>
      </c>
      <c r="K1787" s="7" t="str">
        <f t="shared" si="2"/>
        <v/>
      </c>
      <c r="L1787" s="7" t="str">
        <f t="shared" si="1735"/>
        <v/>
      </c>
      <c r="M1787" s="7">
        <f t="shared" ref="M1787:N1787" si="1811">IF(LEN(M$1),COUNTIF($G1787:$J1787,M$1),"")</f>
        <v>0</v>
      </c>
      <c r="N1787" s="7" t="str">
        <f t="shared" si="1811"/>
        <v/>
      </c>
      <c r="O1787" s="7" t="str">
        <f t="shared" si="1028"/>
        <v/>
      </c>
      <c r="P1787" s="7">
        <f t="shared" si="1737"/>
        <v>1</v>
      </c>
      <c r="Q1787" s="7" t="str">
        <f t="shared" si="1738"/>
        <v/>
      </c>
      <c r="T1787" s="7"/>
    </row>
    <row r="1788" ht="12.75" customHeight="1">
      <c r="A1788" s="7">
        <v>1787.0</v>
      </c>
      <c r="B1788" s="7" t="s">
        <v>1835</v>
      </c>
      <c r="C1788" s="7" t="s">
        <v>4852</v>
      </c>
      <c r="D1788" s="7" t="s">
        <v>2133</v>
      </c>
      <c r="E1788" s="7" t="s">
        <v>4756</v>
      </c>
      <c r="F1788" s="7" t="s">
        <v>4877</v>
      </c>
      <c r="G1788" s="7" t="s">
        <v>4092</v>
      </c>
      <c r="H1788" s="7" t="s">
        <v>4145</v>
      </c>
      <c r="I1788" s="7" t="s">
        <v>4088</v>
      </c>
      <c r="J1788" s="7" t="s">
        <v>4254</v>
      </c>
      <c r="K1788" s="7" t="str">
        <f t="shared" si="2"/>
        <v/>
      </c>
      <c r="L1788" s="7" t="str">
        <f t="shared" si="1735"/>
        <v/>
      </c>
      <c r="M1788" s="7">
        <f t="shared" ref="M1788:N1788" si="1812">IF(LEN(M$1),COUNTIF($G1788:$J1788,M$1),"")</f>
        <v>0</v>
      </c>
      <c r="N1788" s="7" t="str">
        <f t="shared" si="1812"/>
        <v/>
      </c>
      <c r="O1788" s="7" t="str">
        <f t="shared" si="1028"/>
        <v/>
      </c>
      <c r="P1788" s="7">
        <f t="shared" si="1737"/>
        <v>1</v>
      </c>
      <c r="Q1788" s="7" t="str">
        <f t="shared" si="1738"/>
        <v/>
      </c>
      <c r="T1788" s="7"/>
    </row>
    <row r="1789" ht="12.75" customHeight="1">
      <c r="A1789" s="7">
        <v>1788.0</v>
      </c>
      <c r="B1789" s="7" t="s">
        <v>1843</v>
      </c>
      <c r="C1789" s="7" t="s">
        <v>3108</v>
      </c>
      <c r="D1789" s="7" t="s">
        <v>1520</v>
      </c>
      <c r="E1789" s="7" t="s">
        <v>4854</v>
      </c>
      <c r="F1789" s="7" t="s">
        <v>4877</v>
      </c>
      <c r="G1789" s="7" t="s">
        <v>4411</v>
      </c>
      <c r="H1789" s="7" t="s">
        <v>4435</v>
      </c>
      <c r="I1789" s="7" t="s">
        <v>4398</v>
      </c>
      <c r="J1789" s="7" t="s">
        <v>4436</v>
      </c>
      <c r="K1789" s="7" t="str">
        <f t="shared" si="2"/>
        <v/>
      </c>
      <c r="L1789" s="7" t="str">
        <f t="shared" si="1735"/>
        <v/>
      </c>
      <c r="M1789" s="7">
        <f t="shared" ref="M1789:N1789" si="1813">IF(LEN(M$1),COUNTIF($G1789:$J1789,M$1),"")</f>
        <v>0</v>
      </c>
      <c r="N1789" s="7" t="str">
        <f t="shared" si="1813"/>
        <v/>
      </c>
      <c r="O1789" s="7" t="str">
        <f t="shared" si="1028"/>
        <v/>
      </c>
      <c r="P1789" s="7">
        <f t="shared" si="1737"/>
        <v>1</v>
      </c>
      <c r="Q1789" s="7" t="str">
        <f t="shared" si="1738"/>
        <v/>
      </c>
      <c r="T1789" s="7"/>
    </row>
    <row r="1790" ht="12.75" customHeight="1">
      <c r="A1790" s="7">
        <v>1789.0</v>
      </c>
      <c r="B1790" s="7" t="s">
        <v>1843</v>
      </c>
      <c r="C1790" s="7" t="s">
        <v>3108</v>
      </c>
      <c r="D1790" s="7" t="s">
        <v>2203</v>
      </c>
      <c r="E1790" s="7" t="s">
        <v>4818</v>
      </c>
      <c r="F1790" s="7" t="s">
        <v>4877</v>
      </c>
      <c r="G1790" s="7" t="s">
        <v>4414</v>
      </c>
      <c r="H1790" s="7" t="s">
        <v>4427</v>
      </c>
      <c r="I1790" s="7" t="s">
        <v>4386</v>
      </c>
      <c r="J1790" s="7" t="s">
        <v>4409</v>
      </c>
      <c r="K1790" s="7" t="str">
        <f t="shared" si="2"/>
        <v/>
      </c>
      <c r="L1790" s="7" t="str">
        <f t="shared" si="1735"/>
        <v/>
      </c>
      <c r="M1790" s="7">
        <f t="shared" ref="M1790:N1790" si="1814">IF(LEN(M$1),COUNTIF($G1790:$J1790,M$1),"")</f>
        <v>0</v>
      </c>
      <c r="N1790" s="7" t="str">
        <f t="shared" si="1814"/>
        <v/>
      </c>
      <c r="O1790" s="7" t="str">
        <f t="shared" si="1028"/>
        <v/>
      </c>
      <c r="P1790" s="7">
        <f t="shared" si="1737"/>
        <v>1</v>
      </c>
      <c r="Q1790" s="7" t="str">
        <f t="shared" si="1738"/>
        <v/>
      </c>
      <c r="T1790" s="7"/>
    </row>
    <row r="1791" ht="12.75" customHeight="1">
      <c r="A1791" s="7">
        <v>1790.0</v>
      </c>
      <c r="B1791" s="7" t="s">
        <v>1851</v>
      </c>
      <c r="C1791" s="7" t="s">
        <v>3108</v>
      </c>
      <c r="D1791" s="7" t="s">
        <v>1874</v>
      </c>
      <c r="E1791" s="7" t="s">
        <v>4782</v>
      </c>
      <c r="F1791" s="7" t="s">
        <v>4877</v>
      </c>
      <c r="G1791" s="7" t="s">
        <v>4237</v>
      </c>
      <c r="H1791" s="7" t="s">
        <v>4195</v>
      </c>
      <c r="I1791" s="7" t="s">
        <v>4131</v>
      </c>
      <c r="J1791" s="7" t="s">
        <v>4173</v>
      </c>
      <c r="K1791" s="7" t="str">
        <f t="shared" si="2"/>
        <v/>
      </c>
      <c r="L1791" s="7" t="str">
        <f t="shared" si="1735"/>
        <v/>
      </c>
      <c r="M1791" s="7">
        <f t="shared" ref="M1791:N1791" si="1815">IF(LEN(M$1),COUNTIF($G1791:$J1791,M$1),"")</f>
        <v>0</v>
      </c>
      <c r="N1791" s="7" t="str">
        <f t="shared" si="1815"/>
        <v/>
      </c>
      <c r="O1791" s="7" t="str">
        <f t="shared" si="1028"/>
        <v/>
      </c>
      <c r="P1791" s="7">
        <f t="shared" si="1737"/>
        <v>1</v>
      </c>
      <c r="Q1791" s="7" t="str">
        <f t="shared" si="1738"/>
        <v/>
      </c>
      <c r="T1791" s="7"/>
    </row>
    <row r="1792" ht="12.75" customHeight="1">
      <c r="A1792" s="7">
        <v>1791.0</v>
      </c>
      <c r="B1792" s="7" t="s">
        <v>1851</v>
      </c>
      <c r="C1792" s="7" t="s">
        <v>3108</v>
      </c>
      <c r="D1792" s="7" t="s">
        <v>1969</v>
      </c>
      <c r="E1792" s="7" t="s">
        <v>4822</v>
      </c>
      <c r="F1792" s="7" t="s">
        <v>4877</v>
      </c>
      <c r="G1792" s="7" t="s">
        <v>4247</v>
      </c>
      <c r="H1792" s="7" t="s">
        <v>4242</v>
      </c>
      <c r="I1792" s="7" t="s">
        <v>3986</v>
      </c>
      <c r="J1792" s="7" t="s">
        <v>4073</v>
      </c>
      <c r="K1792" s="7" t="str">
        <f t="shared" si="2"/>
        <v/>
      </c>
      <c r="L1792" s="7" t="str">
        <f t="shared" si="1735"/>
        <v/>
      </c>
      <c r="M1792" s="7">
        <f t="shared" ref="M1792:N1792" si="1816">IF(LEN(M$1),COUNTIF($G1792:$J1792,M$1),"")</f>
        <v>0</v>
      </c>
      <c r="N1792" s="7" t="str">
        <f t="shared" si="1816"/>
        <v/>
      </c>
      <c r="O1792" s="7" t="str">
        <f t="shared" si="1028"/>
        <v/>
      </c>
      <c r="P1792" s="7">
        <f t="shared" si="1737"/>
        <v>1</v>
      </c>
      <c r="Q1792" s="7" t="str">
        <f t="shared" si="1738"/>
        <v/>
      </c>
      <c r="T1792" s="7"/>
    </row>
    <row r="1793" ht="12.75" customHeight="1">
      <c r="A1793" s="7">
        <v>1792.0</v>
      </c>
      <c r="B1793" s="7" t="s">
        <v>1857</v>
      </c>
      <c r="C1793" s="7" t="s">
        <v>4839</v>
      </c>
      <c r="D1793" s="7" t="s">
        <v>1996</v>
      </c>
      <c r="E1793" s="7" t="s">
        <v>4854</v>
      </c>
      <c r="F1793" s="7" t="s">
        <v>4877</v>
      </c>
      <c r="G1793" s="7" t="s">
        <v>4149</v>
      </c>
      <c r="H1793" s="7" t="s">
        <v>4250</v>
      </c>
      <c r="I1793" s="7" t="s">
        <v>4227</v>
      </c>
      <c r="J1793" s="7" t="s">
        <v>4174</v>
      </c>
      <c r="K1793" s="7" t="str">
        <f t="shared" si="2"/>
        <v/>
      </c>
      <c r="L1793" s="7" t="str">
        <f t="shared" si="1735"/>
        <v/>
      </c>
      <c r="M1793" s="7">
        <f t="shared" ref="M1793:N1793" si="1817">IF(LEN(M$1),COUNTIF($G1793:$J1793,M$1),"")</f>
        <v>0</v>
      </c>
      <c r="N1793" s="7" t="str">
        <f t="shared" si="1817"/>
        <v/>
      </c>
      <c r="O1793" s="7" t="str">
        <f t="shared" si="1028"/>
        <v/>
      </c>
      <c r="P1793" s="7">
        <f t="shared" si="1737"/>
        <v>1</v>
      </c>
      <c r="Q1793" s="7" t="str">
        <f t="shared" si="1738"/>
        <v/>
      </c>
      <c r="T1793" s="7"/>
    </row>
    <row r="1794" ht="12.75" customHeight="1">
      <c r="A1794" s="7">
        <v>1793.0</v>
      </c>
      <c r="B1794" s="7" t="s">
        <v>1857</v>
      </c>
      <c r="C1794" s="7" t="s">
        <v>4839</v>
      </c>
      <c r="D1794" s="7" t="s">
        <v>2133</v>
      </c>
      <c r="E1794" s="7" t="s">
        <v>4756</v>
      </c>
      <c r="F1794" s="7" t="s">
        <v>4877</v>
      </c>
      <c r="G1794" s="7" t="s">
        <v>4058</v>
      </c>
      <c r="H1794" s="7" t="s">
        <v>4216</v>
      </c>
      <c r="I1794" s="7" t="s">
        <v>4009</v>
      </c>
      <c r="J1794" s="7" t="s">
        <v>4257</v>
      </c>
      <c r="K1794" s="7" t="str">
        <f t="shared" si="2"/>
        <v/>
      </c>
      <c r="L1794" s="7" t="str">
        <f t="shared" si="1735"/>
        <v/>
      </c>
      <c r="M1794" s="7">
        <f t="shared" ref="M1794:N1794" si="1818">IF(LEN(M$1),COUNTIF($G1794:$J1794,M$1),"")</f>
        <v>0</v>
      </c>
      <c r="N1794" s="7" t="str">
        <f t="shared" si="1818"/>
        <v/>
      </c>
      <c r="O1794" s="7" t="str">
        <f t="shared" si="1028"/>
        <v/>
      </c>
      <c r="P1794" s="7">
        <f t="shared" si="1737"/>
        <v>1</v>
      </c>
      <c r="Q1794" s="7" t="str">
        <f t="shared" si="1738"/>
        <v/>
      </c>
      <c r="T1794" s="7"/>
    </row>
    <row r="1795" ht="12.75" customHeight="1">
      <c r="A1795" s="7">
        <v>1794.0</v>
      </c>
      <c r="B1795" s="7" t="s">
        <v>1857</v>
      </c>
      <c r="C1795" s="7" t="s">
        <v>4839</v>
      </c>
      <c r="D1795" s="7" t="s">
        <v>2284</v>
      </c>
      <c r="E1795" s="7" t="s">
        <v>4798</v>
      </c>
      <c r="F1795" s="7" t="s">
        <v>4877</v>
      </c>
      <c r="G1795" s="7" t="s">
        <v>4359</v>
      </c>
      <c r="H1795" s="7" t="s">
        <v>4356</v>
      </c>
      <c r="I1795" s="7" t="s">
        <v>4365</v>
      </c>
      <c r="J1795" s="7" t="s">
        <v>4423</v>
      </c>
      <c r="K1795" s="7" t="str">
        <f t="shared" si="2"/>
        <v/>
      </c>
      <c r="L1795" s="7" t="str">
        <f t="shared" si="1735"/>
        <v/>
      </c>
      <c r="M1795" s="7">
        <f t="shared" ref="M1795:N1795" si="1819">IF(LEN(M$1),COUNTIF($G1795:$J1795,M$1),"")</f>
        <v>0</v>
      </c>
      <c r="N1795" s="7" t="str">
        <f t="shared" si="1819"/>
        <v/>
      </c>
      <c r="O1795" s="7" t="str">
        <f t="shared" si="1028"/>
        <v/>
      </c>
      <c r="P1795" s="7">
        <f t="shared" si="1737"/>
        <v>1</v>
      </c>
      <c r="Q1795" s="7" t="str">
        <f t="shared" si="1738"/>
        <v/>
      </c>
      <c r="T1795" s="7"/>
    </row>
    <row r="1796" ht="12.75" customHeight="1">
      <c r="A1796" s="7">
        <v>1795.0</v>
      </c>
      <c r="B1796" s="7" t="s">
        <v>1864</v>
      </c>
      <c r="C1796" s="7" t="s">
        <v>4839</v>
      </c>
      <c r="D1796" s="7" t="s">
        <v>1748</v>
      </c>
      <c r="E1796" s="7" t="s">
        <v>4837</v>
      </c>
      <c r="F1796" s="7" t="s">
        <v>4877</v>
      </c>
      <c r="G1796" s="7" t="s">
        <v>4364</v>
      </c>
      <c r="H1796" s="7" t="s">
        <v>4382</v>
      </c>
      <c r="I1796" s="7" t="s">
        <v>4438</v>
      </c>
      <c r="J1796" s="7" t="s">
        <v>4372</v>
      </c>
      <c r="K1796" s="7" t="str">
        <f t="shared" si="2"/>
        <v/>
      </c>
      <c r="L1796" s="7" t="str">
        <f t="shared" si="1735"/>
        <v/>
      </c>
      <c r="M1796" s="7">
        <f t="shared" ref="M1796:N1796" si="1820">IF(LEN(M$1),COUNTIF($G1796:$J1796,M$1),"")</f>
        <v>0</v>
      </c>
      <c r="N1796" s="7" t="str">
        <f t="shared" si="1820"/>
        <v/>
      </c>
      <c r="O1796" s="7" t="str">
        <f t="shared" si="1028"/>
        <v/>
      </c>
      <c r="P1796" s="7">
        <f t="shared" si="1737"/>
        <v>1</v>
      </c>
      <c r="Q1796" s="7" t="str">
        <f t="shared" si="1738"/>
        <v/>
      </c>
      <c r="T1796" s="7"/>
    </row>
    <row r="1797" ht="12.75" customHeight="1">
      <c r="A1797" s="7">
        <v>1796.0</v>
      </c>
      <c r="B1797" s="7" t="s">
        <v>1864</v>
      </c>
      <c r="C1797" s="7" t="s">
        <v>4839</v>
      </c>
      <c r="D1797" s="7" t="s">
        <v>2059</v>
      </c>
      <c r="E1797" s="7" t="s">
        <v>4815</v>
      </c>
      <c r="F1797" s="7" t="s">
        <v>4877</v>
      </c>
      <c r="G1797" s="7" t="s">
        <v>4426</v>
      </c>
      <c r="H1797" s="7" t="s">
        <v>4422</v>
      </c>
      <c r="I1797" s="7" t="s">
        <v>4423</v>
      </c>
      <c r="J1797" s="7" t="s">
        <v>4433</v>
      </c>
      <c r="K1797" s="7" t="str">
        <f t="shared" si="2"/>
        <v/>
      </c>
      <c r="L1797" s="7" t="str">
        <f t="shared" si="1735"/>
        <v/>
      </c>
      <c r="M1797" s="7">
        <f t="shared" ref="M1797:N1797" si="1821">IF(LEN(M$1),COUNTIF($G1797:$J1797,M$1),"")</f>
        <v>1</v>
      </c>
      <c r="N1797" s="7" t="str">
        <f t="shared" si="1821"/>
        <v/>
      </c>
      <c r="O1797" s="7" t="str">
        <f t="shared" si="1028"/>
        <v/>
      </c>
      <c r="P1797" s="7">
        <f t="shared" si="1737"/>
        <v>1</v>
      </c>
      <c r="Q1797" s="7" t="str">
        <f t="shared" si="1738"/>
        <v>Kristy &amp; Ryne</v>
      </c>
      <c r="T1797" s="7"/>
    </row>
    <row r="1798" ht="12.75" customHeight="1">
      <c r="A1798" s="7">
        <v>1797.0</v>
      </c>
      <c r="B1798" s="7" t="s">
        <v>1864</v>
      </c>
      <c r="C1798" s="7" t="s">
        <v>4839</v>
      </c>
      <c r="D1798" s="7" t="s">
        <v>2308</v>
      </c>
      <c r="E1798" s="7" t="s">
        <v>4801</v>
      </c>
      <c r="F1798" s="7" t="s">
        <v>4877</v>
      </c>
      <c r="G1798" s="7" t="s">
        <v>4238</v>
      </c>
      <c r="H1798" s="7" t="s">
        <v>3981</v>
      </c>
      <c r="I1798" s="7" t="s">
        <v>4110</v>
      </c>
      <c r="J1798" s="7" t="s">
        <v>4191</v>
      </c>
      <c r="K1798" s="7" t="str">
        <f t="shared" si="2"/>
        <v/>
      </c>
      <c r="L1798" s="7" t="str">
        <f t="shared" si="1735"/>
        <v/>
      </c>
      <c r="M1798" s="7">
        <f t="shared" ref="M1798:N1798" si="1822">IF(LEN(M$1),COUNTIF($G1798:$J1798,M$1),"")</f>
        <v>0</v>
      </c>
      <c r="N1798" s="7" t="str">
        <f t="shared" si="1822"/>
        <v/>
      </c>
      <c r="O1798" s="7" t="str">
        <f t="shared" si="1028"/>
        <v/>
      </c>
      <c r="P1798" s="7">
        <f t="shared" si="1737"/>
        <v>1</v>
      </c>
      <c r="Q1798" s="7" t="str">
        <f t="shared" si="1738"/>
        <v/>
      </c>
      <c r="T1798" s="7"/>
    </row>
    <row r="1799" ht="12.75" customHeight="1">
      <c r="A1799" s="7">
        <v>1798.0</v>
      </c>
      <c r="B1799" s="7" t="s">
        <v>346</v>
      </c>
      <c r="C1799" s="7" t="s">
        <v>4827</v>
      </c>
      <c r="D1799" s="7" t="s">
        <v>1800</v>
      </c>
      <c r="E1799" s="7" t="s">
        <v>4841</v>
      </c>
      <c r="F1799" s="7" t="s">
        <v>4877</v>
      </c>
      <c r="G1799" s="7" t="s">
        <v>4408</v>
      </c>
      <c r="H1799" s="7" t="s">
        <v>4389</v>
      </c>
      <c r="I1799" s="7" t="s">
        <v>4427</v>
      </c>
      <c r="J1799" s="7" t="s">
        <v>4355</v>
      </c>
      <c r="K1799" s="7" t="str">
        <f t="shared" si="2"/>
        <v/>
      </c>
      <c r="L1799" s="7" t="str">
        <f t="shared" si="1735"/>
        <v/>
      </c>
      <c r="M1799" s="7">
        <f t="shared" ref="M1799:N1799" si="1823">IF(LEN(M$1),COUNTIF($G1799:$J1799,M$1),"")</f>
        <v>0</v>
      </c>
      <c r="N1799" s="7" t="str">
        <f t="shared" si="1823"/>
        <v/>
      </c>
      <c r="O1799" s="7" t="str">
        <f t="shared" si="1028"/>
        <v/>
      </c>
      <c r="P1799" s="7">
        <f t="shared" si="1737"/>
        <v>1</v>
      </c>
      <c r="Q1799" s="7" t="str">
        <f t="shared" si="1738"/>
        <v/>
      </c>
      <c r="T1799" s="7"/>
    </row>
    <row r="1800" ht="12.75" customHeight="1">
      <c r="A1800" s="7">
        <v>1799.0</v>
      </c>
      <c r="B1800" s="7" t="s">
        <v>346</v>
      </c>
      <c r="C1800" s="7" t="s">
        <v>4827</v>
      </c>
      <c r="D1800" s="7" t="s">
        <v>1996</v>
      </c>
      <c r="E1800" s="7" t="s">
        <v>4854</v>
      </c>
      <c r="F1800" s="7" t="s">
        <v>4877</v>
      </c>
      <c r="G1800" s="7" t="s">
        <v>4158</v>
      </c>
      <c r="H1800" s="7" t="s">
        <v>4006</v>
      </c>
      <c r="I1800" s="7" t="s">
        <v>4133</v>
      </c>
      <c r="J1800" s="7" t="s">
        <v>4126</v>
      </c>
      <c r="K1800" s="7" t="str">
        <f t="shared" si="2"/>
        <v/>
      </c>
      <c r="L1800" s="7" t="str">
        <f t="shared" si="1735"/>
        <v/>
      </c>
      <c r="M1800" s="7">
        <f t="shared" ref="M1800:N1800" si="1824">IF(LEN(M$1),COUNTIF($G1800:$J1800,M$1),"")</f>
        <v>0</v>
      </c>
      <c r="N1800" s="7" t="str">
        <f t="shared" si="1824"/>
        <v/>
      </c>
      <c r="O1800" s="7" t="str">
        <f t="shared" si="1028"/>
        <v/>
      </c>
      <c r="P1800" s="7">
        <f t="shared" si="1737"/>
        <v>1</v>
      </c>
      <c r="Q1800" s="7" t="str">
        <f t="shared" si="1738"/>
        <v/>
      </c>
      <c r="T1800" s="7"/>
    </row>
    <row r="1801" ht="12.75" customHeight="1">
      <c r="A1801" s="7">
        <v>1800.0</v>
      </c>
      <c r="B1801" s="7" t="s">
        <v>1878</v>
      </c>
      <c r="C1801" s="7" t="s">
        <v>4827</v>
      </c>
      <c r="D1801" s="7" t="s">
        <v>2300</v>
      </c>
      <c r="E1801" s="7" t="s">
        <v>4801</v>
      </c>
      <c r="F1801" s="7" t="s">
        <v>4877</v>
      </c>
      <c r="G1801" s="7" t="s">
        <v>4104</v>
      </c>
      <c r="H1801" s="7" t="s">
        <v>4249</v>
      </c>
      <c r="I1801" s="7" t="s">
        <v>4155</v>
      </c>
      <c r="J1801" s="7" t="s">
        <v>4206</v>
      </c>
      <c r="K1801" s="7" t="str">
        <f t="shared" si="2"/>
        <v/>
      </c>
      <c r="L1801" s="7" t="str">
        <f t="shared" si="1735"/>
        <v/>
      </c>
      <c r="M1801" s="7">
        <f t="shared" ref="M1801:N1801" si="1825">IF(LEN(M$1),COUNTIF($G1801:$J1801,M$1),"")</f>
        <v>0</v>
      </c>
      <c r="N1801" s="7" t="str">
        <f t="shared" si="1825"/>
        <v/>
      </c>
      <c r="O1801" s="7" t="str">
        <f t="shared" si="1028"/>
        <v/>
      </c>
      <c r="P1801" s="7">
        <f t="shared" si="1737"/>
        <v>1</v>
      </c>
      <c r="Q1801" s="7" t="str">
        <f t="shared" si="1738"/>
        <v/>
      </c>
      <c r="T1801" s="7"/>
    </row>
    <row r="1802" ht="12.75" customHeight="1">
      <c r="A1802" s="7">
        <v>1801.0</v>
      </c>
      <c r="B1802" s="7" t="s">
        <v>1895</v>
      </c>
      <c r="C1802" s="7" t="s">
        <v>4838</v>
      </c>
      <c r="D1802" s="7" t="s">
        <v>2276</v>
      </c>
      <c r="E1802" s="7" t="s">
        <v>4797</v>
      </c>
      <c r="F1802" s="7" t="s">
        <v>4877</v>
      </c>
      <c r="G1802" s="7" t="s">
        <v>4231</v>
      </c>
      <c r="H1802" s="7" t="s">
        <v>4011</v>
      </c>
      <c r="I1802" s="7" t="s">
        <v>4044</v>
      </c>
      <c r="J1802" s="7" t="s">
        <v>4229</v>
      </c>
      <c r="K1802" s="7" t="str">
        <f t="shared" si="2"/>
        <v/>
      </c>
      <c r="L1802" s="7" t="str">
        <f t="shared" si="1735"/>
        <v/>
      </c>
      <c r="M1802" s="7">
        <f t="shared" ref="M1802:N1802" si="1826">IF(LEN(M$1),COUNTIF($G1802:$J1802,M$1),"")</f>
        <v>0</v>
      </c>
      <c r="N1802" s="7" t="str">
        <f t="shared" si="1826"/>
        <v/>
      </c>
      <c r="O1802" s="7" t="str">
        <f t="shared" si="1028"/>
        <v/>
      </c>
      <c r="P1802" s="7">
        <f t="shared" si="1737"/>
        <v>1</v>
      </c>
      <c r="Q1802" s="7" t="str">
        <f t="shared" si="1738"/>
        <v/>
      </c>
      <c r="T1802" s="7"/>
    </row>
    <row r="1803" ht="12.75" customHeight="1">
      <c r="A1803" s="7">
        <v>1802.0</v>
      </c>
      <c r="B1803" s="7" t="s">
        <v>1895</v>
      </c>
      <c r="C1803" s="7" t="s">
        <v>4838</v>
      </c>
      <c r="D1803" s="7" t="s">
        <v>2284</v>
      </c>
      <c r="E1803" s="7" t="s">
        <v>4798</v>
      </c>
      <c r="F1803" s="7" t="s">
        <v>4877</v>
      </c>
      <c r="G1803" s="7" t="s">
        <v>4252</v>
      </c>
      <c r="H1803" s="7" t="s">
        <v>4009</v>
      </c>
      <c r="I1803" s="7" t="s">
        <v>3982</v>
      </c>
      <c r="J1803" s="7" t="s">
        <v>4015</v>
      </c>
      <c r="K1803" s="7" t="str">
        <f t="shared" si="2"/>
        <v/>
      </c>
      <c r="L1803" s="7" t="str">
        <f t="shared" si="1735"/>
        <v/>
      </c>
      <c r="M1803" s="7">
        <f t="shared" ref="M1803:N1803" si="1827">IF(LEN(M$1),COUNTIF($G1803:$J1803,M$1),"")</f>
        <v>0</v>
      </c>
      <c r="N1803" s="7" t="str">
        <f t="shared" si="1827"/>
        <v/>
      </c>
      <c r="O1803" s="7" t="str">
        <f t="shared" si="1028"/>
        <v/>
      </c>
      <c r="P1803" s="7">
        <f t="shared" si="1737"/>
        <v>1</v>
      </c>
      <c r="Q1803" s="7" t="str">
        <f t="shared" si="1738"/>
        <v/>
      </c>
      <c r="T1803" s="7"/>
    </row>
    <row r="1804" ht="12.75" customHeight="1">
      <c r="A1804" s="7">
        <v>1803.0</v>
      </c>
      <c r="B1804" s="7" t="s">
        <v>1902</v>
      </c>
      <c r="C1804" s="7" t="s">
        <v>2659</v>
      </c>
      <c r="D1804" s="7" t="s">
        <v>1734</v>
      </c>
      <c r="E1804" s="7" t="s">
        <v>4831</v>
      </c>
      <c r="F1804" s="7" t="s">
        <v>4877</v>
      </c>
      <c r="G1804" s="7" t="s">
        <v>4381</v>
      </c>
      <c r="H1804" s="7" t="s">
        <v>4361</v>
      </c>
      <c r="I1804" s="7" t="s">
        <v>4425</v>
      </c>
      <c r="J1804" s="7" t="s">
        <v>4369</v>
      </c>
      <c r="K1804" s="7" t="str">
        <f t="shared" si="2"/>
        <v/>
      </c>
      <c r="L1804" s="7" t="str">
        <f t="shared" si="1735"/>
        <v/>
      </c>
      <c r="M1804" s="7">
        <f t="shared" ref="M1804:N1804" si="1828">IF(LEN(M$1),COUNTIF($G1804:$J1804,M$1),"")</f>
        <v>0</v>
      </c>
      <c r="N1804" s="7" t="str">
        <f t="shared" si="1828"/>
        <v/>
      </c>
      <c r="O1804" s="7" t="str">
        <f t="shared" si="1028"/>
        <v/>
      </c>
      <c r="P1804" s="7">
        <f t="shared" si="1737"/>
        <v>1</v>
      </c>
      <c r="Q1804" s="7" t="str">
        <f t="shared" si="1738"/>
        <v/>
      </c>
      <c r="T1804" s="7"/>
    </row>
    <row r="1805" ht="12.75" customHeight="1">
      <c r="A1805" s="7">
        <v>1804.0</v>
      </c>
      <c r="B1805" s="7" t="s">
        <v>1902</v>
      </c>
      <c r="C1805" s="7" t="s">
        <v>2659</v>
      </c>
      <c r="D1805" s="7" t="s">
        <v>1969</v>
      </c>
      <c r="E1805" s="7" t="s">
        <v>4822</v>
      </c>
      <c r="F1805" s="7" t="s">
        <v>4877</v>
      </c>
      <c r="G1805" s="7" t="s">
        <v>3979</v>
      </c>
      <c r="H1805" s="7" t="s">
        <v>4268</v>
      </c>
      <c r="I1805" s="7" t="s">
        <v>4274</v>
      </c>
      <c r="J1805" s="7" t="s">
        <v>4142</v>
      </c>
      <c r="K1805" s="7" t="str">
        <f t="shared" si="2"/>
        <v/>
      </c>
      <c r="L1805" s="7" t="str">
        <f t="shared" si="1735"/>
        <v/>
      </c>
      <c r="M1805" s="7">
        <f t="shared" ref="M1805:N1805" si="1829">IF(LEN(M$1),COUNTIF($G1805:$J1805,M$1),"")</f>
        <v>0</v>
      </c>
      <c r="N1805" s="7" t="str">
        <f t="shared" si="1829"/>
        <v/>
      </c>
      <c r="O1805" s="7" t="str">
        <f t="shared" si="1028"/>
        <v/>
      </c>
      <c r="P1805" s="7">
        <f t="shared" si="1737"/>
        <v>1</v>
      </c>
      <c r="Q1805" s="7" t="str">
        <f t="shared" si="1738"/>
        <v/>
      </c>
      <c r="T1805" s="7"/>
    </row>
    <row r="1806" ht="12.75" customHeight="1">
      <c r="A1806" s="7">
        <v>1805.0</v>
      </c>
      <c r="B1806" s="7" t="s">
        <v>1911</v>
      </c>
      <c r="C1806" s="7" t="s">
        <v>2659</v>
      </c>
      <c r="D1806" s="7" t="s">
        <v>2089</v>
      </c>
      <c r="E1806" s="7" t="s">
        <v>4812</v>
      </c>
      <c r="F1806" s="7" t="s">
        <v>4877</v>
      </c>
      <c r="G1806" s="7" t="s">
        <v>4208</v>
      </c>
      <c r="H1806" s="7" t="s">
        <v>4195</v>
      </c>
      <c r="I1806" s="7" t="s">
        <v>4131</v>
      </c>
      <c r="J1806" s="7" t="s">
        <v>4180</v>
      </c>
      <c r="K1806" s="7" t="str">
        <f t="shared" si="2"/>
        <v/>
      </c>
      <c r="L1806" s="7" t="str">
        <f t="shared" si="1735"/>
        <v/>
      </c>
      <c r="M1806" s="7">
        <f t="shared" ref="M1806:N1806" si="1830">IF(LEN(M$1),COUNTIF($G1806:$J1806,M$1),"")</f>
        <v>0</v>
      </c>
      <c r="N1806" s="7" t="str">
        <f t="shared" si="1830"/>
        <v/>
      </c>
      <c r="O1806" s="7" t="str">
        <f t="shared" si="1028"/>
        <v/>
      </c>
      <c r="P1806" s="7">
        <f t="shared" si="1737"/>
        <v>1</v>
      </c>
      <c r="Q1806" s="7" t="str">
        <f t="shared" si="1738"/>
        <v/>
      </c>
      <c r="T1806" s="7"/>
    </row>
    <row r="1807" ht="12.75" customHeight="1">
      <c r="A1807" s="7">
        <v>1806.0</v>
      </c>
      <c r="B1807" s="7" t="s">
        <v>1911</v>
      </c>
      <c r="C1807" s="7" t="s">
        <v>2659</v>
      </c>
      <c r="D1807" s="7" t="s">
        <v>2182</v>
      </c>
      <c r="E1807" s="7" t="s">
        <v>4840</v>
      </c>
      <c r="F1807" s="7" t="s">
        <v>4877</v>
      </c>
      <c r="G1807" s="7" t="s">
        <v>3993</v>
      </c>
      <c r="H1807" s="7" t="s">
        <v>4265</v>
      </c>
      <c r="I1807" s="7" t="s">
        <v>4136</v>
      </c>
      <c r="J1807" s="7" t="s">
        <v>4039</v>
      </c>
      <c r="K1807" s="7" t="str">
        <f t="shared" si="2"/>
        <v/>
      </c>
      <c r="L1807" s="7" t="str">
        <f t="shared" si="1735"/>
        <v/>
      </c>
      <c r="M1807" s="7">
        <f t="shared" ref="M1807:N1807" si="1831">IF(LEN(M$1),COUNTIF($G1807:$J1807,M$1),"")</f>
        <v>0</v>
      </c>
      <c r="N1807" s="7" t="str">
        <f t="shared" si="1831"/>
        <v/>
      </c>
      <c r="O1807" s="7" t="str">
        <f t="shared" si="1028"/>
        <v/>
      </c>
      <c r="P1807" s="7">
        <f t="shared" si="1737"/>
        <v>1</v>
      </c>
      <c r="Q1807" s="7" t="str">
        <f t="shared" si="1738"/>
        <v/>
      </c>
      <c r="T1807" s="7"/>
    </row>
    <row r="1808" ht="12.75" customHeight="1">
      <c r="A1808" s="7">
        <v>1807.0</v>
      </c>
      <c r="B1808" s="7" t="s">
        <v>487</v>
      </c>
      <c r="C1808" s="7" t="s">
        <v>2659</v>
      </c>
      <c r="D1808" s="7" t="s">
        <v>1786</v>
      </c>
      <c r="E1808" s="7" t="s">
        <v>4845</v>
      </c>
      <c r="F1808" s="7" t="s">
        <v>4877</v>
      </c>
      <c r="G1808" s="7" t="s">
        <v>4221</v>
      </c>
      <c r="H1808" s="7" t="s">
        <v>4047</v>
      </c>
      <c r="I1808" s="7" t="s">
        <v>4094</v>
      </c>
      <c r="J1808" s="7" t="s">
        <v>4118</v>
      </c>
      <c r="K1808" s="7" t="str">
        <f t="shared" si="2"/>
        <v/>
      </c>
      <c r="L1808" s="7" t="str">
        <f t="shared" si="1735"/>
        <v/>
      </c>
      <c r="M1808" s="7">
        <f t="shared" ref="M1808:N1808" si="1832">IF(LEN(M$1),COUNTIF($G1808:$J1808,M$1),"")</f>
        <v>0</v>
      </c>
      <c r="N1808" s="7" t="str">
        <f t="shared" si="1832"/>
        <v/>
      </c>
      <c r="O1808" s="7" t="str">
        <f t="shared" si="1028"/>
        <v/>
      </c>
      <c r="P1808" s="7">
        <f t="shared" si="1737"/>
        <v>1</v>
      </c>
      <c r="Q1808" s="7" t="str">
        <f t="shared" si="1738"/>
        <v/>
      </c>
      <c r="T1808" s="7"/>
    </row>
    <row r="1809" ht="12.75" customHeight="1">
      <c r="A1809" s="7">
        <v>1808.0</v>
      </c>
      <c r="B1809" s="7" t="s">
        <v>487</v>
      </c>
      <c r="C1809" s="7" t="s">
        <v>2659</v>
      </c>
      <c r="D1809" s="7" t="s">
        <v>1874</v>
      </c>
      <c r="E1809" s="7" t="s">
        <v>4782</v>
      </c>
      <c r="F1809" s="7" t="s">
        <v>4877</v>
      </c>
      <c r="G1809" s="7" t="s">
        <v>4011</v>
      </c>
      <c r="H1809" s="7" t="s">
        <v>4081</v>
      </c>
      <c r="I1809" s="7" t="s">
        <v>4204</v>
      </c>
      <c r="J1809" s="7" t="s">
        <v>4122</v>
      </c>
      <c r="K1809" s="7" t="str">
        <f t="shared" si="2"/>
        <v/>
      </c>
      <c r="L1809" s="7" t="str">
        <f t="shared" si="1735"/>
        <v/>
      </c>
      <c r="M1809" s="7">
        <f t="shared" ref="M1809:N1809" si="1833">IF(LEN(M$1),COUNTIF($G1809:$J1809,M$1),"")</f>
        <v>0</v>
      </c>
      <c r="N1809" s="7" t="str">
        <f t="shared" si="1833"/>
        <v/>
      </c>
      <c r="O1809" s="7" t="str">
        <f t="shared" si="1028"/>
        <v/>
      </c>
      <c r="P1809" s="7">
        <f t="shared" si="1737"/>
        <v>1</v>
      </c>
      <c r="Q1809" s="7" t="str">
        <f t="shared" si="1738"/>
        <v/>
      </c>
      <c r="T1809" s="7"/>
    </row>
    <row r="1810" ht="12.75" customHeight="1">
      <c r="A1810" s="7">
        <v>1809.0</v>
      </c>
      <c r="B1810" s="7" t="s">
        <v>853</v>
      </c>
      <c r="C1810" s="7" t="s">
        <v>2659</v>
      </c>
      <c r="D1810" s="7" t="s">
        <v>547</v>
      </c>
      <c r="E1810" s="7" t="s">
        <v>4845</v>
      </c>
      <c r="F1810" s="7" t="s">
        <v>4877</v>
      </c>
      <c r="G1810" s="7" t="s">
        <v>4417</v>
      </c>
      <c r="H1810" s="7" t="s">
        <v>4412</v>
      </c>
      <c r="I1810" s="7" t="s">
        <v>4362</v>
      </c>
      <c r="J1810" s="7" t="s">
        <v>4425</v>
      </c>
      <c r="K1810" s="7" t="str">
        <f t="shared" si="2"/>
        <v/>
      </c>
      <c r="L1810" s="7" t="str">
        <f t="shared" si="1735"/>
        <v/>
      </c>
      <c r="M1810" s="7">
        <f t="shared" ref="M1810:N1810" si="1834">IF(LEN(M$1),COUNTIF($G1810:$J1810,M$1),"")</f>
        <v>0</v>
      </c>
      <c r="N1810" s="7" t="str">
        <f t="shared" si="1834"/>
        <v/>
      </c>
      <c r="O1810" s="7" t="str">
        <f t="shared" si="1028"/>
        <v/>
      </c>
      <c r="P1810" s="7">
        <f t="shared" si="1737"/>
        <v>1</v>
      </c>
      <c r="Q1810" s="7" t="str">
        <f t="shared" si="1738"/>
        <v/>
      </c>
      <c r="T1810" s="7"/>
    </row>
    <row r="1811" ht="12.75" customHeight="1">
      <c r="A1811" s="7">
        <v>1810.0</v>
      </c>
      <c r="B1811" s="7" t="s">
        <v>853</v>
      </c>
      <c r="C1811" s="7" t="s">
        <v>2659</v>
      </c>
      <c r="D1811" s="7" t="s">
        <v>2005</v>
      </c>
      <c r="E1811" s="7" t="s">
        <v>4854</v>
      </c>
      <c r="F1811" s="7" t="s">
        <v>4877</v>
      </c>
      <c r="G1811" s="7" t="s">
        <v>4191</v>
      </c>
      <c r="H1811" s="7" t="s">
        <v>4110</v>
      </c>
      <c r="I1811" s="7" t="s">
        <v>4168</v>
      </c>
      <c r="J1811" s="7" t="s">
        <v>4064</v>
      </c>
      <c r="K1811" s="7" t="str">
        <f t="shared" si="2"/>
        <v/>
      </c>
      <c r="L1811" s="7" t="str">
        <f t="shared" si="1735"/>
        <v/>
      </c>
      <c r="M1811" s="7">
        <f t="shared" ref="M1811:N1811" si="1835">IF(LEN(M$1),COUNTIF($G1811:$J1811,M$1),"")</f>
        <v>0</v>
      </c>
      <c r="N1811" s="7" t="str">
        <f t="shared" si="1835"/>
        <v/>
      </c>
      <c r="O1811" s="7" t="str">
        <f t="shared" si="1028"/>
        <v/>
      </c>
      <c r="P1811" s="7">
        <f t="shared" si="1737"/>
        <v>1</v>
      </c>
      <c r="Q1811" s="7" t="str">
        <f t="shared" si="1738"/>
        <v/>
      </c>
      <c r="T1811" s="7"/>
    </row>
    <row r="1812" ht="12.75" customHeight="1">
      <c r="A1812" s="7">
        <v>1811.0</v>
      </c>
      <c r="B1812" s="7" t="s">
        <v>853</v>
      </c>
      <c r="C1812" s="7" t="s">
        <v>2659</v>
      </c>
      <c r="D1812" s="7" t="s">
        <v>2146</v>
      </c>
      <c r="E1812" s="7" t="s">
        <v>4795</v>
      </c>
      <c r="F1812" s="7" t="s">
        <v>4877</v>
      </c>
      <c r="G1812" s="7" t="s">
        <v>4018</v>
      </c>
      <c r="H1812" s="7" t="s">
        <v>4067</v>
      </c>
      <c r="I1812" s="7" t="s">
        <v>4128</v>
      </c>
      <c r="J1812" s="7" t="s">
        <v>4088</v>
      </c>
      <c r="K1812" s="7" t="str">
        <f t="shared" si="2"/>
        <v/>
      </c>
      <c r="L1812" s="7" t="str">
        <f t="shared" si="1735"/>
        <v/>
      </c>
      <c r="M1812" s="7">
        <f t="shared" ref="M1812:N1812" si="1836">IF(LEN(M$1),COUNTIF($G1812:$J1812,M$1),"")</f>
        <v>0</v>
      </c>
      <c r="N1812" s="7" t="str">
        <f t="shared" si="1836"/>
        <v/>
      </c>
      <c r="O1812" s="7" t="str">
        <f t="shared" si="1028"/>
        <v/>
      </c>
      <c r="P1812" s="7">
        <f t="shared" si="1737"/>
        <v>1</v>
      </c>
      <c r="Q1812" s="7" t="str">
        <f t="shared" si="1738"/>
        <v/>
      </c>
      <c r="T1812" s="7"/>
    </row>
    <row r="1813" ht="12.75" customHeight="1">
      <c r="A1813" s="7">
        <v>1812.0</v>
      </c>
      <c r="B1813" s="7" t="s">
        <v>1933</v>
      </c>
      <c r="C1813" s="7" t="s">
        <v>4780</v>
      </c>
      <c r="D1813" s="7" t="s">
        <v>2248</v>
      </c>
      <c r="E1813" s="7" t="s">
        <v>4849</v>
      </c>
      <c r="F1813" s="7" t="s">
        <v>4877</v>
      </c>
      <c r="G1813" s="7" t="s">
        <v>4122</v>
      </c>
      <c r="H1813" s="7" t="s">
        <v>4131</v>
      </c>
      <c r="I1813" s="7" t="s">
        <v>3997</v>
      </c>
      <c r="J1813" s="7" t="s">
        <v>4216</v>
      </c>
      <c r="K1813" s="7" t="str">
        <f t="shared" si="2"/>
        <v/>
      </c>
      <c r="L1813" s="7" t="str">
        <f t="shared" si="1735"/>
        <v/>
      </c>
      <c r="M1813" s="7">
        <f t="shared" ref="M1813:N1813" si="1837">IF(LEN(M$1),COUNTIF($G1813:$J1813,M$1),"")</f>
        <v>0</v>
      </c>
      <c r="N1813" s="7" t="str">
        <f t="shared" si="1837"/>
        <v/>
      </c>
      <c r="O1813" s="7" t="str">
        <f t="shared" si="1028"/>
        <v/>
      </c>
      <c r="P1813" s="7">
        <f t="shared" si="1737"/>
        <v>1</v>
      </c>
      <c r="Q1813" s="7" t="str">
        <f t="shared" si="1738"/>
        <v/>
      </c>
      <c r="T1813" s="7"/>
    </row>
    <row r="1814" ht="12.75" customHeight="1">
      <c r="A1814" s="7">
        <v>1813.0</v>
      </c>
      <c r="B1814" s="7" t="s">
        <v>1933</v>
      </c>
      <c r="C1814" s="7" t="s">
        <v>4780</v>
      </c>
      <c r="D1814" s="7" t="s">
        <v>2300</v>
      </c>
      <c r="E1814" s="7" t="s">
        <v>4801</v>
      </c>
      <c r="F1814" s="7" t="s">
        <v>4877</v>
      </c>
      <c r="G1814" s="7" t="s">
        <v>4214</v>
      </c>
      <c r="H1814" s="7" t="s">
        <v>4047</v>
      </c>
      <c r="I1814" s="7" t="s">
        <v>4097</v>
      </c>
      <c r="J1814" s="7" t="s">
        <v>4020</v>
      </c>
      <c r="K1814" s="7" t="str">
        <f t="shared" si="2"/>
        <v/>
      </c>
      <c r="L1814" s="7" t="str">
        <f t="shared" si="1735"/>
        <v/>
      </c>
      <c r="M1814" s="7">
        <f t="shared" ref="M1814:N1814" si="1838">IF(LEN(M$1),COUNTIF($G1814:$J1814,M$1),"")</f>
        <v>0</v>
      </c>
      <c r="N1814" s="7" t="str">
        <f t="shared" si="1838"/>
        <v/>
      </c>
      <c r="O1814" s="7" t="str">
        <f t="shared" si="1028"/>
        <v/>
      </c>
      <c r="P1814" s="7">
        <f t="shared" si="1737"/>
        <v>1</v>
      </c>
      <c r="Q1814" s="7" t="str">
        <f t="shared" si="1738"/>
        <v/>
      </c>
      <c r="T1814" s="7"/>
    </row>
    <row r="1815" ht="12.75" customHeight="1">
      <c r="A1815" s="7">
        <v>1814.0</v>
      </c>
      <c r="B1815" s="7" t="s">
        <v>1941</v>
      </c>
      <c r="C1815" s="7" t="s">
        <v>4780</v>
      </c>
      <c r="D1815" s="7" t="s">
        <v>1673</v>
      </c>
      <c r="E1815" s="7" t="s">
        <v>4778</v>
      </c>
      <c r="F1815" s="7" t="s">
        <v>4877</v>
      </c>
      <c r="G1815" s="7" t="s">
        <v>4166</v>
      </c>
      <c r="H1815" s="7" t="s">
        <v>4261</v>
      </c>
      <c r="I1815" s="7" t="s">
        <v>4189</v>
      </c>
      <c r="J1815" s="7" t="s">
        <v>4057</v>
      </c>
      <c r="K1815" s="7" t="str">
        <f t="shared" si="2"/>
        <v/>
      </c>
      <c r="L1815" s="7" t="str">
        <f t="shared" si="1735"/>
        <v/>
      </c>
      <c r="M1815" s="7">
        <f t="shared" ref="M1815:N1815" si="1839">IF(LEN(M$1),COUNTIF($G1815:$J1815,M$1),"")</f>
        <v>0</v>
      </c>
      <c r="N1815" s="7" t="str">
        <f t="shared" si="1839"/>
        <v/>
      </c>
      <c r="O1815" s="7" t="str">
        <f t="shared" si="1028"/>
        <v/>
      </c>
      <c r="P1815" s="7">
        <f t="shared" si="1737"/>
        <v>1</v>
      </c>
      <c r="Q1815" s="7" t="str">
        <f t="shared" si="1738"/>
        <v/>
      </c>
      <c r="T1815" s="7"/>
    </row>
    <row r="1816" ht="12.75" customHeight="1">
      <c r="A1816" s="7">
        <v>1815.0</v>
      </c>
      <c r="B1816" s="7" t="s">
        <v>1941</v>
      </c>
      <c r="C1816" s="7" t="s">
        <v>4780</v>
      </c>
      <c r="D1816" s="7" t="s">
        <v>1786</v>
      </c>
      <c r="E1816" s="7" t="s">
        <v>4845</v>
      </c>
      <c r="F1816" s="7" t="s">
        <v>4877</v>
      </c>
      <c r="G1816" s="7" t="s">
        <v>4432</v>
      </c>
      <c r="H1816" s="7" t="s">
        <v>4389</v>
      </c>
      <c r="I1816" s="7" t="s">
        <v>4438</v>
      </c>
      <c r="J1816" s="7" t="s">
        <v>4361</v>
      </c>
      <c r="K1816" s="7" t="str">
        <f t="shared" si="2"/>
        <v/>
      </c>
      <c r="L1816" s="7" t="str">
        <f t="shared" si="1735"/>
        <v/>
      </c>
      <c r="M1816" s="7">
        <f t="shared" ref="M1816:N1816" si="1840">IF(LEN(M$1),COUNTIF($G1816:$J1816,M$1),"")</f>
        <v>0</v>
      </c>
      <c r="N1816" s="7" t="str">
        <f t="shared" si="1840"/>
        <v/>
      </c>
      <c r="O1816" s="7" t="str">
        <f t="shared" si="1028"/>
        <v/>
      </c>
      <c r="P1816" s="7">
        <f t="shared" si="1737"/>
        <v>1</v>
      </c>
      <c r="Q1816" s="7" t="str">
        <f t="shared" si="1738"/>
        <v/>
      </c>
      <c r="T1816" s="7"/>
    </row>
    <row r="1817" ht="12.75" customHeight="1">
      <c r="A1817" s="7">
        <v>1816.0</v>
      </c>
      <c r="B1817" s="7" t="s">
        <v>1948</v>
      </c>
      <c r="C1817" s="7" t="s">
        <v>4782</v>
      </c>
      <c r="D1817" s="7" t="s">
        <v>1886</v>
      </c>
      <c r="E1817" s="7" t="s">
        <v>4838</v>
      </c>
      <c r="F1817" s="7" t="s">
        <v>4877</v>
      </c>
      <c r="G1817" s="7" t="s">
        <v>4254</v>
      </c>
      <c r="H1817" s="7" t="s">
        <v>4225</v>
      </c>
      <c r="I1817" s="7" t="s">
        <v>4238</v>
      </c>
      <c r="J1817" s="7" t="s">
        <v>4051</v>
      </c>
      <c r="K1817" s="7" t="str">
        <f t="shared" si="2"/>
        <v/>
      </c>
      <c r="L1817" s="7" t="str">
        <f t="shared" si="1735"/>
        <v/>
      </c>
      <c r="M1817" s="7">
        <f t="shared" ref="M1817:N1817" si="1841">IF(LEN(M$1),COUNTIF($G1817:$J1817,M$1),"")</f>
        <v>0</v>
      </c>
      <c r="N1817" s="7" t="str">
        <f t="shared" si="1841"/>
        <v/>
      </c>
      <c r="O1817" s="7" t="str">
        <f t="shared" si="1028"/>
        <v/>
      </c>
      <c r="P1817" s="7">
        <f t="shared" si="1737"/>
        <v>1</v>
      </c>
      <c r="Q1817" s="7" t="str">
        <f t="shared" si="1738"/>
        <v/>
      </c>
      <c r="T1817" s="7"/>
    </row>
    <row r="1818" ht="12.75" customHeight="1">
      <c r="A1818" s="7">
        <v>1817.0</v>
      </c>
      <c r="B1818" s="7" t="s">
        <v>1874</v>
      </c>
      <c r="C1818" s="7" t="s">
        <v>4782</v>
      </c>
      <c r="D1818" s="7" t="s">
        <v>2110</v>
      </c>
      <c r="E1818" s="7" t="s">
        <v>4793</v>
      </c>
      <c r="F1818" s="7" t="s">
        <v>4877</v>
      </c>
      <c r="G1818" s="7" t="s">
        <v>4167</v>
      </c>
      <c r="H1818" s="7" t="s">
        <v>4197</v>
      </c>
      <c r="I1818" s="7" t="s">
        <v>4143</v>
      </c>
      <c r="J1818" s="7" t="s">
        <v>4279</v>
      </c>
      <c r="K1818" s="7" t="str">
        <f t="shared" si="2"/>
        <v/>
      </c>
      <c r="L1818" s="7" t="str">
        <f t="shared" si="1735"/>
        <v/>
      </c>
      <c r="M1818" s="7">
        <f t="shared" ref="M1818:N1818" si="1842">IF(LEN(M$1),COUNTIF($G1818:$J1818,M$1),"")</f>
        <v>0</v>
      </c>
      <c r="N1818" s="7" t="str">
        <f t="shared" si="1842"/>
        <v/>
      </c>
      <c r="O1818" s="7" t="str">
        <f t="shared" si="1028"/>
        <v/>
      </c>
      <c r="P1818" s="7">
        <f t="shared" si="1737"/>
        <v>1</v>
      </c>
      <c r="Q1818" s="7" t="str">
        <f t="shared" si="1738"/>
        <v/>
      </c>
      <c r="T1818" s="7"/>
    </row>
    <row r="1819" ht="12.75" customHeight="1">
      <c r="A1819" s="7">
        <v>1818.0</v>
      </c>
      <c r="B1819" s="7" t="s">
        <v>1874</v>
      </c>
      <c r="C1819" s="7" t="s">
        <v>4782</v>
      </c>
      <c r="D1819" s="7" t="s">
        <v>2284</v>
      </c>
      <c r="E1819" s="7" t="s">
        <v>4798</v>
      </c>
      <c r="F1819" s="7" t="s">
        <v>4877</v>
      </c>
      <c r="G1819" s="7" t="s">
        <v>4417</v>
      </c>
      <c r="H1819" s="7" t="s">
        <v>4437</v>
      </c>
      <c r="I1819" s="7" t="s">
        <v>4374</v>
      </c>
      <c r="J1819" s="7" t="s">
        <v>4367</v>
      </c>
      <c r="K1819" s="7" t="str">
        <f t="shared" si="2"/>
        <v/>
      </c>
      <c r="L1819" s="7" t="str">
        <f t="shared" si="1735"/>
        <v/>
      </c>
      <c r="M1819" s="7">
        <f t="shared" ref="M1819:N1819" si="1843">IF(LEN(M$1),COUNTIF($G1819:$J1819,M$1),"")</f>
        <v>0</v>
      </c>
      <c r="N1819" s="7" t="str">
        <f t="shared" si="1843"/>
        <v/>
      </c>
      <c r="O1819" s="7" t="str">
        <f t="shared" si="1028"/>
        <v/>
      </c>
      <c r="P1819" s="7">
        <f t="shared" si="1737"/>
        <v>1</v>
      </c>
      <c r="Q1819" s="7" t="str">
        <f t="shared" si="1738"/>
        <v/>
      </c>
      <c r="T1819" s="7"/>
    </row>
    <row r="1820" ht="12.75" customHeight="1">
      <c r="A1820" s="7">
        <v>1819.0</v>
      </c>
      <c r="B1820" s="7" t="s">
        <v>1874</v>
      </c>
      <c r="C1820" s="7" t="s">
        <v>4782</v>
      </c>
      <c r="D1820" s="7" t="s">
        <v>2308</v>
      </c>
      <c r="E1820" s="7" t="s">
        <v>4801</v>
      </c>
      <c r="F1820" s="7" t="s">
        <v>4877</v>
      </c>
      <c r="G1820" s="7" t="s">
        <v>4374</v>
      </c>
      <c r="H1820" s="7" t="s">
        <v>4412</v>
      </c>
      <c r="I1820" s="7" t="s">
        <v>4421</v>
      </c>
      <c r="J1820" s="7" t="s">
        <v>4439</v>
      </c>
      <c r="K1820" s="7" t="str">
        <f t="shared" si="2"/>
        <v/>
      </c>
      <c r="L1820" s="7" t="str">
        <f t="shared" si="1735"/>
        <v/>
      </c>
      <c r="M1820" s="7">
        <f t="shared" ref="M1820:N1820" si="1844">IF(LEN(M$1),COUNTIF($G1820:$J1820,M$1),"")</f>
        <v>0</v>
      </c>
      <c r="N1820" s="7" t="str">
        <f t="shared" si="1844"/>
        <v/>
      </c>
      <c r="O1820" s="7" t="str">
        <f t="shared" si="1028"/>
        <v/>
      </c>
      <c r="P1820" s="7">
        <f t="shared" si="1737"/>
        <v>1</v>
      </c>
      <c r="Q1820" s="7" t="str">
        <f t="shared" si="1738"/>
        <v/>
      </c>
      <c r="T1820" s="7"/>
    </row>
    <row r="1821" ht="12.75" customHeight="1">
      <c r="A1821" s="7">
        <v>1820.0</v>
      </c>
      <c r="B1821" s="7" t="s">
        <v>1962</v>
      </c>
      <c r="C1821" s="7" t="s">
        <v>4822</v>
      </c>
      <c r="D1821" s="7" t="s">
        <v>1703</v>
      </c>
      <c r="E1821" s="7" t="s">
        <v>4820</v>
      </c>
      <c r="F1821" s="7" t="s">
        <v>4877</v>
      </c>
      <c r="G1821" s="7" t="s">
        <v>4167</v>
      </c>
      <c r="H1821" s="7" t="s">
        <v>4216</v>
      </c>
      <c r="I1821" s="7" t="s">
        <v>3977</v>
      </c>
      <c r="J1821" s="7" t="s">
        <v>4111</v>
      </c>
      <c r="K1821" s="7" t="str">
        <f t="shared" si="2"/>
        <v/>
      </c>
      <c r="L1821" s="7" t="str">
        <f t="shared" si="1735"/>
        <v/>
      </c>
      <c r="M1821" s="7">
        <f t="shared" ref="M1821:N1821" si="1845">IF(LEN(M$1),COUNTIF($G1821:$J1821,M$1),"")</f>
        <v>0</v>
      </c>
      <c r="N1821" s="7" t="str">
        <f t="shared" si="1845"/>
        <v/>
      </c>
      <c r="O1821" s="7" t="str">
        <f t="shared" si="1028"/>
        <v/>
      </c>
      <c r="P1821" s="7">
        <f t="shared" si="1737"/>
        <v>1</v>
      </c>
      <c r="Q1821" s="7" t="str">
        <f t="shared" si="1738"/>
        <v/>
      </c>
      <c r="T1821" s="7"/>
    </row>
    <row r="1822" ht="12.75" customHeight="1">
      <c r="A1822" s="7">
        <v>1821.0</v>
      </c>
      <c r="B1822" s="7" t="s">
        <v>1969</v>
      </c>
      <c r="C1822" s="7" t="s">
        <v>4822</v>
      </c>
      <c r="D1822" s="7" t="s">
        <v>1726</v>
      </c>
      <c r="E1822" s="7" t="s">
        <v>4831</v>
      </c>
      <c r="F1822" s="7" t="s">
        <v>4877</v>
      </c>
      <c r="G1822" s="7" t="s">
        <v>3982</v>
      </c>
      <c r="H1822" s="7" t="s">
        <v>4079</v>
      </c>
      <c r="I1822" s="7" t="s">
        <v>3987</v>
      </c>
      <c r="J1822" s="7" t="s">
        <v>4055</v>
      </c>
      <c r="K1822" s="7" t="str">
        <f t="shared" si="2"/>
        <v/>
      </c>
      <c r="L1822" s="7" t="str">
        <f t="shared" si="1735"/>
        <v/>
      </c>
      <c r="M1822" s="7">
        <f t="shared" ref="M1822:N1822" si="1846">IF(LEN(M$1),COUNTIF($G1822:$J1822,M$1),"")</f>
        <v>0</v>
      </c>
      <c r="N1822" s="7" t="str">
        <f t="shared" si="1846"/>
        <v/>
      </c>
      <c r="O1822" s="7" t="str">
        <f t="shared" si="1028"/>
        <v/>
      </c>
      <c r="P1822" s="7">
        <f t="shared" si="1737"/>
        <v>1</v>
      </c>
      <c r="Q1822" s="7" t="str">
        <f t="shared" si="1738"/>
        <v/>
      </c>
      <c r="T1822" s="7"/>
    </row>
    <row r="1823" ht="12.75" customHeight="1">
      <c r="A1823" s="7">
        <v>1822.0</v>
      </c>
      <c r="B1823" s="7" t="s">
        <v>1969</v>
      </c>
      <c r="C1823" s="7" t="s">
        <v>4822</v>
      </c>
      <c r="D1823" s="7" t="s">
        <v>1761</v>
      </c>
      <c r="E1823" s="7" t="s">
        <v>4845</v>
      </c>
      <c r="F1823" s="7" t="s">
        <v>4877</v>
      </c>
      <c r="G1823" s="7" t="s">
        <v>4000</v>
      </c>
      <c r="H1823" s="7" t="s">
        <v>4145</v>
      </c>
      <c r="I1823" s="7" t="s">
        <v>4119</v>
      </c>
      <c r="J1823" s="7" t="s">
        <v>4073</v>
      </c>
      <c r="K1823" s="7" t="str">
        <f t="shared" si="2"/>
        <v/>
      </c>
      <c r="L1823" s="7" t="str">
        <f t="shared" si="1735"/>
        <v/>
      </c>
      <c r="M1823" s="7">
        <f t="shared" ref="M1823:N1823" si="1847">IF(LEN(M$1),COUNTIF($G1823:$J1823,M$1),"")</f>
        <v>0</v>
      </c>
      <c r="N1823" s="7" t="str">
        <f t="shared" si="1847"/>
        <v/>
      </c>
      <c r="O1823" s="7" t="str">
        <f t="shared" si="1028"/>
        <v/>
      </c>
      <c r="P1823" s="7">
        <f t="shared" si="1737"/>
        <v>1</v>
      </c>
      <c r="Q1823" s="7" t="str">
        <f t="shared" si="1738"/>
        <v/>
      </c>
      <c r="T1823" s="7"/>
    </row>
    <row r="1824" ht="12.75" customHeight="1">
      <c r="A1824" s="7">
        <v>1823.0</v>
      </c>
      <c r="B1824" s="7" t="s">
        <v>1794</v>
      </c>
      <c r="C1824" s="7" t="s">
        <v>4823</v>
      </c>
      <c r="D1824" s="7" t="s">
        <v>1710</v>
      </c>
      <c r="E1824" s="7" t="s">
        <v>4830</v>
      </c>
      <c r="F1824" s="7" t="s">
        <v>4877</v>
      </c>
      <c r="G1824" s="7" t="s">
        <v>4097</v>
      </c>
      <c r="H1824" s="7" t="s">
        <v>4179</v>
      </c>
      <c r="I1824" s="7" t="s">
        <v>4199</v>
      </c>
      <c r="J1824" s="7" t="s">
        <v>4257</v>
      </c>
      <c r="K1824" s="7" t="str">
        <f t="shared" si="2"/>
        <v/>
      </c>
      <c r="L1824" s="7" t="str">
        <f t="shared" si="1735"/>
        <v/>
      </c>
      <c r="M1824" s="7">
        <f t="shared" ref="M1824:N1824" si="1848">IF(LEN(M$1),COUNTIF($G1824:$J1824,M$1),"")</f>
        <v>0</v>
      </c>
      <c r="N1824" s="7" t="str">
        <f t="shared" si="1848"/>
        <v/>
      </c>
      <c r="O1824" s="7" t="str">
        <f t="shared" si="1028"/>
        <v/>
      </c>
      <c r="P1824" s="7">
        <f t="shared" si="1737"/>
        <v>1</v>
      </c>
      <c r="Q1824" s="7" t="str">
        <f t="shared" si="1738"/>
        <v/>
      </c>
      <c r="T1824" s="7"/>
    </row>
    <row r="1825" ht="12.75" customHeight="1">
      <c r="A1825" s="7">
        <v>1824.0</v>
      </c>
      <c r="B1825" s="7" t="s">
        <v>1794</v>
      </c>
      <c r="C1825" s="7" t="s">
        <v>4823</v>
      </c>
      <c r="D1825" s="7" t="s">
        <v>1902</v>
      </c>
      <c r="E1825" s="7" t="s">
        <v>2659</v>
      </c>
      <c r="F1825" s="7" t="s">
        <v>4877</v>
      </c>
      <c r="G1825" s="7" t="s">
        <v>4205</v>
      </c>
      <c r="H1825" s="7" t="s">
        <v>4175</v>
      </c>
      <c r="I1825" s="7" t="s">
        <v>4076</v>
      </c>
      <c r="J1825" s="7" t="s">
        <v>4135</v>
      </c>
      <c r="K1825" s="7" t="str">
        <f t="shared" si="2"/>
        <v/>
      </c>
      <c r="L1825" s="7" t="str">
        <f t="shared" si="1735"/>
        <v/>
      </c>
      <c r="M1825" s="7">
        <f t="shared" ref="M1825:N1825" si="1849">IF(LEN(M$1),COUNTIF($G1825:$J1825,M$1),"")</f>
        <v>0</v>
      </c>
      <c r="N1825" s="7" t="str">
        <f t="shared" si="1849"/>
        <v/>
      </c>
      <c r="O1825" s="7" t="str">
        <f t="shared" si="1028"/>
        <v/>
      </c>
      <c r="P1825" s="7">
        <f t="shared" si="1737"/>
        <v>1</v>
      </c>
      <c r="Q1825" s="7" t="str">
        <f t="shared" si="1738"/>
        <v/>
      </c>
      <c r="T1825" s="7"/>
    </row>
    <row r="1826" ht="12.75" customHeight="1">
      <c r="A1826" s="7">
        <v>1825.0</v>
      </c>
      <c r="B1826" s="7" t="s">
        <v>1794</v>
      </c>
      <c r="C1826" s="7" t="s">
        <v>4823</v>
      </c>
      <c r="D1826" s="7" t="s">
        <v>2314</v>
      </c>
      <c r="E1826" s="7" t="s">
        <v>4758</v>
      </c>
      <c r="F1826" s="7" t="s">
        <v>4877</v>
      </c>
      <c r="G1826" s="7" t="s">
        <v>4258</v>
      </c>
      <c r="H1826" s="7" t="s">
        <v>3997</v>
      </c>
      <c r="I1826" s="7" t="s">
        <v>4206</v>
      </c>
      <c r="J1826" s="7" t="s">
        <v>4143</v>
      </c>
      <c r="K1826" s="7" t="str">
        <f t="shared" si="2"/>
        <v/>
      </c>
      <c r="L1826" s="7" t="str">
        <f t="shared" si="1735"/>
        <v/>
      </c>
      <c r="M1826" s="7">
        <f t="shared" ref="M1826:N1826" si="1850">IF(LEN(M$1),COUNTIF($G1826:$J1826,M$1),"")</f>
        <v>0</v>
      </c>
      <c r="N1826" s="7" t="str">
        <f t="shared" si="1850"/>
        <v/>
      </c>
      <c r="O1826" s="7" t="str">
        <f t="shared" si="1028"/>
        <v/>
      </c>
      <c r="P1826" s="7">
        <f t="shared" si="1737"/>
        <v>1</v>
      </c>
      <c r="Q1826" s="7" t="str">
        <f t="shared" si="1738"/>
        <v/>
      </c>
      <c r="T1826" s="7"/>
    </row>
    <row r="1827" ht="12.75" customHeight="1">
      <c r="A1827" s="7">
        <v>1826.0</v>
      </c>
      <c r="B1827" s="7" t="s">
        <v>1982</v>
      </c>
      <c r="C1827" s="7" t="s">
        <v>4823</v>
      </c>
      <c r="D1827" s="7" t="s">
        <v>487</v>
      </c>
      <c r="E1827" s="7" t="s">
        <v>2659</v>
      </c>
      <c r="F1827" s="7" t="s">
        <v>4877</v>
      </c>
      <c r="G1827" s="7" t="s">
        <v>4061</v>
      </c>
      <c r="H1827" s="7" t="s">
        <v>4281</v>
      </c>
      <c r="I1827" s="7" t="s">
        <v>4037</v>
      </c>
      <c r="J1827" s="7" t="s">
        <v>4003</v>
      </c>
      <c r="K1827" s="7" t="str">
        <f t="shared" si="2"/>
        <v/>
      </c>
      <c r="L1827" s="7" t="str">
        <f t="shared" si="1735"/>
        <v/>
      </c>
      <c r="M1827" s="7">
        <f t="shared" ref="M1827:N1827" si="1851">IF(LEN(M$1),COUNTIF($G1827:$J1827,M$1),"")</f>
        <v>0</v>
      </c>
      <c r="N1827" s="7" t="str">
        <f t="shared" si="1851"/>
        <v/>
      </c>
      <c r="O1827" s="7" t="str">
        <f t="shared" si="1028"/>
        <v/>
      </c>
      <c r="P1827" s="7">
        <f t="shared" si="1737"/>
        <v>1</v>
      </c>
      <c r="Q1827" s="7" t="str">
        <f t="shared" si="1738"/>
        <v/>
      </c>
      <c r="T1827" s="7"/>
    </row>
    <row r="1828" ht="12.75" customHeight="1">
      <c r="A1828" s="7">
        <v>1827.0</v>
      </c>
      <c r="B1828" s="7" t="s">
        <v>1990</v>
      </c>
      <c r="C1828" s="7" t="s">
        <v>4854</v>
      </c>
      <c r="D1828" s="7" t="s">
        <v>266</v>
      </c>
      <c r="E1828" s="7" t="s">
        <v>4820</v>
      </c>
      <c r="F1828" s="7" t="s">
        <v>4877</v>
      </c>
      <c r="G1828" s="7" t="s">
        <v>4068</v>
      </c>
      <c r="H1828" s="7" t="s">
        <v>4115</v>
      </c>
      <c r="I1828" s="7" t="s">
        <v>4035</v>
      </c>
      <c r="J1828" s="7" t="s">
        <v>4221</v>
      </c>
      <c r="K1828" s="7" t="str">
        <f t="shared" si="2"/>
        <v/>
      </c>
      <c r="L1828" s="7" t="str">
        <f t="shared" si="1735"/>
        <v/>
      </c>
      <c r="M1828" s="7">
        <f t="shared" ref="M1828:N1828" si="1852">IF(LEN(M$1),COUNTIF($G1828:$J1828,M$1),"")</f>
        <v>0</v>
      </c>
      <c r="N1828" s="7" t="str">
        <f t="shared" si="1852"/>
        <v/>
      </c>
      <c r="O1828" s="7" t="str">
        <f t="shared" si="1028"/>
        <v/>
      </c>
      <c r="P1828" s="7">
        <f t="shared" si="1737"/>
        <v>1</v>
      </c>
      <c r="Q1828" s="7" t="str">
        <f t="shared" si="1738"/>
        <v/>
      </c>
      <c r="T1828" s="7"/>
    </row>
    <row r="1829" ht="12.75" customHeight="1">
      <c r="A1829" s="7">
        <v>1828.0</v>
      </c>
      <c r="B1829" s="7" t="s">
        <v>1990</v>
      </c>
      <c r="C1829" s="7" t="s">
        <v>4854</v>
      </c>
      <c r="D1829" s="7" t="s">
        <v>2118</v>
      </c>
      <c r="E1829" s="7" t="s">
        <v>4793</v>
      </c>
      <c r="F1829" s="7" t="s">
        <v>4877</v>
      </c>
      <c r="G1829" s="7" t="s">
        <v>4394</v>
      </c>
      <c r="H1829" s="7" t="s">
        <v>4422</v>
      </c>
      <c r="I1829" s="7" t="s">
        <v>4392</v>
      </c>
      <c r="J1829" s="7" t="s">
        <v>4364</v>
      </c>
      <c r="K1829" s="7" t="str">
        <f t="shared" si="2"/>
        <v/>
      </c>
      <c r="L1829" s="7" t="str">
        <f t="shared" si="1735"/>
        <v/>
      </c>
      <c r="M1829" s="7">
        <f t="shared" ref="M1829:N1829" si="1853">IF(LEN(M$1),COUNTIF($G1829:$J1829,M$1),"")</f>
        <v>1</v>
      </c>
      <c r="N1829" s="7" t="str">
        <f t="shared" si="1853"/>
        <v/>
      </c>
      <c r="O1829" s="7" t="str">
        <f t="shared" si="1028"/>
        <v/>
      </c>
      <c r="P1829" s="7">
        <f t="shared" si="1737"/>
        <v>1</v>
      </c>
      <c r="Q1829" s="7" t="str">
        <f t="shared" si="1738"/>
        <v>Demetri &amp; Titus</v>
      </c>
      <c r="T1829" s="7"/>
    </row>
    <row r="1830" ht="12.75" customHeight="1">
      <c r="A1830" s="7">
        <v>1829.0</v>
      </c>
      <c r="B1830" s="7" t="s">
        <v>1990</v>
      </c>
      <c r="C1830" s="7" t="s">
        <v>4854</v>
      </c>
      <c r="D1830" s="7" t="s">
        <v>2203</v>
      </c>
      <c r="E1830" s="7" t="s">
        <v>4818</v>
      </c>
      <c r="F1830" s="7" t="s">
        <v>4877</v>
      </c>
      <c r="G1830" s="7" t="s">
        <v>4244</v>
      </c>
      <c r="H1830" s="7" t="s">
        <v>4229</v>
      </c>
      <c r="I1830" s="7" t="s">
        <v>4159</v>
      </c>
      <c r="J1830" s="7" t="s">
        <v>4245</v>
      </c>
      <c r="K1830" s="7" t="str">
        <f t="shared" si="2"/>
        <v/>
      </c>
      <c r="L1830" s="7" t="str">
        <f t="shared" si="1735"/>
        <v/>
      </c>
      <c r="M1830" s="7">
        <f t="shared" ref="M1830:N1830" si="1854">IF(LEN(M$1),COUNTIF($G1830:$J1830,M$1),"")</f>
        <v>0</v>
      </c>
      <c r="N1830" s="7" t="str">
        <f t="shared" si="1854"/>
        <v/>
      </c>
      <c r="O1830" s="7" t="str">
        <f t="shared" si="1028"/>
        <v/>
      </c>
      <c r="P1830" s="7">
        <f t="shared" si="1737"/>
        <v>1</v>
      </c>
      <c r="Q1830" s="7" t="str">
        <f t="shared" si="1738"/>
        <v/>
      </c>
      <c r="T1830" s="7"/>
    </row>
    <row r="1831" ht="12.75" customHeight="1">
      <c r="A1831" s="7">
        <v>1830.0</v>
      </c>
      <c r="B1831" s="7" t="s">
        <v>1996</v>
      </c>
      <c r="C1831" s="7" t="s">
        <v>4854</v>
      </c>
      <c r="D1831" s="7" t="s">
        <v>2110</v>
      </c>
      <c r="E1831" s="7" t="s">
        <v>4793</v>
      </c>
      <c r="F1831" s="7" t="s">
        <v>4877</v>
      </c>
      <c r="G1831" s="7" t="s">
        <v>4422</v>
      </c>
      <c r="H1831" s="7" t="s">
        <v>4430</v>
      </c>
      <c r="I1831" s="7" t="s">
        <v>4409</v>
      </c>
      <c r="J1831" s="7" t="s">
        <v>4437</v>
      </c>
      <c r="K1831" s="7" t="str">
        <f t="shared" si="2"/>
        <v/>
      </c>
      <c r="L1831" s="7" t="str">
        <f t="shared" si="1735"/>
        <v/>
      </c>
      <c r="M1831" s="7">
        <f t="shared" ref="M1831:N1831" si="1855">IF(LEN(M$1),COUNTIF($G1831:$J1831,M$1),"")</f>
        <v>1</v>
      </c>
      <c r="N1831" s="7" t="str">
        <f t="shared" si="1855"/>
        <v/>
      </c>
      <c r="O1831" s="7" t="str">
        <f t="shared" si="1028"/>
        <v/>
      </c>
      <c r="P1831" s="7">
        <f t="shared" si="1737"/>
        <v>1</v>
      </c>
      <c r="Q1831" s="7" t="str">
        <f t="shared" si="1738"/>
        <v>Lyle &amp; Jaylin</v>
      </c>
      <c r="T1831" s="7"/>
    </row>
    <row r="1832" ht="12.75" customHeight="1">
      <c r="A1832" s="7">
        <v>1831.0</v>
      </c>
      <c r="B1832" s="7" t="s">
        <v>1996</v>
      </c>
      <c r="C1832" s="7" t="s">
        <v>4854</v>
      </c>
      <c r="D1832" s="7" t="s">
        <v>885</v>
      </c>
      <c r="E1832" s="7" t="s">
        <v>4809</v>
      </c>
      <c r="F1832" s="7" t="s">
        <v>4877</v>
      </c>
      <c r="G1832" s="7" t="s">
        <v>3978</v>
      </c>
      <c r="H1832" s="7" t="s">
        <v>4194</v>
      </c>
      <c r="I1832" s="7" t="s">
        <v>4117</v>
      </c>
      <c r="J1832" s="7" t="s">
        <v>4057</v>
      </c>
      <c r="K1832" s="7" t="str">
        <f t="shared" si="2"/>
        <v/>
      </c>
      <c r="L1832" s="7" t="str">
        <f t="shared" si="1735"/>
        <v/>
      </c>
      <c r="M1832" s="7">
        <f t="shared" ref="M1832:N1832" si="1856">IF(LEN(M$1),COUNTIF($G1832:$J1832,M$1),"")</f>
        <v>0</v>
      </c>
      <c r="N1832" s="7" t="str">
        <f t="shared" si="1856"/>
        <v/>
      </c>
      <c r="O1832" s="7" t="str">
        <f t="shared" si="1028"/>
        <v/>
      </c>
      <c r="P1832" s="7">
        <f t="shared" si="1737"/>
        <v>1</v>
      </c>
      <c r="Q1832" s="7" t="str">
        <f t="shared" si="1738"/>
        <v/>
      </c>
      <c r="T1832" s="7"/>
    </row>
    <row r="1833" ht="12.75" customHeight="1">
      <c r="A1833" s="7">
        <v>1832.0</v>
      </c>
      <c r="B1833" s="7" t="s">
        <v>2005</v>
      </c>
      <c r="C1833" s="7" t="s">
        <v>4854</v>
      </c>
      <c r="D1833" s="7" t="s">
        <v>1857</v>
      </c>
      <c r="E1833" s="7" t="s">
        <v>4839</v>
      </c>
      <c r="F1833" s="7" t="s">
        <v>4877</v>
      </c>
      <c r="G1833" s="7" t="s">
        <v>4359</v>
      </c>
      <c r="H1833" s="7" t="s">
        <v>4406</v>
      </c>
      <c r="I1833" s="7" t="s">
        <v>4365</v>
      </c>
      <c r="J1833" s="7" t="s">
        <v>4412</v>
      </c>
      <c r="K1833" s="7" t="str">
        <f t="shared" si="2"/>
        <v/>
      </c>
      <c r="L1833" s="7" t="str">
        <f t="shared" si="1735"/>
        <v/>
      </c>
      <c r="M1833" s="7">
        <f t="shared" ref="M1833:N1833" si="1857">IF(LEN(M$1),COUNTIF($G1833:$J1833,M$1),"")</f>
        <v>0</v>
      </c>
      <c r="N1833" s="7" t="str">
        <f t="shared" si="1857"/>
        <v/>
      </c>
      <c r="O1833" s="7" t="str">
        <f t="shared" si="1028"/>
        <v/>
      </c>
      <c r="P1833" s="7">
        <f t="shared" si="1737"/>
        <v>1</v>
      </c>
      <c r="Q1833" s="7" t="str">
        <f t="shared" si="1738"/>
        <v/>
      </c>
      <c r="T1833" s="7"/>
    </row>
    <row r="1834" ht="12.75" customHeight="1">
      <c r="A1834" s="7">
        <v>1833.0</v>
      </c>
      <c r="B1834" s="7" t="s">
        <v>2005</v>
      </c>
      <c r="C1834" s="7" t="s">
        <v>4854</v>
      </c>
      <c r="D1834" s="7" t="s">
        <v>1878</v>
      </c>
      <c r="E1834" s="7" t="s">
        <v>4827</v>
      </c>
      <c r="F1834" s="7" t="s">
        <v>4877</v>
      </c>
      <c r="G1834" s="7" t="s">
        <v>4133</v>
      </c>
      <c r="H1834" s="7" t="s">
        <v>4167</v>
      </c>
      <c r="I1834" s="7" t="s">
        <v>4039</v>
      </c>
      <c r="J1834" s="7" t="s">
        <v>4159</v>
      </c>
      <c r="K1834" s="7" t="str">
        <f t="shared" si="2"/>
        <v/>
      </c>
      <c r="L1834" s="7" t="str">
        <f t="shared" si="1735"/>
        <v/>
      </c>
      <c r="M1834" s="7">
        <f t="shared" ref="M1834:N1834" si="1858">IF(LEN(M$1),COUNTIF($G1834:$J1834,M$1),"")</f>
        <v>0</v>
      </c>
      <c r="N1834" s="7" t="str">
        <f t="shared" si="1858"/>
        <v/>
      </c>
      <c r="O1834" s="7" t="str">
        <f t="shared" si="1028"/>
        <v/>
      </c>
      <c r="P1834" s="7">
        <f t="shared" si="1737"/>
        <v>1</v>
      </c>
      <c r="Q1834" s="7" t="str">
        <f t="shared" si="1738"/>
        <v/>
      </c>
      <c r="T1834" s="7"/>
    </row>
    <row r="1835" ht="12.75" customHeight="1">
      <c r="A1835" s="7">
        <v>1834.0</v>
      </c>
      <c r="B1835" s="7" t="s">
        <v>1520</v>
      </c>
      <c r="C1835" s="7" t="s">
        <v>4854</v>
      </c>
      <c r="D1835" s="7" t="s">
        <v>1778</v>
      </c>
      <c r="E1835" s="7" t="s">
        <v>4837</v>
      </c>
      <c r="F1835" s="7" t="s">
        <v>4877</v>
      </c>
      <c r="G1835" s="7" t="s">
        <v>4201</v>
      </c>
      <c r="H1835" s="7" t="s">
        <v>4177</v>
      </c>
      <c r="I1835" s="7" t="s">
        <v>4139</v>
      </c>
      <c r="J1835" s="7" t="s">
        <v>4255</v>
      </c>
      <c r="K1835" s="7" t="str">
        <f t="shared" si="2"/>
        <v/>
      </c>
      <c r="L1835" s="7" t="str">
        <f t="shared" si="1735"/>
        <v/>
      </c>
      <c r="M1835" s="7">
        <f t="shared" ref="M1835:N1835" si="1859">IF(LEN(M$1),COUNTIF($G1835:$J1835,M$1),"")</f>
        <v>0</v>
      </c>
      <c r="N1835" s="7" t="str">
        <f t="shared" si="1859"/>
        <v/>
      </c>
      <c r="O1835" s="7" t="str">
        <f t="shared" si="1028"/>
        <v/>
      </c>
      <c r="P1835" s="7">
        <f t="shared" si="1737"/>
        <v>1</v>
      </c>
      <c r="Q1835" s="7" t="str">
        <f t="shared" si="1738"/>
        <v/>
      </c>
      <c r="T1835" s="7"/>
    </row>
    <row r="1836" ht="12.75" customHeight="1">
      <c r="A1836" s="7">
        <v>1835.0</v>
      </c>
      <c r="B1836" s="7" t="s">
        <v>1520</v>
      </c>
      <c r="C1836" s="7" t="s">
        <v>4854</v>
      </c>
      <c r="D1836" s="7" t="s">
        <v>2125</v>
      </c>
      <c r="E1836" s="7" t="s">
        <v>4756</v>
      </c>
      <c r="F1836" s="7" t="s">
        <v>4877</v>
      </c>
      <c r="G1836" s="7" t="s">
        <v>4416</v>
      </c>
      <c r="H1836" s="7" t="s">
        <v>4390</v>
      </c>
      <c r="I1836" s="7" t="s">
        <v>4369</v>
      </c>
      <c r="J1836" s="7" t="s">
        <v>4366</v>
      </c>
      <c r="K1836" s="7" t="str">
        <f t="shared" si="2"/>
        <v/>
      </c>
      <c r="L1836" s="7" t="str">
        <f t="shared" si="1735"/>
        <v/>
      </c>
      <c r="M1836" s="7">
        <f t="shared" ref="M1836:N1836" si="1860">IF(LEN(M$1),COUNTIF($G1836:$J1836,M$1),"")</f>
        <v>0</v>
      </c>
      <c r="N1836" s="7" t="str">
        <f t="shared" si="1860"/>
        <v/>
      </c>
      <c r="O1836" s="7" t="str">
        <f t="shared" si="1028"/>
        <v/>
      </c>
      <c r="P1836" s="7">
        <f t="shared" si="1737"/>
        <v>1</v>
      </c>
      <c r="Q1836" s="7" t="str">
        <f t="shared" si="1738"/>
        <v/>
      </c>
      <c r="T1836" s="7"/>
    </row>
    <row r="1837" ht="12.75" customHeight="1">
      <c r="A1837" s="7">
        <v>1836.0</v>
      </c>
      <c r="B1837" s="7" t="s">
        <v>1520</v>
      </c>
      <c r="C1837" s="7" t="s">
        <v>4854</v>
      </c>
      <c r="D1837" s="7" t="s">
        <v>2174</v>
      </c>
      <c r="E1837" s="7" t="s">
        <v>4829</v>
      </c>
      <c r="F1837" s="7" t="s">
        <v>4877</v>
      </c>
      <c r="G1837" s="7" t="s">
        <v>4054</v>
      </c>
      <c r="H1837" s="7" t="s">
        <v>3972</v>
      </c>
      <c r="I1837" s="7" t="s">
        <v>4209</v>
      </c>
      <c r="J1837" s="7" t="s">
        <v>4113</v>
      </c>
      <c r="K1837" s="7" t="str">
        <f t="shared" si="2"/>
        <v/>
      </c>
      <c r="L1837" s="7" t="str">
        <f t="shared" si="1735"/>
        <v/>
      </c>
      <c r="M1837" s="7">
        <f t="shared" ref="M1837:N1837" si="1861">IF(LEN(M$1),COUNTIF($G1837:$J1837,M$1),"")</f>
        <v>0</v>
      </c>
      <c r="N1837" s="7" t="str">
        <f t="shared" si="1861"/>
        <v/>
      </c>
      <c r="O1837" s="7" t="str">
        <f t="shared" si="1028"/>
        <v/>
      </c>
      <c r="P1837" s="7">
        <f t="shared" si="1737"/>
        <v>1</v>
      </c>
      <c r="Q1837" s="7" t="str">
        <f t="shared" si="1738"/>
        <v/>
      </c>
      <c r="T1837" s="7"/>
    </row>
    <row r="1838" ht="12.75" customHeight="1">
      <c r="A1838" s="7">
        <v>1837.0</v>
      </c>
      <c r="B1838" s="7" t="s">
        <v>2019</v>
      </c>
      <c r="C1838" s="7" t="s">
        <v>4849</v>
      </c>
      <c r="D1838" s="7" t="s">
        <v>2152</v>
      </c>
      <c r="E1838" s="7" t="s">
        <v>4834</v>
      </c>
      <c r="F1838" s="7" t="s">
        <v>4877</v>
      </c>
      <c r="G1838" s="7" t="s">
        <v>4169</v>
      </c>
      <c r="H1838" s="7" t="s">
        <v>4061</v>
      </c>
      <c r="I1838" s="7" t="s">
        <v>4203</v>
      </c>
      <c r="J1838" s="7" t="s">
        <v>4160</v>
      </c>
      <c r="K1838" s="7">
        <f t="shared" si="2"/>
        <v>1837</v>
      </c>
      <c r="L1838" s="7" t="str">
        <f t="shared" si="1735"/>
        <v/>
      </c>
      <c r="M1838" s="7">
        <f t="shared" ref="M1838:N1838" si="1862">IF(LEN(M$1),COUNTIF($G1838:$J1838,M$1),"")</f>
        <v>0</v>
      </c>
      <c r="N1838" s="7" t="str">
        <f t="shared" si="1862"/>
        <v/>
      </c>
      <c r="O1838" s="7" t="str">
        <f t="shared" si="1028"/>
        <v/>
      </c>
      <c r="P1838" s="7">
        <f t="shared" si="1737"/>
        <v>1</v>
      </c>
      <c r="Q1838" s="7" t="str">
        <f t="shared" si="1738"/>
        <v/>
      </c>
      <c r="T1838" s="7"/>
    </row>
    <row r="1839" ht="12.75" customHeight="1">
      <c r="A1839" s="7">
        <v>1838.0</v>
      </c>
      <c r="B1839" s="7" t="s">
        <v>2019</v>
      </c>
      <c r="C1839" s="7" t="s">
        <v>4849</v>
      </c>
      <c r="D1839" s="7" t="s">
        <v>2248</v>
      </c>
      <c r="E1839" s="7" t="s">
        <v>4849</v>
      </c>
      <c r="F1839" s="7" t="s">
        <v>4877</v>
      </c>
      <c r="G1839" s="7" t="s">
        <v>4027</v>
      </c>
      <c r="H1839" s="7" t="s">
        <v>4129</v>
      </c>
      <c r="I1839" s="7" t="s">
        <v>4150</v>
      </c>
      <c r="J1839" s="7" t="s">
        <v>4272</v>
      </c>
      <c r="K1839" s="7">
        <f t="shared" si="2"/>
        <v>1838</v>
      </c>
      <c r="L1839" s="7" t="str">
        <f t="shared" si="1735"/>
        <v/>
      </c>
      <c r="M1839" s="7">
        <f t="shared" ref="M1839:N1839" si="1863">IF(LEN(M$1),COUNTIF($G1839:$J1839,M$1),"")</f>
        <v>0</v>
      </c>
      <c r="N1839" s="7" t="str">
        <f t="shared" si="1863"/>
        <v/>
      </c>
      <c r="O1839" s="7" t="str">
        <f t="shared" si="1028"/>
        <v/>
      </c>
      <c r="P1839" s="7">
        <f t="shared" si="1737"/>
        <v>1</v>
      </c>
      <c r="Q1839" s="7" t="str">
        <f t="shared" si="1738"/>
        <v/>
      </c>
      <c r="T1839" s="7"/>
    </row>
    <row r="1840" ht="12.75" customHeight="1">
      <c r="A1840" s="7">
        <v>1839.0</v>
      </c>
      <c r="B1840" s="7" t="s">
        <v>2026</v>
      </c>
      <c r="C1840" s="7" t="s">
        <v>4849</v>
      </c>
      <c r="D1840" s="7" t="s">
        <v>1902</v>
      </c>
      <c r="E1840" s="7" t="s">
        <v>2659</v>
      </c>
      <c r="F1840" s="7" t="s">
        <v>4877</v>
      </c>
      <c r="G1840" s="7" t="s">
        <v>4187</v>
      </c>
      <c r="H1840" s="7" t="s">
        <v>3999</v>
      </c>
      <c r="I1840" s="7" t="s">
        <v>3970</v>
      </c>
      <c r="J1840" s="7" t="s">
        <v>4050</v>
      </c>
      <c r="K1840" s="7" t="str">
        <f t="shared" si="2"/>
        <v/>
      </c>
      <c r="L1840" s="7" t="str">
        <f t="shared" si="1735"/>
        <v/>
      </c>
      <c r="M1840" s="7">
        <f t="shared" ref="M1840:N1840" si="1864">IF(LEN(M$1),COUNTIF($G1840:$J1840,M$1),"")</f>
        <v>0</v>
      </c>
      <c r="N1840" s="7" t="str">
        <f t="shared" si="1864"/>
        <v/>
      </c>
      <c r="O1840" s="7" t="str">
        <f t="shared" si="1028"/>
        <v/>
      </c>
      <c r="P1840" s="7">
        <f t="shared" si="1737"/>
        <v>1</v>
      </c>
      <c r="Q1840" s="7" t="str">
        <f t="shared" si="1738"/>
        <v/>
      </c>
      <c r="T1840" s="7"/>
    </row>
    <row r="1841" ht="12.75" customHeight="1">
      <c r="A1841" s="7">
        <v>1840.0</v>
      </c>
      <c r="B1841" s="7" t="s">
        <v>2035</v>
      </c>
      <c r="C1841" s="7" t="s">
        <v>4758</v>
      </c>
      <c r="D1841" s="7" t="s">
        <v>2081</v>
      </c>
      <c r="E1841" s="7" t="s">
        <v>4812</v>
      </c>
      <c r="F1841" s="7" t="s">
        <v>4877</v>
      </c>
      <c r="G1841" s="7" t="s">
        <v>4205</v>
      </c>
      <c r="H1841" s="7" t="s">
        <v>4130</v>
      </c>
      <c r="I1841" s="7" t="s">
        <v>4061</v>
      </c>
      <c r="J1841" s="7" t="s">
        <v>4166</v>
      </c>
      <c r="K1841" s="7" t="str">
        <f t="shared" si="2"/>
        <v/>
      </c>
      <c r="L1841" s="7" t="str">
        <f t="shared" si="1735"/>
        <v/>
      </c>
      <c r="M1841" s="7">
        <f t="shared" ref="M1841:N1841" si="1865">IF(LEN(M$1),COUNTIF($G1841:$J1841,M$1),"")</f>
        <v>0</v>
      </c>
      <c r="N1841" s="7" t="str">
        <f t="shared" si="1865"/>
        <v/>
      </c>
      <c r="O1841" s="7" t="str">
        <f t="shared" si="1028"/>
        <v/>
      </c>
      <c r="P1841" s="7">
        <f t="shared" si="1737"/>
        <v>1</v>
      </c>
      <c r="Q1841" s="7" t="str">
        <f t="shared" si="1738"/>
        <v/>
      </c>
      <c r="T1841" s="7"/>
    </row>
    <row r="1842" ht="12.75" customHeight="1">
      <c r="A1842" s="7">
        <v>1841.0</v>
      </c>
      <c r="B1842" s="7" t="s">
        <v>2035</v>
      </c>
      <c r="C1842" s="7" t="s">
        <v>4758</v>
      </c>
      <c r="D1842" s="7" t="s">
        <v>2240</v>
      </c>
      <c r="E1842" s="7" t="s">
        <v>4849</v>
      </c>
      <c r="F1842" s="7" t="s">
        <v>4877</v>
      </c>
      <c r="G1842" s="7" t="s">
        <v>4389</v>
      </c>
      <c r="H1842" s="7" t="s">
        <v>4398</v>
      </c>
      <c r="I1842" s="7" t="s">
        <v>4385</v>
      </c>
      <c r="J1842" s="7" t="s">
        <v>4424</v>
      </c>
      <c r="K1842" s="7" t="str">
        <f t="shared" si="2"/>
        <v/>
      </c>
      <c r="L1842" s="7" t="str">
        <f t="shared" si="1735"/>
        <v/>
      </c>
      <c r="M1842" s="7">
        <f t="shared" ref="M1842:N1842" si="1866">IF(LEN(M$1),COUNTIF($G1842:$J1842,M$1),"")</f>
        <v>0</v>
      </c>
      <c r="N1842" s="7" t="str">
        <f t="shared" si="1866"/>
        <v/>
      </c>
      <c r="O1842" s="7" t="str">
        <f t="shared" si="1028"/>
        <v/>
      </c>
      <c r="P1842" s="7">
        <f t="shared" si="1737"/>
        <v>1</v>
      </c>
      <c r="Q1842" s="7" t="str">
        <f t="shared" si="1738"/>
        <v/>
      </c>
      <c r="T1842" s="7"/>
    </row>
    <row r="1843" ht="12.75" customHeight="1">
      <c r="A1843" s="7">
        <v>1842.0</v>
      </c>
      <c r="B1843" s="7" t="s">
        <v>2035</v>
      </c>
      <c r="C1843" s="7" t="s">
        <v>4758</v>
      </c>
      <c r="D1843" s="7" t="s">
        <v>2255</v>
      </c>
      <c r="E1843" s="7" t="s">
        <v>4809</v>
      </c>
      <c r="F1843" s="7" t="s">
        <v>4877</v>
      </c>
      <c r="G1843" s="7" t="s">
        <v>4267</v>
      </c>
      <c r="H1843" s="7" t="s">
        <v>3988</v>
      </c>
      <c r="I1843" s="7" t="s">
        <v>4051</v>
      </c>
      <c r="J1843" s="7" t="s">
        <v>4106</v>
      </c>
      <c r="K1843" s="7" t="str">
        <f t="shared" si="2"/>
        <v/>
      </c>
      <c r="L1843" s="7" t="str">
        <f t="shared" si="1735"/>
        <v/>
      </c>
      <c r="M1843" s="7">
        <f t="shared" ref="M1843:N1843" si="1867">IF(LEN(M$1),COUNTIF($G1843:$J1843,M$1),"")</f>
        <v>0</v>
      </c>
      <c r="N1843" s="7" t="str">
        <f t="shared" si="1867"/>
        <v/>
      </c>
      <c r="O1843" s="7" t="str">
        <f t="shared" si="1028"/>
        <v/>
      </c>
      <c r="P1843" s="7">
        <f t="shared" si="1737"/>
        <v>1</v>
      </c>
      <c r="Q1843" s="7" t="str">
        <f t="shared" si="1738"/>
        <v/>
      </c>
      <c r="T1843" s="7"/>
    </row>
    <row r="1844" ht="12.75" customHeight="1">
      <c r="A1844" s="7">
        <v>1843.0</v>
      </c>
      <c r="B1844" s="7" t="s">
        <v>2043</v>
      </c>
      <c r="C1844" s="7" t="s">
        <v>4758</v>
      </c>
      <c r="D1844" s="7" t="s">
        <v>2026</v>
      </c>
      <c r="E1844" s="7" t="s">
        <v>4849</v>
      </c>
      <c r="F1844" s="7" t="s">
        <v>4877</v>
      </c>
      <c r="G1844" s="7" t="s">
        <v>4211</v>
      </c>
      <c r="H1844" s="7" t="s">
        <v>4138</v>
      </c>
      <c r="I1844" s="7" t="s">
        <v>3995</v>
      </c>
      <c r="J1844" s="7" t="s">
        <v>3986</v>
      </c>
      <c r="K1844" s="7" t="str">
        <f t="shared" si="2"/>
        <v/>
      </c>
      <c r="L1844" s="7" t="str">
        <f t="shared" si="1735"/>
        <v/>
      </c>
      <c r="M1844" s="7">
        <f t="shared" ref="M1844:N1844" si="1868">IF(LEN(M$1),COUNTIF($G1844:$J1844,M$1),"")</f>
        <v>0</v>
      </c>
      <c r="N1844" s="7" t="str">
        <f t="shared" si="1868"/>
        <v/>
      </c>
      <c r="O1844" s="7" t="str">
        <f t="shared" si="1028"/>
        <v/>
      </c>
      <c r="P1844" s="7">
        <f t="shared" si="1737"/>
        <v>1</v>
      </c>
      <c r="Q1844" s="7" t="str">
        <f t="shared" si="1738"/>
        <v/>
      </c>
      <c r="T1844" s="7"/>
    </row>
    <row r="1845" ht="12.75" customHeight="1">
      <c r="A1845" s="7">
        <v>1844.0</v>
      </c>
      <c r="B1845" s="7" t="s">
        <v>2043</v>
      </c>
      <c r="C1845" s="7" t="s">
        <v>4758</v>
      </c>
      <c r="D1845" s="7" t="s">
        <v>2118</v>
      </c>
      <c r="E1845" s="7" t="s">
        <v>4793</v>
      </c>
      <c r="F1845" s="7" t="s">
        <v>4877</v>
      </c>
      <c r="G1845" s="7" t="s">
        <v>4141</v>
      </c>
      <c r="H1845" s="7" t="s">
        <v>4186</v>
      </c>
      <c r="I1845" s="7" t="s">
        <v>4029</v>
      </c>
      <c r="J1845" s="7" t="s">
        <v>4241</v>
      </c>
      <c r="K1845" s="7" t="str">
        <f t="shared" si="2"/>
        <v/>
      </c>
      <c r="L1845" s="7" t="str">
        <f t="shared" si="1735"/>
        <v/>
      </c>
      <c r="M1845" s="7">
        <f t="shared" ref="M1845:N1845" si="1869">IF(LEN(M$1),COUNTIF($G1845:$J1845,M$1),"")</f>
        <v>0</v>
      </c>
      <c r="N1845" s="7" t="str">
        <f t="shared" si="1869"/>
        <v/>
      </c>
      <c r="O1845" s="7" t="str">
        <f t="shared" si="1028"/>
        <v/>
      </c>
      <c r="P1845" s="7">
        <f t="shared" si="1737"/>
        <v>1</v>
      </c>
      <c r="Q1845" s="7" t="str">
        <f t="shared" si="1738"/>
        <v/>
      </c>
      <c r="T1845" s="7"/>
    </row>
    <row r="1846" ht="12.75" customHeight="1">
      <c r="A1846" s="7">
        <v>1845.0</v>
      </c>
      <c r="B1846" s="7" t="s">
        <v>2043</v>
      </c>
      <c r="C1846" s="7" t="s">
        <v>4758</v>
      </c>
      <c r="D1846" s="7" t="s">
        <v>2189</v>
      </c>
      <c r="E1846" s="7" t="s">
        <v>4840</v>
      </c>
      <c r="F1846" s="7" t="s">
        <v>4877</v>
      </c>
      <c r="G1846" s="7" t="s">
        <v>4375</v>
      </c>
      <c r="H1846" s="7" t="s">
        <v>4365</v>
      </c>
      <c r="I1846" s="7" t="s">
        <v>4424</v>
      </c>
      <c r="J1846" s="7" t="s">
        <v>4416</v>
      </c>
      <c r="K1846" s="7" t="str">
        <f t="shared" si="2"/>
        <v/>
      </c>
      <c r="L1846" s="7" t="str">
        <f t="shared" si="1735"/>
        <v/>
      </c>
      <c r="M1846" s="7">
        <f t="shared" ref="M1846:N1846" si="1870">IF(LEN(M$1),COUNTIF($G1846:$J1846,M$1),"")</f>
        <v>0</v>
      </c>
      <c r="N1846" s="7" t="str">
        <f t="shared" si="1870"/>
        <v/>
      </c>
      <c r="O1846" s="7" t="str">
        <f t="shared" si="1028"/>
        <v/>
      </c>
      <c r="P1846" s="7">
        <f t="shared" si="1737"/>
        <v>1</v>
      </c>
      <c r="Q1846" s="7" t="str">
        <f t="shared" si="1738"/>
        <v/>
      </c>
      <c r="T1846" s="7"/>
    </row>
    <row r="1847" ht="12.75" customHeight="1">
      <c r="A1847" s="7">
        <v>1846.0</v>
      </c>
      <c r="B1847" s="7" t="s">
        <v>2051</v>
      </c>
      <c r="C1847" s="7" t="s">
        <v>4815</v>
      </c>
      <c r="D1847" s="7" t="s">
        <v>1878</v>
      </c>
      <c r="E1847" s="7" t="s">
        <v>4827</v>
      </c>
      <c r="F1847" s="7" t="s">
        <v>4877</v>
      </c>
      <c r="G1847" s="7" t="s">
        <v>3983</v>
      </c>
      <c r="H1847" s="7" t="s">
        <v>4269</v>
      </c>
      <c r="I1847" s="7" t="s">
        <v>4243</v>
      </c>
      <c r="J1847" s="7" t="s">
        <v>4261</v>
      </c>
      <c r="K1847" s="7" t="str">
        <f t="shared" si="2"/>
        <v/>
      </c>
      <c r="L1847" s="7" t="str">
        <f t="shared" si="1735"/>
        <v/>
      </c>
      <c r="M1847" s="7">
        <f t="shared" ref="M1847:N1847" si="1871">IF(LEN(M$1),COUNTIF($G1847:$J1847,M$1),"")</f>
        <v>0</v>
      </c>
      <c r="N1847" s="7" t="str">
        <f t="shared" si="1871"/>
        <v/>
      </c>
      <c r="O1847" s="7" t="str">
        <f t="shared" si="1028"/>
        <v/>
      </c>
      <c r="P1847" s="7">
        <f t="shared" si="1737"/>
        <v>1</v>
      </c>
      <c r="Q1847" s="7" t="str">
        <f t="shared" si="1738"/>
        <v/>
      </c>
      <c r="T1847" s="7"/>
    </row>
    <row r="1848" ht="12.75" customHeight="1">
      <c r="A1848" s="7">
        <v>1847.0</v>
      </c>
      <c r="B1848" s="7" t="s">
        <v>2051</v>
      </c>
      <c r="C1848" s="7" t="s">
        <v>4815</v>
      </c>
      <c r="D1848" s="7" t="s">
        <v>1886</v>
      </c>
      <c r="E1848" s="7" t="s">
        <v>4838</v>
      </c>
      <c r="F1848" s="7" t="s">
        <v>4877</v>
      </c>
      <c r="G1848" s="7" t="s">
        <v>4310</v>
      </c>
      <c r="H1848" s="7" t="s">
        <v>4188</v>
      </c>
      <c r="I1848" s="7" t="s">
        <v>4121</v>
      </c>
      <c r="J1848" s="7" t="s">
        <v>4022</v>
      </c>
      <c r="K1848" s="7" t="str">
        <f t="shared" si="2"/>
        <v/>
      </c>
      <c r="L1848" s="7" t="str">
        <f t="shared" si="1735"/>
        <v/>
      </c>
      <c r="M1848" s="7">
        <f t="shared" ref="M1848:N1848" si="1872">IF(LEN(M$1),COUNTIF($G1848:$J1848,M$1),"")</f>
        <v>0</v>
      </c>
      <c r="N1848" s="7" t="str">
        <f t="shared" si="1872"/>
        <v/>
      </c>
      <c r="O1848" s="7" t="str">
        <f t="shared" si="1028"/>
        <v/>
      </c>
      <c r="P1848" s="7">
        <f t="shared" si="1737"/>
        <v>1</v>
      </c>
      <c r="Q1848" s="7" t="str">
        <f t="shared" si="1738"/>
        <v/>
      </c>
      <c r="T1848" s="7"/>
    </row>
    <row r="1849" ht="12.75" customHeight="1">
      <c r="A1849" s="7">
        <v>1848.0</v>
      </c>
      <c r="B1849" s="7" t="s">
        <v>2051</v>
      </c>
      <c r="C1849" s="7" t="s">
        <v>4815</v>
      </c>
      <c r="D1849" s="7" t="s">
        <v>2059</v>
      </c>
      <c r="E1849" s="7" t="s">
        <v>4815</v>
      </c>
      <c r="F1849" s="7" t="s">
        <v>4877</v>
      </c>
      <c r="G1849" s="7" t="s">
        <v>3990</v>
      </c>
      <c r="H1849" s="7" t="s">
        <v>4037</v>
      </c>
      <c r="I1849" s="7" t="s">
        <v>4162</v>
      </c>
      <c r="J1849" s="7" t="s">
        <v>3975</v>
      </c>
      <c r="K1849" s="7" t="str">
        <f t="shared" si="2"/>
        <v/>
      </c>
      <c r="L1849" s="7" t="str">
        <f t="shared" si="1735"/>
        <v/>
      </c>
      <c r="M1849" s="7">
        <f t="shared" ref="M1849:N1849" si="1873">IF(LEN(M$1),COUNTIF($G1849:$J1849,M$1),"")</f>
        <v>0</v>
      </c>
      <c r="N1849" s="7" t="str">
        <f t="shared" si="1873"/>
        <v/>
      </c>
      <c r="O1849" s="7" t="str">
        <f t="shared" si="1028"/>
        <v/>
      </c>
      <c r="P1849" s="7">
        <f t="shared" si="1737"/>
        <v>1</v>
      </c>
      <c r="Q1849" s="7" t="str">
        <f t="shared" si="1738"/>
        <v/>
      </c>
      <c r="T1849" s="7"/>
    </row>
    <row r="1850" ht="12.75" customHeight="1">
      <c r="A1850" s="7">
        <v>1849.0</v>
      </c>
      <c r="B1850" s="7" t="s">
        <v>2051</v>
      </c>
      <c r="C1850" s="7" t="s">
        <v>4815</v>
      </c>
      <c r="D1850" s="7" t="s">
        <v>2308</v>
      </c>
      <c r="E1850" s="7" t="s">
        <v>4801</v>
      </c>
      <c r="F1850" s="7" t="s">
        <v>4877</v>
      </c>
      <c r="G1850" s="7" t="s">
        <v>4431</v>
      </c>
      <c r="H1850" s="7" t="s">
        <v>4401</v>
      </c>
      <c r="I1850" s="7" t="s">
        <v>4434</v>
      </c>
      <c r="J1850" s="7" t="s">
        <v>4426</v>
      </c>
      <c r="K1850" s="7" t="str">
        <f t="shared" si="2"/>
        <v/>
      </c>
      <c r="L1850" s="7" t="str">
        <f t="shared" si="1735"/>
        <v/>
      </c>
      <c r="M1850" s="7">
        <f t="shared" ref="M1850:N1850" si="1874">IF(LEN(M$1),COUNTIF($G1850:$J1850,M$1),"")</f>
        <v>0</v>
      </c>
      <c r="N1850" s="7" t="str">
        <f t="shared" si="1874"/>
        <v/>
      </c>
      <c r="O1850" s="7" t="str">
        <f t="shared" si="1028"/>
        <v/>
      </c>
      <c r="P1850" s="7">
        <f t="shared" si="1737"/>
        <v>1</v>
      </c>
      <c r="Q1850" s="7" t="str">
        <f t="shared" si="1738"/>
        <v/>
      </c>
      <c r="T1850" s="7"/>
    </row>
    <row r="1851" ht="12.75" customHeight="1">
      <c r="A1851" s="7">
        <v>1850.0</v>
      </c>
      <c r="B1851" s="7" t="s">
        <v>2059</v>
      </c>
      <c r="C1851" s="7" t="s">
        <v>4815</v>
      </c>
      <c r="D1851" s="7" t="s">
        <v>1688</v>
      </c>
      <c r="E1851" s="7" t="s">
        <v>4819</v>
      </c>
      <c r="F1851" s="7" t="s">
        <v>4877</v>
      </c>
      <c r="G1851" s="7" t="s">
        <v>4310</v>
      </c>
      <c r="H1851" s="7" t="s">
        <v>4255</v>
      </c>
      <c r="I1851" s="7" t="s">
        <v>4187</v>
      </c>
      <c r="J1851" s="7" t="s">
        <v>4008</v>
      </c>
      <c r="K1851" s="7" t="str">
        <f t="shared" si="2"/>
        <v/>
      </c>
      <c r="L1851" s="7" t="str">
        <f t="shared" si="1735"/>
        <v/>
      </c>
      <c r="M1851" s="7">
        <f t="shared" ref="M1851:N1851" si="1875">IF(LEN(M$1),COUNTIF($G1851:$J1851,M$1),"")</f>
        <v>0</v>
      </c>
      <c r="N1851" s="7" t="str">
        <f t="shared" si="1875"/>
        <v/>
      </c>
      <c r="O1851" s="7" t="str">
        <f t="shared" si="1028"/>
        <v/>
      </c>
      <c r="P1851" s="7">
        <f t="shared" si="1737"/>
        <v>1</v>
      </c>
      <c r="Q1851" s="7" t="str">
        <f t="shared" si="1738"/>
        <v/>
      </c>
      <c r="T1851" s="7"/>
    </row>
    <row r="1852" ht="12.75" customHeight="1">
      <c r="A1852" s="7">
        <v>1851.0</v>
      </c>
      <c r="B1852" s="7" t="s">
        <v>2059</v>
      </c>
      <c r="C1852" s="7" t="s">
        <v>4815</v>
      </c>
      <c r="D1852" s="7" t="s">
        <v>791</v>
      </c>
      <c r="E1852" s="7" t="s">
        <v>4818</v>
      </c>
      <c r="F1852" s="7" t="s">
        <v>4877</v>
      </c>
      <c r="G1852" s="7" t="s">
        <v>4436</v>
      </c>
      <c r="H1852" s="7" t="s">
        <v>4395</v>
      </c>
      <c r="I1852" s="7" t="s">
        <v>4376</v>
      </c>
      <c r="J1852" s="7" t="s">
        <v>4406</v>
      </c>
      <c r="K1852" s="7" t="str">
        <f t="shared" si="2"/>
        <v/>
      </c>
      <c r="L1852" s="7" t="str">
        <f t="shared" si="1735"/>
        <v/>
      </c>
      <c r="M1852" s="7">
        <f t="shared" ref="M1852:N1852" si="1876">IF(LEN(M$1),COUNTIF($G1852:$J1852,M$1),"")</f>
        <v>0</v>
      </c>
      <c r="N1852" s="7" t="str">
        <f t="shared" si="1876"/>
        <v/>
      </c>
      <c r="O1852" s="7" t="str">
        <f t="shared" si="1028"/>
        <v/>
      </c>
      <c r="P1852" s="7">
        <f t="shared" si="1737"/>
        <v>1</v>
      </c>
      <c r="Q1852" s="7" t="str">
        <f t="shared" si="1738"/>
        <v/>
      </c>
      <c r="T1852" s="7"/>
    </row>
    <row r="1853" ht="12.75" customHeight="1">
      <c r="A1853" s="7">
        <v>1852.0</v>
      </c>
      <c r="B1853" s="7" t="s">
        <v>2059</v>
      </c>
      <c r="C1853" s="7" t="s">
        <v>4815</v>
      </c>
      <c r="D1853" s="7" t="s">
        <v>2210</v>
      </c>
      <c r="E1853" s="7" t="s">
        <v>4832</v>
      </c>
      <c r="F1853" s="7" t="s">
        <v>4877</v>
      </c>
      <c r="G1853" s="7" t="s">
        <v>4404</v>
      </c>
      <c r="H1853" s="7" t="s">
        <v>4358</v>
      </c>
      <c r="I1853" s="7" t="s">
        <v>4405</v>
      </c>
      <c r="J1853" s="7" t="s">
        <v>4392</v>
      </c>
      <c r="K1853" s="7" t="str">
        <f t="shared" si="2"/>
        <v/>
      </c>
      <c r="L1853" s="7" t="str">
        <f t="shared" si="1735"/>
        <v/>
      </c>
      <c r="M1853" s="7">
        <f t="shared" ref="M1853:N1853" si="1877">IF(LEN(M$1),COUNTIF($G1853:$J1853,M$1),"")</f>
        <v>0</v>
      </c>
      <c r="N1853" s="7" t="str">
        <f t="shared" si="1877"/>
        <v/>
      </c>
      <c r="O1853" s="7" t="str">
        <f t="shared" si="1028"/>
        <v/>
      </c>
      <c r="P1853" s="7">
        <f t="shared" si="1737"/>
        <v>1</v>
      </c>
      <c r="Q1853" s="7" t="str">
        <f t="shared" si="1738"/>
        <v/>
      </c>
      <c r="T1853" s="7"/>
    </row>
    <row r="1854" ht="12.75" customHeight="1">
      <c r="A1854" s="7">
        <v>1853.0</v>
      </c>
      <c r="B1854" s="7" t="s">
        <v>2059</v>
      </c>
      <c r="C1854" s="7" t="s">
        <v>4815</v>
      </c>
      <c r="D1854" s="7" t="s">
        <v>2232</v>
      </c>
      <c r="E1854" s="7" t="s">
        <v>4850</v>
      </c>
      <c r="F1854" s="7" t="s">
        <v>4877</v>
      </c>
      <c r="G1854" s="7" t="s">
        <v>4040</v>
      </c>
      <c r="H1854" s="7" t="s">
        <v>4035</v>
      </c>
      <c r="I1854" s="7" t="s">
        <v>4010</v>
      </c>
      <c r="J1854" s="7" t="s">
        <v>4052</v>
      </c>
      <c r="K1854" s="7" t="str">
        <f t="shared" si="2"/>
        <v/>
      </c>
      <c r="L1854" s="7" t="str">
        <f t="shared" si="1735"/>
        <v/>
      </c>
      <c r="M1854" s="7">
        <f t="shared" ref="M1854:N1854" si="1878">IF(LEN(M$1),COUNTIF($G1854:$J1854,M$1),"")</f>
        <v>0</v>
      </c>
      <c r="N1854" s="7" t="str">
        <f t="shared" si="1878"/>
        <v/>
      </c>
      <c r="O1854" s="7" t="str">
        <f t="shared" si="1028"/>
        <v/>
      </c>
      <c r="P1854" s="7">
        <f t="shared" si="1737"/>
        <v>1</v>
      </c>
      <c r="Q1854" s="7" t="str">
        <f t="shared" si="1738"/>
        <v/>
      </c>
      <c r="T1854" s="7"/>
    </row>
    <row r="1855" ht="12.75" customHeight="1">
      <c r="A1855" s="7">
        <v>1854.0</v>
      </c>
      <c r="B1855" s="7" t="s">
        <v>2065</v>
      </c>
      <c r="C1855" s="7" t="s">
        <v>4791</v>
      </c>
      <c r="D1855" s="7" t="s">
        <v>2182</v>
      </c>
      <c r="E1855" s="7" t="s">
        <v>4840</v>
      </c>
      <c r="F1855" s="7" t="s">
        <v>4877</v>
      </c>
      <c r="G1855" s="7" t="s">
        <v>4407</v>
      </c>
      <c r="H1855" s="7" t="s">
        <v>4416</v>
      </c>
      <c r="I1855" s="7" t="s">
        <v>4358</v>
      </c>
      <c r="J1855" s="7" t="s">
        <v>4384</v>
      </c>
      <c r="K1855" s="7" t="str">
        <f t="shared" si="2"/>
        <v/>
      </c>
      <c r="L1855" s="7" t="str">
        <f t="shared" si="1735"/>
        <v/>
      </c>
      <c r="M1855" s="7">
        <f t="shared" ref="M1855:N1855" si="1879">IF(LEN(M$1),COUNTIF($G1855:$J1855,M$1),"")</f>
        <v>0</v>
      </c>
      <c r="N1855" s="7" t="str">
        <f t="shared" si="1879"/>
        <v/>
      </c>
      <c r="O1855" s="7" t="str">
        <f t="shared" si="1028"/>
        <v/>
      </c>
      <c r="P1855" s="7">
        <f t="shared" si="1737"/>
        <v>1</v>
      </c>
      <c r="Q1855" s="7" t="str">
        <f t="shared" si="1738"/>
        <v/>
      </c>
      <c r="T1855" s="7"/>
    </row>
    <row r="1856" ht="12.75" customHeight="1">
      <c r="A1856" s="7">
        <v>1855.0</v>
      </c>
      <c r="B1856" s="7" t="s">
        <v>2073</v>
      </c>
      <c r="C1856" s="7" t="s">
        <v>4791</v>
      </c>
      <c r="D1856" s="7" t="s">
        <v>1770</v>
      </c>
      <c r="E1856" s="7" t="s">
        <v>4837</v>
      </c>
      <c r="F1856" s="7" t="s">
        <v>4877</v>
      </c>
      <c r="G1856" s="7" t="s">
        <v>4034</v>
      </c>
      <c r="H1856" s="7" t="s">
        <v>4275</v>
      </c>
      <c r="I1856" s="7" t="s">
        <v>4278</v>
      </c>
      <c r="J1856" s="7" t="s">
        <v>4276</v>
      </c>
      <c r="K1856" s="7" t="str">
        <f t="shared" si="2"/>
        <v/>
      </c>
      <c r="L1856" s="7" t="str">
        <f t="shared" si="1735"/>
        <v/>
      </c>
      <c r="M1856" s="7">
        <f t="shared" ref="M1856:N1856" si="1880">IF(LEN(M$1),COUNTIF($G1856:$J1856,M$1),"")</f>
        <v>0</v>
      </c>
      <c r="N1856" s="7" t="str">
        <f t="shared" si="1880"/>
        <v/>
      </c>
      <c r="O1856" s="7" t="str">
        <f t="shared" si="1028"/>
        <v/>
      </c>
      <c r="P1856" s="7">
        <f t="shared" si="1737"/>
        <v>1</v>
      </c>
      <c r="Q1856" s="7" t="str">
        <f t="shared" si="1738"/>
        <v/>
      </c>
      <c r="T1856" s="7"/>
    </row>
    <row r="1857" ht="12.75" customHeight="1">
      <c r="A1857" s="7">
        <v>1856.0</v>
      </c>
      <c r="B1857" s="7" t="s">
        <v>2073</v>
      </c>
      <c r="C1857" s="7" t="s">
        <v>4791</v>
      </c>
      <c r="D1857" s="7" t="s">
        <v>1835</v>
      </c>
      <c r="E1857" s="7" t="s">
        <v>4852</v>
      </c>
      <c r="F1857" s="7" t="s">
        <v>4877</v>
      </c>
      <c r="G1857" s="7" t="s">
        <v>4181</v>
      </c>
      <c r="H1857" s="7" t="s">
        <v>4239</v>
      </c>
      <c r="I1857" s="7" t="s">
        <v>4001</v>
      </c>
      <c r="J1857" s="7" t="s">
        <v>4126</v>
      </c>
      <c r="K1857" s="7" t="str">
        <f t="shared" si="2"/>
        <v/>
      </c>
      <c r="L1857" s="7" t="str">
        <f t="shared" si="1735"/>
        <v/>
      </c>
      <c r="M1857" s="7">
        <f t="shared" ref="M1857:N1857" si="1881">IF(LEN(M$1),COUNTIF($G1857:$J1857,M$1),"")</f>
        <v>0</v>
      </c>
      <c r="N1857" s="7" t="str">
        <f t="shared" si="1881"/>
        <v/>
      </c>
      <c r="O1857" s="7" t="str">
        <f t="shared" si="1028"/>
        <v/>
      </c>
      <c r="P1857" s="7">
        <f t="shared" si="1737"/>
        <v>1</v>
      </c>
      <c r="Q1857" s="7" t="str">
        <f t="shared" si="1738"/>
        <v/>
      </c>
      <c r="T1857" s="7"/>
    </row>
    <row r="1858" ht="12.75" customHeight="1">
      <c r="A1858" s="7">
        <v>1857.0</v>
      </c>
      <c r="B1858" s="7" t="s">
        <v>2073</v>
      </c>
      <c r="C1858" s="7" t="s">
        <v>4791</v>
      </c>
      <c r="D1858" s="7" t="s">
        <v>2005</v>
      </c>
      <c r="E1858" s="7" t="s">
        <v>4854</v>
      </c>
      <c r="F1858" s="7" t="s">
        <v>4877</v>
      </c>
      <c r="G1858" s="7" t="s">
        <v>4211</v>
      </c>
      <c r="H1858" s="7" t="s">
        <v>4201</v>
      </c>
      <c r="I1858" s="7" t="s">
        <v>4077</v>
      </c>
      <c r="J1858" s="7" t="s">
        <v>4001</v>
      </c>
      <c r="K1858" s="7" t="str">
        <f t="shared" si="2"/>
        <v/>
      </c>
      <c r="L1858" s="7" t="str">
        <f t="shared" si="1735"/>
        <v/>
      </c>
      <c r="M1858" s="7">
        <f t="shared" ref="M1858:N1858" si="1882">IF(LEN(M$1),COUNTIF($G1858:$J1858,M$1),"")</f>
        <v>0</v>
      </c>
      <c r="N1858" s="7" t="str">
        <f t="shared" si="1882"/>
        <v/>
      </c>
      <c r="O1858" s="7" t="str">
        <f t="shared" si="1028"/>
        <v/>
      </c>
      <c r="P1858" s="7">
        <f t="shared" si="1737"/>
        <v>1</v>
      </c>
      <c r="Q1858" s="7" t="str">
        <f t="shared" si="1738"/>
        <v/>
      </c>
      <c r="T1858" s="7"/>
    </row>
    <row r="1859" ht="12.75" customHeight="1">
      <c r="A1859" s="7">
        <v>1858.0</v>
      </c>
      <c r="B1859" s="7" t="s">
        <v>2073</v>
      </c>
      <c r="C1859" s="7" t="s">
        <v>4791</v>
      </c>
      <c r="D1859" s="7" t="s">
        <v>2174</v>
      </c>
      <c r="E1859" s="7" t="s">
        <v>4829</v>
      </c>
      <c r="F1859" s="7" t="s">
        <v>4877</v>
      </c>
      <c r="G1859" s="7" t="s">
        <v>4106</v>
      </c>
      <c r="H1859" s="7" t="s">
        <v>4185</v>
      </c>
      <c r="I1859" s="7" t="s">
        <v>4122</v>
      </c>
      <c r="J1859" s="7" t="s">
        <v>4256</v>
      </c>
      <c r="K1859" s="7" t="str">
        <f t="shared" si="2"/>
        <v/>
      </c>
      <c r="L1859" s="7" t="str">
        <f t="shared" si="1735"/>
        <v/>
      </c>
      <c r="M1859" s="7">
        <f t="shared" ref="M1859:N1859" si="1883">IF(LEN(M$1),COUNTIF($G1859:$J1859,M$1),"")</f>
        <v>0</v>
      </c>
      <c r="N1859" s="7" t="str">
        <f t="shared" si="1883"/>
        <v/>
      </c>
      <c r="O1859" s="7" t="str">
        <f t="shared" si="1028"/>
        <v/>
      </c>
      <c r="P1859" s="7">
        <f t="shared" si="1737"/>
        <v>1</v>
      </c>
      <c r="Q1859" s="7" t="str">
        <f t="shared" si="1738"/>
        <v/>
      </c>
      <c r="T1859" s="7"/>
    </row>
    <row r="1860" ht="12.75" customHeight="1">
      <c r="A1860" s="7">
        <v>1859.0</v>
      </c>
      <c r="B1860" s="7" t="s">
        <v>2073</v>
      </c>
      <c r="C1860" s="7" t="s">
        <v>4791</v>
      </c>
      <c r="D1860" s="7" t="s">
        <v>2189</v>
      </c>
      <c r="E1860" s="7" t="s">
        <v>4840</v>
      </c>
      <c r="F1860" s="7" t="s">
        <v>4877</v>
      </c>
      <c r="G1860" s="7" t="s">
        <v>4380</v>
      </c>
      <c r="H1860" s="7" t="s">
        <v>4427</v>
      </c>
      <c r="I1860" s="7" t="s">
        <v>4363</v>
      </c>
      <c r="J1860" s="7" t="s">
        <v>4409</v>
      </c>
      <c r="K1860" s="7" t="str">
        <f t="shared" si="2"/>
        <v/>
      </c>
      <c r="L1860" s="7" t="str">
        <f t="shared" si="1735"/>
        <v/>
      </c>
      <c r="M1860" s="7">
        <f t="shared" ref="M1860:N1860" si="1884">IF(LEN(M$1),COUNTIF($G1860:$J1860,M$1),"")</f>
        <v>0</v>
      </c>
      <c r="N1860" s="7" t="str">
        <f t="shared" si="1884"/>
        <v/>
      </c>
      <c r="O1860" s="7" t="str">
        <f t="shared" si="1028"/>
        <v/>
      </c>
      <c r="P1860" s="7">
        <f t="shared" si="1737"/>
        <v>1</v>
      </c>
      <c r="Q1860" s="7" t="str">
        <f t="shared" si="1738"/>
        <v/>
      </c>
      <c r="T1860" s="7"/>
    </row>
    <row r="1861" ht="12.75" customHeight="1">
      <c r="A1861" s="7">
        <v>1860.0</v>
      </c>
      <c r="B1861" s="7" t="s">
        <v>2081</v>
      </c>
      <c r="C1861" s="7" t="s">
        <v>4812</v>
      </c>
      <c r="D1861" s="7" t="s">
        <v>1688</v>
      </c>
      <c r="E1861" s="7" t="s">
        <v>4819</v>
      </c>
      <c r="F1861" s="7" t="s">
        <v>4877</v>
      </c>
      <c r="G1861" s="7" t="s">
        <v>4399</v>
      </c>
      <c r="H1861" s="7" t="s">
        <v>4400</v>
      </c>
      <c r="I1861" s="7" t="s">
        <v>4377</v>
      </c>
      <c r="J1861" s="7" t="s">
        <v>4421</v>
      </c>
      <c r="K1861" s="7" t="str">
        <f t="shared" si="2"/>
        <v/>
      </c>
      <c r="L1861" s="7" t="str">
        <f t="shared" si="1735"/>
        <v/>
      </c>
      <c r="M1861" s="7">
        <f t="shared" ref="M1861:N1861" si="1885">IF(LEN(M$1),COUNTIF($G1861:$J1861,M$1),"")</f>
        <v>0</v>
      </c>
      <c r="N1861" s="7" t="str">
        <f t="shared" si="1885"/>
        <v/>
      </c>
      <c r="O1861" s="7" t="str">
        <f t="shared" si="1028"/>
        <v/>
      </c>
      <c r="P1861" s="7">
        <f t="shared" si="1737"/>
        <v>1</v>
      </c>
      <c r="Q1861" s="7" t="str">
        <f t="shared" si="1738"/>
        <v/>
      </c>
      <c r="T1861" s="7"/>
    </row>
    <row r="1862" ht="12.75" customHeight="1">
      <c r="A1862" s="7">
        <v>1861.0</v>
      </c>
      <c r="B1862" s="7" t="s">
        <v>2081</v>
      </c>
      <c r="C1862" s="7" t="s">
        <v>4812</v>
      </c>
      <c r="D1862" s="7" t="s">
        <v>2019</v>
      </c>
      <c r="E1862" s="7" t="s">
        <v>4849</v>
      </c>
      <c r="F1862" s="7" t="s">
        <v>4877</v>
      </c>
      <c r="G1862" s="7" t="s">
        <v>4192</v>
      </c>
      <c r="H1862" s="7" t="s">
        <v>4050</v>
      </c>
      <c r="I1862" s="7" t="s">
        <v>4190</v>
      </c>
      <c r="J1862" s="7" t="s">
        <v>4055</v>
      </c>
      <c r="K1862" s="7">
        <f t="shared" si="2"/>
        <v>1861</v>
      </c>
      <c r="L1862" s="7" t="str">
        <f t="shared" si="1735"/>
        <v/>
      </c>
      <c r="M1862" s="7">
        <f t="shared" ref="M1862:N1862" si="1886">IF(LEN(M$1),COUNTIF($G1862:$J1862,M$1),"")</f>
        <v>0</v>
      </c>
      <c r="N1862" s="7" t="str">
        <f t="shared" si="1886"/>
        <v/>
      </c>
      <c r="O1862" s="7" t="str">
        <f t="shared" si="1028"/>
        <v/>
      </c>
      <c r="P1862" s="7">
        <f t="shared" si="1737"/>
        <v>1</v>
      </c>
      <c r="Q1862" s="7" t="str">
        <f t="shared" si="1738"/>
        <v/>
      </c>
      <c r="T1862" s="7"/>
    </row>
    <row r="1863" ht="12.75" customHeight="1">
      <c r="A1863" s="7">
        <v>1862.0</v>
      </c>
      <c r="B1863" s="7" t="s">
        <v>2081</v>
      </c>
      <c r="C1863" s="7" t="s">
        <v>4812</v>
      </c>
      <c r="D1863" s="7" t="s">
        <v>791</v>
      </c>
      <c r="E1863" s="7" t="s">
        <v>4818</v>
      </c>
      <c r="F1863" s="7" t="s">
        <v>4877</v>
      </c>
      <c r="G1863" s="7" t="s">
        <v>4174</v>
      </c>
      <c r="H1863" s="7" t="s">
        <v>4234</v>
      </c>
      <c r="I1863" s="7" t="s">
        <v>4163</v>
      </c>
      <c r="J1863" s="7" t="s">
        <v>3983</v>
      </c>
      <c r="K1863" s="7" t="str">
        <f t="shared" si="2"/>
        <v/>
      </c>
      <c r="L1863" s="7" t="str">
        <f t="shared" si="1735"/>
        <v/>
      </c>
      <c r="M1863" s="7">
        <f t="shared" ref="M1863:N1863" si="1887">IF(LEN(M$1),COUNTIF($G1863:$J1863,M$1),"")</f>
        <v>0</v>
      </c>
      <c r="N1863" s="7" t="str">
        <f t="shared" si="1887"/>
        <v/>
      </c>
      <c r="O1863" s="7" t="str">
        <f t="shared" si="1028"/>
        <v/>
      </c>
      <c r="P1863" s="7">
        <f t="shared" si="1737"/>
        <v>1</v>
      </c>
      <c r="Q1863" s="7" t="str">
        <f t="shared" si="1738"/>
        <v/>
      </c>
      <c r="T1863" s="7"/>
    </row>
    <row r="1864" ht="12.75" customHeight="1">
      <c r="A1864" s="7">
        <v>1863.0</v>
      </c>
      <c r="B1864" s="7" t="s">
        <v>2089</v>
      </c>
      <c r="C1864" s="7" t="s">
        <v>4812</v>
      </c>
      <c r="D1864" s="7" t="s">
        <v>2292</v>
      </c>
      <c r="E1864" s="7" t="s">
        <v>4798</v>
      </c>
      <c r="F1864" s="7" t="s">
        <v>4877</v>
      </c>
      <c r="G1864" s="7" t="s">
        <v>3988</v>
      </c>
      <c r="H1864" s="7" t="s">
        <v>4254</v>
      </c>
      <c r="I1864" s="7" t="s">
        <v>4115</v>
      </c>
      <c r="J1864" s="7" t="s">
        <v>4193</v>
      </c>
      <c r="K1864" s="7" t="str">
        <f t="shared" si="2"/>
        <v/>
      </c>
      <c r="L1864" s="7" t="str">
        <f t="shared" si="1735"/>
        <v/>
      </c>
      <c r="M1864" s="7">
        <f t="shared" ref="M1864:N1864" si="1888">IF(LEN(M$1),COUNTIF($G1864:$J1864,M$1),"")</f>
        <v>0</v>
      </c>
      <c r="N1864" s="7" t="str">
        <f t="shared" si="1888"/>
        <v/>
      </c>
      <c r="O1864" s="7" t="str">
        <f t="shared" si="1028"/>
        <v/>
      </c>
      <c r="P1864" s="7">
        <f t="shared" si="1737"/>
        <v>1</v>
      </c>
      <c r="Q1864" s="7" t="str">
        <f t="shared" si="1738"/>
        <v/>
      </c>
      <c r="T1864" s="7"/>
    </row>
    <row r="1865" ht="12.75" customHeight="1">
      <c r="A1865" s="7">
        <v>1864.0</v>
      </c>
      <c r="B1865" s="7" t="s">
        <v>1360</v>
      </c>
      <c r="C1865" s="7" t="s">
        <v>4814</v>
      </c>
      <c r="D1865" s="7" t="s">
        <v>1680</v>
      </c>
      <c r="E1865" s="7" t="s">
        <v>4819</v>
      </c>
      <c r="F1865" s="7" t="s">
        <v>4877</v>
      </c>
      <c r="G1865" s="7" t="s">
        <v>4381</v>
      </c>
      <c r="H1865" s="7" t="s">
        <v>4395</v>
      </c>
      <c r="I1865" s="7" t="s">
        <v>4391</v>
      </c>
      <c r="J1865" s="7" t="s">
        <v>4406</v>
      </c>
      <c r="K1865" s="7" t="str">
        <f t="shared" si="2"/>
        <v/>
      </c>
      <c r="L1865" s="7" t="str">
        <f t="shared" si="1735"/>
        <v/>
      </c>
      <c r="M1865" s="7">
        <f t="shared" ref="M1865:N1865" si="1889">IF(LEN(M$1),COUNTIF($G1865:$J1865,M$1),"")</f>
        <v>0</v>
      </c>
      <c r="N1865" s="7" t="str">
        <f t="shared" si="1889"/>
        <v/>
      </c>
      <c r="O1865" s="7" t="str">
        <f t="shared" si="1028"/>
        <v/>
      </c>
      <c r="P1865" s="7">
        <f t="shared" si="1737"/>
        <v>1</v>
      </c>
      <c r="Q1865" s="7" t="str">
        <f t="shared" si="1738"/>
        <v/>
      </c>
      <c r="T1865" s="7"/>
    </row>
    <row r="1866" ht="12.75" customHeight="1">
      <c r="A1866" s="7">
        <v>1865.0</v>
      </c>
      <c r="B1866" s="7" t="s">
        <v>1360</v>
      </c>
      <c r="C1866" s="7" t="s">
        <v>4814</v>
      </c>
      <c r="D1866" s="7" t="s">
        <v>1710</v>
      </c>
      <c r="E1866" s="7" t="s">
        <v>4830</v>
      </c>
      <c r="F1866" s="7" t="s">
        <v>4877</v>
      </c>
      <c r="G1866" s="7" t="s">
        <v>4045</v>
      </c>
      <c r="H1866" s="7" t="s">
        <v>4218</v>
      </c>
      <c r="I1866" s="7" t="s">
        <v>4207</v>
      </c>
      <c r="J1866" s="7" t="s">
        <v>4177</v>
      </c>
      <c r="K1866" s="7" t="str">
        <f t="shared" si="2"/>
        <v/>
      </c>
      <c r="L1866" s="7" t="str">
        <f t="shared" si="1735"/>
        <v/>
      </c>
      <c r="M1866" s="7">
        <f t="shared" ref="M1866:N1866" si="1890">IF(LEN(M$1),COUNTIF($G1866:$J1866,M$1),"")</f>
        <v>0</v>
      </c>
      <c r="N1866" s="7" t="str">
        <f t="shared" si="1890"/>
        <v/>
      </c>
      <c r="O1866" s="7" t="str">
        <f t="shared" si="1028"/>
        <v/>
      </c>
      <c r="P1866" s="7">
        <f t="shared" si="1737"/>
        <v>1</v>
      </c>
      <c r="Q1866" s="7" t="str">
        <f t="shared" si="1738"/>
        <v/>
      </c>
      <c r="T1866" s="7"/>
    </row>
    <row r="1867" ht="12.75" customHeight="1">
      <c r="A1867" s="7">
        <v>1866.0</v>
      </c>
      <c r="B1867" s="7" t="s">
        <v>1360</v>
      </c>
      <c r="C1867" s="7" t="s">
        <v>4814</v>
      </c>
      <c r="D1867" s="7" t="s">
        <v>1895</v>
      </c>
      <c r="E1867" s="7" t="s">
        <v>4838</v>
      </c>
      <c r="F1867" s="7" t="s">
        <v>4877</v>
      </c>
      <c r="G1867" s="7" t="s">
        <v>4194</v>
      </c>
      <c r="H1867" s="7" t="s">
        <v>4182</v>
      </c>
      <c r="I1867" s="7" t="s">
        <v>4034</v>
      </c>
      <c r="J1867" s="7" t="s">
        <v>4271</v>
      </c>
      <c r="K1867" s="7" t="str">
        <f t="shared" si="2"/>
        <v/>
      </c>
      <c r="L1867" s="7" t="str">
        <f t="shared" si="1735"/>
        <v/>
      </c>
      <c r="M1867" s="7">
        <f t="shared" ref="M1867:N1867" si="1891">IF(LEN(M$1),COUNTIF($G1867:$J1867,M$1),"")</f>
        <v>0</v>
      </c>
      <c r="N1867" s="7" t="str">
        <f t="shared" si="1891"/>
        <v/>
      </c>
      <c r="O1867" s="7" t="str">
        <f t="shared" si="1028"/>
        <v/>
      </c>
      <c r="P1867" s="7">
        <f t="shared" si="1737"/>
        <v>1</v>
      </c>
      <c r="Q1867" s="7" t="str">
        <f t="shared" si="1738"/>
        <v/>
      </c>
      <c r="T1867" s="7"/>
    </row>
    <row r="1868" ht="12.75" customHeight="1">
      <c r="A1868" s="7">
        <v>1867.0</v>
      </c>
      <c r="B1868" s="7" t="s">
        <v>1360</v>
      </c>
      <c r="C1868" s="7" t="s">
        <v>4814</v>
      </c>
      <c r="D1868" s="7" t="s">
        <v>2081</v>
      </c>
      <c r="E1868" s="7" t="s">
        <v>4812</v>
      </c>
      <c r="F1868" s="7" t="s">
        <v>4877</v>
      </c>
      <c r="G1868" s="7" t="s">
        <v>4434</v>
      </c>
      <c r="H1868" s="7" t="s">
        <v>4367</v>
      </c>
      <c r="I1868" s="7" t="s">
        <v>4372</v>
      </c>
      <c r="J1868" s="7" t="s">
        <v>4375</v>
      </c>
      <c r="K1868" s="7" t="str">
        <f t="shared" si="2"/>
        <v/>
      </c>
      <c r="L1868" s="7" t="str">
        <f t="shared" si="1735"/>
        <v/>
      </c>
      <c r="M1868" s="7">
        <f t="shared" ref="M1868:N1868" si="1892">IF(LEN(M$1),COUNTIF($G1868:$J1868,M$1),"")</f>
        <v>0</v>
      </c>
      <c r="N1868" s="7" t="str">
        <f t="shared" si="1892"/>
        <v/>
      </c>
      <c r="O1868" s="7" t="str">
        <f t="shared" si="1028"/>
        <v/>
      </c>
      <c r="P1868" s="7">
        <f t="shared" si="1737"/>
        <v>1</v>
      </c>
      <c r="Q1868" s="7" t="str">
        <f t="shared" si="1738"/>
        <v/>
      </c>
      <c r="T1868" s="7"/>
    </row>
    <row r="1869" ht="12.75" customHeight="1">
      <c r="A1869" s="7">
        <v>1868.0</v>
      </c>
      <c r="B1869" s="7" t="s">
        <v>1360</v>
      </c>
      <c r="C1869" s="7" t="s">
        <v>4814</v>
      </c>
      <c r="D1869" s="7" t="s">
        <v>2168</v>
      </c>
      <c r="E1869" s="7" t="s">
        <v>4829</v>
      </c>
      <c r="F1869" s="7" t="s">
        <v>4877</v>
      </c>
      <c r="G1869" s="7" t="s">
        <v>4237</v>
      </c>
      <c r="H1869" s="7" t="s">
        <v>4066</v>
      </c>
      <c r="I1869" s="7" t="s">
        <v>4257</v>
      </c>
      <c r="J1869" s="7" t="s">
        <v>4119</v>
      </c>
      <c r="K1869" s="7" t="str">
        <f t="shared" si="2"/>
        <v/>
      </c>
      <c r="L1869" s="7" t="str">
        <f t="shared" si="1735"/>
        <v/>
      </c>
      <c r="M1869" s="7">
        <f t="shared" ref="M1869:N1869" si="1893">IF(LEN(M$1),COUNTIF($G1869:$J1869,M$1),"")</f>
        <v>0</v>
      </c>
      <c r="N1869" s="7" t="str">
        <f t="shared" si="1893"/>
        <v/>
      </c>
      <c r="O1869" s="7" t="str">
        <f t="shared" si="1028"/>
        <v/>
      </c>
      <c r="P1869" s="7">
        <f t="shared" si="1737"/>
        <v>1</v>
      </c>
      <c r="Q1869" s="7" t="str">
        <f t="shared" si="1738"/>
        <v/>
      </c>
      <c r="T1869" s="7"/>
    </row>
    <row r="1870" ht="12.75" customHeight="1">
      <c r="A1870" s="7">
        <v>1869.0</v>
      </c>
      <c r="B1870" s="7" t="s">
        <v>2103</v>
      </c>
      <c r="C1870" s="7" t="s">
        <v>4814</v>
      </c>
      <c r="D1870" s="7" t="s">
        <v>1864</v>
      </c>
      <c r="E1870" s="7" t="s">
        <v>4839</v>
      </c>
      <c r="F1870" s="7" t="s">
        <v>4877</v>
      </c>
      <c r="G1870" s="7" t="s">
        <v>4203</v>
      </c>
      <c r="H1870" s="7" t="s">
        <v>4022</v>
      </c>
      <c r="I1870" s="7" t="s">
        <v>4170</v>
      </c>
      <c r="J1870" s="7" t="s">
        <v>4113</v>
      </c>
      <c r="K1870" s="7" t="str">
        <f t="shared" si="2"/>
        <v/>
      </c>
      <c r="L1870" s="7" t="str">
        <f t="shared" si="1735"/>
        <v/>
      </c>
      <c r="M1870" s="7">
        <f t="shared" ref="M1870:N1870" si="1894">IF(LEN(M$1),COUNTIF($G1870:$J1870,M$1),"")</f>
        <v>0</v>
      </c>
      <c r="N1870" s="7" t="str">
        <f t="shared" si="1894"/>
        <v/>
      </c>
      <c r="O1870" s="7" t="str">
        <f t="shared" si="1028"/>
        <v/>
      </c>
      <c r="P1870" s="7">
        <f t="shared" si="1737"/>
        <v>1</v>
      </c>
      <c r="Q1870" s="7" t="str">
        <f t="shared" si="1738"/>
        <v/>
      </c>
      <c r="T1870" s="7"/>
    </row>
    <row r="1871" ht="12.75" customHeight="1">
      <c r="A1871" s="7">
        <v>1870.0</v>
      </c>
      <c r="B1871" s="7" t="s">
        <v>2103</v>
      </c>
      <c r="C1871" s="7" t="s">
        <v>4814</v>
      </c>
      <c r="D1871" s="7" t="s">
        <v>1794</v>
      </c>
      <c r="E1871" s="7" t="s">
        <v>4823</v>
      </c>
      <c r="F1871" s="7" t="s">
        <v>4877</v>
      </c>
      <c r="G1871" s="7" t="s">
        <v>3991</v>
      </c>
      <c r="H1871" s="7" t="s">
        <v>4002</v>
      </c>
      <c r="I1871" s="7" t="s">
        <v>4138</v>
      </c>
      <c r="J1871" s="7" t="s">
        <v>4023</v>
      </c>
      <c r="K1871" s="7" t="str">
        <f t="shared" si="2"/>
        <v/>
      </c>
      <c r="L1871" s="7" t="str">
        <f t="shared" si="1735"/>
        <v/>
      </c>
      <c r="M1871" s="7">
        <f t="shared" ref="M1871:N1871" si="1895">IF(LEN(M$1),COUNTIF($G1871:$J1871,M$1),"")</f>
        <v>0</v>
      </c>
      <c r="N1871" s="7" t="str">
        <f t="shared" si="1895"/>
        <v/>
      </c>
      <c r="O1871" s="7" t="str">
        <f t="shared" si="1028"/>
        <v/>
      </c>
      <c r="P1871" s="7">
        <f t="shared" si="1737"/>
        <v>1</v>
      </c>
      <c r="Q1871" s="7" t="str">
        <f t="shared" si="1738"/>
        <v/>
      </c>
      <c r="T1871" s="7"/>
    </row>
    <row r="1872" ht="12.75" customHeight="1">
      <c r="A1872" s="7">
        <v>1871.0</v>
      </c>
      <c r="B1872" s="7" t="s">
        <v>2103</v>
      </c>
      <c r="C1872" s="7" t="s">
        <v>4814</v>
      </c>
      <c r="D1872" s="7" t="s">
        <v>2005</v>
      </c>
      <c r="E1872" s="7" t="s">
        <v>4854</v>
      </c>
      <c r="F1872" s="7" t="s">
        <v>4877</v>
      </c>
      <c r="G1872" s="7" t="s">
        <v>4151</v>
      </c>
      <c r="H1872" s="7" t="s">
        <v>4093</v>
      </c>
      <c r="I1872" s="7" t="s">
        <v>4084</v>
      </c>
      <c r="J1872" s="7" t="s">
        <v>3981</v>
      </c>
      <c r="K1872" s="7" t="str">
        <f t="shared" si="2"/>
        <v/>
      </c>
      <c r="L1872" s="7" t="str">
        <f t="shared" si="1735"/>
        <v/>
      </c>
      <c r="M1872" s="7">
        <f t="shared" ref="M1872:N1872" si="1896">IF(LEN(M$1),COUNTIF($G1872:$J1872,M$1),"")</f>
        <v>0</v>
      </c>
      <c r="N1872" s="7" t="str">
        <f t="shared" si="1896"/>
        <v/>
      </c>
      <c r="O1872" s="7" t="str">
        <f t="shared" si="1028"/>
        <v/>
      </c>
      <c r="P1872" s="7">
        <f t="shared" si="1737"/>
        <v>1</v>
      </c>
      <c r="Q1872" s="7" t="str">
        <f t="shared" si="1738"/>
        <v/>
      </c>
      <c r="T1872" s="7"/>
    </row>
    <row r="1873" ht="12.75" customHeight="1">
      <c r="A1873" s="7">
        <v>1872.0</v>
      </c>
      <c r="B1873" s="7" t="s">
        <v>2103</v>
      </c>
      <c r="C1873" s="7" t="s">
        <v>4814</v>
      </c>
      <c r="D1873" s="7" t="s">
        <v>2133</v>
      </c>
      <c r="E1873" s="7" t="s">
        <v>4756</v>
      </c>
      <c r="F1873" s="7" t="s">
        <v>4877</v>
      </c>
      <c r="G1873" s="7" t="s">
        <v>3988</v>
      </c>
      <c r="H1873" s="7" t="s">
        <v>4002</v>
      </c>
      <c r="I1873" s="7" t="s">
        <v>4138</v>
      </c>
      <c r="J1873" s="7" t="s">
        <v>4023</v>
      </c>
      <c r="K1873" s="7" t="str">
        <f t="shared" si="2"/>
        <v/>
      </c>
      <c r="L1873" s="7" t="str">
        <f t="shared" si="1735"/>
        <v/>
      </c>
      <c r="M1873" s="7">
        <f t="shared" ref="M1873:N1873" si="1897">IF(LEN(M$1),COUNTIF($G1873:$J1873,M$1),"")</f>
        <v>0</v>
      </c>
      <c r="N1873" s="7" t="str">
        <f t="shared" si="1897"/>
        <v/>
      </c>
      <c r="O1873" s="7" t="str">
        <f t="shared" si="1028"/>
        <v/>
      </c>
      <c r="P1873" s="7">
        <f t="shared" si="1737"/>
        <v>1</v>
      </c>
      <c r="Q1873" s="7" t="str">
        <f t="shared" si="1738"/>
        <v/>
      </c>
      <c r="T1873" s="7"/>
    </row>
    <row r="1874" ht="12.75" customHeight="1">
      <c r="A1874" s="7">
        <v>1873.0</v>
      </c>
      <c r="B1874" s="7" t="s">
        <v>2103</v>
      </c>
      <c r="C1874" s="7" t="s">
        <v>4814</v>
      </c>
      <c r="D1874" s="7" t="s">
        <v>2139</v>
      </c>
      <c r="E1874" s="7" t="s">
        <v>4795</v>
      </c>
      <c r="F1874" s="7" t="s">
        <v>4877</v>
      </c>
      <c r="G1874" s="7" t="s">
        <v>4370</v>
      </c>
      <c r="H1874" s="7" t="s">
        <v>4393</v>
      </c>
      <c r="I1874" s="7" t="s">
        <v>4388</v>
      </c>
      <c r="J1874" s="7" t="s">
        <v>4364</v>
      </c>
      <c r="K1874" s="7" t="str">
        <f t="shared" si="2"/>
        <v/>
      </c>
      <c r="L1874" s="7" t="str">
        <f t="shared" si="1735"/>
        <v/>
      </c>
      <c r="M1874" s="7">
        <f t="shared" ref="M1874:N1874" si="1898">IF(LEN(M$1),COUNTIF($G1874:$J1874,M$1),"")</f>
        <v>0</v>
      </c>
      <c r="N1874" s="7" t="str">
        <f t="shared" si="1898"/>
        <v/>
      </c>
      <c r="O1874" s="7" t="str">
        <f t="shared" si="1028"/>
        <v/>
      </c>
      <c r="P1874" s="7">
        <f t="shared" si="1737"/>
        <v>1</v>
      </c>
      <c r="Q1874" s="7" t="str">
        <f t="shared" si="1738"/>
        <v/>
      </c>
      <c r="T1874" s="7"/>
    </row>
    <row r="1875" ht="12.75" customHeight="1">
      <c r="A1875" s="7">
        <v>1874.0</v>
      </c>
      <c r="B1875" s="7" t="s">
        <v>2103</v>
      </c>
      <c r="C1875" s="7" t="s">
        <v>4814</v>
      </c>
      <c r="D1875" s="7" t="s">
        <v>2322</v>
      </c>
      <c r="E1875" s="7" t="s">
        <v>4758</v>
      </c>
      <c r="F1875" s="7" t="s">
        <v>4877</v>
      </c>
      <c r="G1875" s="7" t="s">
        <v>4415</v>
      </c>
      <c r="H1875" s="7" t="s">
        <v>4435</v>
      </c>
      <c r="I1875" s="7" t="s">
        <v>4390</v>
      </c>
      <c r="J1875" s="7" t="s">
        <v>4382</v>
      </c>
      <c r="K1875" s="7" t="str">
        <f t="shared" si="2"/>
        <v/>
      </c>
      <c r="L1875" s="7" t="str">
        <f t="shared" si="1735"/>
        <v/>
      </c>
      <c r="M1875" s="7">
        <f t="shared" ref="M1875:N1875" si="1899">IF(LEN(M$1),COUNTIF($G1875:$J1875,M$1),"")</f>
        <v>0</v>
      </c>
      <c r="N1875" s="7" t="str">
        <f t="shared" si="1899"/>
        <v/>
      </c>
      <c r="O1875" s="7" t="str">
        <f t="shared" si="1028"/>
        <v/>
      </c>
      <c r="P1875" s="7">
        <f t="shared" si="1737"/>
        <v>1</v>
      </c>
      <c r="Q1875" s="7" t="str">
        <f t="shared" si="1738"/>
        <v/>
      </c>
      <c r="T1875" s="7"/>
    </row>
    <row r="1876" ht="12.75" customHeight="1">
      <c r="A1876" s="7">
        <v>1875.0</v>
      </c>
      <c r="B1876" s="7" t="s">
        <v>2110</v>
      </c>
      <c r="C1876" s="7" t="s">
        <v>4793</v>
      </c>
      <c r="D1876" s="7" t="s">
        <v>1800</v>
      </c>
      <c r="E1876" s="7" t="s">
        <v>4841</v>
      </c>
      <c r="F1876" s="7" t="s">
        <v>4877</v>
      </c>
      <c r="G1876" s="7" t="s">
        <v>4121</v>
      </c>
      <c r="H1876" s="7" t="s">
        <v>4095</v>
      </c>
      <c r="I1876" s="7" t="s">
        <v>4018</v>
      </c>
      <c r="J1876" s="7" t="s">
        <v>4026</v>
      </c>
      <c r="K1876" s="7" t="str">
        <f t="shared" si="2"/>
        <v/>
      </c>
      <c r="L1876" s="7" t="str">
        <f t="shared" si="1735"/>
        <v/>
      </c>
      <c r="M1876" s="7">
        <f t="shared" ref="M1876:N1876" si="1900">IF(LEN(M$1),COUNTIF($G1876:$J1876,M$1),"")</f>
        <v>0</v>
      </c>
      <c r="N1876" s="7" t="str">
        <f t="shared" si="1900"/>
        <v/>
      </c>
      <c r="O1876" s="7" t="str">
        <f t="shared" si="1028"/>
        <v/>
      </c>
      <c r="P1876" s="7">
        <f t="shared" si="1737"/>
        <v>1</v>
      </c>
      <c r="Q1876" s="7" t="str">
        <f t="shared" si="1738"/>
        <v/>
      </c>
      <c r="T1876" s="7"/>
    </row>
    <row r="1877" ht="12.75" customHeight="1">
      <c r="A1877" s="7">
        <v>1876.0</v>
      </c>
      <c r="B1877" s="7" t="s">
        <v>2110</v>
      </c>
      <c r="C1877" s="7" t="s">
        <v>4793</v>
      </c>
      <c r="D1877" s="7" t="s">
        <v>1990</v>
      </c>
      <c r="E1877" s="7" t="s">
        <v>4854</v>
      </c>
      <c r="F1877" s="7" t="s">
        <v>4877</v>
      </c>
      <c r="G1877" s="7" t="s">
        <v>4422</v>
      </c>
      <c r="H1877" s="7" t="s">
        <v>4420</v>
      </c>
      <c r="I1877" s="7" t="s">
        <v>4409</v>
      </c>
      <c r="J1877" s="7" t="s">
        <v>4425</v>
      </c>
      <c r="K1877" s="7" t="str">
        <f t="shared" si="2"/>
        <v/>
      </c>
      <c r="L1877" s="7" t="str">
        <f t="shared" si="1735"/>
        <v/>
      </c>
      <c r="M1877" s="7">
        <f t="shared" ref="M1877:N1877" si="1901">IF(LEN(M$1),COUNTIF($G1877:$J1877,M$1),"")</f>
        <v>1</v>
      </c>
      <c r="N1877" s="7" t="str">
        <f t="shared" si="1901"/>
        <v/>
      </c>
      <c r="O1877" s="7" t="str">
        <f t="shared" si="1028"/>
        <v/>
      </c>
      <c r="P1877" s="7">
        <f t="shared" si="1737"/>
        <v>1</v>
      </c>
      <c r="Q1877" s="7" t="str">
        <f t="shared" si="1738"/>
        <v>Jaylin &amp; Demetri</v>
      </c>
      <c r="T1877" s="7"/>
    </row>
    <row r="1878" ht="12.75" customHeight="1">
      <c r="A1878" s="7">
        <v>1877.0</v>
      </c>
      <c r="B1878" s="7" t="s">
        <v>2110</v>
      </c>
      <c r="C1878" s="7" t="s">
        <v>4793</v>
      </c>
      <c r="D1878" s="7" t="s">
        <v>2139</v>
      </c>
      <c r="E1878" s="7" t="s">
        <v>4795</v>
      </c>
      <c r="F1878" s="7" t="s">
        <v>4877</v>
      </c>
      <c r="G1878" s="7" t="s">
        <v>4392</v>
      </c>
      <c r="H1878" s="7" t="s">
        <v>4399</v>
      </c>
      <c r="I1878" s="7" t="s">
        <v>4402</v>
      </c>
      <c r="J1878" s="7" t="s">
        <v>4434</v>
      </c>
      <c r="K1878" s="7" t="str">
        <f t="shared" si="2"/>
        <v/>
      </c>
      <c r="L1878" s="7" t="str">
        <f t="shared" si="1735"/>
        <v/>
      </c>
      <c r="M1878" s="7">
        <f t="shared" ref="M1878:N1878" si="1902">IF(LEN(M$1),COUNTIF($G1878:$J1878,M$1),"")</f>
        <v>0</v>
      </c>
      <c r="N1878" s="7" t="str">
        <f t="shared" si="1902"/>
        <v/>
      </c>
      <c r="O1878" s="7" t="str">
        <f t="shared" si="1028"/>
        <v/>
      </c>
      <c r="P1878" s="7">
        <f t="shared" si="1737"/>
        <v>1</v>
      </c>
      <c r="Q1878" s="7" t="str">
        <f t="shared" si="1738"/>
        <v/>
      </c>
      <c r="T1878" s="7"/>
    </row>
    <row r="1879" ht="12.75" customHeight="1">
      <c r="A1879" s="7">
        <v>1878.0</v>
      </c>
      <c r="B1879" s="7" t="s">
        <v>2118</v>
      </c>
      <c r="C1879" s="7" t="s">
        <v>4793</v>
      </c>
      <c r="D1879" s="7" t="s">
        <v>2059</v>
      </c>
      <c r="E1879" s="7" t="s">
        <v>4815</v>
      </c>
      <c r="F1879" s="7" t="s">
        <v>4877</v>
      </c>
      <c r="G1879" s="7" t="s">
        <v>4279</v>
      </c>
      <c r="H1879" s="7" t="s">
        <v>4197</v>
      </c>
      <c r="I1879" s="7" t="s">
        <v>4268</v>
      </c>
      <c r="J1879" s="7" t="s">
        <v>4073</v>
      </c>
      <c r="K1879" s="7" t="str">
        <f t="shared" si="2"/>
        <v/>
      </c>
      <c r="L1879" s="7" t="str">
        <f t="shared" si="1735"/>
        <v/>
      </c>
      <c r="M1879" s="7">
        <f t="shared" ref="M1879:N1879" si="1903">IF(LEN(M$1),COUNTIF($G1879:$J1879,M$1),"")</f>
        <v>0</v>
      </c>
      <c r="N1879" s="7" t="str">
        <f t="shared" si="1903"/>
        <v/>
      </c>
      <c r="O1879" s="7" t="str">
        <f t="shared" si="1028"/>
        <v/>
      </c>
      <c r="P1879" s="7">
        <f t="shared" si="1737"/>
        <v>1</v>
      </c>
      <c r="Q1879" s="7" t="str">
        <f t="shared" si="1738"/>
        <v/>
      </c>
      <c r="T1879" s="7"/>
    </row>
    <row r="1880" ht="12.75" customHeight="1">
      <c r="A1880" s="7">
        <v>1879.0</v>
      </c>
      <c r="B1880" s="7" t="s">
        <v>2118</v>
      </c>
      <c r="C1880" s="7" t="s">
        <v>4793</v>
      </c>
      <c r="D1880" s="7" t="s">
        <v>2133</v>
      </c>
      <c r="E1880" s="7" t="s">
        <v>4756</v>
      </c>
      <c r="F1880" s="7" t="s">
        <v>4877</v>
      </c>
      <c r="G1880" s="7" t="s">
        <v>4394</v>
      </c>
      <c r="H1880" s="7" t="s">
        <v>4430</v>
      </c>
      <c r="I1880" s="7" t="s">
        <v>4392</v>
      </c>
      <c r="J1880" s="7" t="s">
        <v>4437</v>
      </c>
      <c r="K1880" s="7" t="str">
        <f t="shared" si="2"/>
        <v/>
      </c>
      <c r="L1880" s="7" t="str">
        <f t="shared" si="1735"/>
        <v/>
      </c>
      <c r="M1880" s="7">
        <f t="shared" ref="M1880:N1880" si="1904">IF(LEN(M$1),COUNTIF($G1880:$J1880,M$1),"")</f>
        <v>0</v>
      </c>
      <c r="N1880" s="7" t="str">
        <f t="shared" si="1904"/>
        <v/>
      </c>
      <c r="O1880" s="7" t="str">
        <f t="shared" si="1028"/>
        <v/>
      </c>
      <c r="P1880" s="7">
        <f t="shared" si="1737"/>
        <v>1</v>
      </c>
      <c r="Q1880" s="7" t="str">
        <f t="shared" si="1738"/>
        <v/>
      </c>
      <c r="T1880" s="7"/>
    </row>
    <row r="1881" ht="12.75" customHeight="1">
      <c r="A1881" s="7">
        <v>1880.0</v>
      </c>
      <c r="B1881" s="7" t="s">
        <v>2118</v>
      </c>
      <c r="C1881" s="7" t="s">
        <v>4793</v>
      </c>
      <c r="D1881" s="7" t="s">
        <v>2139</v>
      </c>
      <c r="E1881" s="7" t="s">
        <v>4795</v>
      </c>
      <c r="F1881" s="7" t="s">
        <v>4877</v>
      </c>
      <c r="G1881" s="7" t="s">
        <v>4266</v>
      </c>
      <c r="H1881" s="7" t="s">
        <v>4249</v>
      </c>
      <c r="I1881" s="7" t="s">
        <v>4209</v>
      </c>
      <c r="J1881" s="7" t="s">
        <v>3992</v>
      </c>
      <c r="K1881" s="7" t="str">
        <f t="shared" si="2"/>
        <v/>
      </c>
      <c r="L1881" s="7" t="str">
        <f t="shared" si="1735"/>
        <v/>
      </c>
      <c r="M1881" s="7">
        <f t="shared" ref="M1881:N1881" si="1905">IF(LEN(M$1),COUNTIF($G1881:$J1881,M$1),"")</f>
        <v>0</v>
      </c>
      <c r="N1881" s="7" t="str">
        <f t="shared" si="1905"/>
        <v/>
      </c>
      <c r="O1881" s="7" t="str">
        <f t="shared" si="1028"/>
        <v/>
      </c>
      <c r="P1881" s="7">
        <f t="shared" si="1737"/>
        <v>1</v>
      </c>
      <c r="Q1881" s="7" t="str">
        <f t="shared" si="1738"/>
        <v/>
      </c>
      <c r="T1881" s="7"/>
    </row>
    <row r="1882" ht="12.75" customHeight="1">
      <c r="A1882" s="7">
        <v>1881.0</v>
      </c>
      <c r="B1882" s="7" t="s">
        <v>2125</v>
      </c>
      <c r="C1882" s="7" t="s">
        <v>4756</v>
      </c>
      <c r="D1882" s="7" t="s">
        <v>1864</v>
      </c>
      <c r="E1882" s="7" t="s">
        <v>4839</v>
      </c>
      <c r="F1882" s="7" t="s">
        <v>4877</v>
      </c>
      <c r="G1882" s="7" t="s">
        <v>4120</v>
      </c>
      <c r="H1882" s="7" t="s">
        <v>4096</v>
      </c>
      <c r="I1882" s="7" t="s">
        <v>4151</v>
      </c>
      <c r="J1882" s="7" t="s">
        <v>3980</v>
      </c>
      <c r="K1882" s="7" t="str">
        <f t="shared" si="2"/>
        <v/>
      </c>
      <c r="L1882" s="7" t="str">
        <f t="shared" si="1735"/>
        <v/>
      </c>
      <c r="M1882" s="7">
        <f t="shared" ref="M1882:N1882" si="1906">IF(LEN(M$1),COUNTIF($G1882:$J1882,M$1),"")</f>
        <v>0</v>
      </c>
      <c r="N1882" s="7" t="str">
        <f t="shared" si="1906"/>
        <v/>
      </c>
      <c r="O1882" s="7" t="str">
        <f t="shared" si="1028"/>
        <v/>
      </c>
      <c r="P1882" s="7">
        <f t="shared" si="1737"/>
        <v>1</v>
      </c>
      <c r="Q1882" s="7" t="str">
        <f t="shared" si="1738"/>
        <v/>
      </c>
      <c r="T1882" s="7"/>
    </row>
    <row r="1883" ht="12.75" customHeight="1">
      <c r="A1883" s="7">
        <v>1882.0</v>
      </c>
      <c r="B1883" s="7" t="s">
        <v>2125</v>
      </c>
      <c r="C1883" s="7" t="s">
        <v>4756</v>
      </c>
      <c r="D1883" s="7" t="s">
        <v>346</v>
      </c>
      <c r="E1883" s="7" t="s">
        <v>4827</v>
      </c>
      <c r="F1883" s="7" t="s">
        <v>4877</v>
      </c>
      <c r="G1883" s="7" t="s">
        <v>4127</v>
      </c>
      <c r="H1883" s="7" t="s">
        <v>4096</v>
      </c>
      <c r="I1883" s="7" t="s">
        <v>4177</v>
      </c>
      <c r="J1883" s="7" t="s">
        <v>3980</v>
      </c>
      <c r="K1883" s="7" t="str">
        <f t="shared" si="2"/>
        <v/>
      </c>
      <c r="L1883" s="7" t="str">
        <f t="shared" si="1735"/>
        <v/>
      </c>
      <c r="M1883" s="7">
        <f t="shared" ref="M1883:N1883" si="1907">IF(LEN(M$1),COUNTIF($G1883:$J1883,M$1),"")</f>
        <v>0</v>
      </c>
      <c r="N1883" s="7" t="str">
        <f t="shared" si="1907"/>
        <v/>
      </c>
      <c r="O1883" s="7" t="str">
        <f t="shared" si="1028"/>
        <v/>
      </c>
      <c r="P1883" s="7">
        <f t="shared" si="1737"/>
        <v>1</v>
      </c>
      <c r="Q1883" s="7" t="str">
        <f t="shared" si="1738"/>
        <v/>
      </c>
      <c r="T1883" s="7"/>
    </row>
    <row r="1884" ht="12.75" customHeight="1">
      <c r="A1884" s="7">
        <v>1883.0</v>
      </c>
      <c r="B1884" s="7" t="s">
        <v>2125</v>
      </c>
      <c r="C1884" s="7" t="s">
        <v>4756</v>
      </c>
      <c r="D1884" s="7" t="s">
        <v>1886</v>
      </c>
      <c r="E1884" s="7" t="s">
        <v>4838</v>
      </c>
      <c r="F1884" s="7" t="s">
        <v>4877</v>
      </c>
      <c r="G1884" s="7" t="s">
        <v>4014</v>
      </c>
      <c r="H1884" s="7" t="s">
        <v>3978</v>
      </c>
      <c r="I1884" s="7" t="s">
        <v>4015</v>
      </c>
      <c r="J1884" s="7" t="s">
        <v>4066</v>
      </c>
      <c r="K1884" s="7" t="str">
        <f t="shared" si="2"/>
        <v/>
      </c>
      <c r="L1884" s="7" t="str">
        <f t="shared" si="1735"/>
        <v/>
      </c>
      <c r="M1884" s="7">
        <f t="shared" ref="M1884:N1884" si="1908">IF(LEN(M$1),COUNTIF($G1884:$J1884,M$1),"")</f>
        <v>0</v>
      </c>
      <c r="N1884" s="7" t="str">
        <f t="shared" si="1908"/>
        <v/>
      </c>
      <c r="O1884" s="7" t="str">
        <f t="shared" si="1028"/>
        <v/>
      </c>
      <c r="P1884" s="7">
        <f t="shared" si="1737"/>
        <v>1</v>
      </c>
      <c r="Q1884" s="7" t="str">
        <f t="shared" si="1738"/>
        <v/>
      </c>
      <c r="T1884" s="7"/>
    </row>
    <row r="1885" ht="12.75" customHeight="1">
      <c r="A1885" s="7">
        <v>1884.0</v>
      </c>
      <c r="B1885" s="7" t="s">
        <v>2125</v>
      </c>
      <c r="C1885" s="7" t="s">
        <v>4756</v>
      </c>
      <c r="D1885" s="7" t="s">
        <v>853</v>
      </c>
      <c r="E1885" s="7" t="s">
        <v>2659</v>
      </c>
      <c r="F1885" s="7" t="s">
        <v>4877</v>
      </c>
      <c r="G1885" s="7" t="s">
        <v>4416</v>
      </c>
      <c r="H1885" s="7" t="s">
        <v>4430</v>
      </c>
      <c r="I1885" s="7" t="s">
        <v>4369</v>
      </c>
      <c r="J1885" s="7" t="s">
        <v>4396</v>
      </c>
      <c r="K1885" s="7" t="str">
        <f t="shared" si="2"/>
        <v/>
      </c>
      <c r="L1885" s="7" t="str">
        <f t="shared" si="1735"/>
        <v/>
      </c>
      <c r="M1885" s="7">
        <f t="shared" ref="M1885:N1885" si="1909">IF(LEN(M$1),COUNTIF($G1885:$J1885,M$1),"")</f>
        <v>0</v>
      </c>
      <c r="N1885" s="7" t="str">
        <f t="shared" si="1909"/>
        <v/>
      </c>
      <c r="O1885" s="7" t="str">
        <f t="shared" si="1028"/>
        <v/>
      </c>
      <c r="P1885" s="7">
        <f t="shared" si="1737"/>
        <v>1</v>
      </c>
      <c r="Q1885" s="7" t="str">
        <f t="shared" si="1738"/>
        <v/>
      </c>
      <c r="T1885" s="7"/>
    </row>
    <row r="1886" ht="12.75" customHeight="1">
      <c r="A1886" s="7">
        <v>1885.0</v>
      </c>
      <c r="B1886" s="7" t="s">
        <v>2125</v>
      </c>
      <c r="C1886" s="7" t="s">
        <v>4756</v>
      </c>
      <c r="D1886" s="7" t="s">
        <v>2182</v>
      </c>
      <c r="E1886" s="7" t="s">
        <v>4840</v>
      </c>
      <c r="F1886" s="7" t="s">
        <v>4877</v>
      </c>
      <c r="G1886" s="7" t="s">
        <v>4397</v>
      </c>
      <c r="H1886" s="7" t="s">
        <v>4426</v>
      </c>
      <c r="I1886" s="7" t="s">
        <v>4357</v>
      </c>
      <c r="J1886" s="7" t="s">
        <v>4385</v>
      </c>
      <c r="K1886" s="7" t="str">
        <f t="shared" si="2"/>
        <v/>
      </c>
      <c r="L1886" s="7" t="str">
        <f t="shared" si="1735"/>
        <v/>
      </c>
      <c r="M1886" s="7">
        <f t="shared" ref="M1886:N1886" si="1910">IF(LEN(M$1),COUNTIF($G1886:$J1886,M$1),"")</f>
        <v>0</v>
      </c>
      <c r="N1886" s="7" t="str">
        <f t="shared" si="1910"/>
        <v/>
      </c>
      <c r="O1886" s="7" t="str">
        <f t="shared" si="1028"/>
        <v/>
      </c>
      <c r="P1886" s="7">
        <f t="shared" si="1737"/>
        <v>1</v>
      </c>
      <c r="Q1886" s="7" t="str">
        <f t="shared" si="1738"/>
        <v/>
      </c>
      <c r="T1886" s="7"/>
    </row>
    <row r="1887" ht="12.75" customHeight="1">
      <c r="A1887" s="7">
        <v>1886.0</v>
      </c>
      <c r="B1887" s="7" t="s">
        <v>2133</v>
      </c>
      <c r="C1887" s="7" t="s">
        <v>4756</v>
      </c>
      <c r="D1887" s="7" t="s">
        <v>1680</v>
      </c>
      <c r="E1887" s="7" t="s">
        <v>4819</v>
      </c>
      <c r="F1887" s="7" t="s">
        <v>4877</v>
      </c>
      <c r="G1887" s="7" t="s">
        <v>4365</v>
      </c>
      <c r="H1887" s="7" t="s">
        <v>4435</v>
      </c>
      <c r="I1887" s="7" t="s">
        <v>4414</v>
      </c>
      <c r="J1887" s="7" t="s">
        <v>4382</v>
      </c>
      <c r="K1887" s="7" t="str">
        <f t="shared" si="2"/>
        <v/>
      </c>
      <c r="L1887" s="7" t="str">
        <f t="shared" si="1735"/>
        <v/>
      </c>
      <c r="M1887" s="7">
        <f t="shared" ref="M1887:N1887" si="1911">IF(LEN(M$1),COUNTIF($G1887:$J1887,M$1),"")</f>
        <v>0</v>
      </c>
      <c r="N1887" s="7" t="str">
        <f t="shared" si="1911"/>
        <v/>
      </c>
      <c r="O1887" s="7" t="str">
        <f t="shared" si="1028"/>
        <v/>
      </c>
      <c r="P1887" s="7">
        <f t="shared" si="1737"/>
        <v>1</v>
      </c>
      <c r="Q1887" s="7" t="str">
        <f t="shared" si="1738"/>
        <v/>
      </c>
      <c r="T1887" s="7"/>
    </row>
    <row r="1888" ht="12.75" customHeight="1">
      <c r="A1888" s="7">
        <v>1887.0</v>
      </c>
      <c r="B1888" s="7" t="s">
        <v>2133</v>
      </c>
      <c r="C1888" s="7" t="s">
        <v>4756</v>
      </c>
      <c r="D1888" s="7" t="s">
        <v>2103</v>
      </c>
      <c r="E1888" s="7" t="s">
        <v>4814</v>
      </c>
      <c r="F1888" s="7" t="s">
        <v>4877</v>
      </c>
      <c r="G1888" s="7" t="s">
        <v>4370</v>
      </c>
      <c r="H1888" s="7" t="s">
        <v>4371</v>
      </c>
      <c r="I1888" s="7" t="s">
        <v>4388</v>
      </c>
      <c r="J1888" s="7" t="s">
        <v>4428</v>
      </c>
      <c r="K1888" s="7" t="str">
        <f t="shared" si="2"/>
        <v/>
      </c>
      <c r="L1888" s="7" t="str">
        <f t="shared" si="1735"/>
        <v/>
      </c>
      <c r="M1888" s="7">
        <f t="shared" ref="M1888:N1888" si="1912">IF(LEN(M$1),COUNTIF($G1888:$J1888,M$1),"")</f>
        <v>0</v>
      </c>
      <c r="N1888" s="7" t="str">
        <f t="shared" si="1912"/>
        <v/>
      </c>
      <c r="O1888" s="7" t="str">
        <f t="shared" si="1028"/>
        <v/>
      </c>
      <c r="P1888" s="7">
        <f t="shared" si="1737"/>
        <v>1</v>
      </c>
      <c r="Q1888" s="7" t="str">
        <f t="shared" si="1738"/>
        <v/>
      </c>
      <c r="T1888" s="7"/>
    </row>
    <row r="1889" ht="12.75" customHeight="1">
      <c r="A1889" s="7">
        <v>1888.0</v>
      </c>
      <c r="B1889" s="7" t="s">
        <v>2139</v>
      </c>
      <c r="C1889" s="7" t="s">
        <v>4795</v>
      </c>
      <c r="D1889" s="7" t="s">
        <v>1688</v>
      </c>
      <c r="E1889" s="7" t="s">
        <v>4819</v>
      </c>
      <c r="F1889" s="7" t="s">
        <v>4877</v>
      </c>
      <c r="G1889" s="7" t="s">
        <v>4415</v>
      </c>
      <c r="H1889" s="7" t="s">
        <v>4420</v>
      </c>
      <c r="I1889" s="7" t="s">
        <v>4433</v>
      </c>
      <c r="J1889" s="7" t="s">
        <v>4425</v>
      </c>
      <c r="K1889" s="7" t="str">
        <f t="shared" si="2"/>
        <v/>
      </c>
      <c r="L1889" s="7" t="str">
        <f t="shared" si="1735"/>
        <v/>
      </c>
      <c r="M1889" s="7">
        <f t="shared" ref="M1889:N1889" si="1913">IF(LEN(M$1),COUNTIF($G1889:$J1889,M$1),"")</f>
        <v>0</v>
      </c>
      <c r="N1889" s="7" t="str">
        <f t="shared" si="1913"/>
        <v/>
      </c>
      <c r="O1889" s="7" t="str">
        <f t="shared" si="1028"/>
        <v/>
      </c>
      <c r="P1889" s="7">
        <f t="shared" si="1737"/>
        <v>1</v>
      </c>
      <c r="Q1889" s="7" t="str">
        <f t="shared" si="1738"/>
        <v/>
      </c>
      <c r="T1889" s="7"/>
    </row>
    <row r="1890" ht="12.75" customHeight="1">
      <c r="A1890" s="7">
        <v>1889.0</v>
      </c>
      <c r="B1890" s="7" t="s">
        <v>2139</v>
      </c>
      <c r="C1890" s="7" t="s">
        <v>4795</v>
      </c>
      <c r="D1890" s="7" t="s">
        <v>2139</v>
      </c>
      <c r="E1890" s="7" t="s">
        <v>4795</v>
      </c>
      <c r="F1890" s="7" t="s">
        <v>4877</v>
      </c>
      <c r="G1890" s="7" t="s">
        <v>4420</v>
      </c>
      <c r="H1890" s="7" t="s">
        <v>4422</v>
      </c>
      <c r="I1890" s="7" t="s">
        <v>4431</v>
      </c>
      <c r="J1890" s="7" t="s">
        <v>4433</v>
      </c>
      <c r="K1890" s="7" t="str">
        <f t="shared" si="2"/>
        <v/>
      </c>
      <c r="L1890" s="7" t="str">
        <f t="shared" si="1735"/>
        <v/>
      </c>
      <c r="M1890" s="7">
        <f t="shared" ref="M1890:N1890" si="1914">IF(LEN(M$1),COUNTIF($G1890:$J1890,M$1),"")</f>
        <v>1</v>
      </c>
      <c r="N1890" s="7" t="str">
        <f t="shared" si="1914"/>
        <v/>
      </c>
      <c r="O1890" s="7" t="str">
        <f t="shared" si="1028"/>
        <v/>
      </c>
      <c r="P1890" s="7">
        <f t="shared" si="1737"/>
        <v>1</v>
      </c>
      <c r="Q1890" s="7" t="str">
        <f t="shared" si="1738"/>
        <v>Edmund &amp; Edmund</v>
      </c>
      <c r="T1890" s="7"/>
    </row>
    <row r="1891" ht="12.75" customHeight="1">
      <c r="A1891" s="7">
        <v>1890.0</v>
      </c>
      <c r="B1891" s="7" t="s">
        <v>2139</v>
      </c>
      <c r="C1891" s="7" t="s">
        <v>4795</v>
      </c>
      <c r="D1891" s="7" t="s">
        <v>2152</v>
      </c>
      <c r="E1891" s="7" t="s">
        <v>4834</v>
      </c>
      <c r="F1891" s="7" t="s">
        <v>4877</v>
      </c>
      <c r="G1891" s="7" t="s">
        <v>4420</v>
      </c>
      <c r="H1891" s="7" t="s">
        <v>4371</v>
      </c>
      <c r="I1891" s="7" t="s">
        <v>4431</v>
      </c>
      <c r="J1891" s="7" t="s">
        <v>4428</v>
      </c>
      <c r="K1891" s="7" t="str">
        <f t="shared" si="2"/>
        <v/>
      </c>
      <c r="L1891" s="7" t="str">
        <f t="shared" si="1735"/>
        <v/>
      </c>
      <c r="M1891" s="7">
        <f t="shared" ref="M1891:N1891" si="1915">IF(LEN(M$1),COUNTIF($G1891:$J1891,M$1),"")</f>
        <v>0</v>
      </c>
      <c r="N1891" s="7" t="str">
        <f t="shared" si="1915"/>
        <v/>
      </c>
      <c r="O1891" s="7" t="str">
        <f t="shared" si="1028"/>
        <v/>
      </c>
      <c r="P1891" s="7">
        <f t="shared" si="1737"/>
        <v>1</v>
      </c>
      <c r="Q1891" s="7" t="str">
        <f t="shared" si="1738"/>
        <v/>
      </c>
      <c r="T1891" s="7"/>
    </row>
    <row r="1892" ht="12.75" customHeight="1">
      <c r="A1892" s="7">
        <v>1891.0</v>
      </c>
      <c r="B1892" s="7" t="s">
        <v>2139</v>
      </c>
      <c r="C1892" s="7" t="s">
        <v>4795</v>
      </c>
      <c r="D1892" s="7" t="s">
        <v>2174</v>
      </c>
      <c r="E1892" s="7" t="s">
        <v>4829</v>
      </c>
      <c r="F1892" s="7" t="s">
        <v>4877</v>
      </c>
      <c r="G1892" s="7" t="s">
        <v>4227</v>
      </c>
      <c r="H1892" s="7" t="s">
        <v>4048</v>
      </c>
      <c r="I1892" s="7" t="s">
        <v>4233</v>
      </c>
      <c r="J1892" s="7" t="s">
        <v>4196</v>
      </c>
      <c r="K1892" s="7" t="str">
        <f t="shared" si="2"/>
        <v/>
      </c>
      <c r="L1892" s="7" t="str">
        <f t="shared" si="1735"/>
        <v/>
      </c>
      <c r="M1892" s="7">
        <f t="shared" ref="M1892:N1892" si="1916">IF(LEN(M$1),COUNTIF($G1892:$J1892,M$1),"")</f>
        <v>0</v>
      </c>
      <c r="N1892" s="7" t="str">
        <f t="shared" si="1916"/>
        <v/>
      </c>
      <c r="O1892" s="7" t="str">
        <f t="shared" si="1028"/>
        <v/>
      </c>
      <c r="P1892" s="7">
        <f t="shared" si="1737"/>
        <v>1</v>
      </c>
      <c r="Q1892" s="7" t="str">
        <f t="shared" si="1738"/>
        <v/>
      </c>
      <c r="T1892" s="7"/>
    </row>
    <row r="1893" ht="12.75" customHeight="1">
      <c r="A1893" s="7">
        <v>1892.0</v>
      </c>
      <c r="B1893" s="7" t="s">
        <v>2139</v>
      </c>
      <c r="C1893" s="7" t="s">
        <v>4795</v>
      </c>
      <c r="D1893" s="7" t="s">
        <v>2292</v>
      </c>
      <c r="E1893" s="7" t="s">
        <v>4798</v>
      </c>
      <c r="F1893" s="7" t="s">
        <v>4877</v>
      </c>
      <c r="G1893" s="7" t="s">
        <v>4387</v>
      </c>
      <c r="H1893" s="7" t="s">
        <v>4437</v>
      </c>
      <c r="I1893" s="7" t="s">
        <v>4356</v>
      </c>
      <c r="J1893" s="7" t="s">
        <v>4367</v>
      </c>
      <c r="K1893" s="7" t="str">
        <f t="shared" si="2"/>
        <v/>
      </c>
      <c r="L1893" s="7" t="str">
        <f t="shared" si="1735"/>
        <v/>
      </c>
      <c r="M1893" s="7">
        <f t="shared" ref="M1893:N1893" si="1917">IF(LEN(M$1),COUNTIF($G1893:$J1893,M$1),"")</f>
        <v>0</v>
      </c>
      <c r="N1893" s="7" t="str">
        <f t="shared" si="1917"/>
        <v/>
      </c>
      <c r="O1893" s="7" t="str">
        <f t="shared" si="1028"/>
        <v/>
      </c>
      <c r="P1893" s="7">
        <f t="shared" si="1737"/>
        <v>1</v>
      </c>
      <c r="Q1893" s="7" t="str">
        <f t="shared" si="1738"/>
        <v/>
      </c>
      <c r="T1893" s="7"/>
    </row>
    <row r="1894" ht="12.75" customHeight="1">
      <c r="A1894" s="7">
        <v>1893.0</v>
      </c>
      <c r="B1894" s="7" t="s">
        <v>2146</v>
      </c>
      <c r="C1894" s="7" t="s">
        <v>4795</v>
      </c>
      <c r="D1894" s="7" t="s">
        <v>1820</v>
      </c>
      <c r="E1894" s="7" t="s">
        <v>4846</v>
      </c>
      <c r="F1894" s="7" t="s">
        <v>4877</v>
      </c>
      <c r="G1894" s="7" t="s">
        <v>3980</v>
      </c>
      <c r="H1894" s="7" t="s">
        <v>4176</v>
      </c>
      <c r="I1894" s="7" t="s">
        <v>4225</v>
      </c>
      <c r="J1894" s="7" t="s">
        <v>3975</v>
      </c>
      <c r="K1894" s="7" t="str">
        <f t="shared" si="2"/>
        <v/>
      </c>
      <c r="L1894" s="7" t="str">
        <f t="shared" si="1735"/>
        <v/>
      </c>
      <c r="M1894" s="7">
        <f t="shared" ref="M1894:N1894" si="1918">IF(LEN(M$1),COUNTIF($G1894:$J1894,M$1),"")</f>
        <v>0</v>
      </c>
      <c r="N1894" s="7" t="str">
        <f t="shared" si="1918"/>
        <v/>
      </c>
      <c r="O1894" s="7" t="str">
        <f t="shared" si="1028"/>
        <v/>
      </c>
      <c r="P1894" s="7">
        <f t="shared" si="1737"/>
        <v>1</v>
      </c>
      <c r="Q1894" s="7" t="str">
        <f t="shared" si="1738"/>
        <v/>
      </c>
      <c r="T1894" s="7"/>
    </row>
    <row r="1895" ht="12.75" customHeight="1">
      <c r="A1895" s="7">
        <v>1894.0</v>
      </c>
      <c r="B1895" s="7" t="s">
        <v>2146</v>
      </c>
      <c r="C1895" s="7" t="s">
        <v>4795</v>
      </c>
      <c r="D1895" s="7" t="s">
        <v>885</v>
      </c>
      <c r="E1895" s="7" t="s">
        <v>4809</v>
      </c>
      <c r="F1895" s="7" t="s">
        <v>4877</v>
      </c>
      <c r="G1895" s="7" t="s">
        <v>4086</v>
      </c>
      <c r="H1895" s="7" t="s">
        <v>4189</v>
      </c>
      <c r="I1895" s="7" t="s">
        <v>4279</v>
      </c>
      <c r="J1895" s="7" t="s">
        <v>3981</v>
      </c>
      <c r="K1895" s="7" t="str">
        <f t="shared" si="2"/>
        <v/>
      </c>
      <c r="L1895" s="7" t="str">
        <f t="shared" si="1735"/>
        <v/>
      </c>
      <c r="M1895" s="7">
        <f t="shared" ref="M1895:N1895" si="1919">IF(LEN(M$1),COUNTIF($G1895:$J1895,M$1),"")</f>
        <v>0</v>
      </c>
      <c r="N1895" s="7" t="str">
        <f t="shared" si="1919"/>
        <v/>
      </c>
      <c r="O1895" s="7" t="str">
        <f t="shared" si="1028"/>
        <v/>
      </c>
      <c r="P1895" s="7">
        <f t="shared" si="1737"/>
        <v>1</v>
      </c>
      <c r="Q1895" s="7" t="str">
        <f t="shared" si="1738"/>
        <v/>
      </c>
      <c r="T1895" s="7"/>
    </row>
    <row r="1896" ht="12.75" customHeight="1">
      <c r="A1896" s="7">
        <v>1895.0</v>
      </c>
      <c r="B1896" s="7" t="s">
        <v>2152</v>
      </c>
      <c r="C1896" s="7" t="s">
        <v>4834</v>
      </c>
      <c r="D1896" s="7" t="s">
        <v>1703</v>
      </c>
      <c r="E1896" s="7" t="s">
        <v>4820</v>
      </c>
      <c r="F1896" s="7" t="s">
        <v>4877</v>
      </c>
      <c r="G1896" s="7" t="s">
        <v>4407</v>
      </c>
      <c r="H1896" s="7" t="s">
        <v>4358</v>
      </c>
      <c r="I1896" s="7" t="s">
        <v>4413</v>
      </c>
      <c r="J1896" s="7" t="s">
        <v>4418</v>
      </c>
      <c r="K1896" s="7" t="str">
        <f t="shared" si="2"/>
        <v/>
      </c>
      <c r="L1896" s="7" t="str">
        <f t="shared" si="1735"/>
        <v/>
      </c>
      <c r="M1896" s="7">
        <f t="shared" ref="M1896:N1896" si="1920">IF(LEN(M$1),COUNTIF($G1896:$J1896,M$1),"")</f>
        <v>0</v>
      </c>
      <c r="N1896" s="7" t="str">
        <f t="shared" si="1920"/>
        <v/>
      </c>
      <c r="O1896" s="7" t="str">
        <f t="shared" si="1028"/>
        <v/>
      </c>
      <c r="P1896" s="7">
        <f t="shared" si="1737"/>
        <v>1</v>
      </c>
      <c r="Q1896" s="7" t="str">
        <f t="shared" si="1738"/>
        <v/>
      </c>
      <c r="T1896" s="7"/>
    </row>
    <row r="1897" ht="12.75" customHeight="1">
      <c r="A1897" s="7">
        <v>1896.0</v>
      </c>
      <c r="B1897" s="7" t="s">
        <v>2152</v>
      </c>
      <c r="C1897" s="7" t="s">
        <v>4834</v>
      </c>
      <c r="D1897" s="7" t="s">
        <v>1864</v>
      </c>
      <c r="E1897" s="7" t="s">
        <v>4839</v>
      </c>
      <c r="F1897" s="7" t="s">
        <v>4877</v>
      </c>
      <c r="G1897" s="7" t="s">
        <v>4426</v>
      </c>
      <c r="H1897" s="7" t="s">
        <v>4402</v>
      </c>
      <c r="I1897" s="7" t="s">
        <v>4423</v>
      </c>
      <c r="J1897" s="7" t="s">
        <v>4438</v>
      </c>
      <c r="K1897" s="7" t="str">
        <f t="shared" si="2"/>
        <v/>
      </c>
      <c r="L1897" s="7" t="str">
        <f t="shared" si="1735"/>
        <v/>
      </c>
      <c r="M1897" s="7">
        <f t="shared" ref="M1897:N1897" si="1921">IF(LEN(M$1),COUNTIF($G1897:$J1897,M$1),"")</f>
        <v>0</v>
      </c>
      <c r="N1897" s="7" t="str">
        <f t="shared" si="1921"/>
        <v/>
      </c>
      <c r="O1897" s="7" t="str">
        <f t="shared" si="1028"/>
        <v/>
      </c>
      <c r="P1897" s="7">
        <f t="shared" si="1737"/>
        <v>1</v>
      </c>
      <c r="Q1897" s="7" t="str">
        <f t="shared" si="1738"/>
        <v/>
      </c>
      <c r="T1897" s="7"/>
    </row>
    <row r="1898" ht="12.75" customHeight="1">
      <c r="A1898" s="7">
        <v>1897.0</v>
      </c>
      <c r="B1898" s="7" t="s">
        <v>2152</v>
      </c>
      <c r="C1898" s="7" t="s">
        <v>4834</v>
      </c>
      <c r="D1898" s="7" t="s">
        <v>2240</v>
      </c>
      <c r="E1898" s="7" t="s">
        <v>4849</v>
      </c>
      <c r="F1898" s="7" t="s">
        <v>4877</v>
      </c>
      <c r="G1898" s="7" t="s">
        <v>4378</v>
      </c>
      <c r="H1898" s="7" t="s">
        <v>4356</v>
      </c>
      <c r="I1898" s="7" t="s">
        <v>4397</v>
      </c>
      <c r="J1898" s="7" t="s">
        <v>4439</v>
      </c>
      <c r="K1898" s="7" t="str">
        <f t="shared" si="2"/>
        <v/>
      </c>
      <c r="L1898" s="7" t="str">
        <f t="shared" si="1735"/>
        <v/>
      </c>
      <c r="M1898" s="7">
        <f t="shared" ref="M1898:N1898" si="1922">IF(LEN(M$1),COUNTIF($G1898:$J1898,M$1),"")</f>
        <v>0</v>
      </c>
      <c r="N1898" s="7" t="str">
        <f t="shared" si="1922"/>
        <v/>
      </c>
      <c r="O1898" s="7" t="str">
        <f t="shared" si="1028"/>
        <v/>
      </c>
      <c r="P1898" s="7">
        <f t="shared" si="1737"/>
        <v>1</v>
      </c>
      <c r="Q1898" s="7" t="str">
        <f t="shared" si="1738"/>
        <v/>
      </c>
      <c r="T1898" s="7"/>
    </row>
    <row r="1899" ht="12.75" customHeight="1">
      <c r="A1899" s="7">
        <v>1898.0</v>
      </c>
      <c r="B1899" s="7" t="s">
        <v>2160</v>
      </c>
      <c r="C1899" s="7" t="s">
        <v>4834</v>
      </c>
      <c r="D1899" s="7" t="s">
        <v>2152</v>
      </c>
      <c r="E1899" s="7" t="s">
        <v>4834</v>
      </c>
      <c r="F1899" s="7" t="s">
        <v>4877</v>
      </c>
      <c r="G1899" s="7" t="s">
        <v>4150</v>
      </c>
      <c r="H1899" s="7" t="s">
        <v>4042</v>
      </c>
      <c r="I1899" s="7" t="s">
        <v>3985</v>
      </c>
      <c r="J1899" s="7" t="s">
        <v>4179</v>
      </c>
      <c r="K1899" s="7" t="str">
        <f t="shared" si="2"/>
        <v/>
      </c>
      <c r="L1899" s="7" t="str">
        <f t="shared" si="1735"/>
        <v/>
      </c>
      <c r="M1899" s="7">
        <f t="shared" ref="M1899:N1899" si="1923">IF(LEN(M$1),COUNTIF($G1899:$J1899,M$1),"")</f>
        <v>0</v>
      </c>
      <c r="N1899" s="7" t="str">
        <f t="shared" si="1923"/>
        <v/>
      </c>
      <c r="O1899" s="7" t="str">
        <f t="shared" si="1028"/>
        <v/>
      </c>
      <c r="P1899" s="7">
        <f t="shared" si="1737"/>
        <v>1</v>
      </c>
      <c r="Q1899" s="7" t="str">
        <f t="shared" si="1738"/>
        <v/>
      </c>
      <c r="T1899" s="7"/>
    </row>
    <row r="1900" ht="12.75" customHeight="1">
      <c r="A1900" s="7">
        <v>1899.0</v>
      </c>
      <c r="B1900" s="7" t="s">
        <v>2160</v>
      </c>
      <c r="C1900" s="7" t="s">
        <v>4834</v>
      </c>
      <c r="D1900" s="7" t="s">
        <v>2182</v>
      </c>
      <c r="E1900" s="7" t="s">
        <v>4840</v>
      </c>
      <c r="F1900" s="7" t="s">
        <v>4877</v>
      </c>
      <c r="G1900" s="7" t="s">
        <v>4108</v>
      </c>
      <c r="H1900" s="7" t="s">
        <v>4223</v>
      </c>
      <c r="I1900" s="7" t="s">
        <v>4128</v>
      </c>
      <c r="J1900" s="7" t="s">
        <v>4211</v>
      </c>
      <c r="K1900" s="7" t="str">
        <f t="shared" si="2"/>
        <v/>
      </c>
      <c r="L1900" s="7" t="str">
        <f t="shared" si="1735"/>
        <v/>
      </c>
      <c r="M1900" s="7">
        <f t="shared" ref="M1900:N1900" si="1924">IF(LEN(M$1),COUNTIF($G1900:$J1900,M$1),"")</f>
        <v>0</v>
      </c>
      <c r="N1900" s="7" t="str">
        <f t="shared" si="1924"/>
        <v/>
      </c>
      <c r="O1900" s="7" t="str">
        <f t="shared" si="1028"/>
        <v/>
      </c>
      <c r="P1900" s="7">
        <f t="shared" si="1737"/>
        <v>1</v>
      </c>
      <c r="Q1900" s="7" t="str">
        <f t="shared" si="1738"/>
        <v/>
      </c>
      <c r="T1900" s="7"/>
    </row>
    <row r="1901" ht="12.75" customHeight="1">
      <c r="A1901" s="7">
        <v>1900.0</v>
      </c>
      <c r="B1901" s="7" t="s">
        <v>2160</v>
      </c>
      <c r="C1901" s="7" t="s">
        <v>4834</v>
      </c>
      <c r="D1901" s="7" t="s">
        <v>791</v>
      </c>
      <c r="E1901" s="7" t="s">
        <v>4818</v>
      </c>
      <c r="F1901" s="7" t="s">
        <v>4877</v>
      </c>
      <c r="G1901" s="7" t="s">
        <v>4003</v>
      </c>
      <c r="H1901" s="7" t="s">
        <v>3989</v>
      </c>
      <c r="I1901" s="7" t="s">
        <v>3998</v>
      </c>
      <c r="J1901" s="7" t="s">
        <v>4137</v>
      </c>
      <c r="K1901" s="7" t="str">
        <f t="shared" si="2"/>
        <v/>
      </c>
      <c r="L1901" s="7" t="str">
        <f t="shared" si="1735"/>
        <v/>
      </c>
      <c r="M1901" s="7">
        <f t="shared" ref="M1901:N1901" si="1925">IF(LEN(M$1),COUNTIF($G1901:$J1901,M$1),"")</f>
        <v>0</v>
      </c>
      <c r="N1901" s="7" t="str">
        <f t="shared" si="1925"/>
        <v/>
      </c>
      <c r="O1901" s="7" t="str">
        <f t="shared" si="1028"/>
        <v/>
      </c>
      <c r="P1901" s="7">
        <f t="shared" si="1737"/>
        <v>1</v>
      </c>
      <c r="Q1901" s="7" t="str">
        <f t="shared" si="1738"/>
        <v/>
      </c>
      <c r="T1901" s="7"/>
    </row>
    <row r="1902" ht="12.75" customHeight="1">
      <c r="A1902" s="7">
        <v>1901.0</v>
      </c>
      <c r="B1902" s="7" t="s">
        <v>2160</v>
      </c>
      <c r="C1902" s="7" t="s">
        <v>4834</v>
      </c>
      <c r="D1902" s="7" t="s">
        <v>2225</v>
      </c>
      <c r="E1902" s="7" t="s">
        <v>4850</v>
      </c>
      <c r="F1902" s="7" t="s">
        <v>4877</v>
      </c>
      <c r="G1902" s="7" t="s">
        <v>4024</v>
      </c>
      <c r="H1902" s="7" t="s">
        <v>4046</v>
      </c>
      <c r="I1902" s="7" t="s">
        <v>4120</v>
      </c>
      <c r="J1902" s="7" t="s">
        <v>4093</v>
      </c>
      <c r="K1902" s="7" t="str">
        <f t="shared" si="2"/>
        <v/>
      </c>
      <c r="L1902" s="7" t="str">
        <f t="shared" si="1735"/>
        <v/>
      </c>
      <c r="M1902" s="7">
        <f t="shared" ref="M1902:N1902" si="1926">IF(LEN(M$1),COUNTIF($G1902:$J1902,M$1),"")</f>
        <v>0</v>
      </c>
      <c r="N1902" s="7" t="str">
        <f t="shared" si="1926"/>
        <v/>
      </c>
      <c r="O1902" s="7" t="str">
        <f t="shared" si="1028"/>
        <v/>
      </c>
      <c r="P1902" s="7">
        <f t="shared" si="1737"/>
        <v>1</v>
      </c>
      <c r="Q1902" s="7" t="str">
        <f t="shared" si="1738"/>
        <v/>
      </c>
      <c r="T1902" s="7"/>
    </row>
    <row r="1903" ht="12.75" customHeight="1">
      <c r="A1903" s="7">
        <v>1902.0</v>
      </c>
      <c r="B1903" s="7" t="s">
        <v>2168</v>
      </c>
      <c r="C1903" s="7" t="s">
        <v>4829</v>
      </c>
      <c r="D1903" s="7" t="s">
        <v>547</v>
      </c>
      <c r="E1903" s="7" t="s">
        <v>4845</v>
      </c>
      <c r="F1903" s="7" t="s">
        <v>4877</v>
      </c>
      <c r="G1903" s="7" t="s">
        <v>4411</v>
      </c>
      <c r="H1903" s="7" t="s">
        <v>4399</v>
      </c>
      <c r="I1903" s="7" t="s">
        <v>4380</v>
      </c>
      <c r="J1903" s="7" t="s">
        <v>4357</v>
      </c>
      <c r="K1903" s="7" t="str">
        <f t="shared" si="2"/>
        <v/>
      </c>
      <c r="L1903" s="7" t="str">
        <f t="shared" si="1735"/>
        <v/>
      </c>
      <c r="M1903" s="7">
        <f t="shared" ref="M1903:N1903" si="1927">IF(LEN(M$1),COUNTIF($G1903:$J1903,M$1),"")</f>
        <v>0</v>
      </c>
      <c r="N1903" s="7" t="str">
        <f t="shared" si="1927"/>
        <v/>
      </c>
      <c r="O1903" s="7" t="str">
        <f t="shared" si="1028"/>
        <v/>
      </c>
      <c r="P1903" s="7">
        <f t="shared" si="1737"/>
        <v>1</v>
      </c>
      <c r="Q1903" s="7" t="str">
        <f t="shared" si="1738"/>
        <v/>
      </c>
      <c r="T1903" s="7"/>
    </row>
    <row r="1904" ht="12.75" customHeight="1">
      <c r="A1904" s="7">
        <v>1903.0</v>
      </c>
      <c r="B1904" s="7" t="s">
        <v>2168</v>
      </c>
      <c r="C1904" s="7" t="s">
        <v>4829</v>
      </c>
      <c r="D1904" s="7" t="s">
        <v>1770</v>
      </c>
      <c r="E1904" s="7" t="s">
        <v>4837</v>
      </c>
      <c r="F1904" s="7" t="s">
        <v>4877</v>
      </c>
      <c r="G1904" s="7" t="s">
        <v>4377</v>
      </c>
      <c r="H1904" s="7" t="s">
        <v>4373</v>
      </c>
      <c r="I1904" s="7" t="s">
        <v>4400</v>
      </c>
      <c r="J1904" s="7" t="s">
        <v>4363</v>
      </c>
      <c r="K1904" s="7" t="str">
        <f t="shared" si="2"/>
        <v/>
      </c>
      <c r="L1904" s="7" t="str">
        <f t="shared" si="1735"/>
        <v/>
      </c>
      <c r="M1904" s="7">
        <f t="shared" ref="M1904:N1904" si="1928">IF(LEN(M$1),COUNTIF($G1904:$J1904,M$1),"")</f>
        <v>0</v>
      </c>
      <c r="N1904" s="7" t="str">
        <f t="shared" si="1928"/>
        <v/>
      </c>
      <c r="O1904" s="7" t="str">
        <f t="shared" si="1028"/>
        <v/>
      </c>
      <c r="P1904" s="7">
        <f t="shared" si="1737"/>
        <v>1</v>
      </c>
      <c r="Q1904" s="7" t="str">
        <f t="shared" si="1738"/>
        <v/>
      </c>
      <c r="T1904" s="7"/>
    </row>
    <row r="1905" ht="12.75" customHeight="1">
      <c r="A1905" s="7">
        <v>1904.0</v>
      </c>
      <c r="B1905" s="7" t="s">
        <v>2168</v>
      </c>
      <c r="C1905" s="7" t="s">
        <v>4829</v>
      </c>
      <c r="D1905" s="7" t="s">
        <v>1786</v>
      </c>
      <c r="E1905" s="7" t="s">
        <v>4845</v>
      </c>
      <c r="F1905" s="7" t="s">
        <v>4877</v>
      </c>
      <c r="G1905" s="7" t="s">
        <v>4282</v>
      </c>
      <c r="H1905" s="7" t="s">
        <v>4188</v>
      </c>
      <c r="I1905" s="7" t="s">
        <v>4196</v>
      </c>
      <c r="J1905" s="7" t="s">
        <v>4022</v>
      </c>
      <c r="K1905" s="7" t="str">
        <f t="shared" si="2"/>
        <v/>
      </c>
      <c r="L1905" s="7" t="str">
        <f t="shared" si="1735"/>
        <v/>
      </c>
      <c r="M1905" s="7">
        <f t="shared" ref="M1905:N1905" si="1929">IF(LEN(M$1),COUNTIF($G1905:$J1905,M$1),"")</f>
        <v>0</v>
      </c>
      <c r="N1905" s="7" t="str">
        <f t="shared" si="1929"/>
        <v/>
      </c>
      <c r="O1905" s="7" t="str">
        <f t="shared" si="1028"/>
        <v/>
      </c>
      <c r="P1905" s="7">
        <f t="shared" si="1737"/>
        <v>1</v>
      </c>
      <c r="Q1905" s="7" t="str">
        <f t="shared" si="1738"/>
        <v/>
      </c>
      <c r="T1905" s="7"/>
    </row>
    <row r="1906" ht="12.75" customHeight="1">
      <c r="A1906" s="7">
        <v>1905.0</v>
      </c>
      <c r="B1906" s="7" t="s">
        <v>2168</v>
      </c>
      <c r="C1906" s="7" t="s">
        <v>4829</v>
      </c>
      <c r="D1906" s="7" t="s">
        <v>1828</v>
      </c>
      <c r="E1906" s="7" t="s">
        <v>4852</v>
      </c>
      <c r="F1906" s="7" t="s">
        <v>4877</v>
      </c>
      <c r="G1906" s="7" t="s">
        <v>4267</v>
      </c>
      <c r="H1906" s="7" t="s">
        <v>3999</v>
      </c>
      <c r="I1906" s="7" t="s">
        <v>4100</v>
      </c>
      <c r="J1906" s="7" t="s">
        <v>4246</v>
      </c>
      <c r="K1906" s="7" t="str">
        <f t="shared" si="2"/>
        <v/>
      </c>
      <c r="L1906" s="7" t="str">
        <f t="shared" si="1735"/>
        <v/>
      </c>
      <c r="M1906" s="7">
        <f t="shared" ref="M1906:N1906" si="1930">IF(LEN(M$1),COUNTIF($G1906:$J1906,M$1),"")</f>
        <v>0</v>
      </c>
      <c r="N1906" s="7" t="str">
        <f t="shared" si="1930"/>
        <v/>
      </c>
      <c r="O1906" s="7" t="str">
        <f t="shared" si="1028"/>
        <v/>
      </c>
      <c r="P1906" s="7">
        <f t="shared" si="1737"/>
        <v>1</v>
      </c>
      <c r="Q1906" s="7" t="str">
        <f t="shared" si="1738"/>
        <v/>
      </c>
      <c r="T1906" s="7"/>
    </row>
    <row r="1907" ht="12.75" customHeight="1">
      <c r="A1907" s="7">
        <v>1906.0</v>
      </c>
      <c r="B1907" s="7" t="s">
        <v>2182</v>
      </c>
      <c r="C1907" s="7" t="s">
        <v>4840</v>
      </c>
      <c r="D1907" s="7" t="s">
        <v>547</v>
      </c>
      <c r="E1907" s="7" t="s">
        <v>4845</v>
      </c>
      <c r="F1907" s="7" t="s">
        <v>4877</v>
      </c>
      <c r="G1907" s="7" t="s">
        <v>4407</v>
      </c>
      <c r="H1907" s="7" t="s">
        <v>4361</v>
      </c>
      <c r="I1907" s="7" t="s">
        <v>4358</v>
      </c>
      <c r="J1907" s="7" t="s">
        <v>4369</v>
      </c>
      <c r="K1907" s="7" t="str">
        <f t="shared" si="2"/>
        <v/>
      </c>
      <c r="L1907" s="7" t="str">
        <f t="shared" si="1735"/>
        <v/>
      </c>
      <c r="M1907" s="7">
        <f t="shared" ref="M1907:N1907" si="1931">IF(LEN(M$1),COUNTIF($G1907:$J1907,M$1),"")</f>
        <v>0</v>
      </c>
      <c r="N1907" s="7" t="str">
        <f t="shared" si="1931"/>
        <v/>
      </c>
      <c r="O1907" s="7" t="str">
        <f t="shared" si="1028"/>
        <v/>
      </c>
      <c r="P1907" s="7">
        <f t="shared" si="1737"/>
        <v>1</v>
      </c>
      <c r="Q1907" s="7" t="str">
        <f t="shared" si="1738"/>
        <v/>
      </c>
      <c r="T1907" s="7"/>
    </row>
    <row r="1908" ht="12.75" customHeight="1">
      <c r="A1908" s="7">
        <v>1907.0</v>
      </c>
      <c r="B1908" s="7" t="s">
        <v>2182</v>
      </c>
      <c r="C1908" s="7" t="s">
        <v>4840</v>
      </c>
      <c r="D1908" s="7" t="s">
        <v>2019</v>
      </c>
      <c r="E1908" s="7" t="s">
        <v>4849</v>
      </c>
      <c r="F1908" s="7" t="s">
        <v>4877</v>
      </c>
      <c r="G1908" s="7" t="s">
        <v>4082</v>
      </c>
      <c r="H1908" s="7" t="s">
        <v>4140</v>
      </c>
      <c r="I1908" s="7" t="s">
        <v>4242</v>
      </c>
      <c r="J1908" s="7" t="s">
        <v>4200</v>
      </c>
      <c r="K1908" s="7">
        <f t="shared" si="2"/>
        <v>1907</v>
      </c>
      <c r="L1908" s="7" t="str">
        <f t="shared" si="1735"/>
        <v/>
      </c>
      <c r="M1908" s="7">
        <f t="shared" ref="M1908:N1908" si="1932">IF(LEN(M$1),COUNTIF($G1908:$J1908,M$1),"")</f>
        <v>0</v>
      </c>
      <c r="N1908" s="7" t="str">
        <f t="shared" si="1932"/>
        <v/>
      </c>
      <c r="O1908" s="7" t="str">
        <f t="shared" si="1028"/>
        <v/>
      </c>
      <c r="P1908" s="7">
        <f t="shared" si="1737"/>
        <v>1</v>
      </c>
      <c r="Q1908" s="7" t="str">
        <f t="shared" si="1738"/>
        <v/>
      </c>
      <c r="T1908" s="7"/>
    </row>
    <row r="1909" ht="12.75" customHeight="1">
      <c r="A1909" s="7">
        <v>1908.0</v>
      </c>
      <c r="B1909" s="7" t="s">
        <v>2182</v>
      </c>
      <c r="C1909" s="7" t="s">
        <v>4840</v>
      </c>
      <c r="D1909" s="7" t="s">
        <v>2152</v>
      </c>
      <c r="E1909" s="7" t="s">
        <v>4834</v>
      </c>
      <c r="F1909" s="7" t="s">
        <v>4877</v>
      </c>
      <c r="G1909" s="7" t="s">
        <v>4397</v>
      </c>
      <c r="H1909" s="7" t="s">
        <v>4400</v>
      </c>
      <c r="I1909" s="7" t="s">
        <v>4357</v>
      </c>
      <c r="J1909" s="7" t="s">
        <v>4415</v>
      </c>
      <c r="K1909" s="7" t="str">
        <f t="shared" si="2"/>
        <v/>
      </c>
      <c r="L1909" s="7" t="str">
        <f t="shared" si="1735"/>
        <v/>
      </c>
      <c r="M1909" s="7">
        <f t="shared" ref="M1909:N1909" si="1933">IF(LEN(M$1),COUNTIF($G1909:$J1909,M$1),"")</f>
        <v>0</v>
      </c>
      <c r="N1909" s="7" t="str">
        <f t="shared" si="1933"/>
        <v/>
      </c>
      <c r="O1909" s="7" t="str">
        <f t="shared" si="1028"/>
        <v/>
      </c>
      <c r="P1909" s="7">
        <f t="shared" si="1737"/>
        <v>1</v>
      </c>
      <c r="Q1909" s="7" t="str">
        <f t="shared" si="1738"/>
        <v/>
      </c>
      <c r="T1909" s="7"/>
    </row>
    <row r="1910" ht="12.75" customHeight="1">
      <c r="A1910" s="7">
        <v>1909.0</v>
      </c>
      <c r="B1910" s="7" t="s">
        <v>2182</v>
      </c>
      <c r="C1910" s="7" t="s">
        <v>4840</v>
      </c>
      <c r="D1910" s="7" t="s">
        <v>2255</v>
      </c>
      <c r="E1910" s="7" t="s">
        <v>4809</v>
      </c>
      <c r="F1910" s="7" t="s">
        <v>4877</v>
      </c>
      <c r="G1910" s="7" t="s">
        <v>4225</v>
      </c>
      <c r="H1910" s="7" t="s">
        <v>4248</v>
      </c>
      <c r="I1910" s="7" t="s">
        <v>4192</v>
      </c>
      <c r="J1910" s="7" t="s">
        <v>3973</v>
      </c>
      <c r="K1910" s="7" t="str">
        <f t="shared" si="2"/>
        <v/>
      </c>
      <c r="L1910" s="7" t="str">
        <f t="shared" si="1735"/>
        <v/>
      </c>
      <c r="M1910" s="7">
        <f t="shared" ref="M1910:N1910" si="1934">IF(LEN(M$1),COUNTIF($G1910:$J1910,M$1),"")</f>
        <v>0</v>
      </c>
      <c r="N1910" s="7" t="str">
        <f t="shared" si="1934"/>
        <v/>
      </c>
      <c r="O1910" s="7" t="str">
        <f t="shared" si="1028"/>
        <v/>
      </c>
      <c r="P1910" s="7">
        <f t="shared" si="1737"/>
        <v>1</v>
      </c>
      <c r="Q1910" s="7" t="str">
        <f t="shared" si="1738"/>
        <v/>
      </c>
      <c r="T1910" s="7"/>
    </row>
    <row r="1911" ht="12.75" customHeight="1">
      <c r="A1911" s="7">
        <v>1910.0</v>
      </c>
      <c r="B1911" s="7" t="s">
        <v>2189</v>
      </c>
      <c r="C1911" s="7" t="s">
        <v>4840</v>
      </c>
      <c r="D1911" s="7" t="s">
        <v>1710</v>
      </c>
      <c r="E1911" s="7" t="s">
        <v>4830</v>
      </c>
      <c r="F1911" s="7" t="s">
        <v>4877</v>
      </c>
      <c r="G1911" s="7" t="s">
        <v>4431</v>
      </c>
      <c r="H1911" s="7" t="s">
        <v>4393</v>
      </c>
      <c r="I1911" s="7" t="s">
        <v>4366</v>
      </c>
      <c r="J1911" s="7" t="s">
        <v>4364</v>
      </c>
      <c r="K1911" s="7" t="str">
        <f t="shared" si="2"/>
        <v/>
      </c>
      <c r="L1911" s="7" t="str">
        <f t="shared" si="1735"/>
        <v/>
      </c>
      <c r="M1911" s="7">
        <f t="shared" ref="M1911:N1911" si="1935">IF(LEN(M$1),COUNTIF($G1911:$J1911,M$1),"")</f>
        <v>0</v>
      </c>
      <c r="N1911" s="7" t="str">
        <f t="shared" si="1935"/>
        <v/>
      </c>
      <c r="O1911" s="7" t="str">
        <f t="shared" si="1028"/>
        <v/>
      </c>
      <c r="P1911" s="7">
        <f t="shared" si="1737"/>
        <v>1</v>
      </c>
      <c r="Q1911" s="7" t="str">
        <f t="shared" si="1738"/>
        <v/>
      </c>
      <c r="T1911" s="7"/>
    </row>
    <row r="1912" ht="12.75" customHeight="1">
      <c r="A1912" s="7">
        <v>1911.0</v>
      </c>
      <c r="B1912" s="7" t="s">
        <v>2189</v>
      </c>
      <c r="C1912" s="7" t="s">
        <v>4840</v>
      </c>
      <c r="D1912" s="7" t="s">
        <v>1718</v>
      </c>
      <c r="E1912" s="7" t="s">
        <v>4830</v>
      </c>
      <c r="F1912" s="7" t="s">
        <v>4877</v>
      </c>
      <c r="G1912" s="7" t="s">
        <v>4375</v>
      </c>
      <c r="H1912" s="7" t="s">
        <v>4404</v>
      </c>
      <c r="I1912" s="7" t="s">
        <v>4424</v>
      </c>
      <c r="J1912" s="7" t="s">
        <v>4436</v>
      </c>
      <c r="K1912" s="7" t="str">
        <f t="shared" si="2"/>
        <v/>
      </c>
      <c r="L1912" s="7" t="str">
        <f t="shared" si="1735"/>
        <v/>
      </c>
      <c r="M1912" s="7">
        <f t="shared" ref="M1912:N1912" si="1936">IF(LEN(M$1),COUNTIF($G1912:$J1912,M$1),"")</f>
        <v>0</v>
      </c>
      <c r="N1912" s="7" t="str">
        <f t="shared" si="1936"/>
        <v/>
      </c>
      <c r="O1912" s="7" t="str">
        <f t="shared" si="1028"/>
        <v/>
      </c>
      <c r="P1912" s="7">
        <f t="shared" si="1737"/>
        <v>1</v>
      </c>
      <c r="Q1912" s="7" t="str">
        <f t="shared" si="1738"/>
        <v/>
      </c>
      <c r="T1912" s="7"/>
    </row>
    <row r="1913" ht="12.75" customHeight="1">
      <c r="A1913" s="7">
        <v>1912.0</v>
      </c>
      <c r="B1913" s="7" t="s">
        <v>2189</v>
      </c>
      <c r="C1913" s="7" t="s">
        <v>4840</v>
      </c>
      <c r="D1913" s="7" t="s">
        <v>2051</v>
      </c>
      <c r="E1913" s="7" t="s">
        <v>4815</v>
      </c>
      <c r="F1913" s="7" t="s">
        <v>4877</v>
      </c>
      <c r="G1913" s="7" t="s">
        <v>4147</v>
      </c>
      <c r="H1913" s="7" t="s">
        <v>4142</v>
      </c>
      <c r="I1913" s="7" t="s">
        <v>4017</v>
      </c>
      <c r="J1913" s="7" t="s">
        <v>4059</v>
      </c>
      <c r="K1913" s="7" t="str">
        <f t="shared" si="2"/>
        <v/>
      </c>
      <c r="L1913" s="7" t="str">
        <f t="shared" si="1735"/>
        <v/>
      </c>
      <c r="M1913" s="7">
        <f t="shared" ref="M1913:N1913" si="1937">IF(LEN(M$1),COUNTIF($G1913:$J1913,M$1),"")</f>
        <v>0</v>
      </c>
      <c r="N1913" s="7" t="str">
        <f t="shared" si="1937"/>
        <v/>
      </c>
      <c r="O1913" s="7" t="str">
        <f t="shared" si="1028"/>
        <v/>
      </c>
      <c r="P1913" s="7">
        <f t="shared" si="1737"/>
        <v>1</v>
      </c>
      <c r="Q1913" s="7" t="str">
        <f t="shared" si="1738"/>
        <v/>
      </c>
      <c r="T1913" s="7"/>
    </row>
    <row r="1914" ht="12.75" customHeight="1">
      <c r="A1914" s="7">
        <v>1913.0</v>
      </c>
      <c r="B1914" s="7" t="s">
        <v>2189</v>
      </c>
      <c r="C1914" s="7" t="s">
        <v>4840</v>
      </c>
      <c r="D1914" s="7" t="s">
        <v>1360</v>
      </c>
      <c r="E1914" s="7" t="s">
        <v>4814</v>
      </c>
      <c r="F1914" s="7" t="s">
        <v>4877</v>
      </c>
      <c r="G1914" s="7" t="s">
        <v>4381</v>
      </c>
      <c r="H1914" s="7" t="s">
        <v>4373</v>
      </c>
      <c r="I1914" s="7" t="s">
        <v>4391</v>
      </c>
      <c r="J1914" s="7" t="s">
        <v>4363</v>
      </c>
      <c r="K1914" s="7" t="str">
        <f t="shared" si="2"/>
        <v/>
      </c>
      <c r="L1914" s="7" t="str">
        <f t="shared" si="1735"/>
        <v/>
      </c>
      <c r="M1914" s="7">
        <f t="shared" ref="M1914:N1914" si="1938">IF(LEN(M$1),COUNTIF($G1914:$J1914,M$1),"")</f>
        <v>0</v>
      </c>
      <c r="N1914" s="7" t="str">
        <f t="shared" si="1938"/>
        <v/>
      </c>
      <c r="O1914" s="7" t="str">
        <f t="shared" si="1028"/>
        <v/>
      </c>
      <c r="P1914" s="7">
        <f t="shared" si="1737"/>
        <v>1</v>
      </c>
      <c r="Q1914" s="7" t="str">
        <f t="shared" si="1738"/>
        <v/>
      </c>
      <c r="T1914" s="7"/>
    </row>
    <row r="1915" ht="12.75" customHeight="1">
      <c r="A1915" s="7">
        <v>1914.0</v>
      </c>
      <c r="B1915" s="7" t="s">
        <v>2189</v>
      </c>
      <c r="C1915" s="7" t="s">
        <v>4840</v>
      </c>
      <c r="D1915" s="7" t="s">
        <v>2168</v>
      </c>
      <c r="E1915" s="7" t="s">
        <v>4829</v>
      </c>
      <c r="F1915" s="7" t="s">
        <v>4877</v>
      </c>
      <c r="G1915" s="7" t="s">
        <v>4147</v>
      </c>
      <c r="H1915" s="7" t="s">
        <v>4168</v>
      </c>
      <c r="I1915" s="7" t="s">
        <v>4017</v>
      </c>
      <c r="J1915" s="7" t="s">
        <v>3969</v>
      </c>
      <c r="K1915" s="7" t="str">
        <f t="shared" si="2"/>
        <v/>
      </c>
      <c r="L1915" s="7" t="str">
        <f t="shared" si="1735"/>
        <v/>
      </c>
      <c r="M1915" s="7">
        <f t="shared" ref="M1915:N1915" si="1939">IF(LEN(M$1),COUNTIF($G1915:$J1915,M$1),"")</f>
        <v>0</v>
      </c>
      <c r="N1915" s="7" t="str">
        <f t="shared" si="1939"/>
        <v/>
      </c>
      <c r="O1915" s="7" t="str">
        <f t="shared" si="1028"/>
        <v/>
      </c>
      <c r="P1915" s="7">
        <f t="shared" si="1737"/>
        <v>1</v>
      </c>
      <c r="Q1915" s="7" t="str">
        <f t="shared" si="1738"/>
        <v/>
      </c>
      <c r="T1915" s="7"/>
    </row>
    <row r="1916" ht="12.75" customHeight="1">
      <c r="A1916" s="7">
        <v>1915.0</v>
      </c>
      <c r="B1916" s="7" t="s">
        <v>791</v>
      </c>
      <c r="C1916" s="7" t="s">
        <v>4818</v>
      </c>
      <c r="D1916" s="7" t="s">
        <v>1843</v>
      </c>
      <c r="E1916" s="7" t="s">
        <v>3108</v>
      </c>
      <c r="F1916" s="7" t="s">
        <v>4877</v>
      </c>
      <c r="G1916" s="7" t="s">
        <v>4080</v>
      </c>
      <c r="H1916" s="7" t="s">
        <v>4170</v>
      </c>
      <c r="I1916" s="7" t="s">
        <v>4141</v>
      </c>
      <c r="J1916" s="7" t="s">
        <v>4082</v>
      </c>
      <c r="K1916" s="7" t="str">
        <f t="shared" si="2"/>
        <v/>
      </c>
      <c r="L1916" s="7" t="str">
        <f t="shared" si="1735"/>
        <v/>
      </c>
      <c r="M1916" s="7">
        <f t="shared" ref="M1916:N1916" si="1940">IF(LEN(M$1),COUNTIF($G1916:$J1916,M$1),"")</f>
        <v>0</v>
      </c>
      <c r="N1916" s="7" t="str">
        <f t="shared" si="1940"/>
        <v/>
      </c>
      <c r="O1916" s="7" t="str">
        <f t="shared" si="1028"/>
        <v/>
      </c>
      <c r="P1916" s="7">
        <f t="shared" si="1737"/>
        <v>1</v>
      </c>
      <c r="Q1916" s="7" t="str">
        <f t="shared" si="1738"/>
        <v/>
      </c>
      <c r="T1916" s="7"/>
    </row>
    <row r="1917" ht="12.75" customHeight="1">
      <c r="A1917" s="7">
        <v>1916.0</v>
      </c>
      <c r="B1917" s="7" t="s">
        <v>791</v>
      </c>
      <c r="C1917" s="7" t="s">
        <v>4818</v>
      </c>
      <c r="D1917" s="7" t="s">
        <v>2189</v>
      </c>
      <c r="E1917" s="7" t="s">
        <v>4840</v>
      </c>
      <c r="F1917" s="7" t="s">
        <v>4877</v>
      </c>
      <c r="G1917" s="7" t="s">
        <v>4436</v>
      </c>
      <c r="H1917" s="7" t="s">
        <v>4402</v>
      </c>
      <c r="I1917" s="7" t="s">
        <v>4376</v>
      </c>
      <c r="J1917" s="7" t="s">
        <v>4438</v>
      </c>
      <c r="K1917" s="7" t="str">
        <f t="shared" si="2"/>
        <v/>
      </c>
      <c r="L1917" s="7" t="str">
        <f t="shared" si="1735"/>
        <v/>
      </c>
      <c r="M1917" s="7">
        <f t="shared" ref="M1917:N1917" si="1941">IF(LEN(M$1),COUNTIF($G1917:$J1917,M$1),"")</f>
        <v>0</v>
      </c>
      <c r="N1917" s="7" t="str">
        <f t="shared" si="1941"/>
        <v/>
      </c>
      <c r="O1917" s="7" t="str">
        <f t="shared" si="1028"/>
        <v/>
      </c>
      <c r="P1917" s="7">
        <f t="shared" si="1737"/>
        <v>1</v>
      </c>
      <c r="Q1917" s="7" t="str">
        <f t="shared" si="1738"/>
        <v/>
      </c>
      <c r="T1917" s="7"/>
    </row>
    <row r="1918" ht="12.75" customHeight="1">
      <c r="A1918" s="7">
        <v>1917.0</v>
      </c>
      <c r="B1918" s="7" t="s">
        <v>2203</v>
      </c>
      <c r="C1918" s="7" t="s">
        <v>4818</v>
      </c>
      <c r="D1918" s="7" t="s">
        <v>1813</v>
      </c>
      <c r="E1918" s="7" t="s">
        <v>4846</v>
      </c>
      <c r="F1918" s="7" t="s">
        <v>4877</v>
      </c>
      <c r="G1918" s="7" t="s">
        <v>4414</v>
      </c>
      <c r="H1918" s="7" t="s">
        <v>4360</v>
      </c>
      <c r="I1918" s="7" t="s">
        <v>4386</v>
      </c>
      <c r="J1918" s="7" t="s">
        <v>4383</v>
      </c>
      <c r="K1918" s="7" t="str">
        <f t="shared" si="2"/>
        <v/>
      </c>
      <c r="L1918" s="7" t="str">
        <f t="shared" si="1735"/>
        <v/>
      </c>
      <c r="M1918" s="7">
        <f t="shared" ref="M1918:N1918" si="1942">IF(LEN(M$1),COUNTIF($G1918:$J1918,M$1),"")</f>
        <v>0</v>
      </c>
      <c r="N1918" s="7" t="str">
        <f t="shared" si="1942"/>
        <v/>
      </c>
      <c r="O1918" s="7" t="str">
        <f t="shared" si="1028"/>
        <v/>
      </c>
      <c r="P1918" s="7">
        <f t="shared" si="1737"/>
        <v>1</v>
      </c>
      <c r="Q1918" s="7" t="str">
        <f t="shared" si="1738"/>
        <v/>
      </c>
      <c r="T1918" s="7"/>
    </row>
    <row r="1919" ht="12.75" customHeight="1">
      <c r="A1919" s="7">
        <v>1918.0</v>
      </c>
      <c r="B1919" s="7" t="s">
        <v>2203</v>
      </c>
      <c r="C1919" s="7" t="s">
        <v>4818</v>
      </c>
      <c r="D1919" s="7" t="s">
        <v>1820</v>
      </c>
      <c r="E1919" s="7" t="s">
        <v>4846</v>
      </c>
      <c r="F1919" s="7" t="s">
        <v>4877</v>
      </c>
      <c r="G1919" s="7" t="s">
        <v>4359</v>
      </c>
      <c r="H1919" s="7" t="s">
        <v>4355</v>
      </c>
      <c r="I1919" s="7" t="s">
        <v>4439</v>
      </c>
      <c r="J1919" s="7" t="s">
        <v>4377</v>
      </c>
      <c r="K1919" s="7" t="str">
        <f t="shared" si="2"/>
        <v/>
      </c>
      <c r="L1919" s="7" t="str">
        <f t="shared" si="1735"/>
        <v/>
      </c>
      <c r="M1919" s="7">
        <f t="shared" ref="M1919:N1919" si="1943">IF(LEN(M$1),COUNTIF($G1919:$J1919,M$1),"")</f>
        <v>0</v>
      </c>
      <c r="N1919" s="7" t="str">
        <f t="shared" si="1943"/>
        <v/>
      </c>
      <c r="O1919" s="7" t="str">
        <f t="shared" si="1028"/>
        <v/>
      </c>
      <c r="P1919" s="7">
        <f t="shared" si="1737"/>
        <v>1</v>
      </c>
      <c r="Q1919" s="7" t="str">
        <f t="shared" si="1738"/>
        <v/>
      </c>
      <c r="T1919" s="7"/>
    </row>
    <row r="1920" ht="12.75" customHeight="1">
      <c r="A1920" s="7">
        <v>1919.0</v>
      </c>
      <c r="B1920" s="7" t="s">
        <v>2203</v>
      </c>
      <c r="C1920" s="7" t="s">
        <v>4818</v>
      </c>
      <c r="D1920" s="7" t="s">
        <v>2081</v>
      </c>
      <c r="E1920" s="7" t="s">
        <v>4812</v>
      </c>
      <c r="F1920" s="7" t="s">
        <v>4877</v>
      </c>
      <c r="G1920" s="7" t="s">
        <v>4174</v>
      </c>
      <c r="H1920" s="7" t="s">
        <v>4041</v>
      </c>
      <c r="I1920" s="7" t="s">
        <v>4202</v>
      </c>
      <c r="J1920" s="7" t="s">
        <v>4144</v>
      </c>
      <c r="K1920" s="7" t="str">
        <f t="shared" si="2"/>
        <v/>
      </c>
      <c r="L1920" s="7" t="str">
        <f t="shared" si="1735"/>
        <v/>
      </c>
      <c r="M1920" s="7">
        <f t="shared" ref="M1920:N1920" si="1944">IF(LEN(M$1),COUNTIF($G1920:$J1920,M$1),"")</f>
        <v>0</v>
      </c>
      <c r="N1920" s="7" t="str">
        <f t="shared" si="1944"/>
        <v/>
      </c>
      <c r="O1920" s="7" t="str">
        <f t="shared" si="1028"/>
        <v/>
      </c>
      <c r="P1920" s="7">
        <f t="shared" si="1737"/>
        <v>1</v>
      </c>
      <c r="Q1920" s="7" t="str">
        <f t="shared" si="1738"/>
        <v/>
      </c>
      <c r="T1920" s="7"/>
    </row>
    <row r="1921" ht="12.75" customHeight="1">
      <c r="A1921" s="7">
        <v>1920.0</v>
      </c>
      <c r="B1921" s="7" t="s">
        <v>2203</v>
      </c>
      <c r="C1921" s="7" t="s">
        <v>4818</v>
      </c>
      <c r="D1921" s="7" t="s">
        <v>2292</v>
      </c>
      <c r="E1921" s="7" t="s">
        <v>4798</v>
      </c>
      <c r="F1921" s="7" t="s">
        <v>4877</v>
      </c>
      <c r="G1921" s="7" t="s">
        <v>4058</v>
      </c>
      <c r="H1921" s="7" t="s">
        <v>4070</v>
      </c>
      <c r="I1921" s="7" t="s">
        <v>4280</v>
      </c>
      <c r="J1921" s="7" t="s">
        <v>4012</v>
      </c>
      <c r="K1921" s="7" t="str">
        <f t="shared" si="2"/>
        <v/>
      </c>
      <c r="L1921" s="7" t="str">
        <f t="shared" si="1735"/>
        <v/>
      </c>
      <c r="M1921" s="7">
        <f t="shared" ref="M1921:N1921" si="1945">IF(LEN(M$1),COUNTIF($G1921:$J1921,M$1),"")</f>
        <v>0</v>
      </c>
      <c r="N1921" s="7" t="str">
        <f t="shared" si="1945"/>
        <v/>
      </c>
      <c r="O1921" s="7" t="str">
        <f t="shared" si="1028"/>
        <v/>
      </c>
      <c r="P1921" s="7">
        <f t="shared" si="1737"/>
        <v>1</v>
      </c>
      <c r="Q1921" s="7" t="str">
        <f t="shared" si="1738"/>
        <v/>
      </c>
      <c r="T1921" s="7"/>
    </row>
    <row r="1922" ht="12.75" customHeight="1">
      <c r="A1922" s="7">
        <v>1921.0</v>
      </c>
      <c r="B1922" s="7" t="s">
        <v>2203</v>
      </c>
      <c r="C1922" s="7" t="s">
        <v>4818</v>
      </c>
      <c r="D1922" s="7" t="s">
        <v>2292</v>
      </c>
      <c r="E1922" s="7" t="s">
        <v>4798</v>
      </c>
      <c r="F1922" s="7" t="s">
        <v>4877</v>
      </c>
      <c r="G1922" s="7" t="s">
        <v>4048</v>
      </c>
      <c r="H1922" s="7" t="s">
        <v>4070</v>
      </c>
      <c r="I1922" s="7" t="s">
        <v>4280</v>
      </c>
      <c r="J1922" s="7" t="s">
        <v>4010</v>
      </c>
      <c r="K1922" s="7" t="str">
        <f t="shared" si="2"/>
        <v/>
      </c>
      <c r="L1922" s="7" t="str">
        <f t="shared" si="1735"/>
        <v/>
      </c>
      <c r="M1922" s="7">
        <f t="shared" ref="M1922:N1922" si="1946">IF(LEN(M$1),COUNTIF($G1922:$J1922,M$1),"")</f>
        <v>0</v>
      </c>
      <c r="N1922" s="7" t="str">
        <f t="shared" si="1946"/>
        <v/>
      </c>
      <c r="O1922" s="7" t="str">
        <f t="shared" si="1028"/>
        <v/>
      </c>
      <c r="P1922" s="7">
        <f t="shared" si="1737"/>
        <v>1</v>
      </c>
      <c r="Q1922" s="7" t="str">
        <f t="shared" si="1738"/>
        <v/>
      </c>
      <c r="T1922" s="7"/>
    </row>
    <row r="1923" ht="12.75" customHeight="1">
      <c r="A1923" s="7">
        <v>1922.0</v>
      </c>
      <c r="B1923" s="7" t="s">
        <v>2210</v>
      </c>
      <c r="C1923" s="7" t="s">
        <v>4832</v>
      </c>
      <c r="D1923" s="7" t="s">
        <v>1688</v>
      </c>
      <c r="E1923" s="7" t="s">
        <v>4819</v>
      </c>
      <c r="F1923" s="7" t="s">
        <v>4877</v>
      </c>
      <c r="G1923" s="7" t="s">
        <v>4077</v>
      </c>
      <c r="H1923" s="7" t="s">
        <v>4214</v>
      </c>
      <c r="I1923" s="7" t="s">
        <v>4186</v>
      </c>
      <c r="J1923" s="7" t="s">
        <v>4008</v>
      </c>
      <c r="K1923" s="7" t="str">
        <f t="shared" si="2"/>
        <v/>
      </c>
      <c r="L1923" s="7" t="str">
        <f t="shared" si="1735"/>
        <v/>
      </c>
      <c r="M1923" s="7">
        <f t="shared" ref="M1923:N1923" si="1947">IF(LEN(M$1),COUNTIF($G1923:$J1923,M$1),"")</f>
        <v>0</v>
      </c>
      <c r="N1923" s="7" t="str">
        <f t="shared" si="1947"/>
        <v/>
      </c>
      <c r="O1923" s="7" t="str">
        <f t="shared" si="1028"/>
        <v/>
      </c>
      <c r="P1923" s="7">
        <f t="shared" si="1737"/>
        <v>1</v>
      </c>
      <c r="Q1923" s="7" t="str">
        <f t="shared" si="1738"/>
        <v/>
      </c>
      <c r="T1923" s="7"/>
    </row>
    <row r="1924" ht="12.75" customHeight="1">
      <c r="A1924" s="7">
        <v>1923.0</v>
      </c>
      <c r="B1924" s="7" t="s">
        <v>2210</v>
      </c>
      <c r="C1924" s="7" t="s">
        <v>4832</v>
      </c>
      <c r="D1924" s="7" t="s">
        <v>2035</v>
      </c>
      <c r="E1924" s="7" t="s">
        <v>4758</v>
      </c>
      <c r="F1924" s="7" t="s">
        <v>4877</v>
      </c>
      <c r="G1924" s="7" t="s">
        <v>4404</v>
      </c>
      <c r="H1924" s="7" t="s">
        <v>4418</v>
      </c>
      <c r="I1924" s="7" t="s">
        <v>4405</v>
      </c>
      <c r="J1924" s="7" t="s">
        <v>4396</v>
      </c>
      <c r="K1924" s="7" t="str">
        <f t="shared" si="2"/>
        <v/>
      </c>
      <c r="L1924" s="7" t="str">
        <f t="shared" si="1735"/>
        <v/>
      </c>
      <c r="M1924" s="7">
        <f t="shared" ref="M1924:N1924" si="1948">IF(LEN(M$1),COUNTIF($G1924:$J1924,M$1),"")</f>
        <v>0</v>
      </c>
      <c r="N1924" s="7" t="str">
        <f t="shared" si="1948"/>
        <v/>
      </c>
      <c r="O1924" s="7" t="str">
        <f t="shared" si="1028"/>
        <v/>
      </c>
      <c r="P1924" s="7">
        <f t="shared" si="1737"/>
        <v>1</v>
      </c>
      <c r="Q1924" s="7" t="str">
        <f t="shared" si="1738"/>
        <v/>
      </c>
      <c r="T1924" s="7"/>
    </row>
    <row r="1925" ht="12.75" customHeight="1">
      <c r="A1925" s="7">
        <v>1924.0</v>
      </c>
      <c r="B1925" s="7" t="s">
        <v>2218</v>
      </c>
      <c r="C1925" s="7" t="s">
        <v>4832</v>
      </c>
      <c r="D1925" s="7" t="s">
        <v>1874</v>
      </c>
      <c r="E1925" s="7" t="s">
        <v>4782</v>
      </c>
      <c r="F1925" s="7" t="s">
        <v>4877</v>
      </c>
      <c r="G1925" s="7" t="s">
        <v>4269</v>
      </c>
      <c r="H1925" s="7" t="s">
        <v>4281</v>
      </c>
      <c r="I1925" s="7" t="s">
        <v>4040</v>
      </c>
      <c r="J1925" s="7" t="s">
        <v>4024</v>
      </c>
      <c r="K1925" s="7" t="str">
        <f t="shared" si="2"/>
        <v/>
      </c>
      <c r="L1925" s="7" t="str">
        <f t="shared" si="1735"/>
        <v/>
      </c>
      <c r="M1925" s="7">
        <f t="shared" ref="M1925:N1925" si="1949">IF(LEN(M$1),COUNTIF($G1925:$J1925,M$1),"")</f>
        <v>0</v>
      </c>
      <c r="N1925" s="7" t="str">
        <f t="shared" si="1949"/>
        <v/>
      </c>
      <c r="O1925" s="7" t="str">
        <f t="shared" si="1028"/>
        <v/>
      </c>
      <c r="P1925" s="7">
        <f t="shared" si="1737"/>
        <v>1</v>
      </c>
      <c r="Q1925" s="7" t="str">
        <f t="shared" si="1738"/>
        <v/>
      </c>
      <c r="T1925" s="7"/>
    </row>
    <row r="1926" ht="12.75" customHeight="1">
      <c r="A1926" s="7">
        <v>1925.0</v>
      </c>
      <c r="B1926" s="7" t="s">
        <v>2218</v>
      </c>
      <c r="C1926" s="7" t="s">
        <v>4832</v>
      </c>
      <c r="D1926" s="7" t="s">
        <v>1360</v>
      </c>
      <c r="E1926" s="7" t="s">
        <v>4814</v>
      </c>
      <c r="F1926" s="7" t="s">
        <v>4877</v>
      </c>
      <c r="G1926" s="7" t="s">
        <v>4434</v>
      </c>
      <c r="H1926" s="7" t="s">
        <v>4417</v>
      </c>
      <c r="I1926" s="7" t="s">
        <v>4372</v>
      </c>
      <c r="J1926" s="7" t="s">
        <v>4424</v>
      </c>
      <c r="K1926" s="7" t="str">
        <f t="shared" si="2"/>
        <v/>
      </c>
      <c r="L1926" s="7" t="str">
        <f t="shared" si="1735"/>
        <v/>
      </c>
      <c r="M1926" s="7">
        <f t="shared" ref="M1926:N1926" si="1950">IF(LEN(M$1),COUNTIF($G1926:$J1926,M$1),"")</f>
        <v>0</v>
      </c>
      <c r="N1926" s="7" t="str">
        <f t="shared" si="1950"/>
        <v/>
      </c>
      <c r="O1926" s="7" t="str">
        <f t="shared" si="1028"/>
        <v/>
      </c>
      <c r="P1926" s="7">
        <f t="shared" si="1737"/>
        <v>1</v>
      </c>
      <c r="Q1926" s="7" t="str">
        <f t="shared" si="1738"/>
        <v/>
      </c>
      <c r="T1926" s="7"/>
    </row>
    <row r="1927" ht="12.75" customHeight="1">
      <c r="A1927" s="7">
        <v>1926.0</v>
      </c>
      <c r="B1927" s="7" t="s">
        <v>2225</v>
      </c>
      <c r="C1927" s="7" t="s">
        <v>4850</v>
      </c>
      <c r="D1927" s="7" t="s">
        <v>1786</v>
      </c>
      <c r="E1927" s="7" t="s">
        <v>4845</v>
      </c>
      <c r="F1927" s="7" t="s">
        <v>4877</v>
      </c>
      <c r="G1927" s="7" t="s">
        <v>4386</v>
      </c>
      <c r="H1927" s="7" t="s">
        <v>4382</v>
      </c>
      <c r="I1927" s="7" t="s">
        <v>4378</v>
      </c>
      <c r="J1927" s="7" t="s">
        <v>4372</v>
      </c>
      <c r="K1927" s="7" t="str">
        <f t="shared" si="2"/>
        <v/>
      </c>
      <c r="L1927" s="7" t="str">
        <f t="shared" si="1735"/>
        <v/>
      </c>
      <c r="M1927" s="7">
        <f t="shared" ref="M1927:N1927" si="1951">IF(LEN(M$1),COUNTIF($G1927:$J1927,M$1),"")</f>
        <v>0</v>
      </c>
      <c r="N1927" s="7" t="str">
        <f t="shared" si="1951"/>
        <v/>
      </c>
      <c r="O1927" s="7" t="str">
        <f t="shared" si="1028"/>
        <v/>
      </c>
      <c r="P1927" s="7">
        <f t="shared" si="1737"/>
        <v>1</v>
      </c>
      <c r="Q1927" s="7" t="str">
        <f t="shared" si="1738"/>
        <v/>
      </c>
      <c r="T1927" s="7"/>
    </row>
    <row r="1928" ht="12.75" customHeight="1">
      <c r="A1928" s="7">
        <v>1927.0</v>
      </c>
      <c r="B1928" s="7" t="s">
        <v>2225</v>
      </c>
      <c r="C1928" s="7" t="s">
        <v>4850</v>
      </c>
      <c r="D1928" s="7" t="s">
        <v>853</v>
      </c>
      <c r="E1928" s="7" t="s">
        <v>2659</v>
      </c>
      <c r="F1928" s="7" t="s">
        <v>4877</v>
      </c>
      <c r="G1928" s="7" t="s">
        <v>4135</v>
      </c>
      <c r="H1928" s="7" t="s">
        <v>4115</v>
      </c>
      <c r="I1928" s="7" t="s">
        <v>4130</v>
      </c>
      <c r="J1928" s="7" t="s">
        <v>4094</v>
      </c>
      <c r="K1928" s="7" t="str">
        <f t="shared" si="2"/>
        <v/>
      </c>
      <c r="L1928" s="7" t="str">
        <f t="shared" si="1735"/>
        <v/>
      </c>
      <c r="M1928" s="7">
        <f t="shared" ref="M1928:N1928" si="1952">IF(LEN(M$1),COUNTIF($G1928:$J1928,M$1),"")</f>
        <v>0</v>
      </c>
      <c r="N1928" s="7" t="str">
        <f t="shared" si="1952"/>
        <v/>
      </c>
      <c r="O1928" s="7" t="str">
        <f t="shared" si="1028"/>
        <v/>
      </c>
      <c r="P1928" s="7">
        <f t="shared" si="1737"/>
        <v>1</v>
      </c>
      <c r="Q1928" s="7" t="str">
        <f t="shared" si="1738"/>
        <v/>
      </c>
      <c r="T1928" s="7"/>
    </row>
    <row r="1929" ht="12.75" customHeight="1">
      <c r="A1929" s="7">
        <v>1928.0</v>
      </c>
      <c r="B1929" s="7" t="s">
        <v>2225</v>
      </c>
      <c r="C1929" s="7" t="s">
        <v>4850</v>
      </c>
      <c r="D1929" s="7" t="s">
        <v>2284</v>
      </c>
      <c r="E1929" s="7" t="s">
        <v>4798</v>
      </c>
      <c r="F1929" s="7" t="s">
        <v>4877</v>
      </c>
      <c r="G1929" s="7" t="s">
        <v>4248</v>
      </c>
      <c r="H1929" s="7" t="s">
        <v>4117</v>
      </c>
      <c r="I1929" s="7" t="s">
        <v>4189</v>
      </c>
      <c r="J1929" s="7" t="s">
        <v>4266</v>
      </c>
      <c r="K1929" s="7" t="str">
        <f t="shared" si="2"/>
        <v/>
      </c>
      <c r="L1929" s="7" t="str">
        <f t="shared" si="1735"/>
        <v/>
      </c>
      <c r="M1929" s="7">
        <f t="shared" ref="M1929:N1929" si="1953">IF(LEN(M$1),COUNTIF($G1929:$J1929,M$1),"")</f>
        <v>0</v>
      </c>
      <c r="N1929" s="7" t="str">
        <f t="shared" si="1953"/>
        <v/>
      </c>
      <c r="O1929" s="7" t="str">
        <f t="shared" si="1028"/>
        <v/>
      </c>
      <c r="P1929" s="7">
        <f t="shared" si="1737"/>
        <v>1</v>
      </c>
      <c r="Q1929" s="7" t="str">
        <f t="shared" si="1738"/>
        <v/>
      </c>
      <c r="T1929" s="7"/>
    </row>
    <row r="1930" ht="12.75" customHeight="1">
      <c r="A1930" s="7">
        <v>1929.0</v>
      </c>
      <c r="B1930" s="7" t="s">
        <v>2232</v>
      </c>
      <c r="C1930" s="7" t="s">
        <v>4850</v>
      </c>
      <c r="D1930" s="7" t="s">
        <v>1718</v>
      </c>
      <c r="E1930" s="7" t="s">
        <v>4830</v>
      </c>
      <c r="F1930" s="7" t="s">
        <v>4877</v>
      </c>
      <c r="G1930" s="7" t="s">
        <v>3995</v>
      </c>
      <c r="H1930" s="7" t="s">
        <v>4098</v>
      </c>
      <c r="I1930" s="7" t="s">
        <v>4043</v>
      </c>
      <c r="J1930" s="7" t="s">
        <v>4065</v>
      </c>
      <c r="K1930" s="7" t="str">
        <f t="shared" si="2"/>
        <v/>
      </c>
      <c r="L1930" s="7" t="str">
        <f t="shared" si="1735"/>
        <v/>
      </c>
      <c r="M1930" s="7">
        <f t="shared" ref="M1930:N1930" si="1954">IF(LEN(M$1),COUNTIF($G1930:$J1930,M$1),"")</f>
        <v>0</v>
      </c>
      <c r="N1930" s="7" t="str">
        <f t="shared" si="1954"/>
        <v/>
      </c>
      <c r="O1930" s="7" t="str">
        <f t="shared" si="1028"/>
        <v/>
      </c>
      <c r="P1930" s="7">
        <f t="shared" si="1737"/>
        <v>1</v>
      </c>
      <c r="Q1930" s="7" t="str">
        <f t="shared" si="1738"/>
        <v/>
      </c>
      <c r="T1930" s="7"/>
    </row>
    <row r="1931" ht="12.75" customHeight="1">
      <c r="A1931" s="7">
        <v>1930.0</v>
      </c>
      <c r="B1931" s="7" t="s">
        <v>2232</v>
      </c>
      <c r="C1931" s="7" t="s">
        <v>4850</v>
      </c>
      <c r="D1931" s="7" t="s">
        <v>1864</v>
      </c>
      <c r="E1931" s="7" t="s">
        <v>4839</v>
      </c>
      <c r="F1931" s="7" t="s">
        <v>4877</v>
      </c>
      <c r="G1931" s="7" t="s">
        <v>4364</v>
      </c>
      <c r="H1931" s="7" t="s">
        <v>4383</v>
      </c>
      <c r="I1931" s="7" t="s">
        <v>4438</v>
      </c>
      <c r="J1931" s="7" t="s">
        <v>4401</v>
      </c>
      <c r="K1931" s="7" t="str">
        <f t="shared" si="2"/>
        <v/>
      </c>
      <c r="L1931" s="7" t="str">
        <f t="shared" si="1735"/>
        <v/>
      </c>
      <c r="M1931" s="7">
        <f t="shared" ref="M1931:N1931" si="1955">IF(LEN(M$1),COUNTIF($G1931:$J1931,M$1),"")</f>
        <v>0</v>
      </c>
      <c r="N1931" s="7" t="str">
        <f t="shared" si="1955"/>
        <v/>
      </c>
      <c r="O1931" s="7" t="str">
        <f t="shared" si="1028"/>
        <v/>
      </c>
      <c r="P1931" s="7">
        <f t="shared" si="1737"/>
        <v>1</v>
      </c>
      <c r="Q1931" s="7" t="str">
        <f t="shared" si="1738"/>
        <v/>
      </c>
      <c r="T1931" s="7"/>
    </row>
    <row r="1932" ht="12.75" customHeight="1">
      <c r="A1932" s="7">
        <v>1931.0</v>
      </c>
      <c r="B1932" s="7" t="s">
        <v>2240</v>
      </c>
      <c r="C1932" s="7" t="s">
        <v>4849</v>
      </c>
      <c r="D1932" s="7" t="s">
        <v>1734</v>
      </c>
      <c r="E1932" s="7" t="s">
        <v>4831</v>
      </c>
      <c r="F1932" s="7" t="s">
        <v>4877</v>
      </c>
      <c r="G1932" s="7" t="s">
        <v>4036</v>
      </c>
      <c r="H1932" s="7" t="s">
        <v>4100</v>
      </c>
      <c r="I1932" s="7" t="s">
        <v>4252</v>
      </c>
      <c r="J1932" s="7" t="s">
        <v>3990</v>
      </c>
      <c r="K1932" s="7" t="str">
        <f t="shared" si="2"/>
        <v/>
      </c>
      <c r="L1932" s="7" t="str">
        <f t="shared" si="1735"/>
        <v/>
      </c>
      <c r="M1932" s="7">
        <f t="shared" ref="M1932:N1932" si="1956">IF(LEN(M$1),COUNTIF($G1932:$J1932,M$1),"")</f>
        <v>0</v>
      </c>
      <c r="N1932" s="7" t="str">
        <f t="shared" si="1956"/>
        <v/>
      </c>
      <c r="O1932" s="7" t="str">
        <f t="shared" si="1028"/>
        <v/>
      </c>
      <c r="P1932" s="7">
        <f t="shared" si="1737"/>
        <v>1</v>
      </c>
      <c r="Q1932" s="7" t="str">
        <f t="shared" si="1738"/>
        <v/>
      </c>
      <c r="T1932" s="7"/>
    </row>
    <row r="1933" ht="12.75" customHeight="1">
      <c r="A1933" s="7">
        <v>1932.0</v>
      </c>
      <c r="B1933" s="7" t="s">
        <v>2240</v>
      </c>
      <c r="C1933" s="7" t="s">
        <v>4849</v>
      </c>
      <c r="D1933" s="7" t="s">
        <v>2035</v>
      </c>
      <c r="E1933" s="7" t="s">
        <v>4758</v>
      </c>
      <c r="F1933" s="7" t="s">
        <v>4877</v>
      </c>
      <c r="G1933" s="7" t="s">
        <v>4080</v>
      </c>
      <c r="H1933" s="7" t="s">
        <v>4076</v>
      </c>
      <c r="I1933" s="7" t="s">
        <v>4130</v>
      </c>
      <c r="J1933" s="7" t="s">
        <v>4044</v>
      </c>
      <c r="K1933" s="7" t="str">
        <f t="shared" si="2"/>
        <v/>
      </c>
      <c r="L1933" s="7" t="str">
        <f t="shared" si="1735"/>
        <v/>
      </c>
      <c r="M1933" s="7">
        <f t="shared" ref="M1933:N1933" si="1957">IF(LEN(M$1),COUNTIF($G1933:$J1933,M$1),"")</f>
        <v>0</v>
      </c>
      <c r="N1933" s="7" t="str">
        <f t="shared" si="1957"/>
        <v/>
      </c>
      <c r="O1933" s="7" t="str">
        <f t="shared" si="1028"/>
        <v/>
      </c>
      <c r="P1933" s="7">
        <f t="shared" si="1737"/>
        <v>1</v>
      </c>
      <c r="Q1933" s="7" t="str">
        <f t="shared" si="1738"/>
        <v/>
      </c>
      <c r="T1933" s="7"/>
    </row>
    <row r="1934" ht="12.75" customHeight="1">
      <c r="A1934" s="7">
        <v>1933.0</v>
      </c>
      <c r="B1934" s="7" t="s">
        <v>2240</v>
      </c>
      <c r="C1934" s="7" t="s">
        <v>4849</v>
      </c>
      <c r="D1934" s="7" t="s">
        <v>2139</v>
      </c>
      <c r="E1934" s="7" t="s">
        <v>4795</v>
      </c>
      <c r="F1934" s="7" t="s">
        <v>4877</v>
      </c>
      <c r="G1934" s="7" t="s">
        <v>4389</v>
      </c>
      <c r="H1934" s="7" t="s">
        <v>4362</v>
      </c>
      <c r="I1934" s="7" t="s">
        <v>4385</v>
      </c>
      <c r="J1934" s="7" t="s">
        <v>4392</v>
      </c>
      <c r="K1934" s="7" t="str">
        <f t="shared" si="2"/>
        <v/>
      </c>
      <c r="L1934" s="7" t="str">
        <f t="shared" si="1735"/>
        <v/>
      </c>
      <c r="M1934" s="7">
        <f t="shared" ref="M1934:N1934" si="1958">IF(LEN(M$1),COUNTIF($G1934:$J1934,M$1),"")</f>
        <v>0</v>
      </c>
      <c r="N1934" s="7" t="str">
        <f t="shared" si="1958"/>
        <v/>
      </c>
      <c r="O1934" s="7" t="str">
        <f t="shared" si="1028"/>
        <v/>
      </c>
      <c r="P1934" s="7">
        <f t="shared" si="1737"/>
        <v>1</v>
      </c>
      <c r="Q1934" s="7" t="str">
        <f t="shared" si="1738"/>
        <v/>
      </c>
      <c r="T1934" s="7"/>
    </row>
    <row r="1935" ht="12.75" customHeight="1">
      <c r="A1935" s="7">
        <v>1934.0</v>
      </c>
      <c r="B1935" s="7" t="s">
        <v>2240</v>
      </c>
      <c r="C1935" s="7" t="s">
        <v>4849</v>
      </c>
      <c r="D1935" s="7" t="s">
        <v>2322</v>
      </c>
      <c r="E1935" s="7" t="s">
        <v>4758</v>
      </c>
      <c r="F1935" s="7" t="s">
        <v>4877</v>
      </c>
      <c r="G1935" s="7" t="s">
        <v>4378</v>
      </c>
      <c r="H1935" s="7" t="s">
        <v>4355</v>
      </c>
      <c r="I1935" s="7" t="s">
        <v>4397</v>
      </c>
      <c r="J1935" s="7" t="s">
        <v>4377</v>
      </c>
      <c r="K1935" s="7" t="str">
        <f t="shared" si="2"/>
        <v/>
      </c>
      <c r="L1935" s="7" t="str">
        <f t="shared" si="1735"/>
        <v/>
      </c>
      <c r="M1935" s="7">
        <f t="shared" ref="M1935:N1935" si="1959">IF(LEN(M$1),COUNTIF($G1935:$J1935,M$1),"")</f>
        <v>0</v>
      </c>
      <c r="N1935" s="7" t="str">
        <f t="shared" si="1959"/>
        <v/>
      </c>
      <c r="O1935" s="7" t="str">
        <f t="shared" si="1028"/>
        <v/>
      </c>
      <c r="P1935" s="7">
        <f t="shared" si="1737"/>
        <v>1</v>
      </c>
      <c r="Q1935" s="7" t="str">
        <f t="shared" si="1738"/>
        <v/>
      </c>
      <c r="T1935" s="7"/>
    </row>
    <row r="1936" ht="12.75" customHeight="1">
      <c r="A1936" s="7">
        <v>1935.0</v>
      </c>
      <c r="B1936" s="7" t="s">
        <v>2248</v>
      </c>
      <c r="C1936" s="7" t="s">
        <v>4849</v>
      </c>
      <c r="D1936" s="7" t="s">
        <v>1748</v>
      </c>
      <c r="E1936" s="7" t="s">
        <v>4837</v>
      </c>
      <c r="F1936" s="7" t="s">
        <v>4877</v>
      </c>
      <c r="G1936" s="7" t="s">
        <v>4236</v>
      </c>
      <c r="H1936" s="7" t="s">
        <v>4240</v>
      </c>
      <c r="I1936" s="7" t="s">
        <v>4017</v>
      </c>
      <c r="J1936" s="7" t="s">
        <v>4247</v>
      </c>
      <c r="K1936" s="7" t="str">
        <f t="shared" si="2"/>
        <v/>
      </c>
      <c r="L1936" s="7" t="str">
        <f t="shared" si="1735"/>
        <v/>
      </c>
      <c r="M1936" s="7">
        <f t="shared" ref="M1936:N1936" si="1960">IF(LEN(M$1),COUNTIF($G1936:$J1936,M$1),"")</f>
        <v>0</v>
      </c>
      <c r="N1936" s="7" t="str">
        <f t="shared" si="1960"/>
        <v/>
      </c>
      <c r="O1936" s="7" t="str">
        <f t="shared" si="1028"/>
        <v/>
      </c>
      <c r="P1936" s="7">
        <f t="shared" si="1737"/>
        <v>1</v>
      </c>
      <c r="Q1936" s="7" t="str">
        <f t="shared" si="1738"/>
        <v/>
      </c>
      <c r="T1936" s="7"/>
    </row>
    <row r="1937" ht="12.75" customHeight="1">
      <c r="A1937" s="7">
        <v>1936.0</v>
      </c>
      <c r="B1937" s="7" t="s">
        <v>2248</v>
      </c>
      <c r="C1937" s="7" t="s">
        <v>4849</v>
      </c>
      <c r="D1937" s="7" t="s">
        <v>1835</v>
      </c>
      <c r="E1937" s="7" t="s">
        <v>4852</v>
      </c>
      <c r="F1937" s="7" t="s">
        <v>4877</v>
      </c>
      <c r="G1937" s="7" t="s">
        <v>4363</v>
      </c>
      <c r="H1937" s="7" t="s">
        <v>4376</v>
      </c>
      <c r="I1937" s="7" t="s">
        <v>4395</v>
      </c>
      <c r="J1937" s="7" t="s">
        <v>4357</v>
      </c>
      <c r="K1937" s="7" t="str">
        <f t="shared" si="2"/>
        <v/>
      </c>
      <c r="L1937" s="7" t="str">
        <f t="shared" si="1735"/>
        <v/>
      </c>
      <c r="M1937" s="7">
        <f t="shared" ref="M1937:N1937" si="1961">IF(LEN(M$1),COUNTIF($G1937:$J1937,M$1),"")</f>
        <v>0</v>
      </c>
      <c r="N1937" s="7" t="str">
        <f t="shared" si="1961"/>
        <v/>
      </c>
      <c r="O1937" s="7" t="str">
        <f t="shared" si="1028"/>
        <v/>
      </c>
      <c r="P1937" s="7">
        <f t="shared" si="1737"/>
        <v>1</v>
      </c>
      <c r="Q1937" s="7" t="str">
        <f t="shared" si="1738"/>
        <v/>
      </c>
      <c r="T1937" s="7"/>
    </row>
    <row r="1938" ht="12.75" customHeight="1">
      <c r="A1938" s="7">
        <v>1937.0</v>
      </c>
      <c r="B1938" s="7" t="s">
        <v>2248</v>
      </c>
      <c r="C1938" s="7" t="s">
        <v>4849</v>
      </c>
      <c r="D1938" s="7" t="s">
        <v>2210</v>
      </c>
      <c r="E1938" s="7" t="s">
        <v>4832</v>
      </c>
      <c r="F1938" s="7" t="s">
        <v>4877</v>
      </c>
      <c r="G1938" s="7" t="s">
        <v>4004</v>
      </c>
      <c r="H1938" s="7" t="s">
        <v>4081</v>
      </c>
      <c r="I1938" s="7" t="s">
        <v>4233</v>
      </c>
      <c r="J1938" s="7" t="s">
        <v>4027</v>
      </c>
      <c r="K1938" s="7" t="str">
        <f t="shared" si="2"/>
        <v/>
      </c>
      <c r="L1938" s="7" t="str">
        <f t="shared" si="1735"/>
        <v/>
      </c>
      <c r="M1938" s="7">
        <f t="shared" ref="M1938:N1938" si="1962">IF(LEN(M$1),COUNTIF($G1938:$J1938,M$1),"")</f>
        <v>0</v>
      </c>
      <c r="N1938" s="7" t="str">
        <f t="shared" si="1962"/>
        <v/>
      </c>
      <c r="O1938" s="7" t="str">
        <f t="shared" si="1028"/>
        <v/>
      </c>
      <c r="P1938" s="7">
        <f t="shared" si="1737"/>
        <v>1</v>
      </c>
      <c r="Q1938" s="7" t="str">
        <f t="shared" si="1738"/>
        <v/>
      </c>
      <c r="T1938" s="7"/>
    </row>
    <row r="1939" ht="12.75" customHeight="1">
      <c r="A1939" s="7">
        <v>1938.0</v>
      </c>
      <c r="B1939" s="7" t="s">
        <v>2255</v>
      </c>
      <c r="C1939" s="7" t="s">
        <v>4809</v>
      </c>
      <c r="D1939" s="7" t="s">
        <v>2026</v>
      </c>
      <c r="E1939" s="7" t="s">
        <v>4849</v>
      </c>
      <c r="F1939" s="7" t="s">
        <v>4877</v>
      </c>
      <c r="G1939" s="7" t="s">
        <v>4159</v>
      </c>
      <c r="H1939" s="7" t="s">
        <v>3969</v>
      </c>
      <c r="I1939" s="7" t="s">
        <v>4233</v>
      </c>
      <c r="J1939" s="7" t="s">
        <v>4095</v>
      </c>
      <c r="K1939" s="7" t="str">
        <f t="shared" si="2"/>
        <v/>
      </c>
      <c r="L1939" s="7" t="str">
        <f t="shared" si="1735"/>
        <v/>
      </c>
      <c r="M1939" s="7">
        <f t="shared" ref="M1939:N1939" si="1963">IF(LEN(M$1),COUNTIF($G1939:$J1939,M$1),"")</f>
        <v>0</v>
      </c>
      <c r="N1939" s="7" t="str">
        <f t="shared" si="1963"/>
        <v/>
      </c>
      <c r="O1939" s="7" t="str">
        <f t="shared" si="1028"/>
        <v/>
      </c>
      <c r="P1939" s="7">
        <f t="shared" si="1737"/>
        <v>1</v>
      </c>
      <c r="Q1939" s="7" t="str">
        <f t="shared" si="1738"/>
        <v/>
      </c>
      <c r="T1939" s="7"/>
    </row>
    <row r="1940" ht="12.75" customHeight="1">
      <c r="A1940" s="7">
        <v>1939.0</v>
      </c>
      <c r="B1940" s="7" t="s">
        <v>2255</v>
      </c>
      <c r="C1940" s="7" t="s">
        <v>4809</v>
      </c>
      <c r="D1940" s="7" t="s">
        <v>2240</v>
      </c>
      <c r="E1940" s="7" t="s">
        <v>4849</v>
      </c>
      <c r="F1940" s="7" t="s">
        <v>4877</v>
      </c>
      <c r="G1940" s="7" t="s">
        <v>4101</v>
      </c>
      <c r="H1940" s="7" t="s">
        <v>4116</v>
      </c>
      <c r="I1940" s="7" t="s">
        <v>4043</v>
      </c>
      <c r="J1940" s="7" t="s">
        <v>4198</v>
      </c>
      <c r="K1940" s="7" t="str">
        <f t="shared" si="2"/>
        <v/>
      </c>
      <c r="L1940" s="7" t="str">
        <f t="shared" si="1735"/>
        <v/>
      </c>
      <c r="M1940" s="7">
        <f t="shared" ref="M1940:N1940" si="1964">IF(LEN(M$1),COUNTIF($G1940:$J1940,M$1),"")</f>
        <v>0</v>
      </c>
      <c r="N1940" s="7" t="str">
        <f t="shared" si="1964"/>
        <v/>
      </c>
      <c r="O1940" s="7" t="str">
        <f t="shared" si="1028"/>
        <v/>
      </c>
      <c r="P1940" s="7">
        <f t="shared" si="1737"/>
        <v>1</v>
      </c>
      <c r="Q1940" s="7" t="str">
        <f t="shared" si="1738"/>
        <v/>
      </c>
      <c r="T1940" s="7"/>
    </row>
    <row r="1941" ht="12.75" customHeight="1">
      <c r="A1941" s="7">
        <v>1940.0</v>
      </c>
      <c r="B1941" s="7" t="s">
        <v>885</v>
      </c>
      <c r="C1941" s="7" t="s">
        <v>4809</v>
      </c>
      <c r="D1941" s="7" t="s">
        <v>2089</v>
      </c>
      <c r="E1941" s="7" t="s">
        <v>4812</v>
      </c>
      <c r="F1941" s="7" t="s">
        <v>4877</v>
      </c>
      <c r="G1941" s="7" t="s">
        <v>4096</v>
      </c>
      <c r="H1941" s="7" t="s">
        <v>4108</v>
      </c>
      <c r="I1941" s="7" t="s">
        <v>4063</v>
      </c>
      <c r="J1941" s="7" t="s">
        <v>3995</v>
      </c>
      <c r="K1941" s="7" t="str">
        <f t="shared" si="2"/>
        <v/>
      </c>
      <c r="L1941" s="7" t="str">
        <f t="shared" si="1735"/>
        <v/>
      </c>
      <c r="M1941" s="7">
        <f t="shared" ref="M1941:N1941" si="1965">IF(LEN(M$1),COUNTIF($G1941:$J1941,M$1),"")</f>
        <v>0</v>
      </c>
      <c r="N1941" s="7" t="str">
        <f t="shared" si="1965"/>
        <v/>
      </c>
      <c r="O1941" s="7" t="str">
        <f t="shared" si="1028"/>
        <v/>
      </c>
      <c r="P1941" s="7">
        <f t="shared" si="1737"/>
        <v>1</v>
      </c>
      <c r="Q1941" s="7" t="str">
        <f t="shared" si="1738"/>
        <v/>
      </c>
      <c r="T1941" s="7"/>
    </row>
    <row r="1942" ht="12.75" customHeight="1">
      <c r="A1942" s="7">
        <v>1941.0</v>
      </c>
      <c r="B1942" s="7" t="s">
        <v>885</v>
      </c>
      <c r="C1942" s="7" t="s">
        <v>4809</v>
      </c>
      <c r="D1942" s="7" t="s">
        <v>2308</v>
      </c>
      <c r="E1942" s="7" t="s">
        <v>4801</v>
      </c>
      <c r="F1942" s="7" t="s">
        <v>4877</v>
      </c>
      <c r="G1942" s="7" t="s">
        <v>4108</v>
      </c>
      <c r="H1942" s="7" t="s">
        <v>4274</v>
      </c>
      <c r="I1942" s="7" t="s">
        <v>4125</v>
      </c>
      <c r="J1942" s="7" t="s">
        <v>4188</v>
      </c>
      <c r="K1942" s="7" t="str">
        <f t="shared" si="2"/>
        <v/>
      </c>
      <c r="L1942" s="7" t="str">
        <f t="shared" si="1735"/>
        <v/>
      </c>
      <c r="M1942" s="7">
        <f t="shared" ref="M1942:N1942" si="1966">IF(LEN(M$1),COUNTIF($G1942:$J1942,M$1),"")</f>
        <v>0</v>
      </c>
      <c r="N1942" s="7" t="str">
        <f t="shared" si="1966"/>
        <v/>
      </c>
      <c r="O1942" s="7" t="str">
        <f t="shared" si="1028"/>
        <v/>
      </c>
      <c r="P1942" s="7">
        <f t="shared" si="1737"/>
        <v>1</v>
      </c>
      <c r="Q1942" s="7" t="str">
        <f t="shared" si="1738"/>
        <v/>
      </c>
      <c r="T1942" s="7"/>
    </row>
    <row r="1943" ht="12.75" customHeight="1">
      <c r="A1943" s="7">
        <v>1942.0</v>
      </c>
      <c r="B1943" s="7" t="s">
        <v>2266</v>
      </c>
      <c r="C1943" s="7" t="s">
        <v>4797</v>
      </c>
      <c r="D1943" s="7" t="s">
        <v>1843</v>
      </c>
      <c r="E1943" s="7" t="s">
        <v>3108</v>
      </c>
      <c r="F1943" s="7" t="s">
        <v>4877</v>
      </c>
      <c r="G1943" s="7" t="s">
        <v>4234</v>
      </c>
      <c r="H1943" s="7" t="s">
        <v>4127</v>
      </c>
      <c r="I1943" s="7" t="s">
        <v>4243</v>
      </c>
      <c r="J1943" s="7" t="s">
        <v>4013</v>
      </c>
      <c r="K1943" s="7" t="str">
        <f t="shared" si="2"/>
        <v/>
      </c>
      <c r="L1943" s="7" t="str">
        <f t="shared" si="1735"/>
        <v/>
      </c>
      <c r="M1943" s="7">
        <f t="shared" ref="M1943:N1943" si="1967">IF(LEN(M$1),COUNTIF($G1943:$J1943,M$1),"")</f>
        <v>0</v>
      </c>
      <c r="N1943" s="7" t="str">
        <f t="shared" si="1967"/>
        <v/>
      </c>
      <c r="O1943" s="7" t="str">
        <f t="shared" si="1028"/>
        <v/>
      </c>
      <c r="P1943" s="7">
        <f t="shared" si="1737"/>
        <v>1</v>
      </c>
      <c r="Q1943" s="7" t="str">
        <f t="shared" si="1738"/>
        <v/>
      </c>
      <c r="T1943" s="7"/>
    </row>
    <row r="1944" ht="12.75" customHeight="1">
      <c r="A1944" s="7">
        <v>1943.0</v>
      </c>
      <c r="B1944" s="7" t="s">
        <v>2266</v>
      </c>
      <c r="C1944" s="7" t="s">
        <v>4797</v>
      </c>
      <c r="D1944" s="7" t="s">
        <v>1911</v>
      </c>
      <c r="E1944" s="7" t="s">
        <v>2659</v>
      </c>
      <c r="F1944" s="7" t="s">
        <v>4877</v>
      </c>
      <c r="G1944" s="7" t="s">
        <v>3993</v>
      </c>
      <c r="H1944" s="7" t="s">
        <v>4171</v>
      </c>
      <c r="I1944" s="7" t="s">
        <v>3986</v>
      </c>
      <c r="J1944" s="7" t="s">
        <v>4176</v>
      </c>
      <c r="K1944" s="7" t="str">
        <f t="shared" si="2"/>
        <v/>
      </c>
      <c r="L1944" s="7" t="str">
        <f t="shared" si="1735"/>
        <v/>
      </c>
      <c r="M1944" s="7">
        <f t="shared" ref="M1944:N1944" si="1968">IF(LEN(M$1),COUNTIF($G1944:$J1944,M$1),"")</f>
        <v>0</v>
      </c>
      <c r="N1944" s="7" t="str">
        <f t="shared" si="1968"/>
        <v/>
      </c>
      <c r="O1944" s="7" t="str">
        <f t="shared" si="1028"/>
        <v/>
      </c>
      <c r="P1944" s="7">
        <f t="shared" si="1737"/>
        <v>1</v>
      </c>
      <c r="Q1944" s="7" t="str">
        <f t="shared" si="1738"/>
        <v/>
      </c>
      <c r="T1944" s="7"/>
    </row>
    <row r="1945" ht="12.75" customHeight="1">
      <c r="A1945" s="7">
        <v>1944.0</v>
      </c>
      <c r="B1945" s="7" t="s">
        <v>2266</v>
      </c>
      <c r="C1945" s="7" t="s">
        <v>4797</v>
      </c>
      <c r="D1945" s="7" t="s">
        <v>1990</v>
      </c>
      <c r="E1945" s="7" t="s">
        <v>4854</v>
      </c>
      <c r="F1945" s="7" t="s">
        <v>4877</v>
      </c>
      <c r="G1945" s="7" t="s">
        <v>4062</v>
      </c>
      <c r="H1945" s="7" t="s">
        <v>4256</v>
      </c>
      <c r="I1945" s="7" t="s">
        <v>4229</v>
      </c>
      <c r="J1945" s="7" t="s">
        <v>4156</v>
      </c>
      <c r="K1945" s="7" t="str">
        <f t="shared" si="2"/>
        <v/>
      </c>
      <c r="L1945" s="7" t="str">
        <f t="shared" si="1735"/>
        <v/>
      </c>
      <c r="M1945" s="7">
        <f t="shared" ref="M1945:N1945" si="1969">IF(LEN(M$1),COUNTIF($G1945:$J1945,M$1),"")</f>
        <v>0</v>
      </c>
      <c r="N1945" s="7" t="str">
        <f t="shared" si="1969"/>
        <v/>
      </c>
      <c r="O1945" s="7" t="str">
        <f t="shared" si="1028"/>
        <v/>
      </c>
      <c r="P1945" s="7">
        <f t="shared" si="1737"/>
        <v>1</v>
      </c>
      <c r="Q1945" s="7" t="str">
        <f t="shared" si="1738"/>
        <v/>
      </c>
      <c r="T1945" s="7"/>
    </row>
    <row r="1946" ht="12.75" customHeight="1">
      <c r="A1946" s="7">
        <v>1945.0</v>
      </c>
      <c r="B1946" s="7" t="s">
        <v>2276</v>
      </c>
      <c r="C1946" s="7" t="s">
        <v>4797</v>
      </c>
      <c r="D1946" s="7" t="s">
        <v>1095</v>
      </c>
      <c r="E1946" s="7" t="s">
        <v>4837</v>
      </c>
      <c r="F1946" s="7" t="s">
        <v>4877</v>
      </c>
      <c r="G1946" s="7" t="s">
        <v>4427</v>
      </c>
      <c r="H1946" s="7" t="s">
        <v>4405</v>
      </c>
      <c r="I1946" s="7" t="s">
        <v>4360</v>
      </c>
      <c r="J1946" s="7" t="s">
        <v>4393</v>
      </c>
      <c r="K1946" s="7" t="str">
        <f t="shared" si="2"/>
        <v/>
      </c>
      <c r="L1946" s="7" t="str">
        <f t="shared" si="1735"/>
        <v/>
      </c>
      <c r="M1946" s="7">
        <f t="shared" ref="M1946:N1946" si="1970">IF(LEN(M$1),COUNTIF($G1946:$J1946,M$1),"")</f>
        <v>0</v>
      </c>
      <c r="N1946" s="7" t="str">
        <f t="shared" si="1970"/>
        <v/>
      </c>
      <c r="O1946" s="7" t="str">
        <f t="shared" si="1028"/>
        <v/>
      </c>
      <c r="P1946" s="7">
        <f t="shared" si="1737"/>
        <v>1</v>
      </c>
      <c r="Q1946" s="7" t="str">
        <f t="shared" si="1738"/>
        <v/>
      </c>
      <c r="T1946" s="7"/>
    </row>
    <row r="1947" ht="12.75" customHeight="1">
      <c r="A1947" s="7">
        <v>1946.0</v>
      </c>
      <c r="B1947" s="7" t="s">
        <v>2276</v>
      </c>
      <c r="C1947" s="7" t="s">
        <v>4797</v>
      </c>
      <c r="D1947" s="7" t="s">
        <v>1857</v>
      </c>
      <c r="E1947" s="7" t="s">
        <v>4839</v>
      </c>
      <c r="F1947" s="7" t="s">
        <v>4877</v>
      </c>
      <c r="G1947" s="7" t="s">
        <v>4043</v>
      </c>
      <c r="H1947" s="7" t="s">
        <v>4178</v>
      </c>
      <c r="I1947" s="7" t="s">
        <v>4003</v>
      </c>
      <c r="J1947" s="7" t="s">
        <v>3984</v>
      </c>
      <c r="K1947" s="7" t="str">
        <f t="shared" si="2"/>
        <v/>
      </c>
      <c r="L1947" s="7" t="str">
        <f t="shared" si="1735"/>
        <v/>
      </c>
      <c r="M1947" s="7">
        <f t="shared" ref="M1947:N1947" si="1971">IF(LEN(M$1),COUNTIF($G1947:$J1947,M$1),"")</f>
        <v>0</v>
      </c>
      <c r="N1947" s="7" t="str">
        <f t="shared" si="1971"/>
        <v/>
      </c>
      <c r="O1947" s="7" t="str">
        <f t="shared" si="1028"/>
        <v/>
      </c>
      <c r="P1947" s="7">
        <f t="shared" si="1737"/>
        <v>1</v>
      </c>
      <c r="Q1947" s="7" t="str">
        <f t="shared" si="1738"/>
        <v/>
      </c>
      <c r="T1947" s="7"/>
    </row>
    <row r="1948" ht="12.75" customHeight="1">
      <c r="A1948" s="7">
        <v>1947.0</v>
      </c>
      <c r="B1948" s="7" t="s">
        <v>2276</v>
      </c>
      <c r="C1948" s="7" t="s">
        <v>4797</v>
      </c>
      <c r="D1948" s="7" t="s">
        <v>1874</v>
      </c>
      <c r="E1948" s="7" t="s">
        <v>4782</v>
      </c>
      <c r="F1948" s="7" t="s">
        <v>4877</v>
      </c>
      <c r="G1948" s="7" t="s">
        <v>4417</v>
      </c>
      <c r="H1948" s="7" t="s">
        <v>4375</v>
      </c>
      <c r="I1948" s="7" t="s">
        <v>4374</v>
      </c>
      <c r="J1948" s="7" t="s">
        <v>4396</v>
      </c>
      <c r="K1948" s="7" t="str">
        <f t="shared" si="2"/>
        <v/>
      </c>
      <c r="L1948" s="7" t="str">
        <f t="shared" si="1735"/>
        <v/>
      </c>
      <c r="M1948" s="7">
        <f t="shared" ref="M1948:N1948" si="1972">IF(LEN(M$1),COUNTIF($G1948:$J1948,M$1),"")</f>
        <v>0</v>
      </c>
      <c r="N1948" s="7" t="str">
        <f t="shared" si="1972"/>
        <v/>
      </c>
      <c r="O1948" s="7" t="str">
        <f t="shared" si="1028"/>
        <v/>
      </c>
      <c r="P1948" s="7">
        <f t="shared" si="1737"/>
        <v>1</v>
      </c>
      <c r="Q1948" s="7" t="str">
        <f t="shared" si="1738"/>
        <v/>
      </c>
      <c r="T1948" s="7"/>
    </row>
    <row r="1949" ht="12.75" customHeight="1">
      <c r="A1949" s="7">
        <v>1948.0</v>
      </c>
      <c r="B1949" s="7" t="s">
        <v>2276</v>
      </c>
      <c r="C1949" s="7" t="s">
        <v>4797</v>
      </c>
      <c r="D1949" s="7" t="s">
        <v>1982</v>
      </c>
      <c r="E1949" s="7" t="s">
        <v>4823</v>
      </c>
      <c r="F1949" s="7" t="s">
        <v>4877</v>
      </c>
      <c r="G1949" s="7" t="s">
        <v>4095</v>
      </c>
      <c r="H1949" s="7" t="s">
        <v>4140</v>
      </c>
      <c r="I1949" s="7" t="s">
        <v>4171</v>
      </c>
      <c r="J1949" s="7" t="s">
        <v>4004</v>
      </c>
      <c r="K1949" s="7" t="str">
        <f t="shared" si="2"/>
        <v/>
      </c>
      <c r="L1949" s="7" t="str">
        <f t="shared" si="1735"/>
        <v/>
      </c>
      <c r="M1949" s="7">
        <f t="shared" ref="M1949:N1949" si="1973">IF(LEN(M$1),COUNTIF($G1949:$J1949,M$1),"")</f>
        <v>0</v>
      </c>
      <c r="N1949" s="7" t="str">
        <f t="shared" si="1973"/>
        <v/>
      </c>
      <c r="O1949" s="7" t="str">
        <f t="shared" si="1028"/>
        <v/>
      </c>
      <c r="P1949" s="7">
        <f t="shared" si="1737"/>
        <v>1</v>
      </c>
      <c r="Q1949" s="7" t="str">
        <f t="shared" si="1738"/>
        <v/>
      </c>
      <c r="T1949" s="7"/>
    </row>
    <row r="1950" ht="12.75" customHeight="1">
      <c r="A1950" s="7">
        <v>1949.0</v>
      </c>
      <c r="B1950" s="7" t="s">
        <v>2276</v>
      </c>
      <c r="C1950" s="7" t="s">
        <v>4797</v>
      </c>
      <c r="D1950" s="7" t="s">
        <v>2218</v>
      </c>
      <c r="E1950" s="7" t="s">
        <v>4832</v>
      </c>
      <c r="F1950" s="7" t="s">
        <v>4877</v>
      </c>
      <c r="G1950" s="7" t="s">
        <v>4371</v>
      </c>
      <c r="H1950" s="7" t="s">
        <v>4408</v>
      </c>
      <c r="I1950" s="7" t="s">
        <v>4428</v>
      </c>
      <c r="J1950" s="7" t="s">
        <v>4394</v>
      </c>
      <c r="K1950" s="7" t="str">
        <f t="shared" si="2"/>
        <v/>
      </c>
      <c r="L1950" s="7" t="str">
        <f t="shared" si="1735"/>
        <v/>
      </c>
      <c r="M1950" s="7">
        <f t="shared" ref="M1950:N1950" si="1974">IF(LEN(M$1),COUNTIF($G1950:$J1950,M$1),"")</f>
        <v>0</v>
      </c>
      <c r="N1950" s="7" t="str">
        <f t="shared" si="1974"/>
        <v/>
      </c>
      <c r="O1950" s="7" t="str">
        <f t="shared" si="1028"/>
        <v/>
      </c>
      <c r="P1950" s="7">
        <f t="shared" si="1737"/>
        <v>1</v>
      </c>
      <c r="Q1950" s="7" t="str">
        <f t="shared" si="1738"/>
        <v/>
      </c>
      <c r="T1950" s="7"/>
    </row>
    <row r="1951" ht="12.75" customHeight="1">
      <c r="A1951" s="7">
        <v>1950.0</v>
      </c>
      <c r="B1951" s="7" t="s">
        <v>2276</v>
      </c>
      <c r="C1951" s="7" t="s">
        <v>4797</v>
      </c>
      <c r="D1951" s="7" t="s">
        <v>2232</v>
      </c>
      <c r="E1951" s="7" t="s">
        <v>4850</v>
      </c>
      <c r="F1951" s="7" t="s">
        <v>4877</v>
      </c>
      <c r="G1951" s="7" t="s">
        <v>4245</v>
      </c>
      <c r="H1951" s="7" t="s">
        <v>4175</v>
      </c>
      <c r="I1951" s="7" t="s">
        <v>4196</v>
      </c>
      <c r="J1951" s="7" t="s">
        <v>4065</v>
      </c>
      <c r="K1951" s="7" t="str">
        <f t="shared" si="2"/>
        <v/>
      </c>
      <c r="L1951" s="7" t="str">
        <f t="shared" si="1735"/>
        <v/>
      </c>
      <c r="M1951" s="7">
        <f t="shared" ref="M1951:N1951" si="1975">IF(LEN(M$1),COUNTIF($G1951:$J1951,M$1),"")</f>
        <v>0</v>
      </c>
      <c r="N1951" s="7" t="str">
        <f t="shared" si="1975"/>
        <v/>
      </c>
      <c r="O1951" s="7" t="str">
        <f t="shared" si="1028"/>
        <v/>
      </c>
      <c r="P1951" s="7">
        <f t="shared" si="1737"/>
        <v>1</v>
      </c>
      <c r="Q1951" s="7" t="str">
        <f t="shared" si="1738"/>
        <v/>
      </c>
      <c r="T1951" s="7"/>
    </row>
    <row r="1952" ht="12.75" customHeight="1">
      <c r="A1952" s="7">
        <v>1951.0</v>
      </c>
      <c r="B1952" s="7" t="s">
        <v>2284</v>
      </c>
      <c r="C1952" s="7" t="s">
        <v>4798</v>
      </c>
      <c r="D1952" s="7" t="s">
        <v>1680</v>
      </c>
      <c r="E1952" s="7" t="s">
        <v>4819</v>
      </c>
      <c r="F1952" s="7" t="s">
        <v>4877</v>
      </c>
      <c r="G1952" s="7" t="s">
        <v>4264</v>
      </c>
      <c r="H1952" s="7" t="s">
        <v>4207</v>
      </c>
      <c r="I1952" s="7" t="s">
        <v>4086</v>
      </c>
      <c r="J1952" s="7" t="s">
        <v>4259</v>
      </c>
      <c r="K1952" s="7" t="str">
        <f t="shared" si="2"/>
        <v/>
      </c>
      <c r="L1952" s="7" t="str">
        <f t="shared" si="1735"/>
        <v/>
      </c>
      <c r="M1952" s="7">
        <f t="shared" ref="M1952:N1952" si="1976">IF(LEN(M$1),COUNTIF($G1952:$J1952,M$1),"")</f>
        <v>0</v>
      </c>
      <c r="N1952" s="7" t="str">
        <f t="shared" si="1976"/>
        <v/>
      </c>
      <c r="O1952" s="7" t="str">
        <f t="shared" si="1028"/>
        <v/>
      </c>
      <c r="P1952" s="7">
        <f t="shared" si="1737"/>
        <v>1</v>
      </c>
      <c r="Q1952" s="7" t="str">
        <f t="shared" si="1738"/>
        <v/>
      </c>
      <c r="T1952" s="7"/>
    </row>
    <row r="1953" ht="12.75" customHeight="1">
      <c r="A1953" s="7">
        <v>1952.0</v>
      </c>
      <c r="B1953" s="7" t="s">
        <v>2284</v>
      </c>
      <c r="C1953" s="7" t="s">
        <v>4798</v>
      </c>
      <c r="D1953" s="7" t="s">
        <v>1748</v>
      </c>
      <c r="E1953" s="7" t="s">
        <v>4837</v>
      </c>
      <c r="F1953" s="7" t="s">
        <v>4877</v>
      </c>
      <c r="G1953" s="7" t="s">
        <v>4387</v>
      </c>
      <c r="H1953" s="7" t="s">
        <v>4356</v>
      </c>
      <c r="I1953" s="7" t="s">
        <v>4384</v>
      </c>
      <c r="J1953" s="7" t="s">
        <v>4423</v>
      </c>
      <c r="K1953" s="7" t="str">
        <f t="shared" si="2"/>
        <v/>
      </c>
      <c r="L1953" s="7" t="str">
        <f t="shared" si="1735"/>
        <v/>
      </c>
      <c r="M1953" s="7">
        <f t="shared" ref="M1953:N1953" si="1977">IF(LEN(M$1),COUNTIF($G1953:$J1953,M$1),"")</f>
        <v>0</v>
      </c>
      <c r="N1953" s="7" t="str">
        <f t="shared" si="1977"/>
        <v/>
      </c>
      <c r="O1953" s="7" t="str">
        <f t="shared" si="1028"/>
        <v/>
      </c>
      <c r="P1953" s="7">
        <f t="shared" si="1737"/>
        <v>1</v>
      </c>
      <c r="Q1953" s="7" t="str">
        <f t="shared" si="1738"/>
        <v/>
      </c>
      <c r="T1953" s="7"/>
    </row>
    <row r="1954" ht="12.75" customHeight="1">
      <c r="A1954" s="7">
        <v>1953.0</v>
      </c>
      <c r="B1954" s="7" t="s">
        <v>2284</v>
      </c>
      <c r="C1954" s="7" t="s">
        <v>4798</v>
      </c>
      <c r="D1954" s="7" t="s">
        <v>1770</v>
      </c>
      <c r="E1954" s="7" t="s">
        <v>4837</v>
      </c>
      <c r="F1954" s="7" t="s">
        <v>4877</v>
      </c>
      <c r="G1954" s="7" t="s">
        <v>4362</v>
      </c>
      <c r="H1954" s="7" t="s">
        <v>4418</v>
      </c>
      <c r="I1954" s="7" t="s">
        <v>4391</v>
      </c>
      <c r="J1954" s="7" t="s">
        <v>4396</v>
      </c>
      <c r="K1954" s="7" t="str">
        <f t="shared" si="2"/>
        <v/>
      </c>
      <c r="L1954" s="7" t="str">
        <f t="shared" si="1735"/>
        <v/>
      </c>
      <c r="M1954" s="7">
        <f t="shared" ref="M1954:N1954" si="1978">IF(LEN(M$1),COUNTIF($G1954:$J1954,M$1),"")</f>
        <v>0</v>
      </c>
      <c r="N1954" s="7" t="str">
        <f t="shared" si="1978"/>
        <v/>
      </c>
      <c r="O1954" s="7" t="str">
        <f t="shared" si="1028"/>
        <v/>
      </c>
      <c r="P1954" s="7">
        <f t="shared" si="1737"/>
        <v>1</v>
      </c>
      <c r="Q1954" s="7" t="str">
        <f t="shared" si="1738"/>
        <v/>
      </c>
      <c r="T1954" s="7"/>
    </row>
    <row r="1955" ht="12.75" customHeight="1">
      <c r="A1955" s="7">
        <v>1954.0</v>
      </c>
      <c r="B1955" s="7" t="s">
        <v>2284</v>
      </c>
      <c r="C1955" s="7" t="s">
        <v>4798</v>
      </c>
      <c r="D1955" s="7" t="s">
        <v>1948</v>
      </c>
      <c r="E1955" s="7" t="s">
        <v>4782</v>
      </c>
      <c r="F1955" s="7" t="s">
        <v>4877</v>
      </c>
      <c r="G1955" s="7" t="s">
        <v>4246</v>
      </c>
      <c r="H1955" s="7" t="s">
        <v>4256</v>
      </c>
      <c r="I1955" s="7" t="s">
        <v>4206</v>
      </c>
      <c r="J1955" s="7" t="s">
        <v>4270</v>
      </c>
      <c r="K1955" s="7" t="str">
        <f t="shared" si="2"/>
        <v/>
      </c>
      <c r="L1955" s="7" t="str">
        <f t="shared" si="1735"/>
        <v/>
      </c>
      <c r="M1955" s="7">
        <f t="shared" ref="M1955:N1955" si="1979">IF(LEN(M$1),COUNTIF($G1955:$J1955,M$1),"")</f>
        <v>0</v>
      </c>
      <c r="N1955" s="7" t="str">
        <f t="shared" si="1979"/>
        <v/>
      </c>
      <c r="O1955" s="7" t="str">
        <f t="shared" si="1028"/>
        <v/>
      </c>
      <c r="P1955" s="7">
        <f t="shared" si="1737"/>
        <v>1</v>
      </c>
      <c r="Q1955" s="7" t="str">
        <f t="shared" si="1738"/>
        <v/>
      </c>
      <c r="T1955" s="7"/>
    </row>
    <row r="1956" ht="12.75" customHeight="1">
      <c r="A1956" s="7">
        <v>1955.0</v>
      </c>
      <c r="B1956" s="7" t="s">
        <v>2292</v>
      </c>
      <c r="C1956" s="7" t="s">
        <v>4798</v>
      </c>
      <c r="D1956" s="7" t="s">
        <v>1948</v>
      </c>
      <c r="E1956" s="7" t="s">
        <v>4782</v>
      </c>
      <c r="F1956" s="7" t="s">
        <v>4877</v>
      </c>
      <c r="G1956" s="7" t="s">
        <v>4152</v>
      </c>
      <c r="H1956" s="7" t="s">
        <v>4149</v>
      </c>
      <c r="I1956" s="7" t="s">
        <v>4136</v>
      </c>
      <c r="J1956" s="7" t="s">
        <v>4250</v>
      </c>
      <c r="K1956" s="7" t="str">
        <f t="shared" si="2"/>
        <v/>
      </c>
      <c r="L1956" s="7" t="str">
        <f t="shared" si="1735"/>
        <v/>
      </c>
      <c r="M1956" s="7">
        <f t="shared" ref="M1956:N1956" si="1980">IF(LEN(M$1),COUNTIF($G1956:$J1956,M$1),"")</f>
        <v>0</v>
      </c>
      <c r="N1956" s="7" t="str">
        <f t="shared" si="1980"/>
        <v/>
      </c>
      <c r="O1956" s="7" t="str">
        <f t="shared" si="1028"/>
        <v/>
      </c>
      <c r="P1956" s="7">
        <f t="shared" si="1737"/>
        <v>1</v>
      </c>
      <c r="Q1956" s="7" t="str">
        <f t="shared" si="1738"/>
        <v/>
      </c>
      <c r="T1956" s="7"/>
    </row>
    <row r="1957" ht="12.75" customHeight="1">
      <c r="A1957" s="7">
        <v>1956.0</v>
      </c>
      <c r="B1957" s="7" t="s">
        <v>2292</v>
      </c>
      <c r="C1957" s="7" t="s">
        <v>4798</v>
      </c>
      <c r="D1957" s="7" t="s">
        <v>2276</v>
      </c>
      <c r="E1957" s="7" t="s">
        <v>4797</v>
      </c>
      <c r="F1957" s="7" t="s">
        <v>4877</v>
      </c>
      <c r="G1957" s="7" t="s">
        <v>4387</v>
      </c>
      <c r="H1957" s="7" t="s">
        <v>4394</v>
      </c>
      <c r="I1957" s="7" t="s">
        <v>4356</v>
      </c>
      <c r="J1957" s="7" t="s">
        <v>4421</v>
      </c>
      <c r="K1957" s="7" t="str">
        <f t="shared" si="2"/>
        <v/>
      </c>
      <c r="L1957" s="7" t="str">
        <f t="shared" si="1735"/>
        <v/>
      </c>
      <c r="M1957" s="7">
        <f t="shared" ref="M1957:N1957" si="1981">IF(LEN(M$1),COUNTIF($G1957:$J1957,M$1),"")</f>
        <v>0</v>
      </c>
      <c r="N1957" s="7" t="str">
        <f t="shared" si="1981"/>
        <v/>
      </c>
      <c r="O1957" s="7" t="str">
        <f t="shared" si="1028"/>
        <v/>
      </c>
      <c r="P1957" s="7">
        <f t="shared" si="1737"/>
        <v>1</v>
      </c>
      <c r="Q1957" s="7" t="str">
        <f t="shared" si="1738"/>
        <v/>
      </c>
      <c r="T1957" s="7"/>
    </row>
    <row r="1958" ht="12.75" customHeight="1">
      <c r="A1958" s="7">
        <v>1957.0</v>
      </c>
      <c r="B1958" s="7" t="s">
        <v>2300</v>
      </c>
      <c r="C1958" s="7" t="s">
        <v>4801</v>
      </c>
      <c r="D1958" s="7" t="s">
        <v>1673</v>
      </c>
      <c r="E1958" s="7" t="s">
        <v>4778</v>
      </c>
      <c r="F1958" s="7" t="s">
        <v>4877</v>
      </c>
      <c r="G1958" s="7" t="s">
        <v>4063</v>
      </c>
      <c r="H1958" s="7" t="s">
        <v>3973</v>
      </c>
      <c r="I1958" s="7" t="s">
        <v>4183</v>
      </c>
      <c r="J1958" s="7" t="s">
        <v>3992</v>
      </c>
      <c r="K1958" s="7" t="str">
        <f t="shared" si="2"/>
        <v/>
      </c>
      <c r="L1958" s="7" t="str">
        <f t="shared" si="1735"/>
        <v/>
      </c>
      <c r="M1958" s="7">
        <f t="shared" ref="M1958:N1958" si="1982">IF(LEN(M$1),COUNTIF($G1958:$J1958,M$1),"")</f>
        <v>0</v>
      </c>
      <c r="N1958" s="7" t="str">
        <f t="shared" si="1982"/>
        <v/>
      </c>
      <c r="O1958" s="7" t="str">
        <f t="shared" si="1028"/>
        <v/>
      </c>
      <c r="P1958" s="7">
        <f t="shared" si="1737"/>
        <v>1</v>
      </c>
      <c r="Q1958" s="7" t="str">
        <f t="shared" si="1738"/>
        <v/>
      </c>
      <c r="T1958" s="7"/>
    </row>
    <row r="1959" ht="12.75" customHeight="1">
      <c r="A1959" s="7">
        <v>1958.0</v>
      </c>
      <c r="B1959" s="7" t="s">
        <v>2300</v>
      </c>
      <c r="C1959" s="7" t="s">
        <v>4801</v>
      </c>
      <c r="D1959" s="7" t="s">
        <v>1807</v>
      </c>
      <c r="E1959" s="7" t="s">
        <v>4841</v>
      </c>
      <c r="F1959" s="7" t="s">
        <v>4877</v>
      </c>
      <c r="G1959" s="7" t="s">
        <v>4388</v>
      </c>
      <c r="H1959" s="7" t="s">
        <v>4418</v>
      </c>
      <c r="I1959" s="7" t="s">
        <v>4389</v>
      </c>
      <c r="J1959" s="7" t="s">
        <v>4397</v>
      </c>
      <c r="K1959" s="7" t="str">
        <f t="shared" si="2"/>
        <v/>
      </c>
      <c r="L1959" s="7" t="str">
        <f t="shared" si="1735"/>
        <v/>
      </c>
      <c r="M1959" s="7">
        <f t="shared" ref="M1959:N1959" si="1983">IF(LEN(M$1),COUNTIF($G1959:$J1959,M$1),"")</f>
        <v>0</v>
      </c>
      <c r="N1959" s="7" t="str">
        <f t="shared" si="1983"/>
        <v/>
      </c>
      <c r="O1959" s="7" t="str">
        <f t="shared" si="1028"/>
        <v/>
      </c>
      <c r="P1959" s="7">
        <f t="shared" si="1737"/>
        <v>1</v>
      </c>
      <c r="Q1959" s="7" t="str">
        <f t="shared" si="1738"/>
        <v/>
      </c>
      <c r="T1959" s="7"/>
    </row>
    <row r="1960" ht="12.75" customHeight="1">
      <c r="A1960" s="7">
        <v>1959.0</v>
      </c>
      <c r="B1960" s="7" t="s">
        <v>2300</v>
      </c>
      <c r="C1960" s="7" t="s">
        <v>4801</v>
      </c>
      <c r="D1960" s="7" t="s">
        <v>346</v>
      </c>
      <c r="E1960" s="7" t="s">
        <v>4827</v>
      </c>
      <c r="F1960" s="7" t="s">
        <v>4877</v>
      </c>
      <c r="G1960" s="7" t="s">
        <v>4408</v>
      </c>
      <c r="H1960" s="7" t="s">
        <v>4355</v>
      </c>
      <c r="I1960" s="7" t="s">
        <v>4427</v>
      </c>
      <c r="J1960" s="7" t="s">
        <v>4436</v>
      </c>
      <c r="K1960" s="7" t="str">
        <f t="shared" si="2"/>
        <v/>
      </c>
      <c r="L1960" s="7" t="str">
        <f t="shared" si="1735"/>
        <v/>
      </c>
      <c r="M1960" s="7">
        <f t="shared" ref="M1960:N1960" si="1984">IF(LEN(M$1),COUNTIF($G1960:$J1960,M$1),"")</f>
        <v>0</v>
      </c>
      <c r="N1960" s="7" t="str">
        <f t="shared" si="1984"/>
        <v/>
      </c>
      <c r="O1960" s="7" t="str">
        <f t="shared" si="1028"/>
        <v/>
      </c>
      <c r="P1960" s="7">
        <f t="shared" si="1737"/>
        <v>1</v>
      </c>
      <c r="Q1960" s="7" t="str">
        <f t="shared" si="1738"/>
        <v/>
      </c>
      <c r="T1960" s="7"/>
    </row>
    <row r="1961" ht="12.75" customHeight="1">
      <c r="A1961" s="7">
        <v>1960.0</v>
      </c>
      <c r="B1961" s="7" t="s">
        <v>2300</v>
      </c>
      <c r="C1961" s="7" t="s">
        <v>4801</v>
      </c>
      <c r="D1961" s="7" t="s">
        <v>2189</v>
      </c>
      <c r="E1961" s="7" t="s">
        <v>4840</v>
      </c>
      <c r="F1961" s="7" t="s">
        <v>4877</v>
      </c>
      <c r="G1961" s="7" t="s">
        <v>4041</v>
      </c>
      <c r="H1961" s="7" t="s">
        <v>3977</v>
      </c>
      <c r="I1961" s="7" t="s">
        <v>4162</v>
      </c>
      <c r="J1961" s="7" t="s">
        <v>4231</v>
      </c>
      <c r="K1961" s="7" t="str">
        <f t="shared" si="2"/>
        <v/>
      </c>
      <c r="L1961" s="7" t="str">
        <f t="shared" si="1735"/>
        <v/>
      </c>
      <c r="M1961" s="7">
        <f t="shared" ref="M1961:N1961" si="1985">IF(LEN(M$1),COUNTIF($G1961:$J1961,M$1),"")</f>
        <v>0</v>
      </c>
      <c r="N1961" s="7" t="str">
        <f t="shared" si="1985"/>
        <v/>
      </c>
      <c r="O1961" s="7" t="str">
        <f t="shared" si="1028"/>
        <v/>
      </c>
      <c r="P1961" s="7">
        <f t="shared" si="1737"/>
        <v>1</v>
      </c>
      <c r="Q1961" s="7" t="str">
        <f t="shared" si="1738"/>
        <v/>
      </c>
      <c r="T1961" s="7"/>
    </row>
    <row r="1962" ht="12.75" customHeight="1">
      <c r="A1962" s="7">
        <v>1961.0</v>
      </c>
      <c r="B1962" s="7" t="s">
        <v>2308</v>
      </c>
      <c r="C1962" s="7" t="s">
        <v>4801</v>
      </c>
      <c r="D1962" s="7" t="s">
        <v>2065</v>
      </c>
      <c r="E1962" s="7" t="s">
        <v>4791</v>
      </c>
      <c r="F1962" s="7" t="s">
        <v>4877</v>
      </c>
      <c r="G1962" s="7" t="s">
        <v>4048</v>
      </c>
      <c r="H1962" s="7" t="s">
        <v>4103</v>
      </c>
      <c r="I1962" s="7" t="s">
        <v>4066</v>
      </c>
      <c r="J1962" s="7" t="s">
        <v>4166</v>
      </c>
      <c r="K1962" s="7" t="str">
        <f t="shared" si="2"/>
        <v/>
      </c>
      <c r="L1962" s="7" t="str">
        <f t="shared" si="1735"/>
        <v/>
      </c>
      <c r="M1962" s="7">
        <f t="shared" ref="M1962:N1962" si="1986">IF(LEN(M$1),COUNTIF($G1962:$J1962,M$1),"")</f>
        <v>0</v>
      </c>
      <c r="N1962" s="7" t="str">
        <f t="shared" si="1986"/>
        <v/>
      </c>
      <c r="O1962" s="7" t="str">
        <f t="shared" si="1028"/>
        <v/>
      </c>
      <c r="P1962" s="7">
        <f t="shared" si="1737"/>
        <v>1</v>
      </c>
      <c r="Q1962" s="7" t="str">
        <f t="shared" si="1738"/>
        <v/>
      </c>
      <c r="T1962" s="7"/>
    </row>
    <row r="1963" ht="12.75" customHeight="1">
      <c r="A1963" s="7">
        <v>1962.0</v>
      </c>
      <c r="B1963" s="7" t="s">
        <v>2308</v>
      </c>
      <c r="C1963" s="7" t="s">
        <v>4801</v>
      </c>
      <c r="D1963" s="7" t="s">
        <v>2133</v>
      </c>
      <c r="E1963" s="7" t="s">
        <v>4756</v>
      </c>
      <c r="F1963" s="7" t="s">
        <v>4877</v>
      </c>
      <c r="G1963" s="7" t="s">
        <v>4199</v>
      </c>
      <c r="H1963" s="7" t="s">
        <v>4111</v>
      </c>
      <c r="I1963" s="7" t="s">
        <v>4099</v>
      </c>
      <c r="J1963" s="7" t="s">
        <v>4202</v>
      </c>
      <c r="K1963" s="7" t="str">
        <f t="shared" si="2"/>
        <v/>
      </c>
      <c r="L1963" s="7" t="str">
        <f t="shared" si="1735"/>
        <v/>
      </c>
      <c r="M1963" s="7">
        <f t="shared" ref="M1963:N1963" si="1987">IF(LEN(M$1),COUNTIF($G1963:$J1963,M$1),"")</f>
        <v>0</v>
      </c>
      <c r="N1963" s="7" t="str">
        <f t="shared" si="1987"/>
        <v/>
      </c>
      <c r="O1963" s="7" t="str">
        <f t="shared" si="1028"/>
        <v/>
      </c>
      <c r="P1963" s="7">
        <f t="shared" si="1737"/>
        <v>1</v>
      </c>
      <c r="Q1963" s="7" t="str">
        <f t="shared" si="1738"/>
        <v/>
      </c>
      <c r="T1963" s="7"/>
    </row>
    <row r="1964" ht="12.75" customHeight="1">
      <c r="A1964" s="7">
        <v>1963.0</v>
      </c>
      <c r="B1964" s="7" t="s">
        <v>2308</v>
      </c>
      <c r="C1964" s="7" t="s">
        <v>4801</v>
      </c>
      <c r="D1964" s="7" t="s">
        <v>2276</v>
      </c>
      <c r="E1964" s="7" t="s">
        <v>4797</v>
      </c>
      <c r="F1964" s="7" t="s">
        <v>4877</v>
      </c>
      <c r="G1964" s="7" t="s">
        <v>4431</v>
      </c>
      <c r="H1964" s="7" t="s">
        <v>4395</v>
      </c>
      <c r="I1964" s="7" t="s">
        <v>4434</v>
      </c>
      <c r="J1964" s="7" t="s">
        <v>4379</v>
      </c>
      <c r="K1964" s="7" t="str">
        <f t="shared" si="2"/>
        <v/>
      </c>
      <c r="L1964" s="7" t="str">
        <f t="shared" si="1735"/>
        <v/>
      </c>
      <c r="M1964" s="7">
        <f t="shared" ref="M1964:N1964" si="1988">IF(LEN(M$1),COUNTIF($G1964:$J1964,M$1),"")</f>
        <v>0</v>
      </c>
      <c r="N1964" s="7" t="str">
        <f t="shared" si="1988"/>
        <v/>
      </c>
      <c r="O1964" s="7" t="str">
        <f t="shared" si="1028"/>
        <v/>
      </c>
      <c r="P1964" s="7">
        <f t="shared" si="1737"/>
        <v>1</v>
      </c>
      <c r="Q1964" s="7" t="str">
        <f t="shared" si="1738"/>
        <v/>
      </c>
      <c r="T1964" s="7"/>
    </row>
    <row r="1965" ht="12.75" customHeight="1">
      <c r="A1965" s="7">
        <v>1964.0</v>
      </c>
      <c r="B1965" s="7" t="s">
        <v>2308</v>
      </c>
      <c r="C1965" s="7" t="s">
        <v>4801</v>
      </c>
      <c r="D1965" s="7" t="s">
        <v>2276</v>
      </c>
      <c r="E1965" s="7" t="s">
        <v>4797</v>
      </c>
      <c r="F1965" s="7" t="s">
        <v>4877</v>
      </c>
      <c r="G1965" s="7" t="s">
        <v>4371</v>
      </c>
      <c r="H1965" s="7" t="s">
        <v>4367</v>
      </c>
      <c r="I1965" s="7" t="s">
        <v>4428</v>
      </c>
      <c r="J1965" s="7" t="s">
        <v>4375</v>
      </c>
      <c r="K1965" s="7" t="str">
        <f t="shared" si="2"/>
        <v/>
      </c>
      <c r="L1965" s="7" t="str">
        <f t="shared" si="1735"/>
        <v/>
      </c>
      <c r="M1965" s="7">
        <f t="shared" ref="M1965:N1965" si="1989">IF(LEN(M$1),COUNTIF($G1965:$J1965,M$1),"")</f>
        <v>0</v>
      </c>
      <c r="N1965" s="7" t="str">
        <f t="shared" si="1989"/>
        <v/>
      </c>
      <c r="O1965" s="7" t="str">
        <f t="shared" si="1028"/>
        <v/>
      </c>
      <c r="P1965" s="7">
        <f t="shared" si="1737"/>
        <v>1</v>
      </c>
      <c r="Q1965" s="7" t="str">
        <f t="shared" si="1738"/>
        <v/>
      </c>
      <c r="T1965" s="7"/>
    </row>
    <row r="1966" ht="12.75" customHeight="1">
      <c r="A1966" s="7">
        <v>1965.0</v>
      </c>
      <c r="B1966" s="7" t="s">
        <v>2314</v>
      </c>
      <c r="C1966" s="7" t="s">
        <v>4758</v>
      </c>
      <c r="D1966" s="7" t="s">
        <v>1726</v>
      </c>
      <c r="E1966" s="7" t="s">
        <v>4831</v>
      </c>
      <c r="F1966" s="7" t="s">
        <v>4877</v>
      </c>
      <c r="G1966" s="7" t="s">
        <v>4078</v>
      </c>
      <c r="H1966" s="7" t="s">
        <v>4252</v>
      </c>
      <c r="I1966" s="7" t="s">
        <v>4270</v>
      </c>
      <c r="J1966" s="7" t="s">
        <v>4139</v>
      </c>
      <c r="K1966" s="7" t="str">
        <f t="shared" si="2"/>
        <v/>
      </c>
      <c r="L1966" s="7" t="str">
        <f t="shared" si="1735"/>
        <v/>
      </c>
      <c r="M1966" s="7">
        <f t="shared" ref="M1966:N1966" si="1990">IF(LEN(M$1),COUNTIF($G1966:$J1966,M$1),"")</f>
        <v>0</v>
      </c>
      <c r="N1966" s="7" t="str">
        <f t="shared" si="1990"/>
        <v/>
      </c>
      <c r="O1966" s="7" t="str">
        <f t="shared" si="1028"/>
        <v/>
      </c>
      <c r="P1966" s="7">
        <f t="shared" si="1737"/>
        <v>1</v>
      </c>
      <c r="Q1966" s="7" t="str">
        <f t="shared" si="1738"/>
        <v/>
      </c>
      <c r="T1966" s="7"/>
    </row>
    <row r="1967" ht="12.75" customHeight="1">
      <c r="A1967" s="7">
        <v>1966.0</v>
      </c>
      <c r="B1967" s="7" t="s">
        <v>2314</v>
      </c>
      <c r="C1967" s="7" t="s">
        <v>4758</v>
      </c>
      <c r="D1967" s="7" t="s">
        <v>1734</v>
      </c>
      <c r="E1967" s="7" t="s">
        <v>4831</v>
      </c>
      <c r="F1967" s="7" t="s">
        <v>4877</v>
      </c>
      <c r="G1967" s="7" t="s">
        <v>4382</v>
      </c>
      <c r="H1967" s="7" t="s">
        <v>4404</v>
      </c>
      <c r="I1967" s="7" t="s">
        <v>4432</v>
      </c>
      <c r="J1967" s="7" t="s">
        <v>4436</v>
      </c>
      <c r="K1967" s="7" t="str">
        <f t="shared" si="2"/>
        <v/>
      </c>
      <c r="L1967" s="7" t="str">
        <f t="shared" si="1735"/>
        <v/>
      </c>
      <c r="M1967" s="7">
        <f t="shared" ref="M1967:N1967" si="1991">IF(LEN(M$1),COUNTIF($G1967:$J1967,M$1),"")</f>
        <v>0</v>
      </c>
      <c r="N1967" s="7" t="str">
        <f t="shared" si="1991"/>
        <v/>
      </c>
      <c r="O1967" s="7" t="str">
        <f t="shared" si="1028"/>
        <v/>
      </c>
      <c r="P1967" s="7">
        <f t="shared" si="1737"/>
        <v>1</v>
      </c>
      <c r="Q1967" s="7" t="str">
        <f t="shared" si="1738"/>
        <v/>
      </c>
      <c r="T1967" s="7"/>
    </row>
    <row r="1968" ht="12.75" customHeight="1">
      <c r="A1968" s="7">
        <v>1967.0</v>
      </c>
      <c r="B1968" s="7" t="s">
        <v>2314</v>
      </c>
      <c r="C1968" s="7" t="s">
        <v>4758</v>
      </c>
      <c r="D1968" s="7" t="s">
        <v>2065</v>
      </c>
      <c r="E1968" s="7" t="s">
        <v>4791</v>
      </c>
      <c r="F1968" s="7" t="s">
        <v>4877</v>
      </c>
      <c r="G1968" s="7" t="s">
        <v>4281</v>
      </c>
      <c r="H1968" s="7" t="s">
        <v>4195</v>
      </c>
      <c r="I1968" s="7" t="s">
        <v>4067</v>
      </c>
      <c r="J1968" s="7" t="s">
        <v>4223</v>
      </c>
      <c r="K1968" s="7" t="str">
        <f t="shared" si="2"/>
        <v/>
      </c>
      <c r="L1968" s="7" t="str">
        <f t="shared" si="1735"/>
        <v/>
      </c>
      <c r="M1968" s="7">
        <f t="shared" ref="M1968:N1968" si="1992">IF(LEN(M$1),COUNTIF($G1968:$J1968,M$1),"")</f>
        <v>0</v>
      </c>
      <c r="N1968" s="7" t="str">
        <f t="shared" si="1992"/>
        <v/>
      </c>
      <c r="O1968" s="7" t="str">
        <f t="shared" si="1028"/>
        <v/>
      </c>
      <c r="P1968" s="7">
        <f t="shared" si="1737"/>
        <v>1</v>
      </c>
      <c r="Q1968" s="7" t="str">
        <f t="shared" si="1738"/>
        <v/>
      </c>
      <c r="T1968" s="7"/>
    </row>
    <row r="1969" ht="12.75" customHeight="1">
      <c r="A1969" s="7">
        <v>1968.0</v>
      </c>
      <c r="B1969" s="7" t="s">
        <v>2314</v>
      </c>
      <c r="C1969" s="7" t="s">
        <v>4758</v>
      </c>
      <c r="D1969" s="7" t="s">
        <v>2218</v>
      </c>
      <c r="E1969" s="7" t="s">
        <v>4832</v>
      </c>
      <c r="F1969" s="7" t="s">
        <v>4877</v>
      </c>
      <c r="G1969" s="7" t="s">
        <v>4013</v>
      </c>
      <c r="H1969" s="7" t="s">
        <v>4144</v>
      </c>
      <c r="I1969" s="7" t="s">
        <v>3982</v>
      </c>
      <c r="J1969" s="7" t="s">
        <v>4092</v>
      </c>
      <c r="K1969" s="7" t="str">
        <f t="shared" si="2"/>
        <v/>
      </c>
      <c r="L1969" s="7" t="str">
        <f t="shared" si="1735"/>
        <v/>
      </c>
      <c r="M1969" s="7">
        <f t="shared" ref="M1969:N1969" si="1993">IF(LEN(M$1),COUNTIF($G1969:$J1969,M$1),"")</f>
        <v>0</v>
      </c>
      <c r="N1969" s="7" t="str">
        <f t="shared" si="1993"/>
        <v/>
      </c>
      <c r="O1969" s="7" t="str">
        <f t="shared" si="1028"/>
        <v/>
      </c>
      <c r="P1969" s="7">
        <f t="shared" si="1737"/>
        <v>1</v>
      </c>
      <c r="Q1969" s="7" t="str">
        <f t="shared" si="1738"/>
        <v/>
      </c>
      <c r="T1969" s="7"/>
    </row>
    <row r="1970" ht="12.75" customHeight="1">
      <c r="A1970" s="7">
        <v>1969.0</v>
      </c>
      <c r="B1970" s="7" t="s">
        <v>2322</v>
      </c>
      <c r="C1970" s="7" t="s">
        <v>4758</v>
      </c>
      <c r="D1970" s="7" t="s">
        <v>1726</v>
      </c>
      <c r="E1970" s="7" t="s">
        <v>4831</v>
      </c>
      <c r="F1970" s="7" t="s">
        <v>4877</v>
      </c>
      <c r="G1970" s="7" t="s">
        <v>4384</v>
      </c>
      <c r="H1970" s="7" t="s">
        <v>4407</v>
      </c>
      <c r="I1970" s="7" t="s">
        <v>4428</v>
      </c>
      <c r="J1970" s="7" t="s">
        <v>4359</v>
      </c>
      <c r="K1970" s="7" t="str">
        <f t="shared" si="2"/>
        <v/>
      </c>
      <c r="L1970" s="7" t="str">
        <f t="shared" si="1735"/>
        <v/>
      </c>
      <c r="M1970" s="7">
        <f t="shared" ref="M1970:N1970" si="1994">IF(LEN(M$1),COUNTIF($G1970:$J1970,M$1),"")</f>
        <v>0</v>
      </c>
      <c r="N1970" s="7" t="str">
        <f t="shared" si="1994"/>
        <v/>
      </c>
      <c r="O1970" s="7" t="str">
        <f t="shared" si="1028"/>
        <v/>
      </c>
      <c r="P1970" s="7">
        <f t="shared" si="1737"/>
        <v>1</v>
      </c>
      <c r="Q1970" s="7" t="str">
        <f t="shared" si="1738"/>
        <v/>
      </c>
      <c r="T1970" s="7"/>
    </row>
    <row r="1971" ht="12.75" customHeight="1">
      <c r="A1971" s="7">
        <v>1970.0</v>
      </c>
      <c r="B1971" s="7" t="s">
        <v>2322</v>
      </c>
      <c r="C1971" s="7" t="s">
        <v>4758</v>
      </c>
      <c r="D1971" s="7" t="s">
        <v>1813</v>
      </c>
      <c r="E1971" s="7" t="s">
        <v>4846</v>
      </c>
      <c r="F1971" s="7" t="s">
        <v>4877</v>
      </c>
      <c r="G1971" s="7" t="s">
        <v>4021</v>
      </c>
      <c r="H1971" s="7" t="s">
        <v>4137</v>
      </c>
      <c r="I1971" s="7" t="s">
        <v>4054</v>
      </c>
      <c r="J1971" s="7" t="s">
        <v>3972</v>
      </c>
      <c r="K1971" s="7" t="str">
        <f t="shared" si="2"/>
        <v/>
      </c>
      <c r="L1971" s="7" t="str">
        <f t="shared" si="1735"/>
        <v/>
      </c>
      <c r="M1971" s="7">
        <f t="shared" ref="M1971:N1971" si="1995">IF(LEN(M$1),COUNTIF($G1971:$J1971,M$1),"")</f>
        <v>0</v>
      </c>
      <c r="N1971" s="7" t="str">
        <f t="shared" si="1995"/>
        <v/>
      </c>
      <c r="O1971" s="7" t="str">
        <f t="shared" si="1028"/>
        <v/>
      </c>
      <c r="P1971" s="7">
        <f t="shared" si="1737"/>
        <v>1</v>
      </c>
      <c r="Q1971" s="7" t="str">
        <f t="shared" si="1738"/>
        <v/>
      </c>
      <c r="T1971" s="7"/>
    </row>
    <row r="1972" ht="12.75" customHeight="1">
      <c r="A1972" s="7">
        <v>1971.0</v>
      </c>
      <c r="B1972" s="7" t="s">
        <v>2322</v>
      </c>
      <c r="C1972" s="7" t="s">
        <v>4758</v>
      </c>
      <c r="D1972" s="7" t="s">
        <v>1813</v>
      </c>
      <c r="E1972" s="7" t="s">
        <v>4846</v>
      </c>
      <c r="F1972" s="7" t="s">
        <v>4877</v>
      </c>
      <c r="G1972" s="7" t="s">
        <v>4042</v>
      </c>
      <c r="H1972" s="7" t="s">
        <v>4137</v>
      </c>
      <c r="I1972" s="7" t="s">
        <v>4054</v>
      </c>
      <c r="J1972" s="7" t="s">
        <v>3978</v>
      </c>
      <c r="K1972" s="7" t="str">
        <f t="shared" si="2"/>
        <v/>
      </c>
      <c r="L1972" s="7" t="str">
        <f t="shared" si="1735"/>
        <v/>
      </c>
      <c r="M1972" s="7">
        <f t="shared" ref="M1972:N1972" si="1996">IF(LEN(M$1),COUNTIF($G1972:$J1972,M$1),"")</f>
        <v>0</v>
      </c>
      <c r="N1972" s="7" t="str">
        <f t="shared" si="1996"/>
        <v/>
      </c>
      <c r="O1972" s="7" t="str">
        <f t="shared" si="1028"/>
        <v/>
      </c>
      <c r="P1972" s="7">
        <f t="shared" si="1737"/>
        <v>1</v>
      </c>
      <c r="Q1972" s="7" t="str">
        <f t="shared" si="1738"/>
        <v/>
      </c>
      <c r="T1972" s="7"/>
    </row>
    <row r="1973" ht="12.75" customHeight="1">
      <c r="A1973" s="7">
        <v>1972.0</v>
      </c>
      <c r="B1973" s="7" t="s">
        <v>2322</v>
      </c>
      <c r="C1973" s="7" t="s">
        <v>4758</v>
      </c>
      <c r="D1973" s="7" t="s">
        <v>1874</v>
      </c>
      <c r="E1973" s="7" t="s">
        <v>4782</v>
      </c>
      <c r="F1973" s="7" t="s">
        <v>4877</v>
      </c>
      <c r="G1973" s="7" t="s">
        <v>4374</v>
      </c>
      <c r="H1973" s="7" t="s">
        <v>4408</v>
      </c>
      <c r="I1973" s="7" t="s">
        <v>4421</v>
      </c>
      <c r="J1973" s="7" t="s">
        <v>4394</v>
      </c>
      <c r="K1973" s="7" t="str">
        <f t="shared" si="2"/>
        <v/>
      </c>
      <c r="L1973" s="7" t="str">
        <f t="shared" si="1735"/>
        <v/>
      </c>
      <c r="M1973" s="7">
        <f t="shared" ref="M1973:N1973" si="1997">IF(LEN(M$1),COUNTIF($G1973:$J1973,M$1),"")</f>
        <v>0</v>
      </c>
      <c r="N1973" s="7" t="str">
        <f t="shared" si="1997"/>
        <v/>
      </c>
      <c r="O1973" s="7" t="str">
        <f t="shared" si="1028"/>
        <v/>
      </c>
      <c r="P1973" s="7">
        <f t="shared" si="1737"/>
        <v>1</v>
      </c>
      <c r="Q1973" s="7" t="str">
        <f t="shared" si="1738"/>
        <v/>
      </c>
      <c r="T1973" s="7"/>
    </row>
    <row r="1974" ht="12.75" customHeight="1">
      <c r="A1974" s="7">
        <v>1973.0</v>
      </c>
      <c r="B1974" s="7" t="s">
        <v>2322</v>
      </c>
      <c r="C1974" s="7" t="s">
        <v>4758</v>
      </c>
      <c r="D1974" s="7" t="s">
        <v>1360</v>
      </c>
      <c r="E1974" s="7" t="s">
        <v>4814</v>
      </c>
      <c r="F1974" s="7" t="s">
        <v>4877</v>
      </c>
      <c r="G1974" s="7" t="s">
        <v>4079</v>
      </c>
      <c r="H1974" s="7" t="s">
        <v>4012</v>
      </c>
      <c r="I1974" s="7" t="s">
        <v>4105</v>
      </c>
      <c r="J1974" s="7" t="s">
        <v>4069</v>
      </c>
      <c r="K1974" s="7" t="str">
        <f t="shared" si="2"/>
        <v/>
      </c>
      <c r="L1974" s="7" t="str">
        <f t="shared" si="1735"/>
        <v/>
      </c>
      <c r="M1974" s="7">
        <f t="shared" ref="M1974:N1974" si="1998">IF(LEN(M$1),COUNTIF($G1974:$J1974,M$1),"")</f>
        <v>0</v>
      </c>
      <c r="N1974" s="7" t="str">
        <f t="shared" si="1998"/>
        <v/>
      </c>
      <c r="O1974" s="7" t="str">
        <f t="shared" si="1028"/>
        <v/>
      </c>
      <c r="P1974" s="7">
        <f t="shared" si="1737"/>
        <v>1</v>
      </c>
      <c r="Q1974" s="7" t="str">
        <f t="shared" si="1738"/>
        <v/>
      </c>
      <c r="T1974" s="7"/>
    </row>
    <row r="1975" ht="12.75" customHeight="1">
      <c r="A1975" s="7">
        <v>1974.0</v>
      </c>
      <c r="B1975" s="7" t="s">
        <v>2411</v>
      </c>
      <c r="C1975" s="7" t="s">
        <v>4858</v>
      </c>
      <c r="D1975" s="7" t="s">
        <v>2457</v>
      </c>
      <c r="E1975" s="7" t="s">
        <v>4858</v>
      </c>
      <c r="F1975" s="7" t="s">
        <v>4878</v>
      </c>
      <c r="G1975" s="7" t="s">
        <v>4452</v>
      </c>
      <c r="H1975" s="7" t="s">
        <v>4456</v>
      </c>
      <c r="I1975" s="7" t="s">
        <v>4454</v>
      </c>
      <c r="J1975" s="7" t="s">
        <v>4457</v>
      </c>
      <c r="K1975" s="7" t="str">
        <f t="shared" si="2"/>
        <v/>
      </c>
      <c r="L1975" s="7" t="str">
        <f t="shared" si="1735"/>
        <v/>
      </c>
      <c r="M1975" s="7">
        <f t="shared" ref="M1975:N1975" si="1999">IF(LEN(M$1),COUNTIF($G1975:$J1975,M$1),"")</f>
        <v>0</v>
      </c>
      <c r="N1975" s="7" t="str">
        <f t="shared" si="1999"/>
        <v/>
      </c>
      <c r="O1975" s="7" t="str">
        <f t="shared" si="1028"/>
        <v/>
      </c>
      <c r="P1975" s="7">
        <f t="shared" ref="P1975:P2004" si="2001">IF(LEN(P$1),IF(P$1="B",1,0),"")</f>
        <v>0</v>
      </c>
      <c r="Q1975" s="7" t="str">
        <f t="shared" si="1738"/>
        <v/>
      </c>
      <c r="T1975" s="7"/>
    </row>
    <row r="1976" ht="12.75" customHeight="1">
      <c r="A1976" s="7">
        <v>1975.0</v>
      </c>
      <c r="B1976" s="7" t="s">
        <v>2411</v>
      </c>
      <c r="C1976" s="7" t="s">
        <v>4858</v>
      </c>
      <c r="D1976" s="7" t="s">
        <v>2457</v>
      </c>
      <c r="E1976" s="7" t="s">
        <v>4858</v>
      </c>
      <c r="F1976" s="7" t="s">
        <v>4878</v>
      </c>
      <c r="G1976" s="7" t="s">
        <v>4458</v>
      </c>
      <c r="H1976" s="7" t="s">
        <v>4460</v>
      </c>
      <c r="I1976" s="7" t="s">
        <v>4459</v>
      </c>
      <c r="J1976" s="7" t="s">
        <v>4461</v>
      </c>
      <c r="K1976" s="7" t="str">
        <f t="shared" si="2"/>
        <v/>
      </c>
      <c r="L1976" s="7" t="str">
        <f t="shared" si="1735"/>
        <v/>
      </c>
      <c r="M1976" s="7">
        <f t="shared" ref="M1976:N1976" si="2000">IF(LEN(M$1),COUNTIF($G1976:$J1976,M$1),"")</f>
        <v>0</v>
      </c>
      <c r="N1976" s="7" t="str">
        <f t="shared" si="2000"/>
        <v/>
      </c>
      <c r="O1976" s="7" t="str">
        <f t="shared" si="1028"/>
        <v/>
      </c>
      <c r="P1976" s="7">
        <f t="shared" si="2001"/>
        <v>0</v>
      </c>
      <c r="Q1976" s="7" t="str">
        <f t="shared" si="1738"/>
        <v/>
      </c>
      <c r="T1976" s="7"/>
    </row>
    <row r="1977" ht="12.75" customHeight="1">
      <c r="A1977" s="7">
        <v>1976.0</v>
      </c>
      <c r="B1977" s="7" t="s">
        <v>2411</v>
      </c>
      <c r="C1977" s="7" t="s">
        <v>4858</v>
      </c>
      <c r="D1977" s="7" t="s">
        <v>2457</v>
      </c>
      <c r="E1977" s="7" t="s">
        <v>4858</v>
      </c>
      <c r="F1977" s="7" t="s">
        <v>4878</v>
      </c>
      <c r="G1977" s="7" t="s">
        <v>4462</v>
      </c>
      <c r="H1977" s="7" t="s">
        <v>4464</v>
      </c>
      <c r="I1977" s="7" t="s">
        <v>4463</v>
      </c>
      <c r="J1977" s="7" t="s">
        <v>4465</v>
      </c>
      <c r="K1977" s="7" t="str">
        <f t="shared" si="2"/>
        <v/>
      </c>
      <c r="L1977" s="7" t="str">
        <f t="shared" si="1735"/>
        <v/>
      </c>
      <c r="M1977" s="7">
        <f t="shared" ref="M1977:N1977" si="2002">IF(LEN(M$1),COUNTIF($G1977:$J1977,M$1),"")</f>
        <v>0</v>
      </c>
      <c r="N1977" s="7" t="str">
        <f t="shared" si="2002"/>
        <v/>
      </c>
      <c r="O1977" s="7" t="str">
        <f t="shared" si="1028"/>
        <v/>
      </c>
      <c r="P1977" s="7">
        <f t="shared" si="2001"/>
        <v>0</v>
      </c>
      <c r="Q1977" s="7" t="str">
        <f t="shared" si="1738"/>
        <v/>
      </c>
      <c r="T1977" s="7"/>
    </row>
    <row r="1978" ht="12.75" customHeight="1">
      <c r="A1978" s="7">
        <v>1977.0</v>
      </c>
      <c r="B1978" s="7" t="s">
        <v>2337</v>
      </c>
      <c r="C1978" s="7" t="s">
        <v>4879</v>
      </c>
      <c r="D1978" s="7" t="s">
        <v>2329</v>
      </c>
      <c r="E1978" s="7" t="s">
        <v>4879</v>
      </c>
      <c r="F1978" s="7" t="s">
        <v>4880</v>
      </c>
      <c r="G1978" s="7" t="s">
        <v>4479</v>
      </c>
      <c r="H1978" s="7" t="s">
        <v>4483</v>
      </c>
      <c r="I1978" s="7" t="s">
        <v>4481</v>
      </c>
      <c r="J1978" s="7" t="s">
        <v>4484</v>
      </c>
      <c r="K1978" s="7" t="str">
        <f t="shared" si="2"/>
        <v/>
      </c>
      <c r="L1978" s="7" t="str">
        <f t="shared" si="1735"/>
        <v/>
      </c>
      <c r="M1978" s="7">
        <f t="shared" ref="M1978:N1978" si="2003">IF(LEN(M$1),COUNTIF($G1978:$J1978,M$1),"")</f>
        <v>0</v>
      </c>
      <c r="N1978" s="7" t="str">
        <f t="shared" si="2003"/>
        <v/>
      </c>
      <c r="O1978" s="7" t="str">
        <f t="shared" si="1028"/>
        <v/>
      </c>
      <c r="P1978" s="7">
        <f t="shared" si="2001"/>
        <v>0</v>
      </c>
      <c r="Q1978" s="7" t="str">
        <f t="shared" si="1738"/>
        <v/>
      </c>
      <c r="T1978" s="7"/>
    </row>
    <row r="1979" ht="12.75" customHeight="1">
      <c r="A1979" s="7">
        <v>1978.0</v>
      </c>
      <c r="B1979" s="7" t="s">
        <v>2337</v>
      </c>
      <c r="C1979" s="7" t="s">
        <v>4879</v>
      </c>
      <c r="D1979" s="7" t="s">
        <v>2329</v>
      </c>
      <c r="E1979" s="7" t="s">
        <v>4879</v>
      </c>
      <c r="F1979" s="7" t="s">
        <v>4880</v>
      </c>
      <c r="G1979" s="7" t="s">
        <v>4485</v>
      </c>
      <c r="H1979" s="7" t="s">
        <v>4487</v>
      </c>
      <c r="I1979" s="7" t="s">
        <v>4486</v>
      </c>
      <c r="J1979" s="7" t="s">
        <v>4488</v>
      </c>
      <c r="K1979" s="7" t="str">
        <f t="shared" si="2"/>
        <v/>
      </c>
      <c r="L1979" s="7" t="str">
        <f t="shared" si="1735"/>
        <v/>
      </c>
      <c r="M1979" s="7">
        <f t="shared" ref="M1979:N1979" si="2004">IF(LEN(M$1),COUNTIF($G1979:$J1979,M$1),"")</f>
        <v>0</v>
      </c>
      <c r="N1979" s="7" t="str">
        <f t="shared" si="2004"/>
        <v/>
      </c>
      <c r="O1979" s="7" t="str">
        <f t="shared" si="1028"/>
        <v/>
      </c>
      <c r="P1979" s="7">
        <f t="shared" si="2001"/>
        <v>0</v>
      </c>
      <c r="Q1979" s="7" t="str">
        <f t="shared" si="1738"/>
        <v/>
      </c>
      <c r="T1979" s="7"/>
    </row>
    <row r="1980" ht="12.75" customHeight="1">
      <c r="A1980" s="7">
        <v>1979.0</v>
      </c>
      <c r="B1980" s="7" t="s">
        <v>2337</v>
      </c>
      <c r="C1980" s="7" t="s">
        <v>4879</v>
      </c>
      <c r="D1980" s="7" t="s">
        <v>2329</v>
      </c>
      <c r="E1980" s="7" t="s">
        <v>4879</v>
      </c>
      <c r="F1980" s="7" t="s">
        <v>4880</v>
      </c>
      <c r="G1980" s="7" t="s">
        <v>4489</v>
      </c>
      <c r="H1980" s="7" t="s">
        <v>4491</v>
      </c>
      <c r="I1980" s="7" t="s">
        <v>4490</v>
      </c>
      <c r="J1980" s="7" t="s">
        <v>4492</v>
      </c>
      <c r="K1980" s="7" t="str">
        <f t="shared" si="2"/>
        <v/>
      </c>
      <c r="L1980" s="7" t="str">
        <f t="shared" si="1735"/>
        <v/>
      </c>
      <c r="M1980" s="7">
        <f t="shared" ref="M1980:N1980" si="2005">IF(LEN(M$1),COUNTIF($G1980:$J1980,M$1),"")</f>
        <v>0</v>
      </c>
      <c r="N1980" s="7" t="str">
        <f t="shared" si="2005"/>
        <v/>
      </c>
      <c r="O1980" s="7" t="str">
        <f t="shared" si="1028"/>
        <v/>
      </c>
      <c r="P1980" s="7">
        <f t="shared" si="2001"/>
        <v>0</v>
      </c>
      <c r="Q1980" s="7" t="str">
        <f t="shared" si="1738"/>
        <v/>
      </c>
      <c r="T1980" s="7"/>
    </row>
    <row r="1981" ht="12.75" customHeight="1">
      <c r="A1981" s="7">
        <v>1980.0</v>
      </c>
      <c r="B1981" s="7" t="s">
        <v>2419</v>
      </c>
      <c r="C1981" s="7" t="s">
        <v>4858</v>
      </c>
      <c r="D1981" s="7" t="s">
        <v>2442</v>
      </c>
      <c r="E1981" s="7" t="s">
        <v>4858</v>
      </c>
      <c r="F1981" s="7" t="s">
        <v>4881</v>
      </c>
      <c r="G1981" s="7" t="s">
        <v>4503</v>
      </c>
      <c r="H1981" s="7" t="s">
        <v>4507</v>
      </c>
      <c r="I1981" s="7" t="s">
        <v>4505</v>
      </c>
      <c r="J1981" s="7" t="s">
        <v>4508</v>
      </c>
      <c r="K1981" s="7" t="str">
        <f t="shared" si="2"/>
        <v/>
      </c>
      <c r="L1981" s="7" t="str">
        <f t="shared" si="1735"/>
        <v/>
      </c>
      <c r="M1981" s="7">
        <f t="shared" ref="M1981:N1981" si="2006">IF(LEN(M$1),COUNTIF($G1981:$J1981,M$1),"")</f>
        <v>0</v>
      </c>
      <c r="N1981" s="7" t="str">
        <f t="shared" si="2006"/>
        <v/>
      </c>
      <c r="O1981" s="7" t="str">
        <f t="shared" si="1028"/>
        <v/>
      </c>
      <c r="P1981" s="7">
        <f t="shared" si="2001"/>
        <v>0</v>
      </c>
      <c r="Q1981" s="7" t="str">
        <f t="shared" si="1738"/>
        <v/>
      </c>
      <c r="T1981" s="7"/>
    </row>
    <row r="1982" ht="12.75" customHeight="1">
      <c r="A1982" s="7">
        <v>1981.0</v>
      </c>
      <c r="B1982" s="7" t="s">
        <v>2419</v>
      </c>
      <c r="C1982" s="7" t="s">
        <v>4858</v>
      </c>
      <c r="D1982" s="7" t="s">
        <v>2442</v>
      </c>
      <c r="E1982" s="7" t="s">
        <v>4858</v>
      </c>
      <c r="F1982" s="7" t="s">
        <v>4881</v>
      </c>
      <c r="G1982" s="7" t="s">
        <v>4509</v>
      </c>
      <c r="H1982" s="7" t="s">
        <v>4511</v>
      </c>
      <c r="I1982" s="7" t="s">
        <v>4510</v>
      </c>
      <c r="J1982" s="7" t="s">
        <v>4512</v>
      </c>
      <c r="K1982" s="7" t="str">
        <f t="shared" si="2"/>
        <v/>
      </c>
      <c r="L1982" s="7" t="str">
        <f t="shared" si="1735"/>
        <v/>
      </c>
      <c r="M1982" s="7">
        <f t="shared" ref="M1982:N1982" si="2007">IF(LEN(M$1),COUNTIF($G1982:$J1982,M$1),"")</f>
        <v>0</v>
      </c>
      <c r="N1982" s="7" t="str">
        <f t="shared" si="2007"/>
        <v/>
      </c>
      <c r="O1982" s="7" t="str">
        <f t="shared" si="1028"/>
        <v/>
      </c>
      <c r="P1982" s="7">
        <f t="shared" si="2001"/>
        <v>0</v>
      </c>
      <c r="Q1982" s="7" t="str">
        <f t="shared" si="1738"/>
        <v/>
      </c>
      <c r="T1982" s="7"/>
    </row>
    <row r="1983" ht="12.75" customHeight="1">
      <c r="A1983" s="7">
        <v>1982.0</v>
      </c>
      <c r="B1983" s="7" t="s">
        <v>2419</v>
      </c>
      <c r="C1983" s="7" t="s">
        <v>4858</v>
      </c>
      <c r="D1983" s="7" t="s">
        <v>2442</v>
      </c>
      <c r="E1983" s="7" t="s">
        <v>4858</v>
      </c>
      <c r="F1983" s="7" t="s">
        <v>4881</v>
      </c>
      <c r="G1983" s="7" t="s">
        <v>4513</v>
      </c>
      <c r="H1983" s="7" t="s">
        <v>4515</v>
      </c>
      <c r="I1983" s="7" t="s">
        <v>4514</v>
      </c>
      <c r="J1983" s="7" t="s">
        <v>4516</v>
      </c>
      <c r="K1983" s="7" t="str">
        <f t="shared" si="2"/>
        <v/>
      </c>
      <c r="L1983" s="7" t="str">
        <f t="shared" si="1735"/>
        <v/>
      </c>
      <c r="M1983" s="7">
        <f t="shared" ref="M1983:N1983" si="2008">IF(LEN(M$1),COUNTIF($G1983:$J1983,M$1),"")</f>
        <v>0</v>
      </c>
      <c r="N1983" s="7" t="str">
        <f t="shared" si="2008"/>
        <v/>
      </c>
      <c r="O1983" s="7" t="str">
        <f t="shared" si="1028"/>
        <v/>
      </c>
      <c r="P1983" s="7">
        <f t="shared" si="2001"/>
        <v>0</v>
      </c>
      <c r="Q1983" s="7" t="str">
        <f t="shared" si="1738"/>
        <v/>
      </c>
      <c r="T1983" s="7"/>
    </row>
    <row r="1984" ht="12.75" customHeight="1">
      <c r="A1984" s="7">
        <v>1983.0</v>
      </c>
      <c r="B1984" s="7" t="s">
        <v>2397</v>
      </c>
      <c r="C1984" s="7" t="s">
        <v>4882</v>
      </c>
      <c r="D1984" s="7" t="s">
        <v>2404</v>
      </c>
      <c r="E1984" s="7" t="s">
        <v>4882</v>
      </c>
      <c r="F1984" s="7" t="s">
        <v>4883</v>
      </c>
      <c r="G1984" s="7" t="s">
        <v>4528</v>
      </c>
      <c r="H1984" s="7" t="s">
        <v>4532</v>
      </c>
      <c r="I1984" s="7" t="s">
        <v>4530</v>
      </c>
      <c r="J1984" s="7" t="s">
        <v>4533</v>
      </c>
      <c r="K1984" s="7" t="str">
        <f t="shared" si="2"/>
        <v/>
      </c>
      <c r="L1984" s="7" t="str">
        <f t="shared" si="1735"/>
        <v/>
      </c>
      <c r="M1984" s="7">
        <f t="shared" ref="M1984:N1984" si="2009">IF(LEN(M$1),COUNTIF($G1984:$J1984,M$1),"")</f>
        <v>0</v>
      </c>
      <c r="N1984" s="7" t="str">
        <f t="shared" si="2009"/>
        <v/>
      </c>
      <c r="O1984" s="7" t="str">
        <f t="shared" si="1028"/>
        <v/>
      </c>
      <c r="P1984" s="7">
        <f t="shared" si="2001"/>
        <v>0</v>
      </c>
      <c r="Q1984" s="7" t="str">
        <f t="shared" si="1738"/>
        <v/>
      </c>
      <c r="T1984" s="7"/>
    </row>
    <row r="1985" ht="12.75" customHeight="1">
      <c r="A1985" s="7">
        <v>1984.0</v>
      </c>
      <c r="B1985" s="7" t="s">
        <v>2397</v>
      </c>
      <c r="C1985" s="7" t="s">
        <v>4882</v>
      </c>
      <c r="D1985" s="7" t="s">
        <v>2404</v>
      </c>
      <c r="E1985" s="7" t="s">
        <v>4882</v>
      </c>
      <c r="F1985" s="7" t="s">
        <v>4883</v>
      </c>
      <c r="G1985" s="7" t="s">
        <v>4534</v>
      </c>
      <c r="H1985" s="7" t="s">
        <v>4536</v>
      </c>
      <c r="I1985" s="7" t="s">
        <v>4535</v>
      </c>
      <c r="J1985" s="7" t="s">
        <v>4537</v>
      </c>
      <c r="K1985" s="7" t="str">
        <f t="shared" si="2"/>
        <v/>
      </c>
      <c r="L1985" s="7" t="str">
        <f t="shared" si="1735"/>
        <v/>
      </c>
      <c r="M1985" s="7">
        <f t="shared" ref="M1985:N1985" si="2010">IF(LEN(M$1),COUNTIF($G1985:$J1985,M$1),"")</f>
        <v>0</v>
      </c>
      <c r="N1985" s="7" t="str">
        <f t="shared" si="2010"/>
        <v/>
      </c>
      <c r="O1985" s="7" t="str">
        <f t="shared" si="1028"/>
        <v/>
      </c>
      <c r="P1985" s="7">
        <f t="shared" si="2001"/>
        <v>0</v>
      </c>
      <c r="Q1985" s="7" t="str">
        <f t="shared" si="1738"/>
        <v/>
      </c>
      <c r="T1985" s="7"/>
    </row>
    <row r="1986" ht="12.75" customHeight="1">
      <c r="A1986" s="7">
        <v>1985.0</v>
      </c>
      <c r="B1986" s="7" t="s">
        <v>2397</v>
      </c>
      <c r="C1986" s="7" t="s">
        <v>4882</v>
      </c>
      <c r="D1986" s="7" t="s">
        <v>2404</v>
      </c>
      <c r="E1986" s="7" t="s">
        <v>4882</v>
      </c>
      <c r="F1986" s="7" t="s">
        <v>4883</v>
      </c>
      <c r="G1986" s="7" t="s">
        <v>4538</v>
      </c>
      <c r="H1986" s="7" t="s">
        <v>4540</v>
      </c>
      <c r="I1986" s="7" t="s">
        <v>4539</v>
      </c>
      <c r="J1986" s="7" t="s">
        <v>4541</v>
      </c>
      <c r="K1986" s="7" t="str">
        <f t="shared" si="2"/>
        <v/>
      </c>
      <c r="L1986" s="7" t="str">
        <f t="shared" si="1735"/>
        <v/>
      </c>
      <c r="M1986" s="7">
        <f t="shared" ref="M1986:N1986" si="2011">IF(LEN(M$1),COUNTIF($G1986:$J1986,M$1),"")</f>
        <v>0</v>
      </c>
      <c r="N1986" s="7" t="str">
        <f t="shared" si="2011"/>
        <v/>
      </c>
      <c r="O1986" s="7" t="str">
        <f t="shared" si="1028"/>
        <v/>
      </c>
      <c r="P1986" s="7">
        <f t="shared" si="2001"/>
        <v>0</v>
      </c>
      <c r="Q1986" s="7" t="str">
        <f t="shared" si="1738"/>
        <v/>
      </c>
      <c r="T1986" s="7"/>
    </row>
    <row r="1987" ht="12.75" customHeight="1">
      <c r="A1987" s="7">
        <v>1986.0</v>
      </c>
      <c r="B1987" s="7" t="s">
        <v>2435</v>
      </c>
      <c r="C1987" s="7" t="s">
        <v>4858</v>
      </c>
      <c r="D1987" s="7" t="s">
        <v>2450</v>
      </c>
      <c r="E1987" s="7" t="s">
        <v>4858</v>
      </c>
      <c r="F1987" s="7" t="s">
        <v>4884</v>
      </c>
      <c r="G1987" s="7" t="s">
        <v>4555</v>
      </c>
      <c r="H1987" s="7" t="s">
        <v>4559</v>
      </c>
      <c r="I1987" s="7" t="s">
        <v>4557</v>
      </c>
      <c r="J1987" s="7" t="s">
        <v>4560</v>
      </c>
      <c r="K1987" s="7" t="str">
        <f t="shared" si="2"/>
        <v/>
      </c>
      <c r="L1987" s="7" t="str">
        <f t="shared" si="1735"/>
        <v/>
      </c>
      <c r="M1987" s="7">
        <f t="shared" ref="M1987:N1987" si="2012">IF(LEN(M$1),COUNTIF($G1987:$J1987,M$1),"")</f>
        <v>0</v>
      </c>
      <c r="N1987" s="7" t="str">
        <f t="shared" si="2012"/>
        <v/>
      </c>
      <c r="O1987" s="7" t="str">
        <f t="shared" si="1028"/>
        <v/>
      </c>
      <c r="P1987" s="7">
        <f t="shared" si="2001"/>
        <v>0</v>
      </c>
      <c r="Q1987" s="7" t="str">
        <f t="shared" si="1738"/>
        <v/>
      </c>
      <c r="T1987" s="7"/>
    </row>
    <row r="1988" ht="12.75" customHeight="1">
      <c r="A1988" s="7">
        <v>1987.0</v>
      </c>
      <c r="B1988" s="7" t="s">
        <v>2435</v>
      </c>
      <c r="C1988" s="7" t="s">
        <v>4858</v>
      </c>
      <c r="D1988" s="7" t="s">
        <v>2450</v>
      </c>
      <c r="E1988" s="7" t="s">
        <v>4858</v>
      </c>
      <c r="F1988" s="7" t="s">
        <v>4884</v>
      </c>
      <c r="G1988" s="7" t="s">
        <v>4561</v>
      </c>
      <c r="H1988" s="7" t="s">
        <v>4563</v>
      </c>
      <c r="I1988" s="7" t="s">
        <v>4562</v>
      </c>
      <c r="J1988" s="7" t="s">
        <v>4564</v>
      </c>
      <c r="K1988" s="7" t="str">
        <f t="shared" si="2"/>
        <v/>
      </c>
      <c r="L1988" s="7" t="str">
        <f t="shared" si="1735"/>
        <v/>
      </c>
      <c r="M1988" s="7">
        <f t="shared" ref="M1988:N1988" si="2013">IF(LEN(M$1),COUNTIF($G1988:$J1988,M$1),"")</f>
        <v>0</v>
      </c>
      <c r="N1988" s="7" t="str">
        <f t="shared" si="2013"/>
        <v/>
      </c>
      <c r="O1988" s="7" t="str">
        <f t="shared" si="1028"/>
        <v/>
      </c>
      <c r="P1988" s="7">
        <f t="shared" si="2001"/>
        <v>0</v>
      </c>
      <c r="Q1988" s="7" t="str">
        <f t="shared" si="1738"/>
        <v/>
      </c>
      <c r="T1988" s="7"/>
    </row>
    <row r="1989" ht="12.75" customHeight="1">
      <c r="A1989" s="7">
        <v>1988.0</v>
      </c>
      <c r="B1989" s="7" t="s">
        <v>2435</v>
      </c>
      <c r="C1989" s="7" t="s">
        <v>4858</v>
      </c>
      <c r="D1989" s="7" t="s">
        <v>2450</v>
      </c>
      <c r="E1989" s="7" t="s">
        <v>4858</v>
      </c>
      <c r="F1989" s="7" t="s">
        <v>4884</v>
      </c>
      <c r="G1989" s="7" t="s">
        <v>4565</v>
      </c>
      <c r="H1989" s="7" t="s">
        <v>4567</v>
      </c>
      <c r="I1989" s="7" t="s">
        <v>4566</v>
      </c>
      <c r="J1989" s="7" t="s">
        <v>4568</v>
      </c>
      <c r="K1989" s="7" t="str">
        <f t="shared" si="2"/>
        <v/>
      </c>
      <c r="L1989" s="7" t="str">
        <f t="shared" si="1735"/>
        <v/>
      </c>
      <c r="M1989" s="7">
        <f t="shared" ref="M1989:N1989" si="2014">IF(LEN(M$1),COUNTIF($G1989:$J1989,M$1),"")</f>
        <v>0</v>
      </c>
      <c r="N1989" s="7" t="str">
        <f t="shared" si="2014"/>
        <v/>
      </c>
      <c r="O1989" s="7" t="str">
        <f t="shared" si="1028"/>
        <v/>
      </c>
      <c r="P1989" s="7">
        <f t="shared" si="2001"/>
        <v>0</v>
      </c>
      <c r="Q1989" s="7" t="str">
        <f t="shared" si="1738"/>
        <v/>
      </c>
      <c r="T1989" s="7"/>
    </row>
    <row r="1990" ht="12.75" customHeight="1">
      <c r="A1990" s="7">
        <v>1989.0</v>
      </c>
      <c r="B1990" s="7" t="s">
        <v>2345</v>
      </c>
      <c r="C1990" s="7" t="s">
        <v>4879</v>
      </c>
      <c r="D1990" s="7" t="s">
        <v>2354</v>
      </c>
      <c r="E1990" s="7" t="s">
        <v>4879</v>
      </c>
      <c r="F1990" s="7" t="s">
        <v>4885</v>
      </c>
      <c r="G1990" s="7" t="s">
        <v>4581</v>
      </c>
      <c r="H1990" s="7" t="s">
        <v>4584</v>
      </c>
      <c r="I1990" s="7" t="s">
        <v>4579</v>
      </c>
      <c r="J1990" s="7" t="s">
        <v>4583</v>
      </c>
      <c r="K1990" s="7" t="str">
        <f t="shared" si="2"/>
        <v/>
      </c>
      <c r="L1990" s="7" t="str">
        <f t="shared" si="1735"/>
        <v/>
      </c>
      <c r="M1990" s="7">
        <f t="shared" ref="M1990:N1990" si="2015">IF(LEN(M$1),COUNTIF($G1990:$J1990,M$1),"")</f>
        <v>0</v>
      </c>
      <c r="N1990" s="7" t="str">
        <f t="shared" si="2015"/>
        <v/>
      </c>
      <c r="O1990" s="7" t="str">
        <f t="shared" si="1028"/>
        <v/>
      </c>
      <c r="P1990" s="7">
        <f t="shared" si="2001"/>
        <v>0</v>
      </c>
      <c r="Q1990" s="7" t="str">
        <f t="shared" si="1738"/>
        <v/>
      </c>
      <c r="T1990" s="7"/>
    </row>
    <row r="1991" ht="12.75" customHeight="1">
      <c r="A1991" s="7">
        <v>1990.0</v>
      </c>
      <c r="B1991" s="7" t="s">
        <v>2345</v>
      </c>
      <c r="C1991" s="7" t="s">
        <v>4879</v>
      </c>
      <c r="D1991" s="7" t="s">
        <v>2354</v>
      </c>
      <c r="E1991" s="7" t="s">
        <v>4879</v>
      </c>
      <c r="F1991" s="7" t="s">
        <v>4885</v>
      </c>
      <c r="G1991" s="7" t="s">
        <v>4586</v>
      </c>
      <c r="H1991" s="7" t="s">
        <v>4588</v>
      </c>
      <c r="I1991" s="7" t="s">
        <v>4585</v>
      </c>
      <c r="J1991" s="7" t="s">
        <v>4587</v>
      </c>
      <c r="K1991" s="7" t="str">
        <f t="shared" si="2"/>
        <v/>
      </c>
      <c r="L1991" s="7" t="str">
        <f t="shared" si="1735"/>
        <v/>
      </c>
      <c r="M1991" s="7">
        <f t="shared" ref="M1991:N1991" si="2016">IF(LEN(M$1),COUNTIF($G1991:$J1991,M$1),"")</f>
        <v>0</v>
      </c>
      <c r="N1991" s="7" t="str">
        <f t="shared" si="2016"/>
        <v/>
      </c>
      <c r="O1991" s="7" t="str">
        <f t="shared" si="1028"/>
        <v/>
      </c>
      <c r="P1991" s="7">
        <f t="shared" si="2001"/>
        <v>0</v>
      </c>
      <c r="Q1991" s="7" t="str">
        <f t="shared" si="1738"/>
        <v/>
      </c>
      <c r="T1991" s="7"/>
    </row>
    <row r="1992" ht="12.75" customHeight="1">
      <c r="A1992" s="7">
        <v>1991.0</v>
      </c>
      <c r="B1992" s="7" t="s">
        <v>2345</v>
      </c>
      <c r="C1992" s="7" t="s">
        <v>4879</v>
      </c>
      <c r="D1992" s="7" t="s">
        <v>2354</v>
      </c>
      <c r="E1992" s="7" t="s">
        <v>4879</v>
      </c>
      <c r="F1992" s="7" t="s">
        <v>4885</v>
      </c>
      <c r="G1992" s="7" t="s">
        <v>4590</v>
      </c>
      <c r="H1992" s="7" t="s">
        <v>4592</v>
      </c>
      <c r="I1992" s="7" t="s">
        <v>4589</v>
      </c>
      <c r="J1992" s="7" t="s">
        <v>4591</v>
      </c>
      <c r="K1992" s="7" t="str">
        <f t="shared" si="2"/>
        <v/>
      </c>
      <c r="L1992" s="7" t="str">
        <f t="shared" si="1735"/>
        <v/>
      </c>
      <c r="M1992" s="7">
        <f t="shared" ref="M1992:N1992" si="2017">IF(LEN(M$1),COUNTIF($G1992:$J1992,M$1),"")</f>
        <v>0</v>
      </c>
      <c r="N1992" s="7" t="str">
        <f t="shared" si="2017"/>
        <v/>
      </c>
      <c r="O1992" s="7" t="str">
        <f t="shared" si="1028"/>
        <v/>
      </c>
      <c r="P1992" s="7">
        <f t="shared" si="2001"/>
        <v>0</v>
      </c>
      <c r="Q1992" s="7" t="str">
        <f t="shared" si="1738"/>
        <v/>
      </c>
      <c r="T1992" s="7"/>
    </row>
    <row r="1993" ht="12.75" customHeight="1">
      <c r="A1993" s="7">
        <v>1992.0</v>
      </c>
      <c r="B1993" s="7" t="s">
        <v>2362</v>
      </c>
      <c r="C1993" s="7" t="s">
        <v>4879</v>
      </c>
      <c r="D1993" s="7" t="s">
        <v>2480</v>
      </c>
      <c r="E1993" s="7" t="s">
        <v>4886</v>
      </c>
      <c r="F1993" s="7" t="s">
        <v>4887</v>
      </c>
      <c r="G1993" s="7" t="s">
        <v>4603</v>
      </c>
      <c r="H1993" s="7" t="s">
        <v>4607</v>
      </c>
      <c r="I1993" s="7" t="s">
        <v>4605</v>
      </c>
      <c r="J1993" s="7" t="s">
        <v>4608</v>
      </c>
      <c r="K1993" s="7" t="str">
        <f t="shared" si="2"/>
        <v/>
      </c>
      <c r="L1993" s="7" t="str">
        <f t="shared" si="1735"/>
        <v/>
      </c>
      <c r="M1993" s="7">
        <f t="shared" ref="M1993:N1993" si="2018">IF(LEN(M$1),COUNTIF($G1993:$J1993,M$1),"")</f>
        <v>0</v>
      </c>
      <c r="N1993" s="7" t="str">
        <f t="shared" si="2018"/>
        <v/>
      </c>
      <c r="O1993" s="7" t="str">
        <f t="shared" si="1028"/>
        <v/>
      </c>
      <c r="P1993" s="7">
        <f t="shared" si="2001"/>
        <v>0</v>
      </c>
      <c r="Q1993" s="7" t="str">
        <f t="shared" si="1738"/>
        <v/>
      </c>
      <c r="T1993" s="7"/>
    </row>
    <row r="1994" ht="12.75" customHeight="1">
      <c r="A1994" s="7">
        <v>1993.0</v>
      </c>
      <c r="B1994" s="7" t="s">
        <v>2362</v>
      </c>
      <c r="C1994" s="7" t="s">
        <v>4879</v>
      </c>
      <c r="D1994" s="7" t="s">
        <v>2480</v>
      </c>
      <c r="E1994" s="7" t="s">
        <v>4886</v>
      </c>
      <c r="F1994" s="7" t="s">
        <v>4887</v>
      </c>
      <c r="G1994" s="7" t="s">
        <v>4609</v>
      </c>
      <c r="H1994" s="7" t="s">
        <v>4612</v>
      </c>
      <c r="I1994" s="7" t="s">
        <v>4610</v>
      </c>
      <c r="J1994" s="7" t="s">
        <v>4613</v>
      </c>
      <c r="K1994" s="7" t="str">
        <f t="shared" si="2"/>
        <v/>
      </c>
      <c r="L1994" s="7" t="str">
        <f t="shared" si="1735"/>
        <v/>
      </c>
      <c r="M1994" s="7">
        <f t="shared" ref="M1994:N1994" si="2019">IF(LEN(M$1),COUNTIF($G1994:$J1994,M$1),"")</f>
        <v>0</v>
      </c>
      <c r="N1994" s="7" t="str">
        <f t="shared" si="2019"/>
        <v/>
      </c>
      <c r="O1994" s="7" t="str">
        <f t="shared" si="1028"/>
        <v/>
      </c>
      <c r="P1994" s="7">
        <f t="shared" si="2001"/>
        <v>0</v>
      </c>
      <c r="Q1994" s="7" t="str">
        <f t="shared" si="1738"/>
        <v/>
      </c>
      <c r="T1994" s="7"/>
    </row>
    <row r="1995" ht="12.75" customHeight="1">
      <c r="A1995" s="7">
        <v>1994.0</v>
      </c>
      <c r="B1995" s="7" t="s">
        <v>2362</v>
      </c>
      <c r="C1995" s="7" t="s">
        <v>4879</v>
      </c>
      <c r="D1995" s="7" t="s">
        <v>2480</v>
      </c>
      <c r="E1995" s="7" t="s">
        <v>4886</v>
      </c>
      <c r="F1995" s="7" t="s">
        <v>4887</v>
      </c>
      <c r="G1995" s="7" t="s">
        <v>4614</v>
      </c>
      <c r="H1995" s="7" t="s">
        <v>4616</v>
      </c>
      <c r="I1995" s="7" t="s">
        <v>4615</v>
      </c>
      <c r="J1995" s="7" t="s">
        <v>4617</v>
      </c>
      <c r="K1995" s="7" t="str">
        <f t="shared" si="2"/>
        <v/>
      </c>
      <c r="L1995" s="7" t="str">
        <f t="shared" si="1735"/>
        <v/>
      </c>
      <c r="M1995" s="7">
        <f t="shared" ref="M1995:N1995" si="2020">IF(LEN(M$1),COUNTIF($G1995:$J1995,M$1),"")</f>
        <v>0</v>
      </c>
      <c r="N1995" s="7" t="str">
        <f t="shared" si="2020"/>
        <v/>
      </c>
      <c r="O1995" s="7" t="str">
        <f t="shared" si="1028"/>
        <v/>
      </c>
      <c r="P1995" s="7">
        <f t="shared" si="2001"/>
        <v>0</v>
      </c>
      <c r="Q1995" s="7" t="str">
        <f t="shared" si="1738"/>
        <v/>
      </c>
      <c r="T1995" s="7"/>
    </row>
    <row r="1996" ht="12.75" customHeight="1">
      <c r="A1996" s="7">
        <v>1995.0</v>
      </c>
      <c r="B1996" s="7" t="s">
        <v>2488</v>
      </c>
      <c r="C1996" s="7" t="s">
        <v>4886</v>
      </c>
      <c r="D1996" s="7" t="s">
        <v>2466</v>
      </c>
      <c r="E1996" s="7" t="s">
        <v>4858</v>
      </c>
      <c r="F1996" s="7" t="s">
        <v>4888</v>
      </c>
      <c r="G1996" s="7" t="s">
        <v>4629</v>
      </c>
      <c r="H1996" s="7" t="s">
        <v>4633</v>
      </c>
      <c r="I1996" s="7" t="s">
        <v>4631</v>
      </c>
      <c r="J1996" s="7" t="s">
        <v>4634</v>
      </c>
      <c r="K1996" s="7" t="str">
        <f t="shared" si="2"/>
        <v/>
      </c>
      <c r="L1996" s="7" t="str">
        <f t="shared" si="1735"/>
        <v/>
      </c>
      <c r="M1996" s="7">
        <f t="shared" ref="M1996:N1996" si="2021">IF(LEN(M$1),COUNTIF($G1996:$J1996,M$1),"")</f>
        <v>0</v>
      </c>
      <c r="N1996" s="7" t="str">
        <f t="shared" si="2021"/>
        <v/>
      </c>
      <c r="O1996" s="7" t="str">
        <f t="shared" si="1028"/>
        <v/>
      </c>
      <c r="P1996" s="7">
        <f t="shared" si="2001"/>
        <v>0</v>
      </c>
      <c r="Q1996" s="7" t="str">
        <f t="shared" si="1738"/>
        <v/>
      </c>
      <c r="T1996" s="7"/>
    </row>
    <row r="1997" ht="12.75" customHeight="1">
      <c r="A1997" s="7">
        <v>1996.0</v>
      </c>
      <c r="B1997" s="7" t="s">
        <v>2488</v>
      </c>
      <c r="C1997" s="7" t="s">
        <v>4886</v>
      </c>
      <c r="D1997" s="7" t="s">
        <v>2466</v>
      </c>
      <c r="E1997" s="7" t="s">
        <v>4858</v>
      </c>
      <c r="F1997" s="7" t="s">
        <v>4888</v>
      </c>
      <c r="G1997" s="7" t="s">
        <v>4635</v>
      </c>
      <c r="H1997" s="7" t="s">
        <v>4637</v>
      </c>
      <c r="I1997" s="7" t="s">
        <v>4636</v>
      </c>
      <c r="J1997" s="7" t="s">
        <v>4638</v>
      </c>
      <c r="K1997" s="7" t="str">
        <f t="shared" si="2"/>
        <v/>
      </c>
      <c r="L1997" s="7" t="str">
        <f t="shared" si="1735"/>
        <v/>
      </c>
      <c r="M1997" s="7">
        <f t="shared" ref="M1997:N1997" si="2022">IF(LEN(M$1),COUNTIF($G1997:$J1997,M$1),"")</f>
        <v>0</v>
      </c>
      <c r="N1997" s="7" t="str">
        <f t="shared" si="2022"/>
        <v/>
      </c>
      <c r="O1997" s="7" t="str">
        <f t="shared" si="1028"/>
        <v/>
      </c>
      <c r="P1997" s="7">
        <f t="shared" si="2001"/>
        <v>0</v>
      </c>
      <c r="Q1997" s="7" t="str">
        <f t="shared" si="1738"/>
        <v/>
      </c>
      <c r="T1997" s="7"/>
    </row>
    <row r="1998" ht="12.75" customHeight="1">
      <c r="A1998" s="7">
        <v>1997.0</v>
      </c>
      <c r="B1998" s="7" t="s">
        <v>2488</v>
      </c>
      <c r="C1998" s="7" t="s">
        <v>4886</v>
      </c>
      <c r="D1998" s="7" t="s">
        <v>2466</v>
      </c>
      <c r="E1998" s="7" t="s">
        <v>4858</v>
      </c>
      <c r="F1998" s="7" t="s">
        <v>4888</v>
      </c>
      <c r="G1998" s="7" t="s">
        <v>4639</v>
      </c>
      <c r="H1998" s="7" t="s">
        <v>4642</v>
      </c>
      <c r="I1998" s="7" t="s">
        <v>4640</v>
      </c>
      <c r="J1998" s="7" t="s">
        <v>4643</v>
      </c>
      <c r="K1998" s="7" t="str">
        <f t="shared" si="2"/>
        <v/>
      </c>
      <c r="L1998" s="7" t="str">
        <f t="shared" si="1735"/>
        <v/>
      </c>
      <c r="M1998" s="7">
        <f t="shared" ref="M1998:N1998" si="2023">IF(LEN(M$1),COUNTIF($G1998:$J1998,M$1),"")</f>
        <v>0</v>
      </c>
      <c r="N1998" s="7" t="str">
        <f t="shared" si="2023"/>
        <v/>
      </c>
      <c r="O1998" s="7" t="str">
        <f t="shared" si="1028"/>
        <v/>
      </c>
      <c r="P1998" s="7">
        <f t="shared" si="2001"/>
        <v>0</v>
      </c>
      <c r="Q1998" s="7" t="str">
        <f t="shared" si="1738"/>
        <v/>
      </c>
      <c r="T1998" s="7"/>
    </row>
    <row r="1999" ht="12.75" customHeight="1">
      <c r="A1999" s="7">
        <v>1998.0</v>
      </c>
      <c r="B1999" s="7" t="s">
        <v>2390</v>
      </c>
      <c r="C1999" s="7" t="s">
        <v>4882</v>
      </c>
      <c r="D1999" s="7" t="s">
        <v>2383</v>
      </c>
      <c r="E1999" s="7" t="s">
        <v>4882</v>
      </c>
      <c r="F1999" s="7" t="s">
        <v>4889</v>
      </c>
      <c r="G1999" s="7" t="s">
        <v>4654</v>
      </c>
      <c r="H1999" s="7" t="s">
        <v>4658</v>
      </c>
      <c r="I1999" s="7" t="s">
        <v>4656</v>
      </c>
      <c r="J1999" s="7" t="s">
        <v>4659</v>
      </c>
      <c r="K1999" s="7" t="str">
        <f t="shared" si="2"/>
        <v/>
      </c>
      <c r="L1999" s="7" t="str">
        <f t="shared" si="1735"/>
        <v/>
      </c>
      <c r="M1999" s="7">
        <f t="shared" ref="M1999:N1999" si="2024">IF(LEN(M$1),COUNTIF($G1999:$J1999,M$1),"")</f>
        <v>0</v>
      </c>
      <c r="N1999" s="7" t="str">
        <f t="shared" si="2024"/>
        <v/>
      </c>
      <c r="O1999" s="7" t="str">
        <f t="shared" si="1028"/>
        <v/>
      </c>
      <c r="P1999" s="7">
        <f t="shared" si="2001"/>
        <v>0</v>
      </c>
      <c r="Q1999" s="7" t="str">
        <f t="shared" si="1738"/>
        <v/>
      </c>
      <c r="T1999" s="7"/>
    </row>
    <row r="2000" ht="12.75" customHeight="1">
      <c r="A2000" s="7">
        <v>1999.0</v>
      </c>
      <c r="B2000" s="7" t="s">
        <v>2390</v>
      </c>
      <c r="C2000" s="7" t="s">
        <v>4882</v>
      </c>
      <c r="D2000" s="7" t="s">
        <v>2383</v>
      </c>
      <c r="E2000" s="7" t="s">
        <v>4882</v>
      </c>
      <c r="F2000" s="7" t="s">
        <v>4889</v>
      </c>
      <c r="G2000" s="7" t="s">
        <v>4660</v>
      </c>
      <c r="H2000" s="7" t="s">
        <v>4662</v>
      </c>
      <c r="I2000" s="7" t="s">
        <v>4661</v>
      </c>
      <c r="J2000" s="7" t="s">
        <v>4663</v>
      </c>
      <c r="K2000" s="7" t="str">
        <f t="shared" si="2"/>
        <v/>
      </c>
      <c r="L2000" s="7" t="str">
        <f t="shared" si="1735"/>
        <v/>
      </c>
      <c r="M2000" s="7">
        <f t="shared" ref="M2000:N2000" si="2025">IF(LEN(M$1),COUNTIF($G2000:$J2000,M$1),"")</f>
        <v>0</v>
      </c>
      <c r="N2000" s="7" t="str">
        <f t="shared" si="2025"/>
        <v/>
      </c>
      <c r="O2000" s="7" t="str">
        <f t="shared" si="1028"/>
        <v/>
      </c>
      <c r="P2000" s="7">
        <f t="shared" si="2001"/>
        <v>0</v>
      </c>
      <c r="Q2000" s="7" t="str">
        <f t="shared" si="1738"/>
        <v/>
      </c>
      <c r="T2000" s="7"/>
    </row>
    <row r="2001" ht="12.75" customHeight="1">
      <c r="A2001" s="7">
        <v>2000.0</v>
      </c>
      <c r="B2001" s="7" t="s">
        <v>2390</v>
      </c>
      <c r="C2001" s="7" t="s">
        <v>4882</v>
      </c>
      <c r="D2001" s="7" t="s">
        <v>2383</v>
      </c>
      <c r="E2001" s="7" t="s">
        <v>4882</v>
      </c>
      <c r="F2001" s="7" t="s">
        <v>4889</v>
      </c>
      <c r="G2001" s="7" t="s">
        <v>4664</v>
      </c>
      <c r="H2001" s="7" t="s">
        <v>4666</v>
      </c>
      <c r="I2001" s="7" t="s">
        <v>4665</v>
      </c>
      <c r="J2001" s="7" t="s">
        <v>4667</v>
      </c>
      <c r="K2001" s="7" t="str">
        <f t="shared" si="2"/>
        <v/>
      </c>
      <c r="L2001" s="7" t="str">
        <f t="shared" si="1735"/>
        <v/>
      </c>
      <c r="M2001" s="7">
        <f t="shared" ref="M2001:N2001" si="2026">IF(LEN(M$1),COUNTIF($G2001:$J2001,M$1),"")</f>
        <v>0</v>
      </c>
      <c r="N2001" s="7" t="str">
        <f t="shared" si="2026"/>
        <v/>
      </c>
      <c r="O2001" s="7" t="str">
        <f t="shared" si="1028"/>
        <v/>
      </c>
      <c r="P2001" s="7">
        <f t="shared" si="2001"/>
        <v>0</v>
      </c>
      <c r="Q2001" s="7" t="str">
        <f t="shared" si="1738"/>
        <v/>
      </c>
      <c r="T2001" s="7"/>
    </row>
    <row r="2002" ht="12.75" customHeight="1">
      <c r="A2002" s="7">
        <v>2001.0</v>
      </c>
      <c r="B2002" s="7" t="s">
        <v>2377</v>
      </c>
      <c r="C2002" s="7" t="s">
        <v>4879</v>
      </c>
      <c r="D2002" s="7" t="s">
        <v>2371</v>
      </c>
      <c r="E2002" s="7" t="s">
        <v>4855</v>
      </c>
      <c r="F2002" s="7" t="s">
        <v>4890</v>
      </c>
      <c r="G2002" s="7" t="s">
        <v>4678</v>
      </c>
      <c r="H2002" s="7" t="s">
        <v>4682</v>
      </c>
      <c r="I2002" s="7" t="s">
        <v>4680</v>
      </c>
      <c r="J2002" s="7" t="s">
        <v>4683</v>
      </c>
      <c r="K2002" s="7" t="str">
        <f t="shared" si="2"/>
        <v/>
      </c>
      <c r="L2002" s="7" t="str">
        <f t="shared" si="1735"/>
        <v/>
      </c>
      <c r="M2002" s="7">
        <f t="shared" ref="M2002:N2002" si="2027">IF(LEN(M$1),COUNTIF($G2002:$J2002,M$1),"")</f>
        <v>0</v>
      </c>
      <c r="N2002" s="7" t="str">
        <f t="shared" si="2027"/>
        <v/>
      </c>
      <c r="O2002" s="7" t="str">
        <f t="shared" si="1028"/>
        <v/>
      </c>
      <c r="P2002" s="7">
        <f t="shared" si="2001"/>
        <v>0</v>
      </c>
      <c r="Q2002" s="7" t="str">
        <f t="shared" si="1738"/>
        <v/>
      </c>
      <c r="T2002" s="7"/>
    </row>
    <row r="2003" ht="12.75" customHeight="1">
      <c r="A2003" s="7">
        <v>2002.0</v>
      </c>
      <c r="B2003" s="7" t="s">
        <v>2377</v>
      </c>
      <c r="C2003" s="7" t="s">
        <v>4879</v>
      </c>
      <c r="D2003" s="7" t="s">
        <v>2371</v>
      </c>
      <c r="E2003" s="7" t="s">
        <v>4855</v>
      </c>
      <c r="F2003" s="7" t="s">
        <v>4890</v>
      </c>
      <c r="G2003" s="7" t="s">
        <v>4684</v>
      </c>
      <c r="H2003" s="7" t="s">
        <v>4686</v>
      </c>
      <c r="I2003" s="7" t="s">
        <v>4685</v>
      </c>
      <c r="J2003" s="7" t="s">
        <v>4687</v>
      </c>
      <c r="K2003" s="7" t="str">
        <f t="shared" si="2"/>
        <v/>
      </c>
      <c r="L2003" s="7" t="str">
        <f t="shared" si="1735"/>
        <v/>
      </c>
      <c r="M2003" s="7">
        <f t="shared" ref="M2003:N2003" si="2028">IF(LEN(M$1),COUNTIF($G2003:$J2003,M$1),"")</f>
        <v>0</v>
      </c>
      <c r="N2003" s="7" t="str">
        <f t="shared" si="2028"/>
        <v/>
      </c>
      <c r="O2003" s="7" t="str">
        <f t="shared" si="1028"/>
        <v/>
      </c>
      <c r="P2003" s="7">
        <f t="shared" si="2001"/>
        <v>0</v>
      </c>
      <c r="Q2003" s="7" t="str">
        <f t="shared" si="1738"/>
        <v/>
      </c>
      <c r="T2003" s="7"/>
    </row>
    <row r="2004" ht="12.75" customHeight="1">
      <c r="A2004" s="7">
        <v>2003.0</v>
      </c>
      <c r="B2004" s="7" t="s">
        <v>2377</v>
      </c>
      <c r="C2004" s="7" t="s">
        <v>4879</v>
      </c>
      <c r="D2004" s="7" t="s">
        <v>2371</v>
      </c>
      <c r="E2004" s="7" t="s">
        <v>4855</v>
      </c>
      <c r="F2004" s="7" t="s">
        <v>4890</v>
      </c>
      <c r="G2004" s="7" t="s">
        <v>4688</v>
      </c>
      <c r="H2004" s="7" t="s">
        <v>4690</v>
      </c>
      <c r="I2004" s="7" t="s">
        <v>4689</v>
      </c>
      <c r="J2004" s="7" t="s">
        <v>4691</v>
      </c>
      <c r="K2004" s="7" t="str">
        <f t="shared" si="2"/>
        <v/>
      </c>
      <c r="L2004" s="7" t="str">
        <f t="shared" si="1735"/>
        <v/>
      </c>
      <c r="M2004" s="7">
        <f t="shared" ref="M2004:N2004" si="2029">IF(LEN(M$1),COUNTIF($G2004:$J2004,M$1),"")</f>
        <v>0</v>
      </c>
      <c r="N2004" s="7" t="str">
        <f t="shared" si="2029"/>
        <v/>
      </c>
      <c r="O2004" s="7" t="str">
        <f t="shared" si="1028"/>
        <v/>
      </c>
      <c r="P2004" s="7">
        <f t="shared" si="2001"/>
        <v>0</v>
      </c>
      <c r="Q2004" s="7" t="str">
        <f t="shared" si="1738"/>
        <v/>
      </c>
      <c r="T2004" s="7"/>
    </row>
    <row r="2005" ht="12.75" customHeight="1">
      <c r="A2005" s="7"/>
      <c r="B2005" s="7"/>
      <c r="C2005" s="7"/>
      <c r="D2005" s="7"/>
      <c r="E2005" s="7"/>
      <c r="F2005" s="7"/>
      <c r="G2005" s="7"/>
      <c r="H2005" s="7"/>
      <c r="J2005" s="7"/>
      <c r="K2005" s="84">
        <f>COUNT(K2:K2004)</f>
        <v>8</v>
      </c>
      <c r="L2005" s="7"/>
      <c r="M2005" s="7"/>
      <c r="N2005" s="7"/>
      <c r="O2005" s="7"/>
      <c r="P2005" s="7"/>
      <c r="Q2005" s="7">
        <f>2003-COUNTBLANK(Q2:Q2004)</f>
        <v>13</v>
      </c>
      <c r="R2005" s="7"/>
      <c r="S2005" s="7"/>
      <c r="T2005" s="7"/>
    </row>
    <row r="2006" ht="12.75" customHeight="1">
      <c r="A2006" s="7"/>
      <c r="B2006" s="7"/>
      <c r="C2006" s="7"/>
      <c r="D2006" s="7"/>
      <c r="E2006" s="7"/>
      <c r="F2006" s="7"/>
      <c r="G2006" s="7"/>
      <c r="H2006" s="7"/>
      <c r="J2006" s="7"/>
      <c r="K2006" s="7" t="str">
        <f>TEXTJOIN(",",1,K2:K2004)&amp;","</f>
        <v>815,816,817,818,1837,1838,1861,1907,</v>
      </c>
      <c r="L2006" s="7"/>
      <c r="M2006" s="7"/>
      <c r="N2006" s="7"/>
      <c r="O2006" s="7"/>
      <c r="P2006" s="7"/>
      <c r="Q2006" s="7" t="str">
        <f>TEXTJOIN("/",1,Q2:Q2004)&amp;"/"</f>
        <v>Sherman/Sherman/Cain/Cain/Tyrell/Jerrell/Jerrell/Kellen &amp; Alton/Kristy &amp; Ryne/Demetri &amp; Titus/Lyle &amp; Jaylin/Jaylin &amp; Demetri/Edmund &amp; Edmund/</v>
      </c>
      <c r="R2006" s="7"/>
      <c r="S2006" s="7"/>
      <c r="T2006" s="7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18.0"/>
    <col customWidth="1" min="3" max="3" width="4.29"/>
    <col customWidth="1" min="4" max="12" width="8.57"/>
    <col customWidth="1" min="13" max="13" width="10.71"/>
    <col customWidth="1" min="14" max="16" width="8.57"/>
    <col customWidth="1" min="17" max="18" width="16.14"/>
  </cols>
  <sheetData>
    <row r="1" ht="15.75" customHeight="1">
      <c r="A1" s="7">
        <v>8.0</v>
      </c>
      <c r="B1" s="7" t="s">
        <v>4891</v>
      </c>
      <c r="C1" s="7" t="s">
        <v>4892</v>
      </c>
      <c r="D1" s="7" t="s">
        <v>4893</v>
      </c>
      <c r="E1" s="7" t="s">
        <v>4894</v>
      </c>
      <c r="F1" s="7" t="s">
        <v>19</v>
      </c>
      <c r="G1" s="7" t="s">
        <v>4895</v>
      </c>
      <c r="H1" s="7" t="s">
        <v>4896</v>
      </c>
      <c r="I1" s="7" t="s">
        <v>4897</v>
      </c>
      <c r="J1" s="7" t="s">
        <v>4898</v>
      </c>
      <c r="K1" s="7" t="s">
        <v>4899</v>
      </c>
      <c r="L1" s="7" t="s">
        <v>18</v>
      </c>
      <c r="M1" s="7" t="s">
        <v>4900</v>
      </c>
      <c r="N1" s="7" t="s">
        <v>4901</v>
      </c>
      <c r="O1" s="7" t="s">
        <v>4902</v>
      </c>
      <c r="P1" s="7" t="s">
        <v>4903</v>
      </c>
      <c r="Q1" s="7"/>
      <c r="R1" s="7"/>
    </row>
    <row r="2" ht="15.75" customHeight="1">
      <c r="A2" s="7">
        <v>1.0</v>
      </c>
      <c r="B2" s="7" t="s">
        <v>2570</v>
      </c>
      <c r="C2" s="7">
        <v>1.0</v>
      </c>
      <c r="D2" s="7" t="s">
        <v>4904</v>
      </c>
      <c r="E2" s="7" t="s">
        <v>4905</v>
      </c>
      <c r="F2" s="7">
        <v>45.0</v>
      </c>
      <c r="G2" s="7">
        <v>49.0</v>
      </c>
      <c r="H2" s="7">
        <v>49.0</v>
      </c>
      <c r="I2" s="7">
        <v>65.0</v>
      </c>
      <c r="J2" s="7">
        <v>65.0</v>
      </c>
      <c r="K2" s="7">
        <v>65.0</v>
      </c>
      <c r="L2" s="7">
        <v>45.0</v>
      </c>
      <c r="M2" s="7" t="s">
        <v>2576</v>
      </c>
      <c r="N2" s="7"/>
      <c r="O2" s="7" t="s">
        <v>2701</v>
      </c>
      <c r="P2" s="7">
        <v>6.9</v>
      </c>
      <c r="Q2" s="7"/>
      <c r="R2" s="7">
        <f t="shared" ref="R2:R526" si="1">A2</f>
        <v>1</v>
      </c>
    </row>
    <row r="3" ht="15.75" customHeight="1">
      <c r="A3" s="7">
        <v>2.0</v>
      </c>
      <c r="B3" s="7" t="s">
        <v>3288</v>
      </c>
      <c r="C3" s="7">
        <v>1.0</v>
      </c>
      <c r="D3" s="7" t="s">
        <v>4904</v>
      </c>
      <c r="E3" s="7" t="s">
        <v>4905</v>
      </c>
      <c r="F3" s="7">
        <v>60.0</v>
      </c>
      <c r="G3" s="7">
        <v>62.0</v>
      </c>
      <c r="H3" s="7">
        <v>63.0</v>
      </c>
      <c r="I3" s="7">
        <v>80.0</v>
      </c>
      <c r="J3" s="7">
        <v>80.0</v>
      </c>
      <c r="K3" s="7">
        <v>80.0</v>
      </c>
      <c r="L3" s="7">
        <v>60.0</v>
      </c>
      <c r="M3" s="7" t="s">
        <v>2576</v>
      </c>
      <c r="N3" s="7"/>
      <c r="O3" s="7" t="s">
        <v>2701</v>
      </c>
      <c r="P3" s="7">
        <v>13.0</v>
      </c>
      <c r="Q3" s="7"/>
      <c r="R3" s="7">
        <f t="shared" si="1"/>
        <v>2</v>
      </c>
    </row>
    <row r="4" ht="15.75" customHeight="1">
      <c r="A4" s="7">
        <v>3.0</v>
      </c>
      <c r="B4" s="7" t="s">
        <v>3586</v>
      </c>
      <c r="C4" s="7">
        <v>1.0</v>
      </c>
      <c r="D4" s="7" t="s">
        <v>4904</v>
      </c>
      <c r="E4" s="7" t="s">
        <v>4905</v>
      </c>
      <c r="F4" s="7">
        <v>80.0</v>
      </c>
      <c r="G4" s="7">
        <v>82.0</v>
      </c>
      <c r="H4" s="7">
        <v>83.0</v>
      </c>
      <c r="I4" s="7">
        <v>100.0</v>
      </c>
      <c r="J4" s="7">
        <v>100.0</v>
      </c>
      <c r="K4" s="7">
        <v>100.0</v>
      </c>
      <c r="L4" s="7">
        <v>80.0</v>
      </c>
      <c r="M4" s="7" t="s">
        <v>2576</v>
      </c>
      <c r="N4" s="7"/>
      <c r="O4" s="7" t="s">
        <v>2701</v>
      </c>
      <c r="P4" s="7">
        <v>100.0</v>
      </c>
      <c r="Q4" s="7"/>
      <c r="R4" s="7">
        <f t="shared" si="1"/>
        <v>3</v>
      </c>
    </row>
    <row r="5" ht="15.75" customHeight="1">
      <c r="A5" s="7">
        <v>4.0</v>
      </c>
      <c r="B5" s="7" t="s">
        <v>2578</v>
      </c>
      <c r="C5" s="7">
        <v>1.0</v>
      </c>
      <c r="D5" s="7" t="s">
        <v>4906</v>
      </c>
      <c r="E5" s="7"/>
      <c r="F5" s="7">
        <v>39.0</v>
      </c>
      <c r="G5" s="7">
        <v>52.0</v>
      </c>
      <c r="H5" s="7">
        <v>43.0</v>
      </c>
      <c r="I5" s="7">
        <v>50.0</v>
      </c>
      <c r="J5" s="7">
        <v>60.0</v>
      </c>
      <c r="K5" s="7">
        <v>50.0</v>
      </c>
      <c r="L5" s="7">
        <v>65.0</v>
      </c>
      <c r="M5" s="7" t="s">
        <v>2584</v>
      </c>
      <c r="N5" s="7"/>
      <c r="O5" s="7" t="s">
        <v>3380</v>
      </c>
      <c r="P5" s="7">
        <v>8.5</v>
      </c>
      <c r="Q5" s="7"/>
      <c r="R5" s="7">
        <f t="shared" si="1"/>
        <v>4</v>
      </c>
    </row>
    <row r="6" ht="15.75" customHeight="1">
      <c r="A6" s="7">
        <v>5.0</v>
      </c>
      <c r="B6" s="7" t="s">
        <v>3291</v>
      </c>
      <c r="C6" s="7">
        <v>1.0</v>
      </c>
      <c r="D6" s="7" t="s">
        <v>4906</v>
      </c>
      <c r="E6" s="7"/>
      <c r="F6" s="7">
        <v>58.0</v>
      </c>
      <c r="G6" s="7">
        <v>64.0</v>
      </c>
      <c r="H6" s="7">
        <v>58.0</v>
      </c>
      <c r="I6" s="7">
        <v>65.0</v>
      </c>
      <c r="J6" s="7">
        <v>80.0</v>
      </c>
      <c r="K6" s="7">
        <v>65.0</v>
      </c>
      <c r="L6" s="7">
        <v>80.0</v>
      </c>
      <c r="M6" s="7" t="s">
        <v>2584</v>
      </c>
      <c r="N6" s="7"/>
      <c r="O6" s="7" t="s">
        <v>3380</v>
      </c>
      <c r="P6" s="7">
        <v>19.0</v>
      </c>
      <c r="Q6" s="7"/>
      <c r="R6" s="7">
        <f t="shared" si="1"/>
        <v>5</v>
      </c>
    </row>
    <row r="7" ht="15.75" customHeight="1">
      <c r="A7" s="7">
        <v>6.0</v>
      </c>
      <c r="B7" s="7" t="s">
        <v>3589</v>
      </c>
      <c r="C7" s="7">
        <v>1.0</v>
      </c>
      <c r="D7" s="7" t="s">
        <v>4906</v>
      </c>
      <c r="E7" s="7" t="s">
        <v>4907</v>
      </c>
      <c r="F7" s="7">
        <v>78.0</v>
      </c>
      <c r="G7" s="7">
        <v>84.0</v>
      </c>
      <c r="H7" s="7">
        <v>78.0</v>
      </c>
      <c r="I7" s="7">
        <v>85.0</v>
      </c>
      <c r="J7" s="7">
        <v>109.0</v>
      </c>
      <c r="K7" s="7">
        <v>85.0</v>
      </c>
      <c r="L7" s="7">
        <v>100.0</v>
      </c>
      <c r="M7" s="7" t="s">
        <v>2584</v>
      </c>
      <c r="N7" s="7"/>
      <c r="O7" s="7" t="s">
        <v>3380</v>
      </c>
      <c r="P7" s="7">
        <v>90.5</v>
      </c>
      <c r="Q7" s="7"/>
      <c r="R7" s="7">
        <f t="shared" si="1"/>
        <v>6</v>
      </c>
    </row>
    <row r="8" ht="15.75" customHeight="1">
      <c r="A8" s="7">
        <v>7.0</v>
      </c>
      <c r="B8" s="7" t="s">
        <v>2586</v>
      </c>
      <c r="C8" s="7">
        <v>1.0</v>
      </c>
      <c r="D8" s="7" t="s">
        <v>4908</v>
      </c>
      <c r="E8" s="7"/>
      <c r="F8" s="7">
        <v>44.0</v>
      </c>
      <c r="G8" s="7">
        <v>48.0</v>
      </c>
      <c r="H8" s="7">
        <v>65.0</v>
      </c>
      <c r="I8" s="7">
        <v>50.0</v>
      </c>
      <c r="J8" s="7">
        <v>50.0</v>
      </c>
      <c r="K8" s="7">
        <v>64.0</v>
      </c>
      <c r="L8" s="7">
        <v>43.0</v>
      </c>
      <c r="M8" s="7" t="s">
        <v>2590</v>
      </c>
      <c r="N8" s="7"/>
      <c r="O8" s="7" t="s">
        <v>3996</v>
      </c>
      <c r="P8" s="7">
        <v>9.0</v>
      </c>
      <c r="Q8" s="7"/>
      <c r="R8" s="7">
        <f t="shared" si="1"/>
        <v>7</v>
      </c>
    </row>
    <row r="9" ht="15.75" customHeight="1">
      <c r="A9" s="7">
        <v>8.0</v>
      </c>
      <c r="B9" s="7" t="s">
        <v>3293</v>
      </c>
      <c r="C9" s="7">
        <v>1.0</v>
      </c>
      <c r="D9" s="7" t="s">
        <v>4908</v>
      </c>
      <c r="E9" s="7"/>
      <c r="F9" s="7">
        <v>59.0</v>
      </c>
      <c r="G9" s="7">
        <v>63.0</v>
      </c>
      <c r="H9" s="7">
        <v>80.0</v>
      </c>
      <c r="I9" s="7">
        <v>65.0</v>
      </c>
      <c r="J9" s="7">
        <v>65.0</v>
      </c>
      <c r="K9" s="7">
        <v>80.0</v>
      </c>
      <c r="L9" s="7">
        <v>58.0</v>
      </c>
      <c r="M9" s="7" t="s">
        <v>2590</v>
      </c>
      <c r="N9" s="7"/>
      <c r="O9" s="7" t="s">
        <v>3996</v>
      </c>
      <c r="P9" s="7">
        <v>22.5</v>
      </c>
      <c r="Q9" s="7"/>
      <c r="R9" s="7">
        <f t="shared" si="1"/>
        <v>8</v>
      </c>
    </row>
    <row r="10" ht="15.75" customHeight="1">
      <c r="A10" s="7">
        <v>9.0</v>
      </c>
      <c r="B10" s="7" t="s">
        <v>3592</v>
      </c>
      <c r="C10" s="7">
        <v>1.0</v>
      </c>
      <c r="D10" s="7" t="s">
        <v>4908</v>
      </c>
      <c r="E10" s="7"/>
      <c r="F10" s="7">
        <v>79.0</v>
      </c>
      <c r="G10" s="7">
        <v>83.0</v>
      </c>
      <c r="H10" s="7">
        <v>100.0</v>
      </c>
      <c r="I10" s="7">
        <v>85.0</v>
      </c>
      <c r="J10" s="7">
        <v>85.0</v>
      </c>
      <c r="K10" s="7">
        <v>105.0</v>
      </c>
      <c r="L10" s="7">
        <v>78.0</v>
      </c>
      <c r="M10" s="7" t="s">
        <v>2590</v>
      </c>
      <c r="N10" s="7"/>
      <c r="O10" s="7" t="s">
        <v>3996</v>
      </c>
      <c r="P10" s="7">
        <v>85.5</v>
      </c>
      <c r="Q10" s="7"/>
      <c r="R10" s="7">
        <f t="shared" si="1"/>
        <v>9</v>
      </c>
    </row>
    <row r="11" ht="15.75" customHeight="1">
      <c r="A11" s="7">
        <v>10.0</v>
      </c>
      <c r="B11" s="7" t="s">
        <v>4909</v>
      </c>
      <c r="C11" s="7">
        <v>1.0</v>
      </c>
      <c r="D11" s="7" t="s">
        <v>4910</v>
      </c>
      <c r="E11" s="7"/>
      <c r="F11" s="7">
        <v>45.0</v>
      </c>
      <c r="G11" s="7">
        <v>30.0</v>
      </c>
      <c r="H11" s="7">
        <v>35.0</v>
      </c>
      <c r="I11" s="7">
        <v>20.0</v>
      </c>
      <c r="J11" s="7">
        <v>20.0</v>
      </c>
      <c r="K11" s="7">
        <v>20.0</v>
      </c>
      <c r="L11" s="7">
        <v>45.0</v>
      </c>
      <c r="M11" s="7" t="s">
        <v>3203</v>
      </c>
      <c r="N11" s="7"/>
      <c r="O11" s="7" t="s">
        <v>4911</v>
      </c>
      <c r="P11" s="7">
        <v>2.9</v>
      </c>
      <c r="Q11" s="7"/>
      <c r="R11" s="7">
        <f t="shared" si="1"/>
        <v>10</v>
      </c>
    </row>
    <row r="12" ht="15.75" customHeight="1">
      <c r="A12" s="7">
        <v>11.0</v>
      </c>
      <c r="B12" s="7" t="s">
        <v>4912</v>
      </c>
      <c r="C12" s="7">
        <v>1.0</v>
      </c>
      <c r="D12" s="7" t="s">
        <v>4910</v>
      </c>
      <c r="E12" s="7"/>
      <c r="F12" s="7">
        <v>50.0</v>
      </c>
      <c r="G12" s="7">
        <v>20.0</v>
      </c>
      <c r="H12" s="7">
        <v>55.0</v>
      </c>
      <c r="I12" s="7">
        <v>25.0</v>
      </c>
      <c r="J12" s="7">
        <v>25.0</v>
      </c>
      <c r="K12" s="7">
        <v>25.0</v>
      </c>
      <c r="L12" s="7">
        <v>30.0</v>
      </c>
      <c r="M12" s="7" t="s">
        <v>2653</v>
      </c>
      <c r="N12" s="7"/>
      <c r="O12" s="7"/>
      <c r="P12" s="7">
        <v>9.9</v>
      </c>
      <c r="Q12" s="7"/>
      <c r="R12" s="7">
        <f t="shared" si="1"/>
        <v>11</v>
      </c>
    </row>
    <row r="13" ht="15.75" customHeight="1">
      <c r="A13" s="7">
        <v>12.0</v>
      </c>
      <c r="B13" s="7" t="s">
        <v>3183</v>
      </c>
      <c r="C13" s="7">
        <v>1.0</v>
      </c>
      <c r="D13" s="7" t="s">
        <v>4910</v>
      </c>
      <c r="E13" s="7" t="s">
        <v>4907</v>
      </c>
      <c r="F13" s="7">
        <v>60.0</v>
      </c>
      <c r="G13" s="7">
        <v>45.0</v>
      </c>
      <c r="H13" s="7">
        <v>50.0</v>
      </c>
      <c r="I13" s="7">
        <v>80.0</v>
      </c>
      <c r="J13" s="7">
        <f>IF($A$1&lt;6,80,90)</f>
        <v>90</v>
      </c>
      <c r="K13" s="7">
        <v>80.0</v>
      </c>
      <c r="L13" s="7">
        <v>70.0</v>
      </c>
      <c r="M13" s="7" t="s">
        <v>2814</v>
      </c>
      <c r="N13" s="7"/>
      <c r="O13" s="7" t="s">
        <v>3240</v>
      </c>
      <c r="P13" s="7">
        <v>32.0</v>
      </c>
      <c r="Q13" s="7"/>
      <c r="R13" s="7">
        <f t="shared" si="1"/>
        <v>12</v>
      </c>
    </row>
    <row r="14" ht="15.75" customHeight="1">
      <c r="A14" s="7">
        <v>13.0</v>
      </c>
      <c r="B14" s="7" t="s">
        <v>4913</v>
      </c>
      <c r="C14" s="7">
        <v>1.0</v>
      </c>
      <c r="D14" s="7" t="s">
        <v>4910</v>
      </c>
      <c r="E14" s="7" t="s">
        <v>4905</v>
      </c>
      <c r="F14" s="7">
        <v>40.0</v>
      </c>
      <c r="G14" s="7">
        <v>35.0</v>
      </c>
      <c r="H14" s="7">
        <v>30.0</v>
      </c>
      <c r="I14" s="7">
        <v>20.0</v>
      </c>
      <c r="J14" s="7">
        <v>20.0</v>
      </c>
      <c r="K14" s="7">
        <v>20.0</v>
      </c>
      <c r="L14" s="7">
        <v>50.0</v>
      </c>
      <c r="M14" s="7" t="s">
        <v>3203</v>
      </c>
      <c r="N14" s="7"/>
      <c r="O14" s="7" t="s">
        <v>4911</v>
      </c>
      <c r="P14" s="7">
        <v>3.2</v>
      </c>
      <c r="Q14" s="7"/>
      <c r="R14" s="7">
        <f t="shared" si="1"/>
        <v>13</v>
      </c>
    </row>
    <row r="15" ht="15.75" customHeight="1">
      <c r="A15" s="7">
        <v>14.0</v>
      </c>
      <c r="B15" s="7" t="s">
        <v>4914</v>
      </c>
      <c r="C15" s="7">
        <v>1.0</v>
      </c>
      <c r="D15" s="7" t="s">
        <v>4910</v>
      </c>
      <c r="E15" s="7" t="s">
        <v>4905</v>
      </c>
      <c r="F15" s="7">
        <v>45.0</v>
      </c>
      <c r="G15" s="7">
        <v>25.0</v>
      </c>
      <c r="H15" s="7">
        <v>50.0</v>
      </c>
      <c r="I15" s="7">
        <v>25.0</v>
      </c>
      <c r="J15" s="7">
        <v>25.0</v>
      </c>
      <c r="K15" s="7">
        <v>25.0</v>
      </c>
      <c r="L15" s="7">
        <v>35.0</v>
      </c>
      <c r="M15" s="7" t="s">
        <v>2653</v>
      </c>
      <c r="N15" s="7"/>
      <c r="O15" s="7"/>
      <c r="P15" s="7">
        <v>10.0</v>
      </c>
      <c r="Q15" s="7"/>
      <c r="R15" s="7">
        <f t="shared" si="1"/>
        <v>14</v>
      </c>
    </row>
    <row r="16" ht="15.75" customHeight="1">
      <c r="A16" s="7">
        <v>15.0</v>
      </c>
      <c r="B16" s="7" t="s">
        <v>3188</v>
      </c>
      <c r="C16" s="7">
        <v>1.0</v>
      </c>
      <c r="D16" s="7" t="s">
        <v>4910</v>
      </c>
      <c r="E16" s="7" t="s">
        <v>4905</v>
      </c>
      <c r="F16" s="7">
        <v>65.0</v>
      </c>
      <c r="G16" s="7">
        <f>IF($A$1&lt;6,80,90)</f>
        <v>90</v>
      </c>
      <c r="H16" s="7">
        <v>40.0</v>
      </c>
      <c r="I16" s="7">
        <v>45.0</v>
      </c>
      <c r="J16" s="7">
        <v>45.0</v>
      </c>
      <c r="K16" s="7">
        <v>80.0</v>
      </c>
      <c r="L16" s="7">
        <v>75.0</v>
      </c>
      <c r="M16" s="7" t="s">
        <v>3181</v>
      </c>
      <c r="N16" s="7"/>
      <c r="O16" s="7" t="s">
        <v>2773</v>
      </c>
      <c r="P16" s="7">
        <v>29.5</v>
      </c>
      <c r="Q16" s="7"/>
      <c r="R16" s="7">
        <f t="shared" si="1"/>
        <v>15</v>
      </c>
    </row>
    <row r="17" ht="15.75" customHeight="1">
      <c r="A17" s="7">
        <v>16.0</v>
      </c>
      <c r="B17" s="7" t="s">
        <v>4915</v>
      </c>
      <c r="C17" s="7">
        <v>1.0</v>
      </c>
      <c r="D17" s="7" t="s">
        <v>4916</v>
      </c>
      <c r="E17" s="7" t="s">
        <v>4907</v>
      </c>
      <c r="F17" s="7">
        <v>40.0</v>
      </c>
      <c r="G17" s="7">
        <v>45.0</v>
      </c>
      <c r="H17" s="7">
        <v>40.0</v>
      </c>
      <c r="I17" s="7">
        <v>35.0</v>
      </c>
      <c r="J17" s="7">
        <v>35.0</v>
      </c>
      <c r="K17" s="7">
        <v>35.0</v>
      </c>
      <c r="L17" s="7">
        <v>56.0</v>
      </c>
      <c r="M17" s="7" t="s">
        <v>2677</v>
      </c>
      <c r="N17" s="7" t="s">
        <v>4917</v>
      </c>
      <c r="O17" s="7" t="s">
        <v>3097</v>
      </c>
      <c r="P17" s="7">
        <v>1.8</v>
      </c>
      <c r="Q17" s="7"/>
      <c r="R17" s="7">
        <f t="shared" si="1"/>
        <v>16</v>
      </c>
    </row>
    <row r="18" ht="15.75" customHeight="1">
      <c r="A18" s="7">
        <v>17.0</v>
      </c>
      <c r="B18" s="7" t="s">
        <v>3095</v>
      </c>
      <c r="C18" s="7">
        <v>1.0</v>
      </c>
      <c r="D18" s="7" t="s">
        <v>4916</v>
      </c>
      <c r="E18" s="7" t="s">
        <v>4907</v>
      </c>
      <c r="F18" s="7">
        <v>63.0</v>
      </c>
      <c r="G18" s="7">
        <v>60.0</v>
      </c>
      <c r="H18" s="7">
        <v>55.0</v>
      </c>
      <c r="I18" s="7">
        <v>50.0</v>
      </c>
      <c r="J18" s="7">
        <v>50.0</v>
      </c>
      <c r="K18" s="7">
        <v>50.0</v>
      </c>
      <c r="L18" s="7">
        <v>71.0</v>
      </c>
      <c r="M18" s="7" t="s">
        <v>2677</v>
      </c>
      <c r="N18" s="7" t="s">
        <v>4917</v>
      </c>
      <c r="O18" s="7" t="s">
        <v>3097</v>
      </c>
      <c r="P18" s="7">
        <v>30.0</v>
      </c>
      <c r="Q18" s="7"/>
      <c r="R18" s="7">
        <f t="shared" si="1"/>
        <v>17</v>
      </c>
    </row>
    <row r="19" ht="15.75" customHeight="1">
      <c r="A19" s="7">
        <v>18.0</v>
      </c>
      <c r="B19" s="7" t="s">
        <v>3537</v>
      </c>
      <c r="C19" s="7">
        <v>1.0</v>
      </c>
      <c r="D19" s="7" t="s">
        <v>4916</v>
      </c>
      <c r="E19" s="7" t="s">
        <v>4907</v>
      </c>
      <c r="F19" s="7">
        <v>83.0</v>
      </c>
      <c r="G19" s="7">
        <v>80.0</v>
      </c>
      <c r="H19" s="7">
        <v>75.0</v>
      </c>
      <c r="I19" s="7">
        <v>70.0</v>
      </c>
      <c r="J19" s="7">
        <v>70.0</v>
      </c>
      <c r="K19" s="7">
        <v>70.0</v>
      </c>
      <c r="L19" s="7">
        <f>IF($A$1&lt;6,91,101)</f>
        <v>101</v>
      </c>
      <c r="M19" s="7" t="s">
        <v>2677</v>
      </c>
      <c r="N19" s="7" t="s">
        <v>4917</v>
      </c>
      <c r="O19" s="7" t="s">
        <v>3097</v>
      </c>
      <c r="P19" s="7">
        <v>39.5</v>
      </c>
      <c r="Q19" s="7"/>
      <c r="R19" s="7">
        <f t="shared" si="1"/>
        <v>18</v>
      </c>
    </row>
    <row r="20" ht="15.75" customHeight="1">
      <c r="A20" s="7">
        <v>19.0</v>
      </c>
      <c r="B20" s="7" t="s">
        <v>4918</v>
      </c>
      <c r="C20" s="7">
        <v>1.0</v>
      </c>
      <c r="D20" s="7" t="s">
        <v>4916</v>
      </c>
      <c r="E20" s="7"/>
      <c r="F20" s="7">
        <v>30.0</v>
      </c>
      <c r="G20" s="7">
        <v>56.0</v>
      </c>
      <c r="H20" s="7">
        <v>35.0</v>
      </c>
      <c r="I20" s="7">
        <v>25.0</v>
      </c>
      <c r="J20" s="7">
        <v>25.0</v>
      </c>
      <c r="K20" s="7">
        <v>35.0</v>
      </c>
      <c r="L20" s="7">
        <v>72.0</v>
      </c>
      <c r="M20" s="7" t="s">
        <v>4911</v>
      </c>
      <c r="N20" s="7" t="s">
        <v>2777</v>
      </c>
      <c r="O20" s="7" t="s">
        <v>3924</v>
      </c>
      <c r="P20" s="7">
        <v>3.5</v>
      </c>
      <c r="Q20" s="7"/>
      <c r="R20" s="7">
        <f t="shared" si="1"/>
        <v>19</v>
      </c>
    </row>
    <row r="21" ht="15.75" customHeight="1">
      <c r="A21" s="7">
        <v>20.0</v>
      </c>
      <c r="B21" s="7" t="s">
        <v>3337</v>
      </c>
      <c r="C21" s="7">
        <v>1.0</v>
      </c>
      <c r="D21" s="7" t="s">
        <v>4916</v>
      </c>
      <c r="E21" s="7"/>
      <c r="F21" s="7">
        <v>55.0</v>
      </c>
      <c r="G21" s="7">
        <v>81.0</v>
      </c>
      <c r="H21" s="7">
        <v>60.0</v>
      </c>
      <c r="I21" s="7">
        <v>50.0</v>
      </c>
      <c r="J21" s="7">
        <v>50.0</v>
      </c>
      <c r="K21" s="7">
        <v>70.0</v>
      </c>
      <c r="L21" s="7">
        <v>97.0</v>
      </c>
      <c r="M21" s="7" t="s">
        <v>4911</v>
      </c>
      <c r="N21" s="7" t="s">
        <v>2777</v>
      </c>
      <c r="O21" s="7" t="s">
        <v>3924</v>
      </c>
      <c r="P21" s="7">
        <v>18.5</v>
      </c>
      <c r="Q21" s="7"/>
      <c r="R21" s="7">
        <f t="shared" si="1"/>
        <v>20</v>
      </c>
    </row>
    <row r="22" ht="15.75" customHeight="1">
      <c r="A22" s="7">
        <v>21.0</v>
      </c>
      <c r="B22" s="7" t="s">
        <v>4919</v>
      </c>
      <c r="C22" s="7">
        <v>1.0</v>
      </c>
      <c r="D22" s="7" t="s">
        <v>4916</v>
      </c>
      <c r="E22" s="7" t="s">
        <v>4907</v>
      </c>
      <c r="F22" s="7">
        <v>40.0</v>
      </c>
      <c r="G22" s="7">
        <v>60.0</v>
      </c>
      <c r="H22" s="7">
        <v>30.0</v>
      </c>
      <c r="I22" s="7">
        <v>31.0</v>
      </c>
      <c r="J22" s="7">
        <v>31.0</v>
      </c>
      <c r="K22" s="7">
        <v>31.0</v>
      </c>
      <c r="L22" s="7">
        <v>70.0</v>
      </c>
      <c r="M22" s="7" t="s">
        <v>2677</v>
      </c>
      <c r="N22" s="7"/>
      <c r="O22" s="7" t="s">
        <v>2773</v>
      </c>
      <c r="P22" s="7">
        <v>2.0</v>
      </c>
      <c r="Q22" s="7"/>
      <c r="R22" s="7">
        <f t="shared" si="1"/>
        <v>21</v>
      </c>
    </row>
    <row r="23" ht="15.75" customHeight="1">
      <c r="A23" s="7">
        <v>22.0</v>
      </c>
      <c r="B23" s="7" t="s">
        <v>3446</v>
      </c>
      <c r="C23" s="7">
        <v>1.0</v>
      </c>
      <c r="D23" s="7" t="s">
        <v>4916</v>
      </c>
      <c r="E23" s="7" t="s">
        <v>4907</v>
      </c>
      <c r="F23" s="7">
        <v>65.0</v>
      </c>
      <c r="G23" s="7">
        <v>90.0</v>
      </c>
      <c r="H23" s="7">
        <v>65.0</v>
      </c>
      <c r="I23" s="7">
        <v>61.0</v>
      </c>
      <c r="J23" s="7">
        <v>61.0</v>
      </c>
      <c r="K23" s="7">
        <v>61.0</v>
      </c>
      <c r="L23" s="7">
        <v>100.0</v>
      </c>
      <c r="M23" s="7" t="s">
        <v>2677</v>
      </c>
      <c r="N23" s="7"/>
      <c r="O23" s="7" t="s">
        <v>2773</v>
      </c>
      <c r="P23" s="7">
        <v>38.0</v>
      </c>
      <c r="Q23" s="7"/>
      <c r="R23" s="7">
        <f t="shared" si="1"/>
        <v>22</v>
      </c>
    </row>
    <row r="24" ht="15.75" customHeight="1">
      <c r="A24" s="7">
        <v>23.0</v>
      </c>
      <c r="B24" s="7" t="s">
        <v>4920</v>
      </c>
      <c r="C24" s="7">
        <v>1.0</v>
      </c>
      <c r="D24" s="7" t="s">
        <v>4905</v>
      </c>
      <c r="E24" s="7"/>
      <c r="F24" s="7">
        <v>35.0</v>
      </c>
      <c r="G24" s="7">
        <v>60.0</v>
      </c>
      <c r="H24" s="7">
        <v>44.0</v>
      </c>
      <c r="I24" s="7">
        <v>40.0</v>
      </c>
      <c r="J24" s="7">
        <v>40.0</v>
      </c>
      <c r="K24" s="7">
        <v>54.0</v>
      </c>
      <c r="L24" s="7">
        <v>55.0</v>
      </c>
      <c r="M24" s="7" t="s">
        <v>2696</v>
      </c>
      <c r="N24" s="7" t="s">
        <v>2653</v>
      </c>
      <c r="O24" s="7" t="s">
        <v>4441</v>
      </c>
      <c r="P24" s="7">
        <v>6.9</v>
      </c>
      <c r="Q24" s="7"/>
      <c r="R24" s="7">
        <f t="shared" si="1"/>
        <v>23</v>
      </c>
    </row>
    <row r="25" ht="15.75" customHeight="1">
      <c r="A25" s="7">
        <v>24.0</v>
      </c>
      <c r="B25" s="7" t="s">
        <v>3409</v>
      </c>
      <c r="C25" s="7">
        <v>1.0</v>
      </c>
      <c r="D25" s="7" t="s">
        <v>4905</v>
      </c>
      <c r="E25" s="7"/>
      <c r="F25" s="7">
        <v>60.0</v>
      </c>
      <c r="G25" s="7">
        <f>IF($A$1&lt;7,85,95)</f>
        <v>95</v>
      </c>
      <c r="H25" s="7">
        <v>69.0</v>
      </c>
      <c r="I25" s="7">
        <v>65.0</v>
      </c>
      <c r="J25" s="7">
        <v>65.0</v>
      </c>
      <c r="K25" s="7">
        <v>79.0</v>
      </c>
      <c r="L25" s="7">
        <v>80.0</v>
      </c>
      <c r="M25" s="7" t="s">
        <v>2696</v>
      </c>
      <c r="N25" s="7" t="s">
        <v>2653</v>
      </c>
      <c r="O25" s="7" t="s">
        <v>4441</v>
      </c>
      <c r="P25" s="7">
        <v>65.0</v>
      </c>
      <c r="Q25" s="7"/>
      <c r="R25" s="7">
        <f t="shared" si="1"/>
        <v>24</v>
      </c>
    </row>
    <row r="26" ht="15.75" customHeight="1">
      <c r="A26" s="7">
        <v>25.0</v>
      </c>
      <c r="B26" s="7" t="s">
        <v>2744</v>
      </c>
      <c r="C26" s="7">
        <v>1.0</v>
      </c>
      <c r="D26" s="7" t="s">
        <v>4921</v>
      </c>
      <c r="E26" s="7"/>
      <c r="F26" s="7">
        <v>35.0</v>
      </c>
      <c r="G26" s="7">
        <v>55.0</v>
      </c>
      <c r="H26" s="7">
        <f>IF($A$1&lt;6,30,40)</f>
        <v>40</v>
      </c>
      <c r="I26" s="7">
        <v>50.0</v>
      </c>
      <c r="J26" s="7">
        <v>50.0</v>
      </c>
      <c r="K26" s="7">
        <f>IF($A$1&lt;6,40,50)</f>
        <v>50</v>
      </c>
      <c r="L26" s="7">
        <v>90.0</v>
      </c>
      <c r="M26" s="7" t="s">
        <v>3136</v>
      </c>
      <c r="N26" s="7"/>
      <c r="O26" s="7" t="s">
        <v>2747</v>
      </c>
      <c r="P26" s="7">
        <v>6.0</v>
      </c>
      <c r="Q26" s="7"/>
      <c r="R26" s="7">
        <f t="shared" si="1"/>
        <v>25</v>
      </c>
    </row>
    <row r="27" ht="15.75" customHeight="1">
      <c r="A27" s="7">
        <v>26.0</v>
      </c>
      <c r="B27" s="7" t="s">
        <v>3670</v>
      </c>
      <c r="C27" s="7">
        <v>1.0</v>
      </c>
      <c r="D27" s="7" t="s">
        <v>4921</v>
      </c>
      <c r="E27" s="7"/>
      <c r="F27" s="7">
        <v>60.0</v>
      </c>
      <c r="G27" s="7">
        <v>90.0</v>
      </c>
      <c r="H27" s="7">
        <v>55.0</v>
      </c>
      <c r="I27" s="7">
        <v>90.0</v>
      </c>
      <c r="J27" s="7">
        <v>90.0</v>
      </c>
      <c r="K27" s="7">
        <v>80.0</v>
      </c>
      <c r="L27" s="7">
        <f>IF($A$1&lt;6,100,110)</f>
        <v>110</v>
      </c>
      <c r="M27" s="7" t="s">
        <v>3136</v>
      </c>
      <c r="N27" s="7"/>
      <c r="O27" s="7" t="s">
        <v>2747</v>
      </c>
      <c r="P27" s="7">
        <v>30.0</v>
      </c>
      <c r="Q27" s="7"/>
      <c r="R27" s="7">
        <f t="shared" si="1"/>
        <v>26</v>
      </c>
    </row>
    <row r="28" ht="15.75" customHeight="1">
      <c r="A28" s="7">
        <v>27.0</v>
      </c>
      <c r="B28" s="7" t="s">
        <v>2749</v>
      </c>
      <c r="C28" s="7">
        <v>1.0</v>
      </c>
      <c r="D28" s="7" t="s">
        <v>4922</v>
      </c>
      <c r="E28" s="7"/>
      <c r="F28" s="7">
        <v>50.0</v>
      </c>
      <c r="G28" s="7">
        <v>75.0</v>
      </c>
      <c r="H28" s="7">
        <v>85.0</v>
      </c>
      <c r="I28" s="7">
        <v>30.0</v>
      </c>
      <c r="J28" s="7">
        <v>20.0</v>
      </c>
      <c r="K28" s="7">
        <v>30.0</v>
      </c>
      <c r="L28" s="7">
        <v>40.0</v>
      </c>
      <c r="M28" s="7" t="s">
        <v>4005</v>
      </c>
      <c r="N28" s="7"/>
      <c r="O28" s="7" t="s">
        <v>2753</v>
      </c>
      <c r="P28" s="7">
        <v>12.0</v>
      </c>
      <c r="Q28" s="7"/>
      <c r="R28" s="7">
        <f t="shared" si="1"/>
        <v>27</v>
      </c>
    </row>
    <row r="29" ht="15.75" customHeight="1">
      <c r="A29" s="7">
        <v>28.0</v>
      </c>
      <c r="B29" s="7" t="s">
        <v>3452</v>
      </c>
      <c r="C29" s="7">
        <v>1.0</v>
      </c>
      <c r="D29" s="7" t="s">
        <v>4922</v>
      </c>
      <c r="E29" s="7"/>
      <c r="F29" s="7">
        <v>75.0</v>
      </c>
      <c r="G29" s="7">
        <v>100.0</v>
      </c>
      <c r="H29" s="7">
        <v>110.0</v>
      </c>
      <c r="I29" s="7">
        <v>55.0</v>
      </c>
      <c r="J29" s="7">
        <v>45.0</v>
      </c>
      <c r="K29" s="7">
        <v>55.0</v>
      </c>
      <c r="L29" s="7">
        <v>65.0</v>
      </c>
      <c r="M29" s="7" t="s">
        <v>4005</v>
      </c>
      <c r="N29" s="7"/>
      <c r="O29" s="7" t="s">
        <v>2753</v>
      </c>
      <c r="P29" s="7">
        <v>29.5</v>
      </c>
      <c r="Q29" s="7"/>
      <c r="R29" s="7">
        <f t="shared" si="1"/>
        <v>28</v>
      </c>
    </row>
    <row r="30" ht="15.75" customHeight="1">
      <c r="A30" s="7">
        <v>29.0</v>
      </c>
      <c r="B30" s="7" t="s">
        <v>4923</v>
      </c>
      <c r="C30" s="7">
        <v>1.0</v>
      </c>
      <c r="D30" s="7" t="s">
        <v>4905</v>
      </c>
      <c r="E30" s="7"/>
      <c r="F30" s="7">
        <v>55.0</v>
      </c>
      <c r="G30" s="7">
        <v>47.0</v>
      </c>
      <c r="H30" s="7">
        <v>52.0</v>
      </c>
      <c r="I30" s="7">
        <v>40.0</v>
      </c>
      <c r="J30" s="7">
        <v>40.0</v>
      </c>
      <c r="K30" s="7">
        <v>40.0</v>
      </c>
      <c r="L30" s="7">
        <v>41.0</v>
      </c>
      <c r="M30" s="7" t="s">
        <v>2708</v>
      </c>
      <c r="N30" s="7" t="s">
        <v>4924</v>
      </c>
      <c r="O30" s="7" t="s">
        <v>3924</v>
      </c>
      <c r="P30" s="7">
        <v>7.0</v>
      </c>
      <c r="Q30" s="7"/>
      <c r="R30" s="7">
        <f t="shared" si="1"/>
        <v>29</v>
      </c>
    </row>
    <row r="31" ht="15.75" customHeight="1">
      <c r="A31" s="7">
        <v>30.0</v>
      </c>
      <c r="B31" s="7" t="s">
        <v>3150</v>
      </c>
      <c r="C31" s="7">
        <v>1.0</v>
      </c>
      <c r="D31" s="7" t="s">
        <v>4905</v>
      </c>
      <c r="E31" s="7"/>
      <c r="F31" s="7">
        <v>70.0</v>
      </c>
      <c r="G31" s="7">
        <v>62.0</v>
      </c>
      <c r="H31" s="7">
        <v>67.0</v>
      </c>
      <c r="I31" s="7">
        <v>55.0</v>
      </c>
      <c r="J31" s="7">
        <v>55.0</v>
      </c>
      <c r="K31" s="7">
        <v>55.0</v>
      </c>
      <c r="L31" s="7">
        <v>56.0</v>
      </c>
      <c r="M31" s="7" t="s">
        <v>2708</v>
      </c>
      <c r="N31" s="7" t="s">
        <v>4924</v>
      </c>
      <c r="O31" s="7" t="s">
        <v>3924</v>
      </c>
      <c r="P31" s="7">
        <v>20.0</v>
      </c>
      <c r="Q31" s="7"/>
      <c r="R31" s="7">
        <f t="shared" si="1"/>
        <v>30</v>
      </c>
    </row>
    <row r="32" ht="15.75" customHeight="1">
      <c r="A32" s="7">
        <v>31.0</v>
      </c>
      <c r="B32" s="7" t="s">
        <v>3744</v>
      </c>
      <c r="C32" s="7">
        <v>1.0</v>
      </c>
      <c r="D32" s="7" t="s">
        <v>4905</v>
      </c>
      <c r="E32" s="7" t="s">
        <v>4922</v>
      </c>
      <c r="F32" s="7">
        <v>90.0</v>
      </c>
      <c r="G32" s="7">
        <f>IF($A$1&lt;6,82,92)</f>
        <v>92</v>
      </c>
      <c r="H32" s="7">
        <v>87.0</v>
      </c>
      <c r="I32" s="7">
        <v>75.0</v>
      </c>
      <c r="J32" s="7">
        <v>75.0</v>
      </c>
      <c r="K32" s="7">
        <v>85.0</v>
      </c>
      <c r="L32" s="7">
        <v>76.0</v>
      </c>
      <c r="M32" s="7" t="s">
        <v>2708</v>
      </c>
      <c r="N32" s="7" t="s">
        <v>4924</v>
      </c>
      <c r="O32" s="7" t="s">
        <v>3745</v>
      </c>
      <c r="P32" s="7">
        <v>60.0</v>
      </c>
      <c r="Q32" s="7"/>
      <c r="R32" s="7">
        <f t="shared" si="1"/>
        <v>31</v>
      </c>
    </row>
    <row r="33" ht="15.75" customHeight="1">
      <c r="A33" s="7">
        <v>32.0</v>
      </c>
      <c r="B33" s="7" t="s">
        <v>4925</v>
      </c>
      <c r="C33" s="7">
        <v>1.0</v>
      </c>
      <c r="D33" s="7" t="s">
        <v>4905</v>
      </c>
      <c r="E33" s="7"/>
      <c r="F33" s="7">
        <v>46.0</v>
      </c>
      <c r="G33" s="7">
        <v>57.0</v>
      </c>
      <c r="H33" s="7">
        <v>40.0</v>
      </c>
      <c r="I33" s="7">
        <v>40.0</v>
      </c>
      <c r="J33" s="7">
        <v>40.0</v>
      </c>
      <c r="K33" s="7">
        <v>40.0</v>
      </c>
      <c r="L33" s="7">
        <v>50.0</v>
      </c>
      <c r="M33" s="7" t="s">
        <v>2708</v>
      </c>
      <c r="N33" s="7" t="s">
        <v>4924</v>
      </c>
      <c r="O33" s="7" t="s">
        <v>3924</v>
      </c>
      <c r="P33" s="7">
        <v>9.0</v>
      </c>
      <c r="Q33" s="7"/>
      <c r="R33" s="7">
        <f t="shared" si="1"/>
        <v>32</v>
      </c>
    </row>
    <row r="34" ht="15.75" customHeight="1">
      <c r="A34" s="7">
        <v>33.0</v>
      </c>
      <c r="B34" s="7" t="s">
        <v>3154</v>
      </c>
      <c r="C34" s="7">
        <v>1.0</v>
      </c>
      <c r="D34" s="7" t="s">
        <v>4905</v>
      </c>
      <c r="E34" s="7"/>
      <c r="F34" s="7">
        <v>61.0</v>
      </c>
      <c r="G34" s="7">
        <v>72.0</v>
      </c>
      <c r="H34" s="7">
        <v>57.0</v>
      </c>
      <c r="I34" s="7">
        <v>55.0</v>
      </c>
      <c r="J34" s="7">
        <v>55.0</v>
      </c>
      <c r="K34" s="7">
        <v>55.0</v>
      </c>
      <c r="L34" s="7">
        <v>65.0</v>
      </c>
      <c r="M34" s="7" t="s">
        <v>2708</v>
      </c>
      <c r="N34" s="7" t="s">
        <v>4924</v>
      </c>
      <c r="O34" s="7" t="s">
        <v>3924</v>
      </c>
      <c r="P34" s="7">
        <v>19.5</v>
      </c>
      <c r="Q34" s="7"/>
      <c r="R34" s="7">
        <f t="shared" si="1"/>
        <v>33</v>
      </c>
    </row>
    <row r="35" ht="15.75" customHeight="1">
      <c r="A35" s="7">
        <v>34.0</v>
      </c>
      <c r="B35" s="7" t="s">
        <v>3747</v>
      </c>
      <c r="C35" s="7">
        <v>1.0</v>
      </c>
      <c r="D35" s="7" t="s">
        <v>4905</v>
      </c>
      <c r="E35" s="7" t="s">
        <v>4922</v>
      </c>
      <c r="F35" s="7">
        <v>81.0</v>
      </c>
      <c r="G35" s="7">
        <f>IF($A$1&lt;6,92,102)</f>
        <v>102</v>
      </c>
      <c r="H35" s="7">
        <v>77.0</v>
      </c>
      <c r="I35" s="7">
        <v>75.0</v>
      </c>
      <c r="J35" s="7">
        <v>85.0</v>
      </c>
      <c r="K35" s="7">
        <v>75.0</v>
      </c>
      <c r="L35" s="7">
        <v>85.0</v>
      </c>
      <c r="M35" s="7" t="s">
        <v>2708</v>
      </c>
      <c r="N35" s="7" t="s">
        <v>4924</v>
      </c>
      <c r="O35" s="7" t="s">
        <v>3745</v>
      </c>
      <c r="P35" s="7">
        <v>62.0</v>
      </c>
      <c r="Q35" s="7"/>
      <c r="R35" s="7">
        <f t="shared" si="1"/>
        <v>34</v>
      </c>
    </row>
    <row r="36" ht="15.75" customHeight="1">
      <c r="A36" s="7">
        <v>35.0</v>
      </c>
      <c r="B36" s="7" t="s">
        <v>2955</v>
      </c>
      <c r="C36" s="7">
        <v>1.0</v>
      </c>
      <c r="D36" s="7" t="str">
        <f t="shared" ref="D36:D37" si="2">IF($A$1&lt;6,"Normal","Fairy")</f>
        <v>Fairy</v>
      </c>
      <c r="E36" s="7"/>
      <c r="F36" s="7">
        <v>70.0</v>
      </c>
      <c r="G36" s="7">
        <v>45.0</v>
      </c>
      <c r="H36" s="7">
        <v>48.0</v>
      </c>
      <c r="I36" s="7">
        <v>60.0</v>
      </c>
      <c r="J36" s="7">
        <v>60.0</v>
      </c>
      <c r="K36" s="7">
        <v>65.0</v>
      </c>
      <c r="L36" s="7">
        <v>35.0</v>
      </c>
      <c r="M36" s="7" t="s">
        <v>3172</v>
      </c>
      <c r="N36" s="7" t="s">
        <v>2958</v>
      </c>
      <c r="O36" s="7" t="s">
        <v>4926</v>
      </c>
      <c r="P36" s="7">
        <v>7.5</v>
      </c>
      <c r="Q36" s="7"/>
      <c r="R36" s="7">
        <f t="shared" si="1"/>
        <v>35</v>
      </c>
    </row>
    <row r="37" ht="15.75" customHeight="1">
      <c r="A37" s="7">
        <v>36.0</v>
      </c>
      <c r="B37" s="7" t="s">
        <v>3547</v>
      </c>
      <c r="C37" s="7">
        <v>1.0</v>
      </c>
      <c r="D37" s="7" t="str">
        <f t="shared" si="2"/>
        <v>Fairy</v>
      </c>
      <c r="E37" s="7"/>
      <c r="F37" s="7">
        <v>95.0</v>
      </c>
      <c r="G37" s="7">
        <v>70.0</v>
      </c>
      <c r="H37" s="7">
        <v>73.0</v>
      </c>
      <c r="I37" s="7">
        <v>85.0</v>
      </c>
      <c r="J37" s="7">
        <f>IF($A$1&lt;6,85,95)</f>
        <v>95</v>
      </c>
      <c r="K37" s="7">
        <v>90.0</v>
      </c>
      <c r="L37" s="7">
        <v>60.0</v>
      </c>
      <c r="M37" s="7" t="s">
        <v>3172</v>
      </c>
      <c r="N37" s="7" t="s">
        <v>2958</v>
      </c>
      <c r="O37" s="7" t="s">
        <v>3971</v>
      </c>
      <c r="P37" s="7">
        <v>40.0</v>
      </c>
      <c r="Q37" s="7"/>
      <c r="R37" s="7">
        <f t="shared" si="1"/>
        <v>36</v>
      </c>
    </row>
    <row r="38" ht="15.75" customHeight="1">
      <c r="A38" s="7">
        <v>37.0</v>
      </c>
      <c r="B38" s="7" t="s">
        <v>2741</v>
      </c>
      <c r="C38" s="7">
        <v>1.0</v>
      </c>
      <c r="D38" s="7" t="s">
        <v>4906</v>
      </c>
      <c r="E38" s="7"/>
      <c r="F38" s="7">
        <v>38.0</v>
      </c>
      <c r="G38" s="7">
        <v>41.0</v>
      </c>
      <c r="H38" s="7">
        <v>40.0</v>
      </c>
      <c r="I38" s="7">
        <v>65.0</v>
      </c>
      <c r="J38" s="7">
        <v>50.0</v>
      </c>
      <c r="K38" s="7">
        <v>65.0</v>
      </c>
      <c r="L38" s="7">
        <v>65.0</v>
      </c>
      <c r="M38" s="7" t="s">
        <v>3016</v>
      </c>
      <c r="N38" s="7"/>
      <c r="O38" s="7" t="s">
        <v>2742</v>
      </c>
      <c r="P38" s="7">
        <v>9.9</v>
      </c>
      <c r="Q38" s="7"/>
      <c r="R38" s="7">
        <f t="shared" si="1"/>
        <v>37</v>
      </c>
    </row>
    <row r="39" ht="15.75" customHeight="1">
      <c r="A39" s="7">
        <v>38.0</v>
      </c>
      <c r="B39" s="7" t="s">
        <v>3814</v>
      </c>
      <c r="C39" s="7">
        <v>1.0</v>
      </c>
      <c r="D39" s="7" t="s">
        <v>4906</v>
      </c>
      <c r="E39" s="7"/>
      <c r="F39" s="7">
        <v>73.0</v>
      </c>
      <c r="G39" s="7">
        <v>76.0</v>
      </c>
      <c r="H39" s="7">
        <v>75.0</v>
      </c>
      <c r="I39" s="7">
        <v>100.0</v>
      </c>
      <c r="J39" s="7">
        <v>81.0</v>
      </c>
      <c r="K39" s="7">
        <v>100.0</v>
      </c>
      <c r="L39" s="7">
        <v>100.0</v>
      </c>
      <c r="M39" s="7" t="s">
        <v>3016</v>
      </c>
      <c r="N39" s="7"/>
      <c r="O39" s="7" t="s">
        <v>2742</v>
      </c>
      <c r="P39" s="7">
        <v>19.9</v>
      </c>
      <c r="Q39" s="7"/>
      <c r="R39" s="7">
        <f t="shared" si="1"/>
        <v>38</v>
      </c>
    </row>
    <row r="40" ht="15.75" customHeight="1">
      <c r="A40" s="7">
        <v>39.0</v>
      </c>
      <c r="B40" s="7" t="s">
        <v>4927</v>
      </c>
      <c r="C40" s="7">
        <v>1.0</v>
      </c>
      <c r="D40" s="7" t="s">
        <v>4916</v>
      </c>
      <c r="E40" s="7" t="str">
        <f t="shared" ref="E40:E41" si="3">IF($A$1&lt;6,"","Fairy")</f>
        <v>Fairy</v>
      </c>
      <c r="F40" s="7">
        <v>115.0</v>
      </c>
      <c r="G40" s="7">
        <v>45.0</v>
      </c>
      <c r="H40" s="7">
        <v>20.0</v>
      </c>
      <c r="I40" s="7">
        <v>25.0</v>
      </c>
      <c r="J40" s="7">
        <v>45.0</v>
      </c>
      <c r="K40" s="7">
        <v>25.0</v>
      </c>
      <c r="L40" s="7">
        <v>20.0</v>
      </c>
      <c r="M40" s="7" t="s">
        <v>3172</v>
      </c>
      <c r="N40" s="7" t="s">
        <v>3377</v>
      </c>
      <c r="O40" s="7" t="s">
        <v>4926</v>
      </c>
      <c r="P40" s="7">
        <v>5.5</v>
      </c>
      <c r="Q40" s="7"/>
      <c r="R40" s="7">
        <f t="shared" si="1"/>
        <v>39</v>
      </c>
    </row>
    <row r="41" ht="15.75" customHeight="1">
      <c r="A41" s="7">
        <v>40.0</v>
      </c>
      <c r="B41" s="7" t="s">
        <v>3376</v>
      </c>
      <c r="C41" s="7">
        <v>1.0</v>
      </c>
      <c r="D41" s="7" t="s">
        <v>4916</v>
      </c>
      <c r="E41" s="7" t="str">
        <f t="shared" si="3"/>
        <v>Fairy</v>
      </c>
      <c r="F41" s="7">
        <v>140.0</v>
      </c>
      <c r="G41" s="7">
        <v>70.0</v>
      </c>
      <c r="H41" s="7">
        <v>45.0</v>
      </c>
      <c r="I41" s="7">
        <v>50.0</v>
      </c>
      <c r="J41" s="7">
        <f>IF($A$1&lt;6,75,85)</f>
        <v>85</v>
      </c>
      <c r="K41" s="7">
        <v>50.0</v>
      </c>
      <c r="L41" s="7">
        <v>45.0</v>
      </c>
      <c r="M41" s="7" t="s">
        <v>3172</v>
      </c>
      <c r="N41" s="7" t="s">
        <v>3377</v>
      </c>
      <c r="O41" s="7" t="s">
        <v>4928</v>
      </c>
      <c r="P41" s="7">
        <v>12.0</v>
      </c>
      <c r="Q41" s="7"/>
      <c r="R41" s="7">
        <f t="shared" si="1"/>
        <v>40</v>
      </c>
    </row>
    <row r="42" ht="15.75" customHeight="1">
      <c r="A42" s="7">
        <v>41.0</v>
      </c>
      <c r="B42" s="7" t="s">
        <v>4929</v>
      </c>
      <c r="C42" s="7">
        <v>1.0</v>
      </c>
      <c r="D42" s="7" t="s">
        <v>4905</v>
      </c>
      <c r="E42" s="7" t="s">
        <v>4907</v>
      </c>
      <c r="F42" s="7">
        <v>40.0</v>
      </c>
      <c r="G42" s="7">
        <v>45.0</v>
      </c>
      <c r="H42" s="7">
        <v>35.0</v>
      </c>
      <c r="I42" s="7">
        <v>40.0</v>
      </c>
      <c r="J42" s="7">
        <v>30.0</v>
      </c>
      <c r="K42" s="7">
        <v>40.0</v>
      </c>
      <c r="L42" s="7">
        <v>55.0</v>
      </c>
      <c r="M42" s="7" t="s">
        <v>3233</v>
      </c>
      <c r="N42" s="7"/>
      <c r="O42" s="7" t="s">
        <v>4553</v>
      </c>
      <c r="P42" s="7">
        <v>7.5</v>
      </c>
      <c r="Q42" s="7"/>
      <c r="R42" s="7">
        <f t="shared" si="1"/>
        <v>41</v>
      </c>
    </row>
    <row r="43" ht="15.75" customHeight="1">
      <c r="A43" s="7">
        <v>42.0</v>
      </c>
      <c r="B43" s="7" t="s">
        <v>3474</v>
      </c>
      <c r="C43" s="7">
        <v>1.0</v>
      </c>
      <c r="D43" s="7" t="s">
        <v>4905</v>
      </c>
      <c r="E43" s="7" t="s">
        <v>4907</v>
      </c>
      <c r="F43" s="7">
        <v>75.0</v>
      </c>
      <c r="G43" s="7">
        <v>80.0</v>
      </c>
      <c r="H43" s="7">
        <v>70.0</v>
      </c>
      <c r="I43" s="7">
        <v>75.0</v>
      </c>
      <c r="J43" s="7">
        <v>65.0</v>
      </c>
      <c r="K43" s="7">
        <v>75.0</v>
      </c>
      <c r="L43" s="7">
        <v>90.0</v>
      </c>
      <c r="M43" s="7" t="s">
        <v>3233</v>
      </c>
      <c r="N43" s="7"/>
      <c r="O43" s="7" t="s">
        <v>4553</v>
      </c>
      <c r="P43" s="7">
        <v>55.0</v>
      </c>
      <c r="Q43" s="7"/>
      <c r="R43" s="7">
        <f t="shared" si="1"/>
        <v>42</v>
      </c>
    </row>
    <row r="44" ht="15.75" customHeight="1">
      <c r="A44" s="7">
        <v>43.0</v>
      </c>
      <c r="B44" s="7" t="s">
        <v>2935</v>
      </c>
      <c r="C44" s="7">
        <v>1.0</v>
      </c>
      <c r="D44" s="7" t="s">
        <v>4904</v>
      </c>
      <c r="E44" s="7" t="s">
        <v>4905</v>
      </c>
      <c r="F44" s="7">
        <v>45.0</v>
      </c>
      <c r="G44" s="7">
        <v>50.0</v>
      </c>
      <c r="H44" s="7">
        <v>55.0</v>
      </c>
      <c r="I44" s="7">
        <v>75.0</v>
      </c>
      <c r="J44" s="7">
        <v>75.0</v>
      </c>
      <c r="K44" s="7">
        <v>65.0</v>
      </c>
      <c r="L44" s="7">
        <v>30.0</v>
      </c>
      <c r="M44" s="7" t="s">
        <v>2701</v>
      </c>
      <c r="N44" s="7"/>
      <c r="O44" s="7" t="s">
        <v>4911</v>
      </c>
      <c r="P44" s="7">
        <v>5.4</v>
      </c>
      <c r="Q44" s="7"/>
      <c r="R44" s="7">
        <f t="shared" si="1"/>
        <v>43</v>
      </c>
    </row>
    <row r="45" ht="15.75" customHeight="1">
      <c r="A45" s="7">
        <v>44.0</v>
      </c>
      <c r="B45" s="7" t="s">
        <v>3224</v>
      </c>
      <c r="C45" s="7">
        <v>1.0</v>
      </c>
      <c r="D45" s="7" t="s">
        <v>4904</v>
      </c>
      <c r="E45" s="7" t="s">
        <v>4905</v>
      </c>
      <c r="F45" s="7">
        <v>60.0</v>
      </c>
      <c r="G45" s="7">
        <v>65.0</v>
      </c>
      <c r="H45" s="7">
        <v>70.0</v>
      </c>
      <c r="I45" s="7">
        <v>85.0</v>
      </c>
      <c r="J45" s="7">
        <v>85.0</v>
      </c>
      <c r="K45" s="7">
        <v>75.0</v>
      </c>
      <c r="L45" s="7">
        <v>40.0</v>
      </c>
      <c r="M45" s="7" t="s">
        <v>2701</v>
      </c>
      <c r="N45" s="7"/>
      <c r="O45" s="7" t="s">
        <v>2973</v>
      </c>
      <c r="P45" s="7">
        <v>8.6</v>
      </c>
      <c r="Q45" s="7"/>
      <c r="R45" s="7">
        <f t="shared" si="1"/>
        <v>44</v>
      </c>
    </row>
    <row r="46" ht="15.75" customHeight="1">
      <c r="A46" s="7">
        <v>45.0</v>
      </c>
      <c r="B46" s="7" t="s">
        <v>3682</v>
      </c>
      <c r="C46" s="7">
        <v>1.0</v>
      </c>
      <c r="D46" s="7" t="s">
        <v>4904</v>
      </c>
      <c r="E46" s="7" t="s">
        <v>4905</v>
      </c>
      <c r="F46" s="7">
        <v>75.0</v>
      </c>
      <c r="G46" s="7">
        <v>80.0</v>
      </c>
      <c r="H46" s="7">
        <v>85.0</v>
      </c>
      <c r="I46" s="7">
        <v>100.0</v>
      </c>
      <c r="J46" s="7">
        <f>IF($A$1&lt;6,100,110)</f>
        <v>110</v>
      </c>
      <c r="K46" s="7">
        <v>90.0</v>
      </c>
      <c r="L46" s="7">
        <v>50.0</v>
      </c>
      <c r="M46" s="7" t="s">
        <v>2701</v>
      </c>
      <c r="N46" s="7"/>
      <c r="O46" s="7" t="s">
        <v>3250</v>
      </c>
      <c r="P46" s="7">
        <v>18.6</v>
      </c>
      <c r="Q46" s="7"/>
      <c r="R46" s="7">
        <f t="shared" si="1"/>
        <v>45</v>
      </c>
    </row>
    <row r="47" ht="15.75" customHeight="1">
      <c r="A47" s="7">
        <v>46.0</v>
      </c>
      <c r="B47" s="7" t="s">
        <v>4930</v>
      </c>
      <c r="C47" s="7">
        <v>1.0</v>
      </c>
      <c r="D47" s="7" t="s">
        <v>4910</v>
      </c>
      <c r="E47" s="7" t="s">
        <v>4904</v>
      </c>
      <c r="F47" s="7">
        <v>35.0</v>
      </c>
      <c r="G47" s="7">
        <v>70.0</v>
      </c>
      <c r="H47" s="7">
        <v>55.0</v>
      </c>
      <c r="I47" s="7">
        <v>55.0</v>
      </c>
      <c r="J47" s="7">
        <v>45.0</v>
      </c>
      <c r="K47" s="7">
        <v>55.0</v>
      </c>
      <c r="L47" s="7">
        <v>25.0</v>
      </c>
      <c r="M47" s="7" t="s">
        <v>3250</v>
      </c>
      <c r="N47" s="7" t="s">
        <v>3642</v>
      </c>
      <c r="O47" s="7" t="s">
        <v>4403</v>
      </c>
      <c r="P47" s="7">
        <v>5.4</v>
      </c>
      <c r="Q47" s="7"/>
      <c r="R47" s="7">
        <f t="shared" si="1"/>
        <v>46</v>
      </c>
    </row>
    <row r="48" ht="15.75" customHeight="1">
      <c r="A48" s="7">
        <v>47.0</v>
      </c>
      <c r="B48" s="7" t="s">
        <v>3247</v>
      </c>
      <c r="C48" s="7">
        <v>1.0</v>
      </c>
      <c r="D48" s="7" t="s">
        <v>4910</v>
      </c>
      <c r="E48" s="7" t="s">
        <v>4904</v>
      </c>
      <c r="F48" s="7">
        <v>60.0</v>
      </c>
      <c r="G48" s="7">
        <v>95.0</v>
      </c>
      <c r="H48" s="7">
        <v>80.0</v>
      </c>
      <c r="I48" s="7">
        <v>80.0</v>
      </c>
      <c r="J48" s="7">
        <v>60.0</v>
      </c>
      <c r="K48" s="7">
        <v>80.0</v>
      </c>
      <c r="L48" s="7">
        <v>30.0</v>
      </c>
      <c r="M48" s="7" t="s">
        <v>3250</v>
      </c>
      <c r="N48" s="7" t="s">
        <v>3642</v>
      </c>
      <c r="O48" s="7" t="s">
        <v>4403</v>
      </c>
      <c r="P48" s="7">
        <v>29.5</v>
      </c>
      <c r="Q48" s="7"/>
      <c r="R48" s="7">
        <f t="shared" si="1"/>
        <v>47</v>
      </c>
    </row>
    <row r="49" ht="15.75" customHeight="1">
      <c r="A49" s="7">
        <v>48.0</v>
      </c>
      <c r="B49" s="7" t="s">
        <v>2810</v>
      </c>
      <c r="C49" s="7">
        <v>1.0</v>
      </c>
      <c r="D49" s="7" t="s">
        <v>4910</v>
      </c>
      <c r="E49" s="7" t="s">
        <v>4905</v>
      </c>
      <c r="F49" s="7">
        <v>60.0</v>
      </c>
      <c r="G49" s="7">
        <v>55.0</v>
      </c>
      <c r="H49" s="7">
        <v>50.0</v>
      </c>
      <c r="I49" s="7">
        <v>40.0</v>
      </c>
      <c r="J49" s="7">
        <v>40.0</v>
      </c>
      <c r="K49" s="7">
        <v>55.0</v>
      </c>
      <c r="L49" s="7">
        <v>45.0</v>
      </c>
      <c r="M49" s="7" t="s">
        <v>2814</v>
      </c>
      <c r="N49" s="7" t="s">
        <v>3240</v>
      </c>
      <c r="O49" s="7" t="s">
        <v>4911</v>
      </c>
      <c r="P49" s="7">
        <v>30.0</v>
      </c>
      <c r="Q49" s="7"/>
      <c r="R49" s="7">
        <f t="shared" si="1"/>
        <v>48</v>
      </c>
    </row>
    <row r="50" ht="15.75" customHeight="1">
      <c r="A50" s="7">
        <v>49.0</v>
      </c>
      <c r="B50" s="7" t="s">
        <v>3456</v>
      </c>
      <c r="C50" s="7">
        <v>1.0</v>
      </c>
      <c r="D50" s="7" t="s">
        <v>4910</v>
      </c>
      <c r="E50" s="7" t="s">
        <v>4905</v>
      </c>
      <c r="F50" s="7">
        <v>70.0</v>
      </c>
      <c r="G50" s="7">
        <v>65.0</v>
      </c>
      <c r="H50" s="7">
        <v>60.0</v>
      </c>
      <c r="I50" s="7">
        <v>90.0</v>
      </c>
      <c r="J50" s="7">
        <v>90.0</v>
      </c>
      <c r="K50" s="7">
        <v>75.0</v>
      </c>
      <c r="L50" s="7">
        <v>90.0</v>
      </c>
      <c r="M50" s="7" t="s">
        <v>3203</v>
      </c>
      <c r="N50" s="7" t="s">
        <v>3240</v>
      </c>
      <c r="O50" s="7" t="s">
        <v>4931</v>
      </c>
      <c r="P50" s="7">
        <v>12.5</v>
      </c>
      <c r="Q50" s="7"/>
      <c r="R50" s="7">
        <f t="shared" si="1"/>
        <v>49</v>
      </c>
    </row>
    <row r="51" ht="15.75" customHeight="1">
      <c r="A51" s="7">
        <v>50.0</v>
      </c>
      <c r="B51" s="7" t="s">
        <v>4932</v>
      </c>
      <c r="C51" s="7">
        <v>1.0</v>
      </c>
      <c r="D51" s="7" t="s">
        <v>4922</v>
      </c>
      <c r="E51" s="7"/>
      <c r="F51" s="7">
        <v>10.0</v>
      </c>
      <c r="G51" s="7">
        <v>55.0</v>
      </c>
      <c r="H51" s="7">
        <v>25.0</v>
      </c>
      <c r="I51" s="7">
        <v>45.0</v>
      </c>
      <c r="J51" s="7">
        <v>35.0</v>
      </c>
      <c r="K51" s="7">
        <v>45.0</v>
      </c>
      <c r="L51" s="7">
        <v>95.0</v>
      </c>
      <c r="M51" s="7" t="s">
        <v>4005</v>
      </c>
      <c r="N51" s="7" t="s">
        <v>3622</v>
      </c>
      <c r="O51" s="7" t="s">
        <v>4319</v>
      </c>
      <c r="P51" s="7">
        <v>0.8</v>
      </c>
      <c r="Q51" s="7"/>
      <c r="R51" s="7">
        <f t="shared" si="1"/>
        <v>50</v>
      </c>
    </row>
    <row r="52" ht="15.75" customHeight="1">
      <c r="A52" s="7">
        <v>51.0</v>
      </c>
      <c r="B52" s="7" t="s">
        <v>3621</v>
      </c>
      <c r="C52" s="7">
        <v>1.0</v>
      </c>
      <c r="D52" s="7" t="s">
        <v>4922</v>
      </c>
      <c r="E52" s="7"/>
      <c r="F52" s="7">
        <v>35.0</v>
      </c>
      <c r="G52" s="7">
        <f>IF($A$1&lt;7,80,100)</f>
        <v>100</v>
      </c>
      <c r="H52" s="7">
        <v>50.0</v>
      </c>
      <c r="I52" s="7">
        <v>70.0</v>
      </c>
      <c r="J52" s="7">
        <v>50.0</v>
      </c>
      <c r="K52" s="7">
        <v>70.0</v>
      </c>
      <c r="L52" s="7">
        <v>120.0</v>
      </c>
      <c r="M52" s="7" t="s">
        <v>4005</v>
      </c>
      <c r="N52" s="7" t="s">
        <v>3622</v>
      </c>
      <c r="O52" s="7" t="s">
        <v>4319</v>
      </c>
      <c r="P52" s="7">
        <v>33.3</v>
      </c>
      <c r="Q52" s="7"/>
      <c r="R52" s="7">
        <f t="shared" si="1"/>
        <v>51</v>
      </c>
    </row>
    <row r="53" ht="15.75" customHeight="1">
      <c r="A53" s="7">
        <v>52.0</v>
      </c>
      <c r="B53" s="7" t="s">
        <v>4933</v>
      </c>
      <c r="C53" s="7">
        <v>1.0</v>
      </c>
      <c r="D53" s="7" t="s">
        <v>4916</v>
      </c>
      <c r="E53" s="7"/>
      <c r="F53" s="7">
        <v>40.0</v>
      </c>
      <c r="G53" s="7">
        <v>45.0</v>
      </c>
      <c r="H53" s="7">
        <v>35.0</v>
      </c>
      <c r="I53" s="7">
        <v>40.0</v>
      </c>
      <c r="J53" s="7">
        <v>40.0</v>
      </c>
      <c r="K53" s="7">
        <v>40.0</v>
      </c>
      <c r="L53" s="7">
        <v>90.0</v>
      </c>
      <c r="M53" s="7" t="s">
        <v>3005</v>
      </c>
      <c r="N53" s="7" t="s">
        <v>3412</v>
      </c>
      <c r="O53" s="7" t="s">
        <v>4441</v>
      </c>
      <c r="P53" s="7">
        <v>4.2</v>
      </c>
      <c r="Q53" s="7"/>
      <c r="R53" s="7">
        <f t="shared" si="1"/>
        <v>52</v>
      </c>
    </row>
    <row r="54" ht="15.75" customHeight="1">
      <c r="A54" s="7">
        <v>53.0</v>
      </c>
      <c r="B54" s="7" t="s">
        <v>3411</v>
      </c>
      <c r="C54" s="7">
        <v>1.0</v>
      </c>
      <c r="D54" s="7" t="s">
        <v>4916</v>
      </c>
      <c r="E54" s="7"/>
      <c r="F54" s="7">
        <v>65.0</v>
      </c>
      <c r="G54" s="7">
        <v>70.0</v>
      </c>
      <c r="H54" s="7">
        <v>60.0</v>
      </c>
      <c r="I54" s="7">
        <v>65.0</v>
      </c>
      <c r="J54" s="7">
        <v>65.0</v>
      </c>
      <c r="K54" s="7">
        <v>65.0</v>
      </c>
      <c r="L54" s="7">
        <v>115.0</v>
      </c>
      <c r="M54" s="7" t="s">
        <v>3005</v>
      </c>
      <c r="N54" s="7" t="s">
        <v>3412</v>
      </c>
      <c r="O54" s="7" t="s">
        <v>4441</v>
      </c>
      <c r="P54" s="7">
        <v>32.0</v>
      </c>
      <c r="Q54" s="7"/>
      <c r="R54" s="7">
        <f t="shared" si="1"/>
        <v>53</v>
      </c>
    </row>
    <row r="55" ht="15.75" customHeight="1">
      <c r="A55" s="7">
        <v>54.0</v>
      </c>
      <c r="B55" s="7" t="s">
        <v>2940</v>
      </c>
      <c r="C55" s="7">
        <v>1.0</v>
      </c>
      <c r="D55" s="7" t="s">
        <v>4908</v>
      </c>
      <c r="E55" s="7"/>
      <c r="F55" s="7">
        <v>50.0</v>
      </c>
      <c r="G55" s="7">
        <v>52.0</v>
      </c>
      <c r="H55" s="7">
        <v>48.0</v>
      </c>
      <c r="I55" s="7">
        <v>50.0</v>
      </c>
      <c r="J55" s="7">
        <v>65.0</v>
      </c>
      <c r="K55" s="7">
        <v>50.0</v>
      </c>
      <c r="L55" s="7">
        <v>55.0</v>
      </c>
      <c r="M55" s="7" t="s">
        <v>4403</v>
      </c>
      <c r="N55" s="7" t="s">
        <v>2849</v>
      </c>
      <c r="O55" s="7" t="s">
        <v>3028</v>
      </c>
      <c r="P55" s="7">
        <v>19.6</v>
      </c>
      <c r="Q55" s="7"/>
      <c r="R55" s="7">
        <f t="shared" si="1"/>
        <v>54</v>
      </c>
    </row>
    <row r="56" ht="15.75" customHeight="1">
      <c r="A56" s="7">
        <v>55.0</v>
      </c>
      <c r="B56" s="7" t="s">
        <v>3765</v>
      </c>
      <c r="C56" s="7">
        <v>1.0</v>
      </c>
      <c r="D56" s="7" t="s">
        <v>4908</v>
      </c>
      <c r="E56" s="7"/>
      <c r="F56" s="7">
        <v>80.0</v>
      </c>
      <c r="G56" s="7">
        <v>82.0</v>
      </c>
      <c r="H56" s="7">
        <v>78.0</v>
      </c>
      <c r="I56" s="7">
        <v>80.0</v>
      </c>
      <c r="J56" s="7">
        <v>95.0</v>
      </c>
      <c r="K56" s="7">
        <v>80.0</v>
      </c>
      <c r="L56" s="7">
        <v>85.0</v>
      </c>
      <c r="M56" s="7" t="s">
        <v>4403</v>
      </c>
      <c r="N56" s="7" t="s">
        <v>2849</v>
      </c>
      <c r="O56" s="7" t="s">
        <v>3028</v>
      </c>
      <c r="P56" s="7">
        <v>76.6</v>
      </c>
      <c r="Q56" s="7"/>
      <c r="R56" s="7">
        <f t="shared" si="1"/>
        <v>55</v>
      </c>
    </row>
    <row r="57" ht="15.75" customHeight="1">
      <c r="A57" s="7">
        <v>56.0</v>
      </c>
      <c r="B57" s="7" t="s">
        <v>4934</v>
      </c>
      <c r="C57" s="7">
        <v>1.0</v>
      </c>
      <c r="D57" s="7" t="s">
        <v>4935</v>
      </c>
      <c r="E57" s="7"/>
      <c r="F57" s="7">
        <v>40.0</v>
      </c>
      <c r="G57" s="7">
        <v>80.0</v>
      </c>
      <c r="H57" s="7">
        <v>35.0</v>
      </c>
      <c r="I57" s="7">
        <v>35.0</v>
      </c>
      <c r="J57" s="7">
        <v>35.0</v>
      </c>
      <c r="K57" s="7">
        <v>45.0</v>
      </c>
      <c r="L57" s="7">
        <v>70.0</v>
      </c>
      <c r="M57" s="7" t="s">
        <v>3011</v>
      </c>
      <c r="N57" s="7" t="s">
        <v>4936</v>
      </c>
      <c r="O57" s="7" t="s">
        <v>3114</v>
      </c>
      <c r="P57" s="7">
        <v>28.0</v>
      </c>
      <c r="Q57" s="7"/>
      <c r="R57" s="7">
        <f t="shared" si="1"/>
        <v>56</v>
      </c>
    </row>
    <row r="58" ht="15.75" customHeight="1">
      <c r="A58" s="7">
        <v>57.0</v>
      </c>
      <c r="B58" s="7" t="s">
        <v>3477</v>
      </c>
      <c r="C58" s="7">
        <v>1.0</v>
      </c>
      <c r="D58" s="7" t="s">
        <v>4935</v>
      </c>
      <c r="E58" s="7"/>
      <c r="F58" s="7">
        <v>65.0</v>
      </c>
      <c r="G58" s="7">
        <v>105.0</v>
      </c>
      <c r="H58" s="7">
        <v>60.0</v>
      </c>
      <c r="I58" s="7">
        <v>60.0</v>
      </c>
      <c r="J58" s="7">
        <v>60.0</v>
      </c>
      <c r="K58" s="7">
        <v>70.0</v>
      </c>
      <c r="L58" s="7">
        <v>95.0</v>
      </c>
      <c r="M58" s="7" t="s">
        <v>3011</v>
      </c>
      <c r="N58" s="7" t="s">
        <v>4936</v>
      </c>
      <c r="O58" s="7" t="s">
        <v>3114</v>
      </c>
      <c r="P58" s="7">
        <v>32.0</v>
      </c>
      <c r="Q58" s="7"/>
      <c r="R58" s="7">
        <f t="shared" si="1"/>
        <v>57</v>
      </c>
    </row>
    <row r="59" ht="15.75" customHeight="1">
      <c r="A59" s="7">
        <v>58.0</v>
      </c>
      <c r="B59" s="7" t="s">
        <v>3099</v>
      </c>
      <c r="C59" s="7">
        <v>1.0</v>
      </c>
      <c r="D59" s="7" t="s">
        <v>4906</v>
      </c>
      <c r="E59" s="7"/>
      <c r="F59" s="7">
        <v>55.0</v>
      </c>
      <c r="G59" s="7">
        <v>70.0</v>
      </c>
      <c r="H59" s="7">
        <v>45.0</v>
      </c>
      <c r="I59" s="7">
        <v>50.0</v>
      </c>
      <c r="J59" s="7">
        <v>70.0</v>
      </c>
      <c r="K59" s="7">
        <v>50.0</v>
      </c>
      <c r="L59" s="7">
        <v>60.0</v>
      </c>
      <c r="M59" s="7" t="s">
        <v>2696</v>
      </c>
      <c r="N59" s="7" t="s">
        <v>3016</v>
      </c>
      <c r="O59" s="7" t="s">
        <v>3853</v>
      </c>
      <c r="P59" s="7">
        <v>19.0</v>
      </c>
      <c r="Q59" s="7"/>
      <c r="R59" s="7">
        <f t="shared" si="1"/>
        <v>58</v>
      </c>
    </row>
    <row r="60" ht="15.75" customHeight="1">
      <c r="A60" s="7">
        <v>59.0</v>
      </c>
      <c r="B60" s="7" t="s">
        <v>3926</v>
      </c>
      <c r="C60" s="7">
        <v>1.0</v>
      </c>
      <c r="D60" s="7" t="s">
        <v>4906</v>
      </c>
      <c r="E60" s="7"/>
      <c r="F60" s="7">
        <v>90.0</v>
      </c>
      <c r="G60" s="7">
        <v>110.0</v>
      </c>
      <c r="H60" s="7">
        <v>80.0</v>
      </c>
      <c r="I60" s="7">
        <v>80.0</v>
      </c>
      <c r="J60" s="7">
        <v>100.0</v>
      </c>
      <c r="K60" s="7">
        <v>80.0</v>
      </c>
      <c r="L60" s="7">
        <v>95.0</v>
      </c>
      <c r="M60" s="7" t="s">
        <v>2696</v>
      </c>
      <c r="N60" s="7" t="s">
        <v>3016</v>
      </c>
      <c r="O60" s="7" t="s">
        <v>3853</v>
      </c>
      <c r="P60" s="7">
        <v>155.0</v>
      </c>
      <c r="Q60" s="7"/>
      <c r="R60" s="7">
        <f t="shared" si="1"/>
        <v>59</v>
      </c>
    </row>
    <row r="61" ht="15.75" customHeight="1">
      <c r="A61" s="7">
        <v>60.0</v>
      </c>
      <c r="B61" s="7" t="s">
        <v>4937</v>
      </c>
      <c r="C61" s="7">
        <v>1.0</v>
      </c>
      <c r="D61" s="7" t="s">
        <v>4908</v>
      </c>
      <c r="E61" s="7"/>
      <c r="F61" s="7">
        <v>40.0</v>
      </c>
      <c r="G61" s="7">
        <v>50.0</v>
      </c>
      <c r="H61" s="7">
        <v>40.0</v>
      </c>
      <c r="I61" s="7">
        <v>40.0</v>
      </c>
      <c r="J61" s="7">
        <v>40.0</v>
      </c>
      <c r="K61" s="7">
        <v>40.0</v>
      </c>
      <c r="L61" s="7">
        <v>90.0</v>
      </c>
      <c r="M61" s="7" t="s">
        <v>3059</v>
      </c>
      <c r="N61" s="7" t="s">
        <v>4403</v>
      </c>
      <c r="O61" s="7" t="s">
        <v>3028</v>
      </c>
      <c r="P61" s="7">
        <v>12.4</v>
      </c>
      <c r="Q61" s="7"/>
      <c r="R61" s="7">
        <f t="shared" si="1"/>
        <v>60</v>
      </c>
    </row>
    <row r="62" ht="15.75" customHeight="1">
      <c r="A62" s="7">
        <v>61.0</v>
      </c>
      <c r="B62" s="7" t="s">
        <v>3191</v>
      </c>
      <c r="C62" s="7">
        <v>1.0</v>
      </c>
      <c r="D62" s="7" t="s">
        <v>4908</v>
      </c>
      <c r="E62" s="7"/>
      <c r="F62" s="7">
        <v>65.0</v>
      </c>
      <c r="G62" s="7">
        <v>65.0</v>
      </c>
      <c r="H62" s="7">
        <v>65.0</v>
      </c>
      <c r="I62" s="7">
        <v>50.0</v>
      </c>
      <c r="J62" s="7">
        <v>50.0</v>
      </c>
      <c r="K62" s="7">
        <v>50.0</v>
      </c>
      <c r="L62" s="7">
        <v>90.0</v>
      </c>
      <c r="M62" s="7" t="s">
        <v>3059</v>
      </c>
      <c r="N62" s="7" t="s">
        <v>4403</v>
      </c>
      <c r="O62" s="7" t="s">
        <v>3028</v>
      </c>
      <c r="P62" s="7">
        <v>20.0</v>
      </c>
      <c r="Q62" s="7"/>
      <c r="R62" s="7">
        <f t="shared" si="1"/>
        <v>61</v>
      </c>
    </row>
    <row r="63" ht="15.75" customHeight="1">
      <c r="A63" s="7">
        <v>62.0</v>
      </c>
      <c r="B63" s="7" t="s">
        <v>3767</v>
      </c>
      <c r="C63" s="7">
        <v>1.0</v>
      </c>
      <c r="D63" s="7" t="s">
        <v>4908</v>
      </c>
      <c r="E63" s="7" t="s">
        <v>4935</v>
      </c>
      <c r="F63" s="7">
        <v>90.0</v>
      </c>
      <c r="G63" s="7">
        <f>IF($A$1&lt;6,85,95)</f>
        <v>95</v>
      </c>
      <c r="H63" s="7">
        <v>95.0</v>
      </c>
      <c r="I63" s="7">
        <v>70.0</v>
      </c>
      <c r="J63" s="7">
        <v>70.0</v>
      </c>
      <c r="K63" s="7">
        <v>90.0</v>
      </c>
      <c r="L63" s="7">
        <v>70.0</v>
      </c>
      <c r="M63" s="7" t="s">
        <v>3059</v>
      </c>
      <c r="N63" s="7" t="s">
        <v>4403</v>
      </c>
      <c r="O63" s="7" t="s">
        <v>3028</v>
      </c>
      <c r="P63" s="7">
        <v>54.0</v>
      </c>
      <c r="Q63" s="7"/>
      <c r="R63" s="7">
        <f t="shared" si="1"/>
        <v>62</v>
      </c>
    </row>
    <row r="64" ht="15.75" customHeight="1">
      <c r="A64" s="7">
        <v>63.0</v>
      </c>
      <c r="B64" s="7" t="s">
        <v>4938</v>
      </c>
      <c r="C64" s="7">
        <v>1.0</v>
      </c>
      <c r="D64" s="7" t="s">
        <v>2659</v>
      </c>
      <c r="E64" s="7"/>
      <c r="F64" s="7">
        <v>25.0</v>
      </c>
      <c r="G64" s="7">
        <v>20.0</v>
      </c>
      <c r="H64" s="7">
        <v>15.0</v>
      </c>
      <c r="I64" s="7">
        <v>105.0</v>
      </c>
      <c r="J64" s="7">
        <v>105.0</v>
      </c>
      <c r="K64" s="7">
        <v>55.0</v>
      </c>
      <c r="L64" s="7">
        <v>90.0</v>
      </c>
      <c r="M64" s="7" t="s">
        <v>3849</v>
      </c>
      <c r="N64" s="7" t="s">
        <v>3233</v>
      </c>
      <c r="O64" s="7" t="s">
        <v>2958</v>
      </c>
      <c r="P64" s="7">
        <v>19.5</v>
      </c>
      <c r="Q64" s="7"/>
      <c r="R64" s="7">
        <f t="shared" si="1"/>
        <v>63</v>
      </c>
    </row>
    <row r="65" ht="15.75" customHeight="1">
      <c r="A65" s="7">
        <v>64.0</v>
      </c>
      <c r="B65" s="7" t="s">
        <v>3231</v>
      </c>
      <c r="C65" s="7">
        <v>1.0</v>
      </c>
      <c r="D65" s="7" t="s">
        <v>2659</v>
      </c>
      <c r="E65" s="7"/>
      <c r="F65" s="7">
        <v>40.0</v>
      </c>
      <c r="G65" s="7">
        <v>35.0</v>
      </c>
      <c r="H65" s="7">
        <v>30.0</v>
      </c>
      <c r="I65" s="7">
        <v>120.0</v>
      </c>
      <c r="J65" s="7">
        <v>120.0</v>
      </c>
      <c r="K65" s="7">
        <v>70.0</v>
      </c>
      <c r="L65" s="7">
        <v>105.0</v>
      </c>
      <c r="M65" s="7" t="s">
        <v>3849</v>
      </c>
      <c r="N65" s="7" t="s">
        <v>3233</v>
      </c>
      <c r="O65" s="7" t="s">
        <v>2958</v>
      </c>
      <c r="P65" s="7">
        <v>56.5</v>
      </c>
      <c r="Q65" s="7"/>
      <c r="R65" s="7">
        <f t="shared" si="1"/>
        <v>64</v>
      </c>
    </row>
    <row r="66" ht="15.75" customHeight="1">
      <c r="A66" s="7">
        <v>65.0</v>
      </c>
      <c r="B66" s="7" t="s">
        <v>3728</v>
      </c>
      <c r="C66" s="7">
        <v>1.0</v>
      </c>
      <c r="D66" s="7" t="s">
        <v>2659</v>
      </c>
      <c r="E66" s="7"/>
      <c r="F66" s="7">
        <v>55.0</v>
      </c>
      <c r="G66" s="7">
        <v>50.0</v>
      </c>
      <c r="H66" s="7">
        <v>45.0</v>
      </c>
      <c r="I66" s="7">
        <v>135.0</v>
      </c>
      <c r="J66" s="7">
        <v>135.0</v>
      </c>
      <c r="K66" s="7">
        <f>IF($A$1&lt;6,85,95)</f>
        <v>95</v>
      </c>
      <c r="L66" s="7">
        <v>120.0</v>
      </c>
      <c r="M66" s="7" t="s">
        <v>3849</v>
      </c>
      <c r="N66" s="7" t="s">
        <v>3233</v>
      </c>
      <c r="O66" s="7" t="s">
        <v>2958</v>
      </c>
      <c r="P66" s="7">
        <v>48.0</v>
      </c>
      <c r="Q66" s="7"/>
      <c r="R66" s="7">
        <f t="shared" si="1"/>
        <v>65</v>
      </c>
    </row>
    <row r="67" ht="15.75" customHeight="1">
      <c r="A67" s="7">
        <v>66.0</v>
      </c>
      <c r="B67" s="7" t="s">
        <v>2816</v>
      </c>
      <c r="C67" s="7">
        <v>1.0</v>
      </c>
      <c r="D67" s="7" t="s">
        <v>4935</v>
      </c>
      <c r="E67" s="7"/>
      <c r="F67" s="7">
        <v>70.0</v>
      </c>
      <c r="G67" s="7">
        <v>80.0</v>
      </c>
      <c r="H67" s="7">
        <v>50.0</v>
      </c>
      <c r="I67" s="7">
        <v>35.0</v>
      </c>
      <c r="J67" s="7">
        <v>35.0</v>
      </c>
      <c r="K67" s="7">
        <v>35.0</v>
      </c>
      <c r="L67" s="7">
        <v>35.0</v>
      </c>
      <c r="M67" s="7" t="s">
        <v>2777</v>
      </c>
      <c r="N67" s="7" t="s">
        <v>2819</v>
      </c>
      <c r="O67" s="7" t="s">
        <v>4075</v>
      </c>
      <c r="P67" s="7">
        <v>19.5</v>
      </c>
      <c r="Q67" s="7"/>
      <c r="R67" s="7">
        <f t="shared" si="1"/>
        <v>66</v>
      </c>
    </row>
    <row r="68" ht="15.75" customHeight="1">
      <c r="A68" s="7">
        <v>67.0</v>
      </c>
      <c r="B68" s="7" t="s">
        <v>3252</v>
      </c>
      <c r="C68" s="7">
        <v>1.0</v>
      </c>
      <c r="D68" s="7" t="s">
        <v>4935</v>
      </c>
      <c r="E68" s="7"/>
      <c r="F68" s="7">
        <v>80.0</v>
      </c>
      <c r="G68" s="7">
        <v>100.0</v>
      </c>
      <c r="H68" s="7">
        <v>70.0</v>
      </c>
      <c r="I68" s="7">
        <v>50.0</v>
      </c>
      <c r="J68" s="7">
        <v>50.0</v>
      </c>
      <c r="K68" s="7">
        <v>60.0</v>
      </c>
      <c r="L68" s="7">
        <v>45.0</v>
      </c>
      <c r="M68" s="7" t="s">
        <v>2777</v>
      </c>
      <c r="N68" s="7" t="s">
        <v>2819</v>
      </c>
      <c r="O68" s="7" t="s">
        <v>4075</v>
      </c>
      <c r="P68" s="7">
        <v>70.5</v>
      </c>
      <c r="Q68" s="7"/>
      <c r="R68" s="7">
        <f t="shared" si="1"/>
        <v>67</v>
      </c>
    </row>
    <row r="69" ht="15.75" customHeight="1">
      <c r="A69" s="7">
        <v>68.0</v>
      </c>
      <c r="B69" s="7" t="s">
        <v>3816</v>
      </c>
      <c r="C69" s="7">
        <v>1.0</v>
      </c>
      <c r="D69" s="7" t="s">
        <v>4935</v>
      </c>
      <c r="E69" s="7"/>
      <c r="F69" s="7">
        <v>90.0</v>
      </c>
      <c r="G69" s="7">
        <v>130.0</v>
      </c>
      <c r="H69" s="7">
        <v>80.0</v>
      </c>
      <c r="I69" s="7">
        <v>65.0</v>
      </c>
      <c r="J69" s="7">
        <v>65.0</v>
      </c>
      <c r="K69" s="7">
        <v>85.0</v>
      </c>
      <c r="L69" s="7">
        <v>55.0</v>
      </c>
      <c r="M69" s="7" t="s">
        <v>2777</v>
      </c>
      <c r="N69" s="7" t="s">
        <v>2819</v>
      </c>
      <c r="O69" s="7" t="s">
        <v>4075</v>
      </c>
      <c r="P69" s="7">
        <v>130.0</v>
      </c>
      <c r="Q69" s="7"/>
      <c r="R69" s="7">
        <f t="shared" si="1"/>
        <v>68</v>
      </c>
    </row>
    <row r="70" ht="15.75" customHeight="1">
      <c r="A70" s="7">
        <v>69.0</v>
      </c>
      <c r="B70" s="7" t="s">
        <v>4939</v>
      </c>
      <c r="C70" s="7">
        <v>1.0</v>
      </c>
      <c r="D70" s="7" t="s">
        <v>4904</v>
      </c>
      <c r="E70" s="7" t="s">
        <v>4905</v>
      </c>
      <c r="F70" s="7">
        <v>50.0</v>
      </c>
      <c r="G70" s="7">
        <v>75.0</v>
      </c>
      <c r="H70" s="7">
        <v>35.0</v>
      </c>
      <c r="I70" s="7">
        <v>70.0</v>
      </c>
      <c r="J70" s="7">
        <v>70.0</v>
      </c>
      <c r="K70" s="7">
        <v>30.0</v>
      </c>
      <c r="L70" s="7">
        <v>40.0</v>
      </c>
      <c r="M70" s="7" t="s">
        <v>2701</v>
      </c>
      <c r="N70" s="7"/>
      <c r="O70" s="7" t="s">
        <v>3207</v>
      </c>
      <c r="P70" s="7">
        <v>4.0</v>
      </c>
      <c r="Q70" s="7"/>
      <c r="R70" s="7">
        <f t="shared" si="1"/>
        <v>69</v>
      </c>
    </row>
    <row r="71" ht="15.75" customHeight="1">
      <c r="A71" s="7">
        <v>70.0</v>
      </c>
      <c r="B71" s="7" t="s">
        <v>3205</v>
      </c>
      <c r="C71" s="7">
        <v>1.0</v>
      </c>
      <c r="D71" s="7" t="s">
        <v>4904</v>
      </c>
      <c r="E71" s="7" t="s">
        <v>4905</v>
      </c>
      <c r="F71" s="7">
        <v>65.0</v>
      </c>
      <c r="G71" s="7">
        <v>90.0</v>
      </c>
      <c r="H71" s="7">
        <v>50.0</v>
      </c>
      <c r="I71" s="7">
        <v>85.0</v>
      </c>
      <c r="J71" s="7">
        <v>85.0</v>
      </c>
      <c r="K71" s="7">
        <v>45.0</v>
      </c>
      <c r="L71" s="7">
        <v>55.0</v>
      </c>
      <c r="M71" s="7" t="s">
        <v>2701</v>
      </c>
      <c r="N71" s="7"/>
      <c r="O71" s="7" t="s">
        <v>3207</v>
      </c>
      <c r="P71" s="7">
        <v>6.4</v>
      </c>
      <c r="Q71" s="7"/>
      <c r="R71" s="7">
        <f t="shared" si="1"/>
        <v>70</v>
      </c>
    </row>
    <row r="72" ht="15.75" customHeight="1">
      <c r="A72" s="7">
        <v>71.0</v>
      </c>
      <c r="B72" s="7" t="s">
        <v>3684</v>
      </c>
      <c r="C72" s="7">
        <v>1.0</v>
      </c>
      <c r="D72" s="7" t="s">
        <v>4904</v>
      </c>
      <c r="E72" s="7" t="s">
        <v>4905</v>
      </c>
      <c r="F72" s="7">
        <v>80.0</v>
      </c>
      <c r="G72" s="7">
        <v>105.0</v>
      </c>
      <c r="H72" s="7">
        <v>65.0</v>
      </c>
      <c r="I72" s="7">
        <v>100.0</v>
      </c>
      <c r="J72" s="7">
        <v>100.0</v>
      </c>
      <c r="K72" s="7">
        <f>IF($A$1&lt;6,60,70)</f>
        <v>70</v>
      </c>
      <c r="L72" s="7">
        <v>70.0</v>
      </c>
      <c r="M72" s="7" t="s">
        <v>2701</v>
      </c>
      <c r="N72" s="7"/>
      <c r="O72" s="7" t="s">
        <v>3207</v>
      </c>
      <c r="P72" s="7">
        <v>15.5</v>
      </c>
      <c r="Q72" s="7"/>
      <c r="R72" s="7">
        <f t="shared" si="1"/>
        <v>71</v>
      </c>
    </row>
    <row r="73" ht="15.75" customHeight="1">
      <c r="A73" s="7">
        <v>72.0</v>
      </c>
      <c r="B73" s="7" t="s">
        <v>3051</v>
      </c>
      <c r="C73" s="7">
        <v>1.0</v>
      </c>
      <c r="D73" s="7" t="s">
        <v>4908</v>
      </c>
      <c r="E73" s="7" t="s">
        <v>4905</v>
      </c>
      <c r="F73" s="7">
        <v>40.0</v>
      </c>
      <c r="G73" s="7">
        <v>40.0</v>
      </c>
      <c r="H73" s="7">
        <v>35.0</v>
      </c>
      <c r="I73" s="7">
        <v>100.0</v>
      </c>
      <c r="J73" s="7">
        <v>50.0</v>
      </c>
      <c r="K73" s="7">
        <v>100.0</v>
      </c>
      <c r="L73" s="7">
        <v>70.0</v>
      </c>
      <c r="M73" s="7" t="s">
        <v>3370</v>
      </c>
      <c r="N73" s="7" t="s">
        <v>3053</v>
      </c>
      <c r="O73" s="7" t="s">
        <v>3996</v>
      </c>
      <c r="P73" s="7">
        <v>45.5</v>
      </c>
      <c r="Q73" s="7"/>
      <c r="R73" s="7">
        <f t="shared" si="1"/>
        <v>72</v>
      </c>
    </row>
    <row r="74" ht="15.75" customHeight="1">
      <c r="A74" s="7">
        <v>73.0</v>
      </c>
      <c r="B74" s="7" t="s">
        <v>3834</v>
      </c>
      <c r="C74" s="7">
        <v>1.0</v>
      </c>
      <c r="D74" s="7" t="s">
        <v>4908</v>
      </c>
      <c r="E74" s="7" t="s">
        <v>4905</v>
      </c>
      <c r="F74" s="7">
        <v>80.0</v>
      </c>
      <c r="G74" s="7">
        <v>70.0</v>
      </c>
      <c r="H74" s="7">
        <v>65.0</v>
      </c>
      <c r="I74" s="7">
        <v>120.0</v>
      </c>
      <c r="J74" s="7">
        <v>80.0</v>
      </c>
      <c r="K74" s="7">
        <v>120.0</v>
      </c>
      <c r="L74" s="7">
        <v>100.0</v>
      </c>
      <c r="M74" s="7" t="s">
        <v>3370</v>
      </c>
      <c r="N74" s="7" t="s">
        <v>3053</v>
      </c>
      <c r="O74" s="7" t="s">
        <v>3996</v>
      </c>
      <c r="P74" s="7">
        <v>55.0</v>
      </c>
      <c r="Q74" s="7"/>
      <c r="R74" s="7">
        <f t="shared" si="1"/>
        <v>73</v>
      </c>
    </row>
    <row r="75" ht="15.75" customHeight="1">
      <c r="A75" s="7">
        <v>74.0</v>
      </c>
      <c r="B75" s="7" t="s">
        <v>2755</v>
      </c>
      <c r="C75" s="7">
        <v>1.0</v>
      </c>
      <c r="D75" s="7" t="s">
        <v>4940</v>
      </c>
      <c r="E75" s="7" t="s">
        <v>4922</v>
      </c>
      <c r="F75" s="7">
        <v>40.0</v>
      </c>
      <c r="G75" s="7">
        <v>80.0</v>
      </c>
      <c r="H75" s="7">
        <v>100.0</v>
      </c>
      <c r="I75" s="7">
        <v>30.0</v>
      </c>
      <c r="J75" s="7">
        <v>30.0</v>
      </c>
      <c r="K75" s="7">
        <v>30.0</v>
      </c>
      <c r="L75" s="7">
        <v>20.0</v>
      </c>
      <c r="M75" s="7" t="s">
        <v>2792</v>
      </c>
      <c r="N75" s="7" t="s">
        <v>2728</v>
      </c>
      <c r="O75" s="7" t="s">
        <v>4005</v>
      </c>
      <c r="P75" s="7">
        <v>20.0</v>
      </c>
      <c r="Q75" s="7"/>
      <c r="R75" s="7">
        <f t="shared" si="1"/>
        <v>74</v>
      </c>
    </row>
    <row r="76" ht="15.75" customHeight="1">
      <c r="A76" s="7">
        <v>75.0</v>
      </c>
      <c r="B76" s="7" t="s">
        <v>3209</v>
      </c>
      <c r="C76" s="7">
        <v>1.0</v>
      </c>
      <c r="D76" s="7" t="s">
        <v>4940</v>
      </c>
      <c r="E76" s="7" t="s">
        <v>4922</v>
      </c>
      <c r="F76" s="7">
        <v>55.0</v>
      </c>
      <c r="G76" s="7">
        <v>95.0</v>
      </c>
      <c r="H76" s="7">
        <v>115.0</v>
      </c>
      <c r="I76" s="7">
        <v>45.0</v>
      </c>
      <c r="J76" s="7">
        <v>45.0</v>
      </c>
      <c r="K76" s="7">
        <v>45.0</v>
      </c>
      <c r="L76" s="7">
        <v>35.0</v>
      </c>
      <c r="M76" s="7" t="s">
        <v>2792</v>
      </c>
      <c r="N76" s="7" t="s">
        <v>2728</v>
      </c>
      <c r="O76" s="7" t="s">
        <v>4005</v>
      </c>
      <c r="P76" s="7">
        <v>105.0</v>
      </c>
      <c r="Q76" s="7"/>
      <c r="R76" s="7">
        <f t="shared" si="1"/>
        <v>75</v>
      </c>
    </row>
    <row r="77" ht="15.75" customHeight="1">
      <c r="A77" s="7">
        <v>76.0</v>
      </c>
      <c r="B77" s="7" t="s">
        <v>3712</v>
      </c>
      <c r="C77" s="7">
        <v>1.0</v>
      </c>
      <c r="D77" s="7" t="s">
        <v>4940</v>
      </c>
      <c r="E77" s="7" t="s">
        <v>4922</v>
      </c>
      <c r="F77" s="7">
        <v>80.0</v>
      </c>
      <c r="G77" s="7">
        <f>IF($A$1&lt;6,110,120)</f>
        <v>120</v>
      </c>
      <c r="H77" s="7">
        <v>130.0</v>
      </c>
      <c r="I77" s="7">
        <v>55.0</v>
      </c>
      <c r="J77" s="7">
        <v>55.0</v>
      </c>
      <c r="K77" s="7">
        <v>65.0</v>
      </c>
      <c r="L77" s="7">
        <v>45.0</v>
      </c>
      <c r="M77" s="7" t="s">
        <v>2792</v>
      </c>
      <c r="N77" s="7" t="s">
        <v>2728</v>
      </c>
      <c r="O77" s="7" t="s">
        <v>4005</v>
      </c>
      <c r="P77" s="7">
        <v>300.0</v>
      </c>
      <c r="Q77" s="7"/>
      <c r="R77" s="7">
        <f t="shared" si="1"/>
        <v>76</v>
      </c>
    </row>
    <row r="78" ht="15.75" customHeight="1">
      <c r="A78" s="7">
        <v>77.0</v>
      </c>
      <c r="B78" s="7" t="s">
        <v>3281</v>
      </c>
      <c r="C78" s="7">
        <v>1.0</v>
      </c>
      <c r="D78" s="7" t="s">
        <v>4906</v>
      </c>
      <c r="E78" s="7"/>
      <c r="F78" s="7">
        <v>50.0</v>
      </c>
      <c r="G78" s="7">
        <v>85.0</v>
      </c>
      <c r="H78" s="7">
        <v>55.0</v>
      </c>
      <c r="I78" s="7">
        <v>65.0</v>
      </c>
      <c r="J78" s="7">
        <v>65.0</v>
      </c>
      <c r="K78" s="7">
        <v>65.0</v>
      </c>
      <c r="L78" s="7">
        <v>90.0</v>
      </c>
      <c r="M78" s="7" t="s">
        <v>4911</v>
      </c>
      <c r="N78" s="7" t="s">
        <v>3016</v>
      </c>
      <c r="O78" s="7" t="s">
        <v>3162</v>
      </c>
      <c r="P78" s="7">
        <v>30.0</v>
      </c>
      <c r="Q78" s="7"/>
      <c r="R78" s="7">
        <f t="shared" si="1"/>
        <v>77</v>
      </c>
    </row>
    <row r="79" ht="15.75" customHeight="1">
      <c r="A79" s="7">
        <v>78.0</v>
      </c>
      <c r="B79" s="7" t="s">
        <v>3770</v>
      </c>
      <c r="C79" s="7">
        <v>1.0</v>
      </c>
      <c r="D79" s="7" t="s">
        <v>4906</v>
      </c>
      <c r="E79" s="7"/>
      <c r="F79" s="7">
        <v>65.0</v>
      </c>
      <c r="G79" s="7">
        <v>100.0</v>
      </c>
      <c r="H79" s="7">
        <v>70.0</v>
      </c>
      <c r="I79" s="7">
        <v>80.0</v>
      </c>
      <c r="J79" s="7">
        <v>80.0</v>
      </c>
      <c r="K79" s="7">
        <v>80.0</v>
      </c>
      <c r="L79" s="7">
        <v>105.0</v>
      </c>
      <c r="M79" s="7" t="s">
        <v>4911</v>
      </c>
      <c r="N79" s="7" t="s">
        <v>3016</v>
      </c>
      <c r="O79" s="7" t="s">
        <v>3162</v>
      </c>
      <c r="P79" s="7">
        <v>95.0</v>
      </c>
      <c r="Q79" s="7"/>
      <c r="R79" s="7">
        <f t="shared" si="1"/>
        <v>78</v>
      </c>
    </row>
    <row r="80" ht="15.75" customHeight="1">
      <c r="A80" s="7">
        <v>79.0</v>
      </c>
      <c r="B80" s="7" t="s">
        <v>2933</v>
      </c>
      <c r="C80" s="7">
        <v>1.0</v>
      </c>
      <c r="D80" s="7" t="s">
        <v>4908</v>
      </c>
      <c r="E80" s="7" t="s">
        <v>2659</v>
      </c>
      <c r="F80" s="7">
        <v>90.0</v>
      </c>
      <c r="G80" s="7">
        <v>65.0</v>
      </c>
      <c r="H80" s="7">
        <v>65.0</v>
      </c>
      <c r="I80" s="7">
        <v>40.0</v>
      </c>
      <c r="J80" s="7">
        <v>40.0</v>
      </c>
      <c r="K80" s="7">
        <v>40.0</v>
      </c>
      <c r="L80" s="7">
        <v>15.0</v>
      </c>
      <c r="M80" s="7" t="s">
        <v>2824</v>
      </c>
      <c r="N80" s="7" t="s">
        <v>3145</v>
      </c>
      <c r="O80" s="7" t="s">
        <v>3404</v>
      </c>
      <c r="P80" s="7">
        <v>36.0</v>
      </c>
      <c r="Q80" s="7"/>
      <c r="R80" s="7">
        <f t="shared" si="1"/>
        <v>79</v>
      </c>
    </row>
    <row r="81" ht="15.75" customHeight="1">
      <c r="A81" s="7">
        <v>80.0</v>
      </c>
      <c r="B81" s="7" t="s">
        <v>3717</v>
      </c>
      <c r="C81" s="7">
        <v>1.0</v>
      </c>
      <c r="D81" s="7" t="s">
        <v>4908</v>
      </c>
      <c r="E81" s="7" t="s">
        <v>2659</v>
      </c>
      <c r="F81" s="7">
        <v>95.0</v>
      </c>
      <c r="G81" s="7">
        <v>75.0</v>
      </c>
      <c r="H81" s="7">
        <v>110.0</v>
      </c>
      <c r="I81" s="7">
        <v>80.0</v>
      </c>
      <c r="J81" s="7">
        <v>100.0</v>
      </c>
      <c r="K81" s="7">
        <v>80.0</v>
      </c>
      <c r="L81" s="7">
        <v>30.0</v>
      </c>
      <c r="M81" s="7" t="s">
        <v>2824</v>
      </c>
      <c r="N81" s="7" t="s">
        <v>3145</v>
      </c>
      <c r="O81" s="7" t="s">
        <v>3404</v>
      </c>
      <c r="P81" s="7">
        <v>78.5</v>
      </c>
      <c r="Q81" s="7"/>
      <c r="R81" s="7">
        <f t="shared" si="1"/>
        <v>80</v>
      </c>
    </row>
    <row r="82" ht="15.75" customHeight="1">
      <c r="A82" s="7">
        <v>81.0</v>
      </c>
      <c r="B82" s="7" t="s">
        <v>2960</v>
      </c>
      <c r="C82" s="7">
        <v>1.0</v>
      </c>
      <c r="D82" s="7" t="s">
        <v>4921</v>
      </c>
      <c r="E82" s="7" t="str">
        <f t="shared" ref="E82:E83" si="4">IF($A$1&lt;2,"","Steel")</f>
        <v>Steel</v>
      </c>
      <c r="F82" s="7">
        <v>25.0</v>
      </c>
      <c r="G82" s="7">
        <v>35.0</v>
      </c>
      <c r="H82" s="7">
        <v>70.0</v>
      </c>
      <c r="I82" s="7">
        <v>95.0</v>
      </c>
      <c r="J82" s="7">
        <v>95.0</v>
      </c>
      <c r="K82" s="7">
        <v>55.0</v>
      </c>
      <c r="L82" s="7">
        <v>45.0</v>
      </c>
      <c r="M82" s="7" t="s">
        <v>4941</v>
      </c>
      <c r="N82" s="7" t="s">
        <v>2728</v>
      </c>
      <c r="O82" s="7" t="s">
        <v>3841</v>
      </c>
      <c r="P82" s="7">
        <v>6.0</v>
      </c>
      <c r="Q82" s="7"/>
      <c r="R82" s="7">
        <f t="shared" si="1"/>
        <v>81</v>
      </c>
    </row>
    <row r="83" ht="15.75" customHeight="1">
      <c r="A83" s="7">
        <v>82.0</v>
      </c>
      <c r="B83" s="7" t="s">
        <v>3521</v>
      </c>
      <c r="C83" s="7">
        <v>1.0</v>
      </c>
      <c r="D83" s="7" t="s">
        <v>4921</v>
      </c>
      <c r="E83" s="7" t="str">
        <f t="shared" si="4"/>
        <v>Steel</v>
      </c>
      <c r="F83" s="7">
        <v>50.0</v>
      </c>
      <c r="G83" s="7">
        <v>60.0</v>
      </c>
      <c r="H83" s="7">
        <v>95.0</v>
      </c>
      <c r="I83" s="7">
        <v>120.0</v>
      </c>
      <c r="J83" s="7">
        <v>120.0</v>
      </c>
      <c r="K83" s="7">
        <v>70.0</v>
      </c>
      <c r="L83" s="7">
        <v>70.0</v>
      </c>
      <c r="M83" s="7" t="s">
        <v>4941</v>
      </c>
      <c r="N83" s="7" t="s">
        <v>2728</v>
      </c>
      <c r="O83" s="7" t="s">
        <v>3841</v>
      </c>
      <c r="P83" s="7">
        <v>60.0</v>
      </c>
      <c r="Q83" s="7"/>
      <c r="R83" s="7">
        <f t="shared" si="1"/>
        <v>82</v>
      </c>
    </row>
    <row r="84" ht="15.75" customHeight="1">
      <c r="A84" s="7">
        <v>83.0</v>
      </c>
      <c r="B84" s="7" t="s">
        <v>3111</v>
      </c>
      <c r="C84" s="7">
        <v>1.0</v>
      </c>
      <c r="D84" s="7" t="s">
        <v>4916</v>
      </c>
      <c r="E84" s="7" t="s">
        <v>4907</v>
      </c>
      <c r="F84" s="7">
        <v>52.0</v>
      </c>
      <c r="G84" s="7">
        <f>IF($A$1&lt;7,65,90)</f>
        <v>90</v>
      </c>
      <c r="H84" s="7">
        <v>55.0</v>
      </c>
      <c r="I84" s="7">
        <v>58.0</v>
      </c>
      <c r="J84" s="7">
        <v>58.0</v>
      </c>
      <c r="K84" s="7">
        <v>62.0</v>
      </c>
      <c r="L84" s="7">
        <v>60.0</v>
      </c>
      <c r="M84" s="7" t="s">
        <v>2677</v>
      </c>
      <c r="N84" s="7" t="s">
        <v>3233</v>
      </c>
      <c r="O84" s="7" t="s">
        <v>3114</v>
      </c>
      <c r="P84" s="7">
        <v>15.0</v>
      </c>
      <c r="Q84" s="7"/>
      <c r="R84" s="7">
        <f t="shared" si="1"/>
        <v>83</v>
      </c>
    </row>
    <row r="85" ht="15.75" customHeight="1">
      <c r="A85" s="7">
        <v>84.0</v>
      </c>
      <c r="B85" s="7" t="s">
        <v>2839</v>
      </c>
      <c r="C85" s="7">
        <v>1.0</v>
      </c>
      <c r="D85" s="7" t="s">
        <v>4916</v>
      </c>
      <c r="E85" s="7" t="s">
        <v>4907</v>
      </c>
      <c r="F85" s="7">
        <v>35.0</v>
      </c>
      <c r="G85" s="7">
        <v>85.0</v>
      </c>
      <c r="H85" s="7">
        <v>45.0</v>
      </c>
      <c r="I85" s="7">
        <v>35.0</v>
      </c>
      <c r="J85" s="7">
        <v>35.0</v>
      </c>
      <c r="K85" s="7">
        <v>35.0</v>
      </c>
      <c r="L85" s="7">
        <v>75.0</v>
      </c>
      <c r="M85" s="7" t="s">
        <v>4911</v>
      </c>
      <c r="N85" s="7" t="s">
        <v>2842</v>
      </c>
      <c r="O85" s="7" t="s">
        <v>4917</v>
      </c>
      <c r="P85" s="7">
        <v>39.2</v>
      </c>
      <c r="Q85" s="7"/>
      <c r="R85" s="7">
        <f t="shared" si="1"/>
        <v>84</v>
      </c>
    </row>
    <row r="86" ht="15.75" customHeight="1">
      <c r="A86" s="7">
        <v>85.0</v>
      </c>
      <c r="B86" s="7" t="s">
        <v>3509</v>
      </c>
      <c r="C86" s="7">
        <v>1.0</v>
      </c>
      <c r="D86" s="7" t="s">
        <v>4916</v>
      </c>
      <c r="E86" s="7" t="s">
        <v>4907</v>
      </c>
      <c r="F86" s="7">
        <v>60.0</v>
      </c>
      <c r="G86" s="7">
        <v>110.0</v>
      </c>
      <c r="H86" s="7">
        <v>70.0</v>
      </c>
      <c r="I86" s="7">
        <v>60.0</v>
      </c>
      <c r="J86" s="7">
        <v>60.0</v>
      </c>
      <c r="K86" s="7">
        <v>60.0</v>
      </c>
      <c r="L86" s="7">
        <f>IF($A$1&lt;7,100,110)</f>
        <v>110</v>
      </c>
      <c r="M86" s="7" t="s">
        <v>4911</v>
      </c>
      <c r="N86" s="7" t="s">
        <v>2842</v>
      </c>
      <c r="O86" s="7" t="s">
        <v>4917</v>
      </c>
      <c r="P86" s="7">
        <v>85.2</v>
      </c>
      <c r="Q86" s="7"/>
      <c r="R86" s="7">
        <f t="shared" si="1"/>
        <v>85</v>
      </c>
    </row>
    <row r="87" ht="15.75" customHeight="1">
      <c r="A87" s="7">
        <v>86.0</v>
      </c>
      <c r="B87" s="7" t="s">
        <v>2964</v>
      </c>
      <c r="C87" s="7">
        <v>1.0</v>
      </c>
      <c r="D87" s="7" t="s">
        <v>4908</v>
      </c>
      <c r="E87" s="7"/>
      <c r="F87" s="7">
        <v>65.0</v>
      </c>
      <c r="G87" s="7">
        <v>45.0</v>
      </c>
      <c r="H87" s="7">
        <v>55.0</v>
      </c>
      <c r="I87" s="7">
        <v>70.0</v>
      </c>
      <c r="J87" s="7">
        <v>45.0</v>
      </c>
      <c r="K87" s="7">
        <v>70.0</v>
      </c>
      <c r="L87" s="7">
        <v>45.0</v>
      </c>
      <c r="M87" s="7" t="s">
        <v>2968</v>
      </c>
      <c r="N87" s="7" t="s">
        <v>3662</v>
      </c>
      <c r="O87" s="7" t="s">
        <v>3328</v>
      </c>
      <c r="P87" s="7">
        <v>90.0</v>
      </c>
      <c r="Q87" s="7"/>
      <c r="R87" s="7">
        <f t="shared" si="1"/>
        <v>86</v>
      </c>
    </row>
    <row r="88" ht="15.75" customHeight="1">
      <c r="A88" s="7">
        <v>87.0</v>
      </c>
      <c r="B88" s="7" t="s">
        <v>3672</v>
      </c>
      <c r="C88" s="7">
        <v>1.0</v>
      </c>
      <c r="D88" s="7" t="s">
        <v>4908</v>
      </c>
      <c r="E88" s="7" t="s">
        <v>4942</v>
      </c>
      <c r="F88" s="7">
        <v>90.0</v>
      </c>
      <c r="G88" s="7">
        <v>70.0</v>
      </c>
      <c r="H88" s="7">
        <v>80.0</v>
      </c>
      <c r="I88" s="7">
        <v>95.0</v>
      </c>
      <c r="J88" s="7">
        <v>70.0</v>
      </c>
      <c r="K88" s="7">
        <v>95.0</v>
      </c>
      <c r="L88" s="7">
        <v>70.0</v>
      </c>
      <c r="M88" s="7" t="s">
        <v>2968</v>
      </c>
      <c r="N88" s="7" t="s">
        <v>3662</v>
      </c>
      <c r="O88" s="7" t="s">
        <v>3328</v>
      </c>
      <c r="P88" s="7">
        <v>120.0</v>
      </c>
      <c r="Q88" s="7"/>
      <c r="R88" s="7">
        <f t="shared" si="1"/>
        <v>87</v>
      </c>
    </row>
    <row r="89" ht="15.75" customHeight="1">
      <c r="A89" s="7">
        <v>88.0</v>
      </c>
      <c r="B89" s="7" t="s">
        <v>2970</v>
      </c>
      <c r="C89" s="7">
        <v>1.0</v>
      </c>
      <c r="D89" s="7" t="s">
        <v>4905</v>
      </c>
      <c r="E89" s="7"/>
      <c r="F89" s="7">
        <v>80.0</v>
      </c>
      <c r="G89" s="7">
        <v>80.0</v>
      </c>
      <c r="H89" s="7">
        <v>50.0</v>
      </c>
      <c r="I89" s="7">
        <v>40.0</v>
      </c>
      <c r="J89" s="7">
        <v>40.0</v>
      </c>
      <c r="K89" s="7">
        <v>50.0</v>
      </c>
      <c r="L89" s="7">
        <v>25.0</v>
      </c>
      <c r="M89" s="7" t="s">
        <v>2973</v>
      </c>
      <c r="N89" s="7" t="s">
        <v>3532</v>
      </c>
      <c r="O89" s="7" t="s">
        <v>2808</v>
      </c>
      <c r="P89" s="7">
        <v>30.0</v>
      </c>
      <c r="Q89" s="7"/>
      <c r="R89" s="7">
        <f t="shared" si="1"/>
        <v>88</v>
      </c>
    </row>
    <row r="90" ht="15.75" customHeight="1">
      <c r="A90" s="7">
        <v>89.0</v>
      </c>
      <c r="B90" s="7" t="s">
        <v>3772</v>
      </c>
      <c r="C90" s="7">
        <v>1.0</v>
      </c>
      <c r="D90" s="7" t="s">
        <v>4905</v>
      </c>
      <c r="E90" s="7"/>
      <c r="F90" s="7">
        <v>105.0</v>
      </c>
      <c r="G90" s="7">
        <v>105.0</v>
      </c>
      <c r="H90" s="7">
        <v>75.0</v>
      </c>
      <c r="I90" s="7">
        <v>65.0</v>
      </c>
      <c r="J90" s="7">
        <v>65.0</v>
      </c>
      <c r="K90" s="7">
        <v>100.0</v>
      </c>
      <c r="L90" s="7">
        <v>50.0</v>
      </c>
      <c r="M90" s="7" t="s">
        <v>2973</v>
      </c>
      <c r="N90" s="7" t="s">
        <v>3532</v>
      </c>
      <c r="O90" s="7" t="s">
        <v>2808</v>
      </c>
      <c r="P90" s="7">
        <v>30.0</v>
      </c>
      <c r="Q90" s="7"/>
      <c r="R90" s="7">
        <f t="shared" si="1"/>
        <v>89</v>
      </c>
    </row>
    <row r="91" ht="15.75" customHeight="1">
      <c r="A91" s="7">
        <v>90.0</v>
      </c>
      <c r="B91" s="7" t="s">
        <v>4943</v>
      </c>
      <c r="C91" s="7">
        <v>1.0</v>
      </c>
      <c r="D91" s="7" t="s">
        <v>4908</v>
      </c>
      <c r="E91" s="7"/>
      <c r="F91" s="7">
        <v>30.0</v>
      </c>
      <c r="G91" s="7">
        <v>65.0</v>
      </c>
      <c r="H91" s="7">
        <v>100.0</v>
      </c>
      <c r="I91" s="7">
        <v>45.0</v>
      </c>
      <c r="J91" s="7">
        <v>45.0</v>
      </c>
      <c r="K91" s="7">
        <v>25.0</v>
      </c>
      <c r="L91" s="7">
        <v>40.0</v>
      </c>
      <c r="M91" s="7" t="s">
        <v>3088</v>
      </c>
      <c r="N91" s="7" t="s">
        <v>3131</v>
      </c>
      <c r="O91" s="7" t="s">
        <v>3367</v>
      </c>
      <c r="P91" s="7">
        <v>4.0</v>
      </c>
      <c r="Q91" s="7"/>
      <c r="R91" s="7">
        <f t="shared" si="1"/>
        <v>90</v>
      </c>
    </row>
    <row r="92" ht="15.75" customHeight="1">
      <c r="A92" s="7">
        <v>91.0</v>
      </c>
      <c r="B92" s="7" t="s">
        <v>3582</v>
      </c>
      <c r="C92" s="7">
        <v>1.0</v>
      </c>
      <c r="D92" s="7" t="s">
        <v>4908</v>
      </c>
      <c r="E92" s="7" t="s">
        <v>4942</v>
      </c>
      <c r="F92" s="7">
        <v>50.0</v>
      </c>
      <c r="G92" s="7">
        <v>95.0</v>
      </c>
      <c r="H92" s="7">
        <v>180.0</v>
      </c>
      <c r="I92" s="7">
        <v>85.0</v>
      </c>
      <c r="J92" s="7">
        <v>85.0</v>
      </c>
      <c r="K92" s="7">
        <v>45.0</v>
      </c>
      <c r="L92" s="7">
        <v>70.0</v>
      </c>
      <c r="M92" s="7" t="s">
        <v>3088</v>
      </c>
      <c r="N92" s="7" t="s">
        <v>3131</v>
      </c>
      <c r="O92" s="7" t="s">
        <v>3367</v>
      </c>
      <c r="P92" s="7">
        <v>132.5</v>
      </c>
      <c r="Q92" s="7"/>
      <c r="R92" s="7">
        <f t="shared" si="1"/>
        <v>91</v>
      </c>
    </row>
    <row r="93" ht="15.75" customHeight="1">
      <c r="A93" s="7">
        <v>92.0</v>
      </c>
      <c r="B93" s="7" t="s">
        <v>4944</v>
      </c>
      <c r="C93" s="7">
        <v>1.0</v>
      </c>
      <c r="D93" s="7" t="s">
        <v>4945</v>
      </c>
      <c r="E93" s="7" t="s">
        <v>4905</v>
      </c>
      <c r="F93" s="7">
        <v>30.0</v>
      </c>
      <c r="G93" s="7">
        <v>35.0</v>
      </c>
      <c r="H93" s="7">
        <v>30.0</v>
      </c>
      <c r="I93" s="7">
        <v>100.0</v>
      </c>
      <c r="J93" s="7">
        <v>100.0</v>
      </c>
      <c r="K93" s="7">
        <v>35.0</v>
      </c>
      <c r="L93" s="7">
        <v>80.0</v>
      </c>
      <c r="M93" s="7" t="s">
        <v>2714</v>
      </c>
      <c r="N93" s="7"/>
      <c r="O93" s="7"/>
      <c r="P93" s="7">
        <v>0.1</v>
      </c>
      <c r="Q93" s="7"/>
      <c r="R93" s="7">
        <f t="shared" si="1"/>
        <v>92</v>
      </c>
    </row>
    <row r="94" ht="15.75" customHeight="1">
      <c r="A94" s="7">
        <v>93.0</v>
      </c>
      <c r="B94" s="7" t="s">
        <v>3255</v>
      </c>
      <c r="C94" s="7">
        <v>1.0</v>
      </c>
      <c r="D94" s="7" t="s">
        <v>4945</v>
      </c>
      <c r="E94" s="7" t="s">
        <v>4905</v>
      </c>
      <c r="F94" s="7">
        <v>45.0</v>
      </c>
      <c r="G94" s="7">
        <v>50.0</v>
      </c>
      <c r="H94" s="7">
        <v>45.0</v>
      </c>
      <c r="I94" s="7">
        <v>115.0</v>
      </c>
      <c r="J94" s="7">
        <v>115.0</v>
      </c>
      <c r="K94" s="7">
        <v>55.0</v>
      </c>
      <c r="L94" s="7">
        <v>95.0</v>
      </c>
      <c r="M94" s="7" t="s">
        <v>2714</v>
      </c>
      <c r="N94" s="7"/>
      <c r="O94" s="7"/>
      <c r="P94" s="7">
        <v>0.1</v>
      </c>
      <c r="Q94" s="7"/>
      <c r="R94" s="7">
        <f t="shared" si="1"/>
        <v>93</v>
      </c>
    </row>
    <row r="95" ht="15.75" customHeight="1">
      <c r="A95" s="7">
        <v>94.0</v>
      </c>
      <c r="B95" s="7" t="s">
        <v>3774</v>
      </c>
      <c r="C95" s="7">
        <v>1.0</v>
      </c>
      <c r="D95" s="7" t="s">
        <v>4945</v>
      </c>
      <c r="E95" s="7" t="s">
        <v>4905</v>
      </c>
      <c r="F95" s="7">
        <v>60.0</v>
      </c>
      <c r="G95" s="7">
        <v>65.0</v>
      </c>
      <c r="H95" s="7">
        <v>60.0</v>
      </c>
      <c r="I95" s="7">
        <v>130.0</v>
      </c>
      <c r="J95" s="7">
        <v>130.0</v>
      </c>
      <c r="K95" s="7">
        <v>75.0</v>
      </c>
      <c r="L95" s="7">
        <v>110.0</v>
      </c>
      <c r="M95" s="7" t="str">
        <f>IF($A$1&lt;7,"Levitate","Cursed Body")</f>
        <v>Cursed Body</v>
      </c>
      <c r="N95" s="7"/>
      <c r="O95" s="7"/>
      <c r="P95" s="7">
        <v>40.5</v>
      </c>
      <c r="Q95" s="7"/>
      <c r="R95" s="7">
        <f t="shared" si="1"/>
        <v>94</v>
      </c>
    </row>
    <row r="96" ht="15.75" customHeight="1">
      <c r="A96" s="7">
        <v>95.0</v>
      </c>
      <c r="B96" s="7" t="s">
        <v>3193</v>
      </c>
      <c r="C96" s="7">
        <v>1.0</v>
      </c>
      <c r="D96" s="7" t="s">
        <v>4940</v>
      </c>
      <c r="E96" s="7" t="s">
        <v>4922</v>
      </c>
      <c r="F96" s="7">
        <v>35.0</v>
      </c>
      <c r="G96" s="7">
        <v>45.0</v>
      </c>
      <c r="H96" s="7">
        <v>160.0</v>
      </c>
      <c r="I96" s="7">
        <v>30.0</v>
      </c>
      <c r="J96" s="7">
        <v>30.0</v>
      </c>
      <c r="K96" s="7">
        <v>45.0</v>
      </c>
      <c r="L96" s="7">
        <v>70.0</v>
      </c>
      <c r="M96" s="7" t="s">
        <v>2792</v>
      </c>
      <c r="N96" s="7" t="s">
        <v>2728</v>
      </c>
      <c r="O96" s="7" t="s">
        <v>4148</v>
      </c>
      <c r="P96" s="7">
        <v>210.0</v>
      </c>
      <c r="Q96" s="7"/>
      <c r="R96" s="7">
        <f t="shared" si="1"/>
        <v>95</v>
      </c>
    </row>
    <row r="97" ht="15.75" customHeight="1">
      <c r="A97" s="7">
        <v>96.0</v>
      </c>
      <c r="B97" s="7" t="s">
        <v>2990</v>
      </c>
      <c r="C97" s="7">
        <v>1.0</v>
      </c>
      <c r="D97" s="7" t="s">
        <v>2659</v>
      </c>
      <c r="E97" s="7"/>
      <c r="F97" s="7">
        <v>60.0</v>
      </c>
      <c r="G97" s="7">
        <v>48.0</v>
      </c>
      <c r="H97" s="7">
        <v>45.0</v>
      </c>
      <c r="I97" s="7">
        <v>90.0</v>
      </c>
      <c r="J97" s="7">
        <v>43.0</v>
      </c>
      <c r="K97" s="7">
        <v>90.0</v>
      </c>
      <c r="L97" s="7">
        <v>42.0</v>
      </c>
      <c r="M97" s="7" t="s">
        <v>2735</v>
      </c>
      <c r="N97" s="7" t="s">
        <v>4946</v>
      </c>
      <c r="O97" s="7" t="s">
        <v>3233</v>
      </c>
      <c r="P97" s="7">
        <v>32.4</v>
      </c>
      <c r="Q97" s="7"/>
      <c r="R97" s="7">
        <f t="shared" si="1"/>
        <v>96</v>
      </c>
    </row>
    <row r="98" ht="15.75" customHeight="1">
      <c r="A98" s="7">
        <v>97.0</v>
      </c>
      <c r="B98" s="7" t="s">
        <v>3709</v>
      </c>
      <c r="C98" s="7">
        <v>1.0</v>
      </c>
      <c r="D98" s="7" t="s">
        <v>2659</v>
      </c>
      <c r="E98" s="7"/>
      <c r="F98" s="7">
        <v>85.0</v>
      </c>
      <c r="G98" s="7">
        <v>73.0</v>
      </c>
      <c r="H98" s="7">
        <v>70.0</v>
      </c>
      <c r="I98" s="7">
        <v>115.0</v>
      </c>
      <c r="J98" s="7">
        <v>73.0</v>
      </c>
      <c r="K98" s="7">
        <v>115.0</v>
      </c>
      <c r="L98" s="7">
        <v>67.0</v>
      </c>
      <c r="M98" s="7" t="s">
        <v>2735</v>
      </c>
      <c r="N98" s="7" t="s">
        <v>4946</v>
      </c>
      <c r="O98" s="7" t="s">
        <v>3233</v>
      </c>
      <c r="P98" s="7">
        <v>75.6</v>
      </c>
      <c r="Q98" s="7"/>
      <c r="R98" s="7">
        <f t="shared" si="1"/>
        <v>97</v>
      </c>
    </row>
    <row r="99" ht="15.75" customHeight="1">
      <c r="A99" s="7">
        <v>98.0</v>
      </c>
      <c r="B99" s="7" t="s">
        <v>2975</v>
      </c>
      <c r="C99" s="7">
        <v>1.0</v>
      </c>
      <c r="D99" s="7" t="s">
        <v>4908</v>
      </c>
      <c r="E99" s="7"/>
      <c r="F99" s="7">
        <v>30.0</v>
      </c>
      <c r="G99" s="7">
        <v>105.0</v>
      </c>
      <c r="H99" s="7">
        <v>90.0</v>
      </c>
      <c r="I99" s="7">
        <v>25.0</v>
      </c>
      <c r="J99" s="7">
        <v>25.0</v>
      </c>
      <c r="K99" s="7">
        <v>25.0</v>
      </c>
      <c r="L99" s="7">
        <v>50.0</v>
      </c>
      <c r="M99" s="7" t="s">
        <v>2978</v>
      </c>
      <c r="N99" s="7" t="s">
        <v>3088</v>
      </c>
      <c r="O99" s="7" t="s">
        <v>3745</v>
      </c>
      <c r="P99" s="7">
        <v>6.5</v>
      </c>
      <c r="Q99" s="7"/>
      <c r="R99" s="7">
        <f t="shared" si="1"/>
        <v>98</v>
      </c>
    </row>
    <row r="100" ht="15.75" customHeight="1">
      <c r="A100" s="7">
        <v>99.0</v>
      </c>
      <c r="B100" s="7" t="s">
        <v>3550</v>
      </c>
      <c r="C100" s="7">
        <v>1.0</v>
      </c>
      <c r="D100" s="7" t="s">
        <v>4908</v>
      </c>
      <c r="E100" s="7"/>
      <c r="F100" s="7">
        <v>55.0</v>
      </c>
      <c r="G100" s="7">
        <v>130.0</v>
      </c>
      <c r="H100" s="7">
        <v>115.0</v>
      </c>
      <c r="I100" s="7">
        <v>50.0</v>
      </c>
      <c r="J100" s="7">
        <v>50.0</v>
      </c>
      <c r="K100" s="7">
        <v>50.0</v>
      </c>
      <c r="L100" s="7">
        <v>75.0</v>
      </c>
      <c r="M100" s="7" t="s">
        <v>2978</v>
      </c>
      <c r="N100" s="7" t="s">
        <v>3088</v>
      </c>
      <c r="O100" s="7" t="s">
        <v>3745</v>
      </c>
      <c r="P100" s="7">
        <v>60.0</v>
      </c>
      <c r="Q100" s="7"/>
      <c r="R100" s="7">
        <f t="shared" si="1"/>
        <v>99</v>
      </c>
    </row>
    <row r="101" ht="15.75" customHeight="1">
      <c r="A101" s="7">
        <v>100.0</v>
      </c>
      <c r="B101" s="7" t="s">
        <v>2997</v>
      </c>
      <c r="C101" s="7">
        <v>1.0</v>
      </c>
      <c r="D101" s="7" t="s">
        <v>4921</v>
      </c>
      <c r="E101" s="7"/>
      <c r="F101" s="7">
        <v>40.0</v>
      </c>
      <c r="G101" s="7">
        <v>30.0</v>
      </c>
      <c r="H101" s="7">
        <v>50.0</v>
      </c>
      <c r="I101" s="7">
        <v>55.0</v>
      </c>
      <c r="J101" s="7">
        <v>55.0</v>
      </c>
      <c r="K101" s="7">
        <v>55.0</v>
      </c>
      <c r="L101" s="7">
        <v>100.0</v>
      </c>
      <c r="M101" s="7" t="s">
        <v>2931</v>
      </c>
      <c r="N101" s="7" t="s">
        <v>3136</v>
      </c>
      <c r="O101" s="7" t="s">
        <v>2995</v>
      </c>
      <c r="P101" s="7">
        <v>10.4</v>
      </c>
      <c r="Q101" s="7"/>
      <c r="R101" s="7">
        <f t="shared" si="1"/>
        <v>100</v>
      </c>
    </row>
    <row r="102" ht="15.75" customHeight="1">
      <c r="A102" s="7">
        <v>101.0</v>
      </c>
      <c r="B102" s="7" t="s">
        <v>3689</v>
      </c>
      <c r="C102" s="7">
        <v>1.0</v>
      </c>
      <c r="D102" s="7" t="s">
        <v>4921</v>
      </c>
      <c r="E102" s="7"/>
      <c r="F102" s="7">
        <v>60.0</v>
      </c>
      <c r="G102" s="7">
        <v>50.0</v>
      </c>
      <c r="H102" s="7">
        <v>70.0</v>
      </c>
      <c r="I102" s="7">
        <v>80.0</v>
      </c>
      <c r="J102" s="7">
        <v>80.0</v>
      </c>
      <c r="K102" s="7">
        <v>80.0</v>
      </c>
      <c r="L102" s="7">
        <f>IF($A$1&lt;7,140,150)</f>
        <v>150</v>
      </c>
      <c r="M102" s="7" t="s">
        <v>2931</v>
      </c>
      <c r="N102" s="7" t="s">
        <v>3136</v>
      </c>
      <c r="O102" s="7" t="s">
        <v>2995</v>
      </c>
      <c r="P102" s="7">
        <v>66.6</v>
      </c>
      <c r="Q102" s="7"/>
      <c r="R102" s="7">
        <f t="shared" si="1"/>
        <v>101</v>
      </c>
    </row>
    <row r="103" ht="15.75" customHeight="1">
      <c r="A103" s="7">
        <v>102.0</v>
      </c>
      <c r="B103" s="7" t="s">
        <v>2980</v>
      </c>
      <c r="C103" s="7">
        <v>1.0</v>
      </c>
      <c r="D103" s="7" t="s">
        <v>4904</v>
      </c>
      <c r="E103" s="7" t="s">
        <v>2659</v>
      </c>
      <c r="F103" s="7">
        <v>60.0</v>
      </c>
      <c r="G103" s="7">
        <v>40.0</v>
      </c>
      <c r="H103" s="7">
        <v>80.0</v>
      </c>
      <c r="I103" s="7">
        <v>60.0</v>
      </c>
      <c r="J103" s="7">
        <v>60.0</v>
      </c>
      <c r="K103" s="7">
        <v>45.0</v>
      </c>
      <c r="L103" s="7">
        <v>40.0</v>
      </c>
      <c r="M103" s="7" t="s">
        <v>2701</v>
      </c>
      <c r="N103" s="7"/>
      <c r="O103" s="7" t="s">
        <v>4368</v>
      </c>
      <c r="P103" s="7">
        <v>2.5</v>
      </c>
      <c r="Q103" s="7"/>
      <c r="R103" s="7">
        <f t="shared" si="1"/>
        <v>102</v>
      </c>
    </row>
    <row r="104" ht="15.75" customHeight="1">
      <c r="A104" s="7">
        <v>103.0</v>
      </c>
      <c r="B104" s="7" t="s">
        <v>3855</v>
      </c>
      <c r="C104" s="7">
        <v>1.0</v>
      </c>
      <c r="D104" s="7" t="s">
        <v>4904</v>
      </c>
      <c r="E104" s="7" t="s">
        <v>2659</v>
      </c>
      <c r="F104" s="7">
        <v>95.0</v>
      </c>
      <c r="G104" s="7">
        <v>95.0</v>
      </c>
      <c r="H104" s="7">
        <v>85.0</v>
      </c>
      <c r="I104" s="7">
        <v>125.0</v>
      </c>
      <c r="J104" s="7">
        <v>125.0</v>
      </c>
      <c r="K104" s="7">
        <f>IF($A$1&lt;7,65,75)</f>
        <v>75</v>
      </c>
      <c r="L104" s="7">
        <v>55.0</v>
      </c>
      <c r="M104" s="7" t="s">
        <v>2701</v>
      </c>
      <c r="N104" s="7"/>
      <c r="O104" s="7" t="s">
        <v>4368</v>
      </c>
      <c r="P104" s="7">
        <v>120.0</v>
      </c>
      <c r="Q104" s="7"/>
      <c r="R104" s="7">
        <f t="shared" si="1"/>
        <v>103</v>
      </c>
    </row>
    <row r="105" ht="15.75" customHeight="1">
      <c r="A105" s="7">
        <v>104.0</v>
      </c>
      <c r="B105" s="7" t="s">
        <v>2943</v>
      </c>
      <c r="C105" s="7">
        <v>1.0</v>
      </c>
      <c r="D105" s="7" t="s">
        <v>4922</v>
      </c>
      <c r="E105" s="7"/>
      <c r="F105" s="7">
        <v>50.0</v>
      </c>
      <c r="G105" s="7">
        <v>50.0</v>
      </c>
      <c r="H105" s="7">
        <v>95.0</v>
      </c>
      <c r="I105" s="7">
        <v>40.0</v>
      </c>
      <c r="J105" s="7">
        <v>40.0</v>
      </c>
      <c r="K105" s="7">
        <v>50.0</v>
      </c>
      <c r="L105" s="7">
        <v>35.0</v>
      </c>
      <c r="M105" s="7" t="s">
        <v>2792</v>
      </c>
      <c r="N105" s="7" t="s">
        <v>2747</v>
      </c>
      <c r="O105" s="7" t="s">
        <v>2945</v>
      </c>
      <c r="P105" s="7">
        <v>6.5</v>
      </c>
      <c r="Q105" s="7"/>
      <c r="R105" s="7">
        <f t="shared" si="1"/>
        <v>104</v>
      </c>
    </row>
    <row r="106" ht="15.75" customHeight="1">
      <c r="A106" s="7">
        <v>105.0</v>
      </c>
      <c r="B106" s="7" t="s">
        <v>3624</v>
      </c>
      <c r="C106" s="7">
        <v>1.0</v>
      </c>
      <c r="D106" s="7" t="s">
        <v>4922</v>
      </c>
      <c r="E106" s="7"/>
      <c r="F106" s="7">
        <v>60.0</v>
      </c>
      <c r="G106" s="7">
        <v>80.0</v>
      </c>
      <c r="H106" s="7">
        <v>110.0</v>
      </c>
      <c r="I106" s="7">
        <v>50.0</v>
      </c>
      <c r="J106" s="7">
        <v>50.0</v>
      </c>
      <c r="K106" s="7">
        <v>80.0</v>
      </c>
      <c r="L106" s="7">
        <v>45.0</v>
      </c>
      <c r="M106" s="7" t="s">
        <v>2792</v>
      </c>
      <c r="N106" s="7" t="s">
        <v>2747</v>
      </c>
      <c r="O106" s="7" t="s">
        <v>2945</v>
      </c>
      <c r="P106" s="7">
        <v>45.0</v>
      </c>
      <c r="Q106" s="7"/>
      <c r="R106" s="7">
        <f t="shared" si="1"/>
        <v>105</v>
      </c>
    </row>
    <row r="107" ht="15.75" customHeight="1">
      <c r="A107" s="7">
        <v>106.0</v>
      </c>
      <c r="B107" s="7" t="s">
        <v>3481</v>
      </c>
      <c r="C107" s="7">
        <v>1.0</v>
      </c>
      <c r="D107" s="7" t="s">
        <v>4935</v>
      </c>
      <c r="E107" s="7"/>
      <c r="F107" s="7">
        <v>50.0</v>
      </c>
      <c r="G107" s="7">
        <v>120.0</v>
      </c>
      <c r="H107" s="7">
        <v>53.0</v>
      </c>
      <c r="I107" s="7">
        <v>35.0</v>
      </c>
      <c r="J107" s="7">
        <v>35.0</v>
      </c>
      <c r="K107" s="7">
        <v>110.0</v>
      </c>
      <c r="L107" s="7">
        <v>87.0</v>
      </c>
      <c r="M107" s="7" t="s">
        <v>2853</v>
      </c>
      <c r="N107" s="7" t="s">
        <v>2891</v>
      </c>
      <c r="O107" s="7" t="s">
        <v>3763</v>
      </c>
      <c r="P107" s="7">
        <v>49.8</v>
      </c>
      <c r="Q107" s="7"/>
      <c r="R107" s="7">
        <f t="shared" si="1"/>
        <v>106</v>
      </c>
    </row>
    <row r="108" ht="15.75" customHeight="1">
      <c r="A108" s="7">
        <v>107.0</v>
      </c>
      <c r="B108" s="7" t="s">
        <v>3486</v>
      </c>
      <c r="C108" s="7">
        <v>1.0</v>
      </c>
      <c r="D108" s="7" t="s">
        <v>4935</v>
      </c>
      <c r="E108" s="7"/>
      <c r="F108" s="7">
        <v>50.0</v>
      </c>
      <c r="G108" s="7">
        <v>105.0</v>
      </c>
      <c r="H108" s="7">
        <v>79.0</v>
      </c>
      <c r="I108" s="7">
        <v>35.0</v>
      </c>
      <c r="J108" s="7">
        <v>35.0</v>
      </c>
      <c r="K108" s="7">
        <v>110.0</v>
      </c>
      <c r="L108" s="7">
        <v>76.0</v>
      </c>
      <c r="M108" s="7" t="s">
        <v>2677</v>
      </c>
      <c r="N108" s="7" t="s">
        <v>3487</v>
      </c>
      <c r="O108" s="7" t="s">
        <v>3233</v>
      </c>
      <c r="P108" s="7">
        <v>50.2</v>
      </c>
      <c r="Q108" s="7"/>
      <c r="R108" s="7">
        <f t="shared" si="1"/>
        <v>107</v>
      </c>
    </row>
    <row r="109" ht="15.75" customHeight="1">
      <c r="A109" s="7">
        <v>108.0</v>
      </c>
      <c r="B109" s="7" t="s">
        <v>3196</v>
      </c>
      <c r="C109" s="7">
        <v>1.0</v>
      </c>
      <c r="D109" s="7" t="s">
        <v>4916</v>
      </c>
      <c r="E109" s="7"/>
      <c r="F109" s="7">
        <v>90.0</v>
      </c>
      <c r="G109" s="7">
        <v>55.0</v>
      </c>
      <c r="H109" s="7">
        <v>75.0</v>
      </c>
      <c r="I109" s="7">
        <v>60.0</v>
      </c>
      <c r="J109" s="7">
        <v>60.0</v>
      </c>
      <c r="K109" s="7">
        <v>75.0</v>
      </c>
      <c r="L109" s="7">
        <v>30.0</v>
      </c>
      <c r="M109" s="7" t="s">
        <v>3145</v>
      </c>
      <c r="N109" s="7" t="s">
        <v>2824</v>
      </c>
      <c r="O109" s="7" t="s">
        <v>2849</v>
      </c>
      <c r="P109" s="7">
        <v>65.5</v>
      </c>
      <c r="Q109" s="7"/>
      <c r="R109" s="7">
        <f t="shared" si="1"/>
        <v>108</v>
      </c>
    </row>
    <row r="110" ht="15.75" customHeight="1">
      <c r="A110" s="7">
        <v>109.0</v>
      </c>
      <c r="B110" s="7" t="s">
        <v>3061</v>
      </c>
      <c r="C110" s="7">
        <v>1.0</v>
      </c>
      <c r="D110" s="7" t="s">
        <v>4905</v>
      </c>
      <c r="E110" s="7"/>
      <c r="F110" s="7">
        <v>40.0</v>
      </c>
      <c r="G110" s="7">
        <v>65.0</v>
      </c>
      <c r="H110" s="7">
        <v>95.0</v>
      </c>
      <c r="I110" s="7">
        <v>60.0</v>
      </c>
      <c r="J110" s="7">
        <v>60.0</v>
      </c>
      <c r="K110" s="7">
        <v>45.0</v>
      </c>
      <c r="L110" s="7">
        <v>35.0</v>
      </c>
      <c r="M110" s="7" t="s">
        <v>2714</v>
      </c>
      <c r="N110" s="7" t="str">
        <f t="shared" ref="N110:N111" si="5">IF($A$1&lt;8,"","Neutralizing Gas")</f>
        <v>Neutralizing Gas</v>
      </c>
      <c r="O110" s="7" t="str">
        <f t="shared" ref="O110:O111" si="6">IF($A$1&lt;8,"","Stench")</f>
        <v>Stench</v>
      </c>
      <c r="P110" s="7">
        <v>1.0</v>
      </c>
      <c r="Q110" s="7"/>
      <c r="R110" s="7">
        <f t="shared" si="1"/>
        <v>109</v>
      </c>
    </row>
    <row r="111" ht="15.75" customHeight="1">
      <c r="A111" s="7">
        <v>110.0</v>
      </c>
      <c r="B111" s="7" t="s">
        <v>3721</v>
      </c>
      <c r="C111" s="7">
        <v>1.0</v>
      </c>
      <c r="D111" s="7" t="s">
        <v>4905</v>
      </c>
      <c r="E111" s="7"/>
      <c r="F111" s="7">
        <v>65.0</v>
      </c>
      <c r="G111" s="7">
        <v>90.0</v>
      </c>
      <c r="H111" s="7">
        <v>120.0</v>
      </c>
      <c r="I111" s="7">
        <v>85.0</v>
      </c>
      <c r="J111" s="7">
        <v>85.0</v>
      </c>
      <c r="K111" s="7">
        <v>70.0</v>
      </c>
      <c r="L111" s="7">
        <v>60.0</v>
      </c>
      <c r="M111" s="7" t="s">
        <v>2714</v>
      </c>
      <c r="N111" s="7" t="str">
        <f t="shared" si="5"/>
        <v>Neutralizing Gas</v>
      </c>
      <c r="O111" s="7" t="str">
        <f t="shared" si="6"/>
        <v>Stench</v>
      </c>
      <c r="P111" s="7">
        <v>9.5</v>
      </c>
      <c r="Q111" s="7"/>
      <c r="R111" s="7">
        <f t="shared" si="1"/>
        <v>110</v>
      </c>
    </row>
    <row r="112" ht="15.75" customHeight="1">
      <c r="A112" s="7">
        <v>111.0</v>
      </c>
      <c r="B112" s="7" t="s">
        <v>3083</v>
      </c>
      <c r="C112" s="7">
        <v>1.0</v>
      </c>
      <c r="D112" s="7" t="s">
        <v>4940</v>
      </c>
      <c r="E112" s="7" t="s">
        <v>4922</v>
      </c>
      <c r="F112" s="7">
        <v>80.0</v>
      </c>
      <c r="G112" s="7">
        <v>85.0</v>
      </c>
      <c r="H112" s="7">
        <v>95.0</v>
      </c>
      <c r="I112" s="7">
        <v>30.0</v>
      </c>
      <c r="J112" s="7">
        <v>30.0</v>
      </c>
      <c r="K112" s="7">
        <v>30.0</v>
      </c>
      <c r="L112" s="7">
        <v>25.0</v>
      </c>
      <c r="M112" s="7" t="s">
        <v>2747</v>
      </c>
      <c r="N112" s="7" t="s">
        <v>2792</v>
      </c>
      <c r="O112" s="7" t="s">
        <v>2891</v>
      </c>
      <c r="P112" s="7">
        <v>115.0</v>
      </c>
      <c r="Q112" s="7"/>
      <c r="R112" s="7">
        <f t="shared" si="1"/>
        <v>111</v>
      </c>
    </row>
    <row r="113" ht="15.75" customHeight="1">
      <c r="A113" s="7">
        <v>112.0</v>
      </c>
      <c r="B113" s="7" t="s">
        <v>3714</v>
      </c>
      <c r="C113" s="7">
        <v>1.0</v>
      </c>
      <c r="D113" s="7" t="s">
        <v>4940</v>
      </c>
      <c r="E113" s="7" t="s">
        <v>4922</v>
      </c>
      <c r="F113" s="7">
        <v>105.0</v>
      </c>
      <c r="G113" s="7">
        <v>130.0</v>
      </c>
      <c r="H113" s="7">
        <v>120.0</v>
      </c>
      <c r="I113" s="7">
        <v>45.0</v>
      </c>
      <c r="J113" s="7">
        <v>45.0</v>
      </c>
      <c r="K113" s="7">
        <v>45.0</v>
      </c>
      <c r="L113" s="7">
        <v>40.0</v>
      </c>
      <c r="M113" s="7" t="s">
        <v>2747</v>
      </c>
      <c r="N113" s="7" t="s">
        <v>2792</v>
      </c>
      <c r="O113" s="7" t="s">
        <v>2891</v>
      </c>
      <c r="P113" s="7">
        <v>120.0</v>
      </c>
      <c r="Q113" s="7"/>
      <c r="R113" s="7">
        <f t="shared" si="1"/>
        <v>112</v>
      </c>
    </row>
    <row r="114" ht="15.75" customHeight="1">
      <c r="A114" s="7">
        <v>113.0</v>
      </c>
      <c r="B114" s="7" t="s">
        <v>3458</v>
      </c>
      <c r="C114" s="7">
        <v>1.0</v>
      </c>
      <c r="D114" s="7" t="s">
        <v>4916</v>
      </c>
      <c r="E114" s="7"/>
      <c r="F114" s="7">
        <v>250.0</v>
      </c>
      <c r="G114" s="7">
        <v>5.0</v>
      </c>
      <c r="H114" s="7">
        <v>5.0</v>
      </c>
      <c r="I114" s="7">
        <v>105.0</v>
      </c>
      <c r="J114" s="7">
        <v>35.0</v>
      </c>
      <c r="K114" s="7">
        <v>105.0</v>
      </c>
      <c r="L114" s="7">
        <v>50.0</v>
      </c>
      <c r="M114" s="7" t="s">
        <v>3169</v>
      </c>
      <c r="N114" s="7" t="s">
        <v>2662</v>
      </c>
      <c r="O114" s="7" t="s">
        <v>4947</v>
      </c>
      <c r="P114" s="7">
        <v>34.6</v>
      </c>
      <c r="Q114" s="7"/>
      <c r="R114" s="7">
        <f t="shared" si="1"/>
        <v>113</v>
      </c>
    </row>
    <row r="115" ht="15.75" customHeight="1">
      <c r="A115" s="7">
        <v>114.0</v>
      </c>
      <c r="B115" s="7" t="s">
        <v>3403</v>
      </c>
      <c r="C115" s="7">
        <v>1.0</v>
      </c>
      <c r="D115" s="7" t="s">
        <v>4904</v>
      </c>
      <c r="E115" s="7"/>
      <c r="F115" s="7">
        <v>65.0</v>
      </c>
      <c r="G115" s="7">
        <v>55.0</v>
      </c>
      <c r="H115" s="7">
        <v>115.0</v>
      </c>
      <c r="I115" s="7">
        <v>100.0</v>
      </c>
      <c r="J115" s="7">
        <v>100.0</v>
      </c>
      <c r="K115" s="7">
        <v>40.0</v>
      </c>
      <c r="L115" s="7">
        <v>60.0</v>
      </c>
      <c r="M115" s="7" t="s">
        <v>2701</v>
      </c>
      <c r="N115" s="7" t="s">
        <v>4948</v>
      </c>
      <c r="O115" s="7" t="s">
        <v>3404</v>
      </c>
      <c r="P115" s="7">
        <v>35.0</v>
      </c>
      <c r="Q115" s="7"/>
      <c r="R115" s="7">
        <f t="shared" si="1"/>
        <v>114</v>
      </c>
    </row>
    <row r="116" ht="15.75" customHeight="1">
      <c r="A116" s="7">
        <v>115.0</v>
      </c>
      <c r="B116" s="7" t="s">
        <v>3723</v>
      </c>
      <c r="C116" s="7">
        <v>1.0</v>
      </c>
      <c r="D116" s="7" t="s">
        <v>4916</v>
      </c>
      <c r="E116" s="7"/>
      <c r="F116" s="7">
        <v>105.0</v>
      </c>
      <c r="G116" s="7">
        <v>95.0</v>
      </c>
      <c r="H116" s="7">
        <v>80.0</v>
      </c>
      <c r="I116" s="7">
        <v>40.0</v>
      </c>
      <c r="J116" s="7">
        <v>40.0</v>
      </c>
      <c r="K116" s="7">
        <v>80.0</v>
      </c>
      <c r="L116" s="7">
        <v>90.0</v>
      </c>
      <c r="M116" s="7" t="s">
        <v>2842</v>
      </c>
      <c r="N116" s="7" t="s">
        <v>3141</v>
      </c>
      <c r="O116" s="7" t="s">
        <v>3233</v>
      </c>
      <c r="P116" s="7">
        <v>80.0</v>
      </c>
      <c r="Q116" s="7"/>
      <c r="R116" s="7">
        <f t="shared" si="1"/>
        <v>115</v>
      </c>
    </row>
    <row r="117" ht="15.75" customHeight="1">
      <c r="A117" s="7">
        <v>116.0</v>
      </c>
      <c r="B117" s="7" t="s">
        <v>4949</v>
      </c>
      <c r="C117" s="7">
        <v>1.0</v>
      </c>
      <c r="D117" s="7" t="s">
        <v>4908</v>
      </c>
      <c r="E117" s="7"/>
      <c r="F117" s="7">
        <v>30.0</v>
      </c>
      <c r="G117" s="7">
        <v>40.0</v>
      </c>
      <c r="H117" s="7">
        <v>70.0</v>
      </c>
      <c r="I117" s="7">
        <v>70.0</v>
      </c>
      <c r="J117" s="7">
        <v>70.0</v>
      </c>
      <c r="K117" s="7">
        <v>25.0</v>
      </c>
      <c r="L117" s="7">
        <v>60.0</v>
      </c>
      <c r="M117" s="7" t="s">
        <v>3028</v>
      </c>
      <c r="N117" s="7" t="s">
        <v>2773</v>
      </c>
      <c r="O117" s="7" t="s">
        <v>4403</v>
      </c>
      <c r="P117" s="7">
        <v>8.0</v>
      </c>
      <c r="Q117" s="7"/>
      <c r="R117" s="7">
        <f t="shared" si="1"/>
        <v>116</v>
      </c>
    </row>
    <row r="118" ht="15.75" customHeight="1">
      <c r="A118" s="7">
        <v>117.0</v>
      </c>
      <c r="B118" s="7" t="s">
        <v>3414</v>
      </c>
      <c r="C118" s="7">
        <v>1.0</v>
      </c>
      <c r="D118" s="7" t="s">
        <v>4908</v>
      </c>
      <c r="E118" s="7"/>
      <c r="F118" s="7">
        <v>55.0</v>
      </c>
      <c r="G118" s="7">
        <v>65.0</v>
      </c>
      <c r="H118" s="7">
        <v>95.0</v>
      </c>
      <c r="I118" s="7">
        <v>95.0</v>
      </c>
      <c r="J118" s="7">
        <v>95.0</v>
      </c>
      <c r="K118" s="7">
        <v>45.0</v>
      </c>
      <c r="L118" s="7">
        <v>85.0</v>
      </c>
      <c r="M118" s="7" t="s">
        <v>2708</v>
      </c>
      <c r="N118" s="7" t="s">
        <v>2773</v>
      </c>
      <c r="O118" s="7" t="s">
        <v>4403</v>
      </c>
      <c r="P118" s="7">
        <v>25.0</v>
      </c>
      <c r="Q118" s="7"/>
      <c r="R118" s="7">
        <f t="shared" si="1"/>
        <v>117</v>
      </c>
    </row>
    <row r="119" ht="15.75" customHeight="1">
      <c r="A119" s="7">
        <v>118.0</v>
      </c>
      <c r="B119" s="7" t="s">
        <v>2947</v>
      </c>
      <c r="C119" s="7">
        <v>1.0</v>
      </c>
      <c r="D119" s="7" t="s">
        <v>4908</v>
      </c>
      <c r="E119" s="7"/>
      <c r="F119" s="7">
        <v>45.0</v>
      </c>
      <c r="G119" s="7">
        <v>67.0</v>
      </c>
      <c r="H119" s="7">
        <v>60.0</v>
      </c>
      <c r="I119" s="7">
        <v>50.0</v>
      </c>
      <c r="J119" s="7">
        <v>35.0</v>
      </c>
      <c r="K119" s="7">
        <v>50.0</v>
      </c>
      <c r="L119" s="7">
        <v>63.0</v>
      </c>
      <c r="M119" s="7" t="s">
        <v>3028</v>
      </c>
      <c r="N119" s="7" t="s">
        <v>4521</v>
      </c>
      <c r="O119" s="7" t="s">
        <v>2747</v>
      </c>
      <c r="P119" s="7">
        <v>15.0</v>
      </c>
      <c r="Q119" s="7"/>
      <c r="R119" s="7">
        <f t="shared" si="1"/>
        <v>118</v>
      </c>
    </row>
    <row r="120" ht="15.75" customHeight="1">
      <c r="A120" s="7">
        <v>119.0</v>
      </c>
      <c r="B120" s="7" t="s">
        <v>3461</v>
      </c>
      <c r="C120" s="7">
        <v>1.0</v>
      </c>
      <c r="D120" s="7" t="s">
        <v>4908</v>
      </c>
      <c r="E120" s="7"/>
      <c r="F120" s="7">
        <v>80.0</v>
      </c>
      <c r="G120" s="7">
        <v>92.0</v>
      </c>
      <c r="H120" s="7">
        <v>65.0</v>
      </c>
      <c r="I120" s="7">
        <v>80.0</v>
      </c>
      <c r="J120" s="7">
        <v>65.0</v>
      </c>
      <c r="K120" s="7">
        <v>80.0</v>
      </c>
      <c r="L120" s="7">
        <v>68.0</v>
      </c>
      <c r="M120" s="7" t="s">
        <v>3028</v>
      </c>
      <c r="N120" s="7" t="s">
        <v>4521</v>
      </c>
      <c r="O120" s="7" t="s">
        <v>2747</v>
      </c>
      <c r="P120" s="7">
        <v>39.0</v>
      </c>
      <c r="Q120" s="7"/>
      <c r="R120" s="7">
        <f t="shared" si="1"/>
        <v>119</v>
      </c>
    </row>
    <row r="121" ht="15.75" customHeight="1">
      <c r="A121" s="7">
        <v>120.0</v>
      </c>
      <c r="B121" s="7" t="s">
        <v>3065</v>
      </c>
      <c r="C121" s="7">
        <v>1.0</v>
      </c>
      <c r="D121" s="7" t="s">
        <v>4908</v>
      </c>
      <c r="E121" s="7"/>
      <c r="F121" s="7">
        <v>30.0</v>
      </c>
      <c r="G121" s="7">
        <v>45.0</v>
      </c>
      <c r="H121" s="7">
        <v>55.0</v>
      </c>
      <c r="I121" s="7">
        <v>70.0</v>
      </c>
      <c r="J121" s="7">
        <v>70.0</v>
      </c>
      <c r="K121" s="7">
        <v>55.0</v>
      </c>
      <c r="L121" s="7">
        <v>85.0</v>
      </c>
      <c r="M121" s="7" t="s">
        <v>3066</v>
      </c>
      <c r="N121" s="7" t="s">
        <v>3169</v>
      </c>
      <c r="O121" s="7" t="s">
        <v>3841</v>
      </c>
      <c r="P121" s="7">
        <v>34.5</v>
      </c>
      <c r="Q121" s="7"/>
      <c r="R121" s="7">
        <f t="shared" si="1"/>
        <v>120</v>
      </c>
    </row>
    <row r="122" ht="15.75" customHeight="1">
      <c r="A122" s="7">
        <v>121.0</v>
      </c>
      <c r="B122" s="7" t="s">
        <v>3857</v>
      </c>
      <c r="C122" s="7">
        <v>1.0</v>
      </c>
      <c r="D122" s="7" t="s">
        <v>4908</v>
      </c>
      <c r="E122" s="7" t="s">
        <v>2659</v>
      </c>
      <c r="F122" s="7">
        <v>60.0</v>
      </c>
      <c r="G122" s="7">
        <v>75.0</v>
      </c>
      <c r="H122" s="7">
        <v>85.0</v>
      </c>
      <c r="I122" s="7">
        <v>100.0</v>
      </c>
      <c r="J122" s="7">
        <v>100.0</v>
      </c>
      <c r="K122" s="7">
        <v>85.0</v>
      </c>
      <c r="L122" s="7">
        <v>115.0</v>
      </c>
      <c r="M122" s="7" t="s">
        <v>3066</v>
      </c>
      <c r="N122" s="7" t="s">
        <v>3169</v>
      </c>
      <c r="O122" s="7" t="s">
        <v>3841</v>
      </c>
      <c r="P122" s="7">
        <v>80.0</v>
      </c>
      <c r="Q122" s="7"/>
      <c r="R122" s="7">
        <f t="shared" si="1"/>
        <v>121</v>
      </c>
    </row>
    <row r="123" ht="15.75" customHeight="1">
      <c r="A123" s="7">
        <v>122.0</v>
      </c>
      <c r="B123" s="7" t="s">
        <v>3644</v>
      </c>
      <c r="C123" s="7">
        <v>1.0</v>
      </c>
      <c r="D123" s="7" t="s">
        <v>2659</v>
      </c>
      <c r="E123" s="7" t="str">
        <f>IF($A$1&lt;6,"","Fairy")</f>
        <v>Fairy</v>
      </c>
      <c r="F123" s="7">
        <v>40.0</v>
      </c>
      <c r="G123" s="7">
        <v>45.0</v>
      </c>
      <c r="H123" s="7">
        <v>65.0</v>
      </c>
      <c r="I123" s="7">
        <v>100.0</v>
      </c>
      <c r="J123" s="7">
        <v>100.0</v>
      </c>
      <c r="K123" s="7">
        <v>120.0</v>
      </c>
      <c r="L123" s="7">
        <v>90.0</v>
      </c>
      <c r="M123" s="7" t="s">
        <v>2931</v>
      </c>
      <c r="N123" s="7" t="s">
        <v>3646</v>
      </c>
      <c r="O123" s="7" t="s">
        <v>3412</v>
      </c>
      <c r="P123" s="7">
        <v>54.5</v>
      </c>
      <c r="Q123" s="7"/>
      <c r="R123" s="7">
        <f t="shared" si="1"/>
        <v>122</v>
      </c>
    </row>
    <row r="124" ht="15.75" customHeight="1">
      <c r="A124" s="7">
        <v>123.0</v>
      </c>
      <c r="B124" s="7" t="s">
        <v>3580</v>
      </c>
      <c r="C124" s="7">
        <v>1.0</v>
      </c>
      <c r="D124" s="7" t="s">
        <v>4910</v>
      </c>
      <c r="E124" s="7" t="s">
        <v>4907</v>
      </c>
      <c r="F124" s="7">
        <v>70.0</v>
      </c>
      <c r="G124" s="7">
        <v>110.0</v>
      </c>
      <c r="H124" s="7">
        <v>80.0</v>
      </c>
      <c r="I124" s="7">
        <v>55.0</v>
      </c>
      <c r="J124" s="7">
        <v>55.0</v>
      </c>
      <c r="K124" s="7">
        <v>80.0</v>
      </c>
      <c r="L124" s="7">
        <v>105.0</v>
      </c>
      <c r="M124" s="7" t="s">
        <v>3181</v>
      </c>
      <c r="N124" s="7" t="s">
        <v>3412</v>
      </c>
      <c r="O124" s="7" t="s">
        <v>4075</v>
      </c>
      <c r="P124" s="7">
        <v>56.0</v>
      </c>
      <c r="Q124" s="7"/>
      <c r="R124" s="7">
        <f t="shared" si="1"/>
        <v>123</v>
      </c>
    </row>
    <row r="125" ht="15.75" customHeight="1">
      <c r="A125" s="7">
        <v>124.0</v>
      </c>
      <c r="B125" s="7" t="s">
        <v>3638</v>
      </c>
      <c r="C125" s="7">
        <v>1.0</v>
      </c>
      <c r="D125" s="7" t="s">
        <v>4942</v>
      </c>
      <c r="E125" s="7" t="s">
        <v>2659</v>
      </c>
      <c r="F125" s="7">
        <v>65.0</v>
      </c>
      <c r="G125" s="7">
        <v>50.0</v>
      </c>
      <c r="H125" s="7">
        <v>35.0</v>
      </c>
      <c r="I125" s="7">
        <v>95.0</v>
      </c>
      <c r="J125" s="7">
        <v>115.0</v>
      </c>
      <c r="K125" s="7">
        <v>95.0</v>
      </c>
      <c r="L125" s="7">
        <v>95.0</v>
      </c>
      <c r="M125" s="7" t="s">
        <v>2824</v>
      </c>
      <c r="N125" s="7" t="s">
        <v>4946</v>
      </c>
      <c r="O125" s="7" t="s">
        <v>3642</v>
      </c>
      <c r="P125" s="7">
        <v>40.6</v>
      </c>
      <c r="Q125" s="7"/>
      <c r="R125" s="7">
        <f t="shared" si="1"/>
        <v>124</v>
      </c>
    </row>
    <row r="126" ht="15.75" customHeight="1">
      <c r="A126" s="7">
        <v>125.0</v>
      </c>
      <c r="B126" s="7" t="s">
        <v>3571</v>
      </c>
      <c r="C126" s="7">
        <v>1.0</v>
      </c>
      <c r="D126" s="7" t="s">
        <v>4921</v>
      </c>
      <c r="E126" s="7"/>
      <c r="F126" s="7">
        <v>65.0</v>
      </c>
      <c r="G126" s="7">
        <v>83.0</v>
      </c>
      <c r="H126" s="7">
        <v>57.0</v>
      </c>
      <c r="I126" s="7">
        <v>85.0</v>
      </c>
      <c r="J126" s="7">
        <v>95.0</v>
      </c>
      <c r="K126" s="7">
        <v>85.0</v>
      </c>
      <c r="L126" s="7">
        <v>105.0</v>
      </c>
      <c r="M126" s="7" t="s">
        <v>3136</v>
      </c>
      <c r="N126" s="7"/>
      <c r="O126" s="7" t="s">
        <v>3011</v>
      </c>
      <c r="P126" s="7">
        <v>30.0</v>
      </c>
      <c r="Q126" s="7"/>
      <c r="R126" s="7">
        <f t="shared" si="1"/>
        <v>125</v>
      </c>
    </row>
    <row r="127" ht="15.75" customHeight="1">
      <c r="A127" s="7">
        <v>126.0</v>
      </c>
      <c r="B127" s="7" t="s">
        <v>3573</v>
      </c>
      <c r="C127" s="7">
        <v>1.0</v>
      </c>
      <c r="D127" s="7" t="s">
        <v>4906</v>
      </c>
      <c r="E127" s="7"/>
      <c r="F127" s="7">
        <v>65.0</v>
      </c>
      <c r="G127" s="7">
        <v>95.0</v>
      </c>
      <c r="H127" s="7">
        <v>57.0</v>
      </c>
      <c r="I127" s="7">
        <v>85.0</v>
      </c>
      <c r="J127" s="7">
        <v>100.0</v>
      </c>
      <c r="K127" s="7">
        <v>85.0</v>
      </c>
      <c r="L127" s="7">
        <v>93.0</v>
      </c>
      <c r="M127" s="7" t="s">
        <v>3162</v>
      </c>
      <c r="N127" s="7"/>
      <c r="O127" s="7" t="s">
        <v>3011</v>
      </c>
      <c r="P127" s="7">
        <v>44.5</v>
      </c>
      <c r="Q127" s="7"/>
      <c r="R127" s="7">
        <f t="shared" si="1"/>
        <v>126</v>
      </c>
    </row>
    <row r="128" ht="15.75" customHeight="1">
      <c r="A128" s="7">
        <v>127.0</v>
      </c>
      <c r="B128" s="7" t="s">
        <v>3781</v>
      </c>
      <c r="C128" s="7">
        <v>1.0</v>
      </c>
      <c r="D128" s="7" t="s">
        <v>4910</v>
      </c>
      <c r="E128" s="7"/>
      <c r="F128" s="7">
        <v>65.0</v>
      </c>
      <c r="G128" s="7">
        <v>125.0</v>
      </c>
      <c r="H128" s="7">
        <v>100.0</v>
      </c>
      <c r="I128" s="7">
        <v>55.0</v>
      </c>
      <c r="J128" s="7">
        <v>55.0</v>
      </c>
      <c r="K128" s="7">
        <v>70.0</v>
      </c>
      <c r="L128" s="7">
        <v>85.0</v>
      </c>
      <c r="M128" s="7" t="s">
        <v>2978</v>
      </c>
      <c r="N128" s="7" t="s">
        <v>3102</v>
      </c>
      <c r="O128" s="7" t="s">
        <v>3788</v>
      </c>
      <c r="P128" s="7">
        <v>55.0</v>
      </c>
      <c r="Q128" s="7"/>
      <c r="R128" s="7">
        <f t="shared" si="1"/>
        <v>127</v>
      </c>
    </row>
    <row r="129" ht="15.75" customHeight="1">
      <c r="A129" s="7">
        <v>128.0</v>
      </c>
      <c r="B129" s="7" t="s">
        <v>3725</v>
      </c>
      <c r="C129" s="7">
        <v>1.0</v>
      </c>
      <c r="D129" s="7" t="s">
        <v>4916</v>
      </c>
      <c r="E129" s="7"/>
      <c r="F129" s="7">
        <v>75.0</v>
      </c>
      <c r="G129" s="7">
        <v>100.0</v>
      </c>
      <c r="H129" s="7">
        <v>95.0</v>
      </c>
      <c r="I129" s="7">
        <v>70.0</v>
      </c>
      <c r="J129" s="7">
        <v>40.0</v>
      </c>
      <c r="K129" s="7">
        <v>70.0</v>
      </c>
      <c r="L129" s="7">
        <v>110.0</v>
      </c>
      <c r="M129" s="7" t="s">
        <v>2696</v>
      </c>
      <c r="N129" s="7" t="s">
        <v>4936</v>
      </c>
      <c r="O129" s="7" t="s">
        <v>3745</v>
      </c>
      <c r="P129" s="7">
        <v>88.4</v>
      </c>
      <c r="Q129" s="7"/>
      <c r="R129" s="7">
        <f t="shared" si="1"/>
        <v>128</v>
      </c>
    </row>
    <row r="130" ht="15.75" customHeight="1">
      <c r="A130" s="7">
        <v>129.0</v>
      </c>
      <c r="B130" s="7" t="s">
        <v>4950</v>
      </c>
      <c r="C130" s="7">
        <v>1.0</v>
      </c>
      <c r="D130" s="7" t="s">
        <v>4908</v>
      </c>
      <c r="E130" s="7"/>
      <c r="F130" s="7">
        <v>20.0</v>
      </c>
      <c r="G130" s="7">
        <v>10.0</v>
      </c>
      <c r="H130" s="7">
        <v>55.0</v>
      </c>
      <c r="I130" s="7">
        <v>20.0</v>
      </c>
      <c r="J130" s="7">
        <v>15.0</v>
      </c>
      <c r="K130" s="7">
        <v>20.0</v>
      </c>
      <c r="L130" s="7">
        <v>80.0</v>
      </c>
      <c r="M130" s="7" t="s">
        <v>3028</v>
      </c>
      <c r="N130" s="7"/>
      <c r="O130" s="7" t="s">
        <v>4951</v>
      </c>
      <c r="P130" s="7">
        <v>10.0</v>
      </c>
      <c r="Q130" s="7"/>
      <c r="R130" s="7">
        <f t="shared" si="1"/>
        <v>129</v>
      </c>
    </row>
    <row r="131" ht="15.75" customHeight="1">
      <c r="A131" s="7">
        <v>130.0</v>
      </c>
      <c r="B131" s="7" t="s">
        <v>3907</v>
      </c>
      <c r="C131" s="7">
        <v>1.0</v>
      </c>
      <c r="D131" s="7" t="s">
        <v>4908</v>
      </c>
      <c r="E131" s="7" t="s">
        <v>4907</v>
      </c>
      <c r="F131" s="7">
        <v>95.0</v>
      </c>
      <c r="G131" s="7">
        <v>125.0</v>
      </c>
      <c r="H131" s="7">
        <v>79.0</v>
      </c>
      <c r="I131" s="7">
        <v>100.0</v>
      </c>
      <c r="J131" s="7">
        <v>60.0</v>
      </c>
      <c r="K131" s="7">
        <v>100.0</v>
      </c>
      <c r="L131" s="7">
        <v>81.0</v>
      </c>
      <c r="M131" s="7" t="s">
        <v>2696</v>
      </c>
      <c r="N131" s="7"/>
      <c r="O131" s="7" t="s">
        <v>3788</v>
      </c>
      <c r="P131" s="7">
        <v>235.0</v>
      </c>
      <c r="Q131" s="7"/>
      <c r="R131" s="7">
        <f t="shared" si="1"/>
        <v>130</v>
      </c>
    </row>
    <row r="132" ht="15.75" customHeight="1">
      <c r="A132" s="7">
        <v>131.0</v>
      </c>
      <c r="B132" s="7" t="s">
        <v>3896</v>
      </c>
      <c r="C132" s="7">
        <v>1.0</v>
      </c>
      <c r="D132" s="7" t="s">
        <v>4908</v>
      </c>
      <c r="E132" s="7" t="s">
        <v>4942</v>
      </c>
      <c r="F132" s="7">
        <v>130.0</v>
      </c>
      <c r="G132" s="7">
        <v>85.0</v>
      </c>
      <c r="H132" s="7">
        <v>80.0</v>
      </c>
      <c r="I132" s="7">
        <v>95.0</v>
      </c>
      <c r="J132" s="7">
        <v>85.0</v>
      </c>
      <c r="K132" s="7">
        <v>95.0</v>
      </c>
      <c r="L132" s="7">
        <v>60.0</v>
      </c>
      <c r="M132" s="7" t="s">
        <v>3059</v>
      </c>
      <c r="N132" s="7" t="s">
        <v>3088</v>
      </c>
      <c r="O132" s="7" t="s">
        <v>3662</v>
      </c>
      <c r="P132" s="7">
        <v>220.0</v>
      </c>
      <c r="Q132" s="7"/>
      <c r="R132" s="7">
        <f t="shared" si="1"/>
        <v>131</v>
      </c>
    </row>
    <row r="133" ht="15.75" customHeight="1">
      <c r="A133" s="7">
        <v>132.0</v>
      </c>
      <c r="B133" s="7" t="s">
        <v>4952</v>
      </c>
      <c r="C133" s="7">
        <v>1.0</v>
      </c>
      <c r="D133" s="7" t="s">
        <v>4916</v>
      </c>
      <c r="E133" s="7"/>
      <c r="F133" s="7">
        <v>48.0</v>
      </c>
      <c r="G133" s="7">
        <v>48.0</v>
      </c>
      <c r="H133" s="7">
        <v>48.0</v>
      </c>
      <c r="I133" s="7">
        <v>48.0</v>
      </c>
      <c r="J133" s="7">
        <v>48.0</v>
      </c>
      <c r="K133" s="7">
        <v>48.0</v>
      </c>
      <c r="L133" s="7">
        <v>48.0</v>
      </c>
      <c r="M133" s="7" t="s">
        <v>2853</v>
      </c>
      <c r="N133" s="7"/>
      <c r="O133" s="7" t="s">
        <v>4953</v>
      </c>
      <c r="P133" s="7">
        <v>4.0</v>
      </c>
      <c r="Q133" s="7"/>
      <c r="R133" s="7">
        <f t="shared" si="1"/>
        <v>132</v>
      </c>
    </row>
    <row r="134" ht="15.75" customHeight="1">
      <c r="A134" s="7">
        <v>133.0</v>
      </c>
      <c r="B134" s="7" t="s">
        <v>2982</v>
      </c>
      <c r="C134" s="7">
        <v>1.0</v>
      </c>
      <c r="D134" s="7" t="s">
        <v>4916</v>
      </c>
      <c r="E134" s="7"/>
      <c r="F134" s="7">
        <v>55.0</v>
      </c>
      <c r="G134" s="7">
        <v>55.0</v>
      </c>
      <c r="H134" s="7">
        <v>50.0</v>
      </c>
      <c r="I134" s="7">
        <v>65.0</v>
      </c>
      <c r="J134" s="7">
        <v>45.0</v>
      </c>
      <c r="K134" s="7">
        <v>65.0</v>
      </c>
      <c r="L134" s="7">
        <v>55.0</v>
      </c>
      <c r="M134" s="7" t="s">
        <v>4911</v>
      </c>
      <c r="N134" s="7" t="s">
        <v>2837</v>
      </c>
      <c r="O134" s="7" t="s">
        <v>4954</v>
      </c>
      <c r="P134" s="7">
        <v>6.5</v>
      </c>
      <c r="Q134" s="7"/>
      <c r="R134" s="7">
        <f t="shared" si="1"/>
        <v>133</v>
      </c>
    </row>
    <row r="135" ht="15.75" customHeight="1">
      <c r="A135" s="7">
        <v>134.0</v>
      </c>
      <c r="B135" s="7" t="s">
        <v>3861</v>
      </c>
      <c r="C135" s="7">
        <v>1.0</v>
      </c>
      <c r="D135" s="7" t="s">
        <v>4908</v>
      </c>
      <c r="E135" s="7"/>
      <c r="F135" s="7">
        <v>130.0</v>
      </c>
      <c r="G135" s="7">
        <v>65.0</v>
      </c>
      <c r="H135" s="7">
        <v>60.0</v>
      </c>
      <c r="I135" s="7">
        <v>110.0</v>
      </c>
      <c r="J135" s="7">
        <v>110.0</v>
      </c>
      <c r="K135" s="7">
        <v>95.0</v>
      </c>
      <c r="L135" s="7">
        <v>65.0</v>
      </c>
      <c r="M135" s="7" t="s">
        <v>3059</v>
      </c>
      <c r="N135" s="7"/>
      <c r="O135" s="7" t="s">
        <v>3662</v>
      </c>
      <c r="P135" s="7">
        <v>29.0</v>
      </c>
      <c r="Q135" s="7"/>
      <c r="R135" s="7">
        <f t="shared" si="1"/>
        <v>134</v>
      </c>
    </row>
    <row r="136" ht="15.75" customHeight="1">
      <c r="A136" s="7">
        <v>135.0</v>
      </c>
      <c r="B136" s="7" t="s">
        <v>3863</v>
      </c>
      <c r="C136" s="7">
        <v>1.0</v>
      </c>
      <c r="D136" s="7" t="s">
        <v>4921</v>
      </c>
      <c r="E136" s="7"/>
      <c r="F136" s="7">
        <v>65.0</v>
      </c>
      <c r="G136" s="7">
        <v>65.0</v>
      </c>
      <c r="H136" s="7">
        <v>60.0</v>
      </c>
      <c r="I136" s="7">
        <v>110.0</v>
      </c>
      <c r="J136" s="7">
        <v>110.0</v>
      </c>
      <c r="K136" s="7">
        <v>95.0</v>
      </c>
      <c r="L136" s="7">
        <v>130.0</v>
      </c>
      <c r="M136" s="7" t="s">
        <v>3000</v>
      </c>
      <c r="N136" s="7"/>
      <c r="O136" s="7" t="s">
        <v>4955</v>
      </c>
      <c r="P136" s="7">
        <v>24.5</v>
      </c>
      <c r="Q136" s="7"/>
      <c r="R136" s="7">
        <f t="shared" si="1"/>
        <v>135</v>
      </c>
    </row>
    <row r="137" ht="15.75" customHeight="1">
      <c r="A137" s="7">
        <v>136.0</v>
      </c>
      <c r="B137" s="7" t="s">
        <v>3865</v>
      </c>
      <c r="C137" s="7">
        <v>1.0</v>
      </c>
      <c r="D137" s="7" t="s">
        <v>4906</v>
      </c>
      <c r="E137" s="7"/>
      <c r="F137" s="7">
        <v>65.0</v>
      </c>
      <c r="G137" s="7">
        <v>130.0</v>
      </c>
      <c r="H137" s="7">
        <v>60.0</v>
      </c>
      <c r="I137" s="7">
        <v>110.0</v>
      </c>
      <c r="J137" s="7">
        <v>95.0</v>
      </c>
      <c r="K137" s="7">
        <v>110.0</v>
      </c>
      <c r="L137" s="7">
        <v>65.0</v>
      </c>
      <c r="M137" s="7" t="s">
        <v>3016</v>
      </c>
      <c r="N137" s="7"/>
      <c r="O137" s="7" t="s">
        <v>2777</v>
      </c>
      <c r="P137" s="7">
        <v>25.0</v>
      </c>
      <c r="Q137" s="7"/>
      <c r="R137" s="7">
        <f t="shared" si="1"/>
        <v>136</v>
      </c>
    </row>
    <row r="138" ht="15.75" customHeight="1">
      <c r="A138" s="7">
        <v>137.0</v>
      </c>
      <c r="B138" s="7" t="s">
        <v>3227</v>
      </c>
      <c r="C138" s="7">
        <v>1.0</v>
      </c>
      <c r="D138" s="7" t="s">
        <v>4916</v>
      </c>
      <c r="E138" s="7"/>
      <c r="F138" s="7">
        <v>65.0</v>
      </c>
      <c r="G138" s="7">
        <v>60.0</v>
      </c>
      <c r="H138" s="7">
        <v>70.0</v>
      </c>
      <c r="I138" s="7">
        <v>75.0</v>
      </c>
      <c r="J138" s="7">
        <v>85.0</v>
      </c>
      <c r="K138" s="7">
        <v>75.0</v>
      </c>
      <c r="L138" s="7">
        <v>40.0</v>
      </c>
      <c r="M138" s="7" t="s">
        <v>1477</v>
      </c>
      <c r="N138" s="7" t="s">
        <v>3229</v>
      </c>
      <c r="O138" s="7" t="s">
        <v>3841</v>
      </c>
      <c r="P138" s="7">
        <v>36.5</v>
      </c>
      <c r="Q138" s="7"/>
      <c r="R138" s="7">
        <f t="shared" si="1"/>
        <v>137</v>
      </c>
    </row>
    <row r="139" ht="15.75" customHeight="1">
      <c r="A139" s="7">
        <v>138.0</v>
      </c>
      <c r="B139" s="7" t="s">
        <v>3116</v>
      </c>
      <c r="C139" s="7">
        <v>1.0</v>
      </c>
      <c r="D139" s="7" t="s">
        <v>4940</v>
      </c>
      <c r="E139" s="7" t="s">
        <v>4908</v>
      </c>
      <c r="F139" s="7">
        <v>35.0</v>
      </c>
      <c r="G139" s="7">
        <v>40.0</v>
      </c>
      <c r="H139" s="7">
        <v>100.0</v>
      </c>
      <c r="I139" s="7">
        <v>90.0</v>
      </c>
      <c r="J139" s="7">
        <v>90.0</v>
      </c>
      <c r="K139" s="7">
        <v>55.0</v>
      </c>
      <c r="L139" s="7">
        <v>35.0</v>
      </c>
      <c r="M139" s="7" t="s">
        <v>3028</v>
      </c>
      <c r="N139" s="7" t="s">
        <v>3088</v>
      </c>
      <c r="O139" s="7" t="s">
        <v>4148</v>
      </c>
      <c r="P139" s="7">
        <v>7.5</v>
      </c>
      <c r="Q139" s="7"/>
      <c r="R139" s="7">
        <f t="shared" si="1"/>
        <v>138</v>
      </c>
    </row>
    <row r="140" ht="15.75" customHeight="1">
      <c r="A140" s="7">
        <v>139.0</v>
      </c>
      <c r="B140" s="7" t="s">
        <v>3575</v>
      </c>
      <c r="C140" s="7">
        <v>1.0</v>
      </c>
      <c r="D140" s="7" t="s">
        <v>4940</v>
      </c>
      <c r="E140" s="7" t="s">
        <v>4908</v>
      </c>
      <c r="F140" s="7">
        <v>70.0</v>
      </c>
      <c r="G140" s="7">
        <v>60.0</v>
      </c>
      <c r="H140" s="7">
        <v>125.0</v>
      </c>
      <c r="I140" s="7">
        <v>115.0</v>
      </c>
      <c r="J140" s="7">
        <v>115.0</v>
      </c>
      <c r="K140" s="7">
        <v>70.0</v>
      </c>
      <c r="L140" s="7">
        <v>55.0</v>
      </c>
      <c r="M140" s="7" t="s">
        <v>3028</v>
      </c>
      <c r="N140" s="7" t="s">
        <v>3088</v>
      </c>
      <c r="O140" s="7" t="s">
        <v>4148</v>
      </c>
      <c r="P140" s="7">
        <v>35.0</v>
      </c>
      <c r="Q140" s="7"/>
      <c r="R140" s="7">
        <f t="shared" si="1"/>
        <v>139</v>
      </c>
    </row>
    <row r="141" ht="15.75" customHeight="1">
      <c r="A141" s="7">
        <v>140.0</v>
      </c>
      <c r="B141" s="7" t="s">
        <v>3120</v>
      </c>
      <c r="C141" s="7">
        <v>1.0</v>
      </c>
      <c r="D141" s="7" t="s">
        <v>4940</v>
      </c>
      <c r="E141" s="7" t="s">
        <v>4908</v>
      </c>
      <c r="F141" s="7">
        <v>30.0</v>
      </c>
      <c r="G141" s="7">
        <v>80.0</v>
      </c>
      <c r="H141" s="7">
        <v>90.0</v>
      </c>
      <c r="I141" s="7">
        <v>45.0</v>
      </c>
      <c r="J141" s="7">
        <v>55.0</v>
      </c>
      <c r="K141" s="7">
        <v>45.0</v>
      </c>
      <c r="L141" s="7">
        <v>55.0</v>
      </c>
      <c r="M141" s="7" t="s">
        <v>3028</v>
      </c>
      <c r="N141" s="7" t="s">
        <v>2945</v>
      </c>
      <c r="O141" s="7" t="s">
        <v>4148</v>
      </c>
      <c r="P141" s="7">
        <v>11.5</v>
      </c>
      <c r="Q141" s="7"/>
      <c r="R141" s="7">
        <f t="shared" si="1"/>
        <v>140</v>
      </c>
    </row>
    <row r="142" ht="15.75" customHeight="1">
      <c r="A142" s="7">
        <v>141.0</v>
      </c>
      <c r="B142" s="7" t="s">
        <v>3577</v>
      </c>
      <c r="C142" s="7">
        <v>1.0</v>
      </c>
      <c r="D142" s="7" t="s">
        <v>4940</v>
      </c>
      <c r="E142" s="7" t="s">
        <v>4908</v>
      </c>
      <c r="F142" s="7">
        <v>60.0</v>
      </c>
      <c r="G142" s="7">
        <v>115.0</v>
      </c>
      <c r="H142" s="7">
        <v>105.0</v>
      </c>
      <c r="I142" s="7">
        <v>70.0</v>
      </c>
      <c r="J142" s="7">
        <v>65.0</v>
      </c>
      <c r="K142" s="7">
        <v>70.0</v>
      </c>
      <c r="L142" s="7">
        <v>80.0</v>
      </c>
      <c r="M142" s="7" t="s">
        <v>3028</v>
      </c>
      <c r="N142" s="7" t="s">
        <v>2945</v>
      </c>
      <c r="O142" s="7" t="s">
        <v>4148</v>
      </c>
      <c r="P142" s="7">
        <v>40.5</v>
      </c>
      <c r="Q142" s="7"/>
      <c r="R142" s="7">
        <f t="shared" si="1"/>
        <v>141</v>
      </c>
    </row>
    <row r="143" ht="15.75" customHeight="1">
      <c r="A143" s="7">
        <v>142.0</v>
      </c>
      <c r="B143" s="7" t="s">
        <v>3836</v>
      </c>
      <c r="C143" s="7">
        <v>1.0</v>
      </c>
      <c r="D143" s="7" t="s">
        <v>4940</v>
      </c>
      <c r="E143" s="7" t="s">
        <v>4907</v>
      </c>
      <c r="F143" s="7">
        <v>80.0</v>
      </c>
      <c r="G143" s="7">
        <v>105.0</v>
      </c>
      <c r="H143" s="7">
        <v>65.0</v>
      </c>
      <c r="I143" s="7">
        <v>60.0</v>
      </c>
      <c r="J143" s="7">
        <v>60.0</v>
      </c>
      <c r="K143" s="7">
        <v>75.0</v>
      </c>
      <c r="L143" s="7">
        <v>130.0</v>
      </c>
      <c r="M143" s="7" t="s">
        <v>2792</v>
      </c>
      <c r="N143" s="7" t="s">
        <v>3499</v>
      </c>
      <c r="O143" s="7" t="s">
        <v>4441</v>
      </c>
      <c r="P143" s="7">
        <v>59.0</v>
      </c>
      <c r="Q143" s="7"/>
      <c r="R143" s="7">
        <f t="shared" si="1"/>
        <v>142</v>
      </c>
    </row>
    <row r="144" ht="15.75" customHeight="1">
      <c r="A144" s="7">
        <v>143.0</v>
      </c>
      <c r="B144" s="7" t="s">
        <v>3909</v>
      </c>
      <c r="C144" s="7">
        <v>1.0</v>
      </c>
      <c r="D144" s="7" t="s">
        <v>4916</v>
      </c>
      <c r="E144" s="7"/>
      <c r="F144" s="7">
        <v>160.0</v>
      </c>
      <c r="G144" s="7">
        <v>110.0</v>
      </c>
      <c r="H144" s="7">
        <v>65.0</v>
      </c>
      <c r="I144" s="7">
        <v>65.0</v>
      </c>
      <c r="J144" s="7">
        <v>65.0</v>
      </c>
      <c r="K144" s="7">
        <v>110.0</v>
      </c>
      <c r="L144" s="7">
        <v>30.0</v>
      </c>
      <c r="M144" s="7" t="s">
        <v>3910</v>
      </c>
      <c r="N144" s="7" t="s">
        <v>2968</v>
      </c>
      <c r="O144" s="7" t="s">
        <v>3207</v>
      </c>
      <c r="P144" s="7">
        <v>460.0</v>
      </c>
      <c r="Q144" s="7"/>
      <c r="R144" s="7">
        <f t="shared" si="1"/>
        <v>143</v>
      </c>
    </row>
    <row r="145" ht="15.75" customHeight="1">
      <c r="A145" s="7">
        <v>144.0</v>
      </c>
      <c r="B145" s="7" t="s">
        <v>4210</v>
      </c>
      <c r="C145" s="7">
        <v>1.0</v>
      </c>
      <c r="D145" s="7" t="s">
        <v>4942</v>
      </c>
      <c r="E145" s="7" t="s">
        <v>4907</v>
      </c>
      <c r="F145" s="7">
        <v>90.0</v>
      </c>
      <c r="G145" s="7">
        <v>85.0</v>
      </c>
      <c r="H145" s="7">
        <v>100.0</v>
      </c>
      <c r="I145" s="7">
        <v>125.0</v>
      </c>
      <c r="J145" s="7">
        <v>95.0</v>
      </c>
      <c r="K145" s="7">
        <v>125.0</v>
      </c>
      <c r="L145" s="7">
        <v>85.0</v>
      </c>
      <c r="M145" s="7" t="s">
        <v>3499</v>
      </c>
      <c r="N145" s="7"/>
      <c r="O145" s="7" t="s">
        <v>3894</v>
      </c>
      <c r="P145" s="7">
        <v>55.4</v>
      </c>
      <c r="Q145" s="7"/>
      <c r="R145" s="7">
        <f t="shared" si="1"/>
        <v>144</v>
      </c>
    </row>
    <row r="146" ht="15.75" customHeight="1">
      <c r="A146" s="7">
        <v>145.0</v>
      </c>
      <c r="B146" s="7" t="s">
        <v>4212</v>
      </c>
      <c r="C146" s="7">
        <v>1.0</v>
      </c>
      <c r="D146" s="7" t="s">
        <v>4921</v>
      </c>
      <c r="E146" s="7" t="s">
        <v>4907</v>
      </c>
      <c r="F146" s="7">
        <v>90.0</v>
      </c>
      <c r="G146" s="7">
        <v>90.0</v>
      </c>
      <c r="H146" s="7">
        <v>85.0</v>
      </c>
      <c r="I146" s="7">
        <v>125.0</v>
      </c>
      <c r="J146" s="7">
        <v>125.0</v>
      </c>
      <c r="K146" s="7">
        <v>90.0</v>
      </c>
      <c r="L146" s="7">
        <v>100.0</v>
      </c>
      <c r="M146" s="7" t="s">
        <v>3499</v>
      </c>
      <c r="N146" s="7"/>
      <c r="O146" s="7" t="s">
        <v>3136</v>
      </c>
      <c r="P146" s="7">
        <v>52.6</v>
      </c>
      <c r="Q146" s="7"/>
      <c r="R146" s="7">
        <f t="shared" si="1"/>
        <v>145</v>
      </c>
    </row>
    <row r="147" ht="15.75" customHeight="1">
      <c r="A147" s="7">
        <v>146.0</v>
      </c>
      <c r="B147" s="7" t="s">
        <v>4215</v>
      </c>
      <c r="C147" s="7">
        <v>1.0</v>
      </c>
      <c r="D147" s="7" t="s">
        <v>4906</v>
      </c>
      <c r="E147" s="7" t="s">
        <v>4907</v>
      </c>
      <c r="F147" s="7">
        <v>90.0</v>
      </c>
      <c r="G147" s="7">
        <v>100.0</v>
      </c>
      <c r="H147" s="7">
        <v>90.0</v>
      </c>
      <c r="I147" s="7">
        <v>125.0</v>
      </c>
      <c r="J147" s="7">
        <v>125.0</v>
      </c>
      <c r="K147" s="7">
        <v>85.0</v>
      </c>
      <c r="L147" s="7">
        <v>90.0</v>
      </c>
      <c r="M147" s="7" t="s">
        <v>3499</v>
      </c>
      <c r="N147" s="7"/>
      <c r="O147" s="7" t="s">
        <v>3162</v>
      </c>
      <c r="P147" s="7">
        <v>60.0</v>
      </c>
      <c r="Q147" s="7"/>
      <c r="R147" s="7">
        <f t="shared" si="1"/>
        <v>146</v>
      </c>
    </row>
    <row r="148" ht="15.75" customHeight="1">
      <c r="A148" s="7">
        <v>147.0</v>
      </c>
      <c r="B148" s="7" t="s">
        <v>2760</v>
      </c>
      <c r="C148" s="7">
        <v>1.0</v>
      </c>
      <c r="D148" s="7" t="s">
        <v>4956</v>
      </c>
      <c r="E148" s="7"/>
      <c r="F148" s="7">
        <v>41.0</v>
      </c>
      <c r="G148" s="7">
        <v>64.0</v>
      </c>
      <c r="H148" s="7">
        <v>45.0</v>
      </c>
      <c r="I148" s="7">
        <v>50.0</v>
      </c>
      <c r="J148" s="7">
        <v>50.0</v>
      </c>
      <c r="K148" s="7">
        <v>50.0</v>
      </c>
      <c r="L148" s="7">
        <v>50.0</v>
      </c>
      <c r="M148" s="7" t="s">
        <v>2653</v>
      </c>
      <c r="N148" s="7"/>
      <c r="O148" s="7" t="s">
        <v>3429</v>
      </c>
      <c r="P148" s="7">
        <v>3.3</v>
      </c>
      <c r="Q148" s="7"/>
      <c r="R148" s="7">
        <f t="shared" si="1"/>
        <v>147</v>
      </c>
    </row>
    <row r="149" ht="15.75" customHeight="1">
      <c r="A149" s="7">
        <v>148.0</v>
      </c>
      <c r="B149" s="7" t="s">
        <v>3354</v>
      </c>
      <c r="C149" s="7">
        <v>1.0</v>
      </c>
      <c r="D149" s="7" t="s">
        <v>4956</v>
      </c>
      <c r="E149" s="7"/>
      <c r="F149" s="7">
        <v>61.0</v>
      </c>
      <c r="G149" s="7">
        <v>84.0</v>
      </c>
      <c r="H149" s="7">
        <v>65.0</v>
      </c>
      <c r="I149" s="7">
        <v>70.0</v>
      </c>
      <c r="J149" s="7">
        <v>70.0</v>
      </c>
      <c r="K149" s="7">
        <v>70.0</v>
      </c>
      <c r="L149" s="7">
        <v>70.0</v>
      </c>
      <c r="M149" s="7" t="s">
        <v>2653</v>
      </c>
      <c r="N149" s="7"/>
      <c r="O149" s="7" t="s">
        <v>3429</v>
      </c>
      <c r="P149" s="7">
        <v>16.5</v>
      </c>
      <c r="Q149" s="7"/>
      <c r="R149" s="7">
        <f t="shared" si="1"/>
        <v>148</v>
      </c>
    </row>
    <row r="150" ht="15.75" customHeight="1">
      <c r="A150" s="7">
        <v>149.0</v>
      </c>
      <c r="B150" s="7" t="s">
        <v>3438</v>
      </c>
      <c r="C150" s="7">
        <v>1.0</v>
      </c>
      <c r="D150" s="7" t="s">
        <v>4956</v>
      </c>
      <c r="E150" s="7" t="s">
        <v>4907</v>
      </c>
      <c r="F150" s="7">
        <v>91.0</v>
      </c>
      <c r="G150" s="7">
        <v>134.0</v>
      </c>
      <c r="H150" s="7">
        <v>95.0</v>
      </c>
      <c r="I150" s="7">
        <v>100.0</v>
      </c>
      <c r="J150" s="7">
        <v>100.0</v>
      </c>
      <c r="K150" s="7">
        <v>100.0</v>
      </c>
      <c r="L150" s="7">
        <v>80.0</v>
      </c>
      <c r="M150" s="7" t="s">
        <v>3233</v>
      </c>
      <c r="N150" s="7"/>
      <c r="O150" s="7" t="s">
        <v>3442</v>
      </c>
      <c r="P150" s="7">
        <v>210.0</v>
      </c>
      <c r="Q150" s="7"/>
      <c r="R150" s="7">
        <f t="shared" si="1"/>
        <v>149</v>
      </c>
    </row>
    <row r="151" ht="15.75" customHeight="1">
      <c r="A151" s="7">
        <v>150.0</v>
      </c>
      <c r="B151" s="7" t="s">
        <v>4957</v>
      </c>
      <c r="C151" s="7">
        <v>1.0</v>
      </c>
      <c r="D151" s="7" t="s">
        <v>2659</v>
      </c>
      <c r="E151" s="7"/>
      <c r="F151" s="7">
        <v>106.0</v>
      </c>
      <c r="G151" s="7">
        <v>110.0</v>
      </c>
      <c r="H151" s="7">
        <v>90.0</v>
      </c>
      <c r="I151" s="7">
        <v>154.0</v>
      </c>
      <c r="J151" s="7">
        <v>154.0</v>
      </c>
      <c r="K151" s="7">
        <v>90.0</v>
      </c>
      <c r="L151" s="7">
        <v>130.0</v>
      </c>
      <c r="M151" s="7" t="s">
        <v>3499</v>
      </c>
      <c r="N151" s="7"/>
      <c r="O151" s="7" t="s">
        <v>4441</v>
      </c>
      <c r="P151" s="7">
        <v>122.0</v>
      </c>
      <c r="Q151" s="7"/>
      <c r="R151" s="7">
        <f t="shared" si="1"/>
        <v>150</v>
      </c>
    </row>
    <row r="152" ht="15.75" customHeight="1">
      <c r="A152" s="7">
        <v>151.0</v>
      </c>
      <c r="B152" s="7" t="s">
        <v>4958</v>
      </c>
      <c r="C152" s="7">
        <v>1.0</v>
      </c>
      <c r="D152" s="7" t="s">
        <v>2659</v>
      </c>
      <c r="E152" s="7"/>
      <c r="F152" s="7">
        <v>100.0</v>
      </c>
      <c r="G152" s="7">
        <v>100.0</v>
      </c>
      <c r="H152" s="7">
        <v>100.0</v>
      </c>
      <c r="I152" s="7">
        <v>100.0</v>
      </c>
      <c r="J152" s="7">
        <v>100.0</v>
      </c>
      <c r="K152" s="7">
        <v>100.0</v>
      </c>
      <c r="L152" s="7">
        <v>100.0</v>
      </c>
      <c r="M152" s="7" t="s">
        <v>3849</v>
      </c>
      <c r="N152" s="7"/>
      <c r="O152" s="7"/>
      <c r="P152" s="7">
        <v>4.0</v>
      </c>
      <c r="Q152" s="7"/>
      <c r="R152" s="7">
        <f t="shared" si="1"/>
        <v>151</v>
      </c>
    </row>
    <row r="153" ht="15.75" customHeight="1">
      <c r="A153" s="7">
        <v>152.0</v>
      </c>
      <c r="B153" s="7" t="s">
        <v>2592</v>
      </c>
      <c r="C153" s="7">
        <v>2.0</v>
      </c>
      <c r="D153" s="7" t="s">
        <v>4904</v>
      </c>
      <c r="E153" s="7"/>
      <c r="F153" s="7">
        <v>45.0</v>
      </c>
      <c r="G153" s="7">
        <v>49.0</v>
      </c>
      <c r="H153" s="7">
        <v>65.0</v>
      </c>
      <c r="I153" s="7"/>
      <c r="J153" s="7">
        <v>49.0</v>
      </c>
      <c r="K153" s="7">
        <v>65.0</v>
      </c>
      <c r="L153" s="7">
        <v>45.0</v>
      </c>
      <c r="M153" s="7" t="s">
        <v>2576</v>
      </c>
      <c r="N153" s="7"/>
      <c r="O153" s="7" t="s">
        <v>4948</v>
      </c>
      <c r="P153" s="7">
        <v>6.5</v>
      </c>
      <c r="Q153" s="7"/>
      <c r="R153" s="7">
        <f t="shared" si="1"/>
        <v>152</v>
      </c>
    </row>
    <row r="154" ht="15.75" customHeight="1">
      <c r="A154" s="7">
        <v>153.0</v>
      </c>
      <c r="B154" s="7" t="s">
        <v>3296</v>
      </c>
      <c r="C154" s="7">
        <v>2.0</v>
      </c>
      <c r="D154" s="7" t="s">
        <v>4904</v>
      </c>
      <c r="E154" s="7"/>
      <c r="F154" s="7">
        <v>60.0</v>
      </c>
      <c r="G154" s="7">
        <v>62.0</v>
      </c>
      <c r="H154" s="7">
        <v>80.0</v>
      </c>
      <c r="I154" s="7"/>
      <c r="J154" s="7">
        <v>63.0</v>
      </c>
      <c r="K154" s="7">
        <v>80.0</v>
      </c>
      <c r="L154" s="7">
        <v>60.0</v>
      </c>
      <c r="M154" s="7" t="s">
        <v>2576</v>
      </c>
      <c r="N154" s="7"/>
      <c r="O154" s="7" t="s">
        <v>4948</v>
      </c>
      <c r="P154" s="7">
        <v>15.8</v>
      </c>
      <c r="Q154" s="7"/>
      <c r="R154" s="7">
        <f t="shared" si="1"/>
        <v>153</v>
      </c>
    </row>
    <row r="155" ht="15.75" customHeight="1">
      <c r="A155" s="7">
        <v>154.0</v>
      </c>
      <c r="B155" s="7" t="s">
        <v>3596</v>
      </c>
      <c r="C155" s="7">
        <v>2.0</v>
      </c>
      <c r="D155" s="7" t="s">
        <v>4904</v>
      </c>
      <c r="E155" s="7"/>
      <c r="F155" s="7">
        <v>80.0</v>
      </c>
      <c r="G155" s="7">
        <v>82.0</v>
      </c>
      <c r="H155" s="7">
        <v>100.0</v>
      </c>
      <c r="I155" s="7"/>
      <c r="J155" s="7">
        <v>83.0</v>
      </c>
      <c r="K155" s="7">
        <v>100.0</v>
      </c>
      <c r="L155" s="7">
        <v>80.0</v>
      </c>
      <c r="M155" s="7" t="s">
        <v>2576</v>
      </c>
      <c r="N155" s="7"/>
      <c r="O155" s="7" t="s">
        <v>4948</v>
      </c>
      <c r="P155" s="7">
        <v>100.5</v>
      </c>
      <c r="Q155" s="7"/>
      <c r="R155" s="7">
        <f t="shared" si="1"/>
        <v>154</v>
      </c>
    </row>
    <row r="156" ht="15.75" customHeight="1">
      <c r="A156" s="7">
        <v>155.0</v>
      </c>
      <c r="B156" s="7" t="s">
        <v>2598</v>
      </c>
      <c r="C156" s="7">
        <v>2.0</v>
      </c>
      <c r="D156" s="7" t="s">
        <v>4906</v>
      </c>
      <c r="E156" s="7"/>
      <c r="F156" s="7">
        <v>39.0</v>
      </c>
      <c r="G156" s="7">
        <v>52.0</v>
      </c>
      <c r="H156" s="7">
        <v>43.0</v>
      </c>
      <c r="I156" s="7"/>
      <c r="J156" s="7">
        <v>60.0</v>
      </c>
      <c r="K156" s="7">
        <v>50.0</v>
      </c>
      <c r="L156" s="7">
        <v>65.0</v>
      </c>
      <c r="M156" s="7" t="s">
        <v>2584</v>
      </c>
      <c r="N156" s="7"/>
      <c r="O156" s="7" t="s">
        <v>3016</v>
      </c>
      <c r="P156" s="7">
        <v>7.9</v>
      </c>
      <c r="Q156" s="7"/>
      <c r="R156" s="7">
        <f t="shared" si="1"/>
        <v>155</v>
      </c>
    </row>
    <row r="157" ht="15.75" customHeight="1">
      <c r="A157" s="7">
        <v>156.0</v>
      </c>
      <c r="B157" s="7" t="s">
        <v>3298</v>
      </c>
      <c r="C157" s="7">
        <v>2.0</v>
      </c>
      <c r="D157" s="7" t="s">
        <v>4906</v>
      </c>
      <c r="E157" s="7"/>
      <c r="F157" s="7">
        <v>58.0</v>
      </c>
      <c r="G157" s="7">
        <v>64.0</v>
      </c>
      <c r="H157" s="7">
        <v>58.0</v>
      </c>
      <c r="I157" s="7"/>
      <c r="J157" s="7">
        <v>80.0</v>
      </c>
      <c r="K157" s="7">
        <v>65.0</v>
      </c>
      <c r="L157" s="7">
        <v>80.0</v>
      </c>
      <c r="M157" s="7" t="s">
        <v>2584</v>
      </c>
      <c r="N157" s="7"/>
      <c r="O157" s="7" t="s">
        <v>3016</v>
      </c>
      <c r="P157" s="7">
        <v>19.0</v>
      </c>
      <c r="Q157" s="7"/>
      <c r="R157" s="7">
        <f t="shared" si="1"/>
        <v>156</v>
      </c>
    </row>
    <row r="158" ht="15.75" customHeight="1">
      <c r="A158" s="7">
        <v>157.0</v>
      </c>
      <c r="B158" s="7" t="s">
        <v>3599</v>
      </c>
      <c r="C158" s="7">
        <v>2.0</v>
      </c>
      <c r="D158" s="7" t="s">
        <v>4906</v>
      </c>
      <c r="E158" s="7"/>
      <c r="F158" s="7">
        <v>78.0</v>
      </c>
      <c r="G158" s="7">
        <v>84.0</v>
      </c>
      <c r="H158" s="7">
        <v>78.0</v>
      </c>
      <c r="I158" s="7"/>
      <c r="J158" s="7">
        <v>109.0</v>
      </c>
      <c r="K158" s="7">
        <v>85.0</v>
      </c>
      <c r="L158" s="7">
        <v>100.0</v>
      </c>
      <c r="M158" s="7" t="s">
        <v>2584</v>
      </c>
      <c r="N158" s="7"/>
      <c r="O158" s="7" t="s">
        <v>3016</v>
      </c>
      <c r="P158" s="7">
        <v>79.5</v>
      </c>
      <c r="Q158" s="7"/>
      <c r="R158" s="7">
        <f t="shared" si="1"/>
        <v>157</v>
      </c>
    </row>
    <row r="159" ht="15.75" customHeight="1">
      <c r="A159" s="7">
        <v>158.0</v>
      </c>
      <c r="B159" s="7" t="s">
        <v>2604</v>
      </c>
      <c r="C159" s="7">
        <v>2.0</v>
      </c>
      <c r="D159" s="7" t="s">
        <v>4908</v>
      </c>
      <c r="E159" s="7"/>
      <c r="F159" s="7">
        <v>50.0</v>
      </c>
      <c r="G159" s="7">
        <v>65.0</v>
      </c>
      <c r="H159" s="7">
        <v>64.0</v>
      </c>
      <c r="I159" s="7"/>
      <c r="J159" s="7">
        <v>44.0</v>
      </c>
      <c r="K159" s="7">
        <v>48.0</v>
      </c>
      <c r="L159" s="7">
        <v>43.0</v>
      </c>
      <c r="M159" s="7" t="s">
        <v>2590</v>
      </c>
      <c r="N159" s="7"/>
      <c r="O159" s="7" t="s">
        <v>3745</v>
      </c>
      <c r="P159" s="7">
        <v>9.5</v>
      </c>
      <c r="Q159" s="7"/>
      <c r="R159" s="7">
        <f t="shared" si="1"/>
        <v>158</v>
      </c>
    </row>
    <row r="160" ht="15.75" customHeight="1">
      <c r="A160" s="7">
        <v>159.0</v>
      </c>
      <c r="B160" s="7" t="s">
        <v>3300</v>
      </c>
      <c r="C160" s="7">
        <v>2.0</v>
      </c>
      <c r="D160" s="7" t="s">
        <v>4908</v>
      </c>
      <c r="E160" s="7"/>
      <c r="F160" s="7">
        <v>65.0</v>
      </c>
      <c r="G160" s="7">
        <v>80.0</v>
      </c>
      <c r="H160" s="7">
        <v>80.0</v>
      </c>
      <c r="I160" s="7"/>
      <c r="J160" s="7">
        <v>59.0</v>
      </c>
      <c r="K160" s="7">
        <v>63.0</v>
      </c>
      <c r="L160" s="7">
        <v>58.0</v>
      </c>
      <c r="M160" s="7" t="s">
        <v>2590</v>
      </c>
      <c r="N160" s="7"/>
      <c r="O160" s="7" t="s">
        <v>3745</v>
      </c>
      <c r="P160" s="7">
        <v>25.0</v>
      </c>
      <c r="Q160" s="7"/>
      <c r="R160" s="7">
        <f t="shared" si="1"/>
        <v>159</v>
      </c>
    </row>
    <row r="161" ht="15.75" customHeight="1">
      <c r="A161" s="7">
        <v>160.0</v>
      </c>
      <c r="B161" s="7" t="s">
        <v>3602</v>
      </c>
      <c r="C161" s="7">
        <v>2.0</v>
      </c>
      <c r="D161" s="7" t="s">
        <v>4908</v>
      </c>
      <c r="E161" s="7"/>
      <c r="F161" s="7">
        <v>85.0</v>
      </c>
      <c r="G161" s="7">
        <v>105.0</v>
      </c>
      <c r="H161" s="7">
        <v>100.0</v>
      </c>
      <c r="I161" s="7"/>
      <c r="J161" s="7">
        <v>79.0</v>
      </c>
      <c r="K161" s="7">
        <v>83.0</v>
      </c>
      <c r="L161" s="7">
        <v>78.0</v>
      </c>
      <c r="M161" s="7" t="s">
        <v>2590</v>
      </c>
      <c r="N161" s="7"/>
      <c r="O161" s="7" t="s">
        <v>3745</v>
      </c>
      <c r="P161" s="7">
        <v>88.8</v>
      </c>
      <c r="Q161" s="7"/>
      <c r="R161" s="7">
        <f t="shared" si="1"/>
        <v>160</v>
      </c>
    </row>
    <row r="162" ht="15.75" customHeight="1">
      <c r="A162" s="7">
        <v>161.0</v>
      </c>
      <c r="B162" s="7" t="s">
        <v>4959</v>
      </c>
      <c r="C162" s="7">
        <v>2.0</v>
      </c>
      <c r="D162" s="7" t="s">
        <v>4916</v>
      </c>
      <c r="E162" s="7"/>
      <c r="F162" s="7">
        <v>35.0</v>
      </c>
      <c r="G162" s="7">
        <v>46.0</v>
      </c>
      <c r="H162" s="7">
        <v>34.0</v>
      </c>
      <c r="I162" s="7"/>
      <c r="J162" s="7">
        <v>35.0</v>
      </c>
      <c r="K162" s="7">
        <v>45.0</v>
      </c>
      <c r="L162" s="7">
        <v>20.0</v>
      </c>
      <c r="M162" s="7" t="s">
        <v>4911</v>
      </c>
      <c r="N162" s="7" t="s">
        <v>2677</v>
      </c>
      <c r="O162" s="7" t="s">
        <v>4928</v>
      </c>
      <c r="P162" s="7">
        <v>6.0</v>
      </c>
      <c r="Q162" s="7"/>
      <c r="R162" s="7">
        <f t="shared" si="1"/>
        <v>161</v>
      </c>
    </row>
    <row r="163" ht="15.75" customHeight="1">
      <c r="A163" s="7">
        <v>162.0</v>
      </c>
      <c r="B163" s="7" t="s">
        <v>3343</v>
      </c>
      <c r="C163" s="7">
        <v>2.0</v>
      </c>
      <c r="D163" s="7" t="s">
        <v>4916</v>
      </c>
      <c r="E163" s="7"/>
      <c r="F163" s="7">
        <v>85.0</v>
      </c>
      <c r="G163" s="7">
        <v>76.0</v>
      </c>
      <c r="H163" s="7">
        <v>64.0</v>
      </c>
      <c r="I163" s="7"/>
      <c r="J163" s="7">
        <v>45.0</v>
      </c>
      <c r="K163" s="7">
        <v>55.0</v>
      </c>
      <c r="L163" s="7">
        <v>90.0</v>
      </c>
      <c r="M163" s="7" t="s">
        <v>4911</v>
      </c>
      <c r="N163" s="7" t="s">
        <v>2677</v>
      </c>
      <c r="O163" s="7" t="s">
        <v>4928</v>
      </c>
      <c r="P163" s="7">
        <v>32.5</v>
      </c>
      <c r="Q163" s="7"/>
      <c r="R163" s="7">
        <f t="shared" si="1"/>
        <v>162</v>
      </c>
    </row>
    <row r="164" ht="15.75" customHeight="1">
      <c r="A164" s="7">
        <v>163.0</v>
      </c>
      <c r="B164" s="7" t="s">
        <v>4960</v>
      </c>
      <c r="C164" s="7">
        <v>2.0</v>
      </c>
      <c r="D164" s="7" t="s">
        <v>4916</v>
      </c>
      <c r="E164" s="7" t="s">
        <v>4907</v>
      </c>
      <c r="F164" s="7">
        <v>60.0</v>
      </c>
      <c r="G164" s="7">
        <v>30.0</v>
      </c>
      <c r="H164" s="7">
        <v>30.0</v>
      </c>
      <c r="I164" s="7"/>
      <c r="J164" s="7">
        <v>36.0</v>
      </c>
      <c r="K164" s="7">
        <v>56.0</v>
      </c>
      <c r="L164" s="7">
        <v>50.0</v>
      </c>
      <c r="M164" s="7" t="s">
        <v>2735</v>
      </c>
      <c r="N164" s="7" t="s">
        <v>2677</v>
      </c>
      <c r="O164" s="7" t="s">
        <v>3240</v>
      </c>
      <c r="P164" s="7">
        <v>21.2</v>
      </c>
      <c r="Q164" s="7"/>
      <c r="R164" s="7">
        <f t="shared" si="1"/>
        <v>163</v>
      </c>
    </row>
    <row r="165" ht="15.75" customHeight="1">
      <c r="A165" s="7">
        <v>164.0</v>
      </c>
      <c r="B165" s="7" t="s">
        <v>3450</v>
      </c>
      <c r="C165" s="7">
        <v>2.0</v>
      </c>
      <c r="D165" s="7" t="s">
        <v>4916</v>
      </c>
      <c r="E165" s="7" t="s">
        <v>4907</v>
      </c>
      <c r="F165" s="7">
        <v>100.0</v>
      </c>
      <c r="G165" s="7">
        <v>50.0</v>
      </c>
      <c r="H165" s="7">
        <v>50.0</v>
      </c>
      <c r="I165" s="7"/>
      <c r="J165" s="7">
        <f>IF($A$1&lt;7,76,86)</f>
        <v>86</v>
      </c>
      <c r="K165" s="7">
        <v>96.0</v>
      </c>
      <c r="L165" s="7">
        <v>70.0</v>
      </c>
      <c r="M165" s="7" t="s">
        <v>2735</v>
      </c>
      <c r="N165" s="7" t="s">
        <v>2677</v>
      </c>
      <c r="O165" s="7" t="s">
        <v>3240</v>
      </c>
      <c r="P165" s="7">
        <v>40.8</v>
      </c>
      <c r="Q165" s="7"/>
      <c r="R165" s="7">
        <f t="shared" si="1"/>
        <v>164</v>
      </c>
    </row>
    <row r="166" ht="15.75" customHeight="1">
      <c r="A166" s="7">
        <v>165.0</v>
      </c>
      <c r="B166" s="7" t="s">
        <v>4961</v>
      </c>
      <c r="C166" s="7">
        <v>2.0</v>
      </c>
      <c r="D166" s="7" t="s">
        <v>4910</v>
      </c>
      <c r="E166" s="7" t="s">
        <v>4907</v>
      </c>
      <c r="F166" s="7">
        <v>40.0</v>
      </c>
      <c r="G166" s="7">
        <v>20.0</v>
      </c>
      <c r="H166" s="7">
        <v>30.0</v>
      </c>
      <c r="I166" s="7"/>
      <c r="J166" s="7">
        <v>40.0</v>
      </c>
      <c r="K166" s="7">
        <v>80.0</v>
      </c>
      <c r="L166" s="7">
        <v>55.0</v>
      </c>
      <c r="M166" s="7" t="s">
        <v>3181</v>
      </c>
      <c r="N166" s="7" t="s">
        <v>2842</v>
      </c>
      <c r="O166" s="7" t="s">
        <v>4951</v>
      </c>
      <c r="P166" s="7">
        <v>10.8</v>
      </c>
      <c r="Q166" s="7"/>
      <c r="R166" s="7">
        <f t="shared" si="1"/>
        <v>165</v>
      </c>
    </row>
    <row r="167" ht="15.75" customHeight="1">
      <c r="A167" s="7">
        <v>166.0</v>
      </c>
      <c r="B167" s="7" t="s">
        <v>3211</v>
      </c>
      <c r="C167" s="7">
        <v>2.0</v>
      </c>
      <c r="D167" s="7" t="s">
        <v>4910</v>
      </c>
      <c r="E167" s="7" t="s">
        <v>4907</v>
      </c>
      <c r="F167" s="7">
        <v>55.0</v>
      </c>
      <c r="G167" s="7">
        <v>35.0</v>
      </c>
      <c r="H167" s="7">
        <v>50.0</v>
      </c>
      <c r="I167" s="7"/>
      <c r="J167" s="7">
        <v>55.0</v>
      </c>
      <c r="K167" s="7">
        <v>110.0</v>
      </c>
      <c r="L167" s="7">
        <v>85.0</v>
      </c>
      <c r="M167" s="7" t="s">
        <v>3181</v>
      </c>
      <c r="N167" s="7" t="s">
        <v>2842</v>
      </c>
      <c r="O167" s="7" t="s">
        <v>3487</v>
      </c>
      <c r="P167" s="7">
        <v>35.6</v>
      </c>
      <c r="Q167" s="7"/>
      <c r="R167" s="7">
        <f t="shared" si="1"/>
        <v>166</v>
      </c>
    </row>
    <row r="168" ht="15.75" customHeight="1">
      <c r="A168" s="7">
        <v>167.0</v>
      </c>
      <c r="B168" s="7" t="s">
        <v>4962</v>
      </c>
      <c r="C168" s="7">
        <v>2.0</v>
      </c>
      <c r="D168" s="7" t="s">
        <v>4910</v>
      </c>
      <c r="E168" s="7" t="s">
        <v>4905</v>
      </c>
      <c r="F168" s="7">
        <v>40.0</v>
      </c>
      <c r="G168" s="7">
        <v>60.0</v>
      </c>
      <c r="H168" s="7">
        <v>40.0</v>
      </c>
      <c r="I168" s="7"/>
      <c r="J168" s="7">
        <v>40.0</v>
      </c>
      <c r="K168" s="7">
        <v>40.0</v>
      </c>
      <c r="L168" s="7">
        <v>30.0</v>
      </c>
      <c r="M168" s="7" t="s">
        <v>3181</v>
      </c>
      <c r="N168" s="7" t="s">
        <v>2735</v>
      </c>
      <c r="O168" s="7" t="s">
        <v>2773</v>
      </c>
      <c r="P168" s="7">
        <v>8.5</v>
      </c>
      <c r="Q168" s="7"/>
      <c r="R168" s="7">
        <f t="shared" si="1"/>
        <v>167</v>
      </c>
    </row>
    <row r="169" ht="15.75" customHeight="1">
      <c r="A169" s="7">
        <v>168.0</v>
      </c>
      <c r="B169" s="7" t="s">
        <v>3213</v>
      </c>
      <c r="C169" s="7">
        <v>2.0</v>
      </c>
      <c r="D169" s="7" t="s">
        <v>4910</v>
      </c>
      <c r="E169" s="7" t="s">
        <v>4905</v>
      </c>
      <c r="F169" s="7">
        <v>70.0</v>
      </c>
      <c r="G169" s="7">
        <v>90.0</v>
      </c>
      <c r="H169" s="7">
        <v>70.0</v>
      </c>
      <c r="I169" s="7"/>
      <c r="J169" s="7">
        <v>60.0</v>
      </c>
      <c r="K169" s="7">
        <f>IF($A$1&lt;7,60,70)</f>
        <v>70</v>
      </c>
      <c r="L169" s="7">
        <v>40.0</v>
      </c>
      <c r="M169" s="7" t="s">
        <v>3181</v>
      </c>
      <c r="N169" s="7" t="s">
        <v>2735</v>
      </c>
      <c r="O169" s="7" t="s">
        <v>2773</v>
      </c>
      <c r="P169" s="7">
        <v>33.5</v>
      </c>
      <c r="Q169" s="7"/>
      <c r="R169" s="7">
        <f t="shared" si="1"/>
        <v>168</v>
      </c>
    </row>
    <row r="170" ht="15.75" customHeight="1">
      <c r="A170" s="7">
        <v>169.0</v>
      </c>
      <c r="B170" s="7" t="s">
        <v>3898</v>
      </c>
      <c r="C170" s="7">
        <v>2.0</v>
      </c>
      <c r="D170" s="7" t="s">
        <v>4905</v>
      </c>
      <c r="E170" s="7" t="s">
        <v>4907</v>
      </c>
      <c r="F170" s="7">
        <v>85.0</v>
      </c>
      <c r="G170" s="7">
        <v>90.0</v>
      </c>
      <c r="H170" s="7">
        <v>80.0</v>
      </c>
      <c r="I170" s="7"/>
      <c r="J170" s="7">
        <v>70.0</v>
      </c>
      <c r="K170" s="7">
        <v>80.0</v>
      </c>
      <c r="L170" s="7">
        <v>130.0</v>
      </c>
      <c r="M170" s="7" t="s">
        <v>3233</v>
      </c>
      <c r="N170" s="7"/>
      <c r="O170" s="7" t="s">
        <v>4553</v>
      </c>
      <c r="P170" s="7">
        <v>75.0</v>
      </c>
      <c r="Q170" s="7"/>
      <c r="R170" s="7">
        <f t="shared" si="1"/>
        <v>169</v>
      </c>
    </row>
    <row r="171" ht="15.75" customHeight="1">
      <c r="A171" s="7">
        <v>170.0</v>
      </c>
      <c r="B171" s="7" t="s">
        <v>2999</v>
      </c>
      <c r="C171" s="7">
        <v>2.0</v>
      </c>
      <c r="D171" s="7" t="s">
        <v>4908</v>
      </c>
      <c r="E171" s="7" t="s">
        <v>4921</v>
      </c>
      <c r="F171" s="7">
        <v>75.0</v>
      </c>
      <c r="G171" s="7">
        <v>38.0</v>
      </c>
      <c r="H171" s="7">
        <v>38.0</v>
      </c>
      <c r="I171" s="7"/>
      <c r="J171" s="7">
        <v>56.0</v>
      </c>
      <c r="K171" s="7">
        <v>56.0</v>
      </c>
      <c r="L171" s="7">
        <v>67.0</v>
      </c>
      <c r="M171" s="7" t="s">
        <v>3000</v>
      </c>
      <c r="N171" s="7" t="s">
        <v>3066</v>
      </c>
      <c r="O171" s="7" t="s">
        <v>3059</v>
      </c>
      <c r="P171" s="7">
        <v>12.0</v>
      </c>
      <c r="Q171" s="7"/>
      <c r="R171" s="7">
        <f t="shared" si="1"/>
        <v>170</v>
      </c>
    </row>
    <row r="172" ht="15.75" customHeight="1">
      <c r="A172" s="7">
        <v>171.0</v>
      </c>
      <c r="B172" s="7" t="s">
        <v>3648</v>
      </c>
      <c r="C172" s="7">
        <v>2.0</v>
      </c>
      <c r="D172" s="7" t="s">
        <v>4908</v>
      </c>
      <c r="E172" s="7" t="s">
        <v>4921</v>
      </c>
      <c r="F172" s="7">
        <v>125.0</v>
      </c>
      <c r="G172" s="7">
        <v>58.0</v>
      </c>
      <c r="H172" s="7">
        <v>58.0</v>
      </c>
      <c r="I172" s="7"/>
      <c r="J172" s="7">
        <v>76.0</v>
      </c>
      <c r="K172" s="7">
        <v>76.0</v>
      </c>
      <c r="L172" s="7">
        <v>67.0</v>
      </c>
      <c r="M172" s="7" t="s">
        <v>3000</v>
      </c>
      <c r="N172" s="7" t="s">
        <v>3066</v>
      </c>
      <c r="O172" s="7" t="s">
        <v>3059</v>
      </c>
      <c r="P172" s="7">
        <v>22.5</v>
      </c>
      <c r="Q172" s="7"/>
      <c r="R172" s="7">
        <f t="shared" si="1"/>
        <v>171</v>
      </c>
    </row>
    <row r="173" ht="15.75" customHeight="1">
      <c r="A173" s="7">
        <v>172.0</v>
      </c>
      <c r="B173" s="7" t="s">
        <v>4963</v>
      </c>
      <c r="C173" s="7">
        <v>2.0</v>
      </c>
      <c r="D173" s="7" t="s">
        <v>4921</v>
      </c>
      <c r="E173" s="7"/>
      <c r="F173" s="7">
        <v>20.0</v>
      </c>
      <c r="G173" s="7">
        <v>40.0</v>
      </c>
      <c r="H173" s="7">
        <v>15.0</v>
      </c>
      <c r="I173" s="7"/>
      <c r="J173" s="7">
        <v>35.0</v>
      </c>
      <c r="K173" s="7">
        <v>35.0</v>
      </c>
      <c r="L173" s="7">
        <v>60.0</v>
      </c>
      <c r="M173" s="7" t="s">
        <v>3136</v>
      </c>
      <c r="N173" s="7"/>
      <c r="O173" s="7" t="s">
        <v>2747</v>
      </c>
      <c r="P173" s="7">
        <v>2.0</v>
      </c>
      <c r="Q173" s="7"/>
      <c r="R173" s="7">
        <f t="shared" si="1"/>
        <v>172</v>
      </c>
    </row>
    <row r="174" ht="15.75" customHeight="1">
      <c r="A174" s="7">
        <v>173.0</v>
      </c>
      <c r="B174" s="7" t="s">
        <v>4964</v>
      </c>
      <c r="C174" s="7">
        <v>2.0</v>
      </c>
      <c r="D174" s="7" t="str">
        <f>IF($A$1&lt;6,"Normal","Fairy")</f>
        <v>Fairy</v>
      </c>
      <c r="E174" s="7"/>
      <c r="F174" s="7">
        <v>50.0</v>
      </c>
      <c r="G174" s="7">
        <v>25.0</v>
      </c>
      <c r="H174" s="7">
        <v>28.0</v>
      </c>
      <c r="I174" s="7"/>
      <c r="J174" s="7">
        <v>45.0</v>
      </c>
      <c r="K174" s="7">
        <v>55.0</v>
      </c>
      <c r="L174" s="7">
        <v>15.0</v>
      </c>
      <c r="M174" s="7" t="s">
        <v>3172</v>
      </c>
      <c r="N174" s="7" t="s">
        <v>2958</v>
      </c>
      <c r="O174" s="7" t="s">
        <v>4926</v>
      </c>
      <c r="P174" s="7">
        <v>3.0</v>
      </c>
      <c r="Q174" s="7"/>
      <c r="R174" s="7">
        <f t="shared" si="1"/>
        <v>173</v>
      </c>
    </row>
    <row r="175" ht="15.75" customHeight="1">
      <c r="A175" s="7">
        <v>174.0</v>
      </c>
      <c r="B175" s="7" t="s">
        <v>4965</v>
      </c>
      <c r="C175" s="7">
        <v>2.0</v>
      </c>
      <c r="D175" s="7" t="s">
        <v>4916</v>
      </c>
      <c r="E175" s="7" t="str">
        <f>IF($A$1&lt;6,"","Fairy")</f>
        <v>Fairy</v>
      </c>
      <c r="F175" s="7">
        <v>90.0</v>
      </c>
      <c r="G175" s="7">
        <v>30.0</v>
      </c>
      <c r="H175" s="7">
        <v>15.0</v>
      </c>
      <c r="I175" s="7"/>
      <c r="J175" s="7">
        <v>40.0</v>
      </c>
      <c r="K175" s="7">
        <v>20.0</v>
      </c>
      <c r="L175" s="7">
        <v>15.0</v>
      </c>
      <c r="M175" s="7" t="s">
        <v>3172</v>
      </c>
      <c r="N175" s="7" t="s">
        <v>3377</v>
      </c>
      <c r="O175" s="7" t="s">
        <v>4926</v>
      </c>
      <c r="P175" s="7">
        <v>1.0</v>
      </c>
      <c r="Q175" s="7"/>
      <c r="R175" s="7">
        <f t="shared" si="1"/>
        <v>174</v>
      </c>
    </row>
    <row r="176" ht="15.75" customHeight="1">
      <c r="A176" s="7">
        <v>175.0</v>
      </c>
      <c r="B176" s="7" t="s">
        <v>4966</v>
      </c>
      <c r="C176" s="7">
        <v>2.0</v>
      </c>
      <c r="D176" s="7" t="str">
        <f t="shared" ref="D176:D177" si="7">IF($A$1&lt;6,"Normal","Fairy")</f>
        <v>Fairy</v>
      </c>
      <c r="E176" s="7"/>
      <c r="F176" s="7">
        <v>35.0</v>
      </c>
      <c r="G176" s="7">
        <v>20.0</v>
      </c>
      <c r="H176" s="7">
        <v>65.0</v>
      </c>
      <c r="I176" s="7"/>
      <c r="J176" s="7">
        <v>40.0</v>
      </c>
      <c r="K176" s="7">
        <v>65.0</v>
      </c>
      <c r="L176" s="7">
        <v>20.0</v>
      </c>
      <c r="M176" s="7" t="s">
        <v>3924</v>
      </c>
      <c r="N176" s="7" t="s">
        <v>2662</v>
      </c>
      <c r="O176" s="7" t="s">
        <v>3826</v>
      </c>
      <c r="P176" s="7">
        <v>1.5</v>
      </c>
      <c r="Q176" s="7"/>
      <c r="R176" s="7">
        <f t="shared" si="1"/>
        <v>175</v>
      </c>
    </row>
    <row r="177" ht="15.75" customHeight="1">
      <c r="A177" s="7">
        <v>176.0</v>
      </c>
      <c r="B177" s="7" t="s">
        <v>3259</v>
      </c>
      <c r="C177" s="7">
        <v>2.0</v>
      </c>
      <c r="D177" s="7" t="str">
        <f t="shared" si="7"/>
        <v>Fairy</v>
      </c>
      <c r="E177" s="7" t="s">
        <v>4907</v>
      </c>
      <c r="F177" s="7">
        <v>55.0</v>
      </c>
      <c r="G177" s="7">
        <v>40.0</v>
      </c>
      <c r="H177" s="7">
        <v>85.0</v>
      </c>
      <c r="I177" s="7"/>
      <c r="J177" s="7">
        <v>80.0</v>
      </c>
      <c r="K177" s="7">
        <v>105.0</v>
      </c>
      <c r="L177" s="7">
        <v>40.0</v>
      </c>
      <c r="M177" s="7" t="s">
        <v>3924</v>
      </c>
      <c r="N177" s="7" t="s">
        <v>2662</v>
      </c>
      <c r="O177" s="7" t="s">
        <v>3826</v>
      </c>
      <c r="P177" s="7">
        <v>3.2</v>
      </c>
      <c r="Q177" s="7"/>
      <c r="R177" s="7">
        <f t="shared" si="1"/>
        <v>176</v>
      </c>
    </row>
    <row r="178" ht="15.75" customHeight="1">
      <c r="A178" s="7">
        <v>177.0</v>
      </c>
      <c r="B178" s="7" t="s">
        <v>2950</v>
      </c>
      <c r="C178" s="7">
        <v>2.0</v>
      </c>
      <c r="D178" s="7" t="s">
        <v>2659</v>
      </c>
      <c r="E178" s="7" t="s">
        <v>4907</v>
      </c>
      <c r="F178" s="7">
        <v>40.0</v>
      </c>
      <c r="G178" s="7">
        <v>50.0</v>
      </c>
      <c r="H178" s="7">
        <v>45.0</v>
      </c>
      <c r="I178" s="7"/>
      <c r="J178" s="7">
        <v>70.0</v>
      </c>
      <c r="K178" s="7">
        <v>45.0</v>
      </c>
      <c r="L178" s="7">
        <v>70.0</v>
      </c>
      <c r="M178" s="7" t="s">
        <v>3849</v>
      </c>
      <c r="N178" s="7" t="s">
        <v>2842</v>
      </c>
      <c r="O178" s="7" t="s">
        <v>2953</v>
      </c>
      <c r="P178" s="7">
        <v>2.0</v>
      </c>
      <c r="Q178" s="7"/>
      <c r="R178" s="7">
        <f t="shared" si="1"/>
        <v>177</v>
      </c>
    </row>
    <row r="179" ht="15.75" customHeight="1">
      <c r="A179" s="7">
        <v>178.0</v>
      </c>
      <c r="B179" s="7" t="s">
        <v>3540</v>
      </c>
      <c r="C179" s="7">
        <v>2.0</v>
      </c>
      <c r="D179" s="7" t="s">
        <v>2659</v>
      </c>
      <c r="E179" s="7" t="s">
        <v>4907</v>
      </c>
      <c r="F179" s="7">
        <v>65.0</v>
      </c>
      <c r="G179" s="7">
        <v>75.0</v>
      </c>
      <c r="H179" s="7">
        <v>70.0</v>
      </c>
      <c r="I179" s="7"/>
      <c r="J179" s="7">
        <v>95.0</v>
      </c>
      <c r="K179" s="7">
        <v>70.0</v>
      </c>
      <c r="L179" s="7">
        <v>95.0</v>
      </c>
      <c r="M179" s="7" t="s">
        <v>3849</v>
      </c>
      <c r="N179" s="7" t="s">
        <v>2842</v>
      </c>
      <c r="O179" s="7" t="s">
        <v>2953</v>
      </c>
      <c r="P179" s="7">
        <v>15.0</v>
      </c>
      <c r="Q179" s="7"/>
      <c r="R179" s="7">
        <f t="shared" si="1"/>
        <v>178</v>
      </c>
    </row>
    <row r="180" ht="15.75" customHeight="1">
      <c r="A180" s="7">
        <v>179.0</v>
      </c>
      <c r="B180" s="7" t="s">
        <v>4967</v>
      </c>
      <c r="C180" s="7">
        <v>2.0</v>
      </c>
      <c r="D180" s="7" t="s">
        <v>4921</v>
      </c>
      <c r="E180" s="7"/>
      <c r="F180" s="7">
        <v>55.0</v>
      </c>
      <c r="G180" s="7">
        <v>40.0</v>
      </c>
      <c r="H180" s="7">
        <v>40.0</v>
      </c>
      <c r="I180" s="7"/>
      <c r="J180" s="7">
        <v>65.0</v>
      </c>
      <c r="K180" s="7">
        <v>45.0</v>
      </c>
      <c r="L180" s="7">
        <v>35.0</v>
      </c>
      <c r="M180" s="7" t="s">
        <v>3136</v>
      </c>
      <c r="N180" s="7"/>
      <c r="O180" s="7" t="s">
        <v>3272</v>
      </c>
      <c r="P180" s="7">
        <v>7.8</v>
      </c>
      <c r="Q180" s="7"/>
      <c r="R180" s="7">
        <f t="shared" si="1"/>
        <v>179</v>
      </c>
    </row>
    <row r="181" ht="15.75" customHeight="1">
      <c r="A181" s="7">
        <v>180.0</v>
      </c>
      <c r="B181" s="7" t="s">
        <v>3156</v>
      </c>
      <c r="C181" s="7">
        <v>2.0</v>
      </c>
      <c r="D181" s="7" t="s">
        <v>4921</v>
      </c>
      <c r="E181" s="7"/>
      <c r="F181" s="7">
        <v>70.0</v>
      </c>
      <c r="G181" s="7">
        <v>55.0</v>
      </c>
      <c r="H181" s="7">
        <v>55.0</v>
      </c>
      <c r="I181" s="7"/>
      <c r="J181" s="7">
        <v>80.0</v>
      </c>
      <c r="K181" s="7">
        <v>60.0</v>
      </c>
      <c r="L181" s="7">
        <v>45.0</v>
      </c>
      <c r="M181" s="7" t="s">
        <v>3136</v>
      </c>
      <c r="N181" s="7"/>
      <c r="O181" s="7" t="s">
        <v>3272</v>
      </c>
      <c r="P181" s="7">
        <v>13.3</v>
      </c>
      <c r="Q181" s="7"/>
      <c r="R181" s="7">
        <f t="shared" si="1"/>
        <v>180</v>
      </c>
    </row>
    <row r="182" ht="15.75" customHeight="1">
      <c r="A182" s="7">
        <v>181.0</v>
      </c>
      <c r="B182" s="7" t="s">
        <v>3776</v>
      </c>
      <c r="C182" s="7">
        <v>2.0</v>
      </c>
      <c r="D182" s="7" t="s">
        <v>4921</v>
      </c>
      <c r="E182" s="7"/>
      <c r="F182" s="7">
        <v>90.0</v>
      </c>
      <c r="G182" s="7">
        <v>75.0</v>
      </c>
      <c r="H182" s="7">
        <f>IF($A$1&lt;6,75,85)</f>
        <v>85</v>
      </c>
      <c r="I182" s="7"/>
      <c r="J182" s="7">
        <v>115.0</v>
      </c>
      <c r="K182" s="7">
        <v>90.0</v>
      </c>
      <c r="L182" s="7">
        <v>55.0</v>
      </c>
      <c r="M182" s="7" t="s">
        <v>3136</v>
      </c>
      <c r="N182" s="7"/>
      <c r="O182" s="7" t="s">
        <v>3272</v>
      </c>
      <c r="P182" s="7">
        <v>61.5</v>
      </c>
      <c r="Q182" s="7"/>
      <c r="R182" s="7">
        <f t="shared" si="1"/>
        <v>181</v>
      </c>
    </row>
    <row r="183" ht="15.75" customHeight="1">
      <c r="A183" s="7">
        <v>182.0</v>
      </c>
      <c r="B183" s="7" t="s">
        <v>3556</v>
      </c>
      <c r="C183" s="7">
        <v>2.0</v>
      </c>
      <c r="D183" s="7" t="s">
        <v>4904</v>
      </c>
      <c r="E183" s="7"/>
      <c r="F183" s="7">
        <v>75.0</v>
      </c>
      <c r="G183" s="7">
        <v>80.0</v>
      </c>
      <c r="H183" s="7">
        <f>IF($A$1&lt;6,85,95)</f>
        <v>95</v>
      </c>
      <c r="I183" s="7"/>
      <c r="J183" s="7">
        <v>90.0</v>
      </c>
      <c r="K183" s="7">
        <v>100.0</v>
      </c>
      <c r="L183" s="7">
        <v>50.0</v>
      </c>
      <c r="M183" s="7" t="s">
        <v>2701</v>
      </c>
      <c r="N183" s="7"/>
      <c r="O183" s="7" t="s">
        <v>4947</v>
      </c>
      <c r="P183" s="7">
        <v>5.8</v>
      </c>
      <c r="Q183" s="7"/>
      <c r="R183" s="7">
        <f t="shared" si="1"/>
        <v>182</v>
      </c>
    </row>
    <row r="184" ht="15.75" customHeight="1">
      <c r="A184" s="7">
        <v>183.0</v>
      </c>
      <c r="B184" s="7" t="s">
        <v>4968</v>
      </c>
      <c r="C184" s="7">
        <v>2.0</v>
      </c>
      <c r="D184" s="7" t="s">
        <v>4908</v>
      </c>
      <c r="E184" s="7" t="str">
        <f t="shared" ref="E184:E185" si="8">IF($A$1&lt;6,"","Fairy")</f>
        <v>Fairy</v>
      </c>
      <c r="F184" s="7">
        <v>70.0</v>
      </c>
      <c r="G184" s="7">
        <v>20.0</v>
      </c>
      <c r="H184" s="7">
        <v>50.0</v>
      </c>
      <c r="I184" s="7"/>
      <c r="J184" s="7">
        <v>20.0</v>
      </c>
      <c r="K184" s="7">
        <v>50.0</v>
      </c>
      <c r="L184" s="7">
        <v>40.0</v>
      </c>
      <c r="M184" s="7" t="s">
        <v>2968</v>
      </c>
      <c r="N184" s="7" t="s">
        <v>3286</v>
      </c>
      <c r="O184" s="7" t="s">
        <v>3490</v>
      </c>
      <c r="P184" s="7">
        <v>8.5</v>
      </c>
      <c r="Q184" s="7"/>
      <c r="R184" s="7">
        <f t="shared" si="1"/>
        <v>183</v>
      </c>
    </row>
    <row r="185" ht="15.75" customHeight="1">
      <c r="A185" s="7">
        <v>184.0</v>
      </c>
      <c r="B185" s="7" t="s">
        <v>3284</v>
      </c>
      <c r="C185" s="7">
        <v>2.0</v>
      </c>
      <c r="D185" s="7" t="s">
        <v>4908</v>
      </c>
      <c r="E185" s="7" t="str">
        <f t="shared" si="8"/>
        <v>Fairy</v>
      </c>
      <c r="F185" s="7">
        <v>100.0</v>
      </c>
      <c r="G185" s="7">
        <v>50.0</v>
      </c>
      <c r="H185" s="7">
        <v>80.0</v>
      </c>
      <c r="I185" s="7"/>
      <c r="J185" s="7">
        <f>IF($A$1&lt;6,50,60)</f>
        <v>60</v>
      </c>
      <c r="K185" s="7">
        <v>80.0</v>
      </c>
      <c r="L185" s="7">
        <v>50.0</v>
      </c>
      <c r="M185" s="7" t="s">
        <v>2968</v>
      </c>
      <c r="N185" s="7" t="s">
        <v>3286</v>
      </c>
      <c r="O185" s="7" t="s">
        <v>3490</v>
      </c>
      <c r="P185" s="7">
        <v>28.5</v>
      </c>
      <c r="Q185" s="7"/>
      <c r="R185" s="7">
        <f t="shared" si="1"/>
        <v>184</v>
      </c>
    </row>
    <row r="186" ht="15.75" customHeight="1">
      <c r="A186" s="7">
        <v>185.0</v>
      </c>
      <c r="B186" s="7" t="s">
        <v>3318</v>
      </c>
      <c r="C186" s="7">
        <v>2.0</v>
      </c>
      <c r="D186" s="7" t="s">
        <v>4940</v>
      </c>
      <c r="E186" s="7"/>
      <c r="F186" s="7">
        <v>70.0</v>
      </c>
      <c r="G186" s="7">
        <v>100.0</v>
      </c>
      <c r="H186" s="7">
        <v>115.0</v>
      </c>
      <c r="I186" s="7"/>
      <c r="J186" s="7">
        <v>30.0</v>
      </c>
      <c r="K186" s="7">
        <v>65.0</v>
      </c>
      <c r="L186" s="7">
        <v>30.0</v>
      </c>
      <c r="M186" s="7" t="s">
        <v>2728</v>
      </c>
      <c r="N186" s="7" t="s">
        <v>2792</v>
      </c>
      <c r="O186" s="7" t="s">
        <v>4951</v>
      </c>
      <c r="P186" s="7">
        <v>38.0</v>
      </c>
      <c r="Q186" s="7"/>
      <c r="R186" s="7">
        <f t="shared" si="1"/>
        <v>185</v>
      </c>
    </row>
    <row r="187" ht="15.75" customHeight="1">
      <c r="A187" s="7">
        <v>186.0</v>
      </c>
      <c r="B187" s="7" t="s">
        <v>3779</v>
      </c>
      <c r="C187" s="7">
        <v>2.0</v>
      </c>
      <c r="D187" s="7" t="s">
        <v>4908</v>
      </c>
      <c r="E187" s="7"/>
      <c r="F187" s="7">
        <v>90.0</v>
      </c>
      <c r="G187" s="7">
        <v>75.0</v>
      </c>
      <c r="H187" s="7">
        <v>75.0</v>
      </c>
      <c r="I187" s="7"/>
      <c r="J187" s="7">
        <v>90.0</v>
      </c>
      <c r="K187" s="7">
        <v>100.0</v>
      </c>
      <c r="L187" s="7">
        <v>70.0</v>
      </c>
      <c r="M187" s="7" t="s">
        <v>3059</v>
      </c>
      <c r="N187" s="7" t="s">
        <v>4403</v>
      </c>
      <c r="O187" s="7" t="s">
        <v>3399</v>
      </c>
      <c r="P187" s="7">
        <v>33.9</v>
      </c>
      <c r="Q187" s="7"/>
      <c r="R187" s="7">
        <f t="shared" si="1"/>
        <v>186</v>
      </c>
    </row>
    <row r="188" ht="15.75" customHeight="1">
      <c r="A188" s="7">
        <v>187.0</v>
      </c>
      <c r="B188" s="7" t="s">
        <v>4969</v>
      </c>
      <c r="C188" s="7">
        <v>2.0</v>
      </c>
      <c r="D188" s="7" t="s">
        <v>4904</v>
      </c>
      <c r="E188" s="7" t="s">
        <v>4907</v>
      </c>
      <c r="F188" s="7">
        <v>35.0</v>
      </c>
      <c r="G188" s="7">
        <v>35.0</v>
      </c>
      <c r="H188" s="7">
        <v>40.0</v>
      </c>
      <c r="I188" s="7"/>
      <c r="J188" s="7">
        <v>35.0</v>
      </c>
      <c r="K188" s="7">
        <v>55.0</v>
      </c>
      <c r="L188" s="7">
        <v>50.0</v>
      </c>
      <c r="M188" s="7" t="s">
        <v>2701</v>
      </c>
      <c r="N188" s="7" t="s">
        <v>4948</v>
      </c>
      <c r="O188" s="7" t="s">
        <v>4553</v>
      </c>
      <c r="P188" s="7">
        <v>0.5</v>
      </c>
      <c r="Q188" s="7"/>
      <c r="R188" s="7">
        <f t="shared" si="1"/>
        <v>187</v>
      </c>
    </row>
    <row r="189" ht="15.75" customHeight="1">
      <c r="A189" s="7">
        <v>188.0</v>
      </c>
      <c r="B189" s="7" t="s">
        <v>3068</v>
      </c>
      <c r="C189" s="7">
        <v>2.0</v>
      </c>
      <c r="D189" s="7" t="s">
        <v>4904</v>
      </c>
      <c r="E189" s="7" t="s">
        <v>4907</v>
      </c>
      <c r="F189" s="7">
        <v>55.0</v>
      </c>
      <c r="G189" s="7">
        <v>45.0</v>
      </c>
      <c r="H189" s="7">
        <v>50.0</v>
      </c>
      <c r="I189" s="7"/>
      <c r="J189" s="7">
        <v>45.0</v>
      </c>
      <c r="K189" s="7">
        <v>65.0</v>
      </c>
      <c r="L189" s="7">
        <v>80.0</v>
      </c>
      <c r="M189" s="7" t="s">
        <v>2701</v>
      </c>
      <c r="N189" s="7" t="s">
        <v>4948</v>
      </c>
      <c r="O189" s="7" t="s">
        <v>4553</v>
      </c>
      <c r="P189" s="7">
        <v>1.0</v>
      </c>
      <c r="Q189" s="7"/>
      <c r="R189" s="7">
        <f t="shared" si="1"/>
        <v>188</v>
      </c>
    </row>
    <row r="190" ht="15.75" customHeight="1">
      <c r="A190" s="7">
        <v>189.0</v>
      </c>
      <c r="B190" s="7" t="s">
        <v>3463</v>
      </c>
      <c r="C190" s="7">
        <v>2.0</v>
      </c>
      <c r="D190" s="7" t="s">
        <v>4904</v>
      </c>
      <c r="E190" s="7" t="s">
        <v>4907</v>
      </c>
      <c r="F190" s="7">
        <v>75.0</v>
      </c>
      <c r="G190" s="7">
        <v>55.0</v>
      </c>
      <c r="H190" s="7">
        <v>70.0</v>
      </c>
      <c r="I190" s="7"/>
      <c r="J190" s="7">
        <v>55.0</v>
      </c>
      <c r="K190" s="7">
        <f>IF($A$1&lt;6,85,95)</f>
        <v>95</v>
      </c>
      <c r="L190" s="7">
        <v>110.0</v>
      </c>
      <c r="M190" s="7" t="s">
        <v>2701</v>
      </c>
      <c r="N190" s="7" t="s">
        <v>4948</v>
      </c>
      <c r="O190" s="7" t="s">
        <v>4553</v>
      </c>
      <c r="P190" s="7">
        <v>3.0</v>
      </c>
      <c r="Q190" s="7"/>
      <c r="R190" s="7">
        <f t="shared" si="1"/>
        <v>189</v>
      </c>
    </row>
    <row r="191" ht="15.75" customHeight="1">
      <c r="A191" s="7">
        <v>190.0</v>
      </c>
      <c r="B191" s="7" t="s">
        <v>3128</v>
      </c>
      <c r="C191" s="7">
        <v>2.0</v>
      </c>
      <c r="D191" s="7" t="s">
        <v>4916</v>
      </c>
      <c r="E191" s="7"/>
      <c r="F191" s="7">
        <v>55.0</v>
      </c>
      <c r="G191" s="7">
        <v>70.0</v>
      </c>
      <c r="H191" s="7">
        <v>55.0</v>
      </c>
      <c r="I191" s="7"/>
      <c r="J191" s="7">
        <v>40.0</v>
      </c>
      <c r="K191" s="7">
        <v>55.0</v>
      </c>
      <c r="L191" s="7">
        <v>85.0</v>
      </c>
      <c r="M191" s="7" t="s">
        <v>4911</v>
      </c>
      <c r="N191" s="7" t="s">
        <v>3005</v>
      </c>
      <c r="O191" s="7" t="s">
        <v>3131</v>
      </c>
      <c r="P191" s="7">
        <v>11.5</v>
      </c>
      <c r="Q191" s="7"/>
      <c r="R191" s="7">
        <f t="shared" si="1"/>
        <v>190</v>
      </c>
    </row>
    <row r="192" ht="15.75" customHeight="1">
      <c r="A192" s="7">
        <v>191.0</v>
      </c>
      <c r="B192" s="7" t="s">
        <v>4970</v>
      </c>
      <c r="C192" s="7">
        <v>2.0</v>
      </c>
      <c r="D192" s="7" t="s">
        <v>4904</v>
      </c>
      <c r="E192" s="7"/>
      <c r="F192" s="7">
        <v>30.0</v>
      </c>
      <c r="G192" s="7">
        <v>30.0</v>
      </c>
      <c r="H192" s="7">
        <v>30.0</v>
      </c>
      <c r="I192" s="7"/>
      <c r="J192" s="7">
        <v>30.0</v>
      </c>
      <c r="K192" s="7">
        <v>30.0</v>
      </c>
      <c r="L192" s="7">
        <v>30.0</v>
      </c>
      <c r="M192" s="7" t="s">
        <v>2701</v>
      </c>
      <c r="N192" s="7" t="s">
        <v>3380</v>
      </c>
      <c r="O192" s="7" t="s">
        <v>2842</v>
      </c>
      <c r="P192" s="7">
        <v>1.8</v>
      </c>
      <c r="Q192" s="7"/>
      <c r="R192" s="7">
        <f t="shared" si="1"/>
        <v>191</v>
      </c>
    </row>
    <row r="193" ht="15.75" customHeight="1">
      <c r="A193" s="7">
        <v>192.0</v>
      </c>
      <c r="B193" s="7" t="s">
        <v>3379</v>
      </c>
      <c r="C193" s="7">
        <v>2.0</v>
      </c>
      <c r="D193" s="7" t="s">
        <v>4904</v>
      </c>
      <c r="E193" s="7"/>
      <c r="F193" s="7">
        <v>75.0</v>
      </c>
      <c r="G193" s="7">
        <v>75.0</v>
      </c>
      <c r="H193" s="7">
        <v>55.0</v>
      </c>
      <c r="I193" s="7"/>
      <c r="J193" s="7">
        <v>105.0</v>
      </c>
      <c r="K193" s="7">
        <v>85.0</v>
      </c>
      <c r="L193" s="7">
        <v>30.0</v>
      </c>
      <c r="M193" s="7" t="s">
        <v>2701</v>
      </c>
      <c r="N193" s="7" t="s">
        <v>3380</v>
      </c>
      <c r="O193" s="7" t="s">
        <v>2842</v>
      </c>
      <c r="P193" s="7">
        <v>8.5</v>
      </c>
      <c r="Q193" s="7"/>
      <c r="R193" s="7">
        <f t="shared" si="1"/>
        <v>192</v>
      </c>
    </row>
    <row r="194" ht="15.75" customHeight="1">
      <c r="A194" s="7">
        <v>193.0</v>
      </c>
      <c r="B194" s="7" t="s">
        <v>3216</v>
      </c>
      <c r="C194" s="7">
        <v>2.0</v>
      </c>
      <c r="D194" s="7" t="s">
        <v>4910</v>
      </c>
      <c r="E194" s="7" t="s">
        <v>4907</v>
      </c>
      <c r="F194" s="7">
        <v>65.0</v>
      </c>
      <c r="G194" s="7">
        <v>65.0</v>
      </c>
      <c r="H194" s="7">
        <v>45.0</v>
      </c>
      <c r="I194" s="7"/>
      <c r="J194" s="7">
        <v>75.0</v>
      </c>
      <c r="K194" s="7">
        <v>45.0</v>
      </c>
      <c r="L194" s="7">
        <v>95.0</v>
      </c>
      <c r="M194" s="7" t="s">
        <v>3217</v>
      </c>
      <c r="N194" s="7" t="s">
        <v>2814</v>
      </c>
      <c r="O194" s="7" t="s">
        <v>4928</v>
      </c>
      <c r="P194" s="7">
        <v>38.0</v>
      </c>
      <c r="Q194" s="7"/>
      <c r="R194" s="7">
        <f t="shared" si="1"/>
        <v>193</v>
      </c>
    </row>
    <row r="195" ht="15.75" customHeight="1">
      <c r="A195" s="7">
        <v>194.0</v>
      </c>
      <c r="B195" s="7" t="s">
        <v>4971</v>
      </c>
      <c r="C195" s="7">
        <v>2.0</v>
      </c>
      <c r="D195" s="7" t="s">
        <v>4908</v>
      </c>
      <c r="E195" s="7" t="s">
        <v>4922</v>
      </c>
      <c r="F195" s="7">
        <v>55.0</v>
      </c>
      <c r="G195" s="7">
        <v>45.0</v>
      </c>
      <c r="H195" s="7">
        <v>45.0</v>
      </c>
      <c r="I195" s="7"/>
      <c r="J195" s="7">
        <v>25.0</v>
      </c>
      <c r="K195" s="7">
        <v>25.0</v>
      </c>
      <c r="L195" s="7">
        <v>15.0</v>
      </c>
      <c r="M195" s="7" t="s">
        <v>4403</v>
      </c>
      <c r="N195" s="7" t="s">
        <v>3059</v>
      </c>
      <c r="O195" s="7" t="s">
        <v>3971</v>
      </c>
      <c r="P195" s="7">
        <v>8.5</v>
      </c>
      <c r="Q195" s="7"/>
      <c r="R195" s="7">
        <f t="shared" si="1"/>
        <v>194</v>
      </c>
    </row>
    <row r="196" ht="15.75" customHeight="1">
      <c r="A196" s="7">
        <v>195.0</v>
      </c>
      <c r="B196" s="7" t="s">
        <v>3632</v>
      </c>
      <c r="C196" s="7">
        <v>2.0</v>
      </c>
      <c r="D196" s="7" t="s">
        <v>4908</v>
      </c>
      <c r="E196" s="7" t="s">
        <v>4922</v>
      </c>
      <c r="F196" s="7">
        <v>95.0</v>
      </c>
      <c r="G196" s="7">
        <v>85.0</v>
      </c>
      <c r="H196" s="7">
        <v>85.0</v>
      </c>
      <c r="I196" s="7"/>
      <c r="J196" s="7">
        <v>65.0</v>
      </c>
      <c r="K196" s="7">
        <v>65.0</v>
      </c>
      <c r="L196" s="7">
        <v>35.0</v>
      </c>
      <c r="M196" s="7" t="s">
        <v>4403</v>
      </c>
      <c r="N196" s="7" t="s">
        <v>3059</v>
      </c>
      <c r="O196" s="7" t="s">
        <v>3971</v>
      </c>
      <c r="P196" s="7">
        <v>75.0</v>
      </c>
      <c r="Q196" s="7"/>
      <c r="R196" s="7">
        <f t="shared" si="1"/>
        <v>195</v>
      </c>
    </row>
    <row r="197" ht="15.75" customHeight="1">
      <c r="A197" s="7">
        <v>196.0</v>
      </c>
      <c r="B197" s="7" t="s">
        <v>3867</v>
      </c>
      <c r="C197" s="7">
        <v>2.0</v>
      </c>
      <c r="D197" s="7" t="s">
        <v>2659</v>
      </c>
      <c r="E197" s="7"/>
      <c r="F197" s="7">
        <v>65.0</v>
      </c>
      <c r="G197" s="7">
        <v>65.0</v>
      </c>
      <c r="H197" s="7">
        <v>60.0</v>
      </c>
      <c r="I197" s="7"/>
      <c r="J197" s="7">
        <v>130.0</v>
      </c>
      <c r="K197" s="7">
        <v>95.0</v>
      </c>
      <c r="L197" s="7">
        <v>110.0</v>
      </c>
      <c r="M197" s="7" t="s">
        <v>3849</v>
      </c>
      <c r="N197" s="7"/>
      <c r="O197" s="7" t="s">
        <v>2953</v>
      </c>
      <c r="P197" s="7">
        <v>26.5</v>
      </c>
      <c r="Q197" s="7"/>
      <c r="R197" s="7">
        <f t="shared" si="1"/>
        <v>196</v>
      </c>
    </row>
    <row r="198" ht="15.75" customHeight="1">
      <c r="A198" s="7">
        <v>197.0</v>
      </c>
      <c r="B198" s="7" t="s">
        <v>3869</v>
      </c>
      <c r="C198" s="7">
        <v>2.0</v>
      </c>
      <c r="D198" s="7" t="s">
        <v>4972</v>
      </c>
      <c r="E198" s="7"/>
      <c r="F198" s="7">
        <v>95.0</v>
      </c>
      <c r="G198" s="7">
        <v>65.0</v>
      </c>
      <c r="H198" s="7">
        <v>110.0</v>
      </c>
      <c r="I198" s="7"/>
      <c r="J198" s="7">
        <v>60.0</v>
      </c>
      <c r="K198" s="7">
        <v>130.0</v>
      </c>
      <c r="L198" s="7">
        <v>65.0</v>
      </c>
      <c r="M198" s="7" t="s">
        <v>3849</v>
      </c>
      <c r="N198" s="7"/>
      <c r="O198" s="7" t="s">
        <v>3233</v>
      </c>
      <c r="P198" s="7">
        <v>27.0</v>
      </c>
      <c r="Q198" s="7"/>
      <c r="R198" s="7">
        <f t="shared" si="1"/>
        <v>197</v>
      </c>
    </row>
    <row r="199" ht="15.75" customHeight="1">
      <c r="A199" s="7">
        <v>198.0</v>
      </c>
      <c r="B199" s="7" t="s">
        <v>3263</v>
      </c>
      <c r="C199" s="7">
        <v>2.0</v>
      </c>
      <c r="D199" s="7" t="s">
        <v>4972</v>
      </c>
      <c r="E199" s="7" t="s">
        <v>4907</v>
      </c>
      <c r="F199" s="7">
        <v>60.0</v>
      </c>
      <c r="G199" s="7">
        <v>85.0</v>
      </c>
      <c r="H199" s="7">
        <v>42.0</v>
      </c>
      <c r="I199" s="7"/>
      <c r="J199" s="7">
        <v>85.0</v>
      </c>
      <c r="K199" s="7">
        <v>42.0</v>
      </c>
      <c r="L199" s="7">
        <v>91.0</v>
      </c>
      <c r="M199" s="7" t="s">
        <v>2735</v>
      </c>
      <c r="N199" s="7" t="s">
        <v>3826</v>
      </c>
      <c r="O199" s="7" t="s">
        <v>2720</v>
      </c>
      <c r="P199" s="7">
        <v>2.1</v>
      </c>
      <c r="Q199" s="7"/>
      <c r="R199" s="7">
        <f t="shared" si="1"/>
        <v>198</v>
      </c>
    </row>
    <row r="200" ht="15.75" customHeight="1">
      <c r="A200" s="7">
        <v>199.0</v>
      </c>
      <c r="B200" s="7" t="s">
        <v>3732</v>
      </c>
      <c r="C200" s="7">
        <v>2.0</v>
      </c>
      <c r="D200" s="7" t="s">
        <v>4908</v>
      </c>
      <c r="E200" s="7" t="s">
        <v>2659</v>
      </c>
      <c r="F200" s="7">
        <v>95.0</v>
      </c>
      <c r="G200" s="7">
        <v>75.0</v>
      </c>
      <c r="H200" s="7">
        <v>80.0</v>
      </c>
      <c r="I200" s="7"/>
      <c r="J200" s="7">
        <v>100.0</v>
      </c>
      <c r="K200" s="7">
        <v>110.0</v>
      </c>
      <c r="L200" s="7">
        <v>30.0</v>
      </c>
      <c r="M200" s="7" t="s">
        <v>2824</v>
      </c>
      <c r="N200" s="7" t="s">
        <v>3145</v>
      </c>
      <c r="O200" s="7" t="s">
        <v>3404</v>
      </c>
      <c r="P200" s="7">
        <v>79.5</v>
      </c>
      <c r="Q200" s="7"/>
      <c r="R200" s="7">
        <f t="shared" si="1"/>
        <v>199</v>
      </c>
    </row>
    <row r="201" ht="15.75" customHeight="1">
      <c r="A201" s="7">
        <v>200.0</v>
      </c>
      <c r="B201" s="7" t="s">
        <v>3406</v>
      </c>
      <c r="C201" s="7">
        <v>2.0</v>
      </c>
      <c r="D201" s="7" t="s">
        <v>4945</v>
      </c>
      <c r="E201" s="7"/>
      <c r="F201" s="7">
        <v>60.0</v>
      </c>
      <c r="G201" s="7">
        <v>60.0</v>
      </c>
      <c r="H201" s="7">
        <v>60.0</v>
      </c>
      <c r="I201" s="7"/>
      <c r="J201" s="7">
        <v>85.0</v>
      </c>
      <c r="K201" s="7">
        <v>85.0</v>
      </c>
      <c r="L201" s="7">
        <v>85.0</v>
      </c>
      <c r="M201" s="7" t="s">
        <v>2714</v>
      </c>
      <c r="N201" s="7"/>
      <c r="O201" s="7"/>
      <c r="P201" s="7">
        <v>1.0</v>
      </c>
      <c r="Q201" s="7"/>
      <c r="R201" s="7">
        <f t="shared" si="1"/>
        <v>200</v>
      </c>
    </row>
    <row r="202" ht="15.75" customHeight="1">
      <c r="A202" s="7">
        <v>201.0</v>
      </c>
      <c r="B202" s="7" t="s">
        <v>4973</v>
      </c>
      <c r="C202" s="7">
        <v>2.0</v>
      </c>
      <c r="D202" s="7" t="s">
        <v>2659</v>
      </c>
      <c r="E202" s="7"/>
      <c r="F202" s="7">
        <v>48.0</v>
      </c>
      <c r="G202" s="7">
        <v>72.0</v>
      </c>
      <c r="H202" s="7">
        <v>48.0</v>
      </c>
      <c r="I202" s="7"/>
      <c r="J202" s="7">
        <v>72.0</v>
      </c>
      <c r="K202" s="7">
        <v>48.0</v>
      </c>
      <c r="L202" s="7">
        <v>48.0</v>
      </c>
      <c r="M202" s="7" t="s">
        <v>2714</v>
      </c>
      <c r="N202" s="7"/>
      <c r="O202" s="7"/>
      <c r="P202" s="7">
        <v>5.0</v>
      </c>
      <c r="Q202" s="7"/>
      <c r="R202" s="7">
        <f t="shared" si="1"/>
        <v>201</v>
      </c>
    </row>
    <row r="203" ht="15.75" customHeight="1">
      <c r="A203" s="7">
        <v>202.0</v>
      </c>
      <c r="B203" s="7" t="s">
        <v>3267</v>
      </c>
      <c r="C203" s="7">
        <v>2.0</v>
      </c>
      <c r="D203" s="7" t="s">
        <v>2659</v>
      </c>
      <c r="E203" s="7"/>
      <c r="F203" s="7">
        <v>190.0</v>
      </c>
      <c r="G203" s="7">
        <v>33.0</v>
      </c>
      <c r="H203" s="7">
        <v>58.0</v>
      </c>
      <c r="I203" s="7"/>
      <c r="J203" s="7">
        <v>33.0</v>
      </c>
      <c r="K203" s="7">
        <v>58.0</v>
      </c>
      <c r="L203" s="7">
        <v>33.0</v>
      </c>
      <c r="M203" s="7" t="s">
        <v>3269</v>
      </c>
      <c r="N203" s="7"/>
      <c r="O203" s="7" t="s">
        <v>4338</v>
      </c>
      <c r="P203" s="7">
        <v>28.5</v>
      </c>
      <c r="Q203" s="7"/>
      <c r="R203" s="7">
        <f t="shared" si="1"/>
        <v>202</v>
      </c>
    </row>
    <row r="204" ht="15.75" customHeight="1">
      <c r="A204" s="7">
        <v>203.0</v>
      </c>
      <c r="B204" s="7" t="s">
        <v>3489</v>
      </c>
      <c r="C204" s="7">
        <v>2.0</v>
      </c>
      <c r="D204" s="7" t="s">
        <v>4916</v>
      </c>
      <c r="E204" s="7" t="s">
        <v>2659</v>
      </c>
      <c r="F204" s="7">
        <v>70.0</v>
      </c>
      <c r="G204" s="7">
        <v>80.0</v>
      </c>
      <c r="H204" s="7">
        <v>65.0</v>
      </c>
      <c r="I204" s="7"/>
      <c r="J204" s="7">
        <v>90.0</v>
      </c>
      <c r="K204" s="7">
        <v>65.0</v>
      </c>
      <c r="L204" s="7">
        <v>85.0</v>
      </c>
      <c r="M204" s="7" t="s">
        <v>3233</v>
      </c>
      <c r="N204" s="7" t="s">
        <v>2842</v>
      </c>
      <c r="O204" s="7" t="s">
        <v>3490</v>
      </c>
      <c r="P204" s="7">
        <v>41.5</v>
      </c>
      <c r="Q204" s="7"/>
      <c r="R204" s="7">
        <f t="shared" si="1"/>
        <v>203</v>
      </c>
    </row>
    <row r="205" ht="15.75" customHeight="1">
      <c r="A205" s="7">
        <v>204.0</v>
      </c>
      <c r="B205" s="7" t="s">
        <v>4974</v>
      </c>
      <c r="C205" s="7">
        <v>2.0</v>
      </c>
      <c r="D205" s="7" t="s">
        <v>4910</v>
      </c>
      <c r="E205" s="7"/>
      <c r="F205" s="7">
        <v>50.0</v>
      </c>
      <c r="G205" s="7">
        <v>65.0</v>
      </c>
      <c r="H205" s="7">
        <v>90.0</v>
      </c>
      <c r="I205" s="7"/>
      <c r="J205" s="7">
        <v>35.0</v>
      </c>
      <c r="K205" s="7">
        <v>35.0</v>
      </c>
      <c r="L205" s="7">
        <v>15.0</v>
      </c>
      <c r="M205" s="7" t="s">
        <v>2728</v>
      </c>
      <c r="N205" s="7"/>
      <c r="O205" s="7" t="s">
        <v>3367</v>
      </c>
      <c r="P205" s="7">
        <v>7.2</v>
      </c>
      <c r="Q205" s="7"/>
      <c r="R205" s="7">
        <f t="shared" si="1"/>
        <v>204</v>
      </c>
    </row>
    <row r="206" ht="15.75" customHeight="1">
      <c r="A206" s="7">
        <v>205.0</v>
      </c>
      <c r="B206" s="7" t="s">
        <v>3655</v>
      </c>
      <c r="C206" s="7">
        <v>2.0</v>
      </c>
      <c r="D206" s="7" t="s">
        <v>4910</v>
      </c>
      <c r="E206" s="7" t="s">
        <v>4975</v>
      </c>
      <c r="F206" s="7">
        <v>75.0</v>
      </c>
      <c r="G206" s="7">
        <v>90.0</v>
      </c>
      <c r="H206" s="7">
        <v>140.0</v>
      </c>
      <c r="I206" s="7"/>
      <c r="J206" s="7">
        <v>60.0</v>
      </c>
      <c r="K206" s="7">
        <v>60.0</v>
      </c>
      <c r="L206" s="7">
        <v>40.0</v>
      </c>
      <c r="M206" s="7" t="s">
        <v>2728</v>
      </c>
      <c r="N206" s="7"/>
      <c r="O206" s="7" t="s">
        <v>3367</v>
      </c>
      <c r="P206" s="7">
        <v>125.8</v>
      </c>
      <c r="Q206" s="7"/>
      <c r="R206" s="7">
        <f t="shared" si="1"/>
        <v>205</v>
      </c>
    </row>
    <row r="207" ht="15.75" customHeight="1">
      <c r="A207" s="7">
        <v>206.0</v>
      </c>
      <c r="B207" s="7" t="s">
        <v>3346</v>
      </c>
      <c r="C207" s="7">
        <v>2.0</v>
      </c>
      <c r="D207" s="7" t="s">
        <v>4916</v>
      </c>
      <c r="E207" s="7"/>
      <c r="F207" s="7">
        <v>100.0</v>
      </c>
      <c r="G207" s="7">
        <v>70.0</v>
      </c>
      <c r="H207" s="7">
        <v>70.0</v>
      </c>
      <c r="I207" s="7"/>
      <c r="J207" s="7">
        <v>65.0</v>
      </c>
      <c r="K207" s="7">
        <v>65.0</v>
      </c>
      <c r="L207" s="7">
        <v>45.0</v>
      </c>
      <c r="M207" s="7" t="s">
        <v>2662</v>
      </c>
      <c r="N207" s="7" t="s">
        <v>4911</v>
      </c>
      <c r="O207" s="7" t="s">
        <v>4951</v>
      </c>
      <c r="P207" s="7">
        <v>14.0</v>
      </c>
      <c r="Q207" s="7"/>
      <c r="R207" s="7">
        <f t="shared" si="1"/>
        <v>206</v>
      </c>
    </row>
    <row r="208" ht="15.75" customHeight="1">
      <c r="A208" s="7">
        <v>207.0</v>
      </c>
      <c r="B208" s="7" t="s">
        <v>3384</v>
      </c>
      <c r="C208" s="7">
        <v>2.0</v>
      </c>
      <c r="D208" s="7" t="s">
        <v>4922</v>
      </c>
      <c r="E208" s="7" t="s">
        <v>4907</v>
      </c>
      <c r="F208" s="7">
        <v>65.0</v>
      </c>
      <c r="G208" s="7">
        <v>75.0</v>
      </c>
      <c r="H208" s="7">
        <v>105.0</v>
      </c>
      <c r="I208" s="7"/>
      <c r="J208" s="7">
        <v>35.0</v>
      </c>
      <c r="K208" s="7">
        <v>65.0</v>
      </c>
      <c r="L208" s="7">
        <v>85.0</v>
      </c>
      <c r="M208" s="7" t="s">
        <v>2978</v>
      </c>
      <c r="N208" s="7" t="s">
        <v>4005</v>
      </c>
      <c r="O208" s="7" t="s">
        <v>3910</v>
      </c>
      <c r="P208" s="7">
        <v>64.8</v>
      </c>
      <c r="Q208" s="7"/>
      <c r="R208" s="7">
        <f t="shared" si="1"/>
        <v>207</v>
      </c>
    </row>
    <row r="209" ht="15.75" customHeight="1">
      <c r="A209" s="7">
        <v>208.0</v>
      </c>
      <c r="B209" s="7" t="s">
        <v>3828</v>
      </c>
      <c r="C209" s="7">
        <v>2.0</v>
      </c>
      <c r="D209" s="7" t="s">
        <v>4975</v>
      </c>
      <c r="E209" s="7" t="s">
        <v>4922</v>
      </c>
      <c r="F209" s="7">
        <v>75.0</v>
      </c>
      <c r="G209" s="7">
        <v>85.0</v>
      </c>
      <c r="H209" s="7">
        <v>200.0</v>
      </c>
      <c r="I209" s="7"/>
      <c r="J209" s="7">
        <v>55.0</v>
      </c>
      <c r="K209" s="7">
        <v>65.0</v>
      </c>
      <c r="L209" s="7">
        <v>30.0</v>
      </c>
      <c r="M209" s="7" t="s">
        <v>2792</v>
      </c>
      <c r="N209" s="7" t="s">
        <v>2728</v>
      </c>
      <c r="O209" s="7" t="s">
        <v>3745</v>
      </c>
      <c r="P209" s="7">
        <v>400.0</v>
      </c>
      <c r="Q209" s="7"/>
      <c r="R209" s="7">
        <f t="shared" si="1"/>
        <v>208</v>
      </c>
    </row>
    <row r="210" ht="15.75" customHeight="1">
      <c r="A210" s="7">
        <v>209.0</v>
      </c>
      <c r="B210" s="7" t="s">
        <v>2766</v>
      </c>
      <c r="C210" s="7">
        <v>2.0</v>
      </c>
      <c r="D210" s="7" t="str">
        <f t="shared" ref="D210:D211" si="9">IF($A$1&lt;6,"Normal","Fairy")</f>
        <v>Fairy</v>
      </c>
      <c r="E210" s="7"/>
      <c r="F210" s="7">
        <v>60.0</v>
      </c>
      <c r="G210" s="7">
        <v>80.0</v>
      </c>
      <c r="H210" s="7">
        <v>50.0</v>
      </c>
      <c r="I210" s="7"/>
      <c r="J210" s="7">
        <v>40.0</v>
      </c>
      <c r="K210" s="7">
        <v>40.0</v>
      </c>
      <c r="L210" s="7">
        <v>30.0</v>
      </c>
      <c r="M210" s="7" t="s">
        <v>2696</v>
      </c>
      <c r="N210" s="7" t="s">
        <v>4911</v>
      </c>
      <c r="O210" s="7" t="s">
        <v>4951</v>
      </c>
      <c r="P210" s="7">
        <v>7.8</v>
      </c>
      <c r="Q210" s="7"/>
      <c r="R210" s="7">
        <f t="shared" si="1"/>
        <v>209</v>
      </c>
    </row>
    <row r="211" ht="15.75" customHeight="1">
      <c r="A211" s="7">
        <v>210.0</v>
      </c>
      <c r="B211" s="7" t="s">
        <v>3634</v>
      </c>
      <c r="C211" s="7">
        <v>2.0</v>
      </c>
      <c r="D211" s="7" t="str">
        <f t="shared" si="9"/>
        <v>Fairy</v>
      </c>
      <c r="E211" s="7"/>
      <c r="F211" s="7">
        <v>90.0</v>
      </c>
      <c r="G211" s="7">
        <v>120.0</v>
      </c>
      <c r="H211" s="7">
        <v>75.0</v>
      </c>
      <c r="I211" s="7"/>
      <c r="J211" s="7">
        <v>60.0</v>
      </c>
      <c r="K211" s="7">
        <v>60.0</v>
      </c>
      <c r="L211" s="7">
        <v>45.0</v>
      </c>
      <c r="M211" s="7" t="s">
        <v>2696</v>
      </c>
      <c r="N211" s="7" t="s">
        <v>4955</v>
      </c>
      <c r="O211" s="7" t="s">
        <v>4951</v>
      </c>
      <c r="P211" s="7">
        <v>48.7</v>
      </c>
      <c r="Q211" s="7"/>
      <c r="R211" s="7">
        <f t="shared" si="1"/>
        <v>210</v>
      </c>
    </row>
    <row r="212" ht="15.75" customHeight="1">
      <c r="A212" s="7">
        <v>211.0</v>
      </c>
      <c r="B212" s="7" t="s">
        <v>3386</v>
      </c>
      <c r="C212" s="7">
        <v>2.0</v>
      </c>
      <c r="D212" s="7" t="s">
        <v>4908</v>
      </c>
      <c r="E212" s="7" t="s">
        <v>4905</v>
      </c>
      <c r="F212" s="7">
        <v>65.0</v>
      </c>
      <c r="G212" s="7">
        <v>95.0</v>
      </c>
      <c r="H212" s="7">
        <f>IF($A$1&lt;7,75,85)</f>
        <v>85</v>
      </c>
      <c r="I212" s="7"/>
      <c r="J212" s="7">
        <v>55.0</v>
      </c>
      <c r="K212" s="7">
        <v>55.0</v>
      </c>
      <c r="L212" s="7">
        <v>85.0</v>
      </c>
      <c r="M212" s="7" t="s">
        <v>2708</v>
      </c>
      <c r="N212" s="7" t="s">
        <v>3028</v>
      </c>
      <c r="O212" s="7" t="s">
        <v>2696</v>
      </c>
      <c r="P212" s="7">
        <v>3.9</v>
      </c>
      <c r="Q212" s="7"/>
      <c r="R212" s="7">
        <f t="shared" si="1"/>
        <v>211</v>
      </c>
    </row>
    <row r="213" ht="15.75" customHeight="1">
      <c r="A213" s="7">
        <v>212.0</v>
      </c>
      <c r="B213" s="7" t="s">
        <v>3783</v>
      </c>
      <c r="C213" s="7">
        <v>2.0</v>
      </c>
      <c r="D213" s="7" t="s">
        <v>4910</v>
      </c>
      <c r="E213" s="7" t="s">
        <v>4975</v>
      </c>
      <c r="F213" s="7">
        <v>70.0</v>
      </c>
      <c r="G213" s="7">
        <v>130.0</v>
      </c>
      <c r="H213" s="7">
        <v>100.0</v>
      </c>
      <c r="I213" s="7"/>
      <c r="J213" s="7">
        <v>55.0</v>
      </c>
      <c r="K213" s="7">
        <v>80.0</v>
      </c>
      <c r="L213" s="7">
        <v>65.0</v>
      </c>
      <c r="M213" s="7" t="s">
        <v>3181</v>
      </c>
      <c r="N213" s="7" t="s">
        <v>3412</v>
      </c>
      <c r="O213" s="7" t="s">
        <v>4976</v>
      </c>
      <c r="P213" s="7">
        <v>118.0</v>
      </c>
      <c r="Q213" s="7"/>
      <c r="R213" s="7">
        <f t="shared" si="1"/>
        <v>212</v>
      </c>
    </row>
    <row r="214" ht="15.75" customHeight="1">
      <c r="A214" s="7">
        <v>213.0</v>
      </c>
      <c r="B214" s="7" t="s">
        <v>3819</v>
      </c>
      <c r="C214" s="7">
        <v>2.0</v>
      </c>
      <c r="D214" s="7" t="s">
        <v>4910</v>
      </c>
      <c r="E214" s="7" t="s">
        <v>4940</v>
      </c>
      <c r="F214" s="7">
        <v>20.0</v>
      </c>
      <c r="G214" s="7">
        <v>10.0</v>
      </c>
      <c r="H214" s="7">
        <v>230.0</v>
      </c>
      <c r="I214" s="7"/>
      <c r="J214" s="7">
        <v>10.0</v>
      </c>
      <c r="K214" s="7">
        <v>230.0</v>
      </c>
      <c r="L214" s="7">
        <v>5.0</v>
      </c>
      <c r="M214" s="7" t="s">
        <v>2728</v>
      </c>
      <c r="N214" s="7" t="s">
        <v>3207</v>
      </c>
      <c r="O214" s="7" t="s">
        <v>4977</v>
      </c>
      <c r="P214" s="7">
        <v>20.5</v>
      </c>
      <c r="Q214" s="7"/>
      <c r="R214" s="7">
        <f t="shared" si="1"/>
        <v>213</v>
      </c>
    </row>
    <row r="215" ht="15.75" customHeight="1">
      <c r="A215" s="7">
        <v>214.0</v>
      </c>
      <c r="B215" s="7" t="s">
        <v>3786</v>
      </c>
      <c r="C215" s="7">
        <v>2.0</v>
      </c>
      <c r="D215" s="7" t="s">
        <v>4910</v>
      </c>
      <c r="E215" s="7" t="s">
        <v>4935</v>
      </c>
      <c r="F215" s="7">
        <v>80.0</v>
      </c>
      <c r="G215" s="7">
        <v>125.0</v>
      </c>
      <c r="H215" s="7">
        <v>75.0</v>
      </c>
      <c r="I215" s="7"/>
      <c r="J215" s="7">
        <v>40.0</v>
      </c>
      <c r="K215" s="7">
        <v>95.0</v>
      </c>
      <c r="L215" s="7">
        <v>85.0</v>
      </c>
      <c r="M215" s="7" t="s">
        <v>3181</v>
      </c>
      <c r="N215" s="7" t="s">
        <v>2777</v>
      </c>
      <c r="O215" s="7" t="s">
        <v>3788</v>
      </c>
      <c r="P215" s="7">
        <v>54.0</v>
      </c>
      <c r="Q215" s="7"/>
      <c r="R215" s="7">
        <f t="shared" si="1"/>
        <v>214</v>
      </c>
    </row>
    <row r="216" ht="15.75" customHeight="1">
      <c r="A216" s="7">
        <v>215.0</v>
      </c>
      <c r="B216" s="7" t="s">
        <v>3389</v>
      </c>
      <c r="C216" s="7">
        <v>2.0</v>
      </c>
      <c r="D216" s="7" t="s">
        <v>4972</v>
      </c>
      <c r="E216" s="7" t="s">
        <v>4942</v>
      </c>
      <c r="F216" s="7">
        <v>55.0</v>
      </c>
      <c r="G216" s="7">
        <v>95.0</v>
      </c>
      <c r="H216" s="7">
        <v>55.0</v>
      </c>
      <c r="I216" s="7"/>
      <c r="J216" s="7">
        <v>35.0</v>
      </c>
      <c r="K216" s="7">
        <v>75.0</v>
      </c>
      <c r="L216" s="7">
        <v>115.0</v>
      </c>
      <c r="M216" s="7" t="s">
        <v>3233</v>
      </c>
      <c r="N216" s="7" t="s">
        <v>2677</v>
      </c>
      <c r="O216" s="7" t="s">
        <v>3392</v>
      </c>
      <c r="P216" s="7">
        <v>28.0</v>
      </c>
      <c r="Q216" s="7"/>
      <c r="R216" s="7">
        <f t="shared" si="1"/>
        <v>215</v>
      </c>
    </row>
    <row r="217" ht="15.75" customHeight="1">
      <c r="A217" s="7">
        <v>216.0</v>
      </c>
      <c r="B217" s="7" t="s">
        <v>3002</v>
      </c>
      <c r="C217" s="7">
        <v>2.0</v>
      </c>
      <c r="D217" s="7" t="s">
        <v>4916</v>
      </c>
      <c r="E217" s="7"/>
      <c r="F217" s="7">
        <v>60.0</v>
      </c>
      <c r="G217" s="7">
        <v>80.0</v>
      </c>
      <c r="H217" s="7">
        <v>50.0</v>
      </c>
      <c r="I217" s="7"/>
      <c r="J217" s="7">
        <v>50.0</v>
      </c>
      <c r="K217" s="7">
        <v>50.0</v>
      </c>
      <c r="L217" s="7">
        <v>40.0</v>
      </c>
      <c r="M217" s="7" t="s">
        <v>3005</v>
      </c>
      <c r="N217" s="7" t="s">
        <v>4955</v>
      </c>
      <c r="O217" s="7" t="s">
        <v>2682</v>
      </c>
      <c r="P217" s="7">
        <v>8.8</v>
      </c>
      <c r="Q217" s="7"/>
      <c r="R217" s="7">
        <f t="shared" si="1"/>
        <v>216</v>
      </c>
    </row>
    <row r="218" ht="15.75" customHeight="1">
      <c r="A218" s="7">
        <v>217.0</v>
      </c>
      <c r="B218" s="7" t="s">
        <v>3790</v>
      </c>
      <c r="C218" s="7">
        <v>2.0</v>
      </c>
      <c r="D218" s="7" t="s">
        <v>4916</v>
      </c>
      <c r="E218" s="7"/>
      <c r="F218" s="7">
        <v>90.0</v>
      </c>
      <c r="G218" s="7">
        <v>130.0</v>
      </c>
      <c r="H218" s="7">
        <v>75.0</v>
      </c>
      <c r="I218" s="7"/>
      <c r="J218" s="7">
        <v>75.0</v>
      </c>
      <c r="K218" s="7">
        <v>75.0</v>
      </c>
      <c r="L218" s="7">
        <v>55.0</v>
      </c>
      <c r="M218" s="7" t="s">
        <v>2777</v>
      </c>
      <c r="N218" s="7" t="s">
        <v>4955</v>
      </c>
      <c r="O218" s="7" t="s">
        <v>4441</v>
      </c>
      <c r="P218" s="7">
        <v>125.8</v>
      </c>
      <c r="Q218" s="7"/>
      <c r="R218" s="7">
        <f t="shared" si="1"/>
        <v>217</v>
      </c>
    </row>
    <row r="219" ht="15.75" customHeight="1">
      <c r="A219" s="7">
        <v>218.0</v>
      </c>
      <c r="B219" s="7" t="s">
        <v>4978</v>
      </c>
      <c r="C219" s="7">
        <v>2.0</v>
      </c>
      <c r="D219" s="7" t="s">
        <v>4906</v>
      </c>
      <c r="E219" s="7"/>
      <c r="F219" s="7">
        <v>40.0</v>
      </c>
      <c r="G219" s="7">
        <v>40.0</v>
      </c>
      <c r="H219" s="7">
        <v>40.0</v>
      </c>
      <c r="I219" s="7"/>
      <c r="J219" s="7">
        <v>70.0</v>
      </c>
      <c r="K219" s="7">
        <v>40.0</v>
      </c>
      <c r="L219" s="7">
        <v>20.0</v>
      </c>
      <c r="M219" s="7" t="s">
        <v>4979</v>
      </c>
      <c r="N219" s="7" t="s">
        <v>3162</v>
      </c>
      <c r="O219" s="7" t="s">
        <v>4148</v>
      </c>
      <c r="P219" s="7">
        <v>35.0</v>
      </c>
      <c r="Q219" s="7"/>
      <c r="R219" s="7">
        <f t="shared" si="1"/>
        <v>218</v>
      </c>
    </row>
    <row r="220" ht="15.75" customHeight="1">
      <c r="A220" s="7">
        <v>219.0</v>
      </c>
      <c r="B220" s="7" t="s">
        <v>3322</v>
      </c>
      <c r="C220" s="7">
        <v>2.0</v>
      </c>
      <c r="D220" s="7" t="s">
        <v>4906</v>
      </c>
      <c r="E220" s="7" t="s">
        <v>4940</v>
      </c>
      <c r="F220" s="7">
        <f>IF($A$1&lt;7,50,60)</f>
        <v>60</v>
      </c>
      <c r="G220" s="7">
        <v>50.0</v>
      </c>
      <c r="H220" s="7">
        <v>120.0</v>
      </c>
      <c r="I220" s="7"/>
      <c r="J220" s="7">
        <f>IF($A$1&lt;7,80,90)</f>
        <v>90</v>
      </c>
      <c r="K220" s="7">
        <v>80.0</v>
      </c>
      <c r="L220" s="7">
        <v>30.0</v>
      </c>
      <c r="M220" s="7" t="s">
        <v>4979</v>
      </c>
      <c r="N220" s="7" t="s">
        <v>3162</v>
      </c>
      <c r="O220" s="7" t="s">
        <v>4148</v>
      </c>
      <c r="P220" s="7">
        <v>55.0</v>
      </c>
      <c r="Q220" s="7"/>
      <c r="R220" s="7">
        <f t="shared" si="1"/>
        <v>219</v>
      </c>
    </row>
    <row r="221" ht="15.75" customHeight="1">
      <c r="A221" s="7">
        <v>220.0</v>
      </c>
      <c r="B221" s="7" t="s">
        <v>4980</v>
      </c>
      <c r="C221" s="7">
        <v>2.0</v>
      </c>
      <c r="D221" s="7" t="s">
        <v>4942</v>
      </c>
      <c r="E221" s="7" t="s">
        <v>4922</v>
      </c>
      <c r="F221" s="7">
        <v>50.0</v>
      </c>
      <c r="G221" s="7">
        <v>50.0</v>
      </c>
      <c r="H221" s="7">
        <v>40.0</v>
      </c>
      <c r="I221" s="7"/>
      <c r="J221" s="7">
        <v>30.0</v>
      </c>
      <c r="K221" s="7">
        <v>30.0</v>
      </c>
      <c r="L221" s="7">
        <v>50.0</v>
      </c>
      <c r="M221" s="7" t="s">
        <v>2824</v>
      </c>
      <c r="N221" s="7" t="s">
        <v>3894</v>
      </c>
      <c r="O221" s="7" t="s">
        <v>2968</v>
      </c>
      <c r="P221" s="7">
        <v>6.5</v>
      </c>
      <c r="Q221" s="7"/>
      <c r="R221" s="7">
        <f t="shared" si="1"/>
        <v>220</v>
      </c>
    </row>
    <row r="222" ht="15.75" customHeight="1">
      <c r="A222" s="7">
        <v>221.0</v>
      </c>
      <c r="B222" s="7" t="s">
        <v>3466</v>
      </c>
      <c r="C222" s="7">
        <v>2.0</v>
      </c>
      <c r="D222" s="7" t="s">
        <v>4942</v>
      </c>
      <c r="E222" s="7" t="s">
        <v>4922</v>
      </c>
      <c r="F222" s="7">
        <v>100.0</v>
      </c>
      <c r="G222" s="7">
        <v>100.0</v>
      </c>
      <c r="H222" s="7">
        <v>80.0</v>
      </c>
      <c r="I222" s="7"/>
      <c r="J222" s="7">
        <v>60.0</v>
      </c>
      <c r="K222" s="7">
        <v>60.0</v>
      </c>
      <c r="L222" s="7">
        <v>50.0</v>
      </c>
      <c r="M222" s="7" t="s">
        <v>2824</v>
      </c>
      <c r="N222" s="7" t="s">
        <v>3894</v>
      </c>
      <c r="O222" s="7" t="s">
        <v>2968</v>
      </c>
      <c r="P222" s="7">
        <v>55.8</v>
      </c>
      <c r="Q222" s="7"/>
      <c r="R222" s="7">
        <f t="shared" si="1"/>
        <v>221</v>
      </c>
    </row>
    <row r="223" ht="15.75" customHeight="1">
      <c r="A223" s="7">
        <v>222.0</v>
      </c>
      <c r="B223" s="7" t="s">
        <v>3167</v>
      </c>
      <c r="C223" s="7">
        <v>2.0</v>
      </c>
      <c r="D223" s="7" t="s">
        <v>4908</v>
      </c>
      <c r="E223" s="7" t="s">
        <v>4940</v>
      </c>
      <c r="F223" s="7">
        <f>IF($A$1&lt;7,55,65)</f>
        <v>65</v>
      </c>
      <c r="G223" s="7">
        <v>55.0</v>
      </c>
      <c r="H223" s="7">
        <f>IF($A$1&lt;7,85,95)</f>
        <v>95</v>
      </c>
      <c r="I223" s="7"/>
      <c r="J223" s="7">
        <v>65.0</v>
      </c>
      <c r="K223" s="7">
        <f>IF($A$1&lt;7,85,95)</f>
        <v>95</v>
      </c>
      <c r="L223" s="7">
        <v>35.0</v>
      </c>
      <c r="M223" s="7" t="s">
        <v>3924</v>
      </c>
      <c r="N223" s="7" t="s">
        <v>3169</v>
      </c>
      <c r="O223" s="7" t="s">
        <v>3404</v>
      </c>
      <c r="P223" s="7">
        <v>5.0</v>
      </c>
      <c r="Q223" s="7"/>
      <c r="R223" s="7">
        <f t="shared" si="1"/>
        <v>222</v>
      </c>
    </row>
    <row r="224" ht="15.75" customHeight="1">
      <c r="A224" s="7">
        <v>223.0</v>
      </c>
      <c r="B224" s="7" t="s">
        <v>2769</v>
      </c>
      <c r="C224" s="7">
        <v>2.0</v>
      </c>
      <c r="D224" s="7" t="s">
        <v>4908</v>
      </c>
      <c r="E224" s="7"/>
      <c r="F224" s="7">
        <v>35.0</v>
      </c>
      <c r="G224" s="7">
        <v>65.0</v>
      </c>
      <c r="H224" s="7">
        <v>35.0</v>
      </c>
      <c r="I224" s="7"/>
      <c r="J224" s="7">
        <v>65.0</v>
      </c>
      <c r="K224" s="7">
        <v>35.0</v>
      </c>
      <c r="L224" s="7">
        <v>65.0</v>
      </c>
      <c r="M224" s="7" t="s">
        <v>3924</v>
      </c>
      <c r="N224" s="7" t="s">
        <v>2773</v>
      </c>
      <c r="O224" s="7" t="s">
        <v>2786</v>
      </c>
      <c r="P224" s="7">
        <v>12.0</v>
      </c>
      <c r="Q224" s="7"/>
      <c r="R224" s="7">
        <f t="shared" si="1"/>
        <v>223</v>
      </c>
    </row>
    <row r="225" ht="15.75" customHeight="1">
      <c r="A225" s="7">
        <v>224.0</v>
      </c>
      <c r="B225" s="7" t="s">
        <v>3560</v>
      </c>
      <c r="C225" s="7">
        <v>2.0</v>
      </c>
      <c r="D225" s="7" t="s">
        <v>4908</v>
      </c>
      <c r="E225" s="7"/>
      <c r="F225" s="7">
        <v>75.0</v>
      </c>
      <c r="G225" s="7">
        <v>105.0</v>
      </c>
      <c r="H225" s="7">
        <v>75.0</v>
      </c>
      <c r="I225" s="7"/>
      <c r="J225" s="7">
        <v>105.0</v>
      </c>
      <c r="K225" s="7">
        <v>75.0</v>
      </c>
      <c r="L225" s="7">
        <v>45.0</v>
      </c>
      <c r="M225" s="7" t="s">
        <v>4981</v>
      </c>
      <c r="N225" s="7" t="s">
        <v>2773</v>
      </c>
      <c r="O225" s="7" t="s">
        <v>2786</v>
      </c>
      <c r="P225" s="7">
        <v>28.5</v>
      </c>
      <c r="Q225" s="7"/>
      <c r="R225" s="7">
        <f t="shared" si="1"/>
        <v>224</v>
      </c>
    </row>
    <row r="226" ht="15.75" customHeight="1">
      <c r="A226" s="7">
        <v>225.0</v>
      </c>
      <c r="B226" s="7" t="s">
        <v>3007</v>
      </c>
      <c r="C226" s="7">
        <v>2.0</v>
      </c>
      <c r="D226" s="7" t="s">
        <v>4942</v>
      </c>
      <c r="E226" s="7" t="s">
        <v>4907</v>
      </c>
      <c r="F226" s="7">
        <v>45.0</v>
      </c>
      <c r="G226" s="7">
        <v>55.0</v>
      </c>
      <c r="H226" s="7">
        <v>45.0</v>
      </c>
      <c r="I226" s="7"/>
      <c r="J226" s="7">
        <v>65.0</v>
      </c>
      <c r="K226" s="7">
        <v>45.0</v>
      </c>
      <c r="L226" s="7">
        <v>75.0</v>
      </c>
      <c r="M226" s="7" t="s">
        <v>3011</v>
      </c>
      <c r="N226" s="7" t="s">
        <v>3924</v>
      </c>
      <c r="O226" s="7" t="s">
        <v>2735</v>
      </c>
      <c r="P226" s="7">
        <v>16.0</v>
      </c>
      <c r="Q226" s="7"/>
      <c r="R226" s="7">
        <f t="shared" si="1"/>
        <v>225</v>
      </c>
    </row>
    <row r="227" ht="15.75" customHeight="1">
      <c r="A227" s="7">
        <v>226.0</v>
      </c>
      <c r="B227" s="7" t="s">
        <v>3526</v>
      </c>
      <c r="C227" s="7">
        <v>2.0</v>
      </c>
      <c r="D227" s="7" t="s">
        <v>4908</v>
      </c>
      <c r="E227" s="7" t="s">
        <v>4907</v>
      </c>
      <c r="F227" s="7">
        <f>IF($A$1&lt;7,65,85)</f>
        <v>85</v>
      </c>
      <c r="G227" s="7">
        <v>40.0</v>
      </c>
      <c r="H227" s="7">
        <v>70.0</v>
      </c>
      <c r="I227" s="7"/>
      <c r="J227" s="7">
        <v>80.0</v>
      </c>
      <c r="K227" s="7">
        <v>140.0</v>
      </c>
      <c r="L227" s="7">
        <v>70.0</v>
      </c>
      <c r="M227" s="7" t="s">
        <v>3028</v>
      </c>
      <c r="N227" s="7" t="s">
        <v>3059</v>
      </c>
      <c r="O227" s="7" t="s">
        <v>4521</v>
      </c>
      <c r="P227" s="7">
        <v>220.0</v>
      </c>
      <c r="Q227" s="7"/>
      <c r="R227" s="7">
        <f t="shared" si="1"/>
        <v>226</v>
      </c>
    </row>
    <row r="228" ht="15.75" customHeight="1">
      <c r="A228" s="7">
        <v>227.0</v>
      </c>
      <c r="B228" s="7" t="s">
        <v>3657</v>
      </c>
      <c r="C228" s="7">
        <v>2.0</v>
      </c>
      <c r="D228" s="7" t="s">
        <v>4975</v>
      </c>
      <c r="E228" s="7" t="s">
        <v>4907</v>
      </c>
      <c r="F228" s="7">
        <v>65.0</v>
      </c>
      <c r="G228" s="7">
        <v>80.0</v>
      </c>
      <c r="H228" s="7">
        <v>140.0</v>
      </c>
      <c r="I228" s="7"/>
      <c r="J228" s="7">
        <v>40.0</v>
      </c>
      <c r="K228" s="7">
        <v>70.0</v>
      </c>
      <c r="L228" s="7">
        <v>70.0</v>
      </c>
      <c r="M228" s="7" t="s">
        <v>2677</v>
      </c>
      <c r="N228" s="7" t="s">
        <v>2728</v>
      </c>
      <c r="O228" s="7" t="s">
        <v>4148</v>
      </c>
      <c r="P228" s="7">
        <v>50.5</v>
      </c>
      <c r="Q228" s="7"/>
      <c r="R228" s="7">
        <f t="shared" si="1"/>
        <v>227</v>
      </c>
    </row>
    <row r="229" ht="15.75" customHeight="1">
      <c r="A229" s="7">
        <v>228.0</v>
      </c>
      <c r="B229" s="7" t="s">
        <v>3013</v>
      </c>
      <c r="C229" s="7">
        <v>2.0</v>
      </c>
      <c r="D229" s="7" t="s">
        <v>4972</v>
      </c>
      <c r="E229" s="7" t="s">
        <v>4906</v>
      </c>
      <c r="F229" s="7">
        <v>45.0</v>
      </c>
      <c r="G229" s="7">
        <v>60.0</v>
      </c>
      <c r="H229" s="7">
        <v>30.0</v>
      </c>
      <c r="I229" s="7"/>
      <c r="J229" s="7">
        <v>80.0</v>
      </c>
      <c r="K229" s="7">
        <v>50.0</v>
      </c>
      <c r="L229" s="7">
        <v>65.0</v>
      </c>
      <c r="M229" s="7" t="s">
        <v>2842</v>
      </c>
      <c r="N229" s="7" t="s">
        <v>3016</v>
      </c>
      <c r="O229" s="7" t="s">
        <v>4441</v>
      </c>
      <c r="P229" s="7">
        <v>10.8</v>
      </c>
      <c r="Q229" s="7"/>
      <c r="R229" s="7">
        <f t="shared" si="1"/>
        <v>228</v>
      </c>
    </row>
    <row r="230" ht="15.75" customHeight="1">
      <c r="A230" s="7">
        <v>229.0</v>
      </c>
      <c r="B230" s="7" t="s">
        <v>3792</v>
      </c>
      <c r="C230" s="7">
        <v>2.0</v>
      </c>
      <c r="D230" s="7" t="s">
        <v>4972</v>
      </c>
      <c r="E230" s="7" t="s">
        <v>4906</v>
      </c>
      <c r="F230" s="7">
        <v>75.0</v>
      </c>
      <c r="G230" s="7">
        <v>90.0</v>
      </c>
      <c r="H230" s="7">
        <v>50.0</v>
      </c>
      <c r="I230" s="7"/>
      <c r="J230" s="7">
        <v>110.0</v>
      </c>
      <c r="K230" s="7">
        <v>80.0</v>
      </c>
      <c r="L230" s="7">
        <v>95.0</v>
      </c>
      <c r="M230" s="7" t="s">
        <v>2842</v>
      </c>
      <c r="N230" s="7" t="s">
        <v>3016</v>
      </c>
      <c r="O230" s="7" t="s">
        <v>4441</v>
      </c>
      <c r="P230" s="7">
        <v>35.0</v>
      </c>
      <c r="Q230" s="7"/>
      <c r="R230" s="7">
        <f t="shared" si="1"/>
        <v>229</v>
      </c>
    </row>
    <row r="231" ht="15.75" customHeight="1">
      <c r="A231" s="7">
        <v>230.0</v>
      </c>
      <c r="B231" s="7" t="s">
        <v>3912</v>
      </c>
      <c r="C231" s="7">
        <v>2.0</v>
      </c>
      <c r="D231" s="7" t="s">
        <v>4908</v>
      </c>
      <c r="E231" s="7" t="s">
        <v>4956</v>
      </c>
      <c r="F231" s="7">
        <v>75.0</v>
      </c>
      <c r="G231" s="7">
        <v>95.0</v>
      </c>
      <c r="H231" s="7">
        <v>95.0</v>
      </c>
      <c r="I231" s="7"/>
      <c r="J231" s="7">
        <v>95.0</v>
      </c>
      <c r="K231" s="7">
        <v>95.0</v>
      </c>
      <c r="L231" s="7">
        <v>85.0</v>
      </c>
      <c r="M231" s="7" t="s">
        <v>3028</v>
      </c>
      <c r="N231" s="7" t="s">
        <v>2773</v>
      </c>
      <c r="O231" s="7" t="s">
        <v>4403</v>
      </c>
      <c r="P231" s="7">
        <v>152.0</v>
      </c>
      <c r="Q231" s="7"/>
      <c r="R231" s="7">
        <f t="shared" si="1"/>
        <v>230</v>
      </c>
    </row>
    <row r="232" ht="15.75" customHeight="1">
      <c r="A232" s="7">
        <v>231.0</v>
      </c>
      <c r="B232" s="7" t="s">
        <v>3018</v>
      </c>
      <c r="C232" s="7">
        <v>2.0</v>
      </c>
      <c r="D232" s="7" t="s">
        <v>4922</v>
      </c>
      <c r="E232" s="7"/>
      <c r="F232" s="7">
        <v>90.0</v>
      </c>
      <c r="G232" s="7">
        <v>60.0</v>
      </c>
      <c r="H232" s="7">
        <v>60.0</v>
      </c>
      <c r="I232" s="7"/>
      <c r="J232" s="7">
        <v>40.0</v>
      </c>
      <c r="K232" s="7">
        <v>40.0</v>
      </c>
      <c r="L232" s="7">
        <v>40.0</v>
      </c>
      <c r="M232" s="7" t="s">
        <v>3005</v>
      </c>
      <c r="N232" s="7"/>
      <c r="O232" s="7" t="s">
        <v>4005</v>
      </c>
      <c r="P232" s="7">
        <v>33.5</v>
      </c>
      <c r="Q232" s="7"/>
      <c r="R232" s="7">
        <f t="shared" si="1"/>
        <v>231</v>
      </c>
    </row>
    <row r="233" ht="15.75" customHeight="1">
      <c r="A233" s="7">
        <v>232.0</v>
      </c>
      <c r="B233" s="7" t="s">
        <v>3795</v>
      </c>
      <c r="C233" s="7">
        <v>2.0</v>
      </c>
      <c r="D233" s="7" t="s">
        <v>4922</v>
      </c>
      <c r="E233" s="7"/>
      <c r="F233" s="7">
        <v>90.0</v>
      </c>
      <c r="G233" s="7">
        <v>120.0</v>
      </c>
      <c r="H233" s="7">
        <v>120.0</v>
      </c>
      <c r="I233" s="7"/>
      <c r="J233" s="7">
        <v>60.0</v>
      </c>
      <c r="K233" s="7">
        <v>60.0</v>
      </c>
      <c r="L233" s="7">
        <v>50.0</v>
      </c>
      <c r="M233" s="7" t="s">
        <v>2728</v>
      </c>
      <c r="N233" s="7"/>
      <c r="O233" s="7" t="s">
        <v>4005</v>
      </c>
      <c r="P233" s="7">
        <v>120.0</v>
      </c>
      <c r="Q233" s="7"/>
      <c r="R233" s="7">
        <f t="shared" si="1"/>
        <v>232</v>
      </c>
    </row>
    <row r="234" ht="15.75" customHeight="1">
      <c r="A234" s="7">
        <v>233.0</v>
      </c>
      <c r="B234" s="7" t="s">
        <v>3838</v>
      </c>
      <c r="C234" s="7">
        <v>2.0</v>
      </c>
      <c r="D234" s="7" t="s">
        <v>4916</v>
      </c>
      <c r="E234" s="7"/>
      <c r="F234" s="7">
        <v>85.0</v>
      </c>
      <c r="G234" s="7">
        <v>80.0</v>
      </c>
      <c r="H234" s="7">
        <v>90.0</v>
      </c>
      <c r="I234" s="7"/>
      <c r="J234" s="7">
        <v>105.0</v>
      </c>
      <c r="K234" s="7">
        <v>95.0</v>
      </c>
      <c r="L234" s="7">
        <v>60.0</v>
      </c>
      <c r="M234" s="7" t="s">
        <v>1477</v>
      </c>
      <c r="N234" s="7" t="s">
        <v>3229</v>
      </c>
      <c r="O234" s="7" t="s">
        <v>3841</v>
      </c>
      <c r="P234" s="7">
        <v>32.5</v>
      </c>
      <c r="Q234" s="7"/>
      <c r="R234" s="7">
        <f t="shared" si="1"/>
        <v>233</v>
      </c>
    </row>
    <row r="235" ht="15.75" customHeight="1">
      <c r="A235" s="7">
        <v>234.0</v>
      </c>
      <c r="B235" s="7" t="s">
        <v>3528</v>
      </c>
      <c r="C235" s="7">
        <v>2.0</v>
      </c>
      <c r="D235" s="7" t="s">
        <v>4916</v>
      </c>
      <c r="E235" s="7"/>
      <c r="F235" s="7">
        <v>73.0</v>
      </c>
      <c r="G235" s="7">
        <v>95.0</v>
      </c>
      <c r="H235" s="7">
        <v>62.0</v>
      </c>
      <c r="I235" s="7"/>
      <c r="J235" s="7">
        <v>85.0</v>
      </c>
      <c r="K235" s="7">
        <v>65.0</v>
      </c>
      <c r="L235" s="7">
        <v>85.0</v>
      </c>
      <c r="M235" s="7" t="s">
        <v>2696</v>
      </c>
      <c r="N235" s="7" t="s">
        <v>4928</v>
      </c>
      <c r="O235" s="7" t="s">
        <v>3490</v>
      </c>
      <c r="P235" s="7">
        <v>71.5</v>
      </c>
      <c r="Q235" s="7"/>
      <c r="R235" s="7">
        <f t="shared" si="1"/>
        <v>234</v>
      </c>
    </row>
    <row r="236" ht="15.75" customHeight="1">
      <c r="A236" s="7">
        <v>235.0</v>
      </c>
      <c r="B236" s="7" t="s">
        <v>4982</v>
      </c>
      <c r="C236" s="7">
        <v>2.0</v>
      </c>
      <c r="D236" s="7" t="s">
        <v>4916</v>
      </c>
      <c r="E236" s="7"/>
      <c r="F236" s="7">
        <v>55.0</v>
      </c>
      <c r="G236" s="7">
        <v>20.0</v>
      </c>
      <c r="H236" s="7">
        <v>35.0</v>
      </c>
      <c r="I236" s="7"/>
      <c r="J236" s="7">
        <v>20.0</v>
      </c>
      <c r="K236" s="7">
        <v>45.0</v>
      </c>
      <c r="L236" s="7">
        <v>75.0</v>
      </c>
      <c r="M236" s="7" t="s">
        <v>3145</v>
      </c>
      <c r="N236" s="7" t="s">
        <v>3412</v>
      </c>
      <c r="O236" s="7" t="s">
        <v>2786</v>
      </c>
      <c r="P236" s="7">
        <v>58.0</v>
      </c>
      <c r="Q236" s="7"/>
      <c r="R236" s="7">
        <f t="shared" si="1"/>
        <v>235</v>
      </c>
    </row>
    <row r="237" ht="15.75" customHeight="1">
      <c r="A237" s="7">
        <v>236.0</v>
      </c>
      <c r="B237" s="7" t="s">
        <v>4983</v>
      </c>
      <c r="C237" s="7">
        <v>2.0</v>
      </c>
      <c r="D237" s="7" t="s">
        <v>4935</v>
      </c>
      <c r="E237" s="7"/>
      <c r="F237" s="7">
        <v>35.0</v>
      </c>
      <c r="G237" s="7">
        <v>35.0</v>
      </c>
      <c r="H237" s="7">
        <v>35.0</v>
      </c>
      <c r="I237" s="7"/>
      <c r="J237" s="7">
        <v>35.0</v>
      </c>
      <c r="K237" s="7">
        <v>35.0</v>
      </c>
      <c r="L237" s="7">
        <v>35.0</v>
      </c>
      <c r="M237" s="7" t="s">
        <v>2777</v>
      </c>
      <c r="N237" s="7" t="s">
        <v>4075</v>
      </c>
      <c r="O237" s="7" t="s">
        <v>3011</v>
      </c>
      <c r="P237" s="7">
        <v>21.0</v>
      </c>
      <c r="Q237" s="7"/>
      <c r="R237" s="7">
        <f t="shared" si="1"/>
        <v>236</v>
      </c>
    </row>
    <row r="238" ht="15.75" customHeight="1">
      <c r="A238" s="7">
        <v>237.0</v>
      </c>
      <c r="B238" s="7" t="s">
        <v>3492</v>
      </c>
      <c r="C238" s="7">
        <v>2.0</v>
      </c>
      <c r="D238" s="7" t="s">
        <v>4935</v>
      </c>
      <c r="E238" s="7"/>
      <c r="F238" s="7">
        <v>50.0</v>
      </c>
      <c r="G238" s="7">
        <v>95.0</v>
      </c>
      <c r="H238" s="7">
        <v>95.0</v>
      </c>
      <c r="I238" s="7"/>
      <c r="J238" s="7">
        <v>35.0</v>
      </c>
      <c r="K238" s="7">
        <v>110.0</v>
      </c>
      <c r="L238" s="7">
        <v>70.0</v>
      </c>
      <c r="M238" s="7" t="s">
        <v>2696</v>
      </c>
      <c r="N238" s="7" t="s">
        <v>3412</v>
      </c>
      <c r="O238" s="7" t="s">
        <v>4075</v>
      </c>
      <c r="P238" s="7">
        <v>48.0</v>
      </c>
      <c r="Q238" s="7"/>
      <c r="R238" s="7">
        <f t="shared" si="1"/>
        <v>237</v>
      </c>
    </row>
    <row r="239" ht="15.75" customHeight="1">
      <c r="A239" s="7">
        <v>238.0</v>
      </c>
      <c r="B239" s="7" t="s">
        <v>2821</v>
      </c>
      <c r="C239" s="7">
        <v>2.0</v>
      </c>
      <c r="D239" s="7" t="s">
        <v>4942</v>
      </c>
      <c r="E239" s="7" t="s">
        <v>2659</v>
      </c>
      <c r="F239" s="7">
        <v>45.0</v>
      </c>
      <c r="G239" s="7">
        <v>30.0</v>
      </c>
      <c r="H239" s="7">
        <v>15.0</v>
      </c>
      <c r="I239" s="7"/>
      <c r="J239" s="7">
        <v>85.0</v>
      </c>
      <c r="K239" s="7">
        <v>65.0</v>
      </c>
      <c r="L239" s="7">
        <v>65.0</v>
      </c>
      <c r="M239" s="7" t="s">
        <v>2824</v>
      </c>
      <c r="N239" s="7" t="s">
        <v>4946</v>
      </c>
      <c r="O239" s="7" t="s">
        <v>3662</v>
      </c>
      <c r="P239" s="7">
        <v>6.0</v>
      </c>
      <c r="Q239" s="7"/>
      <c r="R239" s="7">
        <f t="shared" si="1"/>
        <v>238</v>
      </c>
    </row>
    <row r="240" ht="15.75" customHeight="1">
      <c r="A240" s="7">
        <v>239.0</v>
      </c>
      <c r="B240" s="7" t="s">
        <v>3133</v>
      </c>
      <c r="C240" s="7">
        <v>2.0</v>
      </c>
      <c r="D240" s="7" t="s">
        <v>4921</v>
      </c>
      <c r="E240" s="7"/>
      <c r="F240" s="7">
        <v>45.0</v>
      </c>
      <c r="G240" s="7">
        <v>63.0</v>
      </c>
      <c r="H240" s="7">
        <v>37.0</v>
      </c>
      <c r="I240" s="7"/>
      <c r="J240" s="7">
        <v>65.0</v>
      </c>
      <c r="K240" s="7">
        <v>55.0</v>
      </c>
      <c r="L240" s="7">
        <v>95.0</v>
      </c>
      <c r="M240" s="7" t="s">
        <v>3136</v>
      </c>
      <c r="N240" s="7"/>
      <c r="O240" s="7" t="s">
        <v>3011</v>
      </c>
      <c r="P240" s="7">
        <v>23.5</v>
      </c>
      <c r="Q240" s="7"/>
      <c r="R240" s="7">
        <f t="shared" si="1"/>
        <v>239</v>
      </c>
    </row>
    <row r="241" ht="15.75" customHeight="1">
      <c r="A241" s="7">
        <v>240.0</v>
      </c>
      <c r="B241" s="7" t="s">
        <v>3159</v>
      </c>
      <c r="C241" s="7">
        <v>2.0</v>
      </c>
      <c r="D241" s="7" t="s">
        <v>4906</v>
      </c>
      <c r="E241" s="7"/>
      <c r="F241" s="7">
        <v>45.0</v>
      </c>
      <c r="G241" s="7">
        <v>75.0</v>
      </c>
      <c r="H241" s="7">
        <v>37.0</v>
      </c>
      <c r="I241" s="7"/>
      <c r="J241" s="7">
        <v>70.0</v>
      </c>
      <c r="K241" s="7">
        <v>55.0</v>
      </c>
      <c r="L241" s="7">
        <v>83.0</v>
      </c>
      <c r="M241" s="7" t="s">
        <v>3162</v>
      </c>
      <c r="N241" s="7"/>
      <c r="O241" s="7" t="s">
        <v>3011</v>
      </c>
      <c r="P241" s="7">
        <v>21.4</v>
      </c>
      <c r="Q241" s="7"/>
      <c r="R241" s="7">
        <f t="shared" si="1"/>
        <v>240</v>
      </c>
    </row>
    <row r="242" ht="15.75" customHeight="1">
      <c r="A242" s="7">
        <v>241.0</v>
      </c>
      <c r="B242" s="7" t="s">
        <v>3735</v>
      </c>
      <c r="C242" s="7">
        <v>2.0</v>
      </c>
      <c r="D242" s="7" t="s">
        <v>4916</v>
      </c>
      <c r="E242" s="7"/>
      <c r="F242" s="7">
        <v>95.0</v>
      </c>
      <c r="G242" s="7">
        <v>80.0</v>
      </c>
      <c r="H242" s="7">
        <v>105.0</v>
      </c>
      <c r="I242" s="7"/>
      <c r="J242" s="7">
        <v>40.0</v>
      </c>
      <c r="K242" s="7">
        <v>70.0</v>
      </c>
      <c r="L242" s="7">
        <v>100.0</v>
      </c>
      <c r="M242" s="7" t="s">
        <v>2968</v>
      </c>
      <c r="N242" s="7" t="s">
        <v>3141</v>
      </c>
      <c r="O242" s="7" t="s">
        <v>3490</v>
      </c>
      <c r="P242" s="7">
        <v>75.5</v>
      </c>
      <c r="Q242" s="7"/>
      <c r="R242" s="7">
        <f t="shared" si="1"/>
        <v>241</v>
      </c>
    </row>
    <row r="243" ht="15.75" customHeight="1">
      <c r="A243" s="7">
        <v>242.0</v>
      </c>
      <c r="B243" s="7" t="s">
        <v>3914</v>
      </c>
      <c r="C243" s="7">
        <v>2.0</v>
      </c>
      <c r="D243" s="7" t="s">
        <v>4916</v>
      </c>
      <c r="E243" s="7"/>
      <c r="F243" s="7">
        <v>255.0</v>
      </c>
      <c r="G243" s="7">
        <v>10.0</v>
      </c>
      <c r="H243" s="7">
        <v>10.0</v>
      </c>
      <c r="I243" s="7"/>
      <c r="J243" s="7">
        <v>75.0</v>
      </c>
      <c r="K243" s="7">
        <v>135.0</v>
      </c>
      <c r="L243" s="7">
        <v>55.0</v>
      </c>
      <c r="M243" s="7" t="s">
        <v>3169</v>
      </c>
      <c r="N243" s="7" t="s">
        <v>2662</v>
      </c>
      <c r="O243" s="7" t="s">
        <v>4947</v>
      </c>
      <c r="P243" s="7">
        <v>46.8</v>
      </c>
      <c r="Q243" s="7"/>
      <c r="R243" s="7">
        <f t="shared" si="1"/>
        <v>242</v>
      </c>
    </row>
    <row r="244" ht="15.75" customHeight="1">
      <c r="A244" s="7">
        <v>243.0</v>
      </c>
      <c r="B244" s="7" t="s">
        <v>4217</v>
      </c>
      <c r="C244" s="7">
        <v>2.0</v>
      </c>
      <c r="D244" s="7" t="s">
        <v>4921</v>
      </c>
      <c r="E244" s="7"/>
      <c r="F244" s="7">
        <v>90.0</v>
      </c>
      <c r="G244" s="7">
        <v>85.0</v>
      </c>
      <c r="H244" s="7">
        <v>75.0</v>
      </c>
      <c r="I244" s="7"/>
      <c r="J244" s="7">
        <v>115.0</v>
      </c>
      <c r="K244" s="7">
        <v>100.0</v>
      </c>
      <c r="L244" s="7">
        <v>115.0</v>
      </c>
      <c r="M244" s="7" t="s">
        <v>3499</v>
      </c>
      <c r="N244" s="7"/>
      <c r="O244" s="7" t="str">
        <f>IF($A$1&lt;7,"Volt Absorb","Inner Focus")</f>
        <v>Inner Focus</v>
      </c>
      <c r="P244" s="7">
        <v>178.0</v>
      </c>
      <c r="Q244" s="7"/>
      <c r="R244" s="7">
        <f t="shared" si="1"/>
        <v>243</v>
      </c>
    </row>
    <row r="245" ht="15.75" customHeight="1">
      <c r="A245" s="7">
        <v>244.0</v>
      </c>
      <c r="B245" s="7" t="s">
        <v>4219</v>
      </c>
      <c r="C245" s="7">
        <v>2.0</v>
      </c>
      <c r="D245" s="7" t="s">
        <v>4906</v>
      </c>
      <c r="E245" s="7"/>
      <c r="F245" s="7">
        <v>115.0</v>
      </c>
      <c r="G245" s="7">
        <v>115.0</v>
      </c>
      <c r="H245" s="7">
        <v>85.0</v>
      </c>
      <c r="I245" s="7"/>
      <c r="J245" s="7">
        <v>90.0</v>
      </c>
      <c r="K245" s="7">
        <v>75.0</v>
      </c>
      <c r="L245" s="7">
        <v>100.0</v>
      </c>
      <c r="M245" s="7" t="s">
        <v>3499</v>
      </c>
      <c r="N245" s="7"/>
      <c r="O245" s="7" t="str">
        <f>IF($A$1&lt;7,"Flash Fire","Inner Focus")</f>
        <v>Inner Focus</v>
      </c>
      <c r="P245" s="7">
        <v>198.0</v>
      </c>
      <c r="Q245" s="7"/>
      <c r="R245" s="7">
        <f t="shared" si="1"/>
        <v>244</v>
      </c>
    </row>
    <row r="246" ht="15.75" customHeight="1">
      <c r="A246" s="7">
        <v>245.0</v>
      </c>
      <c r="B246" s="7" t="s">
        <v>4222</v>
      </c>
      <c r="C246" s="7">
        <v>2.0</v>
      </c>
      <c r="D246" s="7" t="s">
        <v>4908</v>
      </c>
      <c r="E246" s="7"/>
      <c r="F246" s="7">
        <v>100.0</v>
      </c>
      <c r="G246" s="7">
        <v>75.0</v>
      </c>
      <c r="H246" s="7">
        <v>115.0</v>
      </c>
      <c r="I246" s="7"/>
      <c r="J246" s="7">
        <v>90.0</v>
      </c>
      <c r="K246" s="7">
        <v>115.0</v>
      </c>
      <c r="L246" s="7">
        <v>85.0</v>
      </c>
      <c r="M246" s="7" t="s">
        <v>3499</v>
      </c>
      <c r="N246" s="7"/>
      <c r="O246" s="7" t="str">
        <f>IF($A$1&lt;7,"Water Absorb","Inner Focus")</f>
        <v>Inner Focus</v>
      </c>
      <c r="P246" s="7">
        <v>187.0</v>
      </c>
      <c r="Q246" s="7"/>
      <c r="R246" s="7">
        <f t="shared" si="1"/>
        <v>245</v>
      </c>
    </row>
    <row r="247" ht="15.75" customHeight="1">
      <c r="A247" s="7">
        <v>246.0</v>
      </c>
      <c r="B247" s="7" t="s">
        <v>2775</v>
      </c>
      <c r="C247" s="7">
        <v>2.0</v>
      </c>
      <c r="D247" s="7" t="s">
        <v>4940</v>
      </c>
      <c r="E247" s="7" t="s">
        <v>4922</v>
      </c>
      <c r="F247" s="7">
        <v>50.0</v>
      </c>
      <c r="G247" s="7">
        <v>64.0</v>
      </c>
      <c r="H247" s="7">
        <v>50.0</v>
      </c>
      <c r="I247" s="7"/>
      <c r="J247" s="7">
        <v>45.0</v>
      </c>
      <c r="K247" s="7">
        <v>50.0</v>
      </c>
      <c r="L247" s="7">
        <v>41.0</v>
      </c>
      <c r="M247" s="7" t="s">
        <v>2777</v>
      </c>
      <c r="N247" s="7"/>
      <c r="O247" s="7" t="s">
        <v>4005</v>
      </c>
      <c r="P247" s="7">
        <v>72.0</v>
      </c>
      <c r="Q247" s="7"/>
      <c r="R247" s="7">
        <f t="shared" si="1"/>
        <v>246</v>
      </c>
    </row>
    <row r="248" ht="15.75" customHeight="1">
      <c r="A248" s="7">
        <v>247.0</v>
      </c>
      <c r="B248" s="7" t="s">
        <v>3324</v>
      </c>
      <c r="C248" s="7">
        <v>2.0</v>
      </c>
      <c r="D248" s="7" t="s">
        <v>4940</v>
      </c>
      <c r="E248" s="7" t="s">
        <v>4922</v>
      </c>
      <c r="F248" s="7">
        <v>70.0</v>
      </c>
      <c r="G248" s="7">
        <v>84.0</v>
      </c>
      <c r="H248" s="7">
        <v>70.0</v>
      </c>
      <c r="I248" s="7"/>
      <c r="J248" s="7">
        <v>65.0</v>
      </c>
      <c r="K248" s="7">
        <v>70.0</v>
      </c>
      <c r="L248" s="7">
        <v>51.0</v>
      </c>
      <c r="M248" s="7" t="s">
        <v>2653</v>
      </c>
      <c r="N248" s="7"/>
      <c r="O248" s="7"/>
      <c r="P248" s="7">
        <v>152.0</v>
      </c>
      <c r="Q248" s="7"/>
      <c r="R248" s="7">
        <f t="shared" si="1"/>
        <v>247</v>
      </c>
    </row>
    <row r="249" ht="15.75" customHeight="1">
      <c r="A249" s="7">
        <v>248.0</v>
      </c>
      <c r="B249" s="7" t="s">
        <v>3929</v>
      </c>
      <c r="C249" s="7">
        <v>2.0</v>
      </c>
      <c r="D249" s="7" t="s">
        <v>4940</v>
      </c>
      <c r="E249" s="7" t="s">
        <v>4972</v>
      </c>
      <c r="F249" s="7">
        <v>100.0</v>
      </c>
      <c r="G249" s="7">
        <v>134.0</v>
      </c>
      <c r="H249" s="7">
        <v>110.0</v>
      </c>
      <c r="I249" s="7"/>
      <c r="J249" s="7">
        <v>95.0</v>
      </c>
      <c r="K249" s="7">
        <v>100.0</v>
      </c>
      <c r="L249" s="7">
        <v>61.0</v>
      </c>
      <c r="M249" s="7" t="s">
        <v>3034</v>
      </c>
      <c r="N249" s="7"/>
      <c r="O249" s="7" t="s">
        <v>4441</v>
      </c>
      <c r="P249" s="7">
        <v>202.0</v>
      </c>
      <c r="Q249" s="7"/>
      <c r="R249" s="7">
        <f t="shared" si="1"/>
        <v>248</v>
      </c>
    </row>
    <row r="250" ht="15.75" customHeight="1">
      <c r="A250" s="7">
        <v>249.0</v>
      </c>
      <c r="B250" s="7" t="s">
        <v>4984</v>
      </c>
      <c r="C250" s="7">
        <v>2.0</v>
      </c>
      <c r="D250" s="7" t="s">
        <v>2659</v>
      </c>
      <c r="E250" s="7" t="s">
        <v>4907</v>
      </c>
      <c r="F250" s="7">
        <v>106.0</v>
      </c>
      <c r="G250" s="7">
        <v>90.0</v>
      </c>
      <c r="H250" s="7">
        <v>130.0</v>
      </c>
      <c r="I250" s="7"/>
      <c r="J250" s="7">
        <v>90.0</v>
      </c>
      <c r="K250" s="7">
        <v>154.0</v>
      </c>
      <c r="L250" s="7">
        <v>110.0</v>
      </c>
      <c r="M250" s="7" t="s">
        <v>3499</v>
      </c>
      <c r="N250" s="7"/>
      <c r="O250" s="7" t="s">
        <v>3442</v>
      </c>
      <c r="P250" s="7">
        <v>216.0</v>
      </c>
      <c r="Q250" s="7"/>
      <c r="R250" s="7">
        <f t="shared" si="1"/>
        <v>249</v>
      </c>
    </row>
    <row r="251" ht="15.75" customHeight="1">
      <c r="A251" s="7">
        <v>250.0</v>
      </c>
      <c r="B251" s="7" t="s">
        <v>4985</v>
      </c>
      <c r="C251" s="7">
        <v>2.0</v>
      </c>
      <c r="D251" s="7" t="s">
        <v>4906</v>
      </c>
      <c r="E251" s="7" t="s">
        <v>4907</v>
      </c>
      <c r="F251" s="7">
        <v>106.0</v>
      </c>
      <c r="G251" s="7">
        <v>130.0</v>
      </c>
      <c r="H251" s="7">
        <v>90.0</v>
      </c>
      <c r="I251" s="7"/>
      <c r="J251" s="7">
        <v>110.0</v>
      </c>
      <c r="K251" s="7">
        <v>154.0</v>
      </c>
      <c r="L251" s="7">
        <v>90.0</v>
      </c>
      <c r="M251" s="7" t="s">
        <v>3499</v>
      </c>
      <c r="N251" s="7"/>
      <c r="O251" s="7" t="s">
        <v>3404</v>
      </c>
      <c r="P251" s="7">
        <v>199.0</v>
      </c>
      <c r="Q251" s="7"/>
      <c r="R251" s="7">
        <f t="shared" si="1"/>
        <v>250</v>
      </c>
    </row>
    <row r="252" ht="15.75" customHeight="1">
      <c r="A252" s="7">
        <v>251.0</v>
      </c>
      <c r="B252" s="7" t="s">
        <v>4986</v>
      </c>
      <c r="C252" s="7">
        <v>2.0</v>
      </c>
      <c r="D252" s="7" t="s">
        <v>2659</v>
      </c>
      <c r="E252" s="7" t="s">
        <v>4904</v>
      </c>
      <c r="F252" s="7">
        <v>100.0</v>
      </c>
      <c r="G252" s="7">
        <v>100.0</v>
      </c>
      <c r="H252" s="7">
        <v>100.0</v>
      </c>
      <c r="I252" s="7"/>
      <c r="J252" s="7">
        <v>100.0</v>
      </c>
      <c r="K252" s="7">
        <v>100.0</v>
      </c>
      <c r="L252" s="7">
        <v>100.0</v>
      </c>
      <c r="M252" s="7" t="s">
        <v>3169</v>
      </c>
      <c r="N252" s="7"/>
      <c r="O252" s="7"/>
      <c r="P252" s="7">
        <v>5.0</v>
      </c>
      <c r="Q252" s="7"/>
      <c r="R252" s="7">
        <f t="shared" si="1"/>
        <v>251</v>
      </c>
    </row>
    <row r="253" ht="15.75" customHeight="1">
      <c r="A253" s="7">
        <v>252.0</v>
      </c>
      <c r="B253" s="7" t="s">
        <v>2610</v>
      </c>
      <c r="C253" s="7">
        <v>3.0</v>
      </c>
      <c r="D253" s="7" t="s">
        <v>4904</v>
      </c>
      <c r="E253" s="7"/>
      <c r="F253" s="7">
        <v>40.0</v>
      </c>
      <c r="G253" s="7">
        <v>45.0</v>
      </c>
      <c r="H253" s="7">
        <v>35.0</v>
      </c>
      <c r="I253" s="7"/>
      <c r="J253" s="7">
        <v>65.0</v>
      </c>
      <c r="K253" s="7">
        <v>55.0</v>
      </c>
      <c r="L253" s="7">
        <v>70.0</v>
      </c>
      <c r="M253" s="7" t="s">
        <v>2576</v>
      </c>
      <c r="N253" s="7"/>
      <c r="O253" s="7" t="s">
        <v>3763</v>
      </c>
      <c r="P253" s="7">
        <v>5.0</v>
      </c>
      <c r="Q253" s="7"/>
      <c r="R253" s="7">
        <f t="shared" si="1"/>
        <v>252</v>
      </c>
    </row>
    <row r="254" ht="15.75" customHeight="1">
      <c r="A254" s="7">
        <v>253.0</v>
      </c>
      <c r="B254" s="7" t="s">
        <v>3302</v>
      </c>
      <c r="C254" s="7">
        <v>3.0</v>
      </c>
      <c r="D254" s="7" t="s">
        <v>4904</v>
      </c>
      <c r="E254" s="7"/>
      <c r="F254" s="7">
        <v>50.0</v>
      </c>
      <c r="G254" s="7">
        <v>65.0</v>
      </c>
      <c r="H254" s="7">
        <v>45.0</v>
      </c>
      <c r="I254" s="7"/>
      <c r="J254" s="7">
        <v>85.0</v>
      </c>
      <c r="K254" s="7">
        <v>65.0</v>
      </c>
      <c r="L254" s="7">
        <v>95.0</v>
      </c>
      <c r="M254" s="7" t="s">
        <v>2576</v>
      </c>
      <c r="N254" s="7"/>
      <c r="O254" s="7" t="s">
        <v>3763</v>
      </c>
      <c r="P254" s="7">
        <v>21.6</v>
      </c>
      <c r="Q254" s="7"/>
      <c r="R254" s="7">
        <f t="shared" si="1"/>
        <v>253</v>
      </c>
    </row>
    <row r="255" ht="15.75" customHeight="1">
      <c r="A255" s="7">
        <v>254.0</v>
      </c>
      <c r="B255" s="7" t="s">
        <v>3605</v>
      </c>
      <c r="C255" s="7">
        <v>3.0</v>
      </c>
      <c r="D255" s="7" t="s">
        <v>4904</v>
      </c>
      <c r="E255" s="7"/>
      <c r="F255" s="7">
        <v>70.0</v>
      </c>
      <c r="G255" s="7">
        <v>85.0</v>
      </c>
      <c r="H255" s="7">
        <v>65.0</v>
      </c>
      <c r="I255" s="7"/>
      <c r="J255" s="7">
        <v>105.0</v>
      </c>
      <c r="K255" s="7">
        <v>85.0</v>
      </c>
      <c r="L255" s="7">
        <v>120.0</v>
      </c>
      <c r="M255" s="7" t="s">
        <v>2576</v>
      </c>
      <c r="N255" s="7"/>
      <c r="O255" s="7" t="s">
        <v>3763</v>
      </c>
      <c r="P255" s="7">
        <v>52.2</v>
      </c>
      <c r="Q255" s="7"/>
      <c r="R255" s="7">
        <f t="shared" si="1"/>
        <v>254</v>
      </c>
    </row>
    <row r="256" ht="15.75" customHeight="1">
      <c r="A256" s="7">
        <v>255.0</v>
      </c>
      <c r="B256" s="7" t="s">
        <v>2617</v>
      </c>
      <c r="C256" s="7">
        <v>3.0</v>
      </c>
      <c r="D256" s="7" t="s">
        <v>4906</v>
      </c>
      <c r="E256" s="7"/>
      <c r="F256" s="7">
        <v>45.0</v>
      </c>
      <c r="G256" s="7">
        <v>60.0</v>
      </c>
      <c r="H256" s="7">
        <v>40.0</v>
      </c>
      <c r="I256" s="7"/>
      <c r="J256" s="7">
        <v>70.0</v>
      </c>
      <c r="K256" s="7">
        <v>50.0</v>
      </c>
      <c r="L256" s="7">
        <v>45.0</v>
      </c>
      <c r="M256" s="7" t="s">
        <v>2584</v>
      </c>
      <c r="N256" s="7"/>
      <c r="O256" s="7" t="s">
        <v>3217</v>
      </c>
      <c r="P256" s="7">
        <v>2.5</v>
      </c>
      <c r="Q256" s="7"/>
      <c r="R256" s="7">
        <f t="shared" si="1"/>
        <v>255</v>
      </c>
    </row>
    <row r="257" ht="15.75" customHeight="1">
      <c r="A257" s="7">
        <v>256.0</v>
      </c>
      <c r="B257" s="7" t="s">
        <v>3304</v>
      </c>
      <c r="C257" s="7">
        <v>3.0</v>
      </c>
      <c r="D257" s="7" t="s">
        <v>4906</v>
      </c>
      <c r="E257" s="7" t="s">
        <v>4935</v>
      </c>
      <c r="F257" s="7">
        <v>60.0</v>
      </c>
      <c r="G257" s="7">
        <v>85.0</v>
      </c>
      <c r="H257" s="7">
        <v>60.0</v>
      </c>
      <c r="I257" s="7"/>
      <c r="J257" s="7">
        <v>85.0</v>
      </c>
      <c r="K257" s="7">
        <v>60.0</v>
      </c>
      <c r="L257" s="7">
        <v>55.0</v>
      </c>
      <c r="M257" s="7" t="s">
        <v>2584</v>
      </c>
      <c r="N257" s="7"/>
      <c r="O257" s="7" t="s">
        <v>3217</v>
      </c>
      <c r="P257" s="7">
        <v>19.5</v>
      </c>
      <c r="Q257" s="7"/>
      <c r="R257" s="7">
        <f t="shared" si="1"/>
        <v>256</v>
      </c>
    </row>
    <row r="258" ht="15.75" customHeight="1">
      <c r="A258" s="7">
        <v>257.0</v>
      </c>
      <c r="B258" s="7" t="s">
        <v>3607</v>
      </c>
      <c r="C258" s="7">
        <v>3.0</v>
      </c>
      <c r="D258" s="7" t="s">
        <v>4906</v>
      </c>
      <c r="E258" s="7" t="s">
        <v>4935</v>
      </c>
      <c r="F258" s="7">
        <v>80.0</v>
      </c>
      <c r="G258" s="7">
        <v>120.0</v>
      </c>
      <c r="H258" s="7">
        <v>70.0</v>
      </c>
      <c r="I258" s="7"/>
      <c r="J258" s="7">
        <v>110.0</v>
      </c>
      <c r="K258" s="7">
        <v>70.0</v>
      </c>
      <c r="L258" s="7">
        <v>80.0</v>
      </c>
      <c r="M258" s="7" t="s">
        <v>2584</v>
      </c>
      <c r="N258" s="7"/>
      <c r="O258" s="7" t="s">
        <v>3217</v>
      </c>
      <c r="P258" s="7">
        <v>52.0</v>
      </c>
      <c r="Q258" s="7"/>
      <c r="R258" s="7">
        <f t="shared" si="1"/>
        <v>257</v>
      </c>
    </row>
    <row r="259" ht="15.75" customHeight="1">
      <c r="A259" s="7">
        <v>258.0</v>
      </c>
      <c r="B259" s="7" t="s">
        <v>2622</v>
      </c>
      <c r="C259" s="7">
        <v>3.0</v>
      </c>
      <c r="D259" s="7" t="s">
        <v>4908</v>
      </c>
      <c r="E259" s="7"/>
      <c r="F259" s="7">
        <v>50.0</v>
      </c>
      <c r="G259" s="7">
        <v>70.0</v>
      </c>
      <c r="H259" s="7">
        <v>50.0</v>
      </c>
      <c r="I259" s="7"/>
      <c r="J259" s="7">
        <v>50.0</v>
      </c>
      <c r="K259" s="7">
        <v>50.0</v>
      </c>
      <c r="L259" s="7">
        <v>40.0</v>
      </c>
      <c r="M259" s="7" t="s">
        <v>2590</v>
      </c>
      <c r="N259" s="7"/>
      <c r="O259" s="7" t="s">
        <v>4403</v>
      </c>
      <c r="P259" s="7">
        <v>7.6</v>
      </c>
      <c r="Q259" s="7"/>
      <c r="R259" s="7">
        <f t="shared" si="1"/>
        <v>258</v>
      </c>
    </row>
    <row r="260" ht="15.75" customHeight="1">
      <c r="A260" s="7">
        <v>259.0</v>
      </c>
      <c r="B260" s="7" t="s">
        <v>3306</v>
      </c>
      <c r="C260" s="7">
        <v>3.0</v>
      </c>
      <c r="D260" s="7" t="s">
        <v>4908</v>
      </c>
      <c r="E260" s="7" t="s">
        <v>4922</v>
      </c>
      <c r="F260" s="7">
        <v>70.0</v>
      </c>
      <c r="G260" s="7">
        <v>85.0</v>
      </c>
      <c r="H260" s="7">
        <v>70.0</v>
      </c>
      <c r="I260" s="7"/>
      <c r="J260" s="7">
        <v>60.0</v>
      </c>
      <c r="K260" s="7">
        <v>70.0</v>
      </c>
      <c r="L260" s="7">
        <v>50.0</v>
      </c>
      <c r="M260" s="7" t="s">
        <v>2590</v>
      </c>
      <c r="N260" s="7"/>
      <c r="O260" s="7" t="s">
        <v>4403</v>
      </c>
      <c r="P260" s="7">
        <v>28.0</v>
      </c>
      <c r="Q260" s="7"/>
      <c r="R260" s="7">
        <f t="shared" si="1"/>
        <v>259</v>
      </c>
    </row>
    <row r="261" ht="15.75" customHeight="1">
      <c r="A261" s="7">
        <v>260.0</v>
      </c>
      <c r="B261" s="7" t="s">
        <v>3610</v>
      </c>
      <c r="C261" s="7">
        <v>3.0</v>
      </c>
      <c r="D261" s="7" t="s">
        <v>4908</v>
      </c>
      <c r="E261" s="7" t="s">
        <v>4922</v>
      </c>
      <c r="F261" s="7">
        <v>100.0</v>
      </c>
      <c r="G261" s="7">
        <v>110.0</v>
      </c>
      <c r="H261" s="7">
        <v>90.0</v>
      </c>
      <c r="I261" s="7"/>
      <c r="J261" s="7">
        <v>85.0</v>
      </c>
      <c r="K261" s="7">
        <v>90.0</v>
      </c>
      <c r="L261" s="7">
        <v>60.0</v>
      </c>
      <c r="M261" s="7" t="s">
        <v>2590</v>
      </c>
      <c r="N261" s="7"/>
      <c r="O261" s="7" t="s">
        <v>4403</v>
      </c>
      <c r="P261" s="7">
        <v>81.9</v>
      </c>
      <c r="Q261" s="7"/>
      <c r="R261" s="7">
        <f t="shared" si="1"/>
        <v>260</v>
      </c>
    </row>
    <row r="262" ht="15.75" customHeight="1">
      <c r="A262" s="7">
        <v>261.0</v>
      </c>
      <c r="B262" s="7" t="s">
        <v>4987</v>
      </c>
      <c r="C262" s="7">
        <v>3.0</v>
      </c>
      <c r="D262" s="7" t="s">
        <v>4972</v>
      </c>
      <c r="E262" s="7"/>
      <c r="F262" s="7">
        <v>35.0</v>
      </c>
      <c r="G262" s="7">
        <v>55.0</v>
      </c>
      <c r="H262" s="7">
        <v>35.0</v>
      </c>
      <c r="I262" s="7"/>
      <c r="J262" s="7">
        <v>30.0</v>
      </c>
      <c r="K262" s="7">
        <v>30.0</v>
      </c>
      <c r="L262" s="7">
        <v>35.0</v>
      </c>
      <c r="M262" s="7" t="s">
        <v>4911</v>
      </c>
      <c r="N262" s="7" t="s">
        <v>4955</v>
      </c>
      <c r="O262" s="7" t="s">
        <v>4951</v>
      </c>
      <c r="P262" s="7">
        <v>13.6</v>
      </c>
      <c r="Q262" s="7"/>
      <c r="R262" s="7">
        <f t="shared" si="1"/>
        <v>261</v>
      </c>
    </row>
    <row r="263" ht="15.75" customHeight="1">
      <c r="A263" s="7">
        <v>262.0</v>
      </c>
      <c r="B263" s="7" t="s">
        <v>3356</v>
      </c>
      <c r="C263" s="7">
        <v>3.0</v>
      </c>
      <c r="D263" s="7" t="s">
        <v>4972</v>
      </c>
      <c r="E263" s="7"/>
      <c r="F263" s="7">
        <v>70.0</v>
      </c>
      <c r="G263" s="7">
        <v>90.0</v>
      </c>
      <c r="H263" s="7">
        <v>70.0</v>
      </c>
      <c r="I263" s="7"/>
      <c r="J263" s="7">
        <v>60.0</v>
      </c>
      <c r="K263" s="7">
        <v>60.0</v>
      </c>
      <c r="L263" s="7">
        <v>70.0</v>
      </c>
      <c r="M263" s="7" t="s">
        <v>2696</v>
      </c>
      <c r="N263" s="7" t="s">
        <v>4955</v>
      </c>
      <c r="O263" s="7" t="s">
        <v>3788</v>
      </c>
      <c r="P263" s="7">
        <v>37.0</v>
      </c>
      <c r="Q263" s="7"/>
      <c r="R263" s="7">
        <f t="shared" si="1"/>
        <v>262</v>
      </c>
    </row>
    <row r="264" ht="15.75" customHeight="1">
      <c r="A264" s="7">
        <v>263.0</v>
      </c>
      <c r="B264" s="7" t="s">
        <v>4988</v>
      </c>
      <c r="C264" s="7">
        <v>3.0</v>
      </c>
      <c r="D264" s="7" t="s">
        <v>4916</v>
      </c>
      <c r="E264" s="7"/>
      <c r="F264" s="7">
        <v>38.0</v>
      </c>
      <c r="G264" s="7">
        <v>30.0</v>
      </c>
      <c r="H264" s="7">
        <v>41.0</v>
      </c>
      <c r="I264" s="7"/>
      <c r="J264" s="7">
        <v>30.0</v>
      </c>
      <c r="K264" s="7">
        <v>41.0</v>
      </c>
      <c r="L264" s="7">
        <v>60.0</v>
      </c>
      <c r="M264" s="7" t="s">
        <v>3005</v>
      </c>
      <c r="N264" s="7" t="s">
        <v>3207</v>
      </c>
      <c r="O264" s="7" t="s">
        <v>4955</v>
      </c>
      <c r="P264" s="7">
        <v>17.5</v>
      </c>
      <c r="Q264" s="7"/>
      <c r="R264" s="7">
        <f t="shared" si="1"/>
        <v>263</v>
      </c>
    </row>
    <row r="265" ht="15.75" customHeight="1">
      <c r="A265" s="7">
        <v>264.0</v>
      </c>
      <c r="B265" s="7" t="s">
        <v>3359</v>
      </c>
      <c r="C265" s="7">
        <v>3.0</v>
      </c>
      <c r="D265" s="7" t="s">
        <v>4916</v>
      </c>
      <c r="E265" s="7"/>
      <c r="F265" s="7">
        <v>78.0</v>
      </c>
      <c r="G265" s="7">
        <v>70.0</v>
      </c>
      <c r="H265" s="7">
        <v>61.0</v>
      </c>
      <c r="I265" s="7"/>
      <c r="J265" s="7">
        <v>50.0</v>
      </c>
      <c r="K265" s="7">
        <v>61.0</v>
      </c>
      <c r="L265" s="7">
        <v>100.0</v>
      </c>
      <c r="M265" s="7" t="s">
        <v>3005</v>
      </c>
      <c r="N265" s="7" t="s">
        <v>3207</v>
      </c>
      <c r="O265" s="7" t="s">
        <v>4955</v>
      </c>
      <c r="P265" s="7">
        <v>32.5</v>
      </c>
      <c r="Q265" s="7"/>
      <c r="R265" s="7">
        <f t="shared" si="1"/>
        <v>264</v>
      </c>
    </row>
    <row r="266" ht="15.75" customHeight="1">
      <c r="A266" s="7">
        <v>265.0</v>
      </c>
      <c r="B266" s="7" t="s">
        <v>4989</v>
      </c>
      <c r="C266" s="7">
        <v>3.0</v>
      </c>
      <c r="D266" s="7" t="s">
        <v>4910</v>
      </c>
      <c r="E266" s="7"/>
      <c r="F266" s="7">
        <v>45.0</v>
      </c>
      <c r="G266" s="7">
        <v>45.0</v>
      </c>
      <c r="H266" s="7">
        <v>35.0</v>
      </c>
      <c r="I266" s="7"/>
      <c r="J266" s="7">
        <v>20.0</v>
      </c>
      <c r="K266" s="7">
        <v>30.0</v>
      </c>
      <c r="L266" s="7">
        <v>20.0</v>
      </c>
      <c r="M266" s="7" t="s">
        <v>3203</v>
      </c>
      <c r="N266" s="7"/>
      <c r="O266" s="7" t="s">
        <v>4911</v>
      </c>
      <c r="P266" s="7">
        <v>3.6</v>
      </c>
      <c r="Q266" s="7"/>
      <c r="R266" s="7">
        <f t="shared" si="1"/>
        <v>265</v>
      </c>
    </row>
    <row r="267" ht="15.75" customHeight="1">
      <c r="A267" s="7">
        <v>266.0</v>
      </c>
      <c r="B267" s="7" t="s">
        <v>4990</v>
      </c>
      <c r="C267" s="7">
        <v>3.0</v>
      </c>
      <c r="D267" s="7" t="s">
        <v>4910</v>
      </c>
      <c r="E267" s="7"/>
      <c r="F267" s="7">
        <v>50.0</v>
      </c>
      <c r="G267" s="7">
        <v>35.0</v>
      </c>
      <c r="H267" s="7">
        <v>55.0</v>
      </c>
      <c r="I267" s="7"/>
      <c r="J267" s="7">
        <v>25.0</v>
      </c>
      <c r="K267" s="7">
        <v>25.0</v>
      </c>
      <c r="L267" s="7">
        <v>15.0</v>
      </c>
      <c r="M267" s="7" t="s">
        <v>2653</v>
      </c>
      <c r="N267" s="7"/>
      <c r="O267" s="7"/>
      <c r="P267" s="7">
        <v>10.0</v>
      </c>
      <c r="Q267" s="7"/>
      <c r="R267" s="7">
        <f t="shared" si="1"/>
        <v>266</v>
      </c>
    </row>
    <row r="268" ht="15.75" customHeight="1">
      <c r="A268" s="7">
        <v>267.0</v>
      </c>
      <c r="B268" s="7" t="s">
        <v>3199</v>
      </c>
      <c r="C268" s="7">
        <v>3.0</v>
      </c>
      <c r="D268" s="7" t="s">
        <v>4910</v>
      </c>
      <c r="E268" s="7" t="s">
        <v>4907</v>
      </c>
      <c r="F268" s="7">
        <v>60.0</v>
      </c>
      <c r="G268" s="7">
        <v>70.0</v>
      </c>
      <c r="H268" s="7">
        <v>50.0</v>
      </c>
      <c r="I268" s="7"/>
      <c r="J268" s="7">
        <f>IF($A$1&lt;6,90,100)</f>
        <v>100</v>
      </c>
      <c r="K268" s="7">
        <v>50.0</v>
      </c>
      <c r="L268" s="7">
        <v>65.0</v>
      </c>
      <c r="M268" s="7" t="s">
        <v>3181</v>
      </c>
      <c r="N268" s="7"/>
      <c r="O268" s="7" t="s">
        <v>4924</v>
      </c>
      <c r="P268" s="7">
        <v>28.4</v>
      </c>
      <c r="Q268" s="7"/>
      <c r="R268" s="7">
        <f t="shared" si="1"/>
        <v>267</v>
      </c>
    </row>
    <row r="269" ht="15.75" customHeight="1">
      <c r="A269" s="7">
        <v>268.0</v>
      </c>
      <c r="B269" s="7" t="s">
        <v>4991</v>
      </c>
      <c r="C269" s="7">
        <v>3.0</v>
      </c>
      <c r="D269" s="7" t="s">
        <v>4910</v>
      </c>
      <c r="E269" s="7"/>
      <c r="F269" s="7">
        <v>50.0</v>
      </c>
      <c r="G269" s="7">
        <v>35.0</v>
      </c>
      <c r="H269" s="7">
        <v>55.0</v>
      </c>
      <c r="I269" s="7"/>
      <c r="J269" s="7">
        <v>25.0</v>
      </c>
      <c r="K269" s="7">
        <v>25.0</v>
      </c>
      <c r="L269" s="7">
        <v>15.0</v>
      </c>
      <c r="M269" s="7" t="s">
        <v>2653</v>
      </c>
      <c r="N269" s="7"/>
      <c r="O269" s="7"/>
      <c r="P269" s="7">
        <v>11.5</v>
      </c>
      <c r="Q269" s="7"/>
      <c r="R269" s="7">
        <f t="shared" si="1"/>
        <v>268</v>
      </c>
    </row>
    <row r="270" ht="15.75" customHeight="1">
      <c r="A270" s="7">
        <v>269.0</v>
      </c>
      <c r="B270" s="7" t="s">
        <v>3201</v>
      </c>
      <c r="C270" s="7">
        <v>3.0</v>
      </c>
      <c r="D270" s="7" t="s">
        <v>4910</v>
      </c>
      <c r="E270" s="7" t="s">
        <v>4905</v>
      </c>
      <c r="F270" s="7">
        <v>60.0</v>
      </c>
      <c r="G270" s="7">
        <v>50.0</v>
      </c>
      <c r="H270" s="7">
        <v>70.0</v>
      </c>
      <c r="I270" s="7"/>
      <c r="J270" s="7">
        <v>50.0</v>
      </c>
      <c r="K270" s="7">
        <v>90.0</v>
      </c>
      <c r="L270" s="7">
        <v>65.0</v>
      </c>
      <c r="M270" s="7" t="s">
        <v>3203</v>
      </c>
      <c r="N270" s="7"/>
      <c r="O270" s="7" t="s">
        <v>2814</v>
      </c>
      <c r="P270" s="7">
        <v>31.6</v>
      </c>
      <c r="Q270" s="7"/>
      <c r="R270" s="7">
        <f t="shared" si="1"/>
        <v>269</v>
      </c>
    </row>
    <row r="271" ht="15.75" customHeight="1">
      <c r="A271" s="7">
        <v>270.0</v>
      </c>
      <c r="B271" s="7" t="s">
        <v>4992</v>
      </c>
      <c r="C271" s="7">
        <v>3.0</v>
      </c>
      <c r="D271" s="7" t="s">
        <v>4908</v>
      </c>
      <c r="E271" s="7" t="s">
        <v>4904</v>
      </c>
      <c r="F271" s="7">
        <v>40.0</v>
      </c>
      <c r="G271" s="7">
        <v>30.0</v>
      </c>
      <c r="H271" s="7">
        <v>30.0</v>
      </c>
      <c r="I271" s="7"/>
      <c r="J271" s="7">
        <v>40.0</v>
      </c>
      <c r="K271" s="7">
        <v>50.0</v>
      </c>
      <c r="L271" s="7">
        <v>30.0</v>
      </c>
      <c r="M271" s="7" t="s">
        <v>3028</v>
      </c>
      <c r="N271" s="7" t="s">
        <v>3996</v>
      </c>
      <c r="O271" s="7" t="s">
        <v>3145</v>
      </c>
      <c r="P271" s="7">
        <v>2.6</v>
      </c>
      <c r="Q271" s="7"/>
      <c r="R271" s="7">
        <f t="shared" si="1"/>
        <v>270</v>
      </c>
    </row>
    <row r="272" ht="15.75" customHeight="1">
      <c r="A272" s="7">
        <v>271.0</v>
      </c>
      <c r="B272" s="7" t="s">
        <v>3070</v>
      </c>
      <c r="C272" s="7">
        <v>3.0</v>
      </c>
      <c r="D272" s="7" t="s">
        <v>4908</v>
      </c>
      <c r="E272" s="7" t="s">
        <v>4904</v>
      </c>
      <c r="F272" s="7">
        <v>60.0</v>
      </c>
      <c r="G272" s="7">
        <v>50.0</v>
      </c>
      <c r="H272" s="7">
        <v>50.0</v>
      </c>
      <c r="I272" s="7"/>
      <c r="J272" s="7">
        <v>60.0</v>
      </c>
      <c r="K272" s="7">
        <v>70.0</v>
      </c>
      <c r="L272" s="7">
        <v>50.0</v>
      </c>
      <c r="M272" s="7" t="s">
        <v>3028</v>
      </c>
      <c r="N272" s="7" t="s">
        <v>3996</v>
      </c>
      <c r="O272" s="7" t="s">
        <v>3145</v>
      </c>
      <c r="P272" s="7">
        <v>32.5</v>
      </c>
      <c r="Q272" s="7"/>
      <c r="R272" s="7">
        <f t="shared" si="1"/>
        <v>271</v>
      </c>
    </row>
    <row r="273" ht="15.75" customHeight="1">
      <c r="A273" s="7">
        <v>272.0</v>
      </c>
      <c r="B273" s="7" t="s">
        <v>3691</v>
      </c>
      <c r="C273" s="7">
        <v>3.0</v>
      </c>
      <c r="D273" s="7" t="s">
        <v>4908</v>
      </c>
      <c r="E273" s="7" t="s">
        <v>4904</v>
      </c>
      <c r="F273" s="7">
        <v>80.0</v>
      </c>
      <c r="G273" s="7">
        <v>70.0</v>
      </c>
      <c r="H273" s="7">
        <v>70.0</v>
      </c>
      <c r="I273" s="7"/>
      <c r="J273" s="7">
        <v>90.0</v>
      </c>
      <c r="K273" s="7">
        <v>100.0</v>
      </c>
      <c r="L273" s="7">
        <v>70.0</v>
      </c>
      <c r="M273" s="7" t="s">
        <v>3028</v>
      </c>
      <c r="N273" s="7" t="s">
        <v>3996</v>
      </c>
      <c r="O273" s="7" t="s">
        <v>3145</v>
      </c>
      <c r="P273" s="7">
        <v>55.0</v>
      </c>
      <c r="Q273" s="7"/>
      <c r="R273" s="7">
        <f t="shared" si="1"/>
        <v>272</v>
      </c>
    </row>
    <row r="274" ht="15.75" customHeight="1">
      <c r="A274" s="7">
        <v>273.0</v>
      </c>
      <c r="B274" s="7" t="s">
        <v>4993</v>
      </c>
      <c r="C274" s="7">
        <v>3.0</v>
      </c>
      <c r="D274" s="7" t="s">
        <v>4904</v>
      </c>
      <c r="E274" s="7"/>
      <c r="F274" s="7">
        <v>40.0</v>
      </c>
      <c r="G274" s="7">
        <v>40.0</v>
      </c>
      <c r="H274" s="7">
        <v>50.0</v>
      </c>
      <c r="I274" s="7"/>
      <c r="J274" s="7">
        <v>30.0</v>
      </c>
      <c r="K274" s="7">
        <v>30.0</v>
      </c>
      <c r="L274" s="7">
        <v>30.0</v>
      </c>
      <c r="M274" s="7" t="s">
        <v>2701</v>
      </c>
      <c r="N274" s="7" t="s">
        <v>2842</v>
      </c>
      <c r="O274" s="7" t="s">
        <v>3392</v>
      </c>
      <c r="P274" s="7">
        <v>4.0</v>
      </c>
      <c r="Q274" s="7"/>
      <c r="R274" s="7">
        <f t="shared" si="1"/>
        <v>273</v>
      </c>
    </row>
    <row r="275" ht="15.75" customHeight="1">
      <c r="A275" s="7">
        <v>274.0</v>
      </c>
      <c r="B275" s="7" t="s">
        <v>3074</v>
      </c>
      <c r="C275" s="7">
        <v>3.0</v>
      </c>
      <c r="D275" s="7" t="s">
        <v>4904</v>
      </c>
      <c r="E275" s="7" t="s">
        <v>4972</v>
      </c>
      <c r="F275" s="7">
        <v>70.0</v>
      </c>
      <c r="G275" s="7">
        <v>70.0</v>
      </c>
      <c r="H275" s="7">
        <v>40.0</v>
      </c>
      <c r="I275" s="7"/>
      <c r="J275" s="7">
        <v>60.0</v>
      </c>
      <c r="K275" s="7">
        <v>40.0</v>
      </c>
      <c r="L275" s="7">
        <v>60.0</v>
      </c>
      <c r="M275" s="7" t="s">
        <v>2701</v>
      </c>
      <c r="N275" s="7" t="s">
        <v>2842</v>
      </c>
      <c r="O275" s="7" t="s">
        <v>3392</v>
      </c>
      <c r="P275" s="7">
        <v>28.0</v>
      </c>
      <c r="Q275" s="7"/>
      <c r="R275" s="7">
        <f t="shared" si="1"/>
        <v>274</v>
      </c>
    </row>
    <row r="276" ht="15.75" customHeight="1">
      <c r="A276" s="7">
        <v>275.0</v>
      </c>
      <c r="B276" s="7" t="s">
        <v>3694</v>
      </c>
      <c r="C276" s="7">
        <v>3.0</v>
      </c>
      <c r="D276" s="7" t="s">
        <v>4904</v>
      </c>
      <c r="E276" s="7" t="s">
        <v>4972</v>
      </c>
      <c r="F276" s="7">
        <v>90.0</v>
      </c>
      <c r="G276" s="7">
        <v>100.0</v>
      </c>
      <c r="H276" s="7">
        <v>60.0</v>
      </c>
      <c r="I276" s="7"/>
      <c r="J276" s="7">
        <v>90.0</v>
      </c>
      <c r="K276" s="7">
        <v>60.0</v>
      </c>
      <c r="L276" s="7">
        <v>80.0</v>
      </c>
      <c r="M276" s="7" t="s">
        <v>2701</v>
      </c>
      <c r="N276" s="7" t="s">
        <v>2842</v>
      </c>
      <c r="O276" s="7" t="s">
        <v>3392</v>
      </c>
      <c r="P276" s="7">
        <v>59.6</v>
      </c>
      <c r="Q276" s="7"/>
      <c r="R276" s="7">
        <f t="shared" si="1"/>
        <v>275</v>
      </c>
    </row>
    <row r="277" ht="15.75" customHeight="1">
      <c r="A277" s="7">
        <v>276.0</v>
      </c>
      <c r="B277" s="7" t="s">
        <v>4994</v>
      </c>
      <c r="C277" s="7">
        <v>3.0</v>
      </c>
      <c r="D277" s="7" t="s">
        <v>4916</v>
      </c>
      <c r="E277" s="7" t="s">
        <v>4907</v>
      </c>
      <c r="F277" s="7">
        <v>40.0</v>
      </c>
      <c r="G277" s="7">
        <v>55.0</v>
      </c>
      <c r="H277" s="7">
        <v>30.0</v>
      </c>
      <c r="I277" s="7"/>
      <c r="J277" s="7">
        <v>30.0</v>
      </c>
      <c r="K277" s="7">
        <v>30.0</v>
      </c>
      <c r="L277" s="7">
        <v>85.0</v>
      </c>
      <c r="M277" s="7" t="s">
        <v>2777</v>
      </c>
      <c r="N277" s="7"/>
      <c r="O277" s="7" t="s">
        <v>3141</v>
      </c>
      <c r="P277" s="7">
        <v>2.3</v>
      </c>
      <c r="Q277" s="7"/>
      <c r="R277" s="7">
        <f t="shared" si="1"/>
        <v>276</v>
      </c>
    </row>
    <row r="278" ht="15.75" customHeight="1">
      <c r="A278" s="7">
        <v>277.0</v>
      </c>
      <c r="B278" s="7" t="s">
        <v>3394</v>
      </c>
      <c r="C278" s="7">
        <v>3.0</v>
      </c>
      <c r="D278" s="7" t="s">
        <v>4916</v>
      </c>
      <c r="E278" s="7" t="s">
        <v>4907</v>
      </c>
      <c r="F278" s="7">
        <v>60.0</v>
      </c>
      <c r="G278" s="7">
        <v>85.0</v>
      </c>
      <c r="H278" s="7">
        <v>60.0</v>
      </c>
      <c r="I278" s="7"/>
      <c r="J278" s="7">
        <f>IF($A$1&lt;7,50,75)</f>
        <v>75</v>
      </c>
      <c r="K278" s="7">
        <v>50.0</v>
      </c>
      <c r="L278" s="7">
        <v>125.0</v>
      </c>
      <c r="M278" s="7" t="s">
        <v>2777</v>
      </c>
      <c r="N278" s="7"/>
      <c r="O278" s="7" t="s">
        <v>3141</v>
      </c>
      <c r="P278" s="7">
        <v>19.8</v>
      </c>
      <c r="Q278" s="7"/>
      <c r="R278" s="7">
        <f t="shared" si="1"/>
        <v>277</v>
      </c>
    </row>
    <row r="279" ht="15.75" customHeight="1">
      <c r="A279" s="7">
        <v>278.0</v>
      </c>
      <c r="B279" s="7" t="s">
        <v>4995</v>
      </c>
      <c r="C279" s="7">
        <v>3.0</v>
      </c>
      <c r="D279" s="7" t="s">
        <v>4908</v>
      </c>
      <c r="E279" s="7" t="s">
        <v>4907</v>
      </c>
      <c r="F279" s="7">
        <v>40.0</v>
      </c>
      <c r="G279" s="7">
        <v>30.0</v>
      </c>
      <c r="H279" s="7">
        <v>30.0</v>
      </c>
      <c r="I279" s="7"/>
      <c r="J279" s="7">
        <v>55.0</v>
      </c>
      <c r="K279" s="7">
        <v>30.0</v>
      </c>
      <c r="L279" s="7">
        <v>85.0</v>
      </c>
      <c r="M279" s="7" t="s">
        <v>2677</v>
      </c>
      <c r="N279" s="7" t="str">
        <f>IF($A$1&lt;7,"","Hydration")</f>
        <v>Hydration</v>
      </c>
      <c r="O279" s="7" t="s">
        <v>3996</v>
      </c>
      <c r="P279" s="7">
        <v>9.5</v>
      </c>
      <c r="Q279" s="7"/>
      <c r="R279" s="7">
        <f t="shared" si="1"/>
        <v>278</v>
      </c>
    </row>
    <row r="280" ht="15.75" customHeight="1">
      <c r="A280" s="7">
        <v>279.0</v>
      </c>
      <c r="B280" s="7" t="s">
        <v>3397</v>
      </c>
      <c r="C280" s="7">
        <v>3.0</v>
      </c>
      <c r="D280" s="7" t="s">
        <v>4908</v>
      </c>
      <c r="E280" s="7" t="s">
        <v>4907</v>
      </c>
      <c r="F280" s="7">
        <v>60.0</v>
      </c>
      <c r="G280" s="7">
        <v>50.0</v>
      </c>
      <c r="H280" s="7">
        <v>100.0</v>
      </c>
      <c r="I280" s="7"/>
      <c r="J280" s="7">
        <f>IF($A$1&lt;7,85,95)</f>
        <v>95</v>
      </c>
      <c r="K280" s="7">
        <v>70.0</v>
      </c>
      <c r="L280" s="7">
        <v>65.0</v>
      </c>
      <c r="M280" s="7" t="s">
        <v>2677</v>
      </c>
      <c r="N280" s="7" t="str">
        <f>IF($A$1&lt;7,"","Drizzle")</f>
        <v>Drizzle</v>
      </c>
      <c r="O280" s="7" t="s">
        <v>3996</v>
      </c>
      <c r="P280" s="7">
        <v>28.0</v>
      </c>
      <c r="Q280" s="7"/>
      <c r="R280" s="7">
        <f t="shared" si="1"/>
        <v>279</v>
      </c>
    </row>
    <row r="281" ht="15.75" customHeight="1">
      <c r="A281" s="7">
        <v>280.0</v>
      </c>
      <c r="B281" s="7" t="s">
        <v>4996</v>
      </c>
      <c r="C281" s="7">
        <v>3.0</v>
      </c>
      <c r="D281" s="7" t="s">
        <v>2659</v>
      </c>
      <c r="E281" s="7" t="str">
        <f t="shared" ref="E281:E283" si="10">IF($A$1&lt;6,"","Fairy")</f>
        <v>Fairy</v>
      </c>
      <c r="F281" s="7">
        <v>28.0</v>
      </c>
      <c r="G281" s="7">
        <v>25.0</v>
      </c>
      <c r="H281" s="7">
        <v>25.0</v>
      </c>
      <c r="I281" s="7"/>
      <c r="J281" s="7">
        <v>45.0</v>
      </c>
      <c r="K281" s="7">
        <v>35.0</v>
      </c>
      <c r="L281" s="7">
        <v>40.0</v>
      </c>
      <c r="M281" s="7" t="s">
        <v>3849</v>
      </c>
      <c r="N281" s="7" t="s">
        <v>1477</v>
      </c>
      <c r="O281" s="7" t="s">
        <v>4338</v>
      </c>
      <c r="P281" s="7">
        <v>6.6</v>
      </c>
      <c r="Q281" s="7"/>
      <c r="R281" s="7">
        <f t="shared" si="1"/>
        <v>280</v>
      </c>
    </row>
    <row r="282" ht="15.75" customHeight="1">
      <c r="A282" s="7">
        <v>281.0</v>
      </c>
      <c r="B282" s="7" t="s">
        <v>4997</v>
      </c>
      <c r="C282" s="7">
        <v>3.0</v>
      </c>
      <c r="D282" s="7" t="s">
        <v>2659</v>
      </c>
      <c r="E282" s="7" t="str">
        <f t="shared" si="10"/>
        <v>Fairy</v>
      </c>
      <c r="F282" s="7">
        <v>38.0</v>
      </c>
      <c r="G282" s="7">
        <v>35.0</v>
      </c>
      <c r="H282" s="7">
        <v>35.0</v>
      </c>
      <c r="I282" s="7"/>
      <c r="J282" s="7">
        <v>65.0</v>
      </c>
      <c r="K282" s="7">
        <v>55.0</v>
      </c>
      <c r="L282" s="7">
        <v>50.0</v>
      </c>
      <c r="M282" s="7" t="s">
        <v>3849</v>
      </c>
      <c r="N282" s="7" t="s">
        <v>1477</v>
      </c>
      <c r="O282" s="7" t="s">
        <v>4338</v>
      </c>
      <c r="P282" s="7">
        <v>20.2</v>
      </c>
      <c r="Q282" s="7"/>
      <c r="R282" s="7">
        <f t="shared" si="1"/>
        <v>281</v>
      </c>
    </row>
    <row r="283" ht="15.75" customHeight="1">
      <c r="A283" s="7">
        <v>282.0</v>
      </c>
      <c r="B283" s="7" t="s">
        <v>3848</v>
      </c>
      <c r="C283" s="7">
        <v>3.0</v>
      </c>
      <c r="D283" s="7" t="s">
        <v>2659</v>
      </c>
      <c r="E283" s="7" t="str">
        <f t="shared" si="10"/>
        <v>Fairy</v>
      </c>
      <c r="F283" s="7">
        <v>68.0</v>
      </c>
      <c r="G283" s="7">
        <v>65.0</v>
      </c>
      <c r="H283" s="7">
        <v>65.0</v>
      </c>
      <c r="I283" s="7"/>
      <c r="J283" s="7">
        <v>125.0</v>
      </c>
      <c r="K283" s="7">
        <v>115.0</v>
      </c>
      <c r="L283" s="7">
        <v>80.0</v>
      </c>
      <c r="M283" s="7" t="s">
        <v>3849</v>
      </c>
      <c r="N283" s="7" t="s">
        <v>1477</v>
      </c>
      <c r="O283" s="7" t="s">
        <v>4338</v>
      </c>
      <c r="P283" s="7">
        <v>48.4</v>
      </c>
      <c r="Q283" s="7"/>
      <c r="R283" s="7">
        <f t="shared" si="1"/>
        <v>282</v>
      </c>
    </row>
    <row r="284" ht="15.75" customHeight="1">
      <c r="A284" s="7">
        <v>283.0</v>
      </c>
      <c r="B284" s="7" t="s">
        <v>4998</v>
      </c>
      <c r="C284" s="7">
        <v>3.0</v>
      </c>
      <c r="D284" s="7" t="s">
        <v>4910</v>
      </c>
      <c r="E284" s="7" t="s">
        <v>4908</v>
      </c>
      <c r="F284" s="7">
        <v>40.0</v>
      </c>
      <c r="G284" s="7">
        <v>30.0</v>
      </c>
      <c r="H284" s="7">
        <v>32.0</v>
      </c>
      <c r="I284" s="7"/>
      <c r="J284" s="7">
        <v>50.0</v>
      </c>
      <c r="K284" s="7">
        <v>52.0</v>
      </c>
      <c r="L284" s="7">
        <v>65.0</v>
      </c>
      <c r="M284" s="7" t="s">
        <v>3028</v>
      </c>
      <c r="N284" s="7"/>
      <c r="O284" s="7" t="s">
        <v>3996</v>
      </c>
      <c r="P284" s="7">
        <v>1.7</v>
      </c>
      <c r="Q284" s="7"/>
      <c r="R284" s="7">
        <f t="shared" si="1"/>
        <v>283</v>
      </c>
    </row>
    <row r="285" ht="15.75" customHeight="1">
      <c r="A285" s="7">
        <v>284.0</v>
      </c>
      <c r="B285" s="7" t="s">
        <v>3340</v>
      </c>
      <c r="C285" s="7">
        <v>3.0</v>
      </c>
      <c r="D285" s="7" t="s">
        <v>4910</v>
      </c>
      <c r="E285" s="7" t="s">
        <v>4907</v>
      </c>
      <c r="F285" s="7">
        <v>70.0</v>
      </c>
      <c r="G285" s="7">
        <v>60.0</v>
      </c>
      <c r="H285" s="7">
        <v>62.0</v>
      </c>
      <c r="I285" s="7"/>
      <c r="J285" s="7">
        <f>IF($A$1&lt;7,80,100)</f>
        <v>100</v>
      </c>
      <c r="K285" s="7">
        <v>82.0</v>
      </c>
      <c r="L285" s="7">
        <f>IF($A$1&lt;7,60,80)</f>
        <v>80</v>
      </c>
      <c r="M285" s="7" t="s">
        <v>2696</v>
      </c>
      <c r="N285" s="7"/>
      <c r="O285" s="7" t="s">
        <v>4441</v>
      </c>
      <c r="P285" s="7">
        <v>3.6</v>
      </c>
      <c r="Q285" s="7"/>
      <c r="R285" s="7">
        <f t="shared" si="1"/>
        <v>284</v>
      </c>
    </row>
    <row r="286" ht="15.75" customHeight="1">
      <c r="A286" s="7">
        <v>285.0</v>
      </c>
      <c r="B286" s="7" t="s">
        <v>4999</v>
      </c>
      <c r="C286" s="7">
        <v>3.0</v>
      </c>
      <c r="D286" s="7" t="s">
        <v>4904</v>
      </c>
      <c r="E286" s="7"/>
      <c r="F286" s="7">
        <v>60.0</v>
      </c>
      <c r="G286" s="7">
        <v>40.0</v>
      </c>
      <c r="H286" s="7">
        <v>60.0</v>
      </c>
      <c r="I286" s="7"/>
      <c r="J286" s="7">
        <v>40.0</v>
      </c>
      <c r="K286" s="7">
        <v>60.0</v>
      </c>
      <c r="L286" s="7">
        <v>35.0</v>
      </c>
      <c r="M286" s="7" t="s">
        <v>3250</v>
      </c>
      <c r="N286" s="7" t="s">
        <v>3653</v>
      </c>
      <c r="O286" s="7" t="s">
        <v>4955</v>
      </c>
      <c r="P286" s="7">
        <v>4.5</v>
      </c>
      <c r="Q286" s="7"/>
      <c r="R286" s="7">
        <f t="shared" si="1"/>
        <v>285</v>
      </c>
    </row>
    <row r="287" ht="15.75" customHeight="1">
      <c r="A287" s="7">
        <v>286.0</v>
      </c>
      <c r="B287" s="7" t="s">
        <v>3650</v>
      </c>
      <c r="C287" s="7">
        <v>3.0</v>
      </c>
      <c r="D287" s="7" t="s">
        <v>4904</v>
      </c>
      <c r="E287" s="7" t="s">
        <v>4935</v>
      </c>
      <c r="F287" s="7">
        <v>60.0</v>
      </c>
      <c r="G287" s="7">
        <v>130.0</v>
      </c>
      <c r="H287" s="7">
        <v>80.0</v>
      </c>
      <c r="I287" s="7"/>
      <c r="J287" s="7">
        <v>60.0</v>
      </c>
      <c r="K287" s="7">
        <v>60.0</v>
      </c>
      <c r="L287" s="7">
        <v>70.0</v>
      </c>
      <c r="M287" s="7" t="s">
        <v>3250</v>
      </c>
      <c r="N287" s="7" t="s">
        <v>3653</v>
      </c>
      <c r="O287" s="7" t="s">
        <v>3412</v>
      </c>
      <c r="P287" s="7">
        <v>39.2</v>
      </c>
      <c r="Q287" s="7"/>
      <c r="R287" s="7">
        <f t="shared" si="1"/>
        <v>286</v>
      </c>
    </row>
    <row r="288" ht="15.75" customHeight="1">
      <c r="A288" s="7">
        <v>287.0</v>
      </c>
      <c r="B288" s="7" t="s">
        <v>5000</v>
      </c>
      <c r="C288" s="7">
        <v>3.0</v>
      </c>
      <c r="D288" s="7" t="s">
        <v>4916</v>
      </c>
      <c r="E288" s="7"/>
      <c r="F288" s="7">
        <v>60.0</v>
      </c>
      <c r="G288" s="7">
        <v>60.0</v>
      </c>
      <c r="H288" s="7">
        <v>60.0</v>
      </c>
      <c r="I288" s="7"/>
      <c r="J288" s="7">
        <v>35.0</v>
      </c>
      <c r="K288" s="7">
        <v>35.0</v>
      </c>
      <c r="L288" s="7">
        <v>30.0</v>
      </c>
      <c r="M288" s="7" t="s">
        <v>3939</v>
      </c>
      <c r="N288" s="7"/>
      <c r="O288" s="7"/>
      <c r="P288" s="7">
        <v>24.0</v>
      </c>
      <c r="Q288" s="7"/>
      <c r="R288" s="7">
        <f t="shared" si="1"/>
        <v>287</v>
      </c>
    </row>
    <row r="289" ht="15.75" customHeight="1">
      <c r="A289" s="7">
        <v>288.0</v>
      </c>
      <c r="B289" s="7" t="s">
        <v>3416</v>
      </c>
      <c r="C289" s="7">
        <v>3.0</v>
      </c>
      <c r="D289" s="7" t="s">
        <v>4916</v>
      </c>
      <c r="E289" s="7"/>
      <c r="F289" s="7">
        <v>80.0</v>
      </c>
      <c r="G289" s="7">
        <v>80.0</v>
      </c>
      <c r="H289" s="7">
        <v>80.0</v>
      </c>
      <c r="I289" s="7"/>
      <c r="J289" s="7">
        <v>55.0</v>
      </c>
      <c r="K289" s="7">
        <v>55.0</v>
      </c>
      <c r="L289" s="7">
        <v>90.0</v>
      </c>
      <c r="M289" s="7" t="s">
        <v>3011</v>
      </c>
      <c r="N289" s="7"/>
      <c r="O289" s="7"/>
      <c r="P289" s="7">
        <v>46.5</v>
      </c>
      <c r="Q289" s="7"/>
      <c r="R289" s="7">
        <f t="shared" si="1"/>
        <v>288</v>
      </c>
    </row>
    <row r="290" ht="15.75" customHeight="1">
      <c r="A290" s="7">
        <v>289.0</v>
      </c>
      <c r="B290" s="7" t="s">
        <v>3938</v>
      </c>
      <c r="C290" s="7">
        <v>3.0</v>
      </c>
      <c r="D290" s="7" t="s">
        <v>4916</v>
      </c>
      <c r="E290" s="7"/>
      <c r="F290" s="7">
        <v>150.0</v>
      </c>
      <c r="G290" s="7">
        <v>160.0</v>
      </c>
      <c r="H290" s="7">
        <v>100.0</v>
      </c>
      <c r="I290" s="7"/>
      <c r="J290" s="7">
        <v>95.0</v>
      </c>
      <c r="K290" s="7">
        <v>65.0</v>
      </c>
      <c r="L290" s="7">
        <v>100.0</v>
      </c>
      <c r="M290" s="7" t="s">
        <v>3939</v>
      </c>
      <c r="N290" s="7"/>
      <c r="O290" s="7"/>
      <c r="P290" s="7">
        <v>130.5</v>
      </c>
      <c r="Q290" s="7"/>
      <c r="R290" s="7">
        <f t="shared" si="1"/>
        <v>289</v>
      </c>
    </row>
    <row r="291" ht="15.75" customHeight="1">
      <c r="A291" s="7">
        <v>290.0</v>
      </c>
      <c r="B291" s="7" t="s">
        <v>5001</v>
      </c>
      <c r="C291" s="7">
        <v>3.0</v>
      </c>
      <c r="D291" s="7" t="s">
        <v>4910</v>
      </c>
      <c r="E291" s="7" t="s">
        <v>4922</v>
      </c>
      <c r="F291" s="7">
        <v>31.0</v>
      </c>
      <c r="G291" s="7">
        <v>45.0</v>
      </c>
      <c r="H291" s="7">
        <v>90.0</v>
      </c>
      <c r="I291" s="7"/>
      <c r="J291" s="7">
        <v>30.0</v>
      </c>
      <c r="K291" s="7">
        <v>30.0</v>
      </c>
      <c r="L291" s="7">
        <v>40.0</v>
      </c>
      <c r="M291" s="7" t="s">
        <v>2814</v>
      </c>
      <c r="N291" s="7"/>
      <c r="O291" s="7" t="s">
        <v>4911</v>
      </c>
      <c r="P291" s="7">
        <v>5.5</v>
      </c>
      <c r="Q291" s="7"/>
      <c r="R291" s="7">
        <f t="shared" si="1"/>
        <v>290</v>
      </c>
    </row>
    <row r="292" ht="15.75" customHeight="1">
      <c r="A292" s="7">
        <v>291.0</v>
      </c>
      <c r="B292" s="7" t="s">
        <v>3501</v>
      </c>
      <c r="C292" s="7">
        <v>3.0</v>
      </c>
      <c r="D292" s="7" t="s">
        <v>4910</v>
      </c>
      <c r="E292" s="7" t="s">
        <v>4907</v>
      </c>
      <c r="F292" s="7">
        <v>61.0</v>
      </c>
      <c r="G292" s="7">
        <v>90.0</v>
      </c>
      <c r="H292" s="7">
        <v>45.0</v>
      </c>
      <c r="I292" s="7"/>
      <c r="J292" s="7">
        <v>50.0</v>
      </c>
      <c r="K292" s="7">
        <v>50.0</v>
      </c>
      <c r="L292" s="7">
        <v>160.0</v>
      </c>
      <c r="M292" s="7" t="s">
        <v>3217</v>
      </c>
      <c r="N292" s="7"/>
      <c r="O292" s="7" t="s">
        <v>4553</v>
      </c>
      <c r="P292" s="7">
        <v>12.0</v>
      </c>
      <c r="Q292" s="7"/>
      <c r="R292" s="7">
        <f t="shared" si="1"/>
        <v>291</v>
      </c>
    </row>
    <row r="293" ht="15.75" customHeight="1">
      <c r="A293" s="7">
        <v>292.0</v>
      </c>
      <c r="B293" s="7" t="s">
        <v>2669</v>
      </c>
      <c r="C293" s="7">
        <v>3.0</v>
      </c>
      <c r="D293" s="7" t="s">
        <v>4910</v>
      </c>
      <c r="E293" s="7" t="s">
        <v>4945</v>
      </c>
      <c r="F293" s="7">
        <v>1.0</v>
      </c>
      <c r="G293" s="7">
        <v>90.0</v>
      </c>
      <c r="H293" s="7">
        <v>45.0</v>
      </c>
      <c r="I293" s="7"/>
      <c r="J293" s="7">
        <v>30.0</v>
      </c>
      <c r="K293" s="7">
        <v>30.0</v>
      </c>
      <c r="L293" s="7">
        <v>40.0</v>
      </c>
      <c r="M293" s="7" t="s">
        <v>2672</v>
      </c>
      <c r="N293" s="7"/>
      <c r="O293" s="7"/>
      <c r="P293" s="7">
        <v>1.2</v>
      </c>
      <c r="Q293" s="7"/>
      <c r="R293" s="7">
        <f t="shared" si="1"/>
        <v>292</v>
      </c>
    </row>
    <row r="294" ht="15.75" customHeight="1">
      <c r="A294" s="7">
        <v>293.0</v>
      </c>
      <c r="B294" s="7" t="s">
        <v>5002</v>
      </c>
      <c r="C294" s="7">
        <v>3.0</v>
      </c>
      <c r="D294" s="7" t="s">
        <v>4916</v>
      </c>
      <c r="E294" s="7"/>
      <c r="F294" s="7">
        <v>64.0</v>
      </c>
      <c r="G294" s="7">
        <v>51.0</v>
      </c>
      <c r="H294" s="7">
        <v>23.0</v>
      </c>
      <c r="I294" s="7"/>
      <c r="J294" s="7">
        <v>51.0</v>
      </c>
      <c r="K294" s="7">
        <v>23.0</v>
      </c>
      <c r="L294" s="7">
        <v>28.0</v>
      </c>
      <c r="M294" s="7" t="s">
        <v>2931</v>
      </c>
      <c r="N294" s="7"/>
      <c r="O294" s="7" t="s">
        <v>4951</v>
      </c>
      <c r="P294" s="7">
        <v>16.3</v>
      </c>
      <c r="Q294" s="7"/>
      <c r="R294" s="7">
        <f t="shared" si="1"/>
        <v>293</v>
      </c>
    </row>
    <row r="295" ht="15.75" customHeight="1">
      <c r="A295" s="7">
        <v>294.0</v>
      </c>
      <c r="B295" s="7" t="s">
        <v>3138</v>
      </c>
      <c r="C295" s="7">
        <v>3.0</v>
      </c>
      <c r="D295" s="7" t="s">
        <v>4916</v>
      </c>
      <c r="E295" s="7"/>
      <c r="F295" s="7">
        <v>84.0</v>
      </c>
      <c r="G295" s="7">
        <v>71.0</v>
      </c>
      <c r="H295" s="7">
        <v>43.0</v>
      </c>
      <c r="I295" s="7"/>
      <c r="J295" s="7">
        <v>71.0</v>
      </c>
      <c r="K295" s="7">
        <v>43.0</v>
      </c>
      <c r="L295" s="7">
        <v>48.0</v>
      </c>
      <c r="M295" s="7" t="s">
        <v>2931</v>
      </c>
      <c r="N295" s="7"/>
      <c r="O295" s="7" t="s">
        <v>3141</v>
      </c>
      <c r="P295" s="7">
        <v>40.5</v>
      </c>
      <c r="Q295" s="7"/>
      <c r="R295" s="7">
        <f t="shared" si="1"/>
        <v>294</v>
      </c>
    </row>
    <row r="296" ht="15.75" customHeight="1">
      <c r="A296" s="7">
        <v>295.0</v>
      </c>
      <c r="B296" s="7" t="s">
        <v>3696</v>
      </c>
      <c r="C296" s="7">
        <v>3.0</v>
      </c>
      <c r="D296" s="7" t="s">
        <v>4916</v>
      </c>
      <c r="E296" s="7"/>
      <c r="F296" s="7">
        <v>104.0</v>
      </c>
      <c r="G296" s="7">
        <v>91.0</v>
      </c>
      <c r="H296" s="7">
        <v>63.0</v>
      </c>
      <c r="I296" s="7"/>
      <c r="J296" s="7">
        <v>91.0</v>
      </c>
      <c r="K296" s="7">
        <f>IF($A$1&lt;6,63,73)</f>
        <v>73</v>
      </c>
      <c r="L296" s="7">
        <v>68.0</v>
      </c>
      <c r="M296" s="7" t="s">
        <v>2931</v>
      </c>
      <c r="N296" s="7"/>
      <c r="O296" s="7" t="s">
        <v>3141</v>
      </c>
      <c r="P296" s="7">
        <v>84.0</v>
      </c>
      <c r="Q296" s="7"/>
      <c r="R296" s="7">
        <f t="shared" si="1"/>
        <v>295</v>
      </c>
    </row>
    <row r="297" ht="15.75" customHeight="1">
      <c r="A297" s="7">
        <v>296.0</v>
      </c>
      <c r="B297" s="7" t="s">
        <v>5003</v>
      </c>
      <c r="C297" s="7">
        <v>3.0</v>
      </c>
      <c r="D297" s="7" t="s">
        <v>4935</v>
      </c>
      <c r="E297" s="7"/>
      <c r="F297" s="7">
        <v>72.0</v>
      </c>
      <c r="G297" s="7">
        <v>60.0</v>
      </c>
      <c r="H297" s="7">
        <v>30.0</v>
      </c>
      <c r="I297" s="7"/>
      <c r="J297" s="7">
        <v>20.0</v>
      </c>
      <c r="K297" s="7">
        <v>30.0</v>
      </c>
      <c r="L297" s="7">
        <v>25.0</v>
      </c>
      <c r="M297" s="7" t="s">
        <v>2968</v>
      </c>
      <c r="N297" s="7" t="s">
        <v>2777</v>
      </c>
      <c r="O297" s="7" t="s">
        <v>3745</v>
      </c>
      <c r="P297" s="7">
        <v>86.4</v>
      </c>
      <c r="Q297" s="7"/>
      <c r="R297" s="7">
        <f t="shared" si="1"/>
        <v>296</v>
      </c>
    </row>
    <row r="298" ht="15.75" customHeight="1">
      <c r="A298" s="7">
        <v>297.0</v>
      </c>
      <c r="B298" s="7" t="s">
        <v>3664</v>
      </c>
      <c r="C298" s="7">
        <v>3.0</v>
      </c>
      <c r="D298" s="7" t="s">
        <v>4935</v>
      </c>
      <c r="E298" s="7"/>
      <c r="F298" s="7">
        <v>144.0</v>
      </c>
      <c r="G298" s="7">
        <v>120.0</v>
      </c>
      <c r="H298" s="7">
        <v>60.0</v>
      </c>
      <c r="I298" s="7"/>
      <c r="J298" s="7">
        <v>40.0</v>
      </c>
      <c r="K298" s="7">
        <v>60.0</v>
      </c>
      <c r="L298" s="7">
        <v>50.0</v>
      </c>
      <c r="M298" s="7" t="s">
        <v>2968</v>
      </c>
      <c r="N298" s="7" t="s">
        <v>2777</v>
      </c>
      <c r="O298" s="7" t="s">
        <v>3745</v>
      </c>
      <c r="P298" s="7">
        <v>253.8</v>
      </c>
      <c r="Q298" s="7"/>
      <c r="R298" s="7">
        <f t="shared" si="1"/>
        <v>297</v>
      </c>
    </row>
    <row r="299" ht="15.75" customHeight="1">
      <c r="A299" s="7">
        <v>298.0</v>
      </c>
      <c r="B299" s="7" t="s">
        <v>5004</v>
      </c>
      <c r="C299" s="7">
        <v>3.0</v>
      </c>
      <c r="D299" s="7" t="s">
        <v>4916</v>
      </c>
      <c r="E299" s="7" t="str">
        <f>IF($A$1&lt;6,"","Fairy")</f>
        <v>Fairy</v>
      </c>
      <c r="F299" s="7">
        <v>50.0</v>
      </c>
      <c r="G299" s="7">
        <v>20.0</v>
      </c>
      <c r="H299" s="7">
        <v>40.0</v>
      </c>
      <c r="I299" s="7"/>
      <c r="J299" s="7">
        <v>20.0</v>
      </c>
      <c r="K299" s="7">
        <v>40.0</v>
      </c>
      <c r="L299" s="7">
        <v>20.0</v>
      </c>
      <c r="M299" s="7" t="s">
        <v>2968</v>
      </c>
      <c r="N299" s="7" t="s">
        <v>3286</v>
      </c>
      <c r="O299" s="7" t="s">
        <v>3490</v>
      </c>
      <c r="P299" s="7">
        <v>2.0</v>
      </c>
      <c r="Q299" s="7"/>
      <c r="R299" s="7">
        <f t="shared" si="1"/>
        <v>298</v>
      </c>
    </row>
    <row r="300" ht="15.75" customHeight="1">
      <c r="A300" s="7">
        <v>299.0</v>
      </c>
      <c r="B300" s="7" t="s">
        <v>3164</v>
      </c>
      <c r="C300" s="7">
        <v>3.0</v>
      </c>
      <c r="D300" s="7" t="s">
        <v>4940</v>
      </c>
      <c r="E300" s="7"/>
      <c r="F300" s="7">
        <v>30.0</v>
      </c>
      <c r="G300" s="7">
        <v>45.0</v>
      </c>
      <c r="H300" s="7">
        <v>135.0</v>
      </c>
      <c r="I300" s="7"/>
      <c r="J300" s="7">
        <v>45.0</v>
      </c>
      <c r="K300" s="7">
        <v>90.0</v>
      </c>
      <c r="L300" s="7">
        <v>30.0</v>
      </c>
      <c r="M300" s="7" t="s">
        <v>2728</v>
      </c>
      <c r="N300" s="7" t="s">
        <v>4941</v>
      </c>
      <c r="O300" s="7" t="s">
        <v>4319</v>
      </c>
      <c r="P300" s="7">
        <v>97.0</v>
      </c>
      <c r="Q300" s="7"/>
      <c r="R300" s="7">
        <f t="shared" si="1"/>
        <v>299</v>
      </c>
    </row>
    <row r="301" ht="15.75" customHeight="1">
      <c r="A301" s="7">
        <v>300.0</v>
      </c>
      <c r="B301" s="7" t="s">
        <v>5005</v>
      </c>
      <c r="C301" s="7">
        <v>3.0</v>
      </c>
      <c r="D301" s="7" t="s">
        <v>4916</v>
      </c>
      <c r="E301" s="7"/>
      <c r="F301" s="7">
        <v>50.0</v>
      </c>
      <c r="G301" s="7">
        <v>45.0</v>
      </c>
      <c r="H301" s="7">
        <v>45.0</v>
      </c>
      <c r="I301" s="7"/>
      <c r="J301" s="7">
        <v>35.0</v>
      </c>
      <c r="K301" s="7">
        <v>35.0</v>
      </c>
      <c r="L301" s="7">
        <v>50.0</v>
      </c>
      <c r="M301" s="7" t="s">
        <v>3172</v>
      </c>
      <c r="N301" s="7" t="s">
        <v>5006</v>
      </c>
      <c r="O301" s="7" t="s">
        <v>4931</v>
      </c>
      <c r="P301" s="7">
        <v>11.0</v>
      </c>
      <c r="Q301" s="7"/>
      <c r="R301" s="7">
        <f t="shared" si="1"/>
        <v>300</v>
      </c>
    </row>
    <row r="302" ht="15.75" customHeight="1">
      <c r="A302" s="7">
        <v>301.0</v>
      </c>
      <c r="B302" s="7" t="s">
        <v>3171</v>
      </c>
      <c r="C302" s="7">
        <v>3.0</v>
      </c>
      <c r="D302" s="7" t="s">
        <v>4916</v>
      </c>
      <c r="E302" s="7"/>
      <c r="F302" s="7">
        <v>70.0</v>
      </c>
      <c r="G302" s="7">
        <v>65.0</v>
      </c>
      <c r="H302" s="7">
        <v>65.0</v>
      </c>
      <c r="I302" s="7"/>
      <c r="J302" s="7">
        <v>55.0</v>
      </c>
      <c r="K302" s="7">
        <v>55.0</v>
      </c>
      <c r="L302" s="7">
        <f>IF($A$1&lt;7,70,90)</f>
        <v>90</v>
      </c>
      <c r="M302" s="7" t="s">
        <v>3172</v>
      </c>
      <c r="N302" s="7" t="s">
        <v>5006</v>
      </c>
      <c r="O302" s="7" t="s">
        <v>4931</v>
      </c>
      <c r="P302" s="7">
        <v>32.6</v>
      </c>
      <c r="Q302" s="7"/>
      <c r="R302" s="7">
        <f t="shared" si="1"/>
        <v>301</v>
      </c>
    </row>
    <row r="303" ht="15.75" customHeight="1">
      <c r="A303" s="7">
        <v>302.0</v>
      </c>
      <c r="B303" s="7" t="s">
        <v>3174</v>
      </c>
      <c r="C303" s="7">
        <v>3.0</v>
      </c>
      <c r="D303" s="7" t="s">
        <v>4972</v>
      </c>
      <c r="E303" s="7" t="s">
        <v>4945</v>
      </c>
      <c r="F303" s="7">
        <v>50.0</v>
      </c>
      <c r="G303" s="7">
        <v>75.0</v>
      </c>
      <c r="H303" s="7">
        <v>75.0</v>
      </c>
      <c r="I303" s="7"/>
      <c r="J303" s="7">
        <v>65.0</v>
      </c>
      <c r="K303" s="7">
        <v>65.0</v>
      </c>
      <c r="L303" s="7">
        <v>50.0</v>
      </c>
      <c r="M303" s="7" t="s">
        <v>2677</v>
      </c>
      <c r="N303" s="7" t="s">
        <v>5007</v>
      </c>
      <c r="O303" s="7" t="s">
        <v>2720</v>
      </c>
      <c r="P303" s="7">
        <v>11.0</v>
      </c>
      <c r="Q303" s="7"/>
      <c r="R303" s="7">
        <f t="shared" si="1"/>
        <v>302</v>
      </c>
    </row>
    <row r="304" ht="15.75" customHeight="1">
      <c r="A304" s="7">
        <v>303.0</v>
      </c>
      <c r="B304" s="7" t="s">
        <v>3177</v>
      </c>
      <c r="C304" s="7">
        <v>3.0</v>
      </c>
      <c r="D304" s="7" t="s">
        <v>4975</v>
      </c>
      <c r="E304" s="7" t="str">
        <f>IF($A$1&lt;6,"","Fairy")</f>
        <v>Fairy</v>
      </c>
      <c r="F304" s="7">
        <v>50.0</v>
      </c>
      <c r="G304" s="7">
        <v>85.0</v>
      </c>
      <c r="H304" s="7">
        <v>85.0</v>
      </c>
      <c r="I304" s="7"/>
      <c r="J304" s="7">
        <v>55.0</v>
      </c>
      <c r="K304" s="7">
        <v>55.0</v>
      </c>
      <c r="L304" s="7">
        <v>50.0</v>
      </c>
      <c r="M304" s="7" t="s">
        <v>2978</v>
      </c>
      <c r="N304" s="7" t="s">
        <v>2696</v>
      </c>
      <c r="O304" s="7" t="s">
        <v>3745</v>
      </c>
      <c r="P304" s="7">
        <v>11.5</v>
      </c>
      <c r="Q304" s="7"/>
      <c r="R304" s="7">
        <f t="shared" si="1"/>
        <v>303</v>
      </c>
    </row>
    <row r="305" ht="15.75" customHeight="1">
      <c r="A305" s="7">
        <v>304.0</v>
      </c>
      <c r="B305" s="7" t="s">
        <v>3020</v>
      </c>
      <c r="C305" s="7">
        <v>3.0</v>
      </c>
      <c r="D305" s="7" t="s">
        <v>4975</v>
      </c>
      <c r="E305" s="7" t="s">
        <v>4940</v>
      </c>
      <c r="F305" s="7">
        <v>50.0</v>
      </c>
      <c r="G305" s="7">
        <v>70.0</v>
      </c>
      <c r="H305" s="7">
        <v>100.0</v>
      </c>
      <c r="I305" s="7"/>
      <c r="J305" s="7">
        <v>40.0</v>
      </c>
      <c r="K305" s="7">
        <v>40.0</v>
      </c>
      <c r="L305" s="7">
        <v>30.0</v>
      </c>
      <c r="M305" s="7" t="s">
        <v>2728</v>
      </c>
      <c r="N305" s="7" t="s">
        <v>2792</v>
      </c>
      <c r="O305" s="7" t="s">
        <v>5008</v>
      </c>
      <c r="P305" s="7">
        <v>60.0</v>
      </c>
      <c r="Q305" s="7"/>
      <c r="R305" s="7">
        <f t="shared" si="1"/>
        <v>304</v>
      </c>
    </row>
    <row r="306" ht="15.75" customHeight="1">
      <c r="A306" s="7">
        <v>305.0</v>
      </c>
      <c r="B306" s="7" t="s">
        <v>3401</v>
      </c>
      <c r="C306" s="7">
        <v>3.0</v>
      </c>
      <c r="D306" s="7" t="s">
        <v>4975</v>
      </c>
      <c r="E306" s="7" t="s">
        <v>4940</v>
      </c>
      <c r="F306" s="7">
        <v>60.0</v>
      </c>
      <c r="G306" s="7">
        <v>90.0</v>
      </c>
      <c r="H306" s="7">
        <v>140.0</v>
      </c>
      <c r="I306" s="7"/>
      <c r="J306" s="7">
        <v>50.0</v>
      </c>
      <c r="K306" s="7">
        <v>50.0</v>
      </c>
      <c r="L306" s="7">
        <v>40.0</v>
      </c>
      <c r="M306" s="7" t="s">
        <v>2728</v>
      </c>
      <c r="N306" s="7" t="s">
        <v>2792</v>
      </c>
      <c r="O306" s="7" t="s">
        <v>5008</v>
      </c>
      <c r="P306" s="7">
        <v>120.0</v>
      </c>
      <c r="Q306" s="7"/>
      <c r="R306" s="7">
        <f t="shared" si="1"/>
        <v>305</v>
      </c>
    </row>
    <row r="307" ht="15.75" customHeight="1">
      <c r="A307" s="7">
        <v>306.0</v>
      </c>
      <c r="B307" s="7" t="s">
        <v>3888</v>
      </c>
      <c r="C307" s="7">
        <v>3.0</v>
      </c>
      <c r="D307" s="7" t="s">
        <v>4975</v>
      </c>
      <c r="E307" s="7" t="s">
        <v>4940</v>
      </c>
      <c r="F307" s="7">
        <v>70.0</v>
      </c>
      <c r="G307" s="7">
        <v>110.0</v>
      </c>
      <c r="H307" s="7">
        <v>180.0</v>
      </c>
      <c r="I307" s="7"/>
      <c r="J307" s="7">
        <v>60.0</v>
      </c>
      <c r="K307" s="7">
        <v>60.0</v>
      </c>
      <c r="L307" s="7">
        <v>50.0</v>
      </c>
      <c r="M307" s="7" t="s">
        <v>2728</v>
      </c>
      <c r="N307" s="7" t="s">
        <v>2792</v>
      </c>
      <c r="O307" s="7" t="s">
        <v>5008</v>
      </c>
      <c r="P307" s="7">
        <v>360.0</v>
      </c>
      <c r="Q307" s="7"/>
      <c r="R307" s="7">
        <f t="shared" si="1"/>
        <v>306</v>
      </c>
    </row>
    <row r="308" ht="15.75" customHeight="1">
      <c r="A308" s="7">
        <v>307.0</v>
      </c>
      <c r="B308" s="7" t="s">
        <v>5009</v>
      </c>
      <c r="C308" s="7">
        <v>3.0</v>
      </c>
      <c r="D308" s="7" t="s">
        <v>4935</v>
      </c>
      <c r="E308" s="7" t="s">
        <v>2659</v>
      </c>
      <c r="F308" s="7">
        <v>30.0</v>
      </c>
      <c r="G308" s="7">
        <v>40.0</v>
      </c>
      <c r="H308" s="7">
        <v>55.0</v>
      </c>
      <c r="I308" s="7"/>
      <c r="J308" s="7">
        <v>40.0</v>
      </c>
      <c r="K308" s="7">
        <v>55.0</v>
      </c>
      <c r="L308" s="7">
        <v>60.0</v>
      </c>
      <c r="M308" s="7" t="s">
        <v>3630</v>
      </c>
      <c r="N308" s="7"/>
      <c r="O308" s="7" t="s">
        <v>4338</v>
      </c>
      <c r="P308" s="7">
        <v>11.2</v>
      </c>
      <c r="Q308" s="7"/>
      <c r="R308" s="7">
        <f t="shared" si="1"/>
        <v>307</v>
      </c>
    </row>
    <row r="309" ht="15.75" customHeight="1">
      <c r="A309" s="7">
        <v>308.0</v>
      </c>
      <c r="B309" s="7" t="s">
        <v>3628</v>
      </c>
      <c r="C309" s="7">
        <v>3.0</v>
      </c>
      <c r="D309" s="7" t="s">
        <v>4935</v>
      </c>
      <c r="E309" s="7" t="s">
        <v>2659</v>
      </c>
      <c r="F309" s="7">
        <v>60.0</v>
      </c>
      <c r="G309" s="7">
        <v>60.0</v>
      </c>
      <c r="H309" s="7">
        <v>75.0</v>
      </c>
      <c r="I309" s="7"/>
      <c r="J309" s="7">
        <v>60.0</v>
      </c>
      <c r="K309" s="7">
        <v>75.0</v>
      </c>
      <c r="L309" s="7">
        <v>80.0</v>
      </c>
      <c r="M309" s="7" t="s">
        <v>3630</v>
      </c>
      <c r="N309" s="7"/>
      <c r="O309" s="7" t="s">
        <v>4338</v>
      </c>
      <c r="P309" s="7">
        <v>31.5</v>
      </c>
      <c r="Q309" s="7"/>
      <c r="R309" s="7">
        <f t="shared" si="1"/>
        <v>308</v>
      </c>
    </row>
    <row r="310" ht="15.75" customHeight="1">
      <c r="A310" s="7">
        <v>309.0</v>
      </c>
      <c r="B310" s="7" t="s">
        <v>5010</v>
      </c>
      <c r="C310" s="7">
        <v>3.0</v>
      </c>
      <c r="D310" s="7" t="s">
        <v>4921</v>
      </c>
      <c r="E310" s="7"/>
      <c r="F310" s="7">
        <v>40.0</v>
      </c>
      <c r="G310" s="7">
        <v>45.0</v>
      </c>
      <c r="H310" s="7">
        <v>40.0</v>
      </c>
      <c r="I310" s="7"/>
      <c r="J310" s="7">
        <v>65.0</v>
      </c>
      <c r="K310" s="7">
        <v>40.0</v>
      </c>
      <c r="L310" s="7">
        <v>65.0</v>
      </c>
      <c r="M310" s="7" t="s">
        <v>3136</v>
      </c>
      <c r="N310" s="7" t="s">
        <v>2747</v>
      </c>
      <c r="O310" s="7" t="s">
        <v>3275</v>
      </c>
      <c r="P310" s="7">
        <v>15.2</v>
      </c>
      <c r="Q310" s="7"/>
      <c r="R310" s="7">
        <f t="shared" si="1"/>
        <v>309</v>
      </c>
    </row>
    <row r="311" ht="15.75" customHeight="1">
      <c r="A311" s="7">
        <v>310.0</v>
      </c>
      <c r="B311" s="7" t="s">
        <v>3674</v>
      </c>
      <c r="C311" s="7">
        <v>3.0</v>
      </c>
      <c r="D311" s="7" t="s">
        <v>4921</v>
      </c>
      <c r="E311" s="7"/>
      <c r="F311" s="7">
        <v>70.0</v>
      </c>
      <c r="G311" s="7">
        <v>75.0</v>
      </c>
      <c r="H311" s="7">
        <v>60.0</v>
      </c>
      <c r="I311" s="7"/>
      <c r="J311" s="7">
        <v>105.0</v>
      </c>
      <c r="K311" s="7">
        <v>60.0</v>
      </c>
      <c r="L311" s="7">
        <v>105.0</v>
      </c>
      <c r="M311" s="7" t="s">
        <v>3136</v>
      </c>
      <c r="N311" s="7" t="s">
        <v>2747</v>
      </c>
      <c r="O311" s="7" t="s">
        <v>3275</v>
      </c>
      <c r="P311" s="7">
        <v>40.2</v>
      </c>
      <c r="Q311" s="7"/>
      <c r="R311" s="7">
        <f t="shared" si="1"/>
        <v>310</v>
      </c>
    </row>
    <row r="312" ht="15.75" customHeight="1">
      <c r="A312" s="7">
        <v>311.0</v>
      </c>
      <c r="B312" s="7" t="s">
        <v>3271</v>
      </c>
      <c r="C312" s="7">
        <v>3.0</v>
      </c>
      <c r="D312" s="7" t="s">
        <v>4921</v>
      </c>
      <c r="E312" s="7"/>
      <c r="F312" s="7">
        <v>60.0</v>
      </c>
      <c r="G312" s="7">
        <v>50.0</v>
      </c>
      <c r="H312" s="7">
        <v>40.0</v>
      </c>
      <c r="I312" s="7"/>
      <c r="J312" s="7">
        <v>85.0</v>
      </c>
      <c r="K312" s="7">
        <v>75.0</v>
      </c>
      <c r="L312" s="7">
        <v>95.0</v>
      </c>
      <c r="M312" s="7" t="s">
        <v>3272</v>
      </c>
      <c r="N312" s="7"/>
      <c r="O312" s="7" t="s">
        <v>2747</v>
      </c>
      <c r="P312" s="7">
        <v>4.2</v>
      </c>
      <c r="Q312" s="7"/>
      <c r="R312" s="7">
        <f t="shared" si="1"/>
        <v>311</v>
      </c>
    </row>
    <row r="313" ht="15.75" customHeight="1">
      <c r="A313" s="7">
        <v>312.0</v>
      </c>
      <c r="B313" s="7" t="s">
        <v>3274</v>
      </c>
      <c r="C313" s="7">
        <v>3.0</v>
      </c>
      <c r="D313" s="7" t="s">
        <v>4921</v>
      </c>
      <c r="E313" s="7"/>
      <c r="F313" s="7">
        <v>60.0</v>
      </c>
      <c r="G313" s="7">
        <v>40.0</v>
      </c>
      <c r="H313" s="7">
        <v>50.0</v>
      </c>
      <c r="I313" s="7"/>
      <c r="J313" s="7">
        <v>75.0</v>
      </c>
      <c r="K313" s="7">
        <v>85.0</v>
      </c>
      <c r="L313" s="7">
        <v>95.0</v>
      </c>
      <c r="M313" s="7" t="s">
        <v>3275</v>
      </c>
      <c r="N313" s="7"/>
      <c r="O313" s="7" t="s">
        <v>3000</v>
      </c>
      <c r="P313" s="7">
        <v>4.2</v>
      </c>
      <c r="Q313" s="7"/>
      <c r="R313" s="7">
        <f t="shared" si="1"/>
        <v>312</v>
      </c>
    </row>
    <row r="314" ht="15.75" customHeight="1">
      <c r="A314" s="7">
        <v>313.0</v>
      </c>
      <c r="B314" s="7" t="s">
        <v>3235</v>
      </c>
      <c r="C314" s="7">
        <v>3.0</v>
      </c>
      <c r="D314" s="7" t="s">
        <v>4910</v>
      </c>
      <c r="E314" s="7"/>
      <c r="F314" s="7">
        <v>65.0</v>
      </c>
      <c r="G314" s="7">
        <v>73.0</v>
      </c>
      <c r="H314" s="7">
        <f t="shared" ref="H314:H315" si="11">IF($A$1&lt;7,55,75)</f>
        <v>75</v>
      </c>
      <c r="I314" s="7"/>
      <c r="J314" s="7">
        <v>47.0</v>
      </c>
      <c r="K314" s="7">
        <f t="shared" ref="K314:K315" si="12">IF($A$1&lt;7,75,85)</f>
        <v>85</v>
      </c>
      <c r="L314" s="7">
        <v>85.0</v>
      </c>
      <c r="M314" s="7" t="s">
        <v>3066</v>
      </c>
      <c r="N314" s="7" t="s">
        <v>3181</v>
      </c>
      <c r="O314" s="7" t="s">
        <v>2720</v>
      </c>
      <c r="P314" s="7">
        <v>17.7</v>
      </c>
      <c r="Q314" s="7"/>
      <c r="R314" s="7">
        <f t="shared" si="1"/>
        <v>313</v>
      </c>
    </row>
    <row r="315" ht="15.75" customHeight="1">
      <c r="A315" s="7">
        <v>314.0</v>
      </c>
      <c r="B315" s="7" t="s">
        <v>3238</v>
      </c>
      <c r="C315" s="7">
        <v>3.0</v>
      </c>
      <c r="D315" s="7" t="s">
        <v>4910</v>
      </c>
      <c r="E315" s="7"/>
      <c r="F315" s="7">
        <v>65.0</v>
      </c>
      <c r="G315" s="7">
        <v>47.0</v>
      </c>
      <c r="H315" s="7">
        <f t="shared" si="11"/>
        <v>75</v>
      </c>
      <c r="I315" s="7"/>
      <c r="J315" s="7">
        <v>73.0</v>
      </c>
      <c r="K315" s="7">
        <f t="shared" si="12"/>
        <v>85</v>
      </c>
      <c r="L315" s="7">
        <v>85.0</v>
      </c>
      <c r="M315" s="7" t="s">
        <v>2824</v>
      </c>
      <c r="N315" s="7" t="s">
        <v>3240</v>
      </c>
      <c r="O315" s="7" t="s">
        <v>2720</v>
      </c>
      <c r="P315" s="7">
        <v>17.7</v>
      </c>
      <c r="Q315" s="7"/>
      <c r="R315" s="7">
        <f t="shared" si="1"/>
        <v>314</v>
      </c>
    </row>
    <row r="316" ht="15.75" customHeight="1">
      <c r="A316" s="7">
        <v>315.0</v>
      </c>
      <c r="B316" s="7" t="s">
        <v>3242</v>
      </c>
      <c r="C316" s="7">
        <v>3.0</v>
      </c>
      <c r="D316" s="7" t="s">
        <v>4904</v>
      </c>
      <c r="E316" s="7" t="s">
        <v>4905</v>
      </c>
      <c r="F316" s="7">
        <v>50.0</v>
      </c>
      <c r="G316" s="7">
        <v>60.0</v>
      </c>
      <c r="H316" s="7">
        <v>45.0</v>
      </c>
      <c r="I316" s="7"/>
      <c r="J316" s="7">
        <v>100.0</v>
      </c>
      <c r="K316" s="7">
        <v>80.0</v>
      </c>
      <c r="L316" s="7">
        <v>65.0</v>
      </c>
      <c r="M316" s="7" t="s">
        <v>3169</v>
      </c>
      <c r="N316" s="7" t="s">
        <v>2708</v>
      </c>
      <c r="O316" s="7" t="s">
        <v>4948</v>
      </c>
      <c r="P316" s="7">
        <v>2.0</v>
      </c>
      <c r="Q316" s="7"/>
      <c r="R316" s="7">
        <f t="shared" si="1"/>
        <v>315</v>
      </c>
    </row>
    <row r="317" ht="15.75" customHeight="1">
      <c r="A317" s="7">
        <v>316.0</v>
      </c>
      <c r="B317" s="7" t="s">
        <v>5011</v>
      </c>
      <c r="C317" s="7">
        <v>3.0</v>
      </c>
      <c r="D317" s="7" t="s">
        <v>4905</v>
      </c>
      <c r="E317" s="7"/>
      <c r="F317" s="7">
        <v>70.0</v>
      </c>
      <c r="G317" s="7">
        <v>43.0</v>
      </c>
      <c r="H317" s="7">
        <v>53.0</v>
      </c>
      <c r="I317" s="7"/>
      <c r="J317" s="7">
        <v>43.0</v>
      </c>
      <c r="K317" s="7">
        <v>53.0</v>
      </c>
      <c r="L317" s="7">
        <v>40.0</v>
      </c>
      <c r="M317" s="7" t="s">
        <v>3053</v>
      </c>
      <c r="N317" s="7" t="s">
        <v>3532</v>
      </c>
      <c r="O317" s="7" t="s">
        <v>3207</v>
      </c>
      <c r="P317" s="7">
        <v>10.3</v>
      </c>
      <c r="Q317" s="7"/>
      <c r="R317" s="7">
        <f t="shared" si="1"/>
        <v>316</v>
      </c>
    </row>
    <row r="318" ht="15.75" customHeight="1">
      <c r="A318" s="7">
        <v>317.0</v>
      </c>
      <c r="B318" s="7" t="s">
        <v>3531</v>
      </c>
      <c r="C318" s="7">
        <v>3.0</v>
      </c>
      <c r="D318" s="7" t="s">
        <v>4905</v>
      </c>
      <c r="E318" s="7"/>
      <c r="F318" s="7">
        <v>100.0</v>
      </c>
      <c r="G318" s="7">
        <v>73.0</v>
      </c>
      <c r="H318" s="7">
        <v>83.0</v>
      </c>
      <c r="I318" s="7"/>
      <c r="J318" s="7">
        <v>73.0</v>
      </c>
      <c r="K318" s="7">
        <v>83.0</v>
      </c>
      <c r="L318" s="7">
        <v>55.0</v>
      </c>
      <c r="M318" s="7" t="s">
        <v>3053</v>
      </c>
      <c r="N318" s="7" t="s">
        <v>3532</v>
      </c>
      <c r="O318" s="7" t="s">
        <v>3207</v>
      </c>
      <c r="P318" s="7">
        <v>80.0</v>
      </c>
      <c r="Q318" s="7"/>
      <c r="R318" s="7">
        <f t="shared" si="1"/>
        <v>317</v>
      </c>
    </row>
    <row r="319" ht="15.75" customHeight="1">
      <c r="A319" s="7">
        <v>318.0</v>
      </c>
      <c r="B319" s="7" t="s">
        <v>2826</v>
      </c>
      <c r="C319" s="7">
        <v>3.0</v>
      </c>
      <c r="D319" s="7" t="s">
        <v>4908</v>
      </c>
      <c r="E319" s="7" t="s">
        <v>4972</v>
      </c>
      <c r="F319" s="7">
        <v>45.0</v>
      </c>
      <c r="G319" s="7">
        <v>90.0</v>
      </c>
      <c r="H319" s="7">
        <v>20.0</v>
      </c>
      <c r="I319" s="7"/>
      <c r="J319" s="7">
        <v>65.0</v>
      </c>
      <c r="K319" s="7">
        <v>20.0</v>
      </c>
      <c r="L319" s="7">
        <v>65.0</v>
      </c>
      <c r="M319" s="7" t="s">
        <v>2803</v>
      </c>
      <c r="N319" s="7"/>
      <c r="O319" s="7" t="s">
        <v>3217</v>
      </c>
      <c r="P319" s="7">
        <v>20.8</v>
      </c>
      <c r="Q319" s="7"/>
      <c r="R319" s="7">
        <f t="shared" si="1"/>
        <v>318</v>
      </c>
    </row>
    <row r="320" ht="15.75" customHeight="1">
      <c r="A320" s="7">
        <v>319.0</v>
      </c>
      <c r="B320" s="7" t="s">
        <v>3512</v>
      </c>
      <c r="C320" s="7">
        <v>3.0</v>
      </c>
      <c r="D320" s="7" t="s">
        <v>4908</v>
      </c>
      <c r="E320" s="7" t="s">
        <v>4972</v>
      </c>
      <c r="F320" s="7">
        <v>70.0</v>
      </c>
      <c r="G320" s="7">
        <v>120.0</v>
      </c>
      <c r="H320" s="7">
        <v>40.0</v>
      </c>
      <c r="I320" s="7"/>
      <c r="J320" s="7">
        <v>95.0</v>
      </c>
      <c r="K320" s="7">
        <v>40.0</v>
      </c>
      <c r="L320" s="7">
        <v>95.0</v>
      </c>
      <c r="M320" s="7" t="s">
        <v>2803</v>
      </c>
      <c r="N320" s="7"/>
      <c r="O320" s="7" t="s">
        <v>3217</v>
      </c>
      <c r="P320" s="7">
        <v>88.8</v>
      </c>
      <c r="Q320" s="7"/>
      <c r="R320" s="7">
        <f t="shared" si="1"/>
        <v>319</v>
      </c>
    </row>
    <row r="321" ht="15.75" customHeight="1">
      <c r="A321" s="7">
        <v>320.0</v>
      </c>
      <c r="B321" s="7" t="s">
        <v>3244</v>
      </c>
      <c r="C321" s="7">
        <v>3.0</v>
      </c>
      <c r="D321" s="7" t="s">
        <v>4908</v>
      </c>
      <c r="E321" s="7"/>
      <c r="F321" s="7">
        <v>130.0</v>
      </c>
      <c r="G321" s="7">
        <v>70.0</v>
      </c>
      <c r="H321" s="7">
        <v>35.0</v>
      </c>
      <c r="I321" s="7"/>
      <c r="J321" s="7">
        <v>70.0</v>
      </c>
      <c r="K321" s="7">
        <v>35.0</v>
      </c>
      <c r="L321" s="7">
        <v>60.0</v>
      </c>
      <c r="M321" s="7" t="s">
        <v>4521</v>
      </c>
      <c r="N321" s="7" t="s">
        <v>2824</v>
      </c>
      <c r="O321" s="7" t="s">
        <v>3499</v>
      </c>
      <c r="P321" s="7">
        <v>130.0</v>
      </c>
      <c r="Q321" s="7"/>
      <c r="R321" s="7">
        <f t="shared" si="1"/>
        <v>320</v>
      </c>
    </row>
    <row r="322" ht="15.75" customHeight="1">
      <c r="A322" s="7">
        <v>321.0</v>
      </c>
      <c r="B322" s="7" t="s">
        <v>3797</v>
      </c>
      <c r="C322" s="7">
        <v>3.0</v>
      </c>
      <c r="D322" s="7" t="s">
        <v>4908</v>
      </c>
      <c r="E322" s="7"/>
      <c r="F322" s="7">
        <v>170.0</v>
      </c>
      <c r="G322" s="7">
        <v>90.0</v>
      </c>
      <c r="H322" s="7">
        <v>45.0</v>
      </c>
      <c r="I322" s="7"/>
      <c r="J322" s="7">
        <v>90.0</v>
      </c>
      <c r="K322" s="7">
        <v>45.0</v>
      </c>
      <c r="L322" s="7">
        <v>60.0</v>
      </c>
      <c r="M322" s="7" t="s">
        <v>4521</v>
      </c>
      <c r="N322" s="7" t="s">
        <v>2824</v>
      </c>
      <c r="O322" s="7" t="s">
        <v>3499</v>
      </c>
      <c r="P322" s="7">
        <v>398.0</v>
      </c>
      <c r="Q322" s="7"/>
      <c r="R322" s="7">
        <f t="shared" si="1"/>
        <v>321</v>
      </c>
    </row>
    <row r="323" ht="15.75" customHeight="1">
      <c r="A323" s="7">
        <v>322.0</v>
      </c>
      <c r="B323" s="7" t="s">
        <v>2830</v>
      </c>
      <c r="C323" s="7">
        <v>3.0</v>
      </c>
      <c r="D323" s="7" t="s">
        <v>4906</v>
      </c>
      <c r="E323" s="7" t="s">
        <v>4922</v>
      </c>
      <c r="F323" s="7">
        <v>60.0</v>
      </c>
      <c r="G323" s="7">
        <v>60.0</v>
      </c>
      <c r="H323" s="7">
        <v>40.0</v>
      </c>
      <c r="I323" s="7"/>
      <c r="J323" s="7">
        <v>65.0</v>
      </c>
      <c r="K323" s="7">
        <v>45.0</v>
      </c>
      <c r="L323" s="7">
        <v>35.0</v>
      </c>
      <c r="M323" s="7" t="s">
        <v>2824</v>
      </c>
      <c r="N323" s="7" t="s">
        <v>2689</v>
      </c>
      <c r="O323" s="7" t="s">
        <v>3145</v>
      </c>
      <c r="P323" s="7">
        <v>24.0</v>
      </c>
      <c r="Q323" s="7"/>
      <c r="R323" s="7">
        <f t="shared" si="1"/>
        <v>322</v>
      </c>
    </row>
    <row r="324" ht="15.75" customHeight="1">
      <c r="A324" s="7">
        <v>323.0</v>
      </c>
      <c r="B324" s="7" t="s">
        <v>3514</v>
      </c>
      <c r="C324" s="7">
        <v>3.0</v>
      </c>
      <c r="D324" s="7" t="s">
        <v>4906</v>
      </c>
      <c r="E324" s="7" t="s">
        <v>4922</v>
      </c>
      <c r="F324" s="7">
        <v>70.0</v>
      </c>
      <c r="G324" s="7">
        <v>100.0</v>
      </c>
      <c r="H324" s="7">
        <v>70.0</v>
      </c>
      <c r="I324" s="7"/>
      <c r="J324" s="7">
        <v>105.0</v>
      </c>
      <c r="K324" s="7">
        <v>75.0</v>
      </c>
      <c r="L324" s="7">
        <v>40.0</v>
      </c>
      <c r="M324" s="7" t="s">
        <v>4979</v>
      </c>
      <c r="N324" s="7" t="s">
        <v>3436</v>
      </c>
      <c r="O324" s="7" t="s">
        <v>4936</v>
      </c>
      <c r="P324" s="7">
        <v>220.0</v>
      </c>
      <c r="Q324" s="7"/>
      <c r="R324" s="7">
        <f t="shared" si="1"/>
        <v>323</v>
      </c>
    </row>
    <row r="325" ht="15.75" customHeight="1">
      <c r="A325" s="7">
        <v>324.0</v>
      </c>
      <c r="B325" s="7" t="s">
        <v>3542</v>
      </c>
      <c r="C325" s="7">
        <v>3.0</v>
      </c>
      <c r="D325" s="7" t="s">
        <v>4906</v>
      </c>
      <c r="E325" s="7"/>
      <c r="F325" s="7">
        <v>70.0</v>
      </c>
      <c r="G325" s="7">
        <v>85.0</v>
      </c>
      <c r="H325" s="7">
        <v>140.0</v>
      </c>
      <c r="I325" s="7"/>
      <c r="J325" s="7">
        <v>85.0</v>
      </c>
      <c r="K325" s="7">
        <v>70.0</v>
      </c>
      <c r="L325" s="7">
        <v>20.0</v>
      </c>
      <c r="M325" s="7" t="s">
        <v>5012</v>
      </c>
      <c r="N325" s="7" t="str">
        <f>IF($A$1&lt;7,"","Drought")</f>
        <v>Drought</v>
      </c>
      <c r="O325" s="7" t="s">
        <v>3088</v>
      </c>
      <c r="P325" s="7">
        <v>80.4</v>
      </c>
      <c r="Q325" s="7"/>
      <c r="R325" s="7">
        <f t="shared" si="1"/>
        <v>324</v>
      </c>
    </row>
    <row r="326" ht="15.75" customHeight="1">
      <c r="A326" s="7">
        <v>325.0</v>
      </c>
      <c r="B326" s="7" t="s">
        <v>3023</v>
      </c>
      <c r="C326" s="7">
        <v>3.0</v>
      </c>
      <c r="D326" s="7" t="s">
        <v>2659</v>
      </c>
      <c r="E326" s="7"/>
      <c r="F326" s="7">
        <v>60.0</v>
      </c>
      <c r="G326" s="7">
        <v>25.0</v>
      </c>
      <c r="H326" s="7">
        <v>35.0</v>
      </c>
      <c r="I326" s="7"/>
      <c r="J326" s="7">
        <v>70.0</v>
      </c>
      <c r="K326" s="7">
        <v>80.0</v>
      </c>
      <c r="L326" s="7">
        <v>60.0</v>
      </c>
      <c r="M326" s="7" t="s">
        <v>2968</v>
      </c>
      <c r="N326" s="7" t="s">
        <v>3145</v>
      </c>
      <c r="O326" s="7" t="s">
        <v>3207</v>
      </c>
      <c r="P326" s="7">
        <v>30.6</v>
      </c>
      <c r="Q326" s="7"/>
      <c r="R326" s="7">
        <f t="shared" si="1"/>
        <v>325</v>
      </c>
    </row>
    <row r="327" ht="15.75" customHeight="1">
      <c r="A327" s="7">
        <v>326.0</v>
      </c>
      <c r="B327" s="7" t="s">
        <v>3545</v>
      </c>
      <c r="C327" s="7">
        <v>3.0</v>
      </c>
      <c r="D327" s="7" t="s">
        <v>2659</v>
      </c>
      <c r="E327" s="7"/>
      <c r="F327" s="7">
        <v>80.0</v>
      </c>
      <c r="G327" s="7">
        <v>45.0</v>
      </c>
      <c r="H327" s="7">
        <v>65.0</v>
      </c>
      <c r="I327" s="7"/>
      <c r="J327" s="7">
        <v>90.0</v>
      </c>
      <c r="K327" s="7">
        <v>110.0</v>
      </c>
      <c r="L327" s="7">
        <v>80.0</v>
      </c>
      <c r="M327" s="7" t="s">
        <v>2968</v>
      </c>
      <c r="N327" s="7" t="s">
        <v>3145</v>
      </c>
      <c r="O327" s="7" t="s">
        <v>3207</v>
      </c>
      <c r="P327" s="7">
        <v>71.5</v>
      </c>
      <c r="Q327" s="7"/>
      <c r="R327" s="7">
        <f t="shared" si="1"/>
        <v>326</v>
      </c>
    </row>
    <row r="328" ht="15.75" customHeight="1">
      <c r="A328" s="7">
        <v>327.0</v>
      </c>
      <c r="B328" s="7" t="s">
        <v>3143</v>
      </c>
      <c r="C328" s="7">
        <v>3.0</v>
      </c>
      <c r="D328" s="7" t="s">
        <v>4916</v>
      </c>
      <c r="E328" s="7"/>
      <c r="F328" s="7">
        <v>60.0</v>
      </c>
      <c r="G328" s="7">
        <v>60.0</v>
      </c>
      <c r="H328" s="7">
        <v>60.0</v>
      </c>
      <c r="I328" s="7"/>
      <c r="J328" s="7">
        <v>60.0</v>
      </c>
      <c r="K328" s="7">
        <v>60.0</v>
      </c>
      <c r="L328" s="7">
        <v>60.0</v>
      </c>
      <c r="M328" s="7" t="s">
        <v>3145</v>
      </c>
      <c r="N328" s="7" t="s">
        <v>4917</v>
      </c>
      <c r="O328" s="7" t="s">
        <v>4977</v>
      </c>
      <c r="P328" s="7">
        <v>5.0</v>
      </c>
      <c r="Q328" s="7"/>
      <c r="R328" s="7">
        <f t="shared" si="1"/>
        <v>327</v>
      </c>
    </row>
    <row r="329" ht="15.75" customHeight="1">
      <c r="A329" s="7">
        <v>328.0</v>
      </c>
      <c r="B329" s="7" t="s">
        <v>5013</v>
      </c>
      <c r="C329" s="7">
        <v>3.0</v>
      </c>
      <c r="D329" s="7" t="s">
        <v>4922</v>
      </c>
      <c r="E329" s="7"/>
      <c r="F329" s="7">
        <v>45.0</v>
      </c>
      <c r="G329" s="7">
        <v>100.0</v>
      </c>
      <c r="H329" s="7">
        <v>45.0</v>
      </c>
      <c r="I329" s="7"/>
      <c r="J329" s="7">
        <v>45.0</v>
      </c>
      <c r="K329" s="7">
        <v>45.0</v>
      </c>
      <c r="L329" s="7">
        <v>10.0</v>
      </c>
      <c r="M329" s="7" t="s">
        <v>2978</v>
      </c>
      <c r="N329" s="7" t="s">
        <v>3622</v>
      </c>
      <c r="O329" s="7" t="s">
        <v>3745</v>
      </c>
      <c r="P329" s="7">
        <v>15.0</v>
      </c>
      <c r="Q329" s="7"/>
      <c r="R329" s="7">
        <f t="shared" si="1"/>
        <v>328</v>
      </c>
    </row>
    <row r="330" ht="15.75" customHeight="1">
      <c r="A330" s="7">
        <v>329.0</v>
      </c>
      <c r="B330" s="7" t="s">
        <v>3076</v>
      </c>
      <c r="C330" s="7">
        <v>3.0</v>
      </c>
      <c r="D330" s="7" t="s">
        <v>4922</v>
      </c>
      <c r="E330" s="7" t="s">
        <v>4956</v>
      </c>
      <c r="F330" s="7">
        <v>50.0</v>
      </c>
      <c r="G330" s="7">
        <v>70.0</v>
      </c>
      <c r="H330" s="7">
        <v>50.0</v>
      </c>
      <c r="I330" s="7"/>
      <c r="J330" s="7">
        <v>50.0</v>
      </c>
      <c r="K330" s="7">
        <v>50.0</v>
      </c>
      <c r="L330" s="7">
        <v>70.0</v>
      </c>
      <c r="M330" s="7" t="s">
        <v>2714</v>
      </c>
      <c r="N330" s="7"/>
      <c r="O330" s="7"/>
      <c r="P330" s="7">
        <v>15.3</v>
      </c>
      <c r="Q330" s="7"/>
      <c r="R330" s="7">
        <f t="shared" si="1"/>
        <v>329</v>
      </c>
    </row>
    <row r="331" ht="15.75" customHeight="1">
      <c r="A331" s="7">
        <v>330.0</v>
      </c>
      <c r="B331" s="7" t="s">
        <v>3859</v>
      </c>
      <c r="C331" s="7">
        <v>3.0</v>
      </c>
      <c r="D331" s="7" t="s">
        <v>4922</v>
      </c>
      <c r="E331" s="7" t="s">
        <v>4956</v>
      </c>
      <c r="F331" s="7">
        <v>80.0</v>
      </c>
      <c r="G331" s="7">
        <v>100.0</v>
      </c>
      <c r="H331" s="7">
        <v>80.0</v>
      </c>
      <c r="I331" s="7"/>
      <c r="J331" s="7">
        <v>80.0</v>
      </c>
      <c r="K331" s="7">
        <v>80.0</v>
      </c>
      <c r="L331" s="7">
        <v>100.0</v>
      </c>
      <c r="M331" s="7" t="s">
        <v>2714</v>
      </c>
      <c r="N331" s="7"/>
      <c r="O331" s="7"/>
      <c r="P331" s="7">
        <v>82.0</v>
      </c>
      <c r="Q331" s="7"/>
      <c r="R331" s="7">
        <f t="shared" si="1"/>
        <v>330</v>
      </c>
    </row>
    <row r="332" ht="15.75" customHeight="1">
      <c r="A332" s="7">
        <v>331.0</v>
      </c>
      <c r="B332" s="7" t="s">
        <v>3055</v>
      </c>
      <c r="C332" s="7">
        <v>3.0</v>
      </c>
      <c r="D332" s="7" t="s">
        <v>4904</v>
      </c>
      <c r="E332" s="7"/>
      <c r="F332" s="7">
        <v>50.0</v>
      </c>
      <c r="G332" s="7">
        <v>85.0</v>
      </c>
      <c r="H332" s="7">
        <v>40.0</v>
      </c>
      <c r="I332" s="7"/>
      <c r="J332" s="7">
        <v>85.0</v>
      </c>
      <c r="K332" s="7">
        <v>40.0</v>
      </c>
      <c r="L332" s="7">
        <v>35.0</v>
      </c>
      <c r="M332" s="7" t="s">
        <v>4005</v>
      </c>
      <c r="N332" s="7"/>
      <c r="O332" s="7" t="s">
        <v>3059</v>
      </c>
      <c r="P332" s="7">
        <v>51.3</v>
      </c>
      <c r="Q332" s="7"/>
      <c r="R332" s="7">
        <f t="shared" si="1"/>
        <v>331</v>
      </c>
    </row>
    <row r="333" ht="15.75" customHeight="1">
      <c r="A333" s="7">
        <v>332.0</v>
      </c>
      <c r="B333" s="7" t="s">
        <v>3552</v>
      </c>
      <c r="C333" s="7">
        <v>3.0</v>
      </c>
      <c r="D333" s="7" t="s">
        <v>4904</v>
      </c>
      <c r="E333" s="7" t="s">
        <v>4972</v>
      </c>
      <c r="F333" s="7">
        <v>70.0</v>
      </c>
      <c r="G333" s="7">
        <v>115.0</v>
      </c>
      <c r="H333" s="7">
        <v>60.0</v>
      </c>
      <c r="I333" s="7"/>
      <c r="J333" s="7">
        <v>115.0</v>
      </c>
      <c r="K333" s="7">
        <v>60.0</v>
      </c>
      <c r="L333" s="7">
        <v>55.0</v>
      </c>
      <c r="M333" s="7" t="s">
        <v>4005</v>
      </c>
      <c r="N333" s="7"/>
      <c r="O333" s="7" t="s">
        <v>3059</v>
      </c>
      <c r="P333" s="7">
        <v>77.4</v>
      </c>
      <c r="Q333" s="7"/>
      <c r="R333" s="7">
        <f t="shared" si="1"/>
        <v>332</v>
      </c>
    </row>
    <row r="334" ht="15.75" customHeight="1">
      <c r="A334" s="7">
        <v>333.0</v>
      </c>
      <c r="B334" s="7" t="s">
        <v>2844</v>
      </c>
      <c r="C334" s="7">
        <v>3.0</v>
      </c>
      <c r="D334" s="7" t="s">
        <v>4916</v>
      </c>
      <c r="E334" s="7" t="s">
        <v>4907</v>
      </c>
      <c r="F334" s="7">
        <v>45.0</v>
      </c>
      <c r="G334" s="7">
        <v>40.0</v>
      </c>
      <c r="H334" s="7">
        <v>60.0</v>
      </c>
      <c r="I334" s="7"/>
      <c r="J334" s="7">
        <v>40.0</v>
      </c>
      <c r="K334" s="7">
        <v>75.0</v>
      </c>
      <c r="L334" s="7">
        <v>50.0</v>
      </c>
      <c r="M334" s="7" t="s">
        <v>3169</v>
      </c>
      <c r="N334" s="7"/>
      <c r="O334" s="7" t="s">
        <v>2849</v>
      </c>
      <c r="P334" s="7">
        <v>1.2</v>
      </c>
      <c r="Q334" s="7"/>
      <c r="R334" s="7">
        <f t="shared" si="1"/>
        <v>333</v>
      </c>
    </row>
    <row r="335" ht="15.75" customHeight="1">
      <c r="A335" s="7">
        <v>334.0</v>
      </c>
      <c r="B335" s="7" t="s">
        <v>3738</v>
      </c>
      <c r="C335" s="7">
        <v>3.0</v>
      </c>
      <c r="D335" s="7" t="s">
        <v>4956</v>
      </c>
      <c r="E335" s="7" t="s">
        <v>4907</v>
      </c>
      <c r="F335" s="7">
        <v>75.0</v>
      </c>
      <c r="G335" s="7">
        <v>70.0</v>
      </c>
      <c r="H335" s="7">
        <v>90.0</v>
      </c>
      <c r="I335" s="7"/>
      <c r="J335" s="7">
        <v>70.0</v>
      </c>
      <c r="K335" s="7">
        <v>105.0</v>
      </c>
      <c r="L335" s="7">
        <v>80.0</v>
      </c>
      <c r="M335" s="7" t="s">
        <v>3169</v>
      </c>
      <c r="N335" s="7"/>
      <c r="O335" s="7" t="s">
        <v>2849</v>
      </c>
      <c r="P335" s="7">
        <v>20.6</v>
      </c>
      <c r="Q335" s="7"/>
      <c r="R335" s="7">
        <f t="shared" si="1"/>
        <v>334</v>
      </c>
    </row>
    <row r="336" ht="15.75" customHeight="1">
      <c r="A336" s="7">
        <v>335.0</v>
      </c>
      <c r="B336" s="7" t="s">
        <v>3503</v>
      </c>
      <c r="C336" s="7">
        <v>3.0</v>
      </c>
      <c r="D336" s="7" t="s">
        <v>4916</v>
      </c>
      <c r="E336" s="7"/>
      <c r="F336" s="7">
        <v>73.0</v>
      </c>
      <c r="G336" s="7">
        <v>115.0</v>
      </c>
      <c r="H336" s="7">
        <v>60.0</v>
      </c>
      <c r="I336" s="7"/>
      <c r="J336" s="7">
        <v>60.0</v>
      </c>
      <c r="K336" s="7">
        <v>60.0</v>
      </c>
      <c r="L336" s="7">
        <v>90.0</v>
      </c>
      <c r="M336" s="7" t="s">
        <v>3910</v>
      </c>
      <c r="N336" s="7"/>
      <c r="O336" s="7" t="s">
        <v>3504</v>
      </c>
      <c r="P336" s="7">
        <v>40.3</v>
      </c>
      <c r="Q336" s="7"/>
      <c r="R336" s="7">
        <f t="shared" si="1"/>
        <v>335</v>
      </c>
    </row>
    <row r="337" ht="15.75" customHeight="1">
      <c r="A337" s="7">
        <v>336.0</v>
      </c>
      <c r="B337" s="7" t="s">
        <v>3506</v>
      </c>
      <c r="C337" s="7">
        <v>3.0</v>
      </c>
      <c r="D337" s="7" t="s">
        <v>4905</v>
      </c>
      <c r="E337" s="7"/>
      <c r="F337" s="7">
        <v>73.0</v>
      </c>
      <c r="G337" s="7">
        <v>100.0</v>
      </c>
      <c r="H337" s="7">
        <v>60.0</v>
      </c>
      <c r="I337" s="7"/>
      <c r="J337" s="7">
        <v>100.0</v>
      </c>
      <c r="K337" s="7">
        <v>60.0</v>
      </c>
      <c r="L337" s="7">
        <v>65.0</v>
      </c>
      <c r="M337" s="7" t="s">
        <v>2653</v>
      </c>
      <c r="N337" s="7"/>
      <c r="O337" s="7" t="s">
        <v>4553</v>
      </c>
      <c r="P337" s="7">
        <v>52.5</v>
      </c>
      <c r="Q337" s="7"/>
      <c r="R337" s="7">
        <f t="shared" si="1"/>
        <v>336</v>
      </c>
    </row>
    <row r="338" ht="15.75" customHeight="1">
      <c r="A338" s="7">
        <v>337.0</v>
      </c>
      <c r="B338" s="7" t="s">
        <v>3418</v>
      </c>
      <c r="C338" s="7">
        <v>3.0</v>
      </c>
      <c r="D338" s="7" t="s">
        <v>4940</v>
      </c>
      <c r="E338" s="7" t="s">
        <v>2659</v>
      </c>
      <c r="F338" s="7">
        <f t="shared" ref="F338:F339" si="13">IF($A$1&lt;7,70,90)</f>
        <v>90</v>
      </c>
      <c r="G338" s="7">
        <v>55.0</v>
      </c>
      <c r="H338" s="7">
        <v>65.0</v>
      </c>
      <c r="I338" s="7"/>
      <c r="J338" s="7">
        <v>95.0</v>
      </c>
      <c r="K338" s="7">
        <v>85.0</v>
      </c>
      <c r="L338" s="7">
        <v>70.0</v>
      </c>
      <c r="M338" s="7" t="s">
        <v>2714</v>
      </c>
      <c r="N338" s="7"/>
      <c r="O338" s="7"/>
      <c r="P338" s="7">
        <v>168.0</v>
      </c>
      <c r="Q338" s="7"/>
      <c r="R338" s="7">
        <f t="shared" si="1"/>
        <v>337</v>
      </c>
    </row>
    <row r="339" ht="15.75" customHeight="1">
      <c r="A339" s="7">
        <v>338.0</v>
      </c>
      <c r="B339" s="7" t="s">
        <v>3421</v>
      </c>
      <c r="C339" s="7">
        <v>3.0</v>
      </c>
      <c r="D339" s="7" t="s">
        <v>4940</v>
      </c>
      <c r="E339" s="7" t="s">
        <v>2659</v>
      </c>
      <c r="F339" s="7">
        <f t="shared" si="13"/>
        <v>90</v>
      </c>
      <c r="G339" s="7">
        <v>95.0</v>
      </c>
      <c r="H339" s="7">
        <v>85.0</v>
      </c>
      <c r="I339" s="7"/>
      <c r="J339" s="7">
        <v>55.0</v>
      </c>
      <c r="K339" s="7">
        <v>65.0</v>
      </c>
      <c r="L339" s="7">
        <v>70.0</v>
      </c>
      <c r="M339" s="7" t="s">
        <v>2714</v>
      </c>
      <c r="N339" s="7"/>
      <c r="O339" s="7"/>
      <c r="P339" s="7">
        <v>154.0</v>
      </c>
      <c r="Q339" s="7"/>
      <c r="R339" s="7">
        <f t="shared" si="1"/>
        <v>338</v>
      </c>
    </row>
    <row r="340" ht="15.75" customHeight="1">
      <c r="A340" s="7">
        <v>339.0</v>
      </c>
      <c r="B340" s="7" t="s">
        <v>5014</v>
      </c>
      <c r="C340" s="7">
        <v>3.0</v>
      </c>
      <c r="D340" s="7" t="s">
        <v>4908</v>
      </c>
      <c r="E340" s="7" t="s">
        <v>4922</v>
      </c>
      <c r="F340" s="7">
        <v>50.0</v>
      </c>
      <c r="G340" s="7">
        <v>48.0</v>
      </c>
      <c r="H340" s="7">
        <v>43.0</v>
      </c>
      <c r="I340" s="7"/>
      <c r="J340" s="7">
        <v>46.0</v>
      </c>
      <c r="K340" s="7">
        <v>41.0</v>
      </c>
      <c r="L340" s="7">
        <v>60.0</v>
      </c>
      <c r="M340" s="7" t="s">
        <v>2824</v>
      </c>
      <c r="N340" s="7" t="s">
        <v>4954</v>
      </c>
      <c r="O340" s="7" t="s">
        <v>3662</v>
      </c>
      <c r="P340" s="7">
        <v>1.9</v>
      </c>
      <c r="Q340" s="7"/>
      <c r="R340" s="7">
        <f t="shared" si="1"/>
        <v>339</v>
      </c>
    </row>
    <row r="341" ht="15.75" customHeight="1">
      <c r="A341" s="7">
        <v>340.0</v>
      </c>
      <c r="B341" s="7" t="s">
        <v>3661</v>
      </c>
      <c r="C341" s="7">
        <v>3.0</v>
      </c>
      <c r="D341" s="7" t="s">
        <v>4908</v>
      </c>
      <c r="E341" s="7" t="s">
        <v>4922</v>
      </c>
      <c r="F341" s="7">
        <v>110.0</v>
      </c>
      <c r="G341" s="7">
        <v>78.0</v>
      </c>
      <c r="H341" s="7">
        <v>73.0</v>
      </c>
      <c r="I341" s="7"/>
      <c r="J341" s="7">
        <v>76.0</v>
      </c>
      <c r="K341" s="7">
        <v>71.0</v>
      </c>
      <c r="L341" s="7">
        <v>60.0</v>
      </c>
      <c r="M341" s="7" t="s">
        <v>2824</v>
      </c>
      <c r="N341" s="7" t="s">
        <v>4954</v>
      </c>
      <c r="O341" s="7" t="s">
        <v>3662</v>
      </c>
      <c r="P341" s="7">
        <v>23.6</v>
      </c>
      <c r="Q341" s="7"/>
      <c r="R341" s="7">
        <f t="shared" si="1"/>
        <v>340</v>
      </c>
    </row>
    <row r="342" ht="15.75" customHeight="1">
      <c r="A342" s="7">
        <v>341.0</v>
      </c>
      <c r="B342" s="7" t="s">
        <v>2834</v>
      </c>
      <c r="C342" s="7">
        <v>3.0</v>
      </c>
      <c r="D342" s="7" t="s">
        <v>4908</v>
      </c>
      <c r="E342" s="7"/>
      <c r="F342" s="7">
        <v>43.0</v>
      </c>
      <c r="G342" s="7">
        <v>80.0</v>
      </c>
      <c r="H342" s="7">
        <v>65.0</v>
      </c>
      <c r="I342" s="7"/>
      <c r="J342" s="7">
        <v>50.0</v>
      </c>
      <c r="K342" s="7">
        <v>35.0</v>
      </c>
      <c r="L342" s="7">
        <v>35.0</v>
      </c>
      <c r="M342" s="7" t="s">
        <v>2978</v>
      </c>
      <c r="N342" s="7" t="s">
        <v>3088</v>
      </c>
      <c r="O342" s="7" t="s">
        <v>2837</v>
      </c>
      <c r="P342" s="7">
        <v>11.5</v>
      </c>
      <c r="Q342" s="7"/>
      <c r="R342" s="7">
        <f t="shared" si="1"/>
        <v>341</v>
      </c>
    </row>
    <row r="343" ht="15.75" customHeight="1">
      <c r="A343" s="7">
        <v>342.0</v>
      </c>
      <c r="B343" s="7" t="s">
        <v>3534</v>
      </c>
      <c r="C343" s="7">
        <v>3.0</v>
      </c>
      <c r="D343" s="7" t="s">
        <v>4908</v>
      </c>
      <c r="E343" s="7" t="s">
        <v>4972</v>
      </c>
      <c r="F343" s="7">
        <v>63.0</v>
      </c>
      <c r="G343" s="7">
        <v>120.0</v>
      </c>
      <c r="H343" s="7">
        <v>85.0</v>
      </c>
      <c r="I343" s="7"/>
      <c r="J343" s="7">
        <v>90.0</v>
      </c>
      <c r="K343" s="7">
        <v>55.0</v>
      </c>
      <c r="L343" s="7">
        <v>55.0</v>
      </c>
      <c r="M343" s="7" t="s">
        <v>2978</v>
      </c>
      <c r="N343" s="7" t="s">
        <v>3088</v>
      </c>
      <c r="O343" s="7" t="s">
        <v>2837</v>
      </c>
      <c r="P343" s="7">
        <v>32.8</v>
      </c>
      <c r="Q343" s="7"/>
      <c r="R343" s="7">
        <f t="shared" si="1"/>
        <v>342</v>
      </c>
    </row>
    <row r="344" ht="15.75" customHeight="1">
      <c r="A344" s="7">
        <v>343.0</v>
      </c>
      <c r="B344" s="7" t="s">
        <v>2779</v>
      </c>
      <c r="C344" s="7">
        <v>3.0</v>
      </c>
      <c r="D344" s="7" t="s">
        <v>4922</v>
      </c>
      <c r="E344" s="7" t="s">
        <v>2659</v>
      </c>
      <c r="F344" s="7">
        <v>40.0</v>
      </c>
      <c r="G344" s="7">
        <v>40.0</v>
      </c>
      <c r="H344" s="7">
        <v>55.0</v>
      </c>
      <c r="I344" s="7"/>
      <c r="J344" s="7">
        <v>40.0</v>
      </c>
      <c r="K344" s="7">
        <v>70.0</v>
      </c>
      <c r="L344" s="7">
        <v>55.0</v>
      </c>
      <c r="M344" s="7" t="s">
        <v>2714</v>
      </c>
      <c r="N344" s="7"/>
      <c r="O344" s="7"/>
      <c r="P344" s="7">
        <v>21.5</v>
      </c>
      <c r="Q344" s="7"/>
      <c r="R344" s="7">
        <f t="shared" si="1"/>
        <v>343</v>
      </c>
    </row>
    <row r="345" ht="15.75" customHeight="1">
      <c r="A345" s="7">
        <v>344.0</v>
      </c>
      <c r="B345" s="7" t="s">
        <v>3799</v>
      </c>
      <c r="C345" s="7">
        <v>3.0</v>
      </c>
      <c r="D345" s="7" t="s">
        <v>4922</v>
      </c>
      <c r="E345" s="7" t="s">
        <v>2659</v>
      </c>
      <c r="F345" s="7">
        <v>60.0</v>
      </c>
      <c r="G345" s="7">
        <v>70.0</v>
      </c>
      <c r="H345" s="7">
        <v>105.0</v>
      </c>
      <c r="I345" s="7"/>
      <c r="J345" s="7">
        <v>70.0</v>
      </c>
      <c r="K345" s="7">
        <v>120.0</v>
      </c>
      <c r="L345" s="7">
        <v>75.0</v>
      </c>
      <c r="M345" s="7" t="s">
        <v>2714</v>
      </c>
      <c r="N345" s="7"/>
      <c r="O345" s="7"/>
      <c r="P345" s="7">
        <v>108.0</v>
      </c>
      <c r="Q345" s="7"/>
      <c r="R345" s="7">
        <f t="shared" si="1"/>
        <v>344</v>
      </c>
    </row>
    <row r="346" ht="15.75" customHeight="1">
      <c r="A346" s="7">
        <v>345.0</v>
      </c>
      <c r="B346" s="7" t="s">
        <v>3122</v>
      </c>
      <c r="C346" s="7">
        <v>3.0</v>
      </c>
      <c r="D346" s="7" t="s">
        <v>4940</v>
      </c>
      <c r="E346" s="7" t="s">
        <v>4904</v>
      </c>
      <c r="F346" s="7">
        <v>66.0</v>
      </c>
      <c r="G346" s="7">
        <v>41.0</v>
      </c>
      <c r="H346" s="7">
        <v>77.0</v>
      </c>
      <c r="I346" s="7"/>
      <c r="J346" s="7">
        <v>61.0</v>
      </c>
      <c r="K346" s="7">
        <v>87.0</v>
      </c>
      <c r="L346" s="7">
        <v>23.0</v>
      </c>
      <c r="M346" s="7" t="s">
        <v>4981</v>
      </c>
      <c r="N346" s="7"/>
      <c r="O346" s="7" t="s">
        <v>2988</v>
      </c>
      <c r="P346" s="7">
        <v>23.8</v>
      </c>
      <c r="Q346" s="7"/>
      <c r="R346" s="7">
        <f t="shared" si="1"/>
        <v>345</v>
      </c>
    </row>
    <row r="347" ht="15.75" customHeight="1">
      <c r="A347" s="7">
        <v>346.0</v>
      </c>
      <c r="B347" s="7" t="s">
        <v>3749</v>
      </c>
      <c r="C347" s="7">
        <v>3.0</v>
      </c>
      <c r="D347" s="7" t="s">
        <v>4940</v>
      </c>
      <c r="E347" s="7" t="s">
        <v>4904</v>
      </c>
      <c r="F347" s="7">
        <v>86.0</v>
      </c>
      <c r="G347" s="7">
        <v>81.0</v>
      </c>
      <c r="H347" s="7">
        <v>97.0</v>
      </c>
      <c r="I347" s="7"/>
      <c r="J347" s="7">
        <v>81.0</v>
      </c>
      <c r="K347" s="7">
        <v>107.0</v>
      </c>
      <c r="L347" s="7">
        <v>43.0</v>
      </c>
      <c r="M347" s="7" t="s">
        <v>4981</v>
      </c>
      <c r="N347" s="7"/>
      <c r="O347" s="7" t="s">
        <v>2988</v>
      </c>
      <c r="P347" s="7">
        <v>60.4</v>
      </c>
      <c r="Q347" s="7"/>
      <c r="R347" s="7">
        <f t="shared" si="1"/>
        <v>346</v>
      </c>
    </row>
    <row r="348" ht="15.75" customHeight="1">
      <c r="A348" s="7">
        <v>347.0</v>
      </c>
      <c r="B348" s="7" t="s">
        <v>3125</v>
      </c>
      <c r="C348" s="7">
        <v>3.0</v>
      </c>
      <c r="D348" s="7" t="s">
        <v>4940</v>
      </c>
      <c r="E348" s="7" t="s">
        <v>4910</v>
      </c>
      <c r="F348" s="7">
        <v>45.0</v>
      </c>
      <c r="G348" s="7">
        <v>95.0</v>
      </c>
      <c r="H348" s="7">
        <v>50.0</v>
      </c>
      <c r="I348" s="7"/>
      <c r="J348" s="7">
        <v>40.0</v>
      </c>
      <c r="K348" s="7">
        <v>50.0</v>
      </c>
      <c r="L348" s="7">
        <v>75.0</v>
      </c>
      <c r="M348" s="7" t="s">
        <v>2945</v>
      </c>
      <c r="N348" s="7"/>
      <c r="O348" s="7" t="s">
        <v>3028</v>
      </c>
      <c r="P348" s="7">
        <v>12.5</v>
      </c>
      <c r="Q348" s="7"/>
      <c r="R348" s="7">
        <f t="shared" si="1"/>
        <v>347</v>
      </c>
    </row>
    <row r="349" ht="15.75" customHeight="1">
      <c r="A349" s="7">
        <v>348.0</v>
      </c>
      <c r="B349" s="7" t="s">
        <v>3751</v>
      </c>
      <c r="C349" s="7">
        <v>3.0</v>
      </c>
      <c r="D349" s="7" t="s">
        <v>4940</v>
      </c>
      <c r="E349" s="7" t="s">
        <v>4910</v>
      </c>
      <c r="F349" s="7">
        <v>75.0</v>
      </c>
      <c r="G349" s="7">
        <v>125.0</v>
      </c>
      <c r="H349" s="7">
        <v>100.0</v>
      </c>
      <c r="I349" s="7"/>
      <c r="J349" s="7">
        <v>70.0</v>
      </c>
      <c r="K349" s="7">
        <v>80.0</v>
      </c>
      <c r="L349" s="7">
        <v>45.0</v>
      </c>
      <c r="M349" s="7" t="s">
        <v>2945</v>
      </c>
      <c r="N349" s="7"/>
      <c r="O349" s="7" t="s">
        <v>3028</v>
      </c>
      <c r="P349" s="7">
        <v>68.2</v>
      </c>
      <c r="Q349" s="7"/>
      <c r="R349" s="7">
        <f t="shared" si="1"/>
        <v>348</v>
      </c>
    </row>
    <row r="350" ht="15.75" customHeight="1">
      <c r="A350" s="7">
        <v>349.0</v>
      </c>
      <c r="B350" s="7" t="s">
        <v>5015</v>
      </c>
      <c r="C350" s="7">
        <v>3.0</v>
      </c>
      <c r="D350" s="7" t="s">
        <v>4908</v>
      </c>
      <c r="E350" s="7"/>
      <c r="F350" s="7">
        <v>20.0</v>
      </c>
      <c r="G350" s="7">
        <v>15.0</v>
      </c>
      <c r="H350" s="7">
        <v>20.0</v>
      </c>
      <c r="I350" s="7"/>
      <c r="J350" s="7">
        <v>10.0</v>
      </c>
      <c r="K350" s="7">
        <v>55.0</v>
      </c>
      <c r="L350" s="7">
        <v>80.0</v>
      </c>
      <c r="M350" s="7" t="s">
        <v>3028</v>
      </c>
      <c r="N350" s="7" t="s">
        <v>2824</v>
      </c>
      <c r="O350" s="7" t="s">
        <v>2837</v>
      </c>
      <c r="P350" s="7">
        <v>7.4</v>
      </c>
      <c r="Q350" s="7"/>
      <c r="R350" s="7">
        <f t="shared" si="1"/>
        <v>349</v>
      </c>
    </row>
    <row r="351" ht="15.75" customHeight="1">
      <c r="A351" s="7">
        <v>350.0</v>
      </c>
      <c r="B351" s="7" t="s">
        <v>3426</v>
      </c>
      <c r="C351" s="7">
        <v>3.0</v>
      </c>
      <c r="D351" s="7" t="s">
        <v>4908</v>
      </c>
      <c r="E351" s="7"/>
      <c r="F351" s="7">
        <v>95.0</v>
      </c>
      <c r="G351" s="7">
        <v>60.0</v>
      </c>
      <c r="H351" s="7">
        <v>79.0</v>
      </c>
      <c r="I351" s="7"/>
      <c r="J351" s="7">
        <v>100.0</v>
      </c>
      <c r="K351" s="7">
        <v>125.0</v>
      </c>
      <c r="L351" s="7">
        <v>81.0</v>
      </c>
      <c r="M351" s="7" t="s">
        <v>3429</v>
      </c>
      <c r="N351" s="7" t="s">
        <v>3377</v>
      </c>
      <c r="O351" s="7" t="s">
        <v>3172</v>
      </c>
      <c r="P351" s="7">
        <v>162.0</v>
      </c>
      <c r="Q351" s="7"/>
      <c r="R351" s="7">
        <f t="shared" si="1"/>
        <v>350</v>
      </c>
    </row>
    <row r="352" ht="15.75" customHeight="1">
      <c r="A352" s="7">
        <v>351.0</v>
      </c>
      <c r="B352" s="7" t="s">
        <v>3363</v>
      </c>
      <c r="C352" s="7">
        <v>3.0</v>
      </c>
      <c r="D352" s="7" t="s">
        <v>4916</v>
      </c>
      <c r="E352" s="7"/>
      <c r="F352" s="7">
        <v>70.0</v>
      </c>
      <c r="G352" s="7">
        <v>70.0</v>
      </c>
      <c r="H352" s="7">
        <v>70.0</v>
      </c>
      <c r="I352" s="7"/>
      <c r="J352" s="7">
        <v>70.0</v>
      </c>
      <c r="K352" s="7">
        <v>70.0</v>
      </c>
      <c r="L352" s="7">
        <v>70.0</v>
      </c>
      <c r="M352" s="7" t="s">
        <v>3364</v>
      </c>
      <c r="N352" s="7"/>
      <c r="O352" s="7"/>
      <c r="P352" s="7">
        <v>0.8</v>
      </c>
      <c r="Q352" s="7"/>
      <c r="R352" s="7">
        <f t="shared" si="1"/>
        <v>351</v>
      </c>
    </row>
    <row r="353" ht="15.75" customHeight="1">
      <c r="A353" s="7">
        <v>351.0</v>
      </c>
      <c r="B353" s="7" t="s">
        <v>5016</v>
      </c>
      <c r="C353" s="7">
        <v>3.0</v>
      </c>
      <c r="D353" s="7" t="s">
        <v>4906</v>
      </c>
      <c r="E353" s="7"/>
      <c r="F353" s="7">
        <v>70.0</v>
      </c>
      <c r="G353" s="7">
        <v>70.0</v>
      </c>
      <c r="H353" s="7">
        <v>70.0</v>
      </c>
      <c r="I353" s="7"/>
      <c r="J353" s="7">
        <v>70.0</v>
      </c>
      <c r="K353" s="7">
        <v>70.0</v>
      </c>
      <c r="L353" s="7">
        <v>70.0</v>
      </c>
      <c r="M353" s="7" t="s">
        <v>3364</v>
      </c>
      <c r="N353" s="7"/>
      <c r="O353" s="7"/>
      <c r="P353" s="7">
        <v>0.8</v>
      </c>
      <c r="Q353" s="7"/>
      <c r="R353" s="7">
        <f t="shared" si="1"/>
        <v>351</v>
      </c>
    </row>
    <row r="354" ht="15.75" customHeight="1">
      <c r="A354" s="7">
        <v>351.0</v>
      </c>
      <c r="B354" s="7" t="s">
        <v>5017</v>
      </c>
      <c r="C354" s="7">
        <v>3.0</v>
      </c>
      <c r="D354" s="7" t="s">
        <v>4908</v>
      </c>
      <c r="E354" s="7"/>
      <c r="F354" s="7">
        <v>70.0</v>
      </c>
      <c r="G354" s="7">
        <v>70.0</v>
      </c>
      <c r="H354" s="7">
        <v>70.0</v>
      </c>
      <c r="I354" s="7"/>
      <c r="J354" s="7">
        <v>70.0</v>
      </c>
      <c r="K354" s="7">
        <v>70.0</v>
      </c>
      <c r="L354" s="7">
        <v>70.0</v>
      </c>
      <c r="M354" s="7" t="s">
        <v>3364</v>
      </c>
      <c r="N354" s="7"/>
      <c r="O354" s="7"/>
      <c r="P354" s="7">
        <v>0.8</v>
      </c>
      <c r="Q354" s="7"/>
      <c r="R354" s="7">
        <f t="shared" si="1"/>
        <v>351</v>
      </c>
    </row>
    <row r="355" ht="15.75" customHeight="1">
      <c r="A355" s="7">
        <v>351.0</v>
      </c>
      <c r="B355" s="7" t="s">
        <v>5018</v>
      </c>
      <c r="C355" s="7">
        <v>3.0</v>
      </c>
      <c r="D355" s="7" t="s">
        <v>4942</v>
      </c>
      <c r="E355" s="7"/>
      <c r="F355" s="7">
        <v>70.0</v>
      </c>
      <c r="G355" s="7">
        <v>70.0</v>
      </c>
      <c r="H355" s="7">
        <v>70.0</v>
      </c>
      <c r="I355" s="7"/>
      <c r="J355" s="7">
        <v>70.0</v>
      </c>
      <c r="K355" s="7">
        <v>70.0</v>
      </c>
      <c r="L355" s="7">
        <v>70.0</v>
      </c>
      <c r="M355" s="7" t="s">
        <v>3364</v>
      </c>
      <c r="N355" s="7"/>
      <c r="O355" s="7"/>
      <c r="P355" s="7">
        <v>0.8</v>
      </c>
      <c r="Q355" s="7"/>
      <c r="R355" s="7">
        <f t="shared" si="1"/>
        <v>351</v>
      </c>
    </row>
    <row r="356" ht="15.75" customHeight="1">
      <c r="A356" s="7">
        <v>352.0</v>
      </c>
      <c r="B356" s="7" t="s">
        <v>3423</v>
      </c>
      <c r="C356" s="7">
        <v>3.0</v>
      </c>
      <c r="D356" s="7" t="s">
        <v>4916</v>
      </c>
      <c r="E356" s="7"/>
      <c r="F356" s="7">
        <v>60.0</v>
      </c>
      <c r="G356" s="7">
        <v>90.0</v>
      </c>
      <c r="H356" s="7">
        <v>70.0</v>
      </c>
      <c r="I356" s="7"/>
      <c r="J356" s="7">
        <v>60.0</v>
      </c>
      <c r="K356" s="7">
        <v>120.0</v>
      </c>
      <c r="L356" s="7">
        <v>40.0</v>
      </c>
      <c r="M356" s="7" t="s">
        <v>3424</v>
      </c>
      <c r="N356" s="7"/>
      <c r="O356" s="7" t="s">
        <v>5019</v>
      </c>
      <c r="P356" s="7">
        <v>22.0</v>
      </c>
      <c r="Q356" s="7"/>
      <c r="R356" s="7">
        <f t="shared" si="1"/>
        <v>352</v>
      </c>
    </row>
    <row r="357" ht="15.75" customHeight="1">
      <c r="A357" s="7">
        <v>353.0</v>
      </c>
      <c r="B357" s="7" t="s">
        <v>2730</v>
      </c>
      <c r="C357" s="7">
        <v>3.0</v>
      </c>
      <c r="D357" s="7" t="s">
        <v>4945</v>
      </c>
      <c r="E357" s="7"/>
      <c r="F357" s="7">
        <v>44.0</v>
      </c>
      <c r="G357" s="7">
        <v>75.0</v>
      </c>
      <c r="H357" s="7">
        <v>35.0</v>
      </c>
      <c r="I357" s="7"/>
      <c r="J357" s="7">
        <v>63.0</v>
      </c>
      <c r="K357" s="7">
        <v>33.0</v>
      </c>
      <c r="L357" s="7">
        <v>45.0</v>
      </c>
      <c r="M357" s="7" t="s">
        <v>2735</v>
      </c>
      <c r="N357" s="7" t="s">
        <v>4928</v>
      </c>
      <c r="O357" s="7" t="s">
        <v>3496</v>
      </c>
      <c r="P357" s="7">
        <v>2.3</v>
      </c>
      <c r="Q357" s="7"/>
      <c r="R357" s="7">
        <f t="shared" si="1"/>
        <v>353</v>
      </c>
    </row>
    <row r="358" ht="15.75" customHeight="1">
      <c r="A358" s="7">
        <v>354.0</v>
      </c>
      <c r="B358" s="7" t="s">
        <v>3495</v>
      </c>
      <c r="C358" s="7">
        <v>3.0</v>
      </c>
      <c r="D358" s="7" t="s">
        <v>4945</v>
      </c>
      <c r="E358" s="7"/>
      <c r="F358" s="7">
        <v>64.0</v>
      </c>
      <c r="G358" s="7">
        <v>115.0</v>
      </c>
      <c r="H358" s="7">
        <v>65.0</v>
      </c>
      <c r="I358" s="7"/>
      <c r="J358" s="7">
        <v>83.0</v>
      </c>
      <c r="K358" s="7">
        <v>63.0</v>
      </c>
      <c r="L358" s="7">
        <v>65.0</v>
      </c>
      <c r="M358" s="7" t="s">
        <v>2735</v>
      </c>
      <c r="N358" s="7" t="s">
        <v>4928</v>
      </c>
      <c r="O358" s="7" t="s">
        <v>3496</v>
      </c>
      <c r="P358" s="7">
        <v>12.5</v>
      </c>
      <c r="Q358" s="7"/>
      <c r="R358" s="7">
        <f t="shared" si="1"/>
        <v>354</v>
      </c>
    </row>
    <row r="359" ht="15.75" customHeight="1">
      <c r="A359" s="7">
        <v>355.0</v>
      </c>
      <c r="B359" s="7" t="s">
        <v>2737</v>
      </c>
      <c r="C359" s="7">
        <v>3.0</v>
      </c>
      <c r="D359" s="7" t="s">
        <v>4945</v>
      </c>
      <c r="E359" s="7"/>
      <c r="F359" s="7">
        <v>20.0</v>
      </c>
      <c r="G359" s="7">
        <v>40.0</v>
      </c>
      <c r="H359" s="7">
        <v>90.0</v>
      </c>
      <c r="I359" s="7"/>
      <c r="J359" s="7">
        <v>30.0</v>
      </c>
      <c r="K359" s="7">
        <v>90.0</v>
      </c>
      <c r="L359" s="7">
        <v>25.0</v>
      </c>
      <c r="M359" s="7" t="s">
        <v>2714</v>
      </c>
      <c r="N359" s="7"/>
      <c r="O359" s="7" t="s">
        <v>4928</v>
      </c>
      <c r="P359" s="7">
        <v>15.0</v>
      </c>
      <c r="Q359" s="7"/>
      <c r="R359" s="7">
        <f t="shared" si="1"/>
        <v>355</v>
      </c>
    </row>
    <row r="360" ht="15.75" customHeight="1">
      <c r="A360" s="7">
        <v>356.0</v>
      </c>
      <c r="B360" s="7" t="s">
        <v>3498</v>
      </c>
      <c r="C360" s="7">
        <v>3.0</v>
      </c>
      <c r="D360" s="7" t="s">
        <v>4945</v>
      </c>
      <c r="E360" s="7"/>
      <c r="F360" s="7">
        <v>40.0</v>
      </c>
      <c r="G360" s="7">
        <v>70.0</v>
      </c>
      <c r="H360" s="7">
        <v>130.0</v>
      </c>
      <c r="I360" s="7"/>
      <c r="J360" s="7">
        <v>60.0</v>
      </c>
      <c r="K360" s="7">
        <v>130.0</v>
      </c>
      <c r="L360" s="7">
        <v>25.0</v>
      </c>
      <c r="M360" s="7" t="s">
        <v>3499</v>
      </c>
      <c r="N360" s="7"/>
      <c r="O360" s="7" t="s">
        <v>4928</v>
      </c>
      <c r="P360" s="7">
        <v>30.6</v>
      </c>
      <c r="Q360" s="7"/>
      <c r="R360" s="7">
        <f t="shared" si="1"/>
        <v>356</v>
      </c>
    </row>
    <row r="361" ht="15.75" customHeight="1">
      <c r="A361" s="7">
        <v>357.0</v>
      </c>
      <c r="B361" s="7" t="s">
        <v>3517</v>
      </c>
      <c r="C361" s="7">
        <v>3.0</v>
      </c>
      <c r="D361" s="7" t="s">
        <v>4904</v>
      </c>
      <c r="E361" s="7" t="s">
        <v>4907</v>
      </c>
      <c r="F361" s="7">
        <v>99.0</v>
      </c>
      <c r="G361" s="7">
        <v>68.0</v>
      </c>
      <c r="H361" s="7">
        <v>83.0</v>
      </c>
      <c r="I361" s="7"/>
      <c r="J361" s="7">
        <v>72.0</v>
      </c>
      <c r="K361" s="7">
        <v>87.0</v>
      </c>
      <c r="L361" s="7">
        <v>51.0</v>
      </c>
      <c r="M361" s="7" t="s">
        <v>2701</v>
      </c>
      <c r="N361" s="7" t="s">
        <v>3380</v>
      </c>
      <c r="O361" s="7" t="s">
        <v>4368</v>
      </c>
      <c r="P361" s="7">
        <v>100.0</v>
      </c>
      <c r="Q361" s="7"/>
      <c r="R361" s="7">
        <f t="shared" si="1"/>
        <v>357</v>
      </c>
    </row>
    <row r="362" ht="15.75" customHeight="1">
      <c r="A362" s="7">
        <v>358.0</v>
      </c>
      <c r="B362" s="7" t="s">
        <v>2710</v>
      </c>
      <c r="C362" s="7">
        <v>3.0</v>
      </c>
      <c r="D362" s="7" t="s">
        <v>2659</v>
      </c>
      <c r="E362" s="7"/>
      <c r="F362" s="7">
        <f>IF($A$1&lt;7,65,75)</f>
        <v>75</v>
      </c>
      <c r="G362" s="7">
        <v>50.0</v>
      </c>
      <c r="H362" s="7">
        <f>IF($A$1&lt;7,70,80)</f>
        <v>80</v>
      </c>
      <c r="I362" s="7"/>
      <c r="J362" s="7">
        <v>95.0</v>
      </c>
      <c r="K362" s="7">
        <f>IF($A$1&lt;7,80,90)</f>
        <v>90</v>
      </c>
      <c r="L362" s="7">
        <v>65.0</v>
      </c>
      <c r="M362" s="7" t="s">
        <v>2714</v>
      </c>
      <c r="N362" s="7"/>
      <c r="O362" s="7"/>
      <c r="P362" s="7">
        <v>1.0</v>
      </c>
      <c r="Q362" s="7"/>
      <c r="R362" s="7">
        <f t="shared" si="1"/>
        <v>358</v>
      </c>
    </row>
    <row r="363" ht="15.75" customHeight="1">
      <c r="A363" s="7">
        <v>359.0</v>
      </c>
      <c r="B363" s="7" t="s">
        <v>3659</v>
      </c>
      <c r="C363" s="7">
        <v>3.0</v>
      </c>
      <c r="D363" s="7" t="s">
        <v>4972</v>
      </c>
      <c r="E363" s="7"/>
      <c r="F363" s="7">
        <v>65.0</v>
      </c>
      <c r="G363" s="7">
        <v>130.0</v>
      </c>
      <c r="H363" s="7">
        <v>60.0</v>
      </c>
      <c r="I363" s="7"/>
      <c r="J363" s="7">
        <v>75.0</v>
      </c>
      <c r="K363" s="7">
        <v>60.0</v>
      </c>
      <c r="L363" s="7">
        <v>75.0</v>
      </c>
      <c r="M363" s="7" t="s">
        <v>3499</v>
      </c>
      <c r="N363" s="7" t="s">
        <v>3826</v>
      </c>
      <c r="O363" s="7" t="s">
        <v>3853</v>
      </c>
      <c r="P363" s="7">
        <v>47.0</v>
      </c>
      <c r="Q363" s="7"/>
      <c r="R363" s="7">
        <f t="shared" si="1"/>
        <v>359</v>
      </c>
    </row>
    <row r="364" ht="15.75" customHeight="1">
      <c r="A364" s="7">
        <v>360.0</v>
      </c>
      <c r="B364" s="7" t="s">
        <v>5020</v>
      </c>
      <c r="C364" s="7">
        <v>3.0</v>
      </c>
      <c r="D364" s="7" t="s">
        <v>2659</v>
      </c>
      <c r="E364" s="7"/>
      <c r="F364" s="7">
        <v>95.0</v>
      </c>
      <c r="G364" s="7">
        <v>23.0</v>
      </c>
      <c r="H364" s="7">
        <v>48.0</v>
      </c>
      <c r="I364" s="7"/>
      <c r="J364" s="7">
        <v>23.0</v>
      </c>
      <c r="K364" s="7">
        <v>48.0</v>
      </c>
      <c r="L364" s="7">
        <v>23.0</v>
      </c>
      <c r="M364" s="7" t="s">
        <v>3269</v>
      </c>
      <c r="N364" s="7"/>
      <c r="O364" s="7" t="s">
        <v>4338</v>
      </c>
      <c r="P364" s="7">
        <v>14.0</v>
      </c>
      <c r="Q364" s="7"/>
      <c r="R364" s="7">
        <f t="shared" si="1"/>
        <v>360</v>
      </c>
    </row>
    <row r="365" ht="15.75" customHeight="1">
      <c r="A365" s="7">
        <v>361.0</v>
      </c>
      <c r="B365" s="7" t="s">
        <v>2784</v>
      </c>
      <c r="C365" s="7">
        <v>3.0</v>
      </c>
      <c r="D365" s="7" t="s">
        <v>4942</v>
      </c>
      <c r="E365" s="7"/>
      <c r="F365" s="7">
        <v>50.0</v>
      </c>
      <c r="G365" s="7">
        <v>50.0</v>
      </c>
      <c r="H365" s="7">
        <v>50.0</v>
      </c>
      <c r="I365" s="7"/>
      <c r="J365" s="7">
        <v>50.0</v>
      </c>
      <c r="K365" s="7">
        <v>50.0</v>
      </c>
      <c r="L365" s="7">
        <v>50.0</v>
      </c>
      <c r="M365" s="7" t="s">
        <v>3233</v>
      </c>
      <c r="N365" s="7" t="s">
        <v>3328</v>
      </c>
      <c r="O365" s="7" t="s">
        <v>2786</v>
      </c>
      <c r="P365" s="7">
        <v>16.8</v>
      </c>
      <c r="Q365" s="7"/>
      <c r="R365" s="7">
        <f t="shared" si="1"/>
        <v>361</v>
      </c>
    </row>
    <row r="366" ht="15.75" customHeight="1">
      <c r="A366" s="7">
        <v>362.0</v>
      </c>
      <c r="B366" s="7" t="s">
        <v>3699</v>
      </c>
      <c r="C366" s="7">
        <v>3.0</v>
      </c>
      <c r="D366" s="7" t="s">
        <v>4942</v>
      </c>
      <c r="E366" s="7"/>
      <c r="F366" s="7">
        <v>80.0</v>
      </c>
      <c r="G366" s="7">
        <v>80.0</v>
      </c>
      <c r="H366" s="7">
        <v>80.0</v>
      </c>
      <c r="I366" s="7"/>
      <c r="J366" s="7">
        <v>80.0</v>
      </c>
      <c r="K366" s="7">
        <v>80.0</v>
      </c>
      <c r="L366" s="7">
        <v>80.0</v>
      </c>
      <c r="M366" s="7" t="s">
        <v>3233</v>
      </c>
      <c r="N366" s="7" t="s">
        <v>3328</v>
      </c>
      <c r="O366" s="7" t="s">
        <v>2786</v>
      </c>
      <c r="P366" s="7">
        <v>256.5</v>
      </c>
      <c r="Q366" s="7"/>
      <c r="R366" s="7">
        <f t="shared" si="1"/>
        <v>362</v>
      </c>
    </row>
    <row r="367" ht="15.75" customHeight="1">
      <c r="A367" s="7">
        <v>363.0</v>
      </c>
      <c r="B367" s="7" t="s">
        <v>5021</v>
      </c>
      <c r="C367" s="7">
        <v>3.0</v>
      </c>
      <c r="D367" s="7" t="s">
        <v>4942</v>
      </c>
      <c r="E367" s="7" t="s">
        <v>4908</v>
      </c>
      <c r="F367" s="7">
        <v>70.0</v>
      </c>
      <c r="G367" s="7">
        <v>40.0</v>
      </c>
      <c r="H367" s="7">
        <v>50.0</v>
      </c>
      <c r="I367" s="7"/>
      <c r="J367" s="7">
        <v>55.0</v>
      </c>
      <c r="K367" s="7">
        <v>50.0</v>
      </c>
      <c r="L367" s="7">
        <v>25.0</v>
      </c>
      <c r="M367" s="7" t="s">
        <v>2968</v>
      </c>
      <c r="N367" s="7" t="s">
        <v>3328</v>
      </c>
      <c r="O367" s="7" t="s">
        <v>2824</v>
      </c>
      <c r="P367" s="7">
        <v>39.5</v>
      </c>
      <c r="Q367" s="7"/>
      <c r="R367" s="7">
        <f t="shared" si="1"/>
        <v>363</v>
      </c>
    </row>
    <row r="368" ht="15.75" customHeight="1">
      <c r="A368" s="7">
        <v>364.0</v>
      </c>
      <c r="B368" s="7" t="s">
        <v>3326</v>
      </c>
      <c r="C368" s="7">
        <v>3.0</v>
      </c>
      <c r="D368" s="7" t="s">
        <v>4942</v>
      </c>
      <c r="E368" s="7" t="s">
        <v>4908</v>
      </c>
      <c r="F368" s="7">
        <v>90.0</v>
      </c>
      <c r="G368" s="7">
        <v>60.0</v>
      </c>
      <c r="H368" s="7">
        <v>70.0</v>
      </c>
      <c r="I368" s="7"/>
      <c r="J368" s="7">
        <v>75.0</v>
      </c>
      <c r="K368" s="7">
        <v>70.0</v>
      </c>
      <c r="L368" s="7">
        <v>45.0</v>
      </c>
      <c r="M368" s="7" t="s">
        <v>2968</v>
      </c>
      <c r="N368" s="7" t="s">
        <v>3328</v>
      </c>
      <c r="O368" s="7" t="s">
        <v>2824</v>
      </c>
      <c r="P368" s="7">
        <v>87.6</v>
      </c>
      <c r="Q368" s="7"/>
      <c r="R368" s="7">
        <f t="shared" si="1"/>
        <v>364</v>
      </c>
    </row>
    <row r="369" ht="15.75" customHeight="1">
      <c r="A369" s="7">
        <v>365.0</v>
      </c>
      <c r="B369" s="7" t="s">
        <v>3891</v>
      </c>
      <c r="C369" s="7">
        <v>3.0</v>
      </c>
      <c r="D369" s="7" t="s">
        <v>4942</v>
      </c>
      <c r="E369" s="7" t="s">
        <v>4908</v>
      </c>
      <c r="F369" s="7">
        <v>110.0</v>
      </c>
      <c r="G369" s="7">
        <v>80.0</v>
      </c>
      <c r="H369" s="7">
        <v>90.0</v>
      </c>
      <c r="I369" s="7"/>
      <c r="J369" s="7">
        <v>95.0</v>
      </c>
      <c r="K369" s="7">
        <v>90.0</v>
      </c>
      <c r="L369" s="7">
        <v>65.0</v>
      </c>
      <c r="M369" s="7" t="s">
        <v>2968</v>
      </c>
      <c r="N369" s="7" t="s">
        <v>3328</v>
      </c>
      <c r="O369" s="7" t="s">
        <v>2824</v>
      </c>
      <c r="P369" s="7">
        <v>150.6</v>
      </c>
      <c r="Q369" s="7"/>
      <c r="R369" s="7">
        <f t="shared" si="1"/>
        <v>365</v>
      </c>
    </row>
    <row r="370" ht="15.75" customHeight="1">
      <c r="A370" s="7">
        <v>366.0</v>
      </c>
      <c r="B370" s="7" t="s">
        <v>3085</v>
      </c>
      <c r="C370" s="7">
        <v>3.0</v>
      </c>
      <c r="D370" s="7" t="s">
        <v>4908</v>
      </c>
      <c r="E370" s="7"/>
      <c r="F370" s="7">
        <v>35.0</v>
      </c>
      <c r="G370" s="7">
        <v>64.0</v>
      </c>
      <c r="H370" s="7">
        <v>85.0</v>
      </c>
      <c r="I370" s="7"/>
      <c r="J370" s="7">
        <v>74.0</v>
      </c>
      <c r="K370" s="7">
        <v>55.0</v>
      </c>
      <c r="L370" s="7">
        <v>32.0</v>
      </c>
      <c r="M370" s="7" t="s">
        <v>3088</v>
      </c>
      <c r="N370" s="7"/>
      <c r="O370" s="7" t="s">
        <v>4951</v>
      </c>
      <c r="P370" s="7">
        <v>52.5</v>
      </c>
      <c r="Q370" s="7"/>
      <c r="R370" s="7">
        <f t="shared" si="1"/>
        <v>366</v>
      </c>
    </row>
    <row r="371" ht="15.75" customHeight="1">
      <c r="A371" s="7">
        <v>367.0</v>
      </c>
      <c r="B371" s="7" t="s">
        <v>3563</v>
      </c>
      <c r="C371" s="7">
        <v>3.0</v>
      </c>
      <c r="D371" s="7" t="s">
        <v>4908</v>
      </c>
      <c r="E371" s="7"/>
      <c r="F371" s="7">
        <v>55.0</v>
      </c>
      <c r="G371" s="7">
        <v>104.0</v>
      </c>
      <c r="H371" s="7">
        <v>105.0</v>
      </c>
      <c r="I371" s="7"/>
      <c r="J371" s="7">
        <v>94.0</v>
      </c>
      <c r="K371" s="7">
        <v>75.0</v>
      </c>
      <c r="L371" s="7">
        <v>52.0</v>
      </c>
      <c r="M371" s="7" t="s">
        <v>3028</v>
      </c>
      <c r="N371" s="7"/>
      <c r="O371" s="7" t="s">
        <v>4521</v>
      </c>
      <c r="P371" s="7">
        <v>27.0</v>
      </c>
      <c r="Q371" s="7"/>
      <c r="R371" s="7">
        <f t="shared" si="1"/>
        <v>367</v>
      </c>
    </row>
    <row r="372" ht="15.75" customHeight="1">
      <c r="A372" s="7">
        <v>368.0</v>
      </c>
      <c r="B372" s="7" t="s">
        <v>3565</v>
      </c>
      <c r="C372" s="7">
        <v>3.0</v>
      </c>
      <c r="D372" s="7" t="s">
        <v>4908</v>
      </c>
      <c r="E372" s="7"/>
      <c r="F372" s="7">
        <v>55.0</v>
      </c>
      <c r="G372" s="7">
        <v>84.0</v>
      </c>
      <c r="H372" s="7">
        <v>105.0</v>
      </c>
      <c r="I372" s="7"/>
      <c r="J372" s="7">
        <v>114.0</v>
      </c>
      <c r="K372" s="7">
        <v>75.0</v>
      </c>
      <c r="L372" s="7">
        <v>52.0</v>
      </c>
      <c r="M372" s="7" t="s">
        <v>3028</v>
      </c>
      <c r="N372" s="7"/>
      <c r="O372" s="7" t="s">
        <v>3662</v>
      </c>
      <c r="P372" s="7">
        <v>22.6</v>
      </c>
      <c r="Q372" s="7"/>
      <c r="R372" s="7">
        <f t="shared" si="1"/>
        <v>368</v>
      </c>
    </row>
    <row r="373" ht="15.75" customHeight="1">
      <c r="A373" s="7">
        <v>369.0</v>
      </c>
      <c r="B373" s="7" t="s">
        <v>3568</v>
      </c>
      <c r="C373" s="7">
        <v>3.0</v>
      </c>
      <c r="D373" s="7" t="s">
        <v>4908</v>
      </c>
      <c r="E373" s="7" t="s">
        <v>4940</v>
      </c>
      <c r="F373" s="7">
        <v>100.0</v>
      </c>
      <c r="G373" s="7">
        <v>90.0</v>
      </c>
      <c r="H373" s="7">
        <v>130.0</v>
      </c>
      <c r="I373" s="7"/>
      <c r="J373" s="7">
        <v>45.0</v>
      </c>
      <c r="K373" s="7">
        <v>65.0</v>
      </c>
      <c r="L373" s="7">
        <v>55.0</v>
      </c>
      <c r="M373" s="7" t="s">
        <v>3028</v>
      </c>
      <c r="N373" s="7" t="s">
        <v>2792</v>
      </c>
      <c r="O373" s="7" t="s">
        <v>2728</v>
      </c>
      <c r="P373" s="7">
        <v>23.4</v>
      </c>
      <c r="Q373" s="7"/>
      <c r="R373" s="7">
        <f t="shared" si="1"/>
        <v>369</v>
      </c>
    </row>
    <row r="374" ht="15.75" customHeight="1">
      <c r="A374" s="7">
        <v>370.0</v>
      </c>
      <c r="B374" s="7" t="s">
        <v>3027</v>
      </c>
      <c r="C374" s="7">
        <v>3.0</v>
      </c>
      <c r="D374" s="7" t="s">
        <v>4908</v>
      </c>
      <c r="E374" s="7"/>
      <c r="F374" s="7">
        <v>43.0</v>
      </c>
      <c r="G374" s="7">
        <v>30.0</v>
      </c>
      <c r="H374" s="7">
        <v>55.0</v>
      </c>
      <c r="I374" s="7"/>
      <c r="J374" s="7">
        <v>40.0</v>
      </c>
      <c r="K374" s="7">
        <v>65.0</v>
      </c>
      <c r="L374" s="7">
        <v>97.0</v>
      </c>
      <c r="M374" s="7" t="s">
        <v>3028</v>
      </c>
      <c r="N374" s="7"/>
      <c r="O374" s="7" t="s">
        <v>3662</v>
      </c>
      <c r="P374" s="7">
        <v>8.7</v>
      </c>
      <c r="Q374" s="7"/>
      <c r="R374" s="7">
        <f t="shared" si="1"/>
        <v>370</v>
      </c>
    </row>
    <row r="375" ht="15.75" customHeight="1">
      <c r="A375" s="7">
        <v>371.0</v>
      </c>
      <c r="B375" s="7" t="s">
        <v>2788</v>
      </c>
      <c r="C375" s="7">
        <v>3.0</v>
      </c>
      <c r="D375" s="7" t="s">
        <v>4956</v>
      </c>
      <c r="E375" s="7"/>
      <c r="F375" s="7">
        <v>45.0</v>
      </c>
      <c r="G375" s="7">
        <v>75.0</v>
      </c>
      <c r="H375" s="7">
        <v>60.0</v>
      </c>
      <c r="I375" s="7"/>
      <c r="J375" s="7">
        <v>40.0</v>
      </c>
      <c r="K375" s="7">
        <v>30.0</v>
      </c>
      <c r="L375" s="7">
        <v>50.0</v>
      </c>
      <c r="M375" s="7" t="s">
        <v>2792</v>
      </c>
      <c r="N375" s="7"/>
      <c r="O375" s="7" t="s">
        <v>3745</v>
      </c>
      <c r="P375" s="7">
        <v>42.1</v>
      </c>
      <c r="Q375" s="7"/>
      <c r="R375" s="7">
        <f t="shared" si="1"/>
        <v>371</v>
      </c>
    </row>
    <row r="376" ht="15.75" customHeight="1">
      <c r="A376" s="7">
        <v>372.0</v>
      </c>
      <c r="B376" s="7" t="s">
        <v>3366</v>
      </c>
      <c r="C376" s="7">
        <v>3.0</v>
      </c>
      <c r="D376" s="7" t="s">
        <v>4956</v>
      </c>
      <c r="E376" s="7"/>
      <c r="F376" s="7">
        <v>65.0</v>
      </c>
      <c r="G376" s="7">
        <v>95.0</v>
      </c>
      <c r="H376" s="7">
        <v>100.0</v>
      </c>
      <c r="I376" s="7"/>
      <c r="J376" s="7">
        <v>60.0</v>
      </c>
      <c r="K376" s="7">
        <v>50.0</v>
      </c>
      <c r="L376" s="7">
        <v>50.0</v>
      </c>
      <c r="M376" s="7" t="s">
        <v>2792</v>
      </c>
      <c r="N376" s="7"/>
      <c r="O376" s="7" t="s">
        <v>3367</v>
      </c>
      <c r="P376" s="7">
        <v>110.5</v>
      </c>
      <c r="Q376" s="7"/>
      <c r="R376" s="7">
        <f t="shared" si="1"/>
        <v>372</v>
      </c>
    </row>
    <row r="377" ht="15.75" customHeight="1">
      <c r="A377" s="7">
        <v>373.0</v>
      </c>
      <c r="B377" s="7" t="s">
        <v>3931</v>
      </c>
      <c r="C377" s="7">
        <v>3.0</v>
      </c>
      <c r="D377" s="7" t="s">
        <v>4956</v>
      </c>
      <c r="E377" s="7" t="s">
        <v>4907</v>
      </c>
      <c r="F377" s="7">
        <v>95.0</v>
      </c>
      <c r="G377" s="7">
        <v>135.0</v>
      </c>
      <c r="H377" s="7">
        <v>80.0</v>
      </c>
      <c r="I377" s="7"/>
      <c r="J377" s="7">
        <v>110.0</v>
      </c>
      <c r="K377" s="7">
        <v>80.0</v>
      </c>
      <c r="L377" s="7">
        <v>100.0</v>
      </c>
      <c r="M377" s="7" t="s">
        <v>2696</v>
      </c>
      <c r="N377" s="7"/>
      <c r="O377" s="7" t="s">
        <v>3788</v>
      </c>
      <c r="P377" s="7">
        <v>102.6</v>
      </c>
      <c r="Q377" s="7"/>
      <c r="R377" s="7">
        <f t="shared" si="1"/>
        <v>373</v>
      </c>
    </row>
    <row r="378" ht="15.75" customHeight="1">
      <c r="A378" s="7">
        <v>374.0</v>
      </c>
      <c r="B378" s="7" t="s">
        <v>5022</v>
      </c>
      <c r="C378" s="7">
        <v>3.0</v>
      </c>
      <c r="D378" s="7" t="s">
        <v>4975</v>
      </c>
      <c r="E378" s="7" t="s">
        <v>2659</v>
      </c>
      <c r="F378" s="7">
        <v>40.0</v>
      </c>
      <c r="G378" s="7">
        <v>55.0</v>
      </c>
      <c r="H378" s="7">
        <v>80.0</v>
      </c>
      <c r="I378" s="7"/>
      <c r="J378" s="7">
        <v>35.0</v>
      </c>
      <c r="K378" s="7">
        <v>60.0</v>
      </c>
      <c r="L378" s="7">
        <v>30.0</v>
      </c>
      <c r="M378" s="7" t="s">
        <v>3370</v>
      </c>
      <c r="N378" s="7"/>
      <c r="O378" s="7" t="s">
        <v>4976</v>
      </c>
      <c r="P378" s="7">
        <v>95.2</v>
      </c>
      <c r="Q378" s="7"/>
      <c r="R378" s="7">
        <f t="shared" si="1"/>
        <v>374</v>
      </c>
    </row>
    <row r="379" ht="15.75" customHeight="1">
      <c r="A379" s="7">
        <v>375.0</v>
      </c>
      <c r="B379" s="7" t="s">
        <v>3369</v>
      </c>
      <c r="C379" s="7">
        <v>3.0</v>
      </c>
      <c r="D379" s="7" t="s">
        <v>4975</v>
      </c>
      <c r="E379" s="7" t="s">
        <v>2659</v>
      </c>
      <c r="F379" s="7">
        <v>60.0</v>
      </c>
      <c r="G379" s="7">
        <v>75.0</v>
      </c>
      <c r="H379" s="7">
        <v>100.0</v>
      </c>
      <c r="I379" s="7"/>
      <c r="J379" s="7">
        <v>55.0</v>
      </c>
      <c r="K379" s="7">
        <v>80.0</v>
      </c>
      <c r="L379" s="7">
        <v>50.0</v>
      </c>
      <c r="M379" s="7" t="s">
        <v>3370</v>
      </c>
      <c r="N379" s="7"/>
      <c r="O379" s="7" t="s">
        <v>4976</v>
      </c>
      <c r="P379" s="7">
        <v>202.5</v>
      </c>
      <c r="Q379" s="7"/>
      <c r="R379" s="7">
        <f t="shared" si="1"/>
        <v>375</v>
      </c>
    </row>
    <row r="380" ht="15.75" customHeight="1">
      <c r="A380" s="7">
        <v>376.0</v>
      </c>
      <c r="B380" s="7" t="s">
        <v>3933</v>
      </c>
      <c r="C380" s="7">
        <v>3.0</v>
      </c>
      <c r="D380" s="7" t="s">
        <v>4975</v>
      </c>
      <c r="E380" s="7" t="s">
        <v>2659</v>
      </c>
      <c r="F380" s="7">
        <v>80.0</v>
      </c>
      <c r="G380" s="7">
        <v>135.0</v>
      </c>
      <c r="H380" s="7">
        <v>130.0</v>
      </c>
      <c r="I380" s="7"/>
      <c r="J380" s="7">
        <v>95.0</v>
      </c>
      <c r="K380" s="7">
        <v>90.0</v>
      </c>
      <c r="L380" s="7">
        <v>70.0</v>
      </c>
      <c r="M380" s="7" t="s">
        <v>3370</v>
      </c>
      <c r="N380" s="7"/>
      <c r="O380" s="7" t="s">
        <v>4976</v>
      </c>
      <c r="P380" s="7">
        <v>550.0</v>
      </c>
      <c r="Q380" s="7"/>
      <c r="R380" s="7">
        <f t="shared" si="1"/>
        <v>376</v>
      </c>
    </row>
    <row r="381" ht="15.75" customHeight="1">
      <c r="A381" s="7">
        <v>377.0</v>
      </c>
      <c r="B381" s="7" t="s">
        <v>4224</v>
      </c>
      <c r="C381" s="7">
        <v>3.0</v>
      </c>
      <c r="D381" s="7" t="s">
        <v>4940</v>
      </c>
      <c r="E381" s="7"/>
      <c r="F381" s="7">
        <v>80.0</v>
      </c>
      <c r="G381" s="7">
        <v>100.0</v>
      </c>
      <c r="H381" s="7">
        <v>200.0</v>
      </c>
      <c r="I381" s="7"/>
      <c r="J381" s="7">
        <v>50.0</v>
      </c>
      <c r="K381" s="7">
        <v>100.0</v>
      </c>
      <c r="L381" s="7">
        <v>50.0</v>
      </c>
      <c r="M381" s="7" t="s">
        <v>3370</v>
      </c>
      <c r="N381" s="7"/>
      <c r="O381" s="7" t="s">
        <v>2728</v>
      </c>
      <c r="P381" s="7">
        <v>230.0</v>
      </c>
      <c r="Q381" s="7"/>
      <c r="R381" s="7">
        <f t="shared" si="1"/>
        <v>377</v>
      </c>
    </row>
    <row r="382" ht="15.75" customHeight="1">
      <c r="A382" s="7">
        <v>378.0</v>
      </c>
      <c r="B382" s="7" t="s">
        <v>4226</v>
      </c>
      <c r="C382" s="7">
        <v>3.0</v>
      </c>
      <c r="D382" s="7" t="s">
        <v>4942</v>
      </c>
      <c r="E382" s="7"/>
      <c r="F382" s="7">
        <v>80.0</v>
      </c>
      <c r="G382" s="7">
        <v>50.0</v>
      </c>
      <c r="H382" s="7">
        <v>100.0</v>
      </c>
      <c r="I382" s="7"/>
      <c r="J382" s="7">
        <v>100.0</v>
      </c>
      <c r="K382" s="7">
        <v>200.0</v>
      </c>
      <c r="L382" s="7">
        <v>50.0</v>
      </c>
      <c r="M382" s="7" t="s">
        <v>3370</v>
      </c>
      <c r="N382" s="7"/>
      <c r="O382" s="7" t="s">
        <v>3328</v>
      </c>
      <c r="P382" s="7">
        <v>175.0</v>
      </c>
      <c r="Q382" s="7"/>
      <c r="R382" s="7">
        <f t="shared" si="1"/>
        <v>378</v>
      </c>
    </row>
    <row r="383" ht="15.75" customHeight="1">
      <c r="A383" s="7">
        <v>379.0</v>
      </c>
      <c r="B383" s="7" t="s">
        <v>4228</v>
      </c>
      <c r="C383" s="7">
        <v>3.0</v>
      </c>
      <c r="D383" s="7" t="s">
        <v>4975</v>
      </c>
      <c r="E383" s="7"/>
      <c r="F383" s="7">
        <v>80.0</v>
      </c>
      <c r="G383" s="7">
        <v>75.0</v>
      </c>
      <c r="H383" s="7">
        <v>150.0</v>
      </c>
      <c r="I383" s="7"/>
      <c r="J383" s="7">
        <v>75.0</v>
      </c>
      <c r="K383" s="7">
        <v>150.0</v>
      </c>
      <c r="L383" s="7">
        <v>50.0</v>
      </c>
      <c r="M383" s="7" t="s">
        <v>3370</v>
      </c>
      <c r="N383" s="7"/>
      <c r="O383" s="7" t="s">
        <v>4976</v>
      </c>
      <c r="P383" s="7">
        <v>205.0</v>
      </c>
      <c r="Q383" s="7"/>
      <c r="R383" s="7">
        <f t="shared" si="1"/>
        <v>379</v>
      </c>
    </row>
    <row r="384" ht="15.75" customHeight="1">
      <c r="A384" s="7">
        <v>380.0</v>
      </c>
      <c r="B384" s="7" t="s">
        <v>4230</v>
      </c>
      <c r="C384" s="7">
        <v>3.0</v>
      </c>
      <c r="D384" s="7" t="s">
        <v>4956</v>
      </c>
      <c r="E384" s="7" t="s">
        <v>2659</v>
      </c>
      <c r="F384" s="7">
        <v>80.0</v>
      </c>
      <c r="G384" s="7">
        <v>80.0</v>
      </c>
      <c r="H384" s="7">
        <v>90.0</v>
      </c>
      <c r="I384" s="7"/>
      <c r="J384" s="7">
        <v>110.0</v>
      </c>
      <c r="K384" s="7">
        <v>130.0</v>
      </c>
      <c r="L384" s="7">
        <v>110.0</v>
      </c>
      <c r="M384" s="7" t="s">
        <v>2714</v>
      </c>
      <c r="N384" s="7"/>
      <c r="O384" s="7"/>
      <c r="P384" s="7">
        <v>40.0</v>
      </c>
      <c r="Q384" s="7"/>
      <c r="R384" s="7">
        <f t="shared" si="1"/>
        <v>380</v>
      </c>
    </row>
    <row r="385" ht="15.75" customHeight="1">
      <c r="A385" s="7">
        <v>381.0</v>
      </c>
      <c r="B385" s="7" t="s">
        <v>4232</v>
      </c>
      <c r="C385" s="7">
        <v>3.0</v>
      </c>
      <c r="D385" s="7" t="s">
        <v>4956</v>
      </c>
      <c r="E385" s="7" t="s">
        <v>2659</v>
      </c>
      <c r="F385" s="7">
        <v>80.0</v>
      </c>
      <c r="G385" s="7">
        <v>90.0</v>
      </c>
      <c r="H385" s="7">
        <v>80.0</v>
      </c>
      <c r="I385" s="7"/>
      <c r="J385" s="7">
        <v>130.0</v>
      </c>
      <c r="K385" s="7">
        <v>110.0</v>
      </c>
      <c r="L385" s="7">
        <v>110.0</v>
      </c>
      <c r="M385" s="7" t="s">
        <v>2714</v>
      </c>
      <c r="N385" s="7"/>
      <c r="O385" s="7"/>
      <c r="P385" s="7">
        <v>60.0</v>
      </c>
      <c r="Q385" s="7"/>
      <c r="R385" s="7">
        <f t="shared" si="1"/>
        <v>381</v>
      </c>
    </row>
    <row r="386" ht="15.75" customHeight="1">
      <c r="A386" s="7">
        <v>382.0</v>
      </c>
      <c r="B386" s="7" t="s">
        <v>5023</v>
      </c>
      <c r="C386" s="7">
        <v>3.0</v>
      </c>
      <c r="D386" s="7" t="s">
        <v>4908</v>
      </c>
      <c r="E386" s="7"/>
      <c r="F386" s="7">
        <v>100.0</v>
      </c>
      <c r="G386" s="7">
        <v>100.0</v>
      </c>
      <c r="H386" s="7">
        <v>90.0</v>
      </c>
      <c r="I386" s="7"/>
      <c r="J386" s="7">
        <v>150.0</v>
      </c>
      <c r="K386" s="7">
        <v>140.0</v>
      </c>
      <c r="L386" s="7">
        <v>90.0</v>
      </c>
      <c r="M386" s="7" t="s">
        <v>3399</v>
      </c>
      <c r="N386" s="7"/>
      <c r="O386" s="7"/>
      <c r="P386" s="7">
        <v>352.0</v>
      </c>
      <c r="Q386" s="7"/>
      <c r="R386" s="7">
        <f t="shared" si="1"/>
        <v>382</v>
      </c>
    </row>
    <row r="387" ht="15.75" customHeight="1">
      <c r="A387" s="7">
        <v>383.0</v>
      </c>
      <c r="B387" s="7" t="s">
        <v>5024</v>
      </c>
      <c r="C387" s="7">
        <v>3.0</v>
      </c>
      <c r="D387" s="7" t="s">
        <v>4922</v>
      </c>
      <c r="E387" s="7"/>
      <c r="F387" s="7">
        <v>100.0</v>
      </c>
      <c r="G387" s="7">
        <v>150.0</v>
      </c>
      <c r="H387" s="7">
        <v>140.0</v>
      </c>
      <c r="I387" s="7"/>
      <c r="J387" s="7">
        <v>100.0</v>
      </c>
      <c r="K387" s="7">
        <v>90.0</v>
      </c>
      <c r="L387" s="7">
        <v>90.0</v>
      </c>
      <c r="M387" s="7" t="s">
        <v>2742</v>
      </c>
      <c r="N387" s="7"/>
      <c r="O387" s="7"/>
      <c r="P387" s="7">
        <v>950.0</v>
      </c>
      <c r="Q387" s="7"/>
      <c r="R387" s="7">
        <f t="shared" si="1"/>
        <v>383</v>
      </c>
    </row>
    <row r="388" ht="15.75" customHeight="1">
      <c r="A388" s="7">
        <v>384.0</v>
      </c>
      <c r="B388" s="7" t="s">
        <v>5025</v>
      </c>
      <c r="C388" s="7">
        <v>3.0</v>
      </c>
      <c r="D388" s="7" t="s">
        <v>4956</v>
      </c>
      <c r="E388" s="7" t="s">
        <v>4907</v>
      </c>
      <c r="F388" s="7">
        <v>105.0</v>
      </c>
      <c r="G388" s="7">
        <v>150.0</v>
      </c>
      <c r="H388" s="7">
        <v>90.0</v>
      </c>
      <c r="I388" s="7"/>
      <c r="J388" s="7">
        <v>150.0</v>
      </c>
      <c r="K388" s="7">
        <v>90.0</v>
      </c>
      <c r="L388" s="7">
        <v>95.0</v>
      </c>
      <c r="M388" s="7" t="s">
        <v>5026</v>
      </c>
      <c r="N388" s="7"/>
      <c r="O388" s="7"/>
      <c r="P388" s="7">
        <v>206.0</v>
      </c>
      <c r="Q388" s="7"/>
      <c r="R388" s="7">
        <f t="shared" si="1"/>
        <v>384</v>
      </c>
    </row>
    <row r="389" ht="15.75" customHeight="1">
      <c r="A389" s="7">
        <v>385.0</v>
      </c>
      <c r="B389" s="7" t="s">
        <v>5027</v>
      </c>
      <c r="C389" s="7">
        <v>3.0</v>
      </c>
      <c r="D389" s="7" t="s">
        <v>4975</v>
      </c>
      <c r="E389" s="7" t="s">
        <v>2659</v>
      </c>
      <c r="F389" s="7">
        <v>100.0</v>
      </c>
      <c r="G389" s="7">
        <v>100.0</v>
      </c>
      <c r="H389" s="7">
        <v>100.0</v>
      </c>
      <c r="I389" s="7"/>
      <c r="J389" s="7">
        <v>100.0</v>
      </c>
      <c r="K389" s="7">
        <v>100.0</v>
      </c>
      <c r="L389" s="7">
        <v>100.0</v>
      </c>
      <c r="M389" s="7" t="s">
        <v>2662</v>
      </c>
      <c r="N389" s="7"/>
      <c r="O389" s="7"/>
      <c r="P389" s="7">
        <v>1.1</v>
      </c>
      <c r="Q389" s="7"/>
      <c r="R389" s="7">
        <f t="shared" si="1"/>
        <v>385</v>
      </c>
    </row>
    <row r="390" ht="15.75" customHeight="1">
      <c r="A390" s="7">
        <v>386.0</v>
      </c>
      <c r="B390" s="7" t="s">
        <v>5028</v>
      </c>
      <c r="C390" s="7">
        <v>3.0</v>
      </c>
      <c r="D390" s="7" t="s">
        <v>2659</v>
      </c>
      <c r="E390" s="7"/>
      <c r="F390" s="7">
        <v>50.0</v>
      </c>
      <c r="G390" s="7">
        <v>150.0</v>
      </c>
      <c r="H390" s="7">
        <v>50.0</v>
      </c>
      <c r="I390" s="7"/>
      <c r="J390" s="7">
        <v>150.0</v>
      </c>
      <c r="K390" s="7">
        <v>50.0</v>
      </c>
      <c r="L390" s="7">
        <v>150.0</v>
      </c>
      <c r="M390" s="7" t="s">
        <v>3499</v>
      </c>
      <c r="N390" s="7"/>
      <c r="O390" s="7"/>
      <c r="P390" s="7">
        <v>60.8</v>
      </c>
      <c r="Q390" s="7"/>
      <c r="R390" s="7">
        <f t="shared" si="1"/>
        <v>386</v>
      </c>
    </row>
    <row r="391" ht="15.75" customHeight="1">
      <c r="A391" s="7">
        <v>386.0</v>
      </c>
      <c r="B391" s="7" t="s">
        <v>5029</v>
      </c>
      <c r="C391" s="7">
        <v>3.0</v>
      </c>
      <c r="D391" s="7" t="s">
        <v>2659</v>
      </c>
      <c r="E391" s="7"/>
      <c r="F391" s="7">
        <v>50.0</v>
      </c>
      <c r="G391" s="7">
        <v>180.0</v>
      </c>
      <c r="H391" s="7">
        <v>20.0</v>
      </c>
      <c r="I391" s="7"/>
      <c r="J391" s="7">
        <v>180.0</v>
      </c>
      <c r="K391" s="7">
        <v>20.0</v>
      </c>
      <c r="L391" s="7">
        <v>150.0</v>
      </c>
      <c r="M391" s="7" t="s">
        <v>3499</v>
      </c>
      <c r="N391" s="7"/>
      <c r="O391" s="7"/>
      <c r="P391" s="7">
        <v>60.8</v>
      </c>
      <c r="Q391" s="7"/>
      <c r="R391" s="7">
        <f t="shared" si="1"/>
        <v>386</v>
      </c>
    </row>
    <row r="392" ht="15.75" customHeight="1">
      <c r="A392" s="7">
        <v>386.0</v>
      </c>
      <c r="B392" s="7" t="s">
        <v>5030</v>
      </c>
      <c r="C392" s="7">
        <v>3.0</v>
      </c>
      <c r="D392" s="7" t="s">
        <v>2659</v>
      </c>
      <c r="E392" s="7"/>
      <c r="F392" s="7">
        <v>50.0</v>
      </c>
      <c r="G392" s="7">
        <v>70.0</v>
      </c>
      <c r="H392" s="7">
        <v>160.0</v>
      </c>
      <c r="I392" s="7"/>
      <c r="J392" s="7">
        <v>70.0</v>
      </c>
      <c r="K392" s="7">
        <v>160.0</v>
      </c>
      <c r="L392" s="7">
        <v>90.0</v>
      </c>
      <c r="M392" s="7" t="s">
        <v>3499</v>
      </c>
      <c r="N392" s="7"/>
      <c r="O392" s="7"/>
      <c r="P392" s="7">
        <v>60.8</v>
      </c>
      <c r="Q392" s="7"/>
      <c r="R392" s="7">
        <f t="shared" si="1"/>
        <v>386</v>
      </c>
    </row>
    <row r="393" ht="15.75" customHeight="1">
      <c r="A393" s="7">
        <v>386.0</v>
      </c>
      <c r="B393" s="7" t="s">
        <v>5031</v>
      </c>
      <c r="C393" s="7">
        <v>3.0</v>
      </c>
      <c r="D393" s="7" t="s">
        <v>2659</v>
      </c>
      <c r="E393" s="7"/>
      <c r="F393" s="7">
        <v>50.0</v>
      </c>
      <c r="G393" s="7">
        <v>95.0</v>
      </c>
      <c r="H393" s="7">
        <v>90.0</v>
      </c>
      <c r="I393" s="7"/>
      <c r="J393" s="7">
        <v>95.0</v>
      </c>
      <c r="K393" s="7">
        <v>90.0</v>
      </c>
      <c r="L393" s="7">
        <v>180.0</v>
      </c>
      <c r="M393" s="7" t="s">
        <v>3499</v>
      </c>
      <c r="N393" s="7"/>
      <c r="O393" s="7"/>
      <c r="P393" s="7">
        <v>60.8</v>
      </c>
      <c r="Q393" s="7"/>
      <c r="R393" s="7">
        <f t="shared" si="1"/>
        <v>386</v>
      </c>
    </row>
    <row r="394" ht="15.75" customHeight="1">
      <c r="A394" s="7">
        <v>387.0</v>
      </c>
      <c r="B394" s="7" t="s">
        <v>2628</v>
      </c>
      <c r="C394" s="7">
        <v>4.0</v>
      </c>
      <c r="D394" s="7" t="s">
        <v>4904</v>
      </c>
      <c r="E394" s="7"/>
      <c r="F394" s="7">
        <v>55.0</v>
      </c>
      <c r="G394" s="7">
        <v>68.0</v>
      </c>
      <c r="H394" s="7">
        <v>64.0</v>
      </c>
      <c r="I394" s="7"/>
      <c r="J394" s="7">
        <v>45.0</v>
      </c>
      <c r="K394" s="7">
        <v>55.0</v>
      </c>
      <c r="L394" s="7">
        <v>31.0</v>
      </c>
      <c r="M394" s="7" t="s">
        <v>2576</v>
      </c>
      <c r="N394" s="7"/>
      <c r="O394" s="7" t="s">
        <v>3088</v>
      </c>
      <c r="P394" s="7">
        <v>10.2</v>
      </c>
      <c r="Q394" s="7"/>
      <c r="R394" s="7">
        <f t="shared" si="1"/>
        <v>387</v>
      </c>
    </row>
    <row r="395" ht="15.75" customHeight="1">
      <c r="A395" s="7">
        <v>388.0</v>
      </c>
      <c r="B395" s="7" t="s">
        <v>3308</v>
      </c>
      <c r="C395" s="7">
        <v>4.0</v>
      </c>
      <c r="D395" s="7" t="s">
        <v>4904</v>
      </c>
      <c r="E395" s="7"/>
      <c r="F395" s="7">
        <v>75.0</v>
      </c>
      <c r="G395" s="7">
        <v>89.0</v>
      </c>
      <c r="H395" s="7">
        <v>85.0</v>
      </c>
      <c r="I395" s="7"/>
      <c r="J395" s="7">
        <v>55.0</v>
      </c>
      <c r="K395" s="7">
        <v>65.0</v>
      </c>
      <c r="L395" s="7">
        <v>36.0</v>
      </c>
      <c r="M395" s="7" t="s">
        <v>2576</v>
      </c>
      <c r="N395" s="7"/>
      <c r="O395" s="7" t="s">
        <v>3088</v>
      </c>
      <c r="P395" s="7">
        <v>97.0</v>
      </c>
      <c r="Q395" s="7"/>
      <c r="R395" s="7">
        <f t="shared" si="1"/>
        <v>388</v>
      </c>
    </row>
    <row r="396" ht="15.75" customHeight="1">
      <c r="A396" s="7">
        <v>389.0</v>
      </c>
      <c r="B396" s="7" t="s">
        <v>3613</v>
      </c>
      <c r="C396" s="7">
        <v>4.0</v>
      </c>
      <c r="D396" s="7" t="s">
        <v>4904</v>
      </c>
      <c r="E396" s="7" t="s">
        <v>4922</v>
      </c>
      <c r="F396" s="7">
        <v>95.0</v>
      </c>
      <c r="G396" s="7">
        <v>109.0</v>
      </c>
      <c r="H396" s="7">
        <v>105.0</v>
      </c>
      <c r="I396" s="7"/>
      <c r="J396" s="7">
        <v>75.0</v>
      </c>
      <c r="K396" s="7">
        <v>85.0</v>
      </c>
      <c r="L396" s="7">
        <v>56.0</v>
      </c>
      <c r="M396" s="7" t="s">
        <v>2576</v>
      </c>
      <c r="N396" s="7"/>
      <c r="O396" s="7" t="s">
        <v>3088</v>
      </c>
      <c r="P396" s="7">
        <v>310.0</v>
      </c>
      <c r="Q396" s="7"/>
      <c r="R396" s="7">
        <f t="shared" si="1"/>
        <v>389</v>
      </c>
    </row>
    <row r="397" ht="15.75" customHeight="1">
      <c r="A397" s="7">
        <v>390.0</v>
      </c>
      <c r="B397" s="7" t="s">
        <v>2634</v>
      </c>
      <c r="C397" s="7">
        <v>4.0</v>
      </c>
      <c r="D397" s="7" t="s">
        <v>4906</v>
      </c>
      <c r="E397" s="7"/>
      <c r="F397" s="7">
        <v>44.0</v>
      </c>
      <c r="G397" s="7">
        <v>58.0</v>
      </c>
      <c r="H397" s="7">
        <v>44.0</v>
      </c>
      <c r="I397" s="7"/>
      <c r="J397" s="7">
        <v>58.0</v>
      </c>
      <c r="K397" s="7">
        <v>44.0</v>
      </c>
      <c r="L397" s="7">
        <v>61.0</v>
      </c>
      <c r="M397" s="7" t="s">
        <v>2584</v>
      </c>
      <c r="N397" s="7"/>
      <c r="O397" s="7" t="s">
        <v>3487</v>
      </c>
      <c r="P397" s="7">
        <v>6.2</v>
      </c>
      <c r="Q397" s="7"/>
      <c r="R397" s="7">
        <f t="shared" si="1"/>
        <v>390</v>
      </c>
    </row>
    <row r="398" ht="15.75" customHeight="1">
      <c r="A398" s="7">
        <v>391.0</v>
      </c>
      <c r="B398" s="7" t="s">
        <v>3310</v>
      </c>
      <c r="C398" s="7">
        <v>4.0</v>
      </c>
      <c r="D398" s="7" t="s">
        <v>4906</v>
      </c>
      <c r="E398" s="7" t="s">
        <v>4935</v>
      </c>
      <c r="F398" s="7">
        <v>64.0</v>
      </c>
      <c r="G398" s="7">
        <v>78.0</v>
      </c>
      <c r="H398" s="7">
        <v>52.0</v>
      </c>
      <c r="I398" s="7"/>
      <c r="J398" s="7">
        <v>78.0</v>
      </c>
      <c r="K398" s="7">
        <v>52.0</v>
      </c>
      <c r="L398" s="7">
        <v>81.0</v>
      </c>
      <c r="M398" s="7" t="s">
        <v>2584</v>
      </c>
      <c r="N398" s="7"/>
      <c r="O398" s="7" t="s">
        <v>3487</v>
      </c>
      <c r="P398" s="7">
        <v>22.0</v>
      </c>
      <c r="Q398" s="7"/>
      <c r="R398" s="7">
        <f t="shared" si="1"/>
        <v>391</v>
      </c>
    </row>
    <row r="399" ht="15.75" customHeight="1">
      <c r="A399" s="7">
        <v>392.0</v>
      </c>
      <c r="B399" s="7" t="s">
        <v>3616</v>
      </c>
      <c r="C399" s="7">
        <v>4.0</v>
      </c>
      <c r="D399" s="7" t="s">
        <v>4906</v>
      </c>
      <c r="E399" s="7" t="s">
        <v>4935</v>
      </c>
      <c r="F399" s="7">
        <v>76.0</v>
      </c>
      <c r="G399" s="7">
        <v>104.0</v>
      </c>
      <c r="H399" s="7">
        <v>71.0</v>
      </c>
      <c r="I399" s="7"/>
      <c r="J399" s="7">
        <v>104.0</v>
      </c>
      <c r="K399" s="7">
        <v>71.0</v>
      </c>
      <c r="L399" s="7">
        <v>108.0</v>
      </c>
      <c r="M399" s="7" t="s">
        <v>2584</v>
      </c>
      <c r="N399" s="7"/>
      <c r="O399" s="7" t="s">
        <v>3487</v>
      </c>
      <c r="P399" s="7">
        <v>55.0</v>
      </c>
      <c r="Q399" s="7"/>
      <c r="R399" s="7">
        <f t="shared" si="1"/>
        <v>392</v>
      </c>
    </row>
    <row r="400" ht="15.75" customHeight="1">
      <c r="A400" s="7">
        <v>393.0</v>
      </c>
      <c r="B400" s="7" t="s">
        <v>2640</v>
      </c>
      <c r="C400" s="7">
        <v>4.0</v>
      </c>
      <c r="D400" s="7" t="s">
        <v>4908</v>
      </c>
      <c r="E400" s="7"/>
      <c r="F400" s="7">
        <v>53.0</v>
      </c>
      <c r="G400" s="7">
        <v>51.0</v>
      </c>
      <c r="H400" s="7">
        <v>53.0</v>
      </c>
      <c r="I400" s="7"/>
      <c r="J400" s="7">
        <v>61.0</v>
      </c>
      <c r="K400" s="7">
        <v>56.0</v>
      </c>
      <c r="L400" s="7">
        <v>40.0</v>
      </c>
      <c r="M400" s="7" t="s">
        <v>2590</v>
      </c>
      <c r="N400" s="7"/>
      <c r="O400" s="7" t="s">
        <v>3114</v>
      </c>
      <c r="P400" s="7">
        <v>5.2</v>
      </c>
      <c r="Q400" s="7"/>
      <c r="R400" s="7">
        <f t="shared" si="1"/>
        <v>393</v>
      </c>
    </row>
    <row r="401" ht="15.75" customHeight="1">
      <c r="A401" s="7">
        <v>394.0</v>
      </c>
      <c r="B401" s="7" t="s">
        <v>3316</v>
      </c>
      <c r="C401" s="7">
        <v>4.0</v>
      </c>
      <c r="D401" s="7" t="s">
        <v>4908</v>
      </c>
      <c r="E401" s="7"/>
      <c r="F401" s="7">
        <v>64.0</v>
      </c>
      <c r="G401" s="7">
        <v>66.0</v>
      </c>
      <c r="H401" s="7">
        <v>68.0</v>
      </c>
      <c r="I401" s="7"/>
      <c r="J401" s="7">
        <v>81.0</v>
      </c>
      <c r="K401" s="7">
        <v>76.0</v>
      </c>
      <c r="L401" s="7">
        <v>50.0</v>
      </c>
      <c r="M401" s="7" t="s">
        <v>2590</v>
      </c>
      <c r="N401" s="7"/>
      <c r="O401" s="7" t="s">
        <v>3114</v>
      </c>
      <c r="P401" s="7">
        <v>23.0</v>
      </c>
      <c r="Q401" s="7"/>
      <c r="R401" s="7">
        <f t="shared" si="1"/>
        <v>394</v>
      </c>
    </row>
    <row r="402" ht="15.75" customHeight="1">
      <c r="A402" s="7">
        <v>395.0</v>
      </c>
      <c r="B402" s="7" t="s">
        <v>3619</v>
      </c>
      <c r="C402" s="7">
        <v>4.0</v>
      </c>
      <c r="D402" s="7" t="s">
        <v>4908</v>
      </c>
      <c r="E402" s="7" t="s">
        <v>4975</v>
      </c>
      <c r="F402" s="7">
        <v>84.0</v>
      </c>
      <c r="G402" s="7">
        <v>86.0</v>
      </c>
      <c r="H402" s="7">
        <v>88.0</v>
      </c>
      <c r="I402" s="7"/>
      <c r="J402" s="7">
        <v>111.0</v>
      </c>
      <c r="K402" s="7">
        <v>101.0</v>
      </c>
      <c r="L402" s="7">
        <v>60.0</v>
      </c>
      <c r="M402" s="7" t="s">
        <v>2590</v>
      </c>
      <c r="N402" s="7"/>
      <c r="O402" s="7" t="s">
        <v>3114</v>
      </c>
      <c r="P402" s="7">
        <v>84.5</v>
      </c>
      <c r="Q402" s="7"/>
      <c r="R402" s="7">
        <f t="shared" si="1"/>
        <v>395</v>
      </c>
    </row>
    <row r="403" ht="15.75" customHeight="1">
      <c r="A403" s="7">
        <v>396.0</v>
      </c>
      <c r="B403" s="7" t="s">
        <v>2674</v>
      </c>
      <c r="C403" s="7">
        <v>4.0</v>
      </c>
      <c r="D403" s="7" t="s">
        <v>4916</v>
      </c>
      <c r="E403" s="7" t="s">
        <v>4907</v>
      </c>
      <c r="F403" s="7">
        <v>40.0</v>
      </c>
      <c r="G403" s="7">
        <v>55.0</v>
      </c>
      <c r="H403" s="7">
        <v>30.0</v>
      </c>
      <c r="I403" s="7"/>
      <c r="J403" s="7">
        <v>30.0</v>
      </c>
      <c r="K403" s="7">
        <v>30.0</v>
      </c>
      <c r="L403" s="7">
        <v>60.0</v>
      </c>
      <c r="M403" s="7" t="s">
        <v>2677</v>
      </c>
      <c r="N403" s="7"/>
      <c r="O403" s="7" t="s">
        <v>2891</v>
      </c>
      <c r="P403" s="7">
        <v>2.0</v>
      </c>
      <c r="Q403" s="7"/>
      <c r="R403" s="7">
        <f t="shared" si="1"/>
        <v>396</v>
      </c>
    </row>
    <row r="404" ht="15.75" customHeight="1">
      <c r="A404" s="7">
        <v>397.0</v>
      </c>
      <c r="B404" s="7" t="s">
        <v>3079</v>
      </c>
      <c r="C404" s="7">
        <v>4.0</v>
      </c>
      <c r="D404" s="7" t="s">
        <v>4916</v>
      </c>
      <c r="E404" s="7" t="s">
        <v>4907</v>
      </c>
      <c r="F404" s="7">
        <v>55.0</v>
      </c>
      <c r="G404" s="7">
        <v>75.0</v>
      </c>
      <c r="H404" s="7">
        <v>50.0</v>
      </c>
      <c r="I404" s="7"/>
      <c r="J404" s="7">
        <v>40.0</v>
      </c>
      <c r="K404" s="7">
        <v>40.0</v>
      </c>
      <c r="L404" s="7">
        <v>80.0</v>
      </c>
      <c r="M404" s="7" t="s">
        <v>2696</v>
      </c>
      <c r="N404" s="7"/>
      <c r="O404" s="7" t="s">
        <v>2891</v>
      </c>
      <c r="P404" s="7">
        <v>15.5</v>
      </c>
      <c r="Q404" s="7"/>
      <c r="R404" s="7">
        <f t="shared" si="1"/>
        <v>397</v>
      </c>
    </row>
    <row r="405" ht="15.75" customHeight="1">
      <c r="A405" s="7">
        <v>398.0</v>
      </c>
      <c r="B405" s="7" t="s">
        <v>3676</v>
      </c>
      <c r="C405" s="7">
        <v>4.0</v>
      </c>
      <c r="D405" s="7" t="s">
        <v>4916</v>
      </c>
      <c r="E405" s="7" t="s">
        <v>4907</v>
      </c>
      <c r="F405" s="7">
        <v>85.0</v>
      </c>
      <c r="G405" s="7">
        <v>120.0</v>
      </c>
      <c r="H405" s="7">
        <v>70.0</v>
      </c>
      <c r="I405" s="7"/>
      <c r="J405" s="7">
        <v>50.0</v>
      </c>
      <c r="K405" s="7">
        <f>IF($A$1&lt;6,50,60)</f>
        <v>60</v>
      </c>
      <c r="L405" s="7">
        <v>100.0</v>
      </c>
      <c r="M405" s="7" t="s">
        <v>2696</v>
      </c>
      <c r="N405" s="7"/>
      <c r="O405" s="7" t="s">
        <v>2891</v>
      </c>
      <c r="P405" s="7">
        <v>24.9</v>
      </c>
      <c r="Q405" s="7"/>
      <c r="R405" s="7">
        <f t="shared" si="1"/>
        <v>398</v>
      </c>
    </row>
    <row r="406" ht="15.75" customHeight="1">
      <c r="A406" s="7">
        <v>399.0</v>
      </c>
      <c r="B406" s="7" t="s">
        <v>2684</v>
      </c>
      <c r="C406" s="7">
        <v>4.0</v>
      </c>
      <c r="D406" s="7" t="s">
        <v>4916</v>
      </c>
      <c r="E406" s="7"/>
      <c r="F406" s="7">
        <v>59.0</v>
      </c>
      <c r="G406" s="7">
        <v>45.0</v>
      </c>
      <c r="H406" s="7">
        <v>40.0</v>
      </c>
      <c r="I406" s="7"/>
      <c r="J406" s="7">
        <v>35.0</v>
      </c>
      <c r="K406" s="7">
        <v>40.0</v>
      </c>
      <c r="L406" s="7">
        <v>31.0</v>
      </c>
      <c r="M406" s="7" t="s">
        <v>2689</v>
      </c>
      <c r="N406" s="7" t="s">
        <v>3971</v>
      </c>
      <c r="O406" s="7" t="s">
        <v>2786</v>
      </c>
      <c r="P406" s="7">
        <v>20.0</v>
      </c>
      <c r="Q406" s="7"/>
      <c r="R406" s="7">
        <f t="shared" si="1"/>
        <v>399</v>
      </c>
    </row>
    <row r="407" ht="15.75" customHeight="1">
      <c r="A407" s="7">
        <v>400.0</v>
      </c>
      <c r="B407" s="7" t="s">
        <v>3330</v>
      </c>
      <c r="C407" s="7">
        <v>4.0</v>
      </c>
      <c r="D407" s="7" t="s">
        <v>4916</v>
      </c>
      <c r="E407" s="7" t="s">
        <v>4908</v>
      </c>
      <c r="F407" s="7">
        <v>79.0</v>
      </c>
      <c r="G407" s="7">
        <v>85.0</v>
      </c>
      <c r="H407" s="7">
        <v>60.0</v>
      </c>
      <c r="I407" s="7"/>
      <c r="J407" s="7">
        <v>55.0</v>
      </c>
      <c r="K407" s="7">
        <v>60.0</v>
      </c>
      <c r="L407" s="7">
        <v>71.0</v>
      </c>
      <c r="M407" s="7" t="s">
        <v>2689</v>
      </c>
      <c r="N407" s="7" t="s">
        <v>3971</v>
      </c>
      <c r="O407" s="7" t="s">
        <v>2786</v>
      </c>
      <c r="P407" s="7">
        <v>31.5</v>
      </c>
      <c r="Q407" s="7"/>
      <c r="R407" s="7">
        <f t="shared" si="1"/>
        <v>400</v>
      </c>
    </row>
    <row r="408" ht="15.75" customHeight="1">
      <c r="A408" s="7">
        <v>401.0</v>
      </c>
      <c r="B408" s="7" t="s">
        <v>2647</v>
      </c>
      <c r="C408" s="7">
        <v>4.0</v>
      </c>
      <c r="D408" s="7" t="s">
        <v>4910</v>
      </c>
      <c r="E408" s="7"/>
      <c r="F408" s="7">
        <v>37.0</v>
      </c>
      <c r="G408" s="7">
        <v>25.0</v>
      </c>
      <c r="H408" s="7">
        <v>41.0</v>
      </c>
      <c r="I408" s="7"/>
      <c r="J408" s="7">
        <v>25.0</v>
      </c>
      <c r="K408" s="7">
        <v>41.0</v>
      </c>
      <c r="L408" s="7">
        <v>25.0</v>
      </c>
      <c r="M408" s="7" t="s">
        <v>2653</v>
      </c>
      <c r="N408" s="7"/>
      <c r="O408" s="7" t="s">
        <v>4911</v>
      </c>
      <c r="P408" s="7">
        <v>2.2</v>
      </c>
      <c r="Q408" s="7"/>
      <c r="R408" s="7">
        <f t="shared" si="1"/>
        <v>401</v>
      </c>
    </row>
    <row r="409" ht="15.75" customHeight="1">
      <c r="A409" s="7">
        <v>402.0</v>
      </c>
      <c r="B409" s="7" t="s">
        <v>3179</v>
      </c>
      <c r="C409" s="7">
        <v>4.0</v>
      </c>
      <c r="D409" s="7" t="s">
        <v>4910</v>
      </c>
      <c r="E409" s="7"/>
      <c r="F409" s="7">
        <v>77.0</v>
      </c>
      <c r="G409" s="7">
        <v>85.0</v>
      </c>
      <c r="H409" s="7">
        <v>51.0</v>
      </c>
      <c r="I409" s="7"/>
      <c r="J409" s="7">
        <v>55.0</v>
      </c>
      <c r="K409" s="7">
        <v>51.0</v>
      </c>
      <c r="L409" s="7">
        <v>65.0</v>
      </c>
      <c r="M409" s="7" t="s">
        <v>3181</v>
      </c>
      <c r="N409" s="7"/>
      <c r="O409" s="7" t="s">
        <v>3412</v>
      </c>
      <c r="P409" s="7">
        <v>25.5</v>
      </c>
      <c r="Q409" s="7"/>
      <c r="R409" s="7">
        <f t="shared" si="1"/>
        <v>402</v>
      </c>
    </row>
    <row r="410" ht="15.75" customHeight="1">
      <c r="A410" s="7">
        <v>403.0</v>
      </c>
      <c r="B410" s="7" t="s">
        <v>2691</v>
      </c>
      <c r="C410" s="7">
        <v>4.0</v>
      </c>
      <c r="D410" s="7" t="s">
        <v>4921</v>
      </c>
      <c r="E410" s="7"/>
      <c r="F410" s="7">
        <v>45.0</v>
      </c>
      <c r="G410" s="7">
        <v>65.0</v>
      </c>
      <c r="H410" s="7">
        <v>34.0</v>
      </c>
      <c r="I410" s="7"/>
      <c r="J410" s="7">
        <v>40.0</v>
      </c>
      <c r="K410" s="7">
        <v>34.0</v>
      </c>
      <c r="L410" s="7">
        <v>45.0</v>
      </c>
      <c r="M410" s="7" t="s">
        <v>4924</v>
      </c>
      <c r="N410" s="7" t="s">
        <v>2696</v>
      </c>
      <c r="O410" s="7" t="s">
        <v>2777</v>
      </c>
      <c r="P410" s="7">
        <v>9.5</v>
      </c>
      <c r="Q410" s="7"/>
      <c r="R410" s="7">
        <f t="shared" si="1"/>
        <v>403</v>
      </c>
    </row>
    <row r="411" ht="15.75" customHeight="1">
      <c r="A411" s="7">
        <v>404.0</v>
      </c>
      <c r="B411" s="7" t="s">
        <v>3147</v>
      </c>
      <c r="C411" s="7">
        <v>4.0</v>
      </c>
      <c r="D411" s="7" t="s">
        <v>4921</v>
      </c>
      <c r="E411" s="7"/>
      <c r="F411" s="7">
        <v>60.0</v>
      </c>
      <c r="G411" s="7">
        <v>85.0</v>
      </c>
      <c r="H411" s="7">
        <v>49.0</v>
      </c>
      <c r="I411" s="7"/>
      <c r="J411" s="7">
        <v>60.0</v>
      </c>
      <c r="K411" s="7">
        <v>49.0</v>
      </c>
      <c r="L411" s="7">
        <v>60.0</v>
      </c>
      <c r="M411" s="7" t="s">
        <v>4924</v>
      </c>
      <c r="N411" s="7" t="s">
        <v>2696</v>
      </c>
      <c r="O411" s="7" t="s">
        <v>2777</v>
      </c>
      <c r="P411" s="7">
        <v>30.5</v>
      </c>
      <c r="Q411" s="7"/>
      <c r="R411" s="7">
        <f t="shared" si="1"/>
        <v>404</v>
      </c>
    </row>
    <row r="412" ht="15.75" customHeight="1">
      <c r="A412" s="7">
        <v>405.0</v>
      </c>
      <c r="B412" s="7" t="s">
        <v>3811</v>
      </c>
      <c r="C412" s="7">
        <v>4.0</v>
      </c>
      <c r="D412" s="7" t="s">
        <v>4921</v>
      </c>
      <c r="E412" s="7"/>
      <c r="F412" s="7">
        <v>80.0</v>
      </c>
      <c r="G412" s="7">
        <v>120.0</v>
      </c>
      <c r="H412" s="7">
        <v>79.0</v>
      </c>
      <c r="I412" s="7"/>
      <c r="J412" s="7">
        <v>95.0</v>
      </c>
      <c r="K412" s="7">
        <v>79.0</v>
      </c>
      <c r="L412" s="7">
        <v>70.0</v>
      </c>
      <c r="M412" s="7" t="s">
        <v>4924</v>
      </c>
      <c r="N412" s="7" t="s">
        <v>2696</v>
      </c>
      <c r="O412" s="7" t="s">
        <v>2777</v>
      </c>
      <c r="P412" s="7">
        <v>42.0</v>
      </c>
      <c r="Q412" s="7"/>
      <c r="R412" s="7">
        <f t="shared" si="1"/>
        <v>405</v>
      </c>
    </row>
    <row r="413" ht="15.75" customHeight="1">
      <c r="A413" s="7">
        <v>406.0</v>
      </c>
      <c r="B413" s="7" t="s">
        <v>2703</v>
      </c>
      <c r="C413" s="7">
        <v>4.0</v>
      </c>
      <c r="D413" s="7" t="s">
        <v>4904</v>
      </c>
      <c r="E413" s="7" t="s">
        <v>4905</v>
      </c>
      <c r="F413" s="7">
        <v>40.0</v>
      </c>
      <c r="G413" s="7">
        <v>30.0</v>
      </c>
      <c r="H413" s="7">
        <v>35.0</v>
      </c>
      <c r="I413" s="7"/>
      <c r="J413" s="7">
        <v>50.0</v>
      </c>
      <c r="K413" s="7">
        <v>70.0</v>
      </c>
      <c r="L413" s="7">
        <v>55.0</v>
      </c>
      <c r="M413" s="7" t="s">
        <v>3169</v>
      </c>
      <c r="N413" s="7" t="s">
        <v>2708</v>
      </c>
      <c r="O413" s="7" t="s">
        <v>4948</v>
      </c>
      <c r="P413" s="7">
        <v>1.2</v>
      </c>
      <c r="Q413" s="7"/>
      <c r="R413" s="7">
        <f t="shared" si="1"/>
        <v>406</v>
      </c>
    </row>
    <row r="414" ht="15.75" customHeight="1">
      <c r="A414" s="7">
        <v>407.0</v>
      </c>
      <c r="B414" s="7" t="s">
        <v>3822</v>
      </c>
      <c r="C414" s="7">
        <v>4.0</v>
      </c>
      <c r="D414" s="7" t="s">
        <v>4904</v>
      </c>
      <c r="E414" s="7" t="s">
        <v>4905</v>
      </c>
      <c r="F414" s="7">
        <v>60.0</v>
      </c>
      <c r="G414" s="7">
        <v>70.0</v>
      </c>
      <c r="H414" s="7">
        <f>IF($A$1&lt;6,55,65)</f>
        <v>65</v>
      </c>
      <c r="I414" s="7"/>
      <c r="J414" s="7">
        <v>125.0</v>
      </c>
      <c r="K414" s="7">
        <v>105.0</v>
      </c>
      <c r="L414" s="7">
        <v>90.0</v>
      </c>
      <c r="M414" s="7" t="s">
        <v>3169</v>
      </c>
      <c r="N414" s="7" t="s">
        <v>2708</v>
      </c>
      <c r="O414" s="7" t="s">
        <v>3412</v>
      </c>
      <c r="P414" s="7">
        <v>14.5</v>
      </c>
      <c r="Q414" s="7"/>
      <c r="R414" s="7">
        <f t="shared" si="1"/>
        <v>407</v>
      </c>
    </row>
    <row r="415" ht="15.75" customHeight="1">
      <c r="A415" s="7">
        <v>408.0</v>
      </c>
      <c r="B415" s="7" t="s">
        <v>3101</v>
      </c>
      <c r="C415" s="7">
        <v>4.0</v>
      </c>
      <c r="D415" s="7" t="s">
        <v>4940</v>
      </c>
      <c r="E415" s="7"/>
      <c r="F415" s="7">
        <v>67.0</v>
      </c>
      <c r="G415" s="7">
        <v>125.0</v>
      </c>
      <c r="H415" s="7">
        <v>40.0</v>
      </c>
      <c r="I415" s="7"/>
      <c r="J415" s="7">
        <v>30.0</v>
      </c>
      <c r="K415" s="7">
        <v>30.0</v>
      </c>
      <c r="L415" s="7">
        <v>58.0</v>
      </c>
      <c r="M415" s="7" t="s">
        <v>3102</v>
      </c>
      <c r="N415" s="7"/>
      <c r="O415" s="7" t="s">
        <v>3745</v>
      </c>
      <c r="P415" s="7">
        <v>31.5</v>
      </c>
      <c r="Q415" s="7"/>
      <c r="R415" s="7">
        <f t="shared" si="1"/>
        <v>408</v>
      </c>
    </row>
    <row r="416" ht="15.75" customHeight="1">
      <c r="A416" s="7">
        <v>409.0</v>
      </c>
      <c r="B416" s="7" t="s">
        <v>3802</v>
      </c>
      <c r="C416" s="7">
        <v>4.0</v>
      </c>
      <c r="D416" s="7" t="s">
        <v>4940</v>
      </c>
      <c r="E416" s="7"/>
      <c r="F416" s="7">
        <v>97.0</v>
      </c>
      <c r="G416" s="7">
        <v>165.0</v>
      </c>
      <c r="H416" s="7">
        <v>60.0</v>
      </c>
      <c r="I416" s="7"/>
      <c r="J416" s="7">
        <v>65.0</v>
      </c>
      <c r="K416" s="7">
        <v>50.0</v>
      </c>
      <c r="L416" s="7">
        <v>58.0</v>
      </c>
      <c r="M416" s="7" t="s">
        <v>3102</v>
      </c>
      <c r="N416" s="7"/>
      <c r="O416" s="7" t="s">
        <v>3745</v>
      </c>
      <c r="P416" s="7">
        <v>102.5</v>
      </c>
      <c r="Q416" s="7"/>
      <c r="R416" s="7">
        <f t="shared" si="1"/>
        <v>409</v>
      </c>
    </row>
    <row r="417" ht="15.75" customHeight="1">
      <c r="A417" s="7">
        <v>410.0</v>
      </c>
      <c r="B417" s="7" t="s">
        <v>3104</v>
      </c>
      <c r="C417" s="7">
        <v>4.0</v>
      </c>
      <c r="D417" s="7" t="s">
        <v>4940</v>
      </c>
      <c r="E417" s="7" t="s">
        <v>4975</v>
      </c>
      <c r="F417" s="7">
        <v>30.0</v>
      </c>
      <c r="G417" s="7">
        <v>42.0</v>
      </c>
      <c r="H417" s="7">
        <v>118.0</v>
      </c>
      <c r="I417" s="7"/>
      <c r="J417" s="7">
        <v>42.0</v>
      </c>
      <c r="K417" s="7">
        <v>88.0</v>
      </c>
      <c r="L417" s="7">
        <v>30.0</v>
      </c>
      <c r="M417" s="7" t="s">
        <v>2728</v>
      </c>
      <c r="N417" s="7"/>
      <c r="O417" s="7" t="s">
        <v>2931</v>
      </c>
      <c r="P417" s="7">
        <v>57.0</v>
      </c>
      <c r="Q417" s="7"/>
      <c r="R417" s="7">
        <f t="shared" si="1"/>
        <v>410</v>
      </c>
    </row>
    <row r="418" ht="15.75" customHeight="1">
      <c r="A418" s="7">
        <v>411.0</v>
      </c>
      <c r="B418" s="7" t="s">
        <v>3753</v>
      </c>
      <c r="C418" s="7">
        <v>4.0</v>
      </c>
      <c r="D418" s="7" t="s">
        <v>4940</v>
      </c>
      <c r="E418" s="7" t="s">
        <v>4975</v>
      </c>
      <c r="F418" s="7">
        <v>60.0</v>
      </c>
      <c r="G418" s="7">
        <v>52.0</v>
      </c>
      <c r="H418" s="7">
        <v>168.0</v>
      </c>
      <c r="I418" s="7"/>
      <c r="J418" s="7">
        <v>47.0</v>
      </c>
      <c r="K418" s="7">
        <v>138.0</v>
      </c>
      <c r="L418" s="7">
        <v>30.0</v>
      </c>
      <c r="M418" s="7" t="s">
        <v>2728</v>
      </c>
      <c r="N418" s="7"/>
      <c r="O418" s="7" t="s">
        <v>2931</v>
      </c>
      <c r="P418" s="7">
        <v>149.5</v>
      </c>
      <c r="Q418" s="7"/>
      <c r="R418" s="7">
        <f t="shared" si="1"/>
        <v>411</v>
      </c>
    </row>
    <row r="419" ht="15.75" customHeight="1">
      <c r="A419" s="7">
        <v>412.0</v>
      </c>
      <c r="B419" s="7" t="s">
        <v>2664</v>
      </c>
      <c r="C419" s="7">
        <v>4.0</v>
      </c>
      <c r="D419" s="7" t="s">
        <v>4910</v>
      </c>
      <c r="E419" s="7"/>
      <c r="F419" s="7">
        <v>40.0</v>
      </c>
      <c r="G419" s="7">
        <v>29.0</v>
      </c>
      <c r="H419" s="7">
        <v>45.0</v>
      </c>
      <c r="I419" s="7"/>
      <c r="J419" s="7">
        <v>29.0</v>
      </c>
      <c r="K419" s="7">
        <v>45.0</v>
      </c>
      <c r="L419" s="7">
        <v>36.0</v>
      </c>
      <c r="M419" s="7" t="s">
        <v>2653</v>
      </c>
      <c r="N419" s="7"/>
      <c r="O419" s="7" t="s">
        <v>3367</v>
      </c>
      <c r="P419" s="7">
        <v>3.4</v>
      </c>
      <c r="Q419" s="7"/>
      <c r="R419" s="7">
        <f t="shared" si="1"/>
        <v>412</v>
      </c>
    </row>
    <row r="420" ht="15.75" customHeight="1">
      <c r="A420" s="7">
        <v>413.0</v>
      </c>
      <c r="B420" s="7" t="s">
        <v>3372</v>
      </c>
      <c r="C420" s="7">
        <v>4.0</v>
      </c>
      <c r="D420" s="7" t="s">
        <v>4910</v>
      </c>
      <c r="E420" s="7" t="s">
        <v>4904</v>
      </c>
      <c r="F420" s="7">
        <v>60.0</v>
      </c>
      <c r="G420" s="7">
        <v>59.0</v>
      </c>
      <c r="H420" s="7">
        <v>85.0</v>
      </c>
      <c r="I420" s="7"/>
      <c r="J420" s="7">
        <v>79.0</v>
      </c>
      <c r="K420" s="7">
        <v>105.0</v>
      </c>
      <c r="L420" s="7">
        <v>36.0</v>
      </c>
      <c r="M420" s="7" t="s">
        <v>4954</v>
      </c>
      <c r="N420" s="7"/>
      <c r="O420" s="7" t="s">
        <v>3367</v>
      </c>
      <c r="P420" s="7">
        <v>6.5</v>
      </c>
      <c r="Q420" s="7"/>
      <c r="R420" s="7">
        <f t="shared" si="1"/>
        <v>413</v>
      </c>
    </row>
    <row r="421" ht="15.75" customHeight="1">
      <c r="A421" s="7">
        <v>413.0</v>
      </c>
      <c r="B421" s="7" t="s">
        <v>5032</v>
      </c>
      <c r="C421" s="7">
        <v>4.0</v>
      </c>
      <c r="D421" s="7" t="s">
        <v>4910</v>
      </c>
      <c r="E421" s="7" t="s">
        <v>4922</v>
      </c>
      <c r="F421" s="7">
        <v>60.0</v>
      </c>
      <c r="G421" s="7">
        <v>79.0</v>
      </c>
      <c r="H421" s="7">
        <v>105.0</v>
      </c>
      <c r="I421" s="7"/>
      <c r="J421" s="7">
        <v>59.0</v>
      </c>
      <c r="K421" s="7">
        <v>85.0</v>
      </c>
      <c r="L421" s="7">
        <v>36.0</v>
      </c>
      <c r="M421" s="7" t="s">
        <v>4954</v>
      </c>
      <c r="N421" s="7"/>
      <c r="O421" s="7" t="s">
        <v>3367</v>
      </c>
      <c r="P421" s="7">
        <v>6.5</v>
      </c>
      <c r="Q421" s="7"/>
      <c r="R421" s="7">
        <f t="shared" si="1"/>
        <v>413</v>
      </c>
    </row>
    <row r="422" ht="15.75" customHeight="1">
      <c r="A422" s="7">
        <v>413.0</v>
      </c>
      <c r="B422" s="7" t="s">
        <v>5033</v>
      </c>
      <c r="C422" s="7">
        <v>4.0</v>
      </c>
      <c r="D422" s="7" t="s">
        <v>4910</v>
      </c>
      <c r="E422" s="7" t="s">
        <v>4975</v>
      </c>
      <c r="F422" s="7">
        <v>60.0</v>
      </c>
      <c r="G422" s="7">
        <v>69.0</v>
      </c>
      <c r="H422" s="7">
        <v>95.0</v>
      </c>
      <c r="I422" s="7"/>
      <c r="J422" s="7">
        <v>69.0</v>
      </c>
      <c r="K422" s="7">
        <v>95.0</v>
      </c>
      <c r="L422" s="7">
        <v>36.0</v>
      </c>
      <c r="M422" s="7" t="s">
        <v>4954</v>
      </c>
      <c r="N422" s="7"/>
      <c r="O422" s="7" t="s">
        <v>3367</v>
      </c>
      <c r="P422" s="7">
        <v>6.5</v>
      </c>
      <c r="Q422" s="7"/>
      <c r="R422" s="7">
        <f t="shared" si="1"/>
        <v>413</v>
      </c>
    </row>
    <row r="423" ht="15.75" customHeight="1">
      <c r="A423" s="7">
        <v>414.0</v>
      </c>
      <c r="B423" s="7" t="s">
        <v>3374</v>
      </c>
      <c r="C423" s="7">
        <v>4.0</v>
      </c>
      <c r="D423" s="7" t="s">
        <v>4910</v>
      </c>
      <c r="E423" s="7" t="s">
        <v>4907</v>
      </c>
      <c r="F423" s="7">
        <v>70.0</v>
      </c>
      <c r="G423" s="7">
        <v>94.0</v>
      </c>
      <c r="H423" s="7">
        <v>50.0</v>
      </c>
      <c r="I423" s="7"/>
      <c r="J423" s="7">
        <v>94.0</v>
      </c>
      <c r="K423" s="7">
        <v>50.0</v>
      </c>
      <c r="L423" s="7">
        <v>66.0</v>
      </c>
      <c r="M423" s="7" t="s">
        <v>3181</v>
      </c>
      <c r="N423" s="7"/>
      <c r="O423" s="7" t="s">
        <v>3240</v>
      </c>
      <c r="P423" s="7">
        <v>13.3</v>
      </c>
      <c r="Q423" s="7"/>
      <c r="R423" s="7">
        <f t="shared" si="1"/>
        <v>414</v>
      </c>
    </row>
    <row r="424" ht="15.75" customHeight="1">
      <c r="A424" s="7">
        <v>415.0</v>
      </c>
      <c r="B424" s="7" t="s">
        <v>2679</v>
      </c>
      <c r="C424" s="7">
        <v>4.0</v>
      </c>
      <c r="D424" s="7" t="s">
        <v>4910</v>
      </c>
      <c r="E424" s="7" t="s">
        <v>4907</v>
      </c>
      <c r="F424" s="7">
        <v>30.0</v>
      </c>
      <c r="G424" s="7">
        <v>30.0</v>
      </c>
      <c r="H424" s="7">
        <v>42.0</v>
      </c>
      <c r="I424" s="7"/>
      <c r="J424" s="7">
        <v>30.0</v>
      </c>
      <c r="K424" s="7">
        <v>42.0</v>
      </c>
      <c r="L424" s="7">
        <v>70.0</v>
      </c>
      <c r="M424" s="7" t="s">
        <v>2682</v>
      </c>
      <c r="N424" s="7"/>
      <c r="O424" s="7" t="s">
        <v>3924</v>
      </c>
      <c r="P424" s="7">
        <v>5.5</v>
      </c>
      <c r="Q424" s="7"/>
      <c r="R424" s="7">
        <f t="shared" si="1"/>
        <v>415</v>
      </c>
    </row>
    <row r="425" ht="15.75" customHeight="1">
      <c r="A425" s="7">
        <v>416.0</v>
      </c>
      <c r="B425" s="7" t="s">
        <v>3666</v>
      </c>
      <c r="C425" s="7">
        <v>4.0</v>
      </c>
      <c r="D425" s="7" t="s">
        <v>4910</v>
      </c>
      <c r="E425" s="7" t="s">
        <v>4907</v>
      </c>
      <c r="F425" s="7">
        <v>70.0</v>
      </c>
      <c r="G425" s="7">
        <v>80.0</v>
      </c>
      <c r="H425" s="7">
        <v>102.0</v>
      </c>
      <c r="I425" s="7"/>
      <c r="J425" s="7">
        <v>80.0</v>
      </c>
      <c r="K425" s="7">
        <v>102.0</v>
      </c>
      <c r="L425" s="7">
        <v>40.0</v>
      </c>
      <c r="M425" s="7" t="s">
        <v>3499</v>
      </c>
      <c r="N425" s="7"/>
      <c r="O425" s="7" t="s">
        <v>4441</v>
      </c>
      <c r="P425" s="7">
        <v>38.5</v>
      </c>
      <c r="Q425" s="7"/>
      <c r="R425" s="7">
        <f t="shared" si="1"/>
        <v>416</v>
      </c>
    </row>
    <row r="426" ht="15.75" customHeight="1">
      <c r="A426" s="7">
        <v>417.0</v>
      </c>
      <c r="B426" s="7" t="s">
        <v>3277</v>
      </c>
      <c r="C426" s="7">
        <v>4.0</v>
      </c>
      <c r="D426" s="7" t="s">
        <v>4921</v>
      </c>
      <c r="E426" s="7"/>
      <c r="F426" s="7">
        <v>60.0</v>
      </c>
      <c r="G426" s="7">
        <v>45.0</v>
      </c>
      <c r="H426" s="7">
        <v>70.0</v>
      </c>
      <c r="I426" s="7"/>
      <c r="J426" s="7">
        <v>45.0</v>
      </c>
      <c r="K426" s="7">
        <v>90.0</v>
      </c>
      <c r="L426" s="7">
        <v>95.0</v>
      </c>
      <c r="M426" s="7" t="s">
        <v>4911</v>
      </c>
      <c r="N426" s="7" t="s">
        <v>3005</v>
      </c>
      <c r="O426" s="7" t="s">
        <v>3000</v>
      </c>
      <c r="P426" s="7">
        <v>3.9</v>
      </c>
      <c r="Q426" s="7"/>
      <c r="R426" s="7">
        <f t="shared" si="1"/>
        <v>417</v>
      </c>
    </row>
    <row r="427" ht="15.75" customHeight="1">
      <c r="A427" s="7">
        <v>418.0</v>
      </c>
      <c r="B427" s="7" t="s">
        <v>3030</v>
      </c>
      <c r="C427" s="7">
        <v>4.0</v>
      </c>
      <c r="D427" s="7" t="s">
        <v>4908</v>
      </c>
      <c r="E427" s="7"/>
      <c r="F427" s="7">
        <v>55.0</v>
      </c>
      <c r="G427" s="7">
        <v>65.0</v>
      </c>
      <c r="H427" s="7">
        <v>35.0</v>
      </c>
      <c r="I427" s="7"/>
      <c r="J427" s="7">
        <v>60.0</v>
      </c>
      <c r="K427" s="7">
        <v>30.0</v>
      </c>
      <c r="L427" s="7">
        <v>85.0</v>
      </c>
      <c r="M427" s="7" t="s">
        <v>3028</v>
      </c>
      <c r="N427" s="7"/>
      <c r="O427" s="7" t="s">
        <v>4521</v>
      </c>
      <c r="P427" s="7">
        <v>29.5</v>
      </c>
      <c r="Q427" s="7"/>
      <c r="R427" s="7">
        <f t="shared" si="1"/>
        <v>418</v>
      </c>
    </row>
    <row r="428" ht="15.75" customHeight="1">
      <c r="A428" s="7">
        <v>419.0</v>
      </c>
      <c r="B428" s="7" t="s">
        <v>3756</v>
      </c>
      <c r="C428" s="7">
        <v>4.0</v>
      </c>
      <c r="D428" s="7" t="s">
        <v>4908</v>
      </c>
      <c r="E428" s="7"/>
      <c r="F428" s="7">
        <v>85.0</v>
      </c>
      <c r="G428" s="7">
        <v>105.0</v>
      </c>
      <c r="H428" s="7">
        <v>55.0</v>
      </c>
      <c r="I428" s="7"/>
      <c r="J428" s="7">
        <v>85.0</v>
      </c>
      <c r="K428" s="7">
        <v>50.0</v>
      </c>
      <c r="L428" s="7">
        <v>115.0</v>
      </c>
      <c r="M428" s="7" t="s">
        <v>3028</v>
      </c>
      <c r="N428" s="7"/>
      <c r="O428" s="7" t="s">
        <v>4521</v>
      </c>
      <c r="P428" s="7">
        <v>33.5</v>
      </c>
      <c r="Q428" s="7"/>
      <c r="R428" s="7">
        <f t="shared" si="1"/>
        <v>419</v>
      </c>
    </row>
    <row r="429" ht="15.75" customHeight="1">
      <c r="A429" s="7">
        <v>420.0</v>
      </c>
      <c r="B429" s="7" t="s">
        <v>2698</v>
      </c>
      <c r="C429" s="7">
        <v>4.0</v>
      </c>
      <c r="D429" s="7" t="s">
        <v>4904</v>
      </c>
      <c r="E429" s="7"/>
      <c r="F429" s="7">
        <v>45.0</v>
      </c>
      <c r="G429" s="7">
        <v>35.0</v>
      </c>
      <c r="H429" s="7">
        <v>45.0</v>
      </c>
      <c r="I429" s="7"/>
      <c r="J429" s="7">
        <v>62.0</v>
      </c>
      <c r="K429" s="7">
        <v>53.0</v>
      </c>
      <c r="L429" s="7">
        <v>35.0</v>
      </c>
      <c r="M429" s="7" t="s">
        <v>2701</v>
      </c>
      <c r="N429" s="7"/>
      <c r="O429" s="7"/>
      <c r="P429" s="7">
        <v>3.3</v>
      </c>
      <c r="Q429" s="7"/>
      <c r="R429" s="7">
        <f t="shared" si="1"/>
        <v>420</v>
      </c>
    </row>
    <row r="430" ht="15.75" customHeight="1">
      <c r="A430" s="7">
        <v>421.0</v>
      </c>
      <c r="B430" s="7" t="s">
        <v>3349</v>
      </c>
      <c r="C430" s="7">
        <v>4.0</v>
      </c>
      <c r="D430" s="7" t="s">
        <v>4904</v>
      </c>
      <c r="E430" s="7"/>
      <c r="F430" s="7">
        <v>70.0</v>
      </c>
      <c r="G430" s="7">
        <v>60.0</v>
      </c>
      <c r="H430" s="7">
        <v>70.0</v>
      </c>
      <c r="I430" s="7"/>
      <c r="J430" s="7">
        <v>87.0</v>
      </c>
      <c r="K430" s="7">
        <v>78.0</v>
      </c>
      <c r="L430" s="7">
        <v>85.0</v>
      </c>
      <c r="M430" s="7" t="s">
        <v>3352</v>
      </c>
      <c r="N430" s="7"/>
      <c r="O430" s="7"/>
      <c r="P430" s="7">
        <v>9.3</v>
      </c>
      <c r="Q430" s="7"/>
      <c r="R430" s="7">
        <f t="shared" si="1"/>
        <v>421</v>
      </c>
    </row>
    <row r="431" ht="15.75" customHeight="1">
      <c r="A431" s="7">
        <v>422.0</v>
      </c>
      <c r="B431" s="7" t="s">
        <v>2985</v>
      </c>
      <c r="C431" s="7">
        <v>4.0</v>
      </c>
      <c r="D431" s="7" t="s">
        <v>4908</v>
      </c>
      <c r="E431" s="7"/>
      <c r="F431" s="7">
        <v>76.0</v>
      </c>
      <c r="G431" s="7">
        <v>48.0</v>
      </c>
      <c r="H431" s="7">
        <v>48.0</v>
      </c>
      <c r="I431" s="7"/>
      <c r="J431" s="7">
        <v>57.0</v>
      </c>
      <c r="K431" s="7">
        <v>62.0</v>
      </c>
      <c r="L431" s="7">
        <v>34.0</v>
      </c>
      <c r="M431" s="7" t="s">
        <v>3532</v>
      </c>
      <c r="N431" s="7" t="s">
        <v>2988</v>
      </c>
      <c r="O431" s="7" t="s">
        <v>4319</v>
      </c>
      <c r="P431" s="7">
        <v>6.3</v>
      </c>
      <c r="Q431" s="7"/>
      <c r="R431" s="7">
        <f t="shared" si="1"/>
        <v>422</v>
      </c>
    </row>
    <row r="432" ht="15.75" customHeight="1">
      <c r="A432" s="7">
        <v>423.0</v>
      </c>
      <c r="B432" s="7" t="s">
        <v>3678</v>
      </c>
      <c r="C432" s="7">
        <v>4.0</v>
      </c>
      <c r="D432" s="7" t="s">
        <v>4908</v>
      </c>
      <c r="E432" s="7" t="s">
        <v>4922</v>
      </c>
      <c r="F432" s="7">
        <v>111.0</v>
      </c>
      <c r="G432" s="7">
        <v>83.0</v>
      </c>
      <c r="H432" s="7">
        <v>68.0</v>
      </c>
      <c r="I432" s="7"/>
      <c r="J432" s="7">
        <v>92.0</v>
      </c>
      <c r="K432" s="7">
        <v>82.0</v>
      </c>
      <c r="L432" s="7">
        <v>39.0</v>
      </c>
      <c r="M432" s="7" t="s">
        <v>3532</v>
      </c>
      <c r="N432" s="7" t="s">
        <v>2988</v>
      </c>
      <c r="O432" s="7" t="s">
        <v>4319</v>
      </c>
      <c r="P432" s="7">
        <v>29.9</v>
      </c>
      <c r="Q432" s="7"/>
      <c r="R432" s="7">
        <f t="shared" si="1"/>
        <v>423</v>
      </c>
    </row>
    <row r="433" ht="15.75" customHeight="1">
      <c r="A433" s="7">
        <v>424.0</v>
      </c>
      <c r="B433" s="7" t="s">
        <v>3706</v>
      </c>
      <c r="C433" s="7">
        <v>4.0</v>
      </c>
      <c r="D433" s="7" t="s">
        <v>4916</v>
      </c>
      <c r="E433" s="7"/>
      <c r="F433" s="7">
        <v>75.0</v>
      </c>
      <c r="G433" s="7">
        <v>100.0</v>
      </c>
      <c r="H433" s="7">
        <v>66.0</v>
      </c>
      <c r="I433" s="7"/>
      <c r="J433" s="7">
        <v>60.0</v>
      </c>
      <c r="K433" s="7">
        <v>66.0</v>
      </c>
      <c r="L433" s="7">
        <v>115.0</v>
      </c>
      <c r="M433" s="7" t="s">
        <v>3412</v>
      </c>
      <c r="N433" s="7" t="s">
        <v>3005</v>
      </c>
      <c r="O433" s="7" t="s">
        <v>3131</v>
      </c>
      <c r="P433" s="7">
        <v>20.3</v>
      </c>
      <c r="Q433" s="7"/>
      <c r="R433" s="7">
        <f t="shared" si="1"/>
        <v>424</v>
      </c>
    </row>
    <row r="434" ht="15.75" customHeight="1">
      <c r="A434" s="7">
        <v>425.0</v>
      </c>
      <c r="B434" s="7" t="s">
        <v>3093</v>
      </c>
      <c r="C434" s="7">
        <v>4.0</v>
      </c>
      <c r="D434" s="7" t="s">
        <v>4945</v>
      </c>
      <c r="E434" s="7" t="s">
        <v>4907</v>
      </c>
      <c r="F434" s="7">
        <v>90.0</v>
      </c>
      <c r="G434" s="7">
        <v>50.0</v>
      </c>
      <c r="H434" s="7">
        <v>34.0</v>
      </c>
      <c r="I434" s="7"/>
      <c r="J434" s="7">
        <v>60.0</v>
      </c>
      <c r="K434" s="7">
        <v>44.0</v>
      </c>
      <c r="L434" s="7">
        <v>70.0</v>
      </c>
      <c r="M434" s="7" t="s">
        <v>2995</v>
      </c>
      <c r="N434" s="7" t="s">
        <v>3763</v>
      </c>
      <c r="O434" s="7" t="s">
        <v>5034</v>
      </c>
      <c r="P434" s="7">
        <v>1.2</v>
      </c>
      <c r="Q434" s="7"/>
      <c r="R434" s="7">
        <f t="shared" si="1"/>
        <v>425</v>
      </c>
    </row>
    <row r="435" ht="15.75" customHeight="1">
      <c r="A435" s="7">
        <v>426.0</v>
      </c>
      <c r="B435" s="7" t="s">
        <v>3761</v>
      </c>
      <c r="C435" s="7">
        <v>4.0</v>
      </c>
      <c r="D435" s="7" t="s">
        <v>4945</v>
      </c>
      <c r="E435" s="7" t="s">
        <v>4907</v>
      </c>
      <c r="F435" s="7">
        <v>150.0</v>
      </c>
      <c r="G435" s="7">
        <v>80.0</v>
      </c>
      <c r="H435" s="7">
        <v>44.0</v>
      </c>
      <c r="I435" s="7"/>
      <c r="J435" s="7">
        <v>90.0</v>
      </c>
      <c r="K435" s="7">
        <v>54.0</v>
      </c>
      <c r="L435" s="7">
        <v>80.0</v>
      </c>
      <c r="M435" s="7" t="s">
        <v>2995</v>
      </c>
      <c r="N435" s="7" t="s">
        <v>3763</v>
      </c>
      <c r="O435" s="7" t="s">
        <v>5034</v>
      </c>
      <c r="P435" s="7">
        <v>15.0</v>
      </c>
      <c r="Q435" s="7"/>
      <c r="R435" s="7">
        <f t="shared" si="1"/>
        <v>426</v>
      </c>
    </row>
    <row r="436" ht="15.75" customHeight="1">
      <c r="A436" s="7">
        <v>427.0</v>
      </c>
      <c r="B436" s="7" t="s">
        <v>3107</v>
      </c>
      <c r="C436" s="7">
        <v>4.0</v>
      </c>
      <c r="D436" s="7" t="s">
        <v>4916</v>
      </c>
      <c r="E436" s="7"/>
      <c r="F436" s="7">
        <v>55.0</v>
      </c>
      <c r="G436" s="7">
        <v>66.0</v>
      </c>
      <c r="H436" s="7">
        <v>44.0</v>
      </c>
      <c r="I436" s="7"/>
      <c r="J436" s="7">
        <v>44.0</v>
      </c>
      <c r="K436" s="7">
        <v>56.0</v>
      </c>
      <c r="L436" s="7">
        <v>85.0</v>
      </c>
      <c r="M436" s="7" t="s">
        <v>4911</v>
      </c>
      <c r="N436" s="7" t="s">
        <v>5035</v>
      </c>
      <c r="O436" s="7" t="s">
        <v>2853</v>
      </c>
      <c r="P436" s="7">
        <v>5.5</v>
      </c>
      <c r="Q436" s="7"/>
      <c r="R436" s="7">
        <f t="shared" si="1"/>
        <v>427</v>
      </c>
    </row>
    <row r="437" ht="15.75" customHeight="1">
      <c r="A437" s="7">
        <v>428.0</v>
      </c>
      <c r="B437" s="7" t="s">
        <v>3702</v>
      </c>
      <c r="C437" s="7">
        <v>4.0</v>
      </c>
      <c r="D437" s="7" t="s">
        <v>4916</v>
      </c>
      <c r="E437" s="7"/>
      <c r="F437" s="7">
        <v>65.0</v>
      </c>
      <c r="G437" s="7">
        <v>76.0</v>
      </c>
      <c r="H437" s="7">
        <v>84.0</v>
      </c>
      <c r="I437" s="7"/>
      <c r="J437" s="7">
        <v>54.0</v>
      </c>
      <c r="K437" s="7">
        <v>96.0</v>
      </c>
      <c r="L437" s="7">
        <v>105.0</v>
      </c>
      <c r="M437" s="7" t="s">
        <v>3172</v>
      </c>
      <c r="N437" s="7" t="s">
        <v>5035</v>
      </c>
      <c r="O437" s="7" t="s">
        <v>2853</v>
      </c>
      <c r="P437" s="7">
        <v>33.3</v>
      </c>
      <c r="Q437" s="7"/>
      <c r="R437" s="7">
        <f t="shared" si="1"/>
        <v>428</v>
      </c>
    </row>
    <row r="438" ht="15.75" customHeight="1">
      <c r="A438" s="7">
        <v>429.0</v>
      </c>
      <c r="B438" s="7" t="s">
        <v>3758</v>
      </c>
      <c r="C438" s="7">
        <v>4.0</v>
      </c>
      <c r="D438" s="7" t="s">
        <v>4945</v>
      </c>
      <c r="E438" s="7"/>
      <c r="F438" s="7">
        <v>60.0</v>
      </c>
      <c r="G438" s="7">
        <v>60.0</v>
      </c>
      <c r="H438" s="7">
        <v>60.0</v>
      </c>
      <c r="I438" s="7"/>
      <c r="J438" s="7">
        <v>105.0</v>
      </c>
      <c r="K438" s="7">
        <v>105.0</v>
      </c>
      <c r="L438" s="7">
        <v>105.0</v>
      </c>
      <c r="M438" s="7" t="s">
        <v>2714</v>
      </c>
      <c r="N438" s="7"/>
      <c r="O438" s="7"/>
      <c r="P438" s="7">
        <v>4.4</v>
      </c>
      <c r="Q438" s="7"/>
      <c r="R438" s="7">
        <f t="shared" si="1"/>
        <v>429</v>
      </c>
    </row>
    <row r="439" ht="15.75" customHeight="1">
      <c r="A439" s="7">
        <v>430.0</v>
      </c>
      <c r="B439" s="7" t="s">
        <v>3824</v>
      </c>
      <c r="C439" s="7">
        <v>4.0</v>
      </c>
      <c r="D439" s="7" t="s">
        <v>4972</v>
      </c>
      <c r="E439" s="7" t="s">
        <v>4907</v>
      </c>
      <c r="F439" s="7">
        <v>100.0</v>
      </c>
      <c r="G439" s="7">
        <v>125.0</v>
      </c>
      <c r="H439" s="7">
        <v>52.0</v>
      </c>
      <c r="I439" s="7"/>
      <c r="J439" s="7">
        <v>105.0</v>
      </c>
      <c r="K439" s="7">
        <v>52.0</v>
      </c>
      <c r="L439" s="7">
        <v>71.0</v>
      </c>
      <c r="M439" s="7" t="s">
        <v>2735</v>
      </c>
      <c r="N439" s="7" t="s">
        <v>3826</v>
      </c>
      <c r="O439" s="7" t="s">
        <v>3788</v>
      </c>
      <c r="P439" s="7">
        <v>27.3</v>
      </c>
      <c r="Q439" s="7"/>
      <c r="R439" s="7">
        <f t="shared" si="1"/>
        <v>430</v>
      </c>
    </row>
    <row r="440" ht="15.75" customHeight="1">
      <c r="A440" s="7">
        <v>431.0</v>
      </c>
      <c r="B440" s="7" t="s">
        <v>2851</v>
      </c>
      <c r="C440" s="7">
        <v>4.0</v>
      </c>
      <c r="D440" s="7" t="s">
        <v>4916</v>
      </c>
      <c r="E440" s="7"/>
      <c r="F440" s="7">
        <v>49.0</v>
      </c>
      <c r="G440" s="7">
        <v>55.0</v>
      </c>
      <c r="H440" s="7">
        <v>42.0</v>
      </c>
      <c r="I440" s="7"/>
      <c r="J440" s="7">
        <v>42.0</v>
      </c>
      <c r="K440" s="7">
        <v>37.0</v>
      </c>
      <c r="L440" s="7">
        <v>85.0</v>
      </c>
      <c r="M440" s="7" t="s">
        <v>2853</v>
      </c>
      <c r="N440" s="7" t="s">
        <v>3145</v>
      </c>
      <c r="O440" s="7" t="s">
        <v>2677</v>
      </c>
      <c r="P440" s="7">
        <v>3.9</v>
      </c>
      <c r="Q440" s="7"/>
      <c r="R440" s="7">
        <f t="shared" si="1"/>
        <v>431</v>
      </c>
    </row>
    <row r="441" ht="15.75" customHeight="1">
      <c r="A441" s="7">
        <v>432.0</v>
      </c>
      <c r="B441" s="7" t="s">
        <v>3468</v>
      </c>
      <c r="C441" s="7">
        <v>4.0</v>
      </c>
      <c r="D441" s="7" t="s">
        <v>4916</v>
      </c>
      <c r="E441" s="7"/>
      <c r="F441" s="7">
        <v>71.0</v>
      </c>
      <c r="G441" s="7">
        <v>82.0</v>
      </c>
      <c r="H441" s="7">
        <v>64.0</v>
      </c>
      <c r="I441" s="7"/>
      <c r="J441" s="7">
        <v>64.0</v>
      </c>
      <c r="K441" s="7">
        <v>59.0</v>
      </c>
      <c r="L441" s="7">
        <v>112.0</v>
      </c>
      <c r="M441" s="7" t="s">
        <v>2968</v>
      </c>
      <c r="N441" s="7" t="s">
        <v>3145</v>
      </c>
      <c r="O441" s="7" t="s">
        <v>3114</v>
      </c>
      <c r="P441" s="7">
        <v>43.8</v>
      </c>
      <c r="Q441" s="7"/>
      <c r="R441" s="7">
        <f t="shared" si="1"/>
        <v>432</v>
      </c>
    </row>
    <row r="442" ht="15.75" customHeight="1">
      <c r="A442" s="7">
        <v>433.0</v>
      </c>
      <c r="B442" s="7" t="s">
        <v>5036</v>
      </c>
      <c r="C442" s="7">
        <v>4.0</v>
      </c>
      <c r="D442" s="7" t="s">
        <v>2659</v>
      </c>
      <c r="E442" s="7"/>
      <c r="F442" s="7">
        <v>45.0</v>
      </c>
      <c r="G442" s="7">
        <v>30.0</v>
      </c>
      <c r="H442" s="7">
        <v>50.0</v>
      </c>
      <c r="I442" s="7"/>
      <c r="J442" s="7">
        <v>65.0</v>
      </c>
      <c r="K442" s="7">
        <v>50.0</v>
      </c>
      <c r="L442" s="7">
        <v>45.0</v>
      </c>
      <c r="M442" s="7" t="s">
        <v>2714</v>
      </c>
      <c r="N442" s="7"/>
      <c r="O442" s="7"/>
      <c r="P442" s="7">
        <v>0.6</v>
      </c>
      <c r="Q442" s="7"/>
      <c r="R442" s="7">
        <f t="shared" si="1"/>
        <v>433</v>
      </c>
    </row>
    <row r="443" ht="15.75" customHeight="1">
      <c r="A443" s="7">
        <v>434.0</v>
      </c>
      <c r="B443" s="7" t="s">
        <v>2992</v>
      </c>
      <c r="C443" s="7">
        <v>4.0</v>
      </c>
      <c r="D443" s="7" t="s">
        <v>4905</v>
      </c>
      <c r="E443" s="7" t="s">
        <v>4972</v>
      </c>
      <c r="F443" s="7">
        <v>63.0</v>
      </c>
      <c r="G443" s="7">
        <v>63.0</v>
      </c>
      <c r="H443" s="7">
        <v>47.0</v>
      </c>
      <c r="I443" s="7"/>
      <c r="J443" s="7">
        <v>41.0</v>
      </c>
      <c r="K443" s="7">
        <v>41.0</v>
      </c>
      <c r="L443" s="7">
        <v>74.0</v>
      </c>
      <c r="M443" s="7" t="s">
        <v>2973</v>
      </c>
      <c r="N443" s="7" t="s">
        <v>2995</v>
      </c>
      <c r="O443" s="7" t="s">
        <v>2677</v>
      </c>
      <c r="P443" s="7">
        <v>19.2</v>
      </c>
      <c r="Q443" s="7"/>
      <c r="R443" s="7">
        <f t="shared" si="1"/>
        <v>434</v>
      </c>
    </row>
    <row r="444" ht="15.75" customHeight="1">
      <c r="A444" s="7">
        <v>435.0</v>
      </c>
      <c r="B444" s="7" t="s">
        <v>3680</v>
      </c>
      <c r="C444" s="7">
        <v>4.0</v>
      </c>
      <c r="D444" s="7" t="s">
        <v>4905</v>
      </c>
      <c r="E444" s="7" t="s">
        <v>4972</v>
      </c>
      <c r="F444" s="7">
        <v>103.0</v>
      </c>
      <c r="G444" s="7">
        <v>93.0</v>
      </c>
      <c r="H444" s="7">
        <v>67.0</v>
      </c>
      <c r="I444" s="7"/>
      <c r="J444" s="7">
        <v>71.0</v>
      </c>
      <c r="K444" s="7">
        <v>61.0</v>
      </c>
      <c r="L444" s="7">
        <v>84.0</v>
      </c>
      <c r="M444" s="7" t="s">
        <v>2973</v>
      </c>
      <c r="N444" s="7" t="s">
        <v>2995</v>
      </c>
      <c r="O444" s="7" t="s">
        <v>2677</v>
      </c>
      <c r="P444" s="7">
        <v>38.0</v>
      </c>
      <c r="Q444" s="7"/>
      <c r="R444" s="7">
        <f t="shared" si="1"/>
        <v>435</v>
      </c>
    </row>
    <row r="445" ht="15.75" customHeight="1">
      <c r="A445" s="7">
        <v>436.0</v>
      </c>
      <c r="B445" s="7" t="s">
        <v>2794</v>
      </c>
      <c r="C445" s="7">
        <v>4.0</v>
      </c>
      <c r="D445" s="7" t="s">
        <v>4975</v>
      </c>
      <c r="E445" s="7" t="s">
        <v>2659</v>
      </c>
      <c r="F445" s="7">
        <v>57.0</v>
      </c>
      <c r="G445" s="7">
        <v>24.0</v>
      </c>
      <c r="H445" s="7">
        <v>86.0</v>
      </c>
      <c r="I445" s="7"/>
      <c r="J445" s="7">
        <v>24.0</v>
      </c>
      <c r="K445" s="7">
        <v>86.0</v>
      </c>
      <c r="L445" s="7">
        <v>23.0</v>
      </c>
      <c r="M445" s="7" t="s">
        <v>2714</v>
      </c>
      <c r="N445" s="7" t="s">
        <v>5037</v>
      </c>
      <c r="O445" s="7" t="s">
        <v>5008</v>
      </c>
      <c r="P445" s="7">
        <v>60.5</v>
      </c>
      <c r="Q445" s="7"/>
      <c r="R445" s="7">
        <f t="shared" si="1"/>
        <v>436</v>
      </c>
    </row>
    <row r="446" ht="15.75" customHeight="1">
      <c r="A446" s="7">
        <v>437.0</v>
      </c>
      <c r="B446" s="7" t="s">
        <v>3805</v>
      </c>
      <c r="C446" s="7">
        <v>4.0</v>
      </c>
      <c r="D446" s="7" t="s">
        <v>4975</v>
      </c>
      <c r="E446" s="7" t="s">
        <v>2659</v>
      </c>
      <c r="F446" s="7">
        <v>67.0</v>
      </c>
      <c r="G446" s="7">
        <v>89.0</v>
      </c>
      <c r="H446" s="7">
        <v>116.0</v>
      </c>
      <c r="I446" s="7"/>
      <c r="J446" s="7">
        <v>79.0</v>
      </c>
      <c r="K446" s="7">
        <v>116.0</v>
      </c>
      <c r="L446" s="7">
        <v>33.0</v>
      </c>
      <c r="M446" s="7" t="s">
        <v>2714</v>
      </c>
      <c r="N446" s="7" t="s">
        <v>5037</v>
      </c>
      <c r="O446" s="7" t="s">
        <v>5008</v>
      </c>
      <c r="P446" s="7">
        <v>187.0</v>
      </c>
      <c r="Q446" s="7"/>
      <c r="R446" s="7">
        <f t="shared" si="1"/>
        <v>437</v>
      </c>
    </row>
    <row r="447" ht="15.75" customHeight="1">
      <c r="A447" s="7">
        <v>438.0</v>
      </c>
      <c r="B447" s="7" t="s">
        <v>2722</v>
      </c>
      <c r="C447" s="7">
        <v>4.0</v>
      </c>
      <c r="D447" s="7" t="s">
        <v>4940</v>
      </c>
      <c r="E447" s="7"/>
      <c r="F447" s="7">
        <v>50.0</v>
      </c>
      <c r="G447" s="7">
        <v>80.0</v>
      </c>
      <c r="H447" s="7">
        <v>95.0</v>
      </c>
      <c r="I447" s="7"/>
      <c r="J447" s="7">
        <v>10.0</v>
      </c>
      <c r="K447" s="7">
        <v>45.0</v>
      </c>
      <c r="L447" s="7">
        <v>10.0</v>
      </c>
      <c r="M447" s="7" t="s">
        <v>2728</v>
      </c>
      <c r="N447" s="7" t="s">
        <v>2792</v>
      </c>
      <c r="O447" s="7" t="s">
        <v>4951</v>
      </c>
      <c r="P447" s="7">
        <v>15.0</v>
      </c>
      <c r="Q447" s="7"/>
      <c r="R447" s="7">
        <f t="shared" si="1"/>
        <v>438</v>
      </c>
    </row>
    <row r="448" ht="15.75" customHeight="1">
      <c r="A448" s="7">
        <v>439.0</v>
      </c>
      <c r="B448" s="7" t="s">
        <v>2930</v>
      </c>
      <c r="C448" s="7">
        <v>4.0</v>
      </c>
      <c r="D448" s="7" t="s">
        <v>2659</v>
      </c>
      <c r="E448" s="7" t="str">
        <f>IF($A$1&lt;6,"","Fairy")</f>
        <v>Fairy</v>
      </c>
      <c r="F448" s="7">
        <v>20.0</v>
      </c>
      <c r="G448" s="7">
        <v>25.0</v>
      </c>
      <c r="H448" s="7">
        <v>45.0</v>
      </c>
      <c r="I448" s="7"/>
      <c r="J448" s="7">
        <v>70.0</v>
      </c>
      <c r="K448" s="7">
        <v>90.0</v>
      </c>
      <c r="L448" s="7">
        <v>60.0</v>
      </c>
      <c r="M448" s="7" t="s">
        <v>2931</v>
      </c>
      <c r="N448" s="7" t="s">
        <v>3646</v>
      </c>
      <c r="O448" s="7" t="s">
        <v>3412</v>
      </c>
      <c r="P448" s="7">
        <v>13.0</v>
      </c>
      <c r="Q448" s="7"/>
      <c r="R448" s="7">
        <f t="shared" si="1"/>
        <v>439</v>
      </c>
    </row>
    <row r="449" ht="15.75" customHeight="1">
      <c r="A449" s="7">
        <v>440.0</v>
      </c>
      <c r="B449" s="7" t="s">
        <v>2655</v>
      </c>
      <c r="C449" s="7">
        <v>4.0</v>
      </c>
      <c r="D449" s="7" t="s">
        <v>4916</v>
      </c>
      <c r="E449" s="7"/>
      <c r="F449" s="7">
        <v>100.0</v>
      </c>
      <c r="G449" s="7">
        <v>5.0</v>
      </c>
      <c r="H449" s="7">
        <v>5.0</v>
      </c>
      <c r="I449" s="7"/>
      <c r="J449" s="7">
        <v>15.0</v>
      </c>
      <c r="K449" s="7">
        <v>65.0</v>
      </c>
      <c r="L449" s="7">
        <v>30.0</v>
      </c>
      <c r="M449" s="7" t="s">
        <v>3169</v>
      </c>
      <c r="N449" s="7" t="s">
        <v>2662</v>
      </c>
      <c r="O449" s="7" t="s">
        <v>4926</v>
      </c>
      <c r="P449" s="7">
        <v>24.4</v>
      </c>
      <c r="Q449" s="7"/>
      <c r="R449" s="7">
        <f t="shared" si="1"/>
        <v>440</v>
      </c>
    </row>
    <row r="450" ht="15.75" customHeight="1">
      <c r="A450" s="7">
        <v>441.0</v>
      </c>
      <c r="B450" s="7" t="s">
        <v>3334</v>
      </c>
      <c r="C450" s="7">
        <v>4.0</v>
      </c>
      <c r="D450" s="7" t="s">
        <v>4916</v>
      </c>
      <c r="E450" s="7" t="s">
        <v>4907</v>
      </c>
      <c r="F450" s="7">
        <v>76.0</v>
      </c>
      <c r="G450" s="7">
        <v>65.0</v>
      </c>
      <c r="H450" s="7">
        <v>45.0</v>
      </c>
      <c r="I450" s="7"/>
      <c r="J450" s="7">
        <v>92.0</v>
      </c>
      <c r="K450" s="7">
        <v>42.0</v>
      </c>
      <c r="L450" s="7">
        <v>91.0</v>
      </c>
      <c r="M450" s="7" t="s">
        <v>2677</v>
      </c>
      <c r="N450" s="7" t="s">
        <v>4917</v>
      </c>
      <c r="O450" s="7" t="s">
        <v>3097</v>
      </c>
      <c r="P450" s="7">
        <v>1.9</v>
      </c>
      <c r="Q450" s="7"/>
      <c r="R450" s="7">
        <f t="shared" si="1"/>
        <v>441</v>
      </c>
    </row>
    <row r="451" ht="15.75" customHeight="1">
      <c r="A451" s="7">
        <v>442.0</v>
      </c>
      <c r="B451" s="7" t="s">
        <v>4552</v>
      </c>
      <c r="C451" s="7">
        <v>4.0</v>
      </c>
      <c r="D451" s="7" t="s">
        <v>4945</v>
      </c>
      <c r="E451" s="7" t="s">
        <v>4972</v>
      </c>
      <c r="F451" s="7">
        <v>50.0</v>
      </c>
      <c r="G451" s="7">
        <v>92.0</v>
      </c>
      <c r="H451" s="7">
        <v>108.0</v>
      </c>
      <c r="I451" s="7"/>
      <c r="J451" s="7">
        <v>92.0</v>
      </c>
      <c r="K451" s="7">
        <v>108.0</v>
      </c>
      <c r="L451" s="7">
        <v>35.0</v>
      </c>
      <c r="M451" s="7" t="s">
        <v>3499</v>
      </c>
      <c r="N451" s="7"/>
      <c r="O451" s="7" t="s">
        <v>4553</v>
      </c>
      <c r="P451" s="7">
        <v>108.0</v>
      </c>
      <c r="Q451" s="7"/>
      <c r="R451" s="7">
        <f t="shared" si="1"/>
        <v>442</v>
      </c>
    </row>
    <row r="452" ht="15.75" customHeight="1">
      <c r="A452" s="7">
        <v>443.0</v>
      </c>
      <c r="B452" s="7" t="s">
        <v>2800</v>
      </c>
      <c r="C452" s="7">
        <v>4.0</v>
      </c>
      <c r="D452" s="7" t="s">
        <v>4956</v>
      </c>
      <c r="E452" s="7" t="s">
        <v>4922</v>
      </c>
      <c r="F452" s="7">
        <v>58.0</v>
      </c>
      <c r="G452" s="7">
        <v>70.0</v>
      </c>
      <c r="H452" s="7">
        <v>45.0</v>
      </c>
      <c r="I452" s="7"/>
      <c r="J452" s="7">
        <v>40.0</v>
      </c>
      <c r="K452" s="7">
        <v>45.0</v>
      </c>
      <c r="L452" s="7">
        <v>42.0</v>
      </c>
      <c r="M452" s="7" t="s">
        <v>4005</v>
      </c>
      <c r="N452" s="7"/>
      <c r="O452" s="7" t="s">
        <v>2803</v>
      </c>
      <c r="P452" s="7">
        <v>20.5</v>
      </c>
      <c r="Q452" s="7"/>
      <c r="R452" s="7">
        <f t="shared" si="1"/>
        <v>443</v>
      </c>
    </row>
    <row r="453" ht="15.75" customHeight="1">
      <c r="A453" s="7">
        <v>444.0</v>
      </c>
      <c r="B453" s="7" t="s">
        <v>3332</v>
      </c>
      <c r="C453" s="7">
        <v>4.0</v>
      </c>
      <c r="D453" s="7" t="s">
        <v>4956</v>
      </c>
      <c r="E453" s="7" t="s">
        <v>4922</v>
      </c>
      <c r="F453" s="7">
        <v>68.0</v>
      </c>
      <c r="G453" s="7">
        <v>90.0</v>
      </c>
      <c r="H453" s="7">
        <v>65.0</v>
      </c>
      <c r="I453" s="7"/>
      <c r="J453" s="7">
        <v>50.0</v>
      </c>
      <c r="K453" s="7">
        <v>55.0</v>
      </c>
      <c r="L453" s="7">
        <v>82.0</v>
      </c>
      <c r="M453" s="7" t="s">
        <v>4005</v>
      </c>
      <c r="N453" s="7"/>
      <c r="O453" s="7" t="s">
        <v>2803</v>
      </c>
      <c r="P453" s="7">
        <v>56.0</v>
      </c>
      <c r="Q453" s="7"/>
      <c r="R453" s="7">
        <f t="shared" si="1"/>
        <v>444</v>
      </c>
    </row>
    <row r="454" ht="15.75" customHeight="1">
      <c r="A454" s="7">
        <v>445.0</v>
      </c>
      <c r="B454" s="7" t="s">
        <v>3936</v>
      </c>
      <c r="C454" s="7">
        <v>4.0</v>
      </c>
      <c r="D454" s="7" t="s">
        <v>4956</v>
      </c>
      <c r="E454" s="7" t="s">
        <v>4922</v>
      </c>
      <c r="F454" s="7">
        <v>108.0</v>
      </c>
      <c r="G454" s="7">
        <v>130.0</v>
      </c>
      <c r="H454" s="7">
        <v>95.0</v>
      </c>
      <c r="I454" s="7"/>
      <c r="J454" s="7">
        <v>80.0</v>
      </c>
      <c r="K454" s="7">
        <v>85.0</v>
      </c>
      <c r="L454" s="7">
        <v>102.0</v>
      </c>
      <c r="M454" s="7" t="s">
        <v>4005</v>
      </c>
      <c r="N454" s="7"/>
      <c r="O454" s="7" t="s">
        <v>2803</v>
      </c>
      <c r="P454" s="7">
        <v>95.0</v>
      </c>
      <c r="Q454" s="7"/>
      <c r="R454" s="7">
        <f t="shared" si="1"/>
        <v>445</v>
      </c>
    </row>
    <row r="455" ht="15.75" customHeight="1">
      <c r="A455" s="7">
        <v>446.0</v>
      </c>
      <c r="B455" s="7" t="s">
        <v>3219</v>
      </c>
      <c r="C455" s="7">
        <v>4.0</v>
      </c>
      <c r="D455" s="7" t="s">
        <v>4916</v>
      </c>
      <c r="E455" s="7"/>
      <c r="F455" s="7">
        <v>135.0</v>
      </c>
      <c r="G455" s="7">
        <v>85.0</v>
      </c>
      <c r="H455" s="7">
        <v>40.0</v>
      </c>
      <c r="I455" s="7"/>
      <c r="J455" s="7">
        <v>40.0</v>
      </c>
      <c r="K455" s="7">
        <v>85.0</v>
      </c>
      <c r="L455" s="7">
        <v>5.0</v>
      </c>
      <c r="M455" s="7" t="s">
        <v>3005</v>
      </c>
      <c r="N455" s="7" t="s">
        <v>2968</v>
      </c>
      <c r="O455" s="7" t="s">
        <v>3207</v>
      </c>
      <c r="P455" s="7">
        <v>105.0</v>
      </c>
      <c r="Q455" s="7"/>
      <c r="R455" s="7">
        <f t="shared" si="1"/>
        <v>446</v>
      </c>
    </row>
    <row r="456" ht="15.75" customHeight="1">
      <c r="A456" s="7">
        <v>447.0</v>
      </c>
      <c r="B456" s="7" t="s">
        <v>2716</v>
      </c>
      <c r="C456" s="7">
        <v>4.0</v>
      </c>
      <c r="D456" s="7" t="s">
        <v>4935</v>
      </c>
      <c r="E456" s="7"/>
      <c r="F456" s="7">
        <v>40.0</v>
      </c>
      <c r="G456" s="7">
        <v>70.0</v>
      </c>
      <c r="H456" s="7">
        <v>40.0</v>
      </c>
      <c r="I456" s="7"/>
      <c r="J456" s="7">
        <v>35.0</v>
      </c>
      <c r="K456" s="7">
        <v>40.0</v>
      </c>
      <c r="L456" s="7">
        <v>60.0</v>
      </c>
      <c r="M456" s="7" t="s">
        <v>4075</v>
      </c>
      <c r="N456" s="7" t="s">
        <v>3233</v>
      </c>
      <c r="O456" s="7" t="s">
        <v>2720</v>
      </c>
      <c r="P456" s="7">
        <v>20.5</v>
      </c>
      <c r="Q456" s="7"/>
      <c r="R456" s="7">
        <f t="shared" si="1"/>
        <v>447</v>
      </c>
    </row>
    <row r="457" ht="15.75" customHeight="1">
      <c r="A457" s="7">
        <v>448.0</v>
      </c>
      <c r="B457" s="7" t="s">
        <v>3876</v>
      </c>
      <c r="C457" s="7">
        <v>4.0</v>
      </c>
      <c r="D457" s="7" t="s">
        <v>4935</v>
      </c>
      <c r="E457" s="7" t="s">
        <v>4975</v>
      </c>
      <c r="F457" s="7">
        <v>70.0</v>
      </c>
      <c r="G457" s="7">
        <v>110.0</v>
      </c>
      <c r="H457" s="7">
        <v>70.0</v>
      </c>
      <c r="I457" s="7"/>
      <c r="J457" s="7">
        <v>115.0</v>
      </c>
      <c r="K457" s="7">
        <v>70.0</v>
      </c>
      <c r="L457" s="7">
        <v>90.0</v>
      </c>
      <c r="M457" s="7" t="s">
        <v>4075</v>
      </c>
      <c r="N457" s="7" t="s">
        <v>3233</v>
      </c>
      <c r="O457" s="7" t="s">
        <v>3853</v>
      </c>
      <c r="P457" s="7">
        <v>54.0</v>
      </c>
      <c r="Q457" s="7"/>
      <c r="R457" s="7">
        <f t="shared" si="1"/>
        <v>448</v>
      </c>
    </row>
    <row r="458" ht="15.75" customHeight="1">
      <c r="A458" s="7">
        <v>449.0</v>
      </c>
      <c r="B458" s="7" t="s">
        <v>3033</v>
      </c>
      <c r="C458" s="7">
        <v>4.0</v>
      </c>
      <c r="D458" s="7" t="s">
        <v>4922</v>
      </c>
      <c r="E458" s="7"/>
      <c r="F458" s="7">
        <v>68.0</v>
      </c>
      <c r="G458" s="7">
        <v>72.0</v>
      </c>
      <c r="H458" s="7">
        <v>78.0</v>
      </c>
      <c r="I458" s="7"/>
      <c r="J458" s="7">
        <v>38.0</v>
      </c>
      <c r="K458" s="7">
        <v>42.0</v>
      </c>
      <c r="L458" s="7">
        <v>32.0</v>
      </c>
      <c r="M458" s="7" t="s">
        <v>3034</v>
      </c>
      <c r="N458" s="7"/>
      <c r="O458" s="7" t="s">
        <v>4319</v>
      </c>
      <c r="P458" s="7">
        <v>49.5</v>
      </c>
      <c r="Q458" s="7"/>
      <c r="R458" s="7">
        <f t="shared" si="1"/>
        <v>449</v>
      </c>
    </row>
    <row r="459" ht="15.75" customHeight="1">
      <c r="A459" s="7">
        <v>450.0</v>
      </c>
      <c r="B459" s="7" t="s">
        <v>3879</v>
      </c>
      <c r="C459" s="7">
        <v>4.0</v>
      </c>
      <c r="D459" s="7" t="s">
        <v>4922</v>
      </c>
      <c r="E459" s="7"/>
      <c r="F459" s="7">
        <v>108.0</v>
      </c>
      <c r="G459" s="7">
        <v>112.0</v>
      </c>
      <c r="H459" s="7">
        <v>118.0</v>
      </c>
      <c r="I459" s="7"/>
      <c r="J459" s="7">
        <v>68.0</v>
      </c>
      <c r="K459" s="7">
        <v>72.0</v>
      </c>
      <c r="L459" s="7">
        <v>47.0</v>
      </c>
      <c r="M459" s="7" t="s">
        <v>3034</v>
      </c>
      <c r="N459" s="7"/>
      <c r="O459" s="7" t="s">
        <v>4319</v>
      </c>
      <c r="P459" s="7">
        <v>300.0</v>
      </c>
      <c r="Q459" s="7"/>
      <c r="R459" s="7">
        <f t="shared" si="1"/>
        <v>450</v>
      </c>
    </row>
    <row r="460" ht="15.75" customHeight="1">
      <c r="A460" s="7">
        <v>451.0</v>
      </c>
      <c r="B460" s="7" t="s">
        <v>3036</v>
      </c>
      <c r="C460" s="7">
        <v>4.0</v>
      </c>
      <c r="D460" s="7" t="s">
        <v>4905</v>
      </c>
      <c r="E460" s="7" t="s">
        <v>4910</v>
      </c>
      <c r="F460" s="7">
        <v>40.0</v>
      </c>
      <c r="G460" s="7">
        <v>50.0</v>
      </c>
      <c r="H460" s="7">
        <v>90.0</v>
      </c>
      <c r="I460" s="7"/>
      <c r="J460" s="7">
        <v>30.0</v>
      </c>
      <c r="K460" s="7">
        <v>55.0</v>
      </c>
      <c r="L460" s="7">
        <v>65.0</v>
      </c>
      <c r="M460" s="7" t="s">
        <v>2945</v>
      </c>
      <c r="N460" s="7" t="s">
        <v>2773</v>
      </c>
      <c r="O460" s="7" t="s">
        <v>2677</v>
      </c>
      <c r="P460" s="7">
        <v>12.0</v>
      </c>
      <c r="Q460" s="7"/>
      <c r="R460" s="7">
        <f t="shared" si="1"/>
        <v>451</v>
      </c>
    </row>
    <row r="461" ht="15.75" customHeight="1">
      <c r="A461" s="7">
        <v>452.0</v>
      </c>
      <c r="B461" s="7" t="s">
        <v>3807</v>
      </c>
      <c r="C461" s="7">
        <v>4.0</v>
      </c>
      <c r="D461" s="7" t="s">
        <v>4905</v>
      </c>
      <c r="E461" s="7" t="s">
        <v>4972</v>
      </c>
      <c r="F461" s="7">
        <v>70.0</v>
      </c>
      <c r="G461" s="7">
        <v>90.0</v>
      </c>
      <c r="H461" s="7">
        <v>110.0</v>
      </c>
      <c r="I461" s="7"/>
      <c r="J461" s="7">
        <v>60.0</v>
      </c>
      <c r="K461" s="7">
        <v>75.0</v>
      </c>
      <c r="L461" s="7">
        <v>95.0</v>
      </c>
      <c r="M461" s="7" t="s">
        <v>2945</v>
      </c>
      <c r="N461" s="7" t="s">
        <v>2773</v>
      </c>
      <c r="O461" s="7" t="s">
        <v>2677</v>
      </c>
      <c r="P461" s="7">
        <v>61.5</v>
      </c>
      <c r="Q461" s="7"/>
      <c r="R461" s="7">
        <f t="shared" si="1"/>
        <v>452</v>
      </c>
    </row>
    <row r="462" ht="15.75" customHeight="1">
      <c r="A462" s="7">
        <v>453.0</v>
      </c>
      <c r="B462" s="7" t="s">
        <v>2805</v>
      </c>
      <c r="C462" s="7">
        <v>4.0</v>
      </c>
      <c r="D462" s="7" t="s">
        <v>4905</v>
      </c>
      <c r="E462" s="7" t="s">
        <v>4935</v>
      </c>
      <c r="F462" s="7">
        <v>48.0</v>
      </c>
      <c r="G462" s="7">
        <v>61.0</v>
      </c>
      <c r="H462" s="7">
        <v>40.0</v>
      </c>
      <c r="I462" s="7"/>
      <c r="J462" s="7">
        <v>61.0</v>
      </c>
      <c r="K462" s="7">
        <v>40.0</v>
      </c>
      <c r="L462" s="7">
        <v>50.0</v>
      </c>
      <c r="M462" s="7" t="s">
        <v>4954</v>
      </c>
      <c r="N462" s="7" t="s">
        <v>3642</v>
      </c>
      <c r="O462" s="7" t="s">
        <v>2808</v>
      </c>
      <c r="P462" s="7">
        <v>23.0</v>
      </c>
      <c r="Q462" s="7"/>
      <c r="R462" s="7">
        <f t="shared" si="1"/>
        <v>453</v>
      </c>
    </row>
    <row r="463" ht="15.75" customHeight="1">
      <c r="A463" s="7">
        <v>454.0</v>
      </c>
      <c r="B463" s="7" t="s">
        <v>3740</v>
      </c>
      <c r="C463" s="7">
        <v>4.0</v>
      </c>
      <c r="D463" s="7" t="s">
        <v>4905</v>
      </c>
      <c r="E463" s="7" t="s">
        <v>4935</v>
      </c>
      <c r="F463" s="7">
        <v>83.0</v>
      </c>
      <c r="G463" s="7">
        <v>106.0</v>
      </c>
      <c r="H463" s="7">
        <v>65.0</v>
      </c>
      <c r="I463" s="7"/>
      <c r="J463" s="7">
        <v>86.0</v>
      </c>
      <c r="K463" s="7">
        <v>65.0</v>
      </c>
      <c r="L463" s="7">
        <v>85.0</v>
      </c>
      <c r="M463" s="7" t="s">
        <v>4954</v>
      </c>
      <c r="N463" s="7" t="s">
        <v>3642</v>
      </c>
      <c r="O463" s="7" t="s">
        <v>2808</v>
      </c>
      <c r="P463" s="7">
        <v>44.4</v>
      </c>
      <c r="Q463" s="7"/>
      <c r="R463" s="7">
        <f t="shared" si="1"/>
        <v>454</v>
      </c>
    </row>
    <row r="464" ht="15.75" customHeight="1">
      <c r="A464" s="7">
        <v>455.0</v>
      </c>
      <c r="B464" s="7" t="s">
        <v>3470</v>
      </c>
      <c r="C464" s="7">
        <v>4.0</v>
      </c>
      <c r="D464" s="7" t="s">
        <v>4904</v>
      </c>
      <c r="E464" s="7"/>
      <c r="F464" s="7">
        <v>74.0</v>
      </c>
      <c r="G464" s="7">
        <v>100.0</v>
      </c>
      <c r="H464" s="7">
        <v>72.0</v>
      </c>
      <c r="I464" s="7"/>
      <c r="J464" s="7">
        <v>90.0</v>
      </c>
      <c r="K464" s="7">
        <v>72.0</v>
      </c>
      <c r="L464" s="7">
        <v>46.0</v>
      </c>
      <c r="M464" s="7" t="s">
        <v>2714</v>
      </c>
      <c r="N464" s="7"/>
      <c r="O464" s="7"/>
      <c r="P464" s="7">
        <v>27.0</v>
      </c>
      <c r="Q464" s="7"/>
      <c r="R464" s="7">
        <f t="shared" si="1"/>
        <v>455</v>
      </c>
    </row>
    <row r="465" ht="15.75" customHeight="1">
      <c r="A465" s="7">
        <v>456.0</v>
      </c>
      <c r="B465" s="7" t="s">
        <v>3041</v>
      </c>
      <c r="C465" s="7">
        <v>4.0</v>
      </c>
      <c r="D465" s="7" t="s">
        <v>4908</v>
      </c>
      <c r="E465" s="7"/>
      <c r="F465" s="7">
        <v>49.0</v>
      </c>
      <c r="G465" s="7">
        <v>49.0</v>
      </c>
      <c r="H465" s="7">
        <v>56.0</v>
      </c>
      <c r="I465" s="7"/>
      <c r="J465" s="7">
        <v>49.0</v>
      </c>
      <c r="K465" s="7">
        <v>61.0</v>
      </c>
      <c r="L465" s="7">
        <v>66.0</v>
      </c>
      <c r="M465" s="7" t="s">
        <v>3028</v>
      </c>
      <c r="N465" s="7" t="s">
        <v>2988</v>
      </c>
      <c r="O465" s="7" t="s">
        <v>4521</v>
      </c>
      <c r="P465" s="7">
        <v>7.0</v>
      </c>
      <c r="Q465" s="7"/>
      <c r="R465" s="7">
        <f t="shared" si="1"/>
        <v>456</v>
      </c>
    </row>
    <row r="466" ht="15.75" customHeight="1">
      <c r="A466" s="7">
        <v>457.0</v>
      </c>
      <c r="B466" s="7" t="s">
        <v>3519</v>
      </c>
      <c r="C466" s="7">
        <v>4.0</v>
      </c>
      <c r="D466" s="7" t="s">
        <v>4908</v>
      </c>
      <c r="E466" s="7"/>
      <c r="F466" s="7">
        <v>69.0</v>
      </c>
      <c r="G466" s="7">
        <v>69.0</v>
      </c>
      <c r="H466" s="7">
        <v>76.0</v>
      </c>
      <c r="I466" s="7"/>
      <c r="J466" s="7">
        <v>69.0</v>
      </c>
      <c r="K466" s="7">
        <v>86.0</v>
      </c>
      <c r="L466" s="7">
        <v>91.0</v>
      </c>
      <c r="M466" s="7" t="s">
        <v>3028</v>
      </c>
      <c r="N466" s="7" t="s">
        <v>2988</v>
      </c>
      <c r="O466" s="7" t="s">
        <v>4521</v>
      </c>
      <c r="P466" s="7">
        <v>24.0</v>
      </c>
      <c r="Q466" s="7"/>
      <c r="R466" s="7">
        <f t="shared" si="1"/>
        <v>457</v>
      </c>
    </row>
    <row r="467" ht="15.75" customHeight="1">
      <c r="A467" s="7">
        <v>458.0</v>
      </c>
      <c r="B467" s="7" t="s">
        <v>3090</v>
      </c>
      <c r="C467" s="7">
        <v>4.0</v>
      </c>
      <c r="D467" s="7" t="s">
        <v>4908</v>
      </c>
      <c r="E467" s="7" t="s">
        <v>4907</v>
      </c>
      <c r="F467" s="7">
        <v>45.0</v>
      </c>
      <c r="G467" s="7">
        <v>20.0</v>
      </c>
      <c r="H467" s="7">
        <v>50.0</v>
      </c>
      <c r="I467" s="7"/>
      <c r="J467" s="7">
        <v>60.0</v>
      </c>
      <c r="K467" s="7">
        <v>120.0</v>
      </c>
      <c r="L467" s="7">
        <v>50.0</v>
      </c>
      <c r="M467" s="7" t="s">
        <v>3028</v>
      </c>
      <c r="N467" s="7" t="s">
        <v>3059</v>
      </c>
      <c r="O467" s="7" t="s">
        <v>4521</v>
      </c>
      <c r="P467" s="7">
        <v>65.0</v>
      </c>
      <c r="Q467" s="7"/>
      <c r="R467" s="7">
        <f t="shared" si="1"/>
        <v>458</v>
      </c>
    </row>
    <row r="468" ht="15.75" customHeight="1">
      <c r="A468" s="7">
        <v>459.0</v>
      </c>
      <c r="B468" s="7" t="s">
        <v>3045</v>
      </c>
      <c r="C468" s="7">
        <v>4.0</v>
      </c>
      <c r="D468" s="7" t="s">
        <v>4904</v>
      </c>
      <c r="E468" s="7" t="s">
        <v>4942</v>
      </c>
      <c r="F468" s="7">
        <v>60.0</v>
      </c>
      <c r="G468" s="7">
        <v>62.0</v>
      </c>
      <c r="H468" s="7">
        <v>50.0</v>
      </c>
      <c r="I468" s="7"/>
      <c r="J468" s="7">
        <v>62.0</v>
      </c>
      <c r="K468" s="7">
        <v>60.0</v>
      </c>
      <c r="L468" s="7">
        <v>40.0</v>
      </c>
      <c r="M468" s="7" t="s">
        <v>3049</v>
      </c>
      <c r="N468" s="7"/>
      <c r="O468" s="7" t="s">
        <v>2931</v>
      </c>
      <c r="P468" s="7">
        <v>50.5</v>
      </c>
      <c r="Q468" s="7"/>
      <c r="R468" s="7">
        <f t="shared" si="1"/>
        <v>459</v>
      </c>
    </row>
    <row r="469" ht="15.75" customHeight="1">
      <c r="A469" s="7">
        <v>460.0</v>
      </c>
      <c r="B469" s="7" t="s">
        <v>3742</v>
      </c>
      <c r="C469" s="7">
        <v>4.0</v>
      </c>
      <c r="D469" s="7" t="s">
        <v>4904</v>
      </c>
      <c r="E469" s="7" t="s">
        <v>4942</v>
      </c>
      <c r="F469" s="7">
        <v>90.0</v>
      </c>
      <c r="G469" s="7">
        <v>92.0</v>
      </c>
      <c r="H469" s="7">
        <v>75.0</v>
      </c>
      <c r="I469" s="7"/>
      <c r="J469" s="7">
        <v>92.0</v>
      </c>
      <c r="K469" s="7">
        <v>85.0</v>
      </c>
      <c r="L469" s="7">
        <v>60.0</v>
      </c>
      <c r="M469" s="7" t="s">
        <v>3049</v>
      </c>
      <c r="N469" s="7"/>
      <c r="O469" s="7" t="s">
        <v>2931</v>
      </c>
      <c r="P469" s="7">
        <v>135.5</v>
      </c>
      <c r="Q469" s="7"/>
      <c r="R469" s="7">
        <f t="shared" si="1"/>
        <v>460</v>
      </c>
    </row>
    <row r="470" ht="15.75" customHeight="1">
      <c r="A470" s="7">
        <v>461.0</v>
      </c>
      <c r="B470" s="7" t="s">
        <v>3830</v>
      </c>
      <c r="C470" s="7">
        <v>4.0</v>
      </c>
      <c r="D470" s="7" t="s">
        <v>4972</v>
      </c>
      <c r="E470" s="7" t="s">
        <v>4942</v>
      </c>
      <c r="F470" s="7">
        <v>70.0</v>
      </c>
      <c r="G470" s="7">
        <v>120.0</v>
      </c>
      <c r="H470" s="7">
        <v>65.0</v>
      </c>
      <c r="I470" s="7"/>
      <c r="J470" s="7">
        <v>45.0</v>
      </c>
      <c r="K470" s="7">
        <v>85.0</v>
      </c>
      <c r="L470" s="7">
        <v>125.0</v>
      </c>
      <c r="M470" s="7" t="s">
        <v>3499</v>
      </c>
      <c r="N470" s="7"/>
      <c r="O470" s="7" t="s">
        <v>3392</v>
      </c>
      <c r="P470" s="7">
        <v>34.0</v>
      </c>
      <c r="Q470" s="7"/>
      <c r="R470" s="7">
        <f t="shared" si="1"/>
        <v>461</v>
      </c>
    </row>
    <row r="471" ht="15.75" customHeight="1">
      <c r="A471" s="7">
        <v>462.0</v>
      </c>
      <c r="B471" s="7" t="s">
        <v>3900</v>
      </c>
      <c r="C471" s="7">
        <v>4.0</v>
      </c>
      <c r="D471" s="7" t="s">
        <v>4921</v>
      </c>
      <c r="E471" s="7" t="s">
        <v>4975</v>
      </c>
      <c r="F471" s="7">
        <v>70.0</v>
      </c>
      <c r="G471" s="7">
        <v>70.0</v>
      </c>
      <c r="H471" s="7">
        <v>115.0</v>
      </c>
      <c r="I471" s="7"/>
      <c r="J471" s="7">
        <v>130.0</v>
      </c>
      <c r="K471" s="7">
        <v>90.0</v>
      </c>
      <c r="L471" s="7">
        <v>60.0</v>
      </c>
      <c r="M471" s="7" t="s">
        <v>4941</v>
      </c>
      <c r="N471" s="7" t="s">
        <v>2728</v>
      </c>
      <c r="O471" s="7" t="s">
        <v>3841</v>
      </c>
      <c r="P471" s="7">
        <v>180.0</v>
      </c>
      <c r="Q471" s="7"/>
      <c r="R471" s="7">
        <f t="shared" si="1"/>
        <v>462</v>
      </c>
    </row>
    <row r="472" ht="15.75" customHeight="1">
      <c r="A472" s="7">
        <v>463.0</v>
      </c>
      <c r="B472" s="7" t="s">
        <v>3843</v>
      </c>
      <c r="C472" s="7">
        <v>4.0</v>
      </c>
      <c r="D472" s="7" t="s">
        <v>4916</v>
      </c>
      <c r="E472" s="7"/>
      <c r="F472" s="7">
        <v>110.0</v>
      </c>
      <c r="G472" s="7">
        <v>85.0</v>
      </c>
      <c r="H472" s="7">
        <v>95.0</v>
      </c>
      <c r="I472" s="7"/>
      <c r="J472" s="7">
        <v>80.0</v>
      </c>
      <c r="K472" s="7">
        <v>95.0</v>
      </c>
      <c r="L472" s="7">
        <v>50.0</v>
      </c>
      <c r="M472" s="7" t="s">
        <v>3145</v>
      </c>
      <c r="N472" s="7" t="s">
        <v>2824</v>
      </c>
      <c r="O472" s="7" t="s">
        <v>2849</v>
      </c>
      <c r="P472" s="7">
        <v>140.0</v>
      </c>
      <c r="Q472" s="7"/>
      <c r="R472" s="7">
        <f t="shared" si="1"/>
        <v>463</v>
      </c>
    </row>
    <row r="473" ht="15.75" customHeight="1">
      <c r="A473" s="7">
        <v>464.0</v>
      </c>
      <c r="B473" s="7" t="s">
        <v>3432</v>
      </c>
      <c r="C473" s="7">
        <v>4.0</v>
      </c>
      <c r="D473" s="7" t="s">
        <v>4922</v>
      </c>
      <c r="E473" s="7" t="s">
        <v>4940</v>
      </c>
      <c r="F473" s="7">
        <v>115.0</v>
      </c>
      <c r="G473" s="7">
        <v>140.0</v>
      </c>
      <c r="H473" s="7">
        <v>130.0</v>
      </c>
      <c r="I473" s="7"/>
      <c r="J473" s="7">
        <v>55.0</v>
      </c>
      <c r="K473" s="7">
        <v>55.0</v>
      </c>
      <c r="L473" s="7">
        <v>40.0</v>
      </c>
      <c r="M473" s="7" t="s">
        <v>2747</v>
      </c>
      <c r="N473" s="7" t="s">
        <v>3436</v>
      </c>
      <c r="O473" s="7" t="s">
        <v>2891</v>
      </c>
      <c r="P473" s="7">
        <v>282.8</v>
      </c>
      <c r="Q473" s="7"/>
      <c r="R473" s="7">
        <f t="shared" si="1"/>
        <v>464</v>
      </c>
    </row>
    <row r="474" ht="15.75" customHeight="1">
      <c r="A474" s="7">
        <v>465.0</v>
      </c>
      <c r="B474" s="7" t="s">
        <v>3903</v>
      </c>
      <c r="C474" s="7">
        <v>4.0</v>
      </c>
      <c r="D474" s="7" t="s">
        <v>4904</v>
      </c>
      <c r="E474" s="7"/>
      <c r="F474" s="7">
        <v>100.0</v>
      </c>
      <c r="G474" s="7">
        <v>100.0</v>
      </c>
      <c r="H474" s="7">
        <v>125.0</v>
      </c>
      <c r="I474" s="7"/>
      <c r="J474" s="7">
        <v>110.0</v>
      </c>
      <c r="K474" s="7">
        <v>50.0</v>
      </c>
      <c r="L474" s="7">
        <v>50.0</v>
      </c>
      <c r="M474" s="7" t="s">
        <v>2701</v>
      </c>
      <c r="N474" s="7" t="s">
        <v>4948</v>
      </c>
      <c r="O474" s="7" t="s">
        <v>3404</v>
      </c>
      <c r="P474" s="7">
        <v>128.6</v>
      </c>
      <c r="Q474" s="7"/>
      <c r="R474" s="7">
        <f t="shared" si="1"/>
        <v>465</v>
      </c>
    </row>
    <row r="475" ht="15.75" customHeight="1">
      <c r="A475" s="7">
        <v>466.0</v>
      </c>
      <c r="B475" s="7" t="s">
        <v>3917</v>
      </c>
      <c r="C475" s="7">
        <v>4.0</v>
      </c>
      <c r="D475" s="7" t="s">
        <v>4921</v>
      </c>
      <c r="E475" s="7"/>
      <c r="F475" s="7">
        <v>75.0</v>
      </c>
      <c r="G475" s="7">
        <v>123.0</v>
      </c>
      <c r="H475" s="7">
        <v>67.0</v>
      </c>
      <c r="I475" s="7"/>
      <c r="J475" s="7">
        <v>95.0</v>
      </c>
      <c r="K475" s="7">
        <v>85.0</v>
      </c>
      <c r="L475" s="7">
        <v>95.0</v>
      </c>
      <c r="M475" s="7" t="s">
        <v>3918</v>
      </c>
      <c r="N475" s="7"/>
      <c r="O475" s="7" t="s">
        <v>3011</v>
      </c>
      <c r="P475" s="7">
        <v>138.6</v>
      </c>
      <c r="Q475" s="7"/>
      <c r="R475" s="7">
        <f t="shared" si="1"/>
        <v>466</v>
      </c>
    </row>
    <row r="476" ht="15.75" customHeight="1">
      <c r="A476" s="7">
        <v>467.0</v>
      </c>
      <c r="B476" s="7" t="s">
        <v>3920</v>
      </c>
      <c r="C476" s="7">
        <v>4.0</v>
      </c>
      <c r="D476" s="7" t="s">
        <v>4906</v>
      </c>
      <c r="E476" s="7"/>
      <c r="F476" s="7">
        <v>75.0</v>
      </c>
      <c r="G476" s="7">
        <v>95.0</v>
      </c>
      <c r="H476" s="7">
        <v>67.0</v>
      </c>
      <c r="I476" s="7"/>
      <c r="J476" s="7">
        <v>125.0</v>
      </c>
      <c r="K476" s="7">
        <v>95.0</v>
      </c>
      <c r="L476" s="7">
        <v>83.0</v>
      </c>
      <c r="M476" s="7" t="s">
        <v>3162</v>
      </c>
      <c r="N476" s="7"/>
      <c r="O476" s="7" t="s">
        <v>3011</v>
      </c>
      <c r="P476" s="7">
        <v>68.0</v>
      </c>
      <c r="Q476" s="7"/>
      <c r="R476" s="7">
        <f t="shared" si="1"/>
        <v>467</v>
      </c>
    </row>
    <row r="477" ht="15.75" customHeight="1">
      <c r="A477" s="7">
        <v>468.0</v>
      </c>
      <c r="B477" s="7" t="s">
        <v>3923</v>
      </c>
      <c r="C477" s="7">
        <v>4.0</v>
      </c>
      <c r="D477" s="7" t="str">
        <f>IF($A$1&lt;6,"Normal","Fairy")</f>
        <v>Fairy</v>
      </c>
      <c r="E477" s="7" t="s">
        <v>4907</v>
      </c>
      <c r="F477" s="7">
        <v>85.0</v>
      </c>
      <c r="G477" s="7">
        <v>50.0</v>
      </c>
      <c r="H477" s="7">
        <v>95.0</v>
      </c>
      <c r="I477" s="7"/>
      <c r="J477" s="7">
        <v>120.0</v>
      </c>
      <c r="K477" s="7">
        <v>115.0</v>
      </c>
      <c r="L477" s="7">
        <v>80.0</v>
      </c>
      <c r="M477" s="7" t="s">
        <v>3924</v>
      </c>
      <c r="N477" s="7" t="s">
        <v>2662</v>
      </c>
      <c r="O477" s="7" t="s">
        <v>3826</v>
      </c>
      <c r="P477" s="7">
        <v>38.0</v>
      </c>
      <c r="Q477" s="7"/>
      <c r="R477" s="7">
        <f t="shared" si="1"/>
        <v>468</v>
      </c>
    </row>
    <row r="478" ht="15.75" customHeight="1">
      <c r="A478" s="7">
        <v>469.0</v>
      </c>
      <c r="B478" s="7" t="s">
        <v>3846</v>
      </c>
      <c r="C478" s="7">
        <v>4.0</v>
      </c>
      <c r="D478" s="7" t="s">
        <v>4910</v>
      </c>
      <c r="E478" s="7" t="s">
        <v>4907</v>
      </c>
      <c r="F478" s="7">
        <v>86.0</v>
      </c>
      <c r="G478" s="7">
        <v>76.0</v>
      </c>
      <c r="H478" s="7">
        <v>86.0</v>
      </c>
      <c r="I478" s="7"/>
      <c r="J478" s="7">
        <v>116.0</v>
      </c>
      <c r="K478" s="7">
        <v>56.0</v>
      </c>
      <c r="L478" s="7">
        <v>95.0</v>
      </c>
      <c r="M478" s="7" t="s">
        <v>3217</v>
      </c>
      <c r="N478" s="7" t="s">
        <v>3240</v>
      </c>
      <c r="O478" s="7" t="s">
        <v>4928</v>
      </c>
      <c r="P478" s="7">
        <v>51.5</v>
      </c>
      <c r="Q478" s="7"/>
      <c r="R478" s="7">
        <f t="shared" si="1"/>
        <v>469</v>
      </c>
    </row>
    <row r="479" ht="15.75" customHeight="1">
      <c r="A479" s="7">
        <v>470.0</v>
      </c>
      <c r="B479" s="7" t="s">
        <v>3871</v>
      </c>
      <c r="C479" s="7">
        <v>4.0</v>
      </c>
      <c r="D479" s="7" t="s">
        <v>4904</v>
      </c>
      <c r="E479" s="7"/>
      <c r="F479" s="7">
        <v>65.0</v>
      </c>
      <c r="G479" s="7">
        <v>110.0</v>
      </c>
      <c r="H479" s="7">
        <v>130.0</v>
      </c>
      <c r="I479" s="7"/>
      <c r="J479" s="7">
        <v>60.0</v>
      </c>
      <c r="K479" s="7">
        <v>65.0</v>
      </c>
      <c r="L479" s="7">
        <v>95.0</v>
      </c>
      <c r="M479" s="7" t="s">
        <v>4948</v>
      </c>
      <c r="N479" s="7"/>
      <c r="O479" s="7" t="s">
        <v>2701</v>
      </c>
      <c r="P479" s="7">
        <v>25.5</v>
      </c>
      <c r="Q479" s="7"/>
      <c r="R479" s="7">
        <f t="shared" si="1"/>
        <v>470</v>
      </c>
    </row>
    <row r="480" ht="15.75" customHeight="1">
      <c r="A480" s="7">
        <v>471.0</v>
      </c>
      <c r="B480" s="7" t="s">
        <v>3873</v>
      </c>
      <c r="C480" s="7">
        <v>4.0</v>
      </c>
      <c r="D480" s="7" t="s">
        <v>4942</v>
      </c>
      <c r="E480" s="7"/>
      <c r="F480" s="7">
        <v>65.0</v>
      </c>
      <c r="G480" s="7">
        <v>60.0</v>
      </c>
      <c r="H480" s="7">
        <v>110.0</v>
      </c>
      <c r="I480" s="7"/>
      <c r="J480" s="7">
        <v>130.0</v>
      </c>
      <c r="K480" s="7">
        <v>95.0</v>
      </c>
      <c r="L480" s="7">
        <v>65.0</v>
      </c>
      <c r="M480" s="7" t="s">
        <v>3894</v>
      </c>
      <c r="N480" s="7"/>
      <c r="O480" s="7" t="s">
        <v>3328</v>
      </c>
      <c r="P480" s="7">
        <v>25.9</v>
      </c>
      <c r="Q480" s="7"/>
      <c r="R480" s="7">
        <f t="shared" si="1"/>
        <v>471</v>
      </c>
    </row>
    <row r="481" ht="15.75" customHeight="1">
      <c r="A481" s="7">
        <v>472.0</v>
      </c>
      <c r="B481" s="7" t="s">
        <v>3832</v>
      </c>
      <c r="C481" s="7">
        <v>4.0</v>
      </c>
      <c r="D481" s="7" t="s">
        <v>4922</v>
      </c>
      <c r="E481" s="7" t="s">
        <v>4907</v>
      </c>
      <c r="F481" s="7">
        <v>75.0</v>
      </c>
      <c r="G481" s="7">
        <v>95.0</v>
      </c>
      <c r="H481" s="7">
        <v>125.0</v>
      </c>
      <c r="I481" s="7"/>
      <c r="J481" s="7">
        <v>45.0</v>
      </c>
      <c r="K481" s="7">
        <v>75.0</v>
      </c>
      <c r="L481" s="7">
        <v>95.0</v>
      </c>
      <c r="M481" s="7" t="s">
        <v>2978</v>
      </c>
      <c r="N481" s="7" t="s">
        <v>4005</v>
      </c>
      <c r="O481" s="7" t="s">
        <v>3653</v>
      </c>
      <c r="P481" s="7">
        <v>42.5</v>
      </c>
      <c r="Q481" s="7"/>
      <c r="R481" s="7">
        <f t="shared" si="1"/>
        <v>472</v>
      </c>
    </row>
    <row r="482" ht="15.75" customHeight="1">
      <c r="A482" s="7">
        <v>473.0</v>
      </c>
      <c r="B482" s="7" t="s">
        <v>3893</v>
      </c>
      <c r="C482" s="7">
        <v>4.0</v>
      </c>
      <c r="D482" s="7" t="s">
        <v>4942</v>
      </c>
      <c r="E482" s="7" t="s">
        <v>4922</v>
      </c>
      <c r="F482" s="7">
        <v>110.0</v>
      </c>
      <c r="G482" s="7">
        <v>130.0</v>
      </c>
      <c r="H482" s="7">
        <v>80.0</v>
      </c>
      <c r="I482" s="7"/>
      <c r="J482" s="7">
        <v>70.0</v>
      </c>
      <c r="K482" s="7">
        <v>60.0</v>
      </c>
      <c r="L482" s="7">
        <v>80.0</v>
      </c>
      <c r="M482" s="7" t="s">
        <v>2824</v>
      </c>
      <c r="N482" s="7" t="s">
        <v>3894</v>
      </c>
      <c r="O482" s="7" t="s">
        <v>2968</v>
      </c>
      <c r="P482" s="7">
        <v>291.0</v>
      </c>
      <c r="Q482" s="7"/>
      <c r="R482" s="7">
        <f t="shared" si="1"/>
        <v>473</v>
      </c>
    </row>
    <row r="483" ht="15.75" customHeight="1">
      <c r="A483" s="7">
        <v>474.0</v>
      </c>
      <c r="B483" s="7" t="s">
        <v>3905</v>
      </c>
      <c r="C483" s="7">
        <v>4.0</v>
      </c>
      <c r="D483" s="7" t="s">
        <v>4916</v>
      </c>
      <c r="E483" s="7"/>
      <c r="F483" s="7">
        <v>85.0</v>
      </c>
      <c r="G483" s="7">
        <v>80.0</v>
      </c>
      <c r="H483" s="7">
        <v>70.0</v>
      </c>
      <c r="I483" s="7"/>
      <c r="J483" s="7">
        <v>135.0</v>
      </c>
      <c r="K483" s="7">
        <v>75.0</v>
      </c>
      <c r="L483" s="7">
        <v>90.0</v>
      </c>
      <c r="M483" s="7" t="s">
        <v>2837</v>
      </c>
      <c r="N483" s="7" t="s">
        <v>3229</v>
      </c>
      <c r="O483" s="7" t="s">
        <v>3841</v>
      </c>
      <c r="P483" s="7">
        <v>34.0</v>
      </c>
      <c r="Q483" s="7"/>
      <c r="R483" s="7">
        <f t="shared" si="1"/>
        <v>474</v>
      </c>
    </row>
    <row r="484" ht="15.75" customHeight="1">
      <c r="A484" s="7">
        <v>475.0</v>
      </c>
      <c r="B484" s="7" t="s">
        <v>3851</v>
      </c>
      <c r="C484" s="7">
        <v>4.0</v>
      </c>
      <c r="D484" s="7" t="s">
        <v>2659</v>
      </c>
      <c r="E484" s="7" t="s">
        <v>4935</v>
      </c>
      <c r="F484" s="7">
        <v>68.0</v>
      </c>
      <c r="G484" s="7">
        <v>125.0</v>
      </c>
      <c r="H484" s="7">
        <v>65.0</v>
      </c>
      <c r="I484" s="7"/>
      <c r="J484" s="7">
        <v>65.0</v>
      </c>
      <c r="K484" s="7">
        <v>115.0</v>
      </c>
      <c r="L484" s="7">
        <v>80.0</v>
      </c>
      <c r="M484" s="7" t="s">
        <v>4075</v>
      </c>
      <c r="N484" s="7"/>
      <c r="O484" s="7" t="s">
        <v>3853</v>
      </c>
      <c r="P484" s="7">
        <v>52.0</v>
      </c>
      <c r="Q484" s="7"/>
      <c r="R484" s="7">
        <f t="shared" si="1"/>
        <v>475</v>
      </c>
    </row>
    <row r="485" ht="15.75" customHeight="1">
      <c r="A485" s="7">
        <v>476.0</v>
      </c>
      <c r="B485" s="7" t="s">
        <v>3881</v>
      </c>
      <c r="C485" s="7">
        <v>4.0</v>
      </c>
      <c r="D485" s="7" t="s">
        <v>4940</v>
      </c>
      <c r="E485" s="7" t="s">
        <v>4975</v>
      </c>
      <c r="F485" s="7">
        <v>60.0</v>
      </c>
      <c r="G485" s="7">
        <v>55.0</v>
      </c>
      <c r="H485" s="7">
        <v>145.0</v>
      </c>
      <c r="I485" s="7"/>
      <c r="J485" s="7">
        <v>75.0</v>
      </c>
      <c r="K485" s="7">
        <v>150.0</v>
      </c>
      <c r="L485" s="7">
        <v>40.0</v>
      </c>
      <c r="M485" s="7" t="s">
        <v>2728</v>
      </c>
      <c r="N485" s="7" t="s">
        <v>4941</v>
      </c>
      <c r="O485" s="7" t="s">
        <v>4319</v>
      </c>
      <c r="P485" s="7">
        <v>340.0</v>
      </c>
      <c r="Q485" s="7"/>
      <c r="R485" s="7">
        <f t="shared" si="1"/>
        <v>476</v>
      </c>
    </row>
    <row r="486" ht="15.75" customHeight="1">
      <c r="A486" s="7">
        <v>477.0</v>
      </c>
      <c r="B486" s="7" t="s">
        <v>3885</v>
      </c>
      <c r="C486" s="7">
        <v>4.0</v>
      </c>
      <c r="D486" s="7" t="s">
        <v>4945</v>
      </c>
      <c r="E486" s="7"/>
      <c r="F486" s="7">
        <v>45.0</v>
      </c>
      <c r="G486" s="7">
        <v>100.0</v>
      </c>
      <c r="H486" s="7">
        <v>135.0</v>
      </c>
      <c r="I486" s="7"/>
      <c r="J486" s="7">
        <v>65.0</v>
      </c>
      <c r="K486" s="7">
        <v>135.0</v>
      </c>
      <c r="L486" s="7">
        <v>45.0</v>
      </c>
      <c r="M486" s="7" t="s">
        <v>3499</v>
      </c>
      <c r="N486" s="7"/>
      <c r="O486" s="7" t="s">
        <v>4928</v>
      </c>
      <c r="P486" s="7">
        <v>106.6</v>
      </c>
      <c r="Q486" s="7"/>
      <c r="R486" s="7">
        <f t="shared" si="1"/>
        <v>477</v>
      </c>
    </row>
    <row r="487" ht="15.75" customHeight="1">
      <c r="A487" s="7">
        <v>478.0</v>
      </c>
      <c r="B487" s="7" t="s">
        <v>3704</v>
      </c>
      <c r="C487" s="7">
        <v>4.0</v>
      </c>
      <c r="D487" s="7" t="s">
        <v>4942</v>
      </c>
      <c r="E487" s="7" t="s">
        <v>4945</v>
      </c>
      <c r="F487" s="7">
        <v>70.0</v>
      </c>
      <c r="G487" s="7">
        <v>80.0</v>
      </c>
      <c r="H487" s="7">
        <v>70.0</v>
      </c>
      <c r="I487" s="7"/>
      <c r="J487" s="7">
        <v>80.0</v>
      </c>
      <c r="K487" s="7">
        <v>70.0</v>
      </c>
      <c r="L487" s="7">
        <v>110.0</v>
      </c>
      <c r="M487" s="7" t="s">
        <v>3894</v>
      </c>
      <c r="N487" s="7"/>
      <c r="O487" s="7" t="s">
        <v>3496</v>
      </c>
      <c r="P487" s="7">
        <v>26.6</v>
      </c>
      <c r="Q487" s="7"/>
      <c r="R487" s="7">
        <f t="shared" si="1"/>
        <v>478</v>
      </c>
    </row>
    <row r="488" ht="15.75" customHeight="1">
      <c r="A488" s="7">
        <v>479.0</v>
      </c>
      <c r="B488" s="7" t="s">
        <v>3444</v>
      </c>
      <c r="C488" s="7">
        <v>4.0</v>
      </c>
      <c r="D488" s="7" t="s">
        <v>4921</v>
      </c>
      <c r="E488" s="7" t="s">
        <v>4945</v>
      </c>
      <c r="F488" s="7">
        <v>50.0</v>
      </c>
      <c r="G488" s="7">
        <v>50.0</v>
      </c>
      <c r="H488" s="7">
        <v>77.0</v>
      </c>
      <c r="I488" s="7"/>
      <c r="J488" s="7">
        <v>95.0</v>
      </c>
      <c r="K488" s="7">
        <v>77.0</v>
      </c>
      <c r="L488" s="7">
        <v>91.0</v>
      </c>
      <c r="M488" s="7" t="s">
        <v>2714</v>
      </c>
      <c r="N488" s="7"/>
      <c r="O488" s="7"/>
      <c r="P488" s="7">
        <v>0.3</v>
      </c>
      <c r="Q488" s="7"/>
      <c r="R488" s="7">
        <f t="shared" si="1"/>
        <v>479</v>
      </c>
    </row>
    <row r="489" ht="15.75" customHeight="1">
      <c r="A489" s="7">
        <v>479.0</v>
      </c>
      <c r="B489" s="7" t="s">
        <v>4627</v>
      </c>
      <c r="C489" s="7">
        <v>4.0</v>
      </c>
      <c r="D489" s="7" t="s">
        <v>4921</v>
      </c>
      <c r="E489" s="7" t="str">
        <f>IF($A$1&lt;5,"Ghost","Fire")</f>
        <v>Fire</v>
      </c>
      <c r="F489" s="7">
        <v>50.0</v>
      </c>
      <c r="G489" s="7">
        <v>65.0</v>
      </c>
      <c r="H489" s="7">
        <v>107.0</v>
      </c>
      <c r="I489" s="7"/>
      <c r="J489" s="7">
        <v>105.0</v>
      </c>
      <c r="K489" s="7">
        <v>107.0</v>
      </c>
      <c r="L489" s="7">
        <v>86.0</v>
      </c>
      <c r="M489" s="7" t="s">
        <v>2714</v>
      </c>
      <c r="N489" s="7"/>
      <c r="O489" s="7"/>
      <c r="P489" s="7">
        <v>0.3</v>
      </c>
      <c r="Q489" s="7"/>
      <c r="R489" s="7">
        <f t="shared" si="1"/>
        <v>479</v>
      </c>
    </row>
    <row r="490" ht="15.75" customHeight="1">
      <c r="A490" s="7">
        <v>479.0</v>
      </c>
      <c r="B490" s="7" t="s">
        <v>4292</v>
      </c>
      <c r="C490" s="7">
        <v>4.0</v>
      </c>
      <c r="D490" s="7" t="s">
        <v>4921</v>
      </c>
      <c r="E490" s="7" t="str">
        <f>IF($A$1&lt;5,"Ghost","Water")</f>
        <v>Water</v>
      </c>
      <c r="F490" s="7">
        <v>50.0</v>
      </c>
      <c r="G490" s="7">
        <v>65.0</v>
      </c>
      <c r="H490" s="7">
        <v>107.0</v>
      </c>
      <c r="I490" s="7"/>
      <c r="J490" s="7">
        <v>105.0</v>
      </c>
      <c r="K490" s="7">
        <v>107.0</v>
      </c>
      <c r="L490" s="7">
        <v>86.0</v>
      </c>
      <c r="M490" s="7" t="s">
        <v>2714</v>
      </c>
      <c r="N490" s="7"/>
      <c r="O490" s="7"/>
      <c r="P490" s="7">
        <v>0.3</v>
      </c>
      <c r="Q490" s="7"/>
      <c r="R490" s="7">
        <f t="shared" si="1"/>
        <v>479</v>
      </c>
    </row>
    <row r="491" ht="15.75" customHeight="1">
      <c r="A491" s="7">
        <v>479.0</v>
      </c>
      <c r="B491" s="7" t="s">
        <v>5038</v>
      </c>
      <c r="C491" s="7">
        <v>4.0</v>
      </c>
      <c r="D491" s="7" t="s">
        <v>4921</v>
      </c>
      <c r="E491" s="7" t="str">
        <f>IF($A$1&lt;5,"Ghost","Ice")</f>
        <v>Ice</v>
      </c>
      <c r="F491" s="7">
        <v>50.0</v>
      </c>
      <c r="G491" s="7">
        <v>65.0</v>
      </c>
      <c r="H491" s="7">
        <v>107.0</v>
      </c>
      <c r="I491" s="7"/>
      <c r="J491" s="7">
        <v>105.0</v>
      </c>
      <c r="K491" s="7">
        <v>107.0</v>
      </c>
      <c r="L491" s="7">
        <v>86.0</v>
      </c>
      <c r="M491" s="7" t="s">
        <v>2714</v>
      </c>
      <c r="N491" s="7"/>
      <c r="O491" s="7"/>
      <c r="P491" s="7">
        <v>0.3</v>
      </c>
      <c r="Q491" s="7"/>
      <c r="R491" s="7">
        <f t="shared" si="1"/>
        <v>479</v>
      </c>
    </row>
    <row r="492" ht="15.75" customHeight="1">
      <c r="A492" s="7">
        <v>479.0</v>
      </c>
      <c r="B492" s="7" t="s">
        <v>5039</v>
      </c>
      <c r="C492" s="7">
        <v>4.0</v>
      </c>
      <c r="D492" s="7" t="s">
        <v>4921</v>
      </c>
      <c r="E492" s="7" t="s">
        <v>4907</v>
      </c>
      <c r="F492" s="7">
        <v>50.0</v>
      </c>
      <c r="G492" s="7">
        <v>65.0</v>
      </c>
      <c r="H492" s="7">
        <v>107.0</v>
      </c>
      <c r="I492" s="7"/>
      <c r="J492" s="7">
        <v>105.0</v>
      </c>
      <c r="K492" s="7">
        <v>107.0</v>
      </c>
      <c r="L492" s="7">
        <v>86.0</v>
      </c>
      <c r="M492" s="7" t="s">
        <v>2714</v>
      </c>
      <c r="N492" s="7"/>
      <c r="O492" s="7"/>
      <c r="P492" s="7">
        <v>0.3</v>
      </c>
      <c r="Q492" s="7"/>
      <c r="R492" s="7">
        <f t="shared" si="1"/>
        <v>479</v>
      </c>
    </row>
    <row r="493" ht="15.75" customHeight="1">
      <c r="A493" s="7">
        <v>479.0</v>
      </c>
      <c r="B493" s="7" t="s">
        <v>4472</v>
      </c>
      <c r="C493" s="7">
        <v>4.0</v>
      </c>
      <c r="D493" s="7" t="s">
        <v>4921</v>
      </c>
      <c r="E493" s="7" t="str">
        <f>IF($A$1&lt;5,"Ghost","Grass")</f>
        <v>Grass</v>
      </c>
      <c r="F493" s="7">
        <v>50.0</v>
      </c>
      <c r="G493" s="7">
        <v>65.0</v>
      </c>
      <c r="H493" s="7">
        <v>107.0</v>
      </c>
      <c r="I493" s="7"/>
      <c r="J493" s="7">
        <v>105.0</v>
      </c>
      <c r="K493" s="7">
        <v>107.0</v>
      </c>
      <c r="L493" s="7">
        <v>86.0</v>
      </c>
      <c r="M493" s="7" t="s">
        <v>2714</v>
      </c>
      <c r="N493" s="7"/>
      <c r="O493" s="7"/>
      <c r="P493" s="7">
        <v>0.3</v>
      </c>
      <c r="Q493" s="7"/>
      <c r="R493" s="7">
        <f t="shared" si="1"/>
        <v>479</v>
      </c>
    </row>
    <row r="494" ht="15.75" customHeight="1">
      <c r="A494" s="7">
        <v>480.0</v>
      </c>
      <c r="B494" s="7" t="s">
        <v>5040</v>
      </c>
      <c r="C494" s="7">
        <v>4.0</v>
      </c>
      <c r="D494" s="7" t="s">
        <v>2659</v>
      </c>
      <c r="E494" s="7"/>
      <c r="F494" s="7">
        <v>75.0</v>
      </c>
      <c r="G494" s="7">
        <v>75.0</v>
      </c>
      <c r="H494" s="7">
        <v>130.0</v>
      </c>
      <c r="I494" s="7"/>
      <c r="J494" s="7">
        <v>75.0</v>
      </c>
      <c r="K494" s="7">
        <v>130.0</v>
      </c>
      <c r="L494" s="7">
        <v>95.0</v>
      </c>
      <c r="M494" s="7" t="s">
        <v>2714</v>
      </c>
      <c r="N494" s="7"/>
      <c r="O494" s="7"/>
      <c r="P494" s="7">
        <v>0.3</v>
      </c>
      <c r="Q494" s="7"/>
      <c r="R494" s="7">
        <f t="shared" si="1"/>
        <v>480</v>
      </c>
    </row>
    <row r="495" ht="15.75" customHeight="1">
      <c r="A495" s="7">
        <v>481.0</v>
      </c>
      <c r="B495" s="7" t="s">
        <v>5041</v>
      </c>
      <c r="C495" s="7">
        <v>4.0</v>
      </c>
      <c r="D495" s="7" t="s">
        <v>2659</v>
      </c>
      <c r="E495" s="7"/>
      <c r="F495" s="7">
        <v>80.0</v>
      </c>
      <c r="G495" s="7">
        <v>105.0</v>
      </c>
      <c r="H495" s="7">
        <v>105.0</v>
      </c>
      <c r="I495" s="7"/>
      <c r="J495" s="7">
        <v>105.0</v>
      </c>
      <c r="K495" s="7">
        <v>105.0</v>
      </c>
      <c r="L495" s="7">
        <v>80.0</v>
      </c>
      <c r="M495" s="7" t="s">
        <v>2714</v>
      </c>
      <c r="N495" s="7"/>
      <c r="O495" s="7"/>
      <c r="P495" s="7">
        <v>0.3</v>
      </c>
      <c r="Q495" s="7"/>
      <c r="R495" s="7">
        <f t="shared" si="1"/>
        <v>481</v>
      </c>
    </row>
    <row r="496" ht="15.75" customHeight="1">
      <c r="A496" s="7">
        <v>482.0</v>
      </c>
      <c r="B496" s="7" t="s">
        <v>5042</v>
      </c>
      <c r="C496" s="7">
        <v>4.0</v>
      </c>
      <c r="D496" s="7" t="s">
        <v>2659</v>
      </c>
      <c r="E496" s="7"/>
      <c r="F496" s="7">
        <v>75.0</v>
      </c>
      <c r="G496" s="7">
        <v>125.0</v>
      </c>
      <c r="H496" s="7">
        <v>70.0</v>
      </c>
      <c r="I496" s="7"/>
      <c r="J496" s="7">
        <v>125.0</v>
      </c>
      <c r="K496" s="7">
        <v>70.0</v>
      </c>
      <c r="L496" s="7">
        <v>115.0</v>
      </c>
      <c r="M496" s="7" t="s">
        <v>2714</v>
      </c>
      <c r="N496" s="7"/>
      <c r="O496" s="7"/>
      <c r="P496" s="7">
        <v>0.3</v>
      </c>
      <c r="Q496" s="7"/>
      <c r="R496" s="7">
        <f t="shared" si="1"/>
        <v>482</v>
      </c>
    </row>
    <row r="497" ht="15.75" customHeight="1">
      <c r="A497" s="7">
        <v>483.0</v>
      </c>
      <c r="B497" s="7" t="s">
        <v>5043</v>
      </c>
      <c r="C497" s="7">
        <v>4.0</v>
      </c>
      <c r="D497" s="7" t="s">
        <v>4975</v>
      </c>
      <c r="E497" s="7" t="s">
        <v>4956</v>
      </c>
      <c r="F497" s="7">
        <v>100.0</v>
      </c>
      <c r="G497" s="7">
        <v>120.0</v>
      </c>
      <c r="H497" s="7">
        <v>120.0</v>
      </c>
      <c r="I497" s="7"/>
      <c r="J497" s="7">
        <v>150.0</v>
      </c>
      <c r="K497" s="7">
        <v>100.0</v>
      </c>
      <c r="L497" s="7">
        <v>90.0</v>
      </c>
      <c r="M497" s="7" t="s">
        <v>3499</v>
      </c>
      <c r="N497" s="7"/>
      <c r="O497" s="7" t="s">
        <v>4338</v>
      </c>
      <c r="P497" s="7">
        <v>683.0</v>
      </c>
      <c r="Q497" s="7"/>
      <c r="R497" s="7">
        <f t="shared" si="1"/>
        <v>483</v>
      </c>
    </row>
    <row r="498" ht="15.75" customHeight="1">
      <c r="A498" s="7">
        <v>484.0</v>
      </c>
      <c r="B498" s="7" t="s">
        <v>5044</v>
      </c>
      <c r="C498" s="7">
        <v>4.0</v>
      </c>
      <c r="D498" s="7" t="s">
        <v>4908</v>
      </c>
      <c r="E498" s="7" t="s">
        <v>4956</v>
      </c>
      <c r="F498" s="7">
        <v>90.0</v>
      </c>
      <c r="G498" s="7">
        <v>120.0</v>
      </c>
      <c r="H498" s="7">
        <v>100.0</v>
      </c>
      <c r="I498" s="7"/>
      <c r="J498" s="7">
        <v>150.0</v>
      </c>
      <c r="K498" s="7">
        <v>120.0</v>
      </c>
      <c r="L498" s="7">
        <v>100.0</v>
      </c>
      <c r="M498" s="7" t="s">
        <v>3499</v>
      </c>
      <c r="N498" s="7"/>
      <c r="O498" s="7" t="s">
        <v>4338</v>
      </c>
      <c r="P498" s="7">
        <v>336.0</v>
      </c>
      <c r="Q498" s="7"/>
      <c r="R498" s="7">
        <f t="shared" si="1"/>
        <v>484</v>
      </c>
    </row>
    <row r="499" ht="15.75" customHeight="1">
      <c r="A499" s="7">
        <v>485.0</v>
      </c>
      <c r="B499" s="7" t="s">
        <v>3958</v>
      </c>
      <c r="C499" s="7">
        <v>4.0</v>
      </c>
      <c r="D499" s="7" t="s">
        <v>4906</v>
      </c>
      <c r="E499" s="7" t="s">
        <v>4975</v>
      </c>
      <c r="F499" s="7">
        <v>91.0</v>
      </c>
      <c r="G499" s="7">
        <v>90.0</v>
      </c>
      <c r="H499" s="7">
        <v>106.0</v>
      </c>
      <c r="I499" s="7"/>
      <c r="J499" s="7">
        <v>130.0</v>
      </c>
      <c r="K499" s="7">
        <v>106.0</v>
      </c>
      <c r="L499" s="7">
        <v>77.0</v>
      </c>
      <c r="M499" s="7" t="s">
        <v>3016</v>
      </c>
      <c r="N499" s="7"/>
      <c r="O499" s="7" t="s">
        <v>3162</v>
      </c>
      <c r="P499" s="7">
        <v>430.0</v>
      </c>
      <c r="Q499" s="7"/>
      <c r="R499" s="7">
        <f t="shared" si="1"/>
        <v>485</v>
      </c>
    </row>
    <row r="500" ht="15.75" customHeight="1">
      <c r="A500" s="7">
        <v>486.0</v>
      </c>
      <c r="B500" s="7" t="s">
        <v>3966</v>
      </c>
      <c r="C500" s="7">
        <v>4.0</v>
      </c>
      <c r="D500" s="7" t="s">
        <v>4916</v>
      </c>
      <c r="E500" s="7"/>
      <c r="F500" s="7">
        <v>110.0</v>
      </c>
      <c r="G500" s="7">
        <v>160.0</v>
      </c>
      <c r="H500" s="7">
        <v>110.0</v>
      </c>
      <c r="I500" s="7"/>
      <c r="J500" s="7">
        <v>80.0</v>
      </c>
      <c r="K500" s="7">
        <v>110.0</v>
      </c>
      <c r="L500" s="7">
        <v>100.0</v>
      </c>
      <c r="M500" s="7" t="s">
        <v>3968</v>
      </c>
      <c r="N500" s="7"/>
      <c r="O500" s="7"/>
      <c r="P500" s="7">
        <v>420.0</v>
      </c>
      <c r="Q500" s="7"/>
      <c r="R500" s="7">
        <f t="shared" si="1"/>
        <v>486</v>
      </c>
    </row>
    <row r="501" ht="15.75" customHeight="1">
      <c r="A501" s="7">
        <v>487.0</v>
      </c>
      <c r="B501" s="7" t="s">
        <v>5045</v>
      </c>
      <c r="C501" s="7">
        <v>4.0</v>
      </c>
      <c r="D501" s="7" t="s">
        <v>4945</v>
      </c>
      <c r="E501" s="7" t="s">
        <v>4956</v>
      </c>
      <c r="F501" s="7">
        <v>150.0</v>
      </c>
      <c r="G501" s="7">
        <v>100.0</v>
      </c>
      <c r="H501" s="7">
        <v>120.0</v>
      </c>
      <c r="I501" s="7"/>
      <c r="J501" s="7">
        <v>100.0</v>
      </c>
      <c r="K501" s="7">
        <v>120.0</v>
      </c>
      <c r="L501" s="7">
        <v>90.0</v>
      </c>
      <c r="M501" s="7" t="s">
        <v>3499</v>
      </c>
      <c r="N501" s="7"/>
      <c r="O501" s="7" t="s">
        <v>4338</v>
      </c>
      <c r="P501" s="7">
        <v>750.0</v>
      </c>
      <c r="Q501" s="7"/>
      <c r="R501" s="7">
        <f t="shared" si="1"/>
        <v>487</v>
      </c>
    </row>
    <row r="502" ht="15.75" customHeight="1">
      <c r="A502" s="7">
        <v>487.0</v>
      </c>
      <c r="B502" s="7" t="s">
        <v>5046</v>
      </c>
      <c r="C502" s="7">
        <v>4.0</v>
      </c>
      <c r="D502" s="7" t="s">
        <v>4945</v>
      </c>
      <c r="E502" s="7" t="s">
        <v>4956</v>
      </c>
      <c r="F502" s="7">
        <v>150.0</v>
      </c>
      <c r="G502" s="7">
        <v>120.0</v>
      </c>
      <c r="H502" s="7">
        <v>100.0</v>
      </c>
      <c r="I502" s="7"/>
      <c r="J502" s="7">
        <v>120.0</v>
      </c>
      <c r="K502" s="7">
        <v>100.0</v>
      </c>
      <c r="L502" s="7">
        <v>90.0</v>
      </c>
      <c r="M502" s="7" t="s">
        <v>2714</v>
      </c>
      <c r="N502" s="7"/>
      <c r="O502" s="7"/>
      <c r="P502" s="7">
        <v>650.0</v>
      </c>
      <c r="Q502" s="7"/>
      <c r="R502" s="7">
        <f t="shared" si="1"/>
        <v>487</v>
      </c>
    </row>
    <row r="503" ht="15.75" customHeight="1">
      <c r="A503" s="7">
        <v>488.0</v>
      </c>
      <c r="B503" s="7" t="s">
        <v>3962</v>
      </c>
      <c r="C503" s="7">
        <v>4.0</v>
      </c>
      <c r="D503" s="7" t="s">
        <v>2659</v>
      </c>
      <c r="E503" s="7"/>
      <c r="F503" s="7">
        <v>120.0</v>
      </c>
      <c r="G503" s="7">
        <v>70.0</v>
      </c>
      <c r="H503" s="7">
        <v>120.0</v>
      </c>
      <c r="I503" s="7"/>
      <c r="J503" s="7">
        <v>75.0</v>
      </c>
      <c r="K503" s="7">
        <v>130.0</v>
      </c>
      <c r="L503" s="7">
        <v>85.0</v>
      </c>
      <c r="M503" s="7" t="s">
        <v>2714</v>
      </c>
      <c r="N503" s="7"/>
      <c r="O503" s="7"/>
      <c r="P503" s="7">
        <v>85.6</v>
      </c>
      <c r="Q503" s="7"/>
      <c r="R503" s="7">
        <f t="shared" si="1"/>
        <v>488</v>
      </c>
    </row>
    <row r="504" ht="15.75" customHeight="1">
      <c r="A504" s="7">
        <v>489.0</v>
      </c>
      <c r="B504" s="7" t="s">
        <v>5047</v>
      </c>
      <c r="C504" s="7">
        <v>4.0</v>
      </c>
      <c r="D504" s="7" t="s">
        <v>4908</v>
      </c>
      <c r="E504" s="7"/>
      <c r="F504" s="7">
        <v>80.0</v>
      </c>
      <c r="G504" s="7">
        <v>80.0</v>
      </c>
      <c r="H504" s="7">
        <v>80.0</v>
      </c>
      <c r="I504" s="7"/>
      <c r="J504" s="7">
        <v>80.0</v>
      </c>
      <c r="K504" s="7">
        <v>80.0</v>
      </c>
      <c r="L504" s="7">
        <v>80.0</v>
      </c>
      <c r="M504" s="7" t="s">
        <v>3662</v>
      </c>
      <c r="N504" s="7"/>
      <c r="O504" s="7"/>
      <c r="P504" s="7">
        <v>3.1</v>
      </c>
      <c r="Q504" s="7"/>
      <c r="R504" s="7">
        <f t="shared" si="1"/>
        <v>489</v>
      </c>
    </row>
    <row r="505" ht="15.75" customHeight="1">
      <c r="A505" s="7">
        <v>490.0</v>
      </c>
      <c r="B505" s="7" t="s">
        <v>5048</v>
      </c>
      <c r="C505" s="7">
        <v>4.0</v>
      </c>
      <c r="D505" s="7" t="s">
        <v>4908</v>
      </c>
      <c r="E505" s="7"/>
      <c r="F505" s="7">
        <v>100.0</v>
      </c>
      <c r="G505" s="7">
        <v>100.0</v>
      </c>
      <c r="H505" s="7">
        <v>100.0</v>
      </c>
      <c r="I505" s="7"/>
      <c r="J505" s="7">
        <v>100.0</v>
      </c>
      <c r="K505" s="7">
        <v>100.0</v>
      </c>
      <c r="L505" s="7">
        <v>100.0</v>
      </c>
      <c r="M505" s="7" t="s">
        <v>3662</v>
      </c>
      <c r="N505" s="7"/>
      <c r="O505" s="7"/>
      <c r="P505" s="7">
        <v>1.4</v>
      </c>
      <c r="Q505" s="7"/>
      <c r="R505" s="7">
        <f t="shared" si="1"/>
        <v>490</v>
      </c>
    </row>
    <row r="506" ht="15.75" customHeight="1">
      <c r="A506" s="7">
        <v>491.0</v>
      </c>
      <c r="B506" s="7" t="s">
        <v>5049</v>
      </c>
      <c r="C506" s="7">
        <v>4.0</v>
      </c>
      <c r="D506" s="7" t="s">
        <v>4972</v>
      </c>
      <c r="E506" s="7"/>
      <c r="F506" s="7">
        <v>70.0</v>
      </c>
      <c r="G506" s="7">
        <v>90.0</v>
      </c>
      <c r="H506" s="7">
        <v>90.0</v>
      </c>
      <c r="I506" s="7"/>
      <c r="J506" s="7">
        <v>135.0</v>
      </c>
      <c r="K506" s="7">
        <v>90.0</v>
      </c>
      <c r="L506" s="7">
        <v>125.0</v>
      </c>
      <c r="M506" s="7" t="s">
        <v>5050</v>
      </c>
      <c r="N506" s="7"/>
      <c r="O506" s="7"/>
      <c r="P506" s="7">
        <v>50.5</v>
      </c>
      <c r="Q506" s="7"/>
      <c r="R506" s="7">
        <f t="shared" si="1"/>
        <v>491</v>
      </c>
    </row>
    <row r="507" ht="15.75" customHeight="1">
      <c r="A507" s="7">
        <v>492.0</v>
      </c>
      <c r="B507" s="7" t="s">
        <v>5051</v>
      </c>
      <c r="C507" s="7">
        <v>4.0</v>
      </c>
      <c r="D507" s="7" t="s">
        <v>4904</v>
      </c>
      <c r="E507" s="7"/>
      <c r="F507" s="7">
        <v>100.0</v>
      </c>
      <c r="G507" s="7">
        <v>100.0</v>
      </c>
      <c r="H507" s="7">
        <v>100.0</v>
      </c>
      <c r="I507" s="7"/>
      <c r="J507" s="7">
        <v>100.0</v>
      </c>
      <c r="K507" s="7">
        <v>100.0</v>
      </c>
      <c r="L507" s="7">
        <v>100.0</v>
      </c>
      <c r="M507" s="7" t="s">
        <v>3169</v>
      </c>
      <c r="N507" s="7"/>
      <c r="O507" s="7"/>
      <c r="P507" s="7">
        <v>2.1</v>
      </c>
      <c r="Q507" s="7"/>
      <c r="R507" s="7">
        <f t="shared" si="1"/>
        <v>492</v>
      </c>
    </row>
    <row r="508" ht="15.75" customHeight="1">
      <c r="A508" s="7">
        <v>492.0</v>
      </c>
      <c r="B508" s="7" t="s">
        <v>5052</v>
      </c>
      <c r="C508" s="7">
        <v>4.0</v>
      </c>
      <c r="D508" s="7" t="s">
        <v>4904</v>
      </c>
      <c r="E508" s="7" t="s">
        <v>4907</v>
      </c>
      <c r="F508" s="7">
        <v>100.0</v>
      </c>
      <c r="G508" s="7">
        <v>103.0</v>
      </c>
      <c r="H508" s="7">
        <v>75.0</v>
      </c>
      <c r="I508" s="7"/>
      <c r="J508" s="7">
        <v>120.0</v>
      </c>
      <c r="K508" s="7">
        <v>75.0</v>
      </c>
      <c r="L508" s="7">
        <v>127.0</v>
      </c>
      <c r="M508" s="7" t="s">
        <v>2662</v>
      </c>
      <c r="N508" s="7"/>
      <c r="O508" s="7"/>
      <c r="P508" s="7">
        <v>5.2</v>
      </c>
      <c r="Q508" s="7"/>
      <c r="R508" s="7">
        <f t="shared" si="1"/>
        <v>492</v>
      </c>
    </row>
    <row r="509" ht="15.75" customHeight="1">
      <c r="A509" s="7">
        <v>493.0</v>
      </c>
      <c r="B509" s="7" t="s">
        <v>5053</v>
      </c>
      <c r="C509" s="7">
        <v>4.0</v>
      </c>
      <c r="D509" s="7" t="s">
        <v>4916</v>
      </c>
      <c r="E509" s="7"/>
      <c r="F509" s="7">
        <v>120.0</v>
      </c>
      <c r="G509" s="7">
        <v>120.0</v>
      </c>
      <c r="H509" s="7">
        <v>120.0</v>
      </c>
      <c r="I509" s="7"/>
      <c r="J509" s="7">
        <v>120.0</v>
      </c>
      <c r="K509" s="7">
        <v>120.0</v>
      </c>
      <c r="L509" s="7">
        <v>120.0</v>
      </c>
      <c r="M509" s="7" t="s">
        <v>5054</v>
      </c>
      <c r="N509" s="7"/>
      <c r="O509" s="7"/>
      <c r="P509" s="7">
        <v>320.0</v>
      </c>
      <c r="Q509" s="7"/>
      <c r="R509" s="7">
        <f t="shared" si="1"/>
        <v>493</v>
      </c>
    </row>
    <row r="510" ht="15.75" customHeight="1">
      <c r="A510" s="7">
        <v>493.0</v>
      </c>
      <c r="B510" s="7" t="s">
        <v>5055</v>
      </c>
      <c r="C510" s="7">
        <v>4.0</v>
      </c>
      <c r="D510" s="7" t="s">
        <v>4935</v>
      </c>
      <c r="E510" s="7"/>
      <c r="F510" s="7">
        <v>120.0</v>
      </c>
      <c r="G510" s="7">
        <v>120.0</v>
      </c>
      <c r="H510" s="7">
        <v>120.0</v>
      </c>
      <c r="I510" s="7"/>
      <c r="J510" s="7">
        <v>120.0</v>
      </c>
      <c r="K510" s="7">
        <v>120.0</v>
      </c>
      <c r="L510" s="7">
        <v>120.0</v>
      </c>
      <c r="M510" s="7" t="s">
        <v>5054</v>
      </c>
      <c r="N510" s="7"/>
      <c r="O510" s="7"/>
      <c r="P510" s="7">
        <v>320.0</v>
      </c>
      <c r="Q510" s="7"/>
      <c r="R510" s="7">
        <f t="shared" si="1"/>
        <v>493</v>
      </c>
    </row>
    <row r="511" ht="15.75" customHeight="1">
      <c r="A511" s="7">
        <v>493.0</v>
      </c>
      <c r="B511" s="7" t="s">
        <v>5056</v>
      </c>
      <c r="C511" s="7">
        <v>4.0</v>
      </c>
      <c r="D511" s="7" t="s">
        <v>4907</v>
      </c>
      <c r="E511" s="7"/>
      <c r="F511" s="7">
        <v>120.0</v>
      </c>
      <c r="G511" s="7">
        <v>120.0</v>
      </c>
      <c r="H511" s="7">
        <v>120.0</v>
      </c>
      <c r="I511" s="7"/>
      <c r="J511" s="7">
        <v>120.0</v>
      </c>
      <c r="K511" s="7">
        <v>120.0</v>
      </c>
      <c r="L511" s="7">
        <v>120.0</v>
      </c>
      <c r="M511" s="7" t="s">
        <v>5054</v>
      </c>
      <c r="N511" s="7"/>
      <c r="O511" s="7"/>
      <c r="P511" s="7">
        <v>320.0</v>
      </c>
      <c r="Q511" s="7"/>
      <c r="R511" s="7">
        <f t="shared" si="1"/>
        <v>493</v>
      </c>
    </row>
    <row r="512" ht="15.75" customHeight="1">
      <c r="A512" s="7">
        <v>493.0</v>
      </c>
      <c r="B512" s="7" t="s">
        <v>5057</v>
      </c>
      <c r="C512" s="7">
        <v>4.0</v>
      </c>
      <c r="D512" s="7" t="s">
        <v>4905</v>
      </c>
      <c r="E512" s="7"/>
      <c r="F512" s="7">
        <v>120.0</v>
      </c>
      <c r="G512" s="7">
        <v>120.0</v>
      </c>
      <c r="H512" s="7">
        <v>120.0</v>
      </c>
      <c r="I512" s="7"/>
      <c r="J512" s="7">
        <v>120.0</v>
      </c>
      <c r="K512" s="7">
        <v>120.0</v>
      </c>
      <c r="L512" s="7">
        <v>120.0</v>
      </c>
      <c r="M512" s="7" t="s">
        <v>5054</v>
      </c>
      <c r="N512" s="7"/>
      <c r="O512" s="7"/>
      <c r="P512" s="7">
        <v>320.0</v>
      </c>
      <c r="Q512" s="7"/>
      <c r="R512" s="7">
        <f t="shared" si="1"/>
        <v>493</v>
      </c>
    </row>
    <row r="513" ht="15.75" customHeight="1">
      <c r="A513" s="7">
        <v>493.0</v>
      </c>
      <c r="B513" s="7" t="s">
        <v>5058</v>
      </c>
      <c r="C513" s="7">
        <v>4.0</v>
      </c>
      <c r="D513" s="7" t="s">
        <v>4922</v>
      </c>
      <c r="E513" s="7"/>
      <c r="F513" s="7">
        <v>120.0</v>
      </c>
      <c r="G513" s="7">
        <v>120.0</v>
      </c>
      <c r="H513" s="7">
        <v>120.0</v>
      </c>
      <c r="I513" s="7"/>
      <c r="J513" s="7">
        <v>120.0</v>
      </c>
      <c r="K513" s="7">
        <v>120.0</v>
      </c>
      <c r="L513" s="7">
        <v>120.0</v>
      </c>
      <c r="M513" s="7" t="s">
        <v>5054</v>
      </c>
      <c r="N513" s="7"/>
      <c r="O513" s="7"/>
      <c r="P513" s="7">
        <v>320.0</v>
      </c>
      <c r="Q513" s="7"/>
      <c r="R513" s="7">
        <f t="shared" si="1"/>
        <v>493</v>
      </c>
    </row>
    <row r="514" ht="15.75" customHeight="1">
      <c r="A514" s="7">
        <v>493.0</v>
      </c>
      <c r="B514" s="7" t="s">
        <v>5059</v>
      </c>
      <c r="C514" s="7">
        <v>4.0</v>
      </c>
      <c r="D514" s="7" t="s">
        <v>4940</v>
      </c>
      <c r="E514" s="7"/>
      <c r="F514" s="7">
        <v>120.0</v>
      </c>
      <c r="G514" s="7">
        <v>120.0</v>
      </c>
      <c r="H514" s="7">
        <v>120.0</v>
      </c>
      <c r="I514" s="7"/>
      <c r="J514" s="7">
        <v>120.0</v>
      </c>
      <c r="K514" s="7">
        <v>120.0</v>
      </c>
      <c r="L514" s="7">
        <v>120.0</v>
      </c>
      <c r="M514" s="7" t="s">
        <v>5054</v>
      </c>
      <c r="N514" s="7"/>
      <c r="O514" s="7"/>
      <c r="P514" s="7">
        <v>320.0</v>
      </c>
      <c r="Q514" s="7"/>
      <c r="R514" s="7">
        <f t="shared" si="1"/>
        <v>493</v>
      </c>
    </row>
    <row r="515" ht="15.75" customHeight="1">
      <c r="A515" s="7">
        <v>493.0</v>
      </c>
      <c r="B515" s="7" t="s">
        <v>5060</v>
      </c>
      <c r="C515" s="7">
        <v>4.0</v>
      </c>
      <c r="D515" s="7" t="s">
        <v>4910</v>
      </c>
      <c r="E515" s="7"/>
      <c r="F515" s="7">
        <v>120.0</v>
      </c>
      <c r="G515" s="7">
        <v>120.0</v>
      </c>
      <c r="H515" s="7">
        <v>120.0</v>
      </c>
      <c r="I515" s="7"/>
      <c r="J515" s="7">
        <v>120.0</v>
      </c>
      <c r="K515" s="7">
        <v>120.0</v>
      </c>
      <c r="L515" s="7">
        <v>120.0</v>
      </c>
      <c r="M515" s="7" t="s">
        <v>5054</v>
      </c>
      <c r="N515" s="7"/>
      <c r="O515" s="7"/>
      <c r="P515" s="7">
        <v>320.0</v>
      </c>
      <c r="Q515" s="7"/>
      <c r="R515" s="7">
        <f t="shared" si="1"/>
        <v>493</v>
      </c>
    </row>
    <row r="516" ht="15.75" customHeight="1">
      <c r="A516" s="7">
        <v>493.0</v>
      </c>
      <c r="B516" s="7" t="s">
        <v>5061</v>
      </c>
      <c r="C516" s="7">
        <v>4.0</v>
      </c>
      <c r="D516" s="7" t="s">
        <v>4945</v>
      </c>
      <c r="E516" s="7"/>
      <c r="F516" s="7">
        <v>120.0</v>
      </c>
      <c r="G516" s="7">
        <v>120.0</v>
      </c>
      <c r="H516" s="7">
        <v>120.0</v>
      </c>
      <c r="I516" s="7"/>
      <c r="J516" s="7">
        <v>120.0</v>
      </c>
      <c r="K516" s="7">
        <v>120.0</v>
      </c>
      <c r="L516" s="7">
        <v>120.0</v>
      </c>
      <c r="M516" s="7" t="s">
        <v>5054</v>
      </c>
      <c r="N516" s="7"/>
      <c r="O516" s="7"/>
      <c r="P516" s="7">
        <v>320.0</v>
      </c>
      <c r="Q516" s="7"/>
      <c r="R516" s="7">
        <f t="shared" si="1"/>
        <v>493</v>
      </c>
    </row>
    <row r="517" ht="15.75" customHeight="1">
      <c r="A517" s="7">
        <v>493.0</v>
      </c>
      <c r="B517" s="7" t="s">
        <v>5062</v>
      </c>
      <c r="C517" s="7">
        <v>4.0</v>
      </c>
      <c r="D517" s="7" t="s">
        <v>4975</v>
      </c>
      <c r="E517" s="7"/>
      <c r="F517" s="7">
        <v>120.0</v>
      </c>
      <c r="G517" s="7">
        <v>120.0</v>
      </c>
      <c r="H517" s="7">
        <v>120.0</v>
      </c>
      <c r="I517" s="7"/>
      <c r="J517" s="7">
        <v>120.0</v>
      </c>
      <c r="K517" s="7">
        <v>120.0</v>
      </c>
      <c r="L517" s="7">
        <v>120.0</v>
      </c>
      <c r="M517" s="7" t="s">
        <v>5054</v>
      </c>
      <c r="N517" s="7"/>
      <c r="O517" s="7"/>
      <c r="P517" s="7">
        <v>320.0</v>
      </c>
      <c r="Q517" s="7"/>
      <c r="R517" s="7">
        <f t="shared" si="1"/>
        <v>493</v>
      </c>
    </row>
    <row r="518" ht="15.75" customHeight="1">
      <c r="A518" s="7">
        <v>493.0</v>
      </c>
      <c r="B518" s="7" t="s">
        <v>5063</v>
      </c>
      <c r="C518" s="7">
        <v>4.0</v>
      </c>
      <c r="D518" s="7" t="s">
        <v>4906</v>
      </c>
      <c r="E518" s="7"/>
      <c r="F518" s="7">
        <v>120.0</v>
      </c>
      <c r="G518" s="7">
        <v>120.0</v>
      </c>
      <c r="H518" s="7">
        <v>120.0</v>
      </c>
      <c r="I518" s="7"/>
      <c r="J518" s="7">
        <v>120.0</v>
      </c>
      <c r="K518" s="7">
        <v>120.0</v>
      </c>
      <c r="L518" s="7">
        <v>120.0</v>
      </c>
      <c r="M518" s="7" t="s">
        <v>5054</v>
      </c>
      <c r="N518" s="7"/>
      <c r="O518" s="7"/>
      <c r="P518" s="7">
        <v>320.0</v>
      </c>
      <c r="Q518" s="7"/>
      <c r="R518" s="7">
        <f t="shared" si="1"/>
        <v>493</v>
      </c>
    </row>
    <row r="519" ht="15.75" customHeight="1">
      <c r="A519" s="7">
        <v>493.0</v>
      </c>
      <c r="B519" s="7" t="s">
        <v>5064</v>
      </c>
      <c r="C519" s="7">
        <v>4.0</v>
      </c>
      <c r="D519" s="7" t="s">
        <v>4908</v>
      </c>
      <c r="E519" s="7"/>
      <c r="F519" s="7">
        <v>120.0</v>
      </c>
      <c r="G519" s="7">
        <v>120.0</v>
      </c>
      <c r="H519" s="7">
        <v>120.0</v>
      </c>
      <c r="I519" s="7"/>
      <c r="J519" s="7">
        <v>120.0</v>
      </c>
      <c r="K519" s="7">
        <v>120.0</v>
      </c>
      <c r="L519" s="7">
        <v>120.0</v>
      </c>
      <c r="M519" s="7" t="s">
        <v>5054</v>
      </c>
      <c r="N519" s="7"/>
      <c r="O519" s="7"/>
      <c r="P519" s="7">
        <v>320.0</v>
      </c>
      <c r="Q519" s="7"/>
      <c r="R519" s="7">
        <f t="shared" si="1"/>
        <v>493</v>
      </c>
    </row>
    <row r="520" ht="15.75" customHeight="1">
      <c r="A520" s="7">
        <v>493.0</v>
      </c>
      <c r="B520" s="7" t="s">
        <v>5065</v>
      </c>
      <c r="C520" s="7">
        <v>4.0</v>
      </c>
      <c r="D520" s="7" t="s">
        <v>4904</v>
      </c>
      <c r="E520" s="7"/>
      <c r="F520" s="7">
        <v>120.0</v>
      </c>
      <c r="G520" s="7">
        <v>120.0</v>
      </c>
      <c r="H520" s="7">
        <v>120.0</v>
      </c>
      <c r="I520" s="7"/>
      <c r="J520" s="7">
        <v>120.0</v>
      </c>
      <c r="K520" s="7">
        <v>120.0</v>
      </c>
      <c r="L520" s="7">
        <v>120.0</v>
      </c>
      <c r="M520" s="7" t="s">
        <v>5054</v>
      </c>
      <c r="N520" s="7"/>
      <c r="O520" s="7"/>
      <c r="P520" s="7">
        <v>320.0</v>
      </c>
      <c r="Q520" s="7"/>
      <c r="R520" s="7">
        <f t="shared" si="1"/>
        <v>493</v>
      </c>
    </row>
    <row r="521" ht="15.75" customHeight="1">
      <c r="A521" s="7">
        <v>493.0</v>
      </c>
      <c r="B521" s="7" t="s">
        <v>5066</v>
      </c>
      <c r="C521" s="7">
        <v>4.0</v>
      </c>
      <c r="D521" s="7" t="s">
        <v>4921</v>
      </c>
      <c r="E521" s="7"/>
      <c r="F521" s="7">
        <v>120.0</v>
      </c>
      <c r="G521" s="7">
        <v>120.0</v>
      </c>
      <c r="H521" s="7">
        <v>120.0</v>
      </c>
      <c r="I521" s="7"/>
      <c r="J521" s="7">
        <v>120.0</v>
      </c>
      <c r="K521" s="7">
        <v>120.0</v>
      </c>
      <c r="L521" s="7">
        <v>120.0</v>
      </c>
      <c r="M521" s="7" t="s">
        <v>5054</v>
      </c>
      <c r="N521" s="7"/>
      <c r="O521" s="7"/>
      <c r="P521" s="7">
        <v>320.0</v>
      </c>
      <c r="Q521" s="7"/>
      <c r="R521" s="7">
        <f t="shared" si="1"/>
        <v>493</v>
      </c>
    </row>
    <row r="522" ht="15.75" customHeight="1">
      <c r="A522" s="7">
        <v>493.0</v>
      </c>
      <c r="B522" s="7" t="s">
        <v>5067</v>
      </c>
      <c r="C522" s="7">
        <v>4.0</v>
      </c>
      <c r="D522" s="7" t="s">
        <v>2659</v>
      </c>
      <c r="E522" s="7"/>
      <c r="F522" s="7">
        <v>120.0</v>
      </c>
      <c r="G522" s="7">
        <v>120.0</v>
      </c>
      <c r="H522" s="7">
        <v>120.0</v>
      </c>
      <c r="I522" s="7"/>
      <c r="J522" s="7">
        <v>120.0</v>
      </c>
      <c r="K522" s="7">
        <v>120.0</v>
      </c>
      <c r="L522" s="7">
        <v>120.0</v>
      </c>
      <c r="M522" s="7" t="s">
        <v>5054</v>
      </c>
      <c r="N522" s="7"/>
      <c r="O522" s="7"/>
      <c r="P522" s="7">
        <v>320.0</v>
      </c>
      <c r="Q522" s="7"/>
      <c r="R522" s="7">
        <f t="shared" si="1"/>
        <v>493</v>
      </c>
    </row>
    <row r="523" ht="15.75" customHeight="1">
      <c r="A523" s="7">
        <v>493.0</v>
      </c>
      <c r="B523" s="7" t="s">
        <v>5068</v>
      </c>
      <c r="C523" s="7">
        <v>4.0</v>
      </c>
      <c r="D523" s="7" t="s">
        <v>4942</v>
      </c>
      <c r="E523" s="7"/>
      <c r="F523" s="7">
        <v>120.0</v>
      </c>
      <c r="G523" s="7">
        <v>120.0</v>
      </c>
      <c r="H523" s="7">
        <v>120.0</v>
      </c>
      <c r="I523" s="7"/>
      <c r="J523" s="7">
        <v>120.0</v>
      </c>
      <c r="K523" s="7">
        <v>120.0</v>
      </c>
      <c r="L523" s="7">
        <v>120.0</v>
      </c>
      <c r="M523" s="7" t="s">
        <v>5054</v>
      </c>
      <c r="N523" s="7"/>
      <c r="O523" s="7"/>
      <c r="P523" s="7">
        <v>320.0</v>
      </c>
      <c r="Q523" s="7"/>
      <c r="R523" s="7">
        <f t="shared" si="1"/>
        <v>493</v>
      </c>
    </row>
    <row r="524" ht="15.75" customHeight="1">
      <c r="A524" s="7">
        <v>493.0</v>
      </c>
      <c r="B524" s="7" t="s">
        <v>5069</v>
      </c>
      <c r="C524" s="7">
        <v>4.0</v>
      </c>
      <c r="D524" s="7" t="s">
        <v>4956</v>
      </c>
      <c r="E524" s="7"/>
      <c r="F524" s="7">
        <v>120.0</v>
      </c>
      <c r="G524" s="7">
        <v>120.0</v>
      </c>
      <c r="H524" s="7">
        <v>120.0</v>
      </c>
      <c r="I524" s="7"/>
      <c r="J524" s="7">
        <v>120.0</v>
      </c>
      <c r="K524" s="7">
        <v>120.0</v>
      </c>
      <c r="L524" s="7">
        <v>120.0</v>
      </c>
      <c r="M524" s="7" t="s">
        <v>5054</v>
      </c>
      <c r="N524" s="7"/>
      <c r="O524" s="7"/>
      <c r="P524" s="7">
        <v>320.0</v>
      </c>
      <c r="Q524" s="7"/>
      <c r="R524" s="7">
        <f t="shared" si="1"/>
        <v>493</v>
      </c>
    </row>
    <row r="525" ht="15.75" customHeight="1">
      <c r="A525" s="7">
        <v>493.0</v>
      </c>
      <c r="B525" s="7" t="s">
        <v>5070</v>
      </c>
      <c r="C525" s="7">
        <v>4.0</v>
      </c>
      <c r="D525" s="7" t="s">
        <v>4972</v>
      </c>
      <c r="E525" s="7"/>
      <c r="F525" s="7">
        <v>120.0</v>
      </c>
      <c r="G525" s="7">
        <v>120.0</v>
      </c>
      <c r="H525" s="7">
        <v>120.0</v>
      </c>
      <c r="I525" s="7"/>
      <c r="J525" s="7">
        <v>120.0</v>
      </c>
      <c r="K525" s="7">
        <v>120.0</v>
      </c>
      <c r="L525" s="7">
        <v>120.0</v>
      </c>
      <c r="M525" s="7" t="s">
        <v>5054</v>
      </c>
      <c r="N525" s="7"/>
      <c r="O525" s="7"/>
      <c r="P525" s="7">
        <v>320.0</v>
      </c>
      <c r="Q525" s="7"/>
      <c r="R525" s="7">
        <f t="shared" si="1"/>
        <v>493</v>
      </c>
    </row>
    <row r="526" ht="15.75" customHeight="1">
      <c r="A526" s="7">
        <v>493.0</v>
      </c>
      <c r="B526" s="7" t="s">
        <v>5071</v>
      </c>
      <c r="C526" s="7">
        <v>6.0</v>
      </c>
      <c r="D526" s="7" t="s">
        <v>5072</v>
      </c>
      <c r="E526" s="7"/>
      <c r="F526" s="7">
        <v>120.0</v>
      </c>
      <c r="G526" s="7">
        <v>120.0</v>
      </c>
      <c r="H526" s="7">
        <v>120.0</v>
      </c>
      <c r="I526" s="7"/>
      <c r="J526" s="7">
        <v>120.0</v>
      </c>
      <c r="K526" s="7">
        <v>120.0</v>
      </c>
      <c r="L526" s="7">
        <v>120.0</v>
      </c>
      <c r="M526" s="7" t="s">
        <v>5054</v>
      </c>
      <c r="N526" s="7"/>
      <c r="O526" s="7"/>
      <c r="P526" s="7">
        <v>320.0</v>
      </c>
      <c r="Q526" s="7"/>
      <c r="R526" s="7">
        <f t="shared" si="1"/>
        <v>493</v>
      </c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1" width="4.29"/>
    <col customWidth="1" min="22" max="22" width="16.14"/>
    <col customWidth="1" min="23" max="26" width="8.71"/>
  </cols>
  <sheetData>
    <row r="1" ht="15.75" customHeight="1">
      <c r="A1" s="84" t="s">
        <v>15</v>
      </c>
      <c r="B1" s="84" t="s">
        <v>20</v>
      </c>
      <c r="C1" s="84" t="s">
        <v>21</v>
      </c>
      <c r="D1" s="84" t="s">
        <v>22</v>
      </c>
      <c r="E1" s="84" t="s">
        <v>23</v>
      </c>
      <c r="F1" s="84" t="s">
        <v>5073</v>
      </c>
    </row>
    <row r="2" ht="15.75" customHeight="1">
      <c r="A2" s="84" t="s">
        <v>2795</v>
      </c>
      <c r="B2" s="84">
        <v>1.0</v>
      </c>
      <c r="C2" s="84">
        <v>1.0</v>
      </c>
      <c r="D2" s="84">
        <v>1.0</v>
      </c>
      <c r="E2" s="84">
        <v>1.0</v>
      </c>
      <c r="F2" s="84">
        <v>1.0</v>
      </c>
    </row>
    <row r="3" ht="15.75" customHeight="1">
      <c r="A3" s="84" t="s">
        <v>2845</v>
      </c>
      <c r="B3" s="84">
        <v>1.1</v>
      </c>
      <c r="C3" s="84">
        <v>0.9</v>
      </c>
      <c r="D3" s="84">
        <v>1.0</v>
      </c>
      <c r="E3" s="84">
        <v>1.0</v>
      </c>
      <c r="F3" s="84">
        <v>1.0</v>
      </c>
    </row>
    <row r="4" ht="15.75" customHeight="1">
      <c r="A4" s="84" t="s">
        <v>2629</v>
      </c>
      <c r="B4" s="84">
        <v>1.1</v>
      </c>
      <c r="C4" s="84">
        <v>1.0</v>
      </c>
      <c r="D4" s="84">
        <v>1.0</v>
      </c>
      <c r="E4" s="84">
        <v>1.0</v>
      </c>
      <c r="F4" s="84">
        <v>0.9</v>
      </c>
    </row>
    <row r="5" ht="15.75" customHeight="1">
      <c r="A5" s="84" t="s">
        <v>2571</v>
      </c>
      <c r="B5" s="84">
        <v>1.1</v>
      </c>
      <c r="C5" s="84">
        <v>1.0</v>
      </c>
      <c r="D5" s="84">
        <v>0.9</v>
      </c>
      <c r="E5" s="84">
        <v>1.0</v>
      </c>
      <c r="F5" s="84">
        <v>1.0</v>
      </c>
    </row>
    <row r="6" ht="15.75" customHeight="1">
      <c r="A6" s="84" t="s">
        <v>2789</v>
      </c>
      <c r="B6" s="84">
        <v>1.1</v>
      </c>
      <c r="C6" s="84">
        <v>1.0</v>
      </c>
      <c r="D6" s="84">
        <v>1.0</v>
      </c>
      <c r="E6" s="84">
        <v>0.9</v>
      </c>
      <c r="F6" s="84">
        <v>1.0</v>
      </c>
    </row>
    <row r="7" ht="15.75" customHeight="1">
      <c r="A7" s="84" t="s">
        <v>2862</v>
      </c>
      <c r="B7" s="84">
        <v>0.9</v>
      </c>
      <c r="C7" s="84">
        <v>1.1</v>
      </c>
      <c r="D7" s="84">
        <v>1.0</v>
      </c>
      <c r="E7" s="84">
        <v>1.0</v>
      </c>
      <c r="F7" s="84">
        <v>1.0</v>
      </c>
    </row>
    <row r="8" ht="15.75" customHeight="1">
      <c r="A8" s="84" t="s">
        <v>2599</v>
      </c>
      <c r="B8" s="84">
        <v>1.0</v>
      </c>
      <c r="C8" s="84">
        <v>1.0</v>
      </c>
      <c r="D8" s="84">
        <v>1.0</v>
      </c>
      <c r="E8" s="84">
        <v>1.0</v>
      </c>
      <c r="F8" s="84">
        <v>1.0</v>
      </c>
    </row>
    <row r="9" ht="15.75" customHeight="1">
      <c r="A9" s="84" t="s">
        <v>2811</v>
      </c>
      <c r="B9" s="84">
        <v>1.0</v>
      </c>
      <c r="C9" s="84">
        <v>1.1</v>
      </c>
      <c r="D9" s="84">
        <v>1.0</v>
      </c>
      <c r="E9" s="84">
        <v>1.0</v>
      </c>
      <c r="F9" s="84">
        <v>0.9</v>
      </c>
    </row>
    <row r="10" ht="15.75" customHeight="1">
      <c r="A10" s="84" t="s">
        <v>2648</v>
      </c>
      <c r="B10" s="84">
        <v>1.0</v>
      </c>
      <c r="C10" s="84">
        <v>1.1</v>
      </c>
      <c r="D10" s="84">
        <v>0.9</v>
      </c>
      <c r="E10" s="84">
        <v>1.0</v>
      </c>
      <c r="F10" s="84">
        <v>1.0</v>
      </c>
    </row>
    <row r="11" ht="15.75" customHeight="1">
      <c r="A11" s="84" t="s">
        <v>2641</v>
      </c>
      <c r="B11" s="84">
        <v>1.0</v>
      </c>
      <c r="C11" s="84">
        <v>1.1</v>
      </c>
      <c r="D11" s="84">
        <v>1.0</v>
      </c>
      <c r="E11" s="84">
        <v>0.9</v>
      </c>
      <c r="F11" s="84">
        <v>1.0</v>
      </c>
    </row>
    <row r="12" ht="15.75" customHeight="1">
      <c r="A12" s="84" t="s">
        <v>2635</v>
      </c>
      <c r="B12" s="84">
        <v>0.9</v>
      </c>
      <c r="C12" s="84">
        <v>1.0</v>
      </c>
      <c r="D12" s="84">
        <v>1.0</v>
      </c>
      <c r="E12" s="84">
        <v>1.0</v>
      </c>
      <c r="F12" s="84">
        <v>1.1</v>
      </c>
    </row>
    <row r="13" ht="15.75" customHeight="1">
      <c r="A13" s="84" t="s">
        <v>2941</v>
      </c>
      <c r="B13" s="84">
        <v>1.0</v>
      </c>
      <c r="C13" s="84">
        <v>0.9</v>
      </c>
      <c r="D13" s="84">
        <v>1.0</v>
      </c>
      <c r="E13" s="84">
        <v>1.0</v>
      </c>
      <c r="F13" s="84">
        <v>1.1</v>
      </c>
    </row>
    <row r="14" ht="15.75" customHeight="1">
      <c r="A14" s="84" t="s">
        <v>3344</v>
      </c>
      <c r="B14" s="84">
        <v>1.0</v>
      </c>
      <c r="C14" s="84">
        <v>1.0</v>
      </c>
      <c r="D14" s="84">
        <v>1.0</v>
      </c>
      <c r="E14" s="84">
        <v>1.0</v>
      </c>
      <c r="F14" s="84">
        <v>1.0</v>
      </c>
    </row>
    <row r="15" ht="15.75" customHeight="1">
      <c r="A15" s="84" t="s">
        <v>2692</v>
      </c>
      <c r="B15" s="84">
        <v>1.0</v>
      </c>
      <c r="C15" s="84">
        <v>1.0</v>
      </c>
      <c r="D15" s="84">
        <v>0.9</v>
      </c>
      <c r="E15" s="84">
        <v>1.0</v>
      </c>
      <c r="F15" s="84">
        <v>1.1</v>
      </c>
    </row>
    <row r="16" ht="15.75" customHeight="1">
      <c r="A16" s="84" t="s">
        <v>3134</v>
      </c>
      <c r="B16" s="84">
        <v>1.0</v>
      </c>
      <c r="C16" s="84">
        <v>1.0</v>
      </c>
      <c r="D16" s="84">
        <v>1.0</v>
      </c>
      <c r="E16" s="84">
        <v>0.9</v>
      </c>
      <c r="F16" s="84">
        <v>1.1</v>
      </c>
    </row>
    <row r="17" ht="15.75" customHeight="1">
      <c r="A17" s="84" t="s">
        <v>2656</v>
      </c>
      <c r="B17" s="84">
        <v>0.9</v>
      </c>
      <c r="C17" s="84">
        <v>1.0</v>
      </c>
      <c r="D17" s="84">
        <v>1.1</v>
      </c>
      <c r="E17" s="84">
        <v>1.0</v>
      </c>
      <c r="F17" s="84">
        <v>1.0</v>
      </c>
    </row>
    <row r="18" ht="15.75" customHeight="1">
      <c r="A18" s="84" t="s">
        <v>3157</v>
      </c>
      <c r="B18" s="84">
        <v>1.0</v>
      </c>
      <c r="C18" s="84">
        <v>0.9</v>
      </c>
      <c r="D18" s="84">
        <v>1.1</v>
      </c>
      <c r="E18" s="84">
        <v>1.0</v>
      </c>
      <c r="F18" s="84">
        <v>1.0</v>
      </c>
    </row>
    <row r="19" ht="15.75" customHeight="1">
      <c r="A19" s="84" t="s">
        <v>2827</v>
      </c>
      <c r="B19" s="84">
        <v>1.0</v>
      </c>
      <c r="C19" s="84">
        <v>1.0</v>
      </c>
      <c r="D19" s="84">
        <v>1.1</v>
      </c>
      <c r="E19" s="84">
        <v>1.0</v>
      </c>
      <c r="F19" s="84">
        <v>0.9</v>
      </c>
    </row>
    <row r="20" ht="15.75" customHeight="1">
      <c r="A20" s="84" t="s">
        <v>2605</v>
      </c>
      <c r="B20" s="84">
        <v>1.0</v>
      </c>
      <c r="C20" s="84">
        <v>1.0</v>
      </c>
      <c r="D20" s="84">
        <v>1.0</v>
      </c>
      <c r="E20" s="84">
        <v>1.0</v>
      </c>
      <c r="F20" s="84">
        <v>1.0</v>
      </c>
    </row>
    <row r="21" ht="15.75" customHeight="1">
      <c r="A21" s="84" t="s">
        <v>3248</v>
      </c>
      <c r="B21" s="84">
        <v>1.0</v>
      </c>
      <c r="C21" s="84">
        <v>1.0</v>
      </c>
      <c r="D21" s="84">
        <v>1.1</v>
      </c>
      <c r="E21" s="84">
        <v>0.9</v>
      </c>
      <c r="F21" s="84">
        <v>1.0</v>
      </c>
    </row>
    <row r="22" ht="15.75" customHeight="1">
      <c r="A22" s="84" t="s">
        <v>3597</v>
      </c>
      <c r="B22" s="84">
        <v>0.9</v>
      </c>
      <c r="C22" s="84">
        <v>1.0</v>
      </c>
      <c r="D22" s="84">
        <v>1.0</v>
      </c>
      <c r="E22" s="84">
        <v>1.1</v>
      </c>
      <c r="F22" s="84">
        <v>1.0</v>
      </c>
    </row>
    <row r="23" ht="15.75" customHeight="1">
      <c r="A23" s="84" t="s">
        <v>3289</v>
      </c>
      <c r="B23" s="84">
        <v>1.0</v>
      </c>
      <c r="C23" s="84">
        <v>0.9</v>
      </c>
      <c r="D23" s="84">
        <v>1.0</v>
      </c>
      <c r="E23" s="84">
        <v>1.1</v>
      </c>
      <c r="F23" s="84">
        <v>1.0</v>
      </c>
    </row>
    <row r="24" ht="15.75" customHeight="1">
      <c r="A24" s="84" t="s">
        <v>3105</v>
      </c>
      <c r="B24" s="84">
        <v>1.0</v>
      </c>
      <c r="C24" s="84">
        <v>1.0</v>
      </c>
      <c r="D24" s="84">
        <v>1.0</v>
      </c>
      <c r="E24" s="84">
        <v>1.1</v>
      </c>
      <c r="F24" s="84">
        <v>0.9</v>
      </c>
    </row>
    <row r="25" ht="15.75" customHeight="1">
      <c r="A25" s="84" t="s">
        <v>2723</v>
      </c>
      <c r="B25" s="84">
        <v>1.0</v>
      </c>
      <c r="C25" s="84">
        <v>1.0</v>
      </c>
      <c r="D25" s="84">
        <v>0.9</v>
      </c>
      <c r="E25" s="84">
        <v>1.1</v>
      </c>
      <c r="F25" s="84">
        <v>1.0</v>
      </c>
    </row>
    <row r="26" ht="15.75" customHeight="1">
      <c r="A26" s="84" t="s">
        <v>2611</v>
      </c>
      <c r="B26" s="84">
        <v>1.0</v>
      </c>
      <c r="C26" s="84">
        <v>1.0</v>
      </c>
      <c r="D26" s="84">
        <v>1.0</v>
      </c>
      <c r="E26" s="84">
        <v>1.0</v>
      </c>
      <c r="F26" s="84">
        <v>1.0</v>
      </c>
    </row>
    <row r="27" ht="15.75" customHeight="1">
      <c r="A27" s="89"/>
      <c r="B27" s="89"/>
      <c r="C27" s="89"/>
    </row>
    <row r="28" ht="15.75" customHeight="1">
      <c r="A28" s="89"/>
      <c r="B28" s="89"/>
      <c r="C28" s="89"/>
    </row>
    <row r="29" ht="15.75" customHeight="1">
      <c r="A29" s="90">
        <v>7.0</v>
      </c>
      <c r="B29" s="90"/>
      <c r="C29" s="90"/>
      <c r="D29" s="90"/>
      <c r="E29" s="90" t="s">
        <v>5074</v>
      </c>
      <c r="F29" s="90" t="s">
        <v>5075</v>
      </c>
      <c r="G29" s="90" t="s">
        <v>5076</v>
      </c>
      <c r="H29" s="90" t="s">
        <v>5075</v>
      </c>
      <c r="I29" s="90" t="s">
        <v>5077</v>
      </c>
      <c r="J29" s="90" t="s">
        <v>5074</v>
      </c>
      <c r="K29" s="90" t="s">
        <v>5078</v>
      </c>
      <c r="L29" s="90" t="s">
        <v>5077</v>
      </c>
      <c r="M29" s="90" t="s">
        <v>5079</v>
      </c>
      <c r="N29" s="90"/>
      <c r="O29" s="90" t="s">
        <v>5080</v>
      </c>
      <c r="P29" s="90" t="s">
        <v>5081</v>
      </c>
      <c r="Q29" s="90" t="s">
        <v>5082</v>
      </c>
      <c r="R29" s="90" t="s">
        <v>5075</v>
      </c>
      <c r="S29" s="90"/>
      <c r="T29" s="90"/>
      <c r="U29" s="90"/>
    </row>
    <row r="30" ht="15.75" customHeight="1">
      <c r="A30" s="90"/>
      <c r="B30" s="90"/>
      <c r="C30" s="90" t="s">
        <v>4916</v>
      </c>
      <c r="D30" s="90" t="s">
        <v>4935</v>
      </c>
      <c r="E30" s="90" t="s">
        <v>4907</v>
      </c>
      <c r="F30" s="90" t="s">
        <v>4905</v>
      </c>
      <c r="G30" s="90" t="s">
        <v>4922</v>
      </c>
      <c r="H30" s="90" t="s">
        <v>4940</v>
      </c>
      <c r="I30" s="90" t="s">
        <v>4910</v>
      </c>
      <c r="J30" s="90" t="s">
        <v>4945</v>
      </c>
      <c r="K30" s="90" t="str">
        <f>IF($A$29&lt;2,"","Steel")</f>
        <v>Steel</v>
      </c>
      <c r="L30" s="90" t="s">
        <v>4906</v>
      </c>
      <c r="M30" s="90" t="s">
        <v>4908</v>
      </c>
      <c r="N30" s="90" t="s">
        <v>4904</v>
      </c>
      <c r="O30" s="90" t="s">
        <v>4921</v>
      </c>
      <c r="P30" s="90" t="s">
        <v>2659</v>
      </c>
      <c r="Q30" s="90" t="s">
        <v>4942</v>
      </c>
      <c r="R30" s="90" t="s">
        <v>4956</v>
      </c>
      <c r="S30" s="90" t="str">
        <f>IF($A$29&lt;2,"","Dark")</f>
        <v>Dark</v>
      </c>
      <c r="T30" s="90" t="str">
        <f>IF($A$29&lt;6,"","Fairy")</f>
        <v>Fairy</v>
      </c>
    </row>
    <row r="31" ht="15.75" customHeight="1">
      <c r="A31" s="90" t="s">
        <v>4916</v>
      </c>
      <c r="B31" s="90">
        <v>3.0</v>
      </c>
      <c r="C31" s="90">
        <v>1.0</v>
      </c>
      <c r="D31" s="90">
        <v>1.0</v>
      </c>
      <c r="E31" s="90">
        <v>1.0</v>
      </c>
      <c r="F31" s="90">
        <v>1.0</v>
      </c>
      <c r="G31" s="90">
        <v>1.0</v>
      </c>
      <c r="H31" s="90">
        <v>0.5</v>
      </c>
      <c r="I31" s="90">
        <v>1.0</v>
      </c>
      <c r="J31" s="90">
        <v>0.0</v>
      </c>
      <c r="K31" s="90">
        <v>0.5</v>
      </c>
      <c r="L31" s="90">
        <v>1.0</v>
      </c>
      <c r="M31" s="90">
        <v>1.0</v>
      </c>
      <c r="N31" s="90">
        <v>1.0</v>
      </c>
      <c r="O31" s="90">
        <v>1.0</v>
      </c>
      <c r="P31" s="90">
        <v>1.0</v>
      </c>
      <c r="Q31" s="90">
        <v>1.0</v>
      </c>
      <c r="R31" s="90">
        <v>1.0</v>
      </c>
      <c r="S31" s="90">
        <v>1.0</v>
      </c>
      <c r="T31" s="90">
        <v>1.0</v>
      </c>
      <c r="U31" s="84">
        <v>1.0</v>
      </c>
    </row>
    <row r="32" ht="15.75" customHeight="1">
      <c r="A32" s="90" t="s">
        <v>4935</v>
      </c>
      <c r="B32" s="90">
        <v>4.0</v>
      </c>
      <c r="C32" s="90">
        <v>2.0</v>
      </c>
      <c r="D32" s="90">
        <v>1.0</v>
      </c>
      <c r="E32" s="90">
        <v>0.5</v>
      </c>
      <c r="F32" s="90">
        <v>0.5</v>
      </c>
      <c r="G32" s="90">
        <v>1.0</v>
      </c>
      <c r="H32" s="90">
        <v>2.0</v>
      </c>
      <c r="I32" s="90">
        <v>0.5</v>
      </c>
      <c r="J32" s="90">
        <v>0.0</v>
      </c>
      <c r="K32" s="90">
        <v>2.0</v>
      </c>
      <c r="L32" s="90">
        <v>1.0</v>
      </c>
      <c r="M32" s="90">
        <v>1.0</v>
      </c>
      <c r="N32" s="90">
        <v>1.0</v>
      </c>
      <c r="O32" s="90">
        <v>1.0</v>
      </c>
      <c r="P32" s="90">
        <v>0.5</v>
      </c>
      <c r="Q32" s="90">
        <v>2.0</v>
      </c>
      <c r="R32" s="90">
        <v>1.0</v>
      </c>
      <c r="S32" s="90">
        <v>2.0</v>
      </c>
      <c r="T32" s="90">
        <v>0.5</v>
      </c>
      <c r="U32" s="84">
        <v>1.0</v>
      </c>
      <c r="V32" s="90" t="s">
        <v>5083</v>
      </c>
    </row>
    <row r="33" ht="15.75" customHeight="1">
      <c r="A33" s="90" t="s">
        <v>4907</v>
      </c>
      <c r="B33" s="90">
        <v>5.0</v>
      </c>
      <c r="C33" s="90">
        <v>1.0</v>
      </c>
      <c r="D33" s="90">
        <v>2.0</v>
      </c>
      <c r="E33" s="90">
        <v>1.0</v>
      </c>
      <c r="F33" s="90">
        <v>1.0</v>
      </c>
      <c r="G33" s="90">
        <v>1.0</v>
      </c>
      <c r="H33" s="90">
        <v>0.5</v>
      </c>
      <c r="I33" s="90">
        <v>2.0</v>
      </c>
      <c r="J33" s="90">
        <v>1.0</v>
      </c>
      <c r="K33" s="90">
        <v>0.5</v>
      </c>
      <c r="L33" s="90">
        <v>1.0</v>
      </c>
      <c r="M33" s="90">
        <v>1.0</v>
      </c>
      <c r="N33" s="90">
        <v>2.0</v>
      </c>
      <c r="O33" s="90">
        <v>0.5</v>
      </c>
      <c r="P33" s="90">
        <v>1.0</v>
      </c>
      <c r="Q33" s="90">
        <v>1.0</v>
      </c>
      <c r="R33" s="90">
        <v>1.0</v>
      </c>
      <c r="S33" s="90">
        <v>1.0</v>
      </c>
      <c r="T33" s="90">
        <v>1.0</v>
      </c>
      <c r="U33" s="84">
        <v>1.0</v>
      </c>
      <c r="V33" s="90" t="s">
        <v>5080</v>
      </c>
    </row>
    <row r="34" ht="15.75" customHeight="1">
      <c r="A34" s="90" t="s">
        <v>4905</v>
      </c>
      <c r="B34" s="90">
        <v>6.0</v>
      </c>
      <c r="C34" s="90">
        <v>1.0</v>
      </c>
      <c r="D34" s="90">
        <v>1.0</v>
      </c>
      <c r="E34" s="90">
        <v>1.0</v>
      </c>
      <c r="F34" s="90">
        <v>0.5</v>
      </c>
      <c r="G34" s="90">
        <v>0.5</v>
      </c>
      <c r="H34" s="90">
        <v>0.5</v>
      </c>
      <c r="I34" s="90">
        <f>IF($A$29&lt;2,2,1)</f>
        <v>1</v>
      </c>
      <c r="J34" s="90">
        <v>0.5</v>
      </c>
      <c r="K34" s="90">
        <v>0.0</v>
      </c>
      <c r="L34" s="90">
        <v>1.0</v>
      </c>
      <c r="M34" s="90">
        <v>1.0</v>
      </c>
      <c r="N34" s="90">
        <v>2.0</v>
      </c>
      <c r="O34" s="90">
        <v>1.0</v>
      </c>
      <c r="P34" s="90">
        <v>1.0</v>
      </c>
      <c r="Q34" s="90">
        <v>1.0</v>
      </c>
      <c r="R34" s="90">
        <v>1.0</v>
      </c>
      <c r="S34" s="90">
        <v>1.0</v>
      </c>
      <c r="T34" s="90">
        <v>2.0</v>
      </c>
      <c r="U34" s="84">
        <v>1.0</v>
      </c>
      <c r="V34" s="90" t="s">
        <v>5080</v>
      </c>
    </row>
    <row r="35" ht="15.75" customHeight="1">
      <c r="A35" s="90" t="s">
        <v>4922</v>
      </c>
      <c r="B35" s="90">
        <v>7.0</v>
      </c>
      <c r="C35" s="90">
        <v>1.0</v>
      </c>
      <c r="D35" s="90">
        <v>1.0</v>
      </c>
      <c r="E35" s="90">
        <v>0.0</v>
      </c>
      <c r="F35" s="90">
        <v>2.0</v>
      </c>
      <c r="G35" s="90">
        <v>1.0</v>
      </c>
      <c r="H35" s="90">
        <v>2.0</v>
      </c>
      <c r="I35" s="90">
        <v>0.5</v>
      </c>
      <c r="J35" s="90">
        <v>1.0</v>
      </c>
      <c r="K35" s="90">
        <v>2.0</v>
      </c>
      <c r="L35" s="90">
        <v>2.0</v>
      </c>
      <c r="M35" s="90">
        <v>1.0</v>
      </c>
      <c r="N35" s="90">
        <v>0.5</v>
      </c>
      <c r="O35" s="90">
        <v>2.0</v>
      </c>
      <c r="P35" s="90">
        <v>1.0</v>
      </c>
      <c r="Q35" s="90">
        <v>1.0</v>
      </c>
      <c r="R35" s="90">
        <v>1.0</v>
      </c>
      <c r="S35" s="90">
        <v>1.0</v>
      </c>
      <c r="T35" s="90">
        <v>1.0</v>
      </c>
      <c r="U35" s="84">
        <v>1.0</v>
      </c>
      <c r="V35" s="90" t="s">
        <v>5083</v>
      </c>
    </row>
    <row r="36" ht="15.75" customHeight="1">
      <c r="A36" s="90" t="s">
        <v>4940</v>
      </c>
      <c r="B36" s="90">
        <v>8.0</v>
      </c>
      <c r="C36" s="90">
        <v>1.0</v>
      </c>
      <c r="D36" s="90">
        <v>0.5</v>
      </c>
      <c r="E36" s="90">
        <v>2.0</v>
      </c>
      <c r="F36" s="90">
        <v>1.0</v>
      </c>
      <c r="G36" s="90">
        <v>0.5</v>
      </c>
      <c r="H36" s="90">
        <v>1.0</v>
      </c>
      <c r="I36" s="90">
        <v>2.0</v>
      </c>
      <c r="J36" s="90">
        <v>1.0</v>
      </c>
      <c r="K36" s="90">
        <v>0.5</v>
      </c>
      <c r="L36" s="90">
        <v>2.0</v>
      </c>
      <c r="M36" s="90">
        <v>1.0</v>
      </c>
      <c r="N36" s="90">
        <v>1.0</v>
      </c>
      <c r="O36" s="90">
        <v>1.0</v>
      </c>
      <c r="P36" s="90">
        <v>1.0</v>
      </c>
      <c r="Q36" s="90">
        <v>2.0</v>
      </c>
      <c r="R36" s="90">
        <v>1.0</v>
      </c>
      <c r="S36" s="90">
        <v>1.0</v>
      </c>
      <c r="T36" s="90">
        <v>1.0</v>
      </c>
      <c r="U36" s="84">
        <v>1.0</v>
      </c>
      <c r="V36" s="90" t="s">
        <v>5084</v>
      </c>
    </row>
    <row r="37" ht="15.75" customHeight="1">
      <c r="A37" s="90" t="s">
        <v>4910</v>
      </c>
      <c r="B37" s="90">
        <v>9.0</v>
      </c>
      <c r="C37" s="90">
        <v>1.0</v>
      </c>
      <c r="D37" s="90">
        <v>0.5</v>
      </c>
      <c r="E37" s="90">
        <v>0.5</v>
      </c>
      <c r="F37" s="90">
        <f>IF($A$29&lt;2,2,0.5)</f>
        <v>0.5</v>
      </c>
      <c r="G37" s="90">
        <v>1.0</v>
      </c>
      <c r="H37" s="90">
        <v>1.0</v>
      </c>
      <c r="I37" s="90">
        <v>1.0</v>
      </c>
      <c r="J37" s="90">
        <v>0.5</v>
      </c>
      <c r="K37" s="90">
        <v>0.5</v>
      </c>
      <c r="L37" s="90">
        <v>0.5</v>
      </c>
      <c r="M37" s="90">
        <v>1.0</v>
      </c>
      <c r="N37" s="90">
        <v>2.0</v>
      </c>
      <c r="O37" s="90">
        <v>1.0</v>
      </c>
      <c r="P37" s="90">
        <v>2.0</v>
      </c>
      <c r="Q37" s="90">
        <v>1.0</v>
      </c>
      <c r="R37" s="90">
        <v>1.0</v>
      </c>
      <c r="S37" s="90">
        <v>2.0</v>
      </c>
      <c r="T37" s="90">
        <v>0.5</v>
      </c>
      <c r="U37" s="84">
        <v>1.0</v>
      </c>
      <c r="V37" s="90" t="s">
        <v>5085</v>
      </c>
    </row>
    <row r="38" ht="15.75" customHeight="1">
      <c r="A38" s="90" t="s">
        <v>4945</v>
      </c>
      <c r="B38" s="90">
        <v>10.0</v>
      </c>
      <c r="C38" s="90">
        <v>0.0</v>
      </c>
      <c r="D38" s="90">
        <v>1.0</v>
      </c>
      <c r="E38" s="90">
        <v>1.0</v>
      </c>
      <c r="F38" s="90">
        <v>1.0</v>
      </c>
      <c r="G38" s="90">
        <v>1.0</v>
      </c>
      <c r="H38" s="90">
        <v>1.0</v>
      </c>
      <c r="I38" s="90">
        <v>1.0</v>
      </c>
      <c r="J38" s="90">
        <v>2.0</v>
      </c>
      <c r="K38" s="90">
        <f>IF($A$29&lt;6,0.5,1)</f>
        <v>1</v>
      </c>
      <c r="L38" s="90">
        <v>1.0</v>
      </c>
      <c r="M38" s="90">
        <v>1.0</v>
      </c>
      <c r="N38" s="90">
        <v>1.0</v>
      </c>
      <c r="O38" s="90">
        <v>1.0</v>
      </c>
      <c r="P38" s="90">
        <f>IF($A$29&lt;2,0,2)</f>
        <v>2</v>
      </c>
      <c r="Q38" s="90">
        <v>1.0</v>
      </c>
      <c r="R38" s="90">
        <v>1.0</v>
      </c>
      <c r="S38" s="90">
        <v>0.5</v>
      </c>
      <c r="T38" s="90">
        <v>1.0</v>
      </c>
      <c r="U38" s="84">
        <v>1.0</v>
      </c>
      <c r="V38" s="90" t="s">
        <v>5078</v>
      </c>
    </row>
    <row r="39" ht="15.75" customHeight="1">
      <c r="A39" s="90" t="str">
        <f>IF($A$29&lt;2,"","Steel")</f>
        <v>Steel</v>
      </c>
      <c r="B39" s="90">
        <v>11.0</v>
      </c>
      <c r="C39" s="90">
        <v>1.0</v>
      </c>
      <c r="D39" s="90">
        <v>1.0</v>
      </c>
      <c r="E39" s="90">
        <v>1.0</v>
      </c>
      <c r="F39" s="90">
        <v>1.0</v>
      </c>
      <c r="G39" s="90">
        <v>1.0</v>
      </c>
      <c r="H39" s="90">
        <v>2.0</v>
      </c>
      <c r="I39" s="90">
        <v>1.0</v>
      </c>
      <c r="J39" s="90">
        <v>1.0</v>
      </c>
      <c r="K39" s="90">
        <v>0.5</v>
      </c>
      <c r="L39" s="90">
        <v>0.5</v>
      </c>
      <c r="M39" s="90">
        <v>0.5</v>
      </c>
      <c r="N39" s="90">
        <v>1.0</v>
      </c>
      <c r="O39" s="90">
        <v>0.5</v>
      </c>
      <c r="P39" s="90">
        <v>1.0</v>
      </c>
      <c r="Q39" s="90">
        <v>2.0</v>
      </c>
      <c r="R39" s="90">
        <v>1.0</v>
      </c>
      <c r="S39" s="90">
        <v>1.0</v>
      </c>
      <c r="T39" s="90">
        <v>2.0</v>
      </c>
      <c r="U39" s="84">
        <v>1.0</v>
      </c>
      <c r="V39" s="90" t="s">
        <v>5077</v>
      </c>
    </row>
    <row r="40" ht="15.75" customHeight="1">
      <c r="A40" s="90" t="s">
        <v>4906</v>
      </c>
      <c r="B40" s="90">
        <v>12.0</v>
      </c>
      <c r="C40" s="90">
        <v>1.0</v>
      </c>
      <c r="D40" s="90">
        <v>1.0</v>
      </c>
      <c r="E40" s="90">
        <v>1.0</v>
      </c>
      <c r="F40" s="90">
        <v>1.0</v>
      </c>
      <c r="G40" s="90">
        <v>1.0</v>
      </c>
      <c r="H40" s="90">
        <v>0.5</v>
      </c>
      <c r="I40" s="90">
        <v>2.0</v>
      </c>
      <c r="J40" s="90">
        <v>1.0</v>
      </c>
      <c r="K40" s="90">
        <v>2.0</v>
      </c>
      <c r="L40" s="90">
        <v>0.5</v>
      </c>
      <c r="M40" s="90">
        <v>0.5</v>
      </c>
      <c r="N40" s="90">
        <v>2.0</v>
      </c>
      <c r="O40" s="90">
        <v>1.0</v>
      </c>
      <c r="P40" s="90">
        <v>1.0</v>
      </c>
      <c r="Q40" s="90">
        <v>2.0</v>
      </c>
      <c r="R40" s="90">
        <v>0.5</v>
      </c>
      <c r="S40" s="90">
        <v>1.0</v>
      </c>
      <c r="T40" s="90">
        <v>1.0</v>
      </c>
      <c r="U40" s="84">
        <v>1.0</v>
      </c>
      <c r="V40" s="90" t="s">
        <v>5079</v>
      </c>
    </row>
    <row r="41" ht="15.75" customHeight="1">
      <c r="A41" s="90" t="s">
        <v>4908</v>
      </c>
      <c r="B41" s="90">
        <v>13.0</v>
      </c>
      <c r="C41" s="90">
        <v>1.0</v>
      </c>
      <c r="D41" s="90">
        <v>1.0</v>
      </c>
      <c r="E41" s="90">
        <v>1.0</v>
      </c>
      <c r="F41" s="90">
        <v>1.0</v>
      </c>
      <c r="G41" s="90">
        <v>2.0</v>
      </c>
      <c r="H41" s="90">
        <v>2.0</v>
      </c>
      <c r="I41" s="90">
        <v>1.0</v>
      </c>
      <c r="J41" s="90">
        <v>1.0</v>
      </c>
      <c r="K41" s="90">
        <v>1.0</v>
      </c>
      <c r="L41" s="90">
        <v>2.0</v>
      </c>
      <c r="M41" s="90">
        <v>0.5</v>
      </c>
      <c r="N41" s="90">
        <v>0.5</v>
      </c>
      <c r="O41" s="90">
        <v>1.0</v>
      </c>
      <c r="P41" s="90">
        <v>1.0</v>
      </c>
      <c r="Q41" s="90">
        <v>1.0</v>
      </c>
      <c r="R41" s="90">
        <v>0.5</v>
      </c>
      <c r="S41" s="90">
        <v>1.0</v>
      </c>
      <c r="T41" s="90">
        <v>1.0</v>
      </c>
      <c r="U41" s="84">
        <v>1.0</v>
      </c>
      <c r="V41" s="90"/>
    </row>
    <row r="42" ht="15.75" customHeight="1">
      <c r="A42" s="90" t="s">
        <v>4904</v>
      </c>
      <c r="B42" s="90">
        <v>14.0</v>
      </c>
      <c r="C42" s="90">
        <v>1.0</v>
      </c>
      <c r="D42" s="90">
        <v>1.0</v>
      </c>
      <c r="E42" s="90">
        <v>0.5</v>
      </c>
      <c r="F42" s="90">
        <v>0.5</v>
      </c>
      <c r="G42" s="90">
        <v>2.0</v>
      </c>
      <c r="H42" s="90">
        <v>2.0</v>
      </c>
      <c r="I42" s="90">
        <v>0.5</v>
      </c>
      <c r="J42" s="90">
        <v>1.0</v>
      </c>
      <c r="K42" s="90">
        <v>0.5</v>
      </c>
      <c r="L42" s="90">
        <v>0.5</v>
      </c>
      <c r="M42" s="90">
        <v>2.0</v>
      </c>
      <c r="N42" s="90">
        <v>0.5</v>
      </c>
      <c r="O42" s="90">
        <v>1.0</v>
      </c>
      <c r="P42" s="90">
        <v>1.0</v>
      </c>
      <c r="Q42" s="90">
        <v>1.0</v>
      </c>
      <c r="R42" s="90">
        <v>0.5</v>
      </c>
      <c r="S42" s="90">
        <v>1.0</v>
      </c>
      <c r="T42" s="90">
        <v>1.0</v>
      </c>
      <c r="U42" s="84">
        <v>1.0</v>
      </c>
      <c r="V42" s="90" t="s">
        <v>5080</v>
      </c>
    </row>
    <row r="43" ht="15.75" customHeight="1">
      <c r="A43" s="90" t="s">
        <v>4921</v>
      </c>
      <c r="B43" s="90">
        <v>15.0</v>
      </c>
      <c r="C43" s="90">
        <v>1.0</v>
      </c>
      <c r="D43" s="90">
        <v>1.0</v>
      </c>
      <c r="E43" s="90">
        <v>2.0</v>
      </c>
      <c r="F43" s="90">
        <v>1.0</v>
      </c>
      <c r="G43" s="90">
        <v>0.0</v>
      </c>
      <c r="H43" s="90">
        <v>1.0</v>
      </c>
      <c r="I43" s="90">
        <v>1.0</v>
      </c>
      <c r="J43" s="90">
        <v>1.0</v>
      </c>
      <c r="K43" s="90">
        <v>1.0</v>
      </c>
      <c r="L43" s="90">
        <v>1.0</v>
      </c>
      <c r="M43" s="90">
        <v>2.0</v>
      </c>
      <c r="N43" s="90">
        <v>0.5</v>
      </c>
      <c r="O43" s="90">
        <v>0.5</v>
      </c>
      <c r="P43" s="90">
        <v>1.0</v>
      </c>
      <c r="Q43" s="90">
        <v>1.0</v>
      </c>
      <c r="R43" s="90">
        <v>0.5</v>
      </c>
      <c r="S43" s="90">
        <v>1.0</v>
      </c>
      <c r="T43" s="90">
        <v>1.0</v>
      </c>
      <c r="U43" s="84">
        <v>1.0</v>
      </c>
      <c r="V43" s="90" t="s">
        <v>5081</v>
      </c>
    </row>
    <row r="44" ht="15.75" customHeight="1">
      <c r="A44" s="90" t="s">
        <v>2659</v>
      </c>
      <c r="B44" s="90">
        <v>16.0</v>
      </c>
      <c r="C44" s="90">
        <v>1.0</v>
      </c>
      <c r="D44" s="90">
        <v>2.0</v>
      </c>
      <c r="E44" s="90">
        <v>1.0</v>
      </c>
      <c r="F44" s="90">
        <v>2.0</v>
      </c>
      <c r="G44" s="90">
        <v>1.0</v>
      </c>
      <c r="H44" s="90">
        <v>1.0</v>
      </c>
      <c r="I44" s="90">
        <v>1.0</v>
      </c>
      <c r="J44" s="90">
        <v>1.0</v>
      </c>
      <c r="K44" s="90">
        <v>0.5</v>
      </c>
      <c r="L44" s="90">
        <v>1.0</v>
      </c>
      <c r="M44" s="90">
        <v>1.0</v>
      </c>
      <c r="N44" s="90">
        <v>1.0</v>
      </c>
      <c r="O44" s="90">
        <v>1.0</v>
      </c>
      <c r="P44" s="90">
        <v>0.5</v>
      </c>
      <c r="Q44" s="90">
        <v>1.0</v>
      </c>
      <c r="R44" s="90">
        <v>1.0</v>
      </c>
      <c r="S44" s="90">
        <v>0.0</v>
      </c>
      <c r="T44" s="90">
        <v>1.0</v>
      </c>
      <c r="U44" s="84">
        <v>1.0</v>
      </c>
      <c r="V44" s="90" t="s">
        <v>5082</v>
      </c>
    </row>
    <row r="45" ht="15.75" customHeight="1">
      <c r="A45" s="90" t="s">
        <v>4942</v>
      </c>
      <c r="B45" s="90">
        <v>17.0</v>
      </c>
      <c r="C45" s="90">
        <v>1.0</v>
      </c>
      <c r="D45" s="90">
        <v>1.0</v>
      </c>
      <c r="E45" s="90">
        <v>2.0</v>
      </c>
      <c r="F45" s="90">
        <v>1.0</v>
      </c>
      <c r="G45" s="90">
        <v>2.0</v>
      </c>
      <c r="H45" s="90">
        <v>1.0</v>
      </c>
      <c r="I45" s="90">
        <v>1.0</v>
      </c>
      <c r="J45" s="90">
        <v>1.0</v>
      </c>
      <c r="K45" s="90">
        <v>0.5</v>
      </c>
      <c r="L45" s="90">
        <f>IF($A$29&lt;2,1,0.5)</f>
        <v>0.5</v>
      </c>
      <c r="M45" s="90">
        <v>0.5</v>
      </c>
      <c r="N45" s="90">
        <v>2.0</v>
      </c>
      <c r="O45" s="90">
        <v>1.0</v>
      </c>
      <c r="P45" s="90">
        <v>1.0</v>
      </c>
      <c r="Q45" s="90">
        <v>0.5</v>
      </c>
      <c r="R45" s="90">
        <v>2.0</v>
      </c>
      <c r="S45" s="90">
        <v>1.0</v>
      </c>
      <c r="T45" s="90">
        <v>1.0</v>
      </c>
      <c r="U45" s="84">
        <v>1.0</v>
      </c>
      <c r="V45" s="90" t="s">
        <v>5075</v>
      </c>
    </row>
    <row r="46" ht="15.75" customHeight="1">
      <c r="A46" s="90" t="s">
        <v>4956</v>
      </c>
      <c r="B46" s="90">
        <v>18.0</v>
      </c>
      <c r="C46" s="90">
        <v>1.0</v>
      </c>
      <c r="D46" s="90">
        <v>1.0</v>
      </c>
      <c r="E46" s="90">
        <v>1.0</v>
      </c>
      <c r="F46" s="90">
        <v>1.0</v>
      </c>
      <c r="G46" s="90">
        <v>1.0</v>
      </c>
      <c r="H46" s="90">
        <v>1.0</v>
      </c>
      <c r="I46" s="90">
        <v>1.0</v>
      </c>
      <c r="J46" s="90">
        <v>1.0</v>
      </c>
      <c r="K46" s="90">
        <v>0.5</v>
      </c>
      <c r="L46" s="90">
        <v>1.0</v>
      </c>
      <c r="M46" s="90">
        <v>1.0</v>
      </c>
      <c r="N46" s="90">
        <v>1.0</v>
      </c>
      <c r="O46" s="90">
        <v>1.0</v>
      </c>
      <c r="P46" s="90">
        <v>1.0</v>
      </c>
      <c r="Q46" s="90">
        <v>1.0</v>
      </c>
      <c r="R46" s="90">
        <v>2.0</v>
      </c>
      <c r="S46" s="90">
        <v>1.0</v>
      </c>
      <c r="T46" s="90">
        <v>0.0</v>
      </c>
      <c r="U46" s="84">
        <v>1.0</v>
      </c>
    </row>
    <row r="47" ht="15.75" customHeight="1">
      <c r="A47" s="90" t="str">
        <f>IF($A$29&lt;2,"","Dark")</f>
        <v>Dark</v>
      </c>
      <c r="B47" s="90">
        <v>19.0</v>
      </c>
      <c r="C47" s="90">
        <v>1.0</v>
      </c>
      <c r="D47" s="90">
        <v>0.5</v>
      </c>
      <c r="E47" s="90">
        <v>1.0</v>
      </c>
      <c r="F47" s="90">
        <v>1.0</v>
      </c>
      <c r="G47" s="90">
        <v>1.0</v>
      </c>
      <c r="H47" s="90">
        <v>1.0</v>
      </c>
      <c r="I47" s="90">
        <v>1.0</v>
      </c>
      <c r="J47" s="90">
        <v>2.0</v>
      </c>
      <c r="K47" s="90">
        <f>IF($A$29&lt;6,0.5,1)</f>
        <v>1</v>
      </c>
      <c r="L47" s="90">
        <v>1.0</v>
      </c>
      <c r="M47" s="90">
        <v>1.0</v>
      </c>
      <c r="N47" s="90">
        <v>1.0</v>
      </c>
      <c r="O47" s="90">
        <v>1.0</v>
      </c>
      <c r="P47" s="90">
        <v>2.0</v>
      </c>
      <c r="Q47" s="90">
        <v>1.0</v>
      </c>
      <c r="R47" s="90">
        <v>1.0</v>
      </c>
      <c r="S47" s="90">
        <v>0.5</v>
      </c>
      <c r="T47" s="90">
        <v>0.5</v>
      </c>
      <c r="U47" s="84">
        <v>1.0</v>
      </c>
    </row>
    <row r="48" ht="15.75" customHeight="1">
      <c r="A48" s="90" t="str">
        <f>IF($A$29&lt;6,"","Fairy")</f>
        <v>Fairy</v>
      </c>
      <c r="B48" s="90">
        <v>20.0</v>
      </c>
      <c r="C48" s="90">
        <v>1.0</v>
      </c>
      <c r="D48" s="90">
        <v>2.0</v>
      </c>
      <c r="E48" s="90">
        <v>1.0</v>
      </c>
      <c r="F48" s="90">
        <v>0.5</v>
      </c>
      <c r="G48" s="90">
        <v>1.0</v>
      </c>
      <c r="H48" s="90">
        <v>1.0</v>
      </c>
      <c r="I48" s="90">
        <v>1.0</v>
      </c>
      <c r="J48" s="90">
        <v>1.0</v>
      </c>
      <c r="K48" s="90">
        <v>0.5</v>
      </c>
      <c r="L48" s="90">
        <v>0.5</v>
      </c>
      <c r="M48" s="90">
        <v>1.0</v>
      </c>
      <c r="N48" s="90">
        <v>1.0</v>
      </c>
      <c r="O48" s="90">
        <v>1.0</v>
      </c>
      <c r="P48" s="90">
        <v>1.0</v>
      </c>
      <c r="Q48" s="90">
        <v>1.0</v>
      </c>
      <c r="R48" s="90">
        <v>2.0</v>
      </c>
      <c r="S48" s="90">
        <v>2.0</v>
      </c>
      <c r="T48" s="90">
        <v>1.0</v>
      </c>
      <c r="U48" s="84">
        <v>1.0</v>
      </c>
    </row>
    <row r="49" ht="15.75" customHeight="1">
      <c r="A49" s="89"/>
      <c r="B49" s="90">
        <v>21.0</v>
      </c>
      <c r="C49" s="84">
        <v>1.0</v>
      </c>
      <c r="D49" s="84">
        <v>1.0</v>
      </c>
      <c r="E49" s="84">
        <v>1.0</v>
      </c>
      <c r="F49" s="84">
        <v>1.0</v>
      </c>
      <c r="G49" s="84">
        <v>1.0</v>
      </c>
      <c r="H49" s="84">
        <v>1.0</v>
      </c>
      <c r="I49" s="84">
        <v>1.0</v>
      </c>
      <c r="J49" s="84">
        <v>1.0</v>
      </c>
      <c r="K49" s="84">
        <v>1.0</v>
      </c>
      <c r="L49" s="84">
        <v>1.0</v>
      </c>
      <c r="M49" s="84">
        <v>1.0</v>
      </c>
      <c r="N49" s="84">
        <v>1.0</v>
      </c>
      <c r="O49" s="84">
        <v>1.0</v>
      </c>
      <c r="P49" s="84">
        <v>1.0</v>
      </c>
      <c r="Q49" s="84">
        <v>1.0</v>
      </c>
      <c r="R49" s="84">
        <v>1.0</v>
      </c>
      <c r="S49" s="84">
        <v>1.0</v>
      </c>
      <c r="T49" s="84">
        <v>1.0</v>
      </c>
      <c r="U49" s="84">
        <v>1.0</v>
      </c>
    </row>
    <row r="50" ht="15.75" customHeight="1">
      <c r="A50" s="90" t="s">
        <v>5086</v>
      </c>
      <c r="B50" s="90"/>
      <c r="C50" s="90">
        <v>1.0</v>
      </c>
      <c r="D50" s="90">
        <v>1.0</v>
      </c>
      <c r="E50" s="90">
        <v>2.0</v>
      </c>
      <c r="F50" s="90">
        <v>1.0</v>
      </c>
      <c r="G50" s="90">
        <v>2.0</v>
      </c>
      <c r="H50" s="90">
        <v>1.0</v>
      </c>
      <c r="I50" s="90">
        <v>1.0</v>
      </c>
      <c r="J50" s="90">
        <v>1.0</v>
      </c>
      <c r="K50" s="90">
        <v>0.5</v>
      </c>
      <c r="L50" s="90">
        <f>IF($A$29&lt;2,1,0.5)</f>
        <v>0.5</v>
      </c>
      <c r="M50" s="90">
        <v>2.0</v>
      </c>
      <c r="N50" s="90">
        <v>2.0</v>
      </c>
      <c r="O50" s="90">
        <v>1.0</v>
      </c>
      <c r="P50" s="90">
        <v>1.0</v>
      </c>
      <c r="Q50" s="90">
        <v>0.5</v>
      </c>
      <c r="R50" s="90">
        <v>2.0</v>
      </c>
      <c r="S50" s="90">
        <v>1.0</v>
      </c>
      <c r="T50" s="90">
        <v>1.0</v>
      </c>
      <c r="U50" s="84">
        <v>1.0</v>
      </c>
    </row>
    <row r="51" ht="15.75" customHeight="1">
      <c r="A51" s="90" t="s">
        <v>5087</v>
      </c>
      <c r="B51" s="90"/>
      <c r="C51" s="90">
        <v>2.0</v>
      </c>
      <c r="D51" s="90">
        <v>2.0</v>
      </c>
      <c r="E51" s="90">
        <v>0.5</v>
      </c>
      <c r="F51" s="90">
        <v>0.5</v>
      </c>
      <c r="G51" s="90">
        <v>1.0</v>
      </c>
      <c r="H51" s="90">
        <v>1.0</v>
      </c>
      <c r="I51" s="90">
        <v>1.0</v>
      </c>
      <c r="J51" s="90">
        <v>0.0</v>
      </c>
      <c r="K51" s="90">
        <v>1.0</v>
      </c>
      <c r="L51" s="90">
        <v>1.0</v>
      </c>
      <c r="M51" s="90">
        <v>1.0</v>
      </c>
      <c r="N51" s="90">
        <v>2.0</v>
      </c>
      <c r="O51" s="90">
        <v>0.5</v>
      </c>
      <c r="P51" s="90">
        <v>0.5</v>
      </c>
      <c r="Q51" s="90">
        <v>2.0</v>
      </c>
      <c r="R51" s="90">
        <v>1.0</v>
      </c>
      <c r="S51" s="90">
        <v>2.0</v>
      </c>
      <c r="T51" s="90">
        <v>0.5</v>
      </c>
      <c r="U51" s="84">
        <v>1.0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31:F48 B49 C50:T51 G30:H47 I31:T48">
    <cfRule type="cellIs" dxfId="12" priority="1" operator="equal">
      <formula>0</formula>
    </cfRule>
  </conditionalFormatting>
  <conditionalFormatting sqref="B31:F48 B49 C50:T51 G30:H47 I31:T48">
    <cfRule type="cellIs" dxfId="13" priority="2" operator="equal">
      <formula>0.5</formula>
    </cfRule>
  </conditionalFormatting>
  <conditionalFormatting sqref="B31:F48 B49 C50:T51 G30:H47 I31:T48">
    <cfRule type="cellIs" dxfId="2" priority="3" operator="equal">
      <formula>2</formula>
    </cfRule>
  </conditionalFormatting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3.71"/>
    <col customWidth="1" min="3" max="4" width="7.43"/>
    <col customWidth="1" min="5" max="5" width="6.0"/>
    <col customWidth="1" min="6" max="6" width="8.14"/>
    <col customWidth="1" min="7" max="7" width="5.71"/>
    <col customWidth="1" min="8" max="8" width="4.0"/>
    <col customWidth="1" min="9" max="9" width="3.86"/>
    <col customWidth="1" min="10" max="10" width="6.71"/>
    <col customWidth="1" min="11" max="11" width="6.86"/>
    <col customWidth="1" min="12" max="12" width="5.0"/>
    <col customWidth="1" min="13" max="13" width="13.86"/>
    <col customWidth="1" hidden="1" min="14" max="16" width="11.57"/>
    <col customWidth="1" min="17" max="17" width="8.14"/>
    <col customWidth="1" min="18" max="18" width="4.57"/>
    <col customWidth="1" min="19" max="19" width="7.71"/>
    <col customWidth="1" min="20" max="20" width="8.0"/>
    <col customWidth="1" min="21" max="21" width="8.14"/>
    <col customWidth="1" min="22" max="23" width="7.29"/>
    <col customWidth="1" min="24" max="24" width="6.57"/>
    <col customWidth="1" min="25" max="25" width="5.57"/>
    <col customWidth="1" min="26" max="27" width="7.14"/>
    <col customWidth="1" min="28" max="28" width="5.57"/>
    <col customWidth="1" min="29" max="30" width="7.14"/>
    <col customWidth="1" min="31" max="31" width="5.57"/>
    <col customWidth="1" min="32" max="33" width="7.14"/>
    <col customWidth="1" min="34" max="34" width="7.0"/>
    <col customWidth="1" min="35" max="35" width="6.57"/>
    <col customWidth="1" min="36" max="36" width="8.29"/>
    <col customWidth="1" min="37" max="37" width="7.0"/>
    <col customWidth="1" min="38" max="38" width="7.29"/>
    <col customWidth="1" min="39" max="39" width="6.86"/>
    <col customWidth="1" min="40" max="40" width="5.71"/>
    <col customWidth="1" min="41" max="41" width="4.29"/>
    <col customWidth="1" min="42" max="42" width="6.29"/>
    <col customWidth="1" min="43" max="43" width="7.0"/>
    <col customWidth="1" min="44" max="44" width="5.43"/>
    <col customWidth="1" min="45" max="45" width="8.43"/>
    <col customWidth="1" min="46" max="46" width="4.86"/>
    <col customWidth="1" min="47" max="47" width="9.14"/>
    <col customWidth="1" min="48" max="48" width="7.0"/>
    <col customWidth="1" min="49" max="49" width="10.0"/>
    <col customWidth="1" min="50" max="50" width="5.86"/>
    <col customWidth="1" min="51" max="51" width="10.0"/>
    <col customWidth="1" min="52" max="61" width="11.57"/>
  </cols>
  <sheetData>
    <row r="1" ht="12.75" customHeight="1">
      <c r="A1" s="84" t="s">
        <v>2541</v>
      </c>
      <c r="B1" s="84" t="s">
        <v>4891</v>
      </c>
      <c r="C1" s="84" t="s">
        <v>5088</v>
      </c>
      <c r="D1" s="84" t="s">
        <v>8</v>
      </c>
      <c r="E1" s="84" t="s">
        <v>5089</v>
      </c>
      <c r="F1" s="84" t="s">
        <v>5090</v>
      </c>
      <c r="G1" s="84" t="s">
        <v>5091</v>
      </c>
      <c r="H1" s="84" t="s">
        <v>5092</v>
      </c>
      <c r="I1" s="84" t="s">
        <v>11</v>
      </c>
      <c r="J1" s="84" t="s">
        <v>5093</v>
      </c>
      <c r="K1" s="84" t="s">
        <v>5094</v>
      </c>
      <c r="L1" s="84" t="s">
        <v>5095</v>
      </c>
      <c r="M1" s="84" t="s">
        <v>5096</v>
      </c>
      <c r="Q1" s="84" t="s">
        <v>5097</v>
      </c>
      <c r="R1" s="84" t="s">
        <v>5095</v>
      </c>
      <c r="S1" s="84" t="s">
        <v>5098</v>
      </c>
      <c r="T1" s="84" t="s">
        <v>5099</v>
      </c>
      <c r="U1" s="84" t="s">
        <v>5100</v>
      </c>
      <c r="V1" s="84" t="s">
        <v>5101</v>
      </c>
      <c r="W1" s="84" t="s">
        <v>5102</v>
      </c>
      <c r="X1" s="84" t="s">
        <v>5103</v>
      </c>
      <c r="Y1" s="84" t="s">
        <v>5104</v>
      </c>
      <c r="Z1" s="84" t="s">
        <v>5105</v>
      </c>
      <c r="AA1" s="84" t="s">
        <v>5106</v>
      </c>
      <c r="AB1" s="84" t="s">
        <v>5107</v>
      </c>
      <c r="AC1" s="84" t="s">
        <v>5108</v>
      </c>
      <c r="AD1" s="84" t="s">
        <v>5109</v>
      </c>
      <c r="AE1" s="84" t="s">
        <v>5110</v>
      </c>
      <c r="AF1" s="84" t="s">
        <v>5111</v>
      </c>
      <c r="AG1" s="84" t="s">
        <v>5112</v>
      </c>
      <c r="AH1" s="84" t="s">
        <v>5113</v>
      </c>
      <c r="AI1" s="84" t="s">
        <v>3812</v>
      </c>
      <c r="AJ1" s="84" t="s">
        <v>5114</v>
      </c>
      <c r="AK1" s="84" t="s">
        <v>5115</v>
      </c>
      <c r="AL1" s="84" t="s">
        <v>5116</v>
      </c>
      <c r="AM1" s="84" t="s">
        <v>5117</v>
      </c>
      <c r="AN1" s="84" t="s">
        <v>5118</v>
      </c>
      <c r="AO1" s="84" t="s">
        <v>5119</v>
      </c>
      <c r="AP1" s="84" t="s">
        <v>5120</v>
      </c>
      <c r="AQ1" s="84" t="s">
        <v>5121</v>
      </c>
      <c r="AR1" s="84" t="s">
        <v>5122</v>
      </c>
      <c r="AS1" s="84" t="s">
        <v>5123</v>
      </c>
      <c r="AT1" s="84" t="s">
        <v>5124</v>
      </c>
      <c r="AU1" s="84" t="s">
        <v>5125</v>
      </c>
      <c r="AV1" s="84" t="s">
        <v>5126</v>
      </c>
      <c r="AW1" s="84" t="s">
        <v>5127</v>
      </c>
      <c r="AX1" s="84" t="s">
        <v>5128</v>
      </c>
      <c r="AY1" s="84" t="s">
        <v>5129</v>
      </c>
      <c r="AZ1" s="84" t="s">
        <v>5130</v>
      </c>
    </row>
    <row r="2" ht="12.75" customHeight="1">
      <c r="A2" s="84">
        <v>0.0</v>
      </c>
      <c r="B2" s="84" t="s">
        <v>2667</v>
      </c>
      <c r="C2" s="84">
        <v>0.0</v>
      </c>
      <c r="D2" s="84" t="s">
        <v>4916</v>
      </c>
      <c r="E2" s="84">
        <v>0.0</v>
      </c>
      <c r="F2" s="84" t="s">
        <v>5131</v>
      </c>
      <c r="G2" s="84">
        <v>0.0</v>
      </c>
      <c r="H2" s="84">
        <v>0.0</v>
      </c>
      <c r="I2" s="84">
        <v>0.0</v>
      </c>
      <c r="J2" s="84"/>
      <c r="K2" s="84"/>
      <c r="L2" s="84"/>
      <c r="M2" s="84"/>
      <c r="N2" s="84">
        <v>0.0</v>
      </c>
      <c r="O2" s="84">
        <v>0.0</v>
      </c>
      <c r="P2" s="84">
        <v>0.0</v>
      </c>
      <c r="Q2" s="84"/>
      <c r="R2" s="84"/>
      <c r="S2" s="84"/>
      <c r="T2" s="84"/>
      <c r="U2" s="84">
        <v>0.0</v>
      </c>
      <c r="V2" s="84"/>
      <c r="W2" s="84"/>
      <c r="X2" s="84">
        <v>0.0</v>
      </c>
      <c r="Y2" s="84"/>
      <c r="Z2" s="84"/>
      <c r="AA2" s="84"/>
      <c r="AB2" s="84"/>
      <c r="AC2" s="84"/>
      <c r="AD2" s="84"/>
      <c r="AE2" s="84"/>
      <c r="AF2" s="84"/>
      <c r="AG2" s="84"/>
      <c r="AH2" s="84">
        <v>0.0</v>
      </c>
      <c r="AI2" s="84">
        <v>0.0</v>
      </c>
      <c r="AJ2" s="84">
        <v>0.0</v>
      </c>
      <c r="AK2" s="84">
        <v>0.0</v>
      </c>
      <c r="AL2" s="84">
        <v>0.0</v>
      </c>
      <c r="AM2" s="84">
        <v>0.0</v>
      </c>
      <c r="AN2" s="84">
        <v>0.0</v>
      </c>
      <c r="AO2" s="84">
        <v>0.0</v>
      </c>
      <c r="AP2" s="84">
        <v>0.0</v>
      </c>
      <c r="AQ2" s="84">
        <v>0.0</v>
      </c>
      <c r="AR2" s="84">
        <v>0.0</v>
      </c>
      <c r="AS2" s="84">
        <v>0.0</v>
      </c>
      <c r="AT2" s="84">
        <v>0.0</v>
      </c>
      <c r="AU2" s="84">
        <v>0.0</v>
      </c>
      <c r="AV2" s="84">
        <v>0.0</v>
      </c>
      <c r="AW2" s="84">
        <v>0.0</v>
      </c>
      <c r="AX2" s="84">
        <v>0.0</v>
      </c>
      <c r="AY2" s="84">
        <v>0.0</v>
      </c>
      <c r="AZ2" s="84">
        <v>0.0</v>
      </c>
      <c r="BC2" s="84" t="s">
        <v>5132</v>
      </c>
      <c r="BF2" s="84" t="s">
        <v>5133</v>
      </c>
      <c r="BI2" s="84" t="s">
        <v>5134</v>
      </c>
    </row>
    <row r="3" ht="12.75" customHeight="1">
      <c r="A3" s="84">
        <v>1.0</v>
      </c>
      <c r="B3" s="84" t="s">
        <v>2652</v>
      </c>
      <c r="C3" s="84">
        <v>1.0</v>
      </c>
      <c r="D3" s="84" t="s">
        <v>4916</v>
      </c>
      <c r="E3" s="84">
        <v>0.0</v>
      </c>
      <c r="F3" s="84" t="s">
        <v>5135</v>
      </c>
      <c r="G3" s="84">
        <v>40.0</v>
      </c>
      <c r="H3" s="84">
        <v>100.0</v>
      </c>
      <c r="I3" s="84">
        <v>35.0</v>
      </c>
      <c r="N3" s="84">
        <v>0.0</v>
      </c>
      <c r="O3" s="84">
        <v>0.0</v>
      </c>
      <c r="P3" s="84">
        <v>0.0</v>
      </c>
      <c r="U3" s="84">
        <v>0.0</v>
      </c>
      <c r="X3" s="84">
        <v>0.0</v>
      </c>
      <c r="AH3" s="84">
        <v>1.0</v>
      </c>
      <c r="AI3" s="84">
        <v>0.0</v>
      </c>
      <c r="AJ3" s="84">
        <v>0.0</v>
      </c>
      <c r="AK3" s="84">
        <v>1.0</v>
      </c>
      <c r="AL3" s="84">
        <v>0.0</v>
      </c>
      <c r="AM3" s="84">
        <v>0.0</v>
      </c>
      <c r="AN3" s="84">
        <v>1.0</v>
      </c>
      <c r="AO3" s="84">
        <v>0.0</v>
      </c>
      <c r="AP3" s="84">
        <v>0.0</v>
      </c>
      <c r="AQ3" s="84">
        <v>0.0</v>
      </c>
      <c r="AR3" s="84">
        <v>0.0</v>
      </c>
      <c r="AS3" s="84">
        <v>0.0</v>
      </c>
      <c r="AT3" s="84">
        <v>0.0</v>
      </c>
      <c r="AU3" s="84">
        <v>0.0</v>
      </c>
      <c r="AV3" s="84">
        <v>0.0</v>
      </c>
      <c r="AW3" s="84">
        <v>0.0</v>
      </c>
      <c r="AX3" s="84">
        <v>0.0</v>
      </c>
      <c r="AY3" s="84">
        <v>1.0</v>
      </c>
      <c r="AZ3" s="84">
        <v>30.0</v>
      </c>
      <c r="BB3" s="84">
        <v>0.0</v>
      </c>
      <c r="BE3" s="84">
        <v>0.0</v>
      </c>
      <c r="BF3" s="84" t="s">
        <v>5136</v>
      </c>
      <c r="BH3" s="84">
        <v>0.0</v>
      </c>
    </row>
    <row r="4" ht="12.75" customHeight="1">
      <c r="A4" s="84">
        <v>2.0</v>
      </c>
      <c r="B4" s="84" t="s">
        <v>5137</v>
      </c>
      <c r="C4" s="84">
        <v>0.0</v>
      </c>
      <c r="D4" s="84" t="s">
        <v>4935</v>
      </c>
      <c r="E4" s="84">
        <v>0.0</v>
      </c>
      <c r="F4" s="84" t="s">
        <v>5135</v>
      </c>
      <c r="G4" s="84">
        <v>50.0</v>
      </c>
      <c r="H4" s="84">
        <v>100.0</v>
      </c>
      <c r="I4" s="84">
        <v>25.0</v>
      </c>
      <c r="J4" s="84"/>
      <c r="K4" s="84"/>
      <c r="L4" s="84"/>
      <c r="M4" s="84"/>
      <c r="N4" s="84">
        <v>0.0</v>
      </c>
      <c r="O4" s="84">
        <v>0.0</v>
      </c>
      <c r="P4" s="84">
        <v>0.0</v>
      </c>
      <c r="Q4" s="84"/>
      <c r="R4" s="84"/>
      <c r="S4" s="84">
        <v>1.0</v>
      </c>
      <c r="T4" s="84"/>
      <c r="U4" s="84">
        <v>43.0</v>
      </c>
      <c r="V4" s="84"/>
      <c r="W4" s="84"/>
      <c r="X4" s="84">
        <v>0.0</v>
      </c>
      <c r="Y4" s="84"/>
      <c r="Z4" s="84"/>
      <c r="AA4" s="84"/>
      <c r="AB4" s="84"/>
      <c r="AC4" s="84"/>
      <c r="AD4" s="84"/>
      <c r="AE4" s="84"/>
      <c r="AF4" s="84"/>
      <c r="AG4" s="84"/>
      <c r="AH4" s="84">
        <v>1.0</v>
      </c>
      <c r="AI4" s="84">
        <v>0.0</v>
      </c>
      <c r="AJ4" s="84">
        <v>0.0</v>
      </c>
      <c r="AK4" s="84">
        <v>1.0</v>
      </c>
      <c r="AL4" s="84">
        <v>0.0</v>
      </c>
      <c r="AM4" s="84">
        <v>0.0</v>
      </c>
      <c r="AN4" s="84">
        <v>1.0</v>
      </c>
      <c r="AO4" s="84">
        <v>0.0</v>
      </c>
      <c r="AP4" s="84">
        <v>0.0</v>
      </c>
      <c r="AQ4" s="84">
        <v>0.0</v>
      </c>
      <c r="AR4" s="84">
        <v>0.0</v>
      </c>
      <c r="AS4" s="84">
        <v>0.0</v>
      </c>
      <c r="AT4" s="84">
        <v>0.0</v>
      </c>
      <c r="AU4" s="84">
        <v>0.0</v>
      </c>
      <c r="AV4" s="84">
        <v>0.0</v>
      </c>
      <c r="AW4" s="84">
        <v>0.0</v>
      </c>
      <c r="AX4" s="84">
        <v>0.0</v>
      </c>
      <c r="AY4" s="84">
        <v>1.0</v>
      </c>
      <c r="AZ4" s="84">
        <v>0.0</v>
      </c>
      <c r="BB4" s="84">
        <v>1.0</v>
      </c>
      <c r="BC4" s="84" t="s">
        <v>20</v>
      </c>
      <c r="BE4" s="84">
        <v>1.0</v>
      </c>
      <c r="BF4" s="84" t="s">
        <v>5138</v>
      </c>
      <c r="BH4" s="84">
        <v>1.0</v>
      </c>
      <c r="BI4" s="84" t="s">
        <v>5139</v>
      </c>
    </row>
    <row r="5" ht="12.75" customHeight="1">
      <c r="A5" s="84">
        <v>3.0</v>
      </c>
      <c r="B5" s="84" t="s">
        <v>5140</v>
      </c>
      <c r="C5" s="84">
        <v>0.0</v>
      </c>
      <c r="D5" s="84" t="s">
        <v>4916</v>
      </c>
      <c r="E5" s="84">
        <v>0.0</v>
      </c>
      <c r="F5" s="84" t="s">
        <v>5135</v>
      </c>
      <c r="G5" s="84">
        <v>15.0</v>
      </c>
      <c r="H5" s="84">
        <v>85.0</v>
      </c>
      <c r="I5" s="84">
        <v>10.0</v>
      </c>
      <c r="J5" s="84"/>
      <c r="K5" s="84">
        <v>2.0</v>
      </c>
      <c r="L5" s="84">
        <v>5.0</v>
      </c>
      <c r="M5" s="84"/>
      <c r="N5" s="84">
        <v>0.0</v>
      </c>
      <c r="O5" s="84">
        <v>0.0</v>
      </c>
      <c r="P5" s="84">
        <v>0.0</v>
      </c>
      <c r="Q5" s="84"/>
      <c r="R5" s="84"/>
      <c r="S5" s="84"/>
      <c r="T5" s="84"/>
      <c r="U5" s="84">
        <v>29.0</v>
      </c>
      <c r="V5" s="84"/>
      <c r="W5" s="84"/>
      <c r="X5" s="84">
        <v>0.0</v>
      </c>
      <c r="Y5" s="84"/>
      <c r="Z5" s="84"/>
      <c r="AA5" s="84"/>
      <c r="AB5" s="84"/>
      <c r="AC5" s="84"/>
      <c r="AD5" s="84"/>
      <c r="AE5" s="84"/>
      <c r="AF5" s="84"/>
      <c r="AG5" s="84"/>
      <c r="AH5" s="84">
        <v>1.0</v>
      </c>
      <c r="AI5" s="84">
        <v>0.0</v>
      </c>
      <c r="AJ5" s="84">
        <v>0.0</v>
      </c>
      <c r="AK5" s="84">
        <v>1.0</v>
      </c>
      <c r="AL5" s="84">
        <v>0.0</v>
      </c>
      <c r="AM5" s="84">
        <v>0.0</v>
      </c>
      <c r="AN5" s="84">
        <v>1.0</v>
      </c>
      <c r="AO5" s="84">
        <v>0.0</v>
      </c>
      <c r="AP5" s="84">
        <v>0.0</v>
      </c>
      <c r="AQ5" s="84">
        <v>0.0</v>
      </c>
      <c r="AR5" s="84">
        <v>0.0</v>
      </c>
      <c r="AS5" s="84">
        <v>0.0</v>
      </c>
      <c r="AT5" s="84">
        <v>0.0</v>
      </c>
      <c r="AU5" s="84">
        <v>0.0</v>
      </c>
      <c r="AV5" s="84">
        <v>0.0</v>
      </c>
      <c r="AW5" s="84">
        <v>0.0</v>
      </c>
      <c r="AX5" s="84">
        <v>0.0</v>
      </c>
      <c r="AY5" s="84">
        <v>1.0</v>
      </c>
      <c r="AZ5" s="84">
        <v>0.0</v>
      </c>
      <c r="BB5" s="84">
        <v>2.0</v>
      </c>
      <c r="BC5" s="84" t="s">
        <v>21</v>
      </c>
      <c r="BE5" s="84">
        <v>2.0</v>
      </c>
      <c r="BF5" s="84" t="s">
        <v>5141</v>
      </c>
      <c r="BH5" s="84">
        <v>2.0</v>
      </c>
      <c r="BI5" s="84" t="s">
        <v>5142</v>
      </c>
    </row>
    <row r="6" ht="12.75" customHeight="1">
      <c r="A6" s="84">
        <v>4.0</v>
      </c>
      <c r="B6" s="84" t="s">
        <v>5143</v>
      </c>
      <c r="C6" s="84">
        <v>0.0</v>
      </c>
      <c r="D6" s="84" t="s">
        <v>4916</v>
      </c>
      <c r="E6" s="84">
        <v>0.0</v>
      </c>
      <c r="F6" s="84" t="s">
        <v>5135</v>
      </c>
      <c r="G6" s="84">
        <v>18.0</v>
      </c>
      <c r="H6" s="84">
        <v>85.0</v>
      </c>
      <c r="I6" s="84">
        <v>15.0</v>
      </c>
      <c r="J6" s="84"/>
      <c r="K6" s="84">
        <v>2.0</v>
      </c>
      <c r="L6" s="84">
        <v>5.0</v>
      </c>
      <c r="M6" s="84"/>
      <c r="N6" s="84">
        <v>0.0</v>
      </c>
      <c r="O6" s="84">
        <v>0.0</v>
      </c>
      <c r="P6" s="84">
        <v>0.0</v>
      </c>
      <c r="Q6" s="84"/>
      <c r="R6" s="84"/>
      <c r="S6" s="84"/>
      <c r="T6" s="84"/>
      <c r="U6" s="84">
        <v>29.0</v>
      </c>
      <c r="V6" s="84"/>
      <c r="W6" s="84"/>
      <c r="X6" s="84">
        <v>0.0</v>
      </c>
      <c r="Y6" s="84"/>
      <c r="Z6" s="84"/>
      <c r="AA6" s="84"/>
      <c r="AB6" s="84"/>
      <c r="AC6" s="84"/>
      <c r="AD6" s="84"/>
      <c r="AE6" s="84"/>
      <c r="AF6" s="84"/>
      <c r="AG6" s="84"/>
      <c r="AH6" s="84">
        <v>1.0</v>
      </c>
      <c r="AI6" s="84">
        <v>0.0</v>
      </c>
      <c r="AJ6" s="84">
        <v>0.0</v>
      </c>
      <c r="AK6" s="84">
        <v>1.0</v>
      </c>
      <c r="AL6" s="84">
        <v>0.0</v>
      </c>
      <c r="AM6" s="84">
        <v>0.0</v>
      </c>
      <c r="AN6" s="84">
        <v>1.0</v>
      </c>
      <c r="AO6" s="84">
        <v>1.0</v>
      </c>
      <c r="AP6" s="84">
        <v>0.0</v>
      </c>
      <c r="AQ6" s="84">
        <v>0.0</v>
      </c>
      <c r="AR6" s="84">
        <v>0.0</v>
      </c>
      <c r="AS6" s="84">
        <v>0.0</v>
      </c>
      <c r="AT6" s="84">
        <v>0.0</v>
      </c>
      <c r="AU6" s="84">
        <v>0.0</v>
      </c>
      <c r="AV6" s="84">
        <v>0.0</v>
      </c>
      <c r="AW6" s="84">
        <v>0.0</v>
      </c>
      <c r="AX6" s="84">
        <v>0.0</v>
      </c>
      <c r="AY6" s="84">
        <v>1.0</v>
      </c>
      <c r="AZ6" s="84">
        <v>0.0</v>
      </c>
      <c r="BB6" s="84">
        <v>3.0</v>
      </c>
      <c r="BC6" s="84" t="s">
        <v>22</v>
      </c>
      <c r="BE6" s="84">
        <v>3.0</v>
      </c>
      <c r="BF6" s="84" t="s">
        <v>5144</v>
      </c>
      <c r="BH6" s="84">
        <v>3.0</v>
      </c>
      <c r="BI6" s="84" t="s">
        <v>5145</v>
      </c>
    </row>
    <row r="7" ht="12.75" customHeight="1">
      <c r="A7" s="84">
        <v>5.0</v>
      </c>
      <c r="B7" s="84" t="s">
        <v>5146</v>
      </c>
      <c r="C7" s="84">
        <v>1.0</v>
      </c>
      <c r="D7" s="84" t="s">
        <v>4916</v>
      </c>
      <c r="E7" s="84">
        <v>0.0</v>
      </c>
      <c r="F7" s="84" t="s">
        <v>5135</v>
      </c>
      <c r="G7" s="84">
        <v>80.0</v>
      </c>
      <c r="H7" s="84">
        <v>85.0</v>
      </c>
      <c r="I7" s="84">
        <v>20.0</v>
      </c>
      <c r="N7" s="84">
        <v>0.0</v>
      </c>
      <c r="O7" s="84">
        <v>0.0</v>
      </c>
      <c r="P7" s="84">
        <v>0.0</v>
      </c>
      <c r="U7" s="84">
        <v>0.0</v>
      </c>
      <c r="X7" s="84">
        <v>0.0</v>
      </c>
      <c r="AH7" s="84">
        <v>1.0</v>
      </c>
      <c r="AI7" s="84">
        <v>0.0</v>
      </c>
      <c r="AJ7" s="84">
        <v>0.0</v>
      </c>
      <c r="AK7" s="84">
        <v>1.0</v>
      </c>
      <c r="AL7" s="84">
        <v>0.0</v>
      </c>
      <c r="AM7" s="84">
        <v>0.0</v>
      </c>
      <c r="AN7" s="84">
        <v>1.0</v>
      </c>
      <c r="AO7" s="84">
        <v>1.0</v>
      </c>
      <c r="AP7" s="84">
        <v>0.0</v>
      </c>
      <c r="AQ7" s="84">
        <v>0.0</v>
      </c>
      <c r="AR7" s="84">
        <v>0.0</v>
      </c>
      <c r="AS7" s="84">
        <v>0.0</v>
      </c>
      <c r="AT7" s="84">
        <v>0.0</v>
      </c>
      <c r="AU7" s="84">
        <v>0.0</v>
      </c>
      <c r="AV7" s="84">
        <v>0.0</v>
      </c>
      <c r="AW7" s="84">
        <v>0.0</v>
      </c>
      <c r="AX7" s="84">
        <v>0.0</v>
      </c>
      <c r="AY7" s="84">
        <v>1.0</v>
      </c>
      <c r="AZ7" s="84">
        <v>37.0</v>
      </c>
      <c r="BB7" s="84">
        <v>4.0</v>
      </c>
      <c r="BC7" s="84" t="s">
        <v>23</v>
      </c>
      <c r="BE7" s="84">
        <v>4.0</v>
      </c>
      <c r="BF7" s="84" t="s">
        <v>5147</v>
      </c>
      <c r="BH7" s="84">
        <v>4.0</v>
      </c>
      <c r="BI7" s="84" t="s">
        <v>5148</v>
      </c>
    </row>
    <row r="8" ht="12.75" customHeight="1">
      <c r="A8" s="84">
        <v>6.0</v>
      </c>
      <c r="B8" s="84" t="s">
        <v>5149</v>
      </c>
      <c r="C8" s="84">
        <v>1.0</v>
      </c>
      <c r="D8" s="84" t="s">
        <v>4916</v>
      </c>
      <c r="E8" s="84">
        <v>0.0</v>
      </c>
      <c r="F8" s="84" t="s">
        <v>5135</v>
      </c>
      <c r="G8" s="84">
        <v>40.0</v>
      </c>
      <c r="H8" s="84">
        <v>100.0</v>
      </c>
      <c r="I8" s="84">
        <v>20.0</v>
      </c>
      <c r="N8" s="84">
        <v>0.0</v>
      </c>
      <c r="O8" s="84">
        <v>0.0</v>
      </c>
      <c r="P8" s="84">
        <v>0.0</v>
      </c>
      <c r="U8" s="84">
        <v>34.0</v>
      </c>
      <c r="X8" s="84">
        <v>0.0</v>
      </c>
      <c r="AH8" s="84">
        <v>0.0</v>
      </c>
      <c r="AI8" s="84">
        <v>0.0</v>
      </c>
      <c r="AJ8" s="84">
        <v>0.0</v>
      </c>
      <c r="AK8" s="84">
        <v>1.0</v>
      </c>
      <c r="AL8" s="84">
        <v>0.0</v>
      </c>
      <c r="AM8" s="84">
        <v>0.0</v>
      </c>
      <c r="AN8" s="84">
        <v>1.0</v>
      </c>
      <c r="AO8" s="84">
        <v>0.0</v>
      </c>
      <c r="AP8" s="84">
        <v>0.0</v>
      </c>
      <c r="AQ8" s="84">
        <v>0.0</v>
      </c>
      <c r="AR8" s="84">
        <v>0.0</v>
      </c>
      <c r="AS8" s="84">
        <v>0.0</v>
      </c>
      <c r="AT8" s="84">
        <v>0.0</v>
      </c>
      <c r="AU8" s="84">
        <v>0.0</v>
      </c>
      <c r="AV8" s="84">
        <v>0.0</v>
      </c>
      <c r="AW8" s="84">
        <v>0.0</v>
      </c>
      <c r="AX8" s="84">
        <v>0.0</v>
      </c>
      <c r="AY8" s="84">
        <v>1.0</v>
      </c>
      <c r="AZ8" s="84">
        <v>31.0</v>
      </c>
      <c r="BB8" s="84">
        <v>5.0</v>
      </c>
      <c r="BC8" s="84" t="s">
        <v>5073</v>
      </c>
      <c r="BE8" s="84">
        <v>5.0</v>
      </c>
      <c r="BF8" s="84" t="s">
        <v>5150</v>
      </c>
      <c r="BH8" s="84">
        <v>5.0</v>
      </c>
      <c r="BI8" s="84" t="s">
        <v>5151</v>
      </c>
    </row>
    <row r="9" ht="12.75" customHeight="1">
      <c r="A9" s="84">
        <v>7.0</v>
      </c>
      <c r="B9" s="84" t="s">
        <v>3160</v>
      </c>
      <c r="C9" s="84">
        <v>1.0</v>
      </c>
      <c r="D9" s="84" t="s">
        <v>4906</v>
      </c>
      <c r="E9" s="84">
        <v>4.0</v>
      </c>
      <c r="F9" s="84" t="s">
        <v>5135</v>
      </c>
      <c r="G9" s="84">
        <v>75.0</v>
      </c>
      <c r="H9" s="84">
        <v>100.0</v>
      </c>
      <c r="I9" s="84">
        <v>15.0</v>
      </c>
      <c r="M9" s="84" t="s">
        <v>5152</v>
      </c>
      <c r="N9" s="84">
        <v>4.0</v>
      </c>
      <c r="O9" s="84">
        <v>10.0</v>
      </c>
      <c r="P9" s="84">
        <v>1.0</v>
      </c>
      <c r="U9" s="84">
        <v>4.0</v>
      </c>
      <c r="X9" s="84">
        <v>0.0</v>
      </c>
      <c r="AH9" s="84">
        <v>1.0</v>
      </c>
      <c r="AI9" s="84">
        <v>0.0</v>
      </c>
      <c r="AJ9" s="84">
        <v>0.0</v>
      </c>
      <c r="AK9" s="84">
        <v>1.0</v>
      </c>
      <c r="AL9" s="84">
        <v>0.0</v>
      </c>
      <c r="AM9" s="84">
        <v>0.0</v>
      </c>
      <c r="AN9" s="84">
        <v>1.0</v>
      </c>
      <c r="AO9" s="84">
        <v>1.0</v>
      </c>
      <c r="AP9" s="84">
        <v>0.0</v>
      </c>
      <c r="AQ9" s="84">
        <v>0.0</v>
      </c>
      <c r="AR9" s="84">
        <v>0.0</v>
      </c>
      <c r="AS9" s="84">
        <v>0.0</v>
      </c>
      <c r="AT9" s="84">
        <v>0.0</v>
      </c>
      <c r="AU9" s="84">
        <v>0.0</v>
      </c>
      <c r="AV9" s="84">
        <v>0.0</v>
      </c>
      <c r="AW9" s="84">
        <v>0.0</v>
      </c>
      <c r="AX9" s="84">
        <v>0.0</v>
      </c>
      <c r="AY9" s="84">
        <v>1.0</v>
      </c>
      <c r="AZ9" s="84">
        <v>38.0</v>
      </c>
      <c r="BB9" s="84">
        <v>6.0</v>
      </c>
      <c r="BC9" s="84" t="s">
        <v>5092</v>
      </c>
      <c r="BE9" s="84">
        <v>6.0</v>
      </c>
      <c r="BF9" s="84" t="s">
        <v>5153</v>
      </c>
      <c r="BH9" s="84">
        <v>6.0</v>
      </c>
      <c r="BI9" s="84" t="s">
        <v>5154</v>
      </c>
    </row>
    <row r="10" ht="12.75" customHeight="1">
      <c r="A10" s="84">
        <v>8.0</v>
      </c>
      <c r="B10" s="84" t="s">
        <v>3390</v>
      </c>
      <c r="C10" s="84">
        <v>1.0</v>
      </c>
      <c r="D10" s="84" t="s">
        <v>4942</v>
      </c>
      <c r="E10" s="84">
        <v>4.0</v>
      </c>
      <c r="F10" s="84" t="s">
        <v>5135</v>
      </c>
      <c r="G10" s="84">
        <v>75.0</v>
      </c>
      <c r="H10" s="84">
        <v>100.0</v>
      </c>
      <c r="I10" s="84">
        <v>15.0</v>
      </c>
      <c r="M10" s="84" t="s">
        <v>5155</v>
      </c>
      <c r="N10" s="84">
        <v>3.0</v>
      </c>
      <c r="O10" s="84">
        <v>10.0</v>
      </c>
      <c r="P10" s="84">
        <v>1.0</v>
      </c>
      <c r="U10" s="84">
        <v>5.0</v>
      </c>
      <c r="X10" s="84">
        <v>0.0</v>
      </c>
      <c r="AH10" s="84">
        <v>1.0</v>
      </c>
      <c r="AI10" s="84">
        <v>0.0</v>
      </c>
      <c r="AJ10" s="84">
        <v>0.0</v>
      </c>
      <c r="AK10" s="84">
        <v>1.0</v>
      </c>
      <c r="AL10" s="84">
        <v>0.0</v>
      </c>
      <c r="AM10" s="84">
        <v>0.0</v>
      </c>
      <c r="AN10" s="84">
        <v>1.0</v>
      </c>
      <c r="AO10" s="84">
        <v>1.0</v>
      </c>
      <c r="AP10" s="84">
        <v>0.0</v>
      </c>
      <c r="AQ10" s="84">
        <v>0.0</v>
      </c>
      <c r="AR10" s="84">
        <v>0.0</v>
      </c>
      <c r="AS10" s="84">
        <v>0.0</v>
      </c>
      <c r="AT10" s="84">
        <v>0.0</v>
      </c>
      <c r="AU10" s="84">
        <v>0.0</v>
      </c>
      <c r="AV10" s="84">
        <v>0.0</v>
      </c>
      <c r="AW10" s="84">
        <v>0.0</v>
      </c>
      <c r="AX10" s="84">
        <v>0.0</v>
      </c>
      <c r="AY10" s="84">
        <v>1.0</v>
      </c>
      <c r="AZ10" s="84">
        <v>38.0</v>
      </c>
      <c r="BB10" s="84">
        <v>7.0</v>
      </c>
      <c r="BC10" s="84" t="s">
        <v>882</v>
      </c>
      <c r="BE10" s="84">
        <v>7.0</v>
      </c>
      <c r="BF10" s="84" t="s">
        <v>5156</v>
      </c>
      <c r="BH10" s="84">
        <v>7.0</v>
      </c>
      <c r="BI10" s="84" t="s">
        <v>5157</v>
      </c>
    </row>
    <row r="11" ht="12.75" customHeight="1">
      <c r="A11" s="84">
        <v>9.0</v>
      </c>
      <c r="B11" s="84" t="s">
        <v>3135</v>
      </c>
      <c r="C11" s="84">
        <v>1.0</v>
      </c>
      <c r="D11" s="84" t="s">
        <v>4921</v>
      </c>
      <c r="E11" s="84">
        <v>4.0</v>
      </c>
      <c r="F11" s="84" t="s">
        <v>5135</v>
      </c>
      <c r="G11" s="84">
        <v>75.0</v>
      </c>
      <c r="H11" s="84">
        <v>100.0</v>
      </c>
      <c r="I11" s="84">
        <v>15.0</v>
      </c>
      <c r="M11" s="84" t="s">
        <v>5158</v>
      </c>
      <c r="N11" s="84">
        <v>1.0</v>
      </c>
      <c r="O11" s="84">
        <v>10.0</v>
      </c>
      <c r="P11" s="84">
        <v>1.0</v>
      </c>
      <c r="U11" s="84">
        <v>6.0</v>
      </c>
      <c r="X11" s="84">
        <v>0.0</v>
      </c>
      <c r="AH11" s="84">
        <v>1.0</v>
      </c>
      <c r="AI11" s="84">
        <v>0.0</v>
      </c>
      <c r="AJ11" s="84">
        <v>0.0</v>
      </c>
      <c r="AK11" s="84">
        <v>1.0</v>
      </c>
      <c r="AL11" s="84">
        <v>0.0</v>
      </c>
      <c r="AM11" s="84">
        <v>0.0</v>
      </c>
      <c r="AN11" s="84">
        <v>1.0</v>
      </c>
      <c r="AO11" s="84">
        <v>1.0</v>
      </c>
      <c r="AP11" s="84">
        <v>0.0</v>
      </c>
      <c r="AQ11" s="84">
        <v>0.0</v>
      </c>
      <c r="AR11" s="84">
        <v>0.0</v>
      </c>
      <c r="AS11" s="84">
        <v>0.0</v>
      </c>
      <c r="AT11" s="84">
        <v>0.0</v>
      </c>
      <c r="AU11" s="84">
        <v>0.0</v>
      </c>
      <c r="AV11" s="84">
        <v>0.0</v>
      </c>
      <c r="AW11" s="84">
        <v>0.0</v>
      </c>
      <c r="AX11" s="84">
        <v>0.0</v>
      </c>
      <c r="AY11" s="84">
        <v>1.0</v>
      </c>
      <c r="AZ11" s="84">
        <v>38.0</v>
      </c>
      <c r="BB11" s="84">
        <v>8.0</v>
      </c>
      <c r="BC11" s="84" t="s">
        <v>5159</v>
      </c>
      <c r="BE11" s="84">
        <v>8.0</v>
      </c>
      <c r="BF11" s="84" t="s">
        <v>5159</v>
      </c>
      <c r="BH11" s="84">
        <v>8.0</v>
      </c>
      <c r="BI11" s="84" t="s">
        <v>5160</v>
      </c>
    </row>
    <row r="12" ht="12.75" customHeight="1">
      <c r="A12" s="84">
        <v>10.0</v>
      </c>
      <c r="B12" s="84" t="s">
        <v>5161</v>
      </c>
      <c r="C12" s="84">
        <v>1.0</v>
      </c>
      <c r="D12" s="84" t="s">
        <v>4916</v>
      </c>
      <c r="E12" s="84">
        <v>0.0</v>
      </c>
      <c r="F12" s="84" t="s">
        <v>5135</v>
      </c>
      <c r="G12" s="84">
        <v>40.0</v>
      </c>
      <c r="H12" s="84">
        <v>100.0</v>
      </c>
      <c r="I12" s="84">
        <v>35.0</v>
      </c>
      <c r="N12" s="84">
        <v>0.0</v>
      </c>
      <c r="O12" s="84">
        <v>0.0</v>
      </c>
      <c r="P12" s="84">
        <v>0.0</v>
      </c>
      <c r="U12" s="84">
        <v>0.0</v>
      </c>
      <c r="X12" s="84">
        <v>0.0</v>
      </c>
      <c r="AH12" s="84">
        <v>1.0</v>
      </c>
      <c r="AI12" s="84">
        <v>0.0</v>
      </c>
      <c r="AJ12" s="84">
        <v>0.0</v>
      </c>
      <c r="AK12" s="84">
        <v>1.0</v>
      </c>
      <c r="AL12" s="84">
        <v>0.0</v>
      </c>
      <c r="AM12" s="84">
        <v>0.0</v>
      </c>
      <c r="AN12" s="84">
        <v>1.0</v>
      </c>
      <c r="AO12" s="84">
        <v>0.0</v>
      </c>
      <c r="AP12" s="84">
        <v>0.0</v>
      </c>
      <c r="AQ12" s="84">
        <v>0.0</v>
      </c>
      <c r="AR12" s="84">
        <v>0.0</v>
      </c>
      <c r="AS12" s="84">
        <v>0.0</v>
      </c>
      <c r="AT12" s="84">
        <v>0.0</v>
      </c>
      <c r="AU12" s="84">
        <v>0.0</v>
      </c>
      <c r="AV12" s="84">
        <v>0.0</v>
      </c>
      <c r="AW12" s="84">
        <v>0.0</v>
      </c>
      <c r="AX12" s="84">
        <v>0.0</v>
      </c>
      <c r="AY12" s="84">
        <v>1.0</v>
      </c>
      <c r="AZ12" s="84">
        <v>30.0</v>
      </c>
      <c r="BE12" s="84">
        <v>9.0</v>
      </c>
      <c r="BF12" s="84" t="s">
        <v>5162</v>
      </c>
      <c r="BH12" s="84">
        <v>9.0</v>
      </c>
      <c r="BI12" s="84" t="s">
        <v>5163</v>
      </c>
    </row>
    <row r="13" ht="12.75" customHeight="1">
      <c r="A13" s="84">
        <v>11.0</v>
      </c>
      <c r="B13" s="84" t="s">
        <v>5164</v>
      </c>
      <c r="C13" s="84">
        <v>1.0</v>
      </c>
      <c r="D13" s="84" t="s">
        <v>4916</v>
      </c>
      <c r="E13" s="84">
        <v>0.0</v>
      </c>
      <c r="F13" s="84" t="s">
        <v>5135</v>
      </c>
      <c r="G13" s="84">
        <v>55.0</v>
      </c>
      <c r="H13" s="84">
        <v>100.0</v>
      </c>
      <c r="I13" s="84">
        <v>30.0</v>
      </c>
      <c r="N13" s="84">
        <v>0.0</v>
      </c>
      <c r="O13" s="84">
        <v>0.0</v>
      </c>
      <c r="P13" s="84">
        <v>0.0</v>
      </c>
      <c r="U13" s="84">
        <v>0.0</v>
      </c>
      <c r="X13" s="84">
        <v>0.0</v>
      </c>
      <c r="AH13" s="84">
        <v>1.0</v>
      </c>
      <c r="AI13" s="84">
        <v>0.0</v>
      </c>
      <c r="AJ13" s="84">
        <v>0.0</v>
      </c>
      <c r="AK13" s="84">
        <v>1.0</v>
      </c>
      <c r="AL13" s="84">
        <v>0.0</v>
      </c>
      <c r="AM13" s="84">
        <v>0.0</v>
      </c>
      <c r="AN13" s="84">
        <v>1.0</v>
      </c>
      <c r="AO13" s="84">
        <v>0.0</v>
      </c>
      <c r="AP13" s="84">
        <v>0.0</v>
      </c>
      <c r="AQ13" s="84">
        <v>0.0</v>
      </c>
      <c r="AR13" s="84">
        <v>0.0</v>
      </c>
      <c r="AS13" s="84">
        <v>0.0</v>
      </c>
      <c r="AT13" s="84">
        <v>0.0</v>
      </c>
      <c r="AU13" s="84">
        <v>0.0</v>
      </c>
      <c r="AV13" s="84">
        <v>0.0</v>
      </c>
      <c r="AW13" s="84">
        <v>0.0</v>
      </c>
      <c r="AX13" s="84">
        <v>0.0</v>
      </c>
      <c r="AY13" s="84">
        <v>1.0</v>
      </c>
      <c r="AZ13" s="84">
        <v>36.0</v>
      </c>
      <c r="BC13" s="84" t="s">
        <v>5165</v>
      </c>
      <c r="BE13" s="84">
        <v>10.0</v>
      </c>
      <c r="BF13" s="84" t="s">
        <v>5166</v>
      </c>
      <c r="BH13" s="84">
        <v>10.0</v>
      </c>
      <c r="BI13" s="84" t="s">
        <v>5167</v>
      </c>
    </row>
    <row r="14" ht="12.75" customHeight="1">
      <c r="A14" s="84">
        <v>12.0</v>
      </c>
      <c r="B14" s="84" t="s">
        <v>2522</v>
      </c>
      <c r="C14" s="84">
        <v>1.0</v>
      </c>
      <c r="D14" s="84" t="s">
        <v>4916</v>
      </c>
      <c r="E14" s="84">
        <v>9.0</v>
      </c>
      <c r="F14" s="84" t="s">
        <v>5135</v>
      </c>
      <c r="G14" s="84">
        <v>1.0</v>
      </c>
      <c r="H14" s="84">
        <v>30.0</v>
      </c>
      <c r="I14" s="84">
        <v>5.0</v>
      </c>
      <c r="N14" s="84">
        <v>0.0</v>
      </c>
      <c r="O14" s="84">
        <v>0.0</v>
      </c>
      <c r="P14" s="84">
        <v>0.0</v>
      </c>
      <c r="U14" s="84">
        <v>38.0</v>
      </c>
      <c r="X14" s="84">
        <v>0.0</v>
      </c>
      <c r="AH14" s="84">
        <v>1.0</v>
      </c>
      <c r="AI14" s="84">
        <v>0.0</v>
      </c>
      <c r="AJ14" s="84">
        <v>0.0</v>
      </c>
      <c r="AK14" s="84">
        <v>1.0</v>
      </c>
      <c r="AL14" s="84">
        <v>0.0</v>
      </c>
      <c r="AM14" s="84">
        <v>0.0</v>
      </c>
      <c r="AN14" s="84">
        <v>1.0</v>
      </c>
      <c r="AO14" s="84">
        <v>0.0</v>
      </c>
      <c r="AP14" s="84">
        <v>0.0</v>
      </c>
      <c r="AQ14" s="84">
        <v>0.0</v>
      </c>
      <c r="AR14" s="84">
        <v>0.0</v>
      </c>
      <c r="AS14" s="84">
        <v>0.0</v>
      </c>
      <c r="AT14" s="84">
        <v>0.0</v>
      </c>
      <c r="AU14" s="84">
        <v>0.0</v>
      </c>
      <c r="AV14" s="84">
        <v>0.0</v>
      </c>
      <c r="AW14" s="84">
        <v>0.0</v>
      </c>
      <c r="AX14" s="84">
        <v>0.0</v>
      </c>
      <c r="AY14" s="84">
        <v>1.0</v>
      </c>
      <c r="AZ14" s="84">
        <v>2.0</v>
      </c>
      <c r="BB14" s="84">
        <v>0.0</v>
      </c>
      <c r="BC14" s="84" t="s">
        <v>5168</v>
      </c>
      <c r="BE14" s="84">
        <v>11.0</v>
      </c>
      <c r="BF14" s="84" t="s">
        <v>5169</v>
      </c>
      <c r="BH14" s="84">
        <v>11.0</v>
      </c>
      <c r="BI14" s="84" t="s">
        <v>5170</v>
      </c>
    </row>
    <row r="15" ht="12.75" customHeight="1">
      <c r="A15" s="84">
        <v>13.0</v>
      </c>
      <c r="B15" s="84" t="s">
        <v>5171</v>
      </c>
      <c r="C15" s="84">
        <v>0.0</v>
      </c>
      <c r="D15" s="84" t="s">
        <v>4916</v>
      </c>
      <c r="E15" s="84">
        <v>0.0</v>
      </c>
      <c r="F15" s="84" t="s">
        <v>5172</v>
      </c>
      <c r="G15" s="84">
        <v>80.0</v>
      </c>
      <c r="H15" s="84">
        <v>100.0</v>
      </c>
      <c r="I15" s="84">
        <v>10.0</v>
      </c>
      <c r="J15" s="84"/>
      <c r="K15" s="84"/>
      <c r="L15" s="84"/>
      <c r="M15" s="84"/>
      <c r="N15" s="84">
        <v>0.0</v>
      </c>
      <c r="O15" s="84">
        <v>0.0</v>
      </c>
      <c r="P15" s="84">
        <v>0.0</v>
      </c>
      <c r="Q15" s="84"/>
      <c r="R15" s="84"/>
      <c r="S15" s="84">
        <v>1.0</v>
      </c>
      <c r="T15" s="84"/>
      <c r="U15" s="84">
        <v>39.0</v>
      </c>
      <c r="V15" s="84"/>
      <c r="W15" s="84"/>
      <c r="X15" s="84">
        <v>5.0</v>
      </c>
      <c r="Y15" s="84"/>
      <c r="Z15" s="84"/>
      <c r="AA15" s="84"/>
      <c r="AB15" s="84"/>
      <c r="AC15" s="84"/>
      <c r="AD15" s="84"/>
      <c r="AE15" s="84"/>
      <c r="AF15" s="84"/>
      <c r="AG15" s="84"/>
      <c r="AH15" s="84">
        <v>0.0</v>
      </c>
      <c r="AI15" s="84">
        <v>1.0</v>
      </c>
      <c r="AJ15" s="84">
        <v>0.0</v>
      </c>
      <c r="AK15" s="84">
        <v>1.0</v>
      </c>
      <c r="AL15" s="84">
        <v>0.0</v>
      </c>
      <c r="AM15" s="84">
        <v>0.0</v>
      </c>
      <c r="AN15" s="84">
        <v>1.0</v>
      </c>
      <c r="AO15" s="84">
        <v>0.0</v>
      </c>
      <c r="AP15" s="84">
        <v>0.0</v>
      </c>
      <c r="AQ15" s="84">
        <v>0.0</v>
      </c>
      <c r="AR15" s="84">
        <v>0.0</v>
      </c>
      <c r="AS15" s="84">
        <v>0.0</v>
      </c>
      <c r="AT15" s="84">
        <v>0.0</v>
      </c>
      <c r="AU15" s="84">
        <v>0.0</v>
      </c>
      <c r="AV15" s="84">
        <v>0.0</v>
      </c>
      <c r="AW15" s="84">
        <v>0.0</v>
      </c>
      <c r="AX15" s="84">
        <v>0.0</v>
      </c>
      <c r="AY15" s="84">
        <v>1.0</v>
      </c>
      <c r="AZ15" s="84">
        <v>0.0</v>
      </c>
      <c r="BB15" s="84">
        <v>1.0</v>
      </c>
      <c r="BC15" s="84" t="s">
        <v>5173</v>
      </c>
      <c r="BE15" s="84">
        <v>12.0</v>
      </c>
      <c r="BF15" s="84" t="s">
        <v>5174</v>
      </c>
      <c r="BH15" s="84">
        <v>16.0</v>
      </c>
      <c r="BI15" s="84" t="s">
        <v>5175</v>
      </c>
    </row>
    <row r="16" ht="12.75" customHeight="1">
      <c r="A16" s="84">
        <v>14.0</v>
      </c>
      <c r="B16" s="84" t="s">
        <v>3113</v>
      </c>
      <c r="C16" s="84">
        <v>1.0</v>
      </c>
      <c r="D16" s="84" t="s">
        <v>4916</v>
      </c>
      <c r="E16" s="84">
        <v>2.0</v>
      </c>
      <c r="F16" s="84" t="s">
        <v>5131</v>
      </c>
      <c r="G16" s="84">
        <v>0.0</v>
      </c>
      <c r="H16" s="84">
        <v>101.0</v>
      </c>
      <c r="I16" s="84">
        <v>20.0</v>
      </c>
      <c r="N16" s="84">
        <v>0.0</v>
      </c>
      <c r="O16" s="84">
        <v>0.0</v>
      </c>
      <c r="P16" s="84">
        <v>0.0</v>
      </c>
      <c r="U16" s="84">
        <v>50.0</v>
      </c>
      <c r="X16" s="84">
        <v>7.0</v>
      </c>
      <c r="Y16" s="84" t="s">
        <v>20</v>
      </c>
      <c r="Z16" s="84">
        <v>2.0</v>
      </c>
      <c r="AH16" s="84">
        <v>0.0</v>
      </c>
      <c r="AI16" s="84">
        <v>0.0</v>
      </c>
      <c r="AJ16" s="84">
        <v>0.0</v>
      </c>
      <c r="AK16" s="84">
        <v>0.0</v>
      </c>
      <c r="AL16" s="84">
        <v>0.0</v>
      </c>
      <c r="AM16" s="84">
        <v>1.0</v>
      </c>
      <c r="AN16" s="84">
        <v>0.0</v>
      </c>
      <c r="AO16" s="84">
        <v>0.0</v>
      </c>
      <c r="AP16" s="84">
        <v>0.0</v>
      </c>
      <c r="AQ16" s="84">
        <v>0.0</v>
      </c>
      <c r="AR16" s="84">
        <v>0.0</v>
      </c>
      <c r="AS16" s="84">
        <v>0.0</v>
      </c>
      <c r="AT16" s="84">
        <v>0.0</v>
      </c>
      <c r="AU16" s="84">
        <v>0.0</v>
      </c>
      <c r="AV16" s="84">
        <v>0.0</v>
      </c>
      <c r="AW16" s="84">
        <v>0.0</v>
      </c>
      <c r="AX16" s="84">
        <v>1.0</v>
      </c>
      <c r="AY16" s="84">
        <v>1.0</v>
      </c>
      <c r="AZ16" s="84">
        <v>9.0</v>
      </c>
      <c r="BB16" s="84">
        <v>2.0</v>
      </c>
      <c r="BC16" s="84" t="s">
        <v>5176</v>
      </c>
      <c r="BE16" s="84">
        <v>13.0</v>
      </c>
      <c r="BF16" s="84" t="s">
        <v>2718</v>
      </c>
      <c r="BH16" s="84">
        <v>17.0</v>
      </c>
      <c r="BI16" s="84" t="s">
        <v>5177</v>
      </c>
    </row>
    <row r="17" ht="12.75" customHeight="1">
      <c r="A17" s="84">
        <v>15.0</v>
      </c>
      <c r="B17" s="84" t="s">
        <v>5178</v>
      </c>
      <c r="C17" s="84">
        <v>1.0</v>
      </c>
      <c r="D17" s="84" t="s">
        <v>4916</v>
      </c>
      <c r="E17" s="84">
        <v>0.0</v>
      </c>
      <c r="F17" s="84" t="s">
        <v>5135</v>
      </c>
      <c r="G17" s="84">
        <v>50.0</v>
      </c>
      <c r="H17" s="84">
        <v>95.0</v>
      </c>
      <c r="I17" s="84">
        <v>30.0</v>
      </c>
      <c r="N17" s="84">
        <v>0.0</v>
      </c>
      <c r="O17" s="84">
        <v>0.0</v>
      </c>
      <c r="P17" s="84">
        <v>0.0</v>
      </c>
      <c r="U17" s="84">
        <v>0.0</v>
      </c>
      <c r="X17" s="84">
        <v>0.0</v>
      </c>
      <c r="AH17" s="84">
        <v>1.0</v>
      </c>
      <c r="AI17" s="84">
        <v>0.0</v>
      </c>
      <c r="AJ17" s="84">
        <v>0.0</v>
      </c>
      <c r="AK17" s="84">
        <v>1.0</v>
      </c>
      <c r="AL17" s="84">
        <v>0.0</v>
      </c>
      <c r="AM17" s="84">
        <v>0.0</v>
      </c>
      <c r="AN17" s="84">
        <v>1.0</v>
      </c>
      <c r="AO17" s="84">
        <v>0.0</v>
      </c>
      <c r="AP17" s="84">
        <v>0.0</v>
      </c>
      <c r="AQ17" s="84">
        <v>0.0</v>
      </c>
      <c r="AR17" s="84">
        <v>0.0</v>
      </c>
      <c r="AS17" s="84">
        <v>0.0</v>
      </c>
      <c r="AT17" s="84">
        <v>0.0</v>
      </c>
      <c r="AU17" s="84">
        <v>0.0</v>
      </c>
      <c r="AV17" s="84">
        <v>0.0</v>
      </c>
      <c r="AW17" s="84">
        <v>0.0</v>
      </c>
      <c r="AX17" s="84">
        <v>0.0</v>
      </c>
      <c r="AY17" s="84">
        <v>1.0</v>
      </c>
      <c r="AZ17" s="84">
        <v>37.0</v>
      </c>
      <c r="BB17" s="84">
        <v>3.0</v>
      </c>
      <c r="BC17" s="84" t="s">
        <v>5179</v>
      </c>
      <c r="BH17" s="84">
        <v>18.0</v>
      </c>
      <c r="BI17" s="84" t="s">
        <v>5180</v>
      </c>
    </row>
    <row r="18" ht="12.75" customHeight="1">
      <c r="A18" s="84">
        <v>16.0</v>
      </c>
      <c r="B18" s="84" t="s">
        <v>2681</v>
      </c>
      <c r="C18" s="84">
        <v>1.0</v>
      </c>
      <c r="D18" s="84" t="s">
        <v>4907</v>
      </c>
      <c r="E18" s="84">
        <v>0.0</v>
      </c>
      <c r="F18" s="84" t="s">
        <v>5172</v>
      </c>
      <c r="G18" s="84">
        <v>40.0</v>
      </c>
      <c r="H18" s="84">
        <v>100.0</v>
      </c>
      <c r="I18" s="84">
        <v>35.0</v>
      </c>
      <c r="N18" s="84">
        <v>0.0</v>
      </c>
      <c r="O18" s="84">
        <v>0.0</v>
      </c>
      <c r="P18" s="84">
        <v>0.0</v>
      </c>
      <c r="U18" s="84">
        <v>149.0</v>
      </c>
      <c r="X18" s="84">
        <v>0.0</v>
      </c>
      <c r="AH18" s="84">
        <v>0.0</v>
      </c>
      <c r="AI18" s="84">
        <v>0.0</v>
      </c>
      <c r="AJ18" s="84">
        <v>0.0</v>
      </c>
      <c r="AK18" s="84">
        <v>1.0</v>
      </c>
      <c r="AL18" s="84">
        <v>0.0</v>
      </c>
      <c r="AM18" s="84">
        <v>0.0</v>
      </c>
      <c r="AN18" s="84">
        <v>1.0</v>
      </c>
      <c r="AO18" s="84">
        <v>0.0</v>
      </c>
      <c r="AP18" s="84">
        <v>0.0</v>
      </c>
      <c r="AQ18" s="84">
        <v>0.0</v>
      </c>
      <c r="AR18" s="84">
        <v>0.0</v>
      </c>
      <c r="AS18" s="84">
        <v>1.0</v>
      </c>
      <c r="AT18" s="84">
        <v>0.0</v>
      </c>
      <c r="AU18" s="84">
        <v>0.0</v>
      </c>
      <c r="AV18" s="84">
        <v>0.0</v>
      </c>
      <c r="AW18" s="84">
        <v>0.0</v>
      </c>
      <c r="AX18" s="84">
        <v>0.0</v>
      </c>
      <c r="AY18" s="84">
        <v>1.0</v>
      </c>
      <c r="AZ18" s="84">
        <v>33.0</v>
      </c>
      <c r="BB18" s="84">
        <v>4.0</v>
      </c>
      <c r="BC18" s="84" t="s">
        <v>5181</v>
      </c>
      <c r="BF18" s="84" t="s">
        <v>5182</v>
      </c>
      <c r="BH18" s="84">
        <v>19.0</v>
      </c>
      <c r="BI18" s="84" t="s">
        <v>5183</v>
      </c>
    </row>
    <row r="19" ht="12.75" customHeight="1">
      <c r="A19" s="84">
        <v>17.0</v>
      </c>
      <c r="B19" s="84" t="s">
        <v>2676</v>
      </c>
      <c r="C19" s="84">
        <v>1.0</v>
      </c>
      <c r="D19" s="84" t="s">
        <v>4907</v>
      </c>
      <c r="E19" s="84">
        <v>0.0</v>
      </c>
      <c r="F19" s="84" t="s">
        <v>5135</v>
      </c>
      <c r="G19" s="84">
        <v>60.0</v>
      </c>
      <c r="H19" s="84">
        <v>100.0</v>
      </c>
      <c r="I19" s="84">
        <v>35.0</v>
      </c>
      <c r="N19" s="84">
        <v>0.0</v>
      </c>
      <c r="O19" s="84">
        <v>0.0</v>
      </c>
      <c r="P19" s="84">
        <v>0.0</v>
      </c>
      <c r="U19" s="84">
        <v>0.0</v>
      </c>
      <c r="X19" s="84">
        <v>0.0</v>
      </c>
      <c r="AH19" s="84">
        <v>1.0</v>
      </c>
      <c r="AI19" s="84">
        <v>0.0</v>
      </c>
      <c r="AJ19" s="84">
        <v>0.0</v>
      </c>
      <c r="AK19" s="84">
        <v>1.0</v>
      </c>
      <c r="AL19" s="84">
        <v>0.0</v>
      </c>
      <c r="AM19" s="84">
        <v>0.0</v>
      </c>
      <c r="AN19" s="84">
        <v>1.0</v>
      </c>
      <c r="AO19" s="84">
        <v>0.0</v>
      </c>
      <c r="AP19" s="84">
        <v>0.0</v>
      </c>
      <c r="AQ19" s="84">
        <v>0.0</v>
      </c>
      <c r="AR19" s="84">
        <v>0.0</v>
      </c>
      <c r="AS19" s="84">
        <v>1.0</v>
      </c>
      <c r="AT19" s="84">
        <v>0.0</v>
      </c>
      <c r="AU19" s="84">
        <v>0.0</v>
      </c>
      <c r="AV19" s="84">
        <v>0.0</v>
      </c>
      <c r="AW19" s="84">
        <v>0.0</v>
      </c>
      <c r="AX19" s="84">
        <v>0.0</v>
      </c>
      <c r="AY19" s="84">
        <v>1.0</v>
      </c>
      <c r="AZ19" s="84">
        <v>36.0</v>
      </c>
      <c r="BB19" s="84">
        <v>5.0</v>
      </c>
      <c r="BC19" s="84" t="s">
        <v>5184</v>
      </c>
      <c r="BE19" s="84">
        <v>0.0</v>
      </c>
      <c r="BF19" s="84" t="s">
        <v>5131</v>
      </c>
      <c r="BH19" s="84">
        <v>20.0</v>
      </c>
      <c r="BI19" s="84" t="s">
        <v>5185</v>
      </c>
    </row>
    <row r="20" ht="12.75" customHeight="1">
      <c r="A20" s="84">
        <v>18.0</v>
      </c>
      <c r="B20" s="84" t="s">
        <v>3081</v>
      </c>
      <c r="C20" s="84">
        <v>1.0</v>
      </c>
      <c r="D20" s="84" t="s">
        <v>4916</v>
      </c>
      <c r="E20" s="84">
        <v>12.0</v>
      </c>
      <c r="F20" s="84" t="s">
        <v>5131</v>
      </c>
      <c r="G20" s="84">
        <v>0.0</v>
      </c>
      <c r="H20" s="84">
        <v>101.0</v>
      </c>
      <c r="I20" s="84">
        <v>20.0</v>
      </c>
      <c r="J20" s="84">
        <v>-6.0</v>
      </c>
      <c r="N20" s="84">
        <v>0.0</v>
      </c>
      <c r="O20" s="84">
        <v>0.0</v>
      </c>
      <c r="P20" s="84">
        <v>0.0</v>
      </c>
      <c r="U20" s="84">
        <v>28.0</v>
      </c>
      <c r="X20" s="84">
        <v>0.0</v>
      </c>
      <c r="AH20" s="84">
        <v>0.0</v>
      </c>
      <c r="AI20" s="84">
        <v>0.0</v>
      </c>
      <c r="AJ20" s="84">
        <v>0.0</v>
      </c>
      <c r="AK20" s="84">
        <v>0.0</v>
      </c>
      <c r="AL20" s="84">
        <v>1.0</v>
      </c>
      <c r="AM20" s="84">
        <v>0.0</v>
      </c>
      <c r="AN20" s="84">
        <v>1.0</v>
      </c>
      <c r="AO20" s="84">
        <v>0.0</v>
      </c>
      <c r="AP20" s="84">
        <v>0.0</v>
      </c>
      <c r="AQ20" s="84">
        <v>0.0</v>
      </c>
      <c r="AR20" s="84">
        <v>0.0</v>
      </c>
      <c r="AS20" s="84">
        <v>0.0</v>
      </c>
      <c r="AT20" s="84">
        <v>0.0</v>
      </c>
      <c r="AU20" s="84">
        <v>1.0</v>
      </c>
      <c r="AV20" s="84">
        <v>0.0</v>
      </c>
      <c r="AW20" s="84">
        <v>1.0</v>
      </c>
      <c r="AX20" s="84">
        <v>0.0</v>
      </c>
      <c r="AY20" s="84">
        <v>1.0</v>
      </c>
      <c r="AZ20" s="84">
        <v>0.0</v>
      </c>
      <c r="BB20" s="84">
        <v>6.0</v>
      </c>
      <c r="BC20" s="84" t="s">
        <v>5186</v>
      </c>
      <c r="BE20" s="84">
        <v>1.0</v>
      </c>
      <c r="BF20" s="84" t="s">
        <v>5135</v>
      </c>
      <c r="BH20" s="84">
        <v>23.0</v>
      </c>
      <c r="BI20" s="84" t="s">
        <v>5187</v>
      </c>
    </row>
    <row r="21" ht="12.75" customHeight="1">
      <c r="A21" s="84">
        <v>19.0</v>
      </c>
      <c r="B21" s="84" t="s">
        <v>3265</v>
      </c>
      <c r="C21" s="84">
        <v>1.0</v>
      </c>
      <c r="D21" s="84" t="s">
        <v>4907</v>
      </c>
      <c r="E21" s="84">
        <v>0.0</v>
      </c>
      <c r="F21" s="84" t="s">
        <v>5135</v>
      </c>
      <c r="G21" s="84">
        <v>90.0</v>
      </c>
      <c r="H21" s="84">
        <v>95.0</v>
      </c>
      <c r="I21" s="84">
        <v>15.0</v>
      </c>
      <c r="N21" s="84">
        <v>0.0</v>
      </c>
      <c r="O21" s="84">
        <v>0.0</v>
      </c>
      <c r="P21" s="84">
        <v>0.0</v>
      </c>
      <c r="U21" s="84">
        <v>155.0</v>
      </c>
      <c r="X21" s="84">
        <v>0.0</v>
      </c>
      <c r="AH21" s="84">
        <v>1.0</v>
      </c>
      <c r="AI21" s="84">
        <v>1.0</v>
      </c>
      <c r="AJ21" s="84">
        <v>0.0</v>
      </c>
      <c r="AK21" s="84">
        <v>1.0</v>
      </c>
      <c r="AL21" s="84">
        <v>0.0</v>
      </c>
      <c r="AM21" s="84">
        <v>0.0</v>
      </c>
      <c r="AN21" s="84">
        <v>1.0</v>
      </c>
      <c r="AO21" s="84">
        <v>0.0</v>
      </c>
      <c r="AP21" s="84">
        <v>0.0</v>
      </c>
      <c r="AQ21" s="84">
        <v>1.0</v>
      </c>
      <c r="AR21" s="84">
        <v>0.0</v>
      </c>
      <c r="AS21" s="84">
        <v>1.0</v>
      </c>
      <c r="AT21" s="84">
        <v>0.0</v>
      </c>
      <c r="AU21" s="84">
        <v>0.0</v>
      </c>
      <c r="AV21" s="84">
        <v>0.0</v>
      </c>
      <c r="AW21" s="84">
        <v>0.0</v>
      </c>
      <c r="AX21" s="84">
        <v>0.0</v>
      </c>
      <c r="AY21" s="84">
        <v>1.0</v>
      </c>
      <c r="AZ21" s="84">
        <v>26.0</v>
      </c>
      <c r="BB21" s="84">
        <v>7.0</v>
      </c>
      <c r="BC21" s="84" t="s">
        <v>5188</v>
      </c>
      <c r="BE21" s="84">
        <v>2.0</v>
      </c>
      <c r="BF21" s="84" t="s">
        <v>5172</v>
      </c>
      <c r="BH21" s="84">
        <v>24.0</v>
      </c>
      <c r="BI21" s="84" t="s">
        <v>5189</v>
      </c>
    </row>
    <row r="22" ht="12.75" customHeight="1">
      <c r="A22" s="84">
        <v>20.0</v>
      </c>
      <c r="B22" s="84" t="s">
        <v>3194</v>
      </c>
      <c r="C22" s="84">
        <v>1.0</v>
      </c>
      <c r="D22" s="84" t="s">
        <v>4916</v>
      </c>
      <c r="E22" s="84">
        <v>4.0</v>
      </c>
      <c r="F22" s="84" t="s">
        <v>5135</v>
      </c>
      <c r="G22" s="84">
        <v>15.0</v>
      </c>
      <c r="H22" s="84">
        <v>85.0</v>
      </c>
      <c r="I22" s="84">
        <v>20.0</v>
      </c>
      <c r="M22" s="84" t="s">
        <v>5190</v>
      </c>
      <c r="N22" s="84">
        <v>8.0</v>
      </c>
      <c r="O22" s="84">
        <v>100.0</v>
      </c>
      <c r="P22" s="84">
        <v>4.0</v>
      </c>
      <c r="Q22" s="84">
        <v>5.0</v>
      </c>
      <c r="R22" s="84">
        <v>6.0</v>
      </c>
      <c r="U22" s="84">
        <v>42.0</v>
      </c>
      <c r="X22" s="84">
        <v>0.0</v>
      </c>
      <c r="AH22" s="84">
        <v>1.0</v>
      </c>
      <c r="AI22" s="84">
        <v>0.0</v>
      </c>
      <c r="AJ22" s="84">
        <v>0.0</v>
      </c>
      <c r="AK22" s="84">
        <v>1.0</v>
      </c>
      <c r="AL22" s="84">
        <v>0.0</v>
      </c>
      <c r="AM22" s="84">
        <v>0.0</v>
      </c>
      <c r="AN22" s="84">
        <v>1.0</v>
      </c>
      <c r="AO22" s="84">
        <v>0.0</v>
      </c>
      <c r="AP22" s="84">
        <v>0.0</v>
      </c>
      <c r="AQ22" s="84">
        <v>0.0</v>
      </c>
      <c r="AR22" s="84">
        <v>0.0</v>
      </c>
      <c r="AS22" s="84">
        <v>0.0</v>
      </c>
      <c r="AT22" s="84">
        <v>0.0</v>
      </c>
      <c r="AU22" s="84">
        <v>0.0</v>
      </c>
      <c r="AV22" s="84">
        <v>0.0</v>
      </c>
      <c r="AW22" s="84">
        <v>0.0</v>
      </c>
      <c r="AX22" s="84">
        <v>0.0</v>
      </c>
      <c r="AY22" s="84">
        <v>1.0</v>
      </c>
      <c r="AZ22" s="84">
        <v>21.0</v>
      </c>
      <c r="BB22" s="84">
        <v>8.0</v>
      </c>
      <c r="BC22" s="84" t="s">
        <v>5191</v>
      </c>
      <c r="BH22" s="84">
        <v>25.0</v>
      </c>
      <c r="BI22" s="84" t="s">
        <v>5192</v>
      </c>
    </row>
    <row r="23" ht="12.75" customHeight="1">
      <c r="A23" s="84">
        <v>21.0</v>
      </c>
      <c r="B23" s="84" t="s">
        <v>3197</v>
      </c>
      <c r="C23" s="84">
        <v>1.0</v>
      </c>
      <c r="D23" s="84" t="s">
        <v>4916</v>
      </c>
      <c r="E23" s="84">
        <v>0.0</v>
      </c>
      <c r="F23" s="84" t="s">
        <v>5135</v>
      </c>
      <c r="G23" s="84">
        <v>80.0</v>
      </c>
      <c r="H23" s="84">
        <v>75.0</v>
      </c>
      <c r="I23" s="84">
        <v>20.0</v>
      </c>
      <c r="N23" s="84">
        <v>0.0</v>
      </c>
      <c r="O23" s="84">
        <v>0.0</v>
      </c>
      <c r="P23" s="84">
        <v>0.0</v>
      </c>
      <c r="U23" s="84">
        <v>0.0</v>
      </c>
      <c r="X23" s="84">
        <v>0.0</v>
      </c>
      <c r="AH23" s="84">
        <v>1.0</v>
      </c>
      <c r="AI23" s="84">
        <v>0.0</v>
      </c>
      <c r="AJ23" s="84">
        <v>0.0</v>
      </c>
      <c r="AK23" s="84">
        <v>1.0</v>
      </c>
      <c r="AL23" s="84">
        <v>0.0</v>
      </c>
      <c r="AM23" s="84">
        <v>0.0</v>
      </c>
      <c r="AN23" s="84">
        <v>1.0</v>
      </c>
      <c r="AO23" s="84">
        <v>0.0</v>
      </c>
      <c r="AP23" s="84">
        <v>0.0</v>
      </c>
      <c r="AQ23" s="84">
        <v>0.0</v>
      </c>
      <c r="AR23" s="84">
        <v>0.0</v>
      </c>
      <c r="AS23" s="84">
        <v>0.0</v>
      </c>
      <c r="AT23" s="84">
        <v>0.0</v>
      </c>
      <c r="AU23" s="84">
        <v>0.0</v>
      </c>
      <c r="AV23" s="84">
        <v>1.0</v>
      </c>
      <c r="AW23" s="84">
        <v>0.0</v>
      </c>
      <c r="AX23" s="84">
        <v>0.0</v>
      </c>
      <c r="AY23" s="84">
        <v>1.0</v>
      </c>
      <c r="AZ23" s="84">
        <v>37.0</v>
      </c>
      <c r="BB23" s="84">
        <v>9.0</v>
      </c>
      <c r="BC23" s="84" t="s">
        <v>5193</v>
      </c>
      <c r="BF23" s="84" t="s">
        <v>5194</v>
      </c>
      <c r="BH23" s="84">
        <v>26.0</v>
      </c>
      <c r="BI23" s="84" t="s">
        <v>5195</v>
      </c>
    </row>
    <row r="24" ht="12.75" customHeight="1">
      <c r="A24" s="84">
        <v>22.0</v>
      </c>
      <c r="B24" s="84" t="s">
        <v>5196</v>
      </c>
      <c r="C24" s="84">
        <v>1.0</v>
      </c>
      <c r="D24" s="84" t="s">
        <v>4904</v>
      </c>
      <c r="E24" s="84">
        <v>0.0</v>
      </c>
      <c r="F24" s="84" t="s">
        <v>5135</v>
      </c>
      <c r="G24" s="84">
        <v>45.0</v>
      </c>
      <c r="H24" s="84">
        <v>100.0</v>
      </c>
      <c r="I24" s="84">
        <v>25.0</v>
      </c>
      <c r="N24" s="84">
        <v>0.0</v>
      </c>
      <c r="O24" s="84">
        <v>0.0</v>
      </c>
      <c r="P24" s="84">
        <v>0.0</v>
      </c>
      <c r="U24" s="84">
        <v>0.0</v>
      </c>
      <c r="X24" s="84">
        <v>0.0</v>
      </c>
      <c r="AH24" s="84">
        <v>1.0</v>
      </c>
      <c r="AI24" s="84">
        <v>0.0</v>
      </c>
      <c r="AJ24" s="84">
        <v>0.0</v>
      </c>
      <c r="AK24" s="84">
        <v>1.0</v>
      </c>
      <c r="AL24" s="84">
        <v>0.0</v>
      </c>
      <c r="AM24" s="84">
        <v>0.0</v>
      </c>
      <c r="AN24" s="84">
        <v>1.0</v>
      </c>
      <c r="AO24" s="84">
        <v>0.0</v>
      </c>
      <c r="AP24" s="84">
        <v>0.0</v>
      </c>
      <c r="AQ24" s="84">
        <v>0.0</v>
      </c>
      <c r="AR24" s="84">
        <v>0.0</v>
      </c>
      <c r="AS24" s="84">
        <v>0.0</v>
      </c>
      <c r="AT24" s="84">
        <v>0.0</v>
      </c>
      <c r="AU24" s="84">
        <v>0.0</v>
      </c>
      <c r="AV24" s="84">
        <v>0.0</v>
      </c>
      <c r="AW24" s="84">
        <v>0.0</v>
      </c>
      <c r="AX24" s="84">
        <v>0.0</v>
      </c>
      <c r="AY24" s="84">
        <v>1.0</v>
      </c>
      <c r="AZ24" s="84">
        <v>36.0</v>
      </c>
      <c r="BB24" s="84">
        <v>10.0</v>
      </c>
      <c r="BC24" s="84" t="s">
        <v>5197</v>
      </c>
      <c r="BE24" s="84">
        <v>0.0</v>
      </c>
      <c r="BF24" s="84" t="s">
        <v>4916</v>
      </c>
      <c r="BH24" s="84">
        <v>27.0</v>
      </c>
      <c r="BI24" s="84" t="s">
        <v>5198</v>
      </c>
    </row>
    <row r="25" ht="12.75" customHeight="1">
      <c r="A25" s="84">
        <v>23.0</v>
      </c>
      <c r="B25" s="84" t="s">
        <v>3529</v>
      </c>
      <c r="C25" s="84">
        <v>1.0</v>
      </c>
      <c r="D25" s="84" t="s">
        <v>4916</v>
      </c>
      <c r="E25" s="84">
        <v>0.0</v>
      </c>
      <c r="F25" s="84" t="s">
        <v>5135</v>
      </c>
      <c r="G25" s="84">
        <v>65.0</v>
      </c>
      <c r="H25" s="84">
        <v>100.0</v>
      </c>
      <c r="I25" s="84">
        <v>20.0</v>
      </c>
      <c r="N25" s="84">
        <v>0.0</v>
      </c>
      <c r="O25" s="84">
        <v>0.0</v>
      </c>
      <c r="P25" s="84">
        <v>0.0</v>
      </c>
      <c r="T25" s="84">
        <v>30.0</v>
      </c>
      <c r="U25" s="84">
        <v>150.0</v>
      </c>
      <c r="X25" s="84">
        <v>0.0</v>
      </c>
      <c r="AH25" s="84">
        <v>1.0</v>
      </c>
      <c r="AI25" s="84">
        <v>0.0</v>
      </c>
      <c r="AJ25" s="84">
        <v>0.0</v>
      </c>
      <c r="AK25" s="84">
        <v>1.0</v>
      </c>
      <c r="AL25" s="84">
        <v>0.0</v>
      </c>
      <c r="AM25" s="84">
        <v>0.0</v>
      </c>
      <c r="AN25" s="84">
        <v>1.0</v>
      </c>
      <c r="AO25" s="84">
        <v>0.0</v>
      </c>
      <c r="AP25" s="84">
        <v>0.0</v>
      </c>
      <c r="AQ25" s="84">
        <v>0.0</v>
      </c>
      <c r="AR25" s="84">
        <v>0.0</v>
      </c>
      <c r="AS25" s="84">
        <v>0.0</v>
      </c>
      <c r="AT25" s="84">
        <v>0.0</v>
      </c>
      <c r="AU25" s="84">
        <v>0.0</v>
      </c>
      <c r="AV25" s="84">
        <v>1.0</v>
      </c>
      <c r="AW25" s="84">
        <v>0.0</v>
      </c>
      <c r="AX25" s="84">
        <v>0.0</v>
      </c>
      <c r="AY25" s="84">
        <v>1.0</v>
      </c>
      <c r="AZ25" s="84">
        <v>38.0</v>
      </c>
      <c r="BB25" s="84">
        <v>11.0</v>
      </c>
      <c r="BC25" s="84" t="s">
        <v>5199</v>
      </c>
      <c r="BE25" s="84">
        <v>1.0</v>
      </c>
      <c r="BF25" s="84" t="s">
        <v>4935</v>
      </c>
      <c r="BH25" s="84">
        <v>28.0</v>
      </c>
      <c r="BI25" s="84" t="s">
        <v>5200</v>
      </c>
    </row>
    <row r="26" ht="12.75" customHeight="1">
      <c r="A26" s="84">
        <v>24.0</v>
      </c>
      <c r="B26" s="84" t="s">
        <v>3151</v>
      </c>
      <c r="C26" s="84">
        <v>1.0</v>
      </c>
      <c r="D26" s="84" t="s">
        <v>4935</v>
      </c>
      <c r="E26" s="84">
        <v>0.0</v>
      </c>
      <c r="F26" s="84" t="s">
        <v>5135</v>
      </c>
      <c r="G26" s="84">
        <v>30.0</v>
      </c>
      <c r="H26" s="84">
        <v>100.0</v>
      </c>
      <c r="I26" s="84">
        <v>30.0</v>
      </c>
      <c r="K26" s="84">
        <v>2.0</v>
      </c>
      <c r="L26" s="84">
        <v>2.0</v>
      </c>
      <c r="N26" s="84">
        <v>0.0</v>
      </c>
      <c r="O26" s="84">
        <v>0.0</v>
      </c>
      <c r="P26" s="84">
        <v>0.0</v>
      </c>
      <c r="U26" s="84">
        <v>44.0</v>
      </c>
      <c r="X26" s="84">
        <v>0.0</v>
      </c>
      <c r="AH26" s="84">
        <v>1.0</v>
      </c>
      <c r="AI26" s="84">
        <v>0.0</v>
      </c>
      <c r="AJ26" s="84">
        <v>0.0</v>
      </c>
      <c r="AK26" s="84">
        <v>1.0</v>
      </c>
      <c r="AL26" s="84">
        <v>0.0</v>
      </c>
      <c r="AM26" s="84">
        <v>0.0</v>
      </c>
      <c r="AN26" s="84">
        <v>1.0</v>
      </c>
      <c r="AO26" s="84">
        <v>0.0</v>
      </c>
      <c r="AP26" s="84">
        <v>0.0</v>
      </c>
      <c r="AQ26" s="84">
        <v>0.0</v>
      </c>
      <c r="AR26" s="84">
        <v>0.0</v>
      </c>
      <c r="AS26" s="84">
        <v>0.0</v>
      </c>
      <c r="AT26" s="84">
        <v>0.0</v>
      </c>
      <c r="AU26" s="84">
        <v>0.0</v>
      </c>
      <c r="AV26" s="84">
        <v>0.0</v>
      </c>
      <c r="AW26" s="84">
        <v>0.0</v>
      </c>
      <c r="AX26" s="84">
        <v>0.0</v>
      </c>
      <c r="AY26" s="84">
        <v>1.0</v>
      </c>
      <c r="AZ26" s="84">
        <v>24.0</v>
      </c>
      <c r="BB26" s="84">
        <v>12.0</v>
      </c>
      <c r="BC26" s="84" t="s">
        <v>5201</v>
      </c>
      <c r="BE26" s="84">
        <v>2.0</v>
      </c>
      <c r="BF26" s="84" t="s">
        <v>4907</v>
      </c>
      <c r="BH26" s="84">
        <v>29.0</v>
      </c>
      <c r="BI26" s="84" t="s">
        <v>5202</v>
      </c>
    </row>
    <row r="27" ht="12.75" customHeight="1">
      <c r="A27" s="84">
        <v>25.0</v>
      </c>
      <c r="B27" s="84" t="s">
        <v>5203</v>
      </c>
      <c r="C27" s="84">
        <v>1.0</v>
      </c>
      <c r="D27" s="84" t="s">
        <v>4916</v>
      </c>
      <c r="E27" s="84">
        <v>0.0</v>
      </c>
      <c r="F27" s="84" t="s">
        <v>5135</v>
      </c>
      <c r="G27" s="84">
        <v>120.0</v>
      </c>
      <c r="H27" s="84">
        <v>75.0</v>
      </c>
      <c r="I27" s="84">
        <v>5.0</v>
      </c>
      <c r="N27" s="84">
        <v>0.0</v>
      </c>
      <c r="O27" s="84">
        <v>0.0</v>
      </c>
      <c r="P27" s="84">
        <v>0.0</v>
      </c>
      <c r="U27" s="84">
        <v>0.0</v>
      </c>
      <c r="X27" s="84">
        <v>0.0</v>
      </c>
      <c r="AH27" s="84">
        <v>1.0</v>
      </c>
      <c r="AI27" s="84">
        <v>0.0</v>
      </c>
      <c r="AJ27" s="84">
        <v>0.0</v>
      </c>
      <c r="AK27" s="84">
        <v>1.0</v>
      </c>
      <c r="AL27" s="84">
        <v>0.0</v>
      </c>
      <c r="AM27" s="84">
        <v>0.0</v>
      </c>
      <c r="AN27" s="84">
        <v>1.0</v>
      </c>
      <c r="AO27" s="84">
        <v>0.0</v>
      </c>
      <c r="AP27" s="84">
        <v>0.0</v>
      </c>
      <c r="AQ27" s="84">
        <v>0.0</v>
      </c>
      <c r="AR27" s="84">
        <v>0.0</v>
      </c>
      <c r="AS27" s="84">
        <v>0.0</v>
      </c>
      <c r="AT27" s="84">
        <v>0.0</v>
      </c>
      <c r="AU27" s="84">
        <v>0.0</v>
      </c>
      <c r="AV27" s="84">
        <v>0.0</v>
      </c>
      <c r="AW27" s="84">
        <v>0.0</v>
      </c>
      <c r="AX27" s="84">
        <v>0.0</v>
      </c>
      <c r="AY27" s="84">
        <v>1.0</v>
      </c>
      <c r="AZ27" s="84">
        <v>44.0</v>
      </c>
      <c r="BB27" s="84">
        <v>13.0</v>
      </c>
      <c r="BC27" s="84" t="s">
        <v>5172</v>
      </c>
      <c r="BE27" s="84">
        <v>3.0</v>
      </c>
      <c r="BF27" s="84" t="s">
        <v>4905</v>
      </c>
      <c r="BH27" s="84">
        <v>30.0</v>
      </c>
      <c r="BI27" s="84" t="s">
        <v>5204</v>
      </c>
    </row>
    <row r="28" ht="12.75" customHeight="1">
      <c r="A28" s="84">
        <v>26.0</v>
      </c>
      <c r="B28" s="84" t="s">
        <v>5205</v>
      </c>
      <c r="C28" s="84">
        <v>0.0</v>
      </c>
      <c r="D28" s="84" t="s">
        <v>4935</v>
      </c>
      <c r="E28" s="84">
        <v>0.0</v>
      </c>
      <c r="F28" s="84" t="s">
        <v>5135</v>
      </c>
      <c r="G28" s="84">
        <v>100.0</v>
      </c>
      <c r="H28" s="84">
        <v>95.0</v>
      </c>
      <c r="I28" s="84">
        <v>10.0</v>
      </c>
      <c r="J28" s="84"/>
      <c r="K28" s="84"/>
      <c r="L28" s="84"/>
      <c r="M28" s="84"/>
      <c r="N28" s="84">
        <v>0.0</v>
      </c>
      <c r="O28" s="84">
        <v>0.0</v>
      </c>
      <c r="P28" s="84">
        <v>0.0</v>
      </c>
      <c r="Q28" s="84"/>
      <c r="R28" s="84"/>
      <c r="S28" s="84"/>
      <c r="T28" s="84"/>
      <c r="U28" s="84">
        <v>45.0</v>
      </c>
      <c r="V28" s="84"/>
      <c r="W28" s="84"/>
      <c r="X28" s="84">
        <v>0.0</v>
      </c>
      <c r="Y28" s="84"/>
      <c r="Z28" s="84"/>
      <c r="AA28" s="84"/>
      <c r="AB28" s="84"/>
      <c r="AC28" s="84"/>
      <c r="AD28" s="84"/>
      <c r="AE28" s="84"/>
      <c r="AF28" s="84"/>
      <c r="AG28" s="84"/>
      <c r="AH28" s="84">
        <v>1.0</v>
      </c>
      <c r="AI28" s="84">
        <v>0.0</v>
      </c>
      <c r="AJ28" s="84">
        <v>0.0</v>
      </c>
      <c r="AK28" s="84">
        <v>1.0</v>
      </c>
      <c r="AL28" s="84">
        <v>0.0</v>
      </c>
      <c r="AM28" s="84">
        <v>0.0</v>
      </c>
      <c r="AN28" s="84">
        <v>1.0</v>
      </c>
      <c r="AO28" s="84">
        <v>0.0</v>
      </c>
      <c r="AP28" s="84">
        <v>0.0</v>
      </c>
      <c r="AQ28" s="84">
        <v>1.0</v>
      </c>
      <c r="AR28" s="84">
        <v>0.0</v>
      </c>
      <c r="AS28" s="84">
        <v>0.0</v>
      </c>
      <c r="AT28" s="84">
        <v>0.0</v>
      </c>
      <c r="AU28" s="84">
        <v>0.0</v>
      </c>
      <c r="AV28" s="84">
        <v>0.0</v>
      </c>
      <c r="AW28" s="84">
        <v>0.0</v>
      </c>
      <c r="AX28" s="84">
        <v>0.0</v>
      </c>
      <c r="AY28" s="84">
        <v>1.0</v>
      </c>
      <c r="AZ28" s="84">
        <v>0.0</v>
      </c>
      <c r="BE28" s="84">
        <v>4.0</v>
      </c>
      <c r="BF28" s="84" t="s">
        <v>4922</v>
      </c>
      <c r="BH28" s="84">
        <v>31.0</v>
      </c>
      <c r="BI28" s="84" t="s">
        <v>5206</v>
      </c>
    </row>
    <row r="29" ht="12.75" customHeight="1">
      <c r="A29" s="84">
        <v>27.0</v>
      </c>
      <c r="B29" s="84" t="s">
        <v>5207</v>
      </c>
      <c r="C29" s="84">
        <v>0.0</v>
      </c>
      <c r="D29" s="84" t="s">
        <v>4935</v>
      </c>
      <c r="E29" s="84">
        <v>0.0</v>
      </c>
      <c r="F29" s="84" t="s">
        <v>5135</v>
      </c>
      <c r="G29" s="84">
        <v>60.0</v>
      </c>
      <c r="H29" s="84">
        <v>85.0</v>
      </c>
      <c r="I29" s="84">
        <v>15.0</v>
      </c>
      <c r="J29" s="84"/>
      <c r="K29" s="84"/>
      <c r="L29" s="84"/>
      <c r="M29" s="84"/>
      <c r="N29" s="84">
        <v>0.0</v>
      </c>
      <c r="O29" s="84">
        <v>0.0</v>
      </c>
      <c r="P29" s="84">
        <v>0.0</v>
      </c>
      <c r="Q29" s="84"/>
      <c r="R29" s="84"/>
      <c r="S29" s="84"/>
      <c r="T29" s="84">
        <v>30.0</v>
      </c>
      <c r="U29" s="84">
        <v>31.0</v>
      </c>
      <c r="V29" s="84"/>
      <c r="W29" s="84"/>
      <c r="X29" s="84">
        <v>0.0</v>
      </c>
      <c r="Y29" s="84"/>
      <c r="Z29" s="84"/>
      <c r="AA29" s="84"/>
      <c r="AB29" s="84"/>
      <c r="AC29" s="84"/>
      <c r="AD29" s="84"/>
      <c r="AE29" s="84"/>
      <c r="AF29" s="84"/>
      <c r="AG29" s="84"/>
      <c r="AH29" s="84">
        <v>1.0</v>
      </c>
      <c r="AI29" s="84">
        <v>0.0</v>
      </c>
      <c r="AJ29" s="84">
        <v>0.0</v>
      </c>
      <c r="AK29" s="84">
        <v>1.0</v>
      </c>
      <c r="AL29" s="84">
        <v>0.0</v>
      </c>
      <c r="AM29" s="84">
        <v>0.0</v>
      </c>
      <c r="AN29" s="84">
        <v>1.0</v>
      </c>
      <c r="AO29" s="84">
        <v>0.0</v>
      </c>
      <c r="AP29" s="84">
        <v>0.0</v>
      </c>
      <c r="AQ29" s="84">
        <v>0.0</v>
      </c>
      <c r="AR29" s="84">
        <v>0.0</v>
      </c>
      <c r="AS29" s="84">
        <v>0.0</v>
      </c>
      <c r="AT29" s="84">
        <v>0.0</v>
      </c>
      <c r="AU29" s="84">
        <v>0.0</v>
      </c>
      <c r="AV29" s="84">
        <v>0.0</v>
      </c>
      <c r="AW29" s="84">
        <v>0.0</v>
      </c>
      <c r="AX29" s="84">
        <v>0.0</v>
      </c>
      <c r="AY29" s="84">
        <v>1.0</v>
      </c>
      <c r="AZ29" s="84">
        <v>0.0</v>
      </c>
      <c r="BC29" s="84" t="s">
        <v>5208</v>
      </c>
      <c r="BE29" s="84">
        <v>5.0</v>
      </c>
      <c r="BF29" s="84" t="s">
        <v>4940</v>
      </c>
      <c r="BH29" s="84">
        <v>32.0</v>
      </c>
      <c r="BI29" s="84" t="s">
        <v>5209</v>
      </c>
    </row>
    <row r="30" ht="12.75" customHeight="1">
      <c r="A30" s="84">
        <v>28.0</v>
      </c>
      <c r="B30" s="84" t="s">
        <v>2620</v>
      </c>
      <c r="C30" s="84">
        <v>1.0</v>
      </c>
      <c r="D30" s="84" t="s">
        <v>4922</v>
      </c>
      <c r="E30" s="84">
        <v>2.0</v>
      </c>
      <c r="F30" s="84" t="s">
        <v>5131</v>
      </c>
      <c r="G30" s="84">
        <v>0.0</v>
      </c>
      <c r="H30" s="84">
        <v>100.0</v>
      </c>
      <c r="I30" s="84">
        <v>15.0</v>
      </c>
      <c r="N30" s="84">
        <v>0.0</v>
      </c>
      <c r="O30" s="84">
        <v>0.0</v>
      </c>
      <c r="P30" s="84">
        <v>0.0</v>
      </c>
      <c r="U30" s="84">
        <v>23.0</v>
      </c>
      <c r="X30" s="84">
        <v>0.0</v>
      </c>
      <c r="Y30" s="84" t="s">
        <v>5092</v>
      </c>
      <c r="Z30" s="84">
        <v>-1.0</v>
      </c>
      <c r="AH30" s="84">
        <v>0.0</v>
      </c>
      <c r="AI30" s="84">
        <v>0.0</v>
      </c>
      <c r="AJ30" s="84">
        <v>0.0</v>
      </c>
      <c r="AK30" s="84">
        <v>1.0</v>
      </c>
      <c r="AL30" s="84">
        <v>1.0</v>
      </c>
      <c r="AM30" s="84">
        <v>0.0</v>
      </c>
      <c r="AN30" s="84">
        <v>1.0</v>
      </c>
      <c r="AO30" s="84">
        <v>0.0</v>
      </c>
      <c r="AP30" s="84">
        <v>0.0</v>
      </c>
      <c r="AQ30" s="84">
        <v>0.0</v>
      </c>
      <c r="AR30" s="84">
        <v>0.0</v>
      </c>
      <c r="AS30" s="84">
        <v>0.0</v>
      </c>
      <c r="AT30" s="84">
        <v>0.0</v>
      </c>
      <c r="AU30" s="84">
        <v>0.0</v>
      </c>
      <c r="AV30" s="84">
        <v>0.0</v>
      </c>
      <c r="AW30" s="84">
        <v>0.0</v>
      </c>
      <c r="AX30" s="84">
        <v>0.0</v>
      </c>
      <c r="AY30" s="84">
        <v>1.0</v>
      </c>
      <c r="AZ30" s="84">
        <v>3.0</v>
      </c>
      <c r="BB30" s="84">
        <v>0.0</v>
      </c>
      <c r="BE30" s="84">
        <v>6.0</v>
      </c>
      <c r="BF30" s="84" t="s">
        <v>4910</v>
      </c>
      <c r="BH30" s="84">
        <v>33.0</v>
      </c>
      <c r="BI30" s="84" t="s">
        <v>5210</v>
      </c>
    </row>
    <row r="31" ht="12.75" customHeight="1">
      <c r="A31" s="84">
        <v>29.0</v>
      </c>
      <c r="B31" s="84" t="s">
        <v>2686</v>
      </c>
      <c r="C31" s="84">
        <v>1.0</v>
      </c>
      <c r="D31" s="84" t="s">
        <v>4916</v>
      </c>
      <c r="E31" s="84">
        <v>0.0</v>
      </c>
      <c r="F31" s="84" t="s">
        <v>5135</v>
      </c>
      <c r="G31" s="84">
        <v>70.0</v>
      </c>
      <c r="H31" s="84">
        <v>100.0</v>
      </c>
      <c r="I31" s="84">
        <v>15.0</v>
      </c>
      <c r="N31" s="84">
        <v>0.0</v>
      </c>
      <c r="O31" s="84">
        <v>0.0</v>
      </c>
      <c r="P31" s="84">
        <v>0.0</v>
      </c>
      <c r="T31" s="84">
        <v>30.0</v>
      </c>
      <c r="U31" s="84">
        <v>31.0</v>
      </c>
      <c r="X31" s="84">
        <v>0.0</v>
      </c>
      <c r="AH31" s="84">
        <v>1.0</v>
      </c>
      <c r="AI31" s="84">
        <v>0.0</v>
      </c>
      <c r="AJ31" s="84">
        <v>0.0</v>
      </c>
      <c r="AK31" s="84">
        <v>1.0</v>
      </c>
      <c r="AL31" s="84">
        <v>0.0</v>
      </c>
      <c r="AM31" s="84">
        <v>0.0</v>
      </c>
      <c r="AN31" s="84">
        <v>1.0</v>
      </c>
      <c r="AO31" s="84">
        <v>0.0</v>
      </c>
      <c r="AP31" s="84">
        <v>0.0</v>
      </c>
      <c r="AQ31" s="84">
        <v>0.0</v>
      </c>
      <c r="AR31" s="84">
        <v>0.0</v>
      </c>
      <c r="AS31" s="84">
        <v>0.0</v>
      </c>
      <c r="AT31" s="84">
        <v>0.0</v>
      </c>
      <c r="AU31" s="84">
        <v>0.0</v>
      </c>
      <c r="AV31" s="84">
        <v>0.0</v>
      </c>
      <c r="AW31" s="84">
        <v>0.0</v>
      </c>
      <c r="AX31" s="84">
        <v>0.0</v>
      </c>
      <c r="AY31" s="84">
        <v>1.0</v>
      </c>
      <c r="AZ31" s="84">
        <v>38.0</v>
      </c>
      <c r="BB31" s="84">
        <v>1.0</v>
      </c>
      <c r="BC31" s="84" t="s">
        <v>5211</v>
      </c>
      <c r="BE31" s="84">
        <v>7.0</v>
      </c>
      <c r="BF31" s="84" t="s">
        <v>4945</v>
      </c>
      <c r="BH31" s="84">
        <v>34.0</v>
      </c>
      <c r="BI31" s="84" t="s">
        <v>5212</v>
      </c>
    </row>
    <row r="32" ht="12.75" customHeight="1">
      <c r="A32" s="84">
        <v>30.0</v>
      </c>
      <c r="B32" s="84" t="s">
        <v>5213</v>
      </c>
      <c r="C32" s="84">
        <v>1.0</v>
      </c>
      <c r="D32" s="84" t="s">
        <v>4916</v>
      </c>
      <c r="E32" s="84">
        <v>0.0</v>
      </c>
      <c r="F32" s="84" t="s">
        <v>5135</v>
      </c>
      <c r="G32" s="84">
        <v>65.0</v>
      </c>
      <c r="H32" s="84">
        <v>100.0</v>
      </c>
      <c r="I32" s="84">
        <v>25.0</v>
      </c>
      <c r="N32" s="84">
        <v>0.0</v>
      </c>
      <c r="O32" s="84">
        <v>0.0</v>
      </c>
      <c r="P32" s="84">
        <v>0.0</v>
      </c>
      <c r="U32" s="84">
        <v>0.0</v>
      </c>
      <c r="X32" s="84">
        <v>0.0</v>
      </c>
      <c r="AH32" s="84">
        <v>1.0</v>
      </c>
      <c r="AI32" s="84">
        <v>0.0</v>
      </c>
      <c r="AJ32" s="84">
        <v>0.0</v>
      </c>
      <c r="AK32" s="84">
        <v>1.0</v>
      </c>
      <c r="AL32" s="84">
        <v>0.0</v>
      </c>
      <c r="AM32" s="84">
        <v>0.0</v>
      </c>
      <c r="AN32" s="84">
        <v>1.0</v>
      </c>
      <c r="AO32" s="84">
        <v>0.0</v>
      </c>
      <c r="AP32" s="84">
        <v>0.0</v>
      </c>
      <c r="AQ32" s="84">
        <v>0.0</v>
      </c>
      <c r="AR32" s="84">
        <v>0.0</v>
      </c>
      <c r="AS32" s="84">
        <v>0.0</v>
      </c>
      <c r="AT32" s="84">
        <v>0.0</v>
      </c>
      <c r="AU32" s="84">
        <v>0.0</v>
      </c>
      <c r="AV32" s="84">
        <v>0.0</v>
      </c>
      <c r="AW32" s="84">
        <v>0.0</v>
      </c>
      <c r="AX32" s="84">
        <v>0.0</v>
      </c>
      <c r="AY32" s="84">
        <v>1.0</v>
      </c>
      <c r="AZ32" s="84">
        <v>37.0</v>
      </c>
      <c r="BB32" s="84">
        <v>2.0</v>
      </c>
      <c r="BC32" s="84" t="s">
        <v>5214</v>
      </c>
      <c r="BE32" s="84">
        <v>8.0</v>
      </c>
      <c r="BF32" s="84" t="s">
        <v>4975</v>
      </c>
      <c r="BH32" s="84">
        <v>35.0</v>
      </c>
      <c r="BI32" s="84" t="s">
        <v>5215</v>
      </c>
    </row>
    <row r="33" ht="12.75" customHeight="1">
      <c r="A33" s="84">
        <v>31.0</v>
      </c>
      <c r="B33" s="84" t="s">
        <v>2840</v>
      </c>
      <c r="C33" s="84">
        <v>1.0</v>
      </c>
      <c r="D33" s="84" t="s">
        <v>4916</v>
      </c>
      <c r="E33" s="84">
        <v>0.0</v>
      </c>
      <c r="F33" s="84" t="s">
        <v>5135</v>
      </c>
      <c r="G33" s="84">
        <v>15.0</v>
      </c>
      <c r="H33" s="84">
        <v>85.0</v>
      </c>
      <c r="I33" s="84">
        <v>20.0</v>
      </c>
      <c r="K33" s="84">
        <v>2.0</v>
      </c>
      <c r="L33" s="84">
        <v>5.0</v>
      </c>
      <c r="N33" s="84">
        <v>0.0</v>
      </c>
      <c r="O33" s="84">
        <v>0.0</v>
      </c>
      <c r="P33" s="84">
        <v>0.0</v>
      </c>
      <c r="U33" s="84">
        <v>29.0</v>
      </c>
      <c r="X33" s="84">
        <v>0.0</v>
      </c>
      <c r="AH33" s="84">
        <v>1.0</v>
      </c>
      <c r="AI33" s="84">
        <v>0.0</v>
      </c>
      <c r="AJ33" s="84">
        <v>0.0</v>
      </c>
      <c r="AK33" s="84">
        <v>1.0</v>
      </c>
      <c r="AL33" s="84">
        <v>0.0</v>
      </c>
      <c r="AM33" s="84">
        <v>0.0</v>
      </c>
      <c r="AN33" s="84">
        <v>1.0</v>
      </c>
      <c r="AO33" s="84">
        <v>0.0</v>
      </c>
      <c r="AP33" s="84">
        <v>0.0</v>
      </c>
      <c r="AQ33" s="84">
        <v>0.0</v>
      </c>
      <c r="AR33" s="84">
        <v>0.0</v>
      </c>
      <c r="AS33" s="84">
        <v>0.0</v>
      </c>
      <c r="AT33" s="84">
        <v>0.0</v>
      </c>
      <c r="AU33" s="84">
        <v>0.0</v>
      </c>
      <c r="AV33" s="84">
        <v>0.0</v>
      </c>
      <c r="AW33" s="84">
        <v>0.0</v>
      </c>
      <c r="AX33" s="84">
        <v>0.0</v>
      </c>
      <c r="AY33" s="84">
        <v>1.0</v>
      </c>
      <c r="AZ33" s="84">
        <v>25.0</v>
      </c>
      <c r="BB33" s="84">
        <v>3.0</v>
      </c>
      <c r="BC33" s="84" t="s">
        <v>5216</v>
      </c>
      <c r="BE33" s="84">
        <v>9.0</v>
      </c>
      <c r="BF33" s="84" t="s">
        <v>4906</v>
      </c>
      <c r="BH33" s="84">
        <v>36.0</v>
      </c>
      <c r="BI33" s="84" t="s">
        <v>5217</v>
      </c>
    </row>
    <row r="34" ht="12.75" customHeight="1">
      <c r="A34" s="84">
        <v>32.0</v>
      </c>
      <c r="B34" s="84" t="s">
        <v>2518</v>
      </c>
      <c r="C34" s="84">
        <v>1.0</v>
      </c>
      <c r="D34" s="84" t="s">
        <v>4916</v>
      </c>
      <c r="E34" s="84">
        <v>9.0</v>
      </c>
      <c r="F34" s="84" t="s">
        <v>5135</v>
      </c>
      <c r="G34" s="84">
        <v>1.0</v>
      </c>
      <c r="H34" s="84">
        <v>30.0</v>
      </c>
      <c r="I34" s="84">
        <v>5.0</v>
      </c>
      <c r="N34" s="84">
        <v>0.0</v>
      </c>
      <c r="O34" s="84">
        <v>0.0</v>
      </c>
      <c r="P34" s="84">
        <v>0.0</v>
      </c>
      <c r="U34" s="84">
        <v>38.0</v>
      </c>
      <c r="X34" s="84">
        <v>0.0</v>
      </c>
      <c r="AH34" s="84">
        <v>1.0</v>
      </c>
      <c r="AI34" s="84">
        <v>0.0</v>
      </c>
      <c r="AJ34" s="84">
        <v>0.0</v>
      </c>
      <c r="AK34" s="84">
        <v>1.0</v>
      </c>
      <c r="AL34" s="84">
        <v>0.0</v>
      </c>
      <c r="AM34" s="84">
        <v>0.0</v>
      </c>
      <c r="AN34" s="84">
        <v>1.0</v>
      </c>
      <c r="AO34" s="84">
        <v>0.0</v>
      </c>
      <c r="AP34" s="84">
        <v>0.0</v>
      </c>
      <c r="AQ34" s="84">
        <v>0.0</v>
      </c>
      <c r="AR34" s="84">
        <v>0.0</v>
      </c>
      <c r="AS34" s="84">
        <v>0.0</v>
      </c>
      <c r="AT34" s="84">
        <v>0.0</v>
      </c>
      <c r="AU34" s="84">
        <v>0.0</v>
      </c>
      <c r="AV34" s="84">
        <v>0.0</v>
      </c>
      <c r="AW34" s="84">
        <v>0.0</v>
      </c>
      <c r="AX34" s="84">
        <v>0.0</v>
      </c>
      <c r="AY34" s="84">
        <v>1.0</v>
      </c>
      <c r="AZ34" s="84">
        <v>2.0</v>
      </c>
      <c r="BB34" s="84">
        <v>4.0</v>
      </c>
      <c r="BC34" s="84" t="s">
        <v>5218</v>
      </c>
      <c r="BE34" s="84">
        <v>10.0</v>
      </c>
      <c r="BF34" s="84" t="s">
        <v>4908</v>
      </c>
      <c r="BH34" s="84">
        <v>37.0</v>
      </c>
      <c r="BI34" s="84" t="s">
        <v>5219</v>
      </c>
    </row>
    <row r="35" ht="12.75" customHeight="1">
      <c r="A35" s="84">
        <v>33.0</v>
      </c>
      <c r="B35" s="84" t="s">
        <v>5220</v>
      </c>
      <c r="C35" s="84">
        <v>1.0</v>
      </c>
      <c r="D35" s="84" t="s">
        <v>4916</v>
      </c>
      <c r="E35" s="84">
        <v>0.0</v>
      </c>
      <c r="F35" s="84" t="s">
        <v>5135</v>
      </c>
      <c r="G35" s="84">
        <v>40.0</v>
      </c>
      <c r="H35" s="84">
        <v>100.0</v>
      </c>
      <c r="I35" s="84">
        <v>35.0</v>
      </c>
      <c r="N35" s="84">
        <v>0.0</v>
      </c>
      <c r="O35" s="84">
        <v>0.0</v>
      </c>
      <c r="P35" s="84">
        <v>0.0</v>
      </c>
      <c r="U35" s="84">
        <v>0.0</v>
      </c>
      <c r="X35" s="84">
        <v>0.0</v>
      </c>
      <c r="AH35" s="84">
        <v>1.0</v>
      </c>
      <c r="AI35" s="84">
        <v>0.0</v>
      </c>
      <c r="AJ35" s="84">
        <v>0.0</v>
      </c>
      <c r="AK35" s="84">
        <v>1.0</v>
      </c>
      <c r="AL35" s="84">
        <v>0.0</v>
      </c>
      <c r="AM35" s="84">
        <v>0.0</v>
      </c>
      <c r="AN35" s="84">
        <v>1.0</v>
      </c>
      <c r="AO35" s="84">
        <v>0.0</v>
      </c>
      <c r="AP35" s="84">
        <v>0.0</v>
      </c>
      <c r="AQ35" s="84">
        <v>0.0</v>
      </c>
      <c r="AR35" s="84">
        <v>0.0</v>
      </c>
      <c r="AS35" s="84">
        <v>0.0</v>
      </c>
      <c r="AT35" s="84">
        <v>0.0</v>
      </c>
      <c r="AU35" s="84">
        <v>0.0</v>
      </c>
      <c r="AV35" s="84">
        <v>0.0</v>
      </c>
      <c r="AW35" s="84">
        <v>0.0</v>
      </c>
      <c r="AX35" s="84">
        <v>0.0</v>
      </c>
      <c r="AY35" s="84">
        <v>1.0</v>
      </c>
      <c r="AZ35" s="84">
        <v>30.0</v>
      </c>
      <c r="BB35" s="84">
        <v>5.0</v>
      </c>
      <c r="BC35" s="84" t="s">
        <v>5221</v>
      </c>
      <c r="BE35" s="84">
        <v>11.0</v>
      </c>
      <c r="BF35" s="84" t="s">
        <v>4904</v>
      </c>
      <c r="BH35" s="84">
        <v>38.0</v>
      </c>
      <c r="BI35" s="84" t="s">
        <v>5193</v>
      </c>
    </row>
    <row r="36" ht="12.75" customHeight="1">
      <c r="A36" s="84">
        <v>34.0</v>
      </c>
      <c r="B36" s="84" t="s">
        <v>2593</v>
      </c>
      <c r="C36" s="84">
        <v>1.0</v>
      </c>
      <c r="D36" s="84" t="s">
        <v>4916</v>
      </c>
      <c r="E36" s="84">
        <v>4.0</v>
      </c>
      <c r="F36" s="84" t="s">
        <v>5135</v>
      </c>
      <c r="G36" s="84">
        <v>85.0</v>
      </c>
      <c r="H36" s="84">
        <v>100.0</v>
      </c>
      <c r="I36" s="84">
        <v>15.0</v>
      </c>
      <c r="M36" s="84" t="s">
        <v>5222</v>
      </c>
      <c r="N36" s="84">
        <v>1.0</v>
      </c>
      <c r="O36" s="84">
        <v>30.0</v>
      </c>
      <c r="P36" s="84">
        <v>1.0</v>
      </c>
      <c r="U36" s="84">
        <v>6.0</v>
      </c>
      <c r="X36" s="84">
        <v>0.0</v>
      </c>
      <c r="AH36" s="84">
        <v>1.0</v>
      </c>
      <c r="AI36" s="84">
        <v>0.0</v>
      </c>
      <c r="AJ36" s="84">
        <v>0.0</v>
      </c>
      <c r="AK36" s="84">
        <v>1.0</v>
      </c>
      <c r="AL36" s="84">
        <v>0.0</v>
      </c>
      <c r="AM36" s="84">
        <v>0.0</v>
      </c>
      <c r="AN36" s="84">
        <v>1.0</v>
      </c>
      <c r="AO36" s="84">
        <v>0.0</v>
      </c>
      <c r="AP36" s="84">
        <v>0.0</v>
      </c>
      <c r="AQ36" s="84">
        <v>0.0</v>
      </c>
      <c r="AR36" s="84">
        <v>0.0</v>
      </c>
      <c r="AS36" s="84">
        <v>0.0</v>
      </c>
      <c r="AT36" s="84">
        <v>0.0</v>
      </c>
      <c r="AU36" s="84">
        <v>0.0</v>
      </c>
      <c r="AV36" s="84">
        <v>1.0</v>
      </c>
      <c r="AW36" s="84">
        <v>0.0</v>
      </c>
      <c r="AX36" s="84">
        <v>0.0</v>
      </c>
      <c r="AY36" s="84">
        <v>1.0</v>
      </c>
      <c r="AZ36" s="84">
        <v>43.0</v>
      </c>
      <c r="BB36" s="84">
        <v>6.0</v>
      </c>
      <c r="BC36" s="84" t="s">
        <v>5223</v>
      </c>
      <c r="BE36" s="84">
        <v>12.0</v>
      </c>
      <c r="BF36" s="84" t="s">
        <v>4921</v>
      </c>
      <c r="BH36" s="84">
        <v>39.0</v>
      </c>
      <c r="BI36" s="84" t="s">
        <v>5224</v>
      </c>
    </row>
    <row r="37" ht="12.75" customHeight="1">
      <c r="A37" s="84">
        <v>35.0</v>
      </c>
      <c r="B37" s="84" t="s">
        <v>2900</v>
      </c>
      <c r="C37" s="84">
        <v>1.0</v>
      </c>
      <c r="D37" s="84" t="s">
        <v>4916</v>
      </c>
      <c r="E37" s="84">
        <v>4.0</v>
      </c>
      <c r="F37" s="84" t="s">
        <v>5135</v>
      </c>
      <c r="G37" s="84">
        <v>15.0</v>
      </c>
      <c r="H37" s="84">
        <v>90.0</v>
      </c>
      <c r="I37" s="84">
        <v>20.0</v>
      </c>
      <c r="M37" s="84" t="s">
        <v>5190</v>
      </c>
      <c r="N37" s="84">
        <v>8.0</v>
      </c>
      <c r="O37" s="84">
        <v>100.0</v>
      </c>
      <c r="P37" s="84">
        <v>4.0</v>
      </c>
      <c r="Q37" s="84">
        <v>5.0</v>
      </c>
      <c r="R37" s="84">
        <v>6.0</v>
      </c>
      <c r="U37" s="84">
        <v>42.0</v>
      </c>
      <c r="X37" s="84">
        <v>0.0</v>
      </c>
      <c r="AH37" s="84">
        <v>1.0</v>
      </c>
      <c r="AI37" s="84">
        <v>0.0</v>
      </c>
      <c r="AJ37" s="84">
        <v>0.0</v>
      </c>
      <c r="AK37" s="84">
        <v>1.0</v>
      </c>
      <c r="AL37" s="84">
        <v>0.0</v>
      </c>
      <c r="AM37" s="84">
        <v>0.0</v>
      </c>
      <c r="AN37" s="84">
        <v>1.0</v>
      </c>
      <c r="AO37" s="84">
        <v>0.0</v>
      </c>
      <c r="AP37" s="84">
        <v>0.0</v>
      </c>
      <c r="AQ37" s="84">
        <v>0.0</v>
      </c>
      <c r="AR37" s="84">
        <v>0.0</v>
      </c>
      <c r="AS37" s="84">
        <v>0.0</v>
      </c>
      <c r="AT37" s="84">
        <v>0.0</v>
      </c>
      <c r="AU37" s="84">
        <v>0.0</v>
      </c>
      <c r="AV37" s="84">
        <v>0.0</v>
      </c>
      <c r="AW37" s="84">
        <v>0.0</v>
      </c>
      <c r="AX37" s="84">
        <v>0.0</v>
      </c>
      <c r="AY37" s="84">
        <v>1.0</v>
      </c>
      <c r="AZ37" s="84">
        <v>21.0</v>
      </c>
      <c r="BB37" s="84">
        <v>7.0</v>
      </c>
      <c r="BC37" s="84" t="s">
        <v>5225</v>
      </c>
      <c r="BE37" s="84">
        <v>13.0</v>
      </c>
      <c r="BF37" s="84" t="s">
        <v>2659</v>
      </c>
      <c r="BH37" s="84">
        <v>40.0</v>
      </c>
      <c r="BI37" s="84" t="s">
        <v>5226</v>
      </c>
    </row>
    <row r="38" ht="12.75" customHeight="1">
      <c r="A38" s="84">
        <v>36.0</v>
      </c>
      <c r="B38" s="84" t="s">
        <v>2573</v>
      </c>
      <c r="C38" s="84">
        <v>1.0</v>
      </c>
      <c r="D38" s="84" t="s">
        <v>4916</v>
      </c>
      <c r="E38" s="84">
        <v>0.0</v>
      </c>
      <c r="F38" s="84" t="s">
        <v>5135</v>
      </c>
      <c r="G38" s="84">
        <v>90.0</v>
      </c>
      <c r="H38" s="84">
        <v>85.0</v>
      </c>
      <c r="I38" s="84">
        <v>20.0</v>
      </c>
      <c r="N38" s="84">
        <v>0.0</v>
      </c>
      <c r="O38" s="84">
        <v>0.0</v>
      </c>
      <c r="P38" s="84">
        <v>0.0</v>
      </c>
      <c r="U38" s="84">
        <v>48.0</v>
      </c>
      <c r="V38" s="84">
        <v>-25.0</v>
      </c>
      <c r="X38" s="84">
        <v>0.0</v>
      </c>
      <c r="AH38" s="84">
        <v>1.0</v>
      </c>
      <c r="AI38" s="84">
        <v>0.0</v>
      </c>
      <c r="AJ38" s="84">
        <v>0.0</v>
      </c>
      <c r="AK38" s="84">
        <v>1.0</v>
      </c>
      <c r="AL38" s="84">
        <v>0.0</v>
      </c>
      <c r="AM38" s="84">
        <v>0.0</v>
      </c>
      <c r="AN38" s="84">
        <v>1.0</v>
      </c>
      <c r="AO38" s="84">
        <v>0.0</v>
      </c>
      <c r="AP38" s="84">
        <v>0.0</v>
      </c>
      <c r="AQ38" s="84">
        <v>0.0</v>
      </c>
      <c r="AR38" s="84">
        <v>0.0</v>
      </c>
      <c r="AS38" s="84">
        <v>0.0</v>
      </c>
      <c r="AT38" s="84">
        <v>0.0</v>
      </c>
      <c r="AU38" s="84">
        <v>0.0</v>
      </c>
      <c r="AV38" s="84">
        <v>0.0</v>
      </c>
      <c r="AW38" s="84">
        <v>0.0</v>
      </c>
      <c r="AX38" s="84">
        <v>0.0</v>
      </c>
      <c r="AY38" s="84">
        <v>1.0</v>
      </c>
      <c r="AZ38" s="84">
        <v>42.0</v>
      </c>
      <c r="BB38" s="84">
        <v>8.0</v>
      </c>
      <c r="BC38" s="84" t="s">
        <v>5227</v>
      </c>
      <c r="BE38" s="84">
        <v>14.0</v>
      </c>
      <c r="BF38" s="84" t="s">
        <v>4942</v>
      </c>
      <c r="BH38" s="84">
        <v>41.0</v>
      </c>
      <c r="BI38" s="84" t="s">
        <v>5228</v>
      </c>
    </row>
    <row r="39" ht="12.75" customHeight="1">
      <c r="A39" s="84">
        <v>37.0</v>
      </c>
      <c r="B39" s="84" t="s">
        <v>2776</v>
      </c>
      <c r="C39" s="84">
        <v>1.0</v>
      </c>
      <c r="D39" s="84" t="s">
        <v>4916</v>
      </c>
      <c r="E39" s="84">
        <v>0.0</v>
      </c>
      <c r="F39" s="84" t="s">
        <v>5135</v>
      </c>
      <c r="G39" s="84">
        <v>120.0</v>
      </c>
      <c r="H39" s="84">
        <v>100.0</v>
      </c>
      <c r="I39" s="84">
        <v>10.0</v>
      </c>
      <c r="N39" s="84">
        <v>0.0</v>
      </c>
      <c r="O39" s="84">
        <v>0.0</v>
      </c>
      <c r="P39" s="84">
        <v>0.0</v>
      </c>
      <c r="U39" s="84">
        <v>27.0</v>
      </c>
      <c r="X39" s="84">
        <v>9.0</v>
      </c>
      <c r="AH39" s="84">
        <v>1.0</v>
      </c>
      <c r="AI39" s="84">
        <v>0.0</v>
      </c>
      <c r="AJ39" s="84">
        <v>0.0</v>
      </c>
      <c r="AK39" s="84">
        <v>1.0</v>
      </c>
      <c r="AL39" s="84">
        <v>0.0</v>
      </c>
      <c r="AM39" s="84">
        <v>0.0</v>
      </c>
      <c r="AN39" s="84">
        <v>1.0</v>
      </c>
      <c r="AO39" s="84">
        <v>0.0</v>
      </c>
      <c r="AP39" s="84">
        <v>0.0</v>
      </c>
      <c r="AQ39" s="84">
        <v>0.0</v>
      </c>
      <c r="AR39" s="84">
        <v>0.0</v>
      </c>
      <c r="AS39" s="84">
        <v>0.0</v>
      </c>
      <c r="AT39" s="84">
        <v>0.0</v>
      </c>
      <c r="AU39" s="84">
        <v>0.0</v>
      </c>
      <c r="AV39" s="84">
        <v>0.0</v>
      </c>
      <c r="AW39" s="84">
        <v>0.0</v>
      </c>
      <c r="AX39" s="84">
        <v>0.0</v>
      </c>
      <c r="AY39" s="84">
        <v>1.0</v>
      </c>
      <c r="AZ39" s="84">
        <v>27.0</v>
      </c>
      <c r="BB39" s="84">
        <v>9.0</v>
      </c>
      <c r="BC39" s="84" t="s">
        <v>5229</v>
      </c>
      <c r="BE39" s="84">
        <v>15.0</v>
      </c>
      <c r="BF39" s="84" t="s">
        <v>4956</v>
      </c>
      <c r="BH39" s="84">
        <v>42.0</v>
      </c>
      <c r="BI39" s="84" t="s">
        <v>5230</v>
      </c>
    </row>
    <row r="40" ht="12.75" customHeight="1">
      <c r="A40" s="84">
        <v>38.0</v>
      </c>
      <c r="B40" s="84" t="s">
        <v>3319</v>
      </c>
      <c r="C40" s="84">
        <v>1.0</v>
      </c>
      <c r="D40" s="84" t="s">
        <v>4916</v>
      </c>
      <c r="E40" s="84">
        <v>0.0</v>
      </c>
      <c r="F40" s="84" t="s">
        <v>5135</v>
      </c>
      <c r="G40" s="84">
        <v>120.0</v>
      </c>
      <c r="H40" s="84">
        <v>100.0</v>
      </c>
      <c r="I40" s="84">
        <v>15.0</v>
      </c>
      <c r="N40" s="84">
        <v>0.0</v>
      </c>
      <c r="O40" s="84">
        <v>0.0</v>
      </c>
      <c r="P40" s="84">
        <v>0.0</v>
      </c>
      <c r="U40" s="84">
        <v>198.0</v>
      </c>
      <c r="V40" s="84">
        <v>-33.0</v>
      </c>
      <c r="X40" s="84">
        <v>0.0</v>
      </c>
      <c r="AH40" s="84">
        <v>1.0</v>
      </c>
      <c r="AI40" s="84">
        <v>0.0</v>
      </c>
      <c r="AJ40" s="84">
        <v>0.0</v>
      </c>
      <c r="AK40" s="84">
        <v>1.0</v>
      </c>
      <c r="AL40" s="84">
        <v>0.0</v>
      </c>
      <c r="AM40" s="84">
        <v>0.0</v>
      </c>
      <c r="AN40" s="84">
        <v>1.0</v>
      </c>
      <c r="AO40" s="84">
        <v>0.0</v>
      </c>
      <c r="AP40" s="84">
        <v>0.0</v>
      </c>
      <c r="AQ40" s="84">
        <v>0.0</v>
      </c>
      <c r="AR40" s="84">
        <v>0.0</v>
      </c>
      <c r="AS40" s="84">
        <v>0.0</v>
      </c>
      <c r="AT40" s="84">
        <v>0.0</v>
      </c>
      <c r="AU40" s="84">
        <v>0.0</v>
      </c>
      <c r="AV40" s="84">
        <v>0.0</v>
      </c>
      <c r="AW40" s="84">
        <v>0.0</v>
      </c>
      <c r="AX40" s="84">
        <v>0.0</v>
      </c>
      <c r="AY40" s="84">
        <v>1.0</v>
      </c>
      <c r="AZ40" s="84">
        <v>43.0</v>
      </c>
      <c r="BB40" s="84">
        <v>10.0</v>
      </c>
      <c r="BC40" s="84" t="s">
        <v>5231</v>
      </c>
      <c r="BE40" s="84">
        <v>16.0</v>
      </c>
      <c r="BF40" s="84" t="s">
        <v>4972</v>
      </c>
      <c r="BH40" s="84">
        <v>43.0</v>
      </c>
      <c r="BI40" s="84" t="s">
        <v>5232</v>
      </c>
    </row>
    <row r="41" ht="12.75" customHeight="1">
      <c r="A41" s="84">
        <v>39.0</v>
      </c>
      <c r="B41" s="84" t="s">
        <v>3282</v>
      </c>
      <c r="C41" s="84">
        <v>1.0</v>
      </c>
      <c r="D41" s="84" t="s">
        <v>4916</v>
      </c>
      <c r="E41" s="84">
        <v>2.0</v>
      </c>
      <c r="F41" s="84" t="s">
        <v>5131</v>
      </c>
      <c r="G41" s="84">
        <v>0.0</v>
      </c>
      <c r="H41" s="84">
        <v>100.0</v>
      </c>
      <c r="I41" s="84">
        <v>30.0</v>
      </c>
      <c r="N41" s="84">
        <v>0.0</v>
      </c>
      <c r="O41" s="84">
        <v>0.0</v>
      </c>
      <c r="P41" s="84">
        <v>0.0</v>
      </c>
      <c r="U41" s="84">
        <v>19.0</v>
      </c>
      <c r="X41" s="84">
        <v>5.0</v>
      </c>
      <c r="Y41" s="84" t="s">
        <v>21</v>
      </c>
      <c r="Z41" s="84">
        <v>-1.0</v>
      </c>
      <c r="AH41" s="84">
        <v>0.0</v>
      </c>
      <c r="AI41" s="84">
        <v>0.0</v>
      </c>
      <c r="AJ41" s="84">
        <v>0.0</v>
      </c>
      <c r="AK41" s="84">
        <v>1.0</v>
      </c>
      <c r="AL41" s="84">
        <v>1.0</v>
      </c>
      <c r="AM41" s="84">
        <v>0.0</v>
      </c>
      <c r="AN41" s="84">
        <v>1.0</v>
      </c>
      <c r="AO41" s="84">
        <v>0.0</v>
      </c>
      <c r="AP41" s="84">
        <v>0.0</v>
      </c>
      <c r="AQ41" s="84">
        <v>0.0</v>
      </c>
      <c r="AR41" s="84">
        <v>0.0</v>
      </c>
      <c r="AS41" s="84">
        <v>0.0</v>
      </c>
      <c r="AT41" s="84">
        <v>0.0</v>
      </c>
      <c r="AU41" s="84">
        <v>0.0</v>
      </c>
      <c r="AV41" s="84">
        <v>0.0</v>
      </c>
      <c r="AW41" s="84">
        <v>0.0</v>
      </c>
      <c r="AX41" s="84">
        <v>0.0</v>
      </c>
      <c r="AY41" s="84">
        <v>1.0</v>
      </c>
      <c r="AZ41" s="84">
        <v>4.0</v>
      </c>
      <c r="BB41" s="84">
        <v>11.0</v>
      </c>
      <c r="BC41" s="84" t="s">
        <v>5233</v>
      </c>
      <c r="BE41" s="84">
        <v>17.0</v>
      </c>
      <c r="BF41" s="84" t="s">
        <v>5072</v>
      </c>
      <c r="BH41" s="84">
        <v>44.0</v>
      </c>
      <c r="BI41" s="84" t="s">
        <v>5234</v>
      </c>
    </row>
    <row r="42" ht="12.75" customHeight="1">
      <c r="A42" s="84">
        <v>40.0</v>
      </c>
      <c r="B42" s="84" t="s">
        <v>3038</v>
      </c>
      <c r="C42" s="84">
        <v>1.0</v>
      </c>
      <c r="D42" s="84" t="s">
        <v>4905</v>
      </c>
      <c r="E42" s="84">
        <v>4.0</v>
      </c>
      <c r="F42" s="84" t="s">
        <v>5135</v>
      </c>
      <c r="G42" s="84">
        <v>15.0</v>
      </c>
      <c r="H42" s="84">
        <v>100.0</v>
      </c>
      <c r="I42" s="84">
        <v>35.0</v>
      </c>
      <c r="M42" s="84" t="s">
        <v>5235</v>
      </c>
      <c r="N42" s="84">
        <v>5.0</v>
      </c>
      <c r="O42" s="84">
        <v>30.0</v>
      </c>
      <c r="P42" s="84">
        <v>1.0</v>
      </c>
      <c r="U42" s="84">
        <v>2.0</v>
      </c>
      <c r="X42" s="84">
        <v>0.0</v>
      </c>
      <c r="AH42" s="84">
        <v>0.0</v>
      </c>
      <c r="AI42" s="84">
        <v>0.0</v>
      </c>
      <c r="AJ42" s="84">
        <v>0.0</v>
      </c>
      <c r="AK42" s="84">
        <v>1.0</v>
      </c>
      <c r="AL42" s="84">
        <v>0.0</v>
      </c>
      <c r="AM42" s="84">
        <v>0.0</v>
      </c>
      <c r="AN42" s="84">
        <v>1.0</v>
      </c>
      <c r="AO42" s="84">
        <v>0.0</v>
      </c>
      <c r="AP42" s="84">
        <v>0.0</v>
      </c>
      <c r="AQ42" s="84">
        <v>0.0</v>
      </c>
      <c r="AR42" s="84">
        <v>0.0</v>
      </c>
      <c r="AS42" s="84">
        <v>0.0</v>
      </c>
      <c r="AT42" s="84">
        <v>0.0</v>
      </c>
      <c r="AU42" s="84">
        <v>0.0</v>
      </c>
      <c r="AV42" s="84">
        <v>0.0</v>
      </c>
      <c r="AW42" s="84">
        <v>0.0</v>
      </c>
      <c r="AX42" s="84">
        <v>0.0</v>
      </c>
      <c r="AY42" s="84">
        <v>1.0</v>
      </c>
      <c r="AZ42" s="84">
        <v>31.0</v>
      </c>
      <c r="BB42" s="84">
        <v>12.0</v>
      </c>
      <c r="BC42" s="84" t="s">
        <v>5236</v>
      </c>
      <c r="BH42" s="84">
        <v>45.0</v>
      </c>
      <c r="BI42" s="84" t="s">
        <v>5237</v>
      </c>
    </row>
    <row r="43" ht="12.75" customHeight="1">
      <c r="A43" s="84">
        <v>41.0</v>
      </c>
      <c r="B43" s="84" t="s">
        <v>5238</v>
      </c>
      <c r="C43" s="84">
        <v>0.0</v>
      </c>
      <c r="D43" s="84" t="s">
        <v>4910</v>
      </c>
      <c r="E43" s="84">
        <v>4.0</v>
      </c>
      <c r="F43" s="84" t="s">
        <v>5135</v>
      </c>
      <c r="G43" s="84">
        <v>25.0</v>
      </c>
      <c r="H43" s="84">
        <v>100.0</v>
      </c>
      <c r="I43" s="84">
        <v>20.0</v>
      </c>
      <c r="J43" s="84"/>
      <c r="K43" s="84">
        <v>2.0</v>
      </c>
      <c r="L43" s="84">
        <v>2.0</v>
      </c>
      <c r="M43" s="84" t="s">
        <v>5239</v>
      </c>
      <c r="N43" s="84">
        <v>5.0</v>
      </c>
      <c r="O43" s="84">
        <v>20.0</v>
      </c>
      <c r="P43" s="84">
        <v>1.0</v>
      </c>
      <c r="Q43" s="84"/>
      <c r="R43" s="84"/>
      <c r="S43" s="84"/>
      <c r="T43" s="84"/>
      <c r="U43" s="84">
        <v>77.0</v>
      </c>
      <c r="V43" s="84"/>
      <c r="W43" s="84"/>
      <c r="X43" s="84">
        <v>0.0</v>
      </c>
      <c r="Y43" s="84"/>
      <c r="Z43" s="84"/>
      <c r="AA43" s="84"/>
      <c r="AB43" s="84"/>
      <c r="AC43" s="84"/>
      <c r="AD43" s="84"/>
      <c r="AE43" s="84"/>
      <c r="AF43" s="84"/>
      <c r="AG43" s="84"/>
      <c r="AH43" s="84">
        <v>0.0</v>
      </c>
      <c r="AI43" s="84">
        <v>0.0</v>
      </c>
      <c r="AJ43" s="84">
        <v>0.0</v>
      </c>
      <c r="AK43" s="84">
        <v>1.0</v>
      </c>
      <c r="AL43" s="84">
        <v>0.0</v>
      </c>
      <c r="AM43" s="84">
        <v>0.0</v>
      </c>
      <c r="AN43" s="84">
        <v>1.0</v>
      </c>
      <c r="AO43" s="84">
        <v>0.0</v>
      </c>
      <c r="AP43" s="84">
        <v>0.0</v>
      </c>
      <c r="AQ43" s="84">
        <v>0.0</v>
      </c>
      <c r="AR43" s="84">
        <v>0.0</v>
      </c>
      <c r="AS43" s="84">
        <v>0.0</v>
      </c>
      <c r="AT43" s="84">
        <v>0.0</v>
      </c>
      <c r="AU43" s="84">
        <v>0.0</v>
      </c>
      <c r="AV43" s="84">
        <v>0.0</v>
      </c>
      <c r="AW43" s="84">
        <v>0.0</v>
      </c>
      <c r="AX43" s="84">
        <v>0.0</v>
      </c>
      <c r="AY43" s="84">
        <v>1.0</v>
      </c>
      <c r="AZ43" s="84">
        <v>0.0</v>
      </c>
      <c r="BB43" s="84">
        <v>13.0</v>
      </c>
      <c r="BC43" s="84" t="s">
        <v>5240</v>
      </c>
      <c r="BH43" s="84">
        <v>46.0</v>
      </c>
      <c r="BI43" s="84" t="s">
        <v>5241</v>
      </c>
    </row>
    <row r="44" ht="12.75" customHeight="1">
      <c r="A44" s="84">
        <v>42.0</v>
      </c>
      <c r="B44" s="84" t="s">
        <v>3056</v>
      </c>
      <c r="C44" s="84">
        <v>1.0</v>
      </c>
      <c r="D44" s="84" t="s">
        <v>4910</v>
      </c>
      <c r="E44" s="84">
        <v>0.0</v>
      </c>
      <c r="F44" s="84" t="s">
        <v>5135</v>
      </c>
      <c r="G44" s="84">
        <v>25.0</v>
      </c>
      <c r="H44" s="84">
        <v>95.0</v>
      </c>
      <c r="I44" s="84">
        <v>20.0</v>
      </c>
      <c r="K44" s="84">
        <v>2.0</v>
      </c>
      <c r="L44" s="84">
        <v>5.0</v>
      </c>
      <c r="N44" s="84">
        <v>0.0</v>
      </c>
      <c r="O44" s="84">
        <v>0.0</v>
      </c>
      <c r="P44" s="84">
        <v>0.0</v>
      </c>
      <c r="U44" s="84">
        <v>29.0</v>
      </c>
      <c r="X44" s="84">
        <v>0.0</v>
      </c>
      <c r="AH44" s="84">
        <v>0.0</v>
      </c>
      <c r="AI44" s="84">
        <v>0.0</v>
      </c>
      <c r="AJ44" s="84">
        <v>0.0</v>
      </c>
      <c r="AK44" s="84">
        <v>1.0</v>
      </c>
      <c r="AL44" s="84">
        <v>0.0</v>
      </c>
      <c r="AM44" s="84">
        <v>0.0</v>
      </c>
      <c r="AN44" s="84">
        <v>1.0</v>
      </c>
      <c r="AO44" s="84">
        <v>0.0</v>
      </c>
      <c r="AP44" s="84">
        <v>0.0</v>
      </c>
      <c r="AQ44" s="84">
        <v>0.0</v>
      </c>
      <c r="AR44" s="84">
        <v>0.0</v>
      </c>
      <c r="AS44" s="84">
        <v>0.0</v>
      </c>
      <c r="AT44" s="84">
        <v>0.0</v>
      </c>
      <c r="AU44" s="84">
        <v>0.0</v>
      </c>
      <c r="AV44" s="84">
        <v>0.0</v>
      </c>
      <c r="AW44" s="84">
        <v>0.0</v>
      </c>
      <c r="AX44" s="84">
        <v>0.0</v>
      </c>
      <c r="AY44" s="84">
        <v>1.0</v>
      </c>
      <c r="AZ44" s="84">
        <v>28.0</v>
      </c>
      <c r="BB44" s="84">
        <v>14.0</v>
      </c>
      <c r="BC44" s="84" t="s">
        <v>5242</v>
      </c>
      <c r="BH44" s="84">
        <v>47.0</v>
      </c>
      <c r="BI44" s="84" t="s">
        <v>5243</v>
      </c>
    </row>
    <row r="45" ht="12.75" customHeight="1">
      <c r="A45" s="84">
        <v>43.0</v>
      </c>
      <c r="B45" s="84" t="s">
        <v>2695</v>
      </c>
      <c r="C45" s="84">
        <v>1.0</v>
      </c>
      <c r="D45" s="84" t="s">
        <v>4916</v>
      </c>
      <c r="E45" s="84">
        <v>2.0</v>
      </c>
      <c r="F45" s="84" t="s">
        <v>5131</v>
      </c>
      <c r="G45" s="84">
        <v>0.0</v>
      </c>
      <c r="H45" s="84">
        <v>100.0</v>
      </c>
      <c r="I45" s="84">
        <v>30.0</v>
      </c>
      <c r="N45" s="84">
        <v>0.0</v>
      </c>
      <c r="O45" s="84">
        <v>0.0</v>
      </c>
      <c r="P45" s="84">
        <v>0.0</v>
      </c>
      <c r="U45" s="84">
        <v>19.0</v>
      </c>
      <c r="X45" s="84">
        <v>5.0</v>
      </c>
      <c r="Y45" s="84" t="s">
        <v>21</v>
      </c>
      <c r="Z45" s="84">
        <v>-1.0</v>
      </c>
      <c r="AA45" s="84">
        <v>100.0</v>
      </c>
      <c r="AH45" s="84">
        <v>0.0</v>
      </c>
      <c r="AI45" s="84">
        <v>0.0</v>
      </c>
      <c r="AJ45" s="84">
        <v>0.0</v>
      </c>
      <c r="AK45" s="84">
        <v>1.0</v>
      </c>
      <c r="AL45" s="84">
        <v>1.0</v>
      </c>
      <c r="AM45" s="84">
        <v>0.0</v>
      </c>
      <c r="AN45" s="84">
        <v>1.0</v>
      </c>
      <c r="AO45" s="84">
        <v>0.0</v>
      </c>
      <c r="AP45" s="84">
        <v>0.0</v>
      </c>
      <c r="AQ45" s="84">
        <v>0.0</v>
      </c>
      <c r="AR45" s="84">
        <v>0.0</v>
      </c>
      <c r="AS45" s="84">
        <v>0.0</v>
      </c>
      <c r="AT45" s="84">
        <v>0.0</v>
      </c>
      <c r="AU45" s="84">
        <v>0.0</v>
      </c>
      <c r="AV45" s="84">
        <v>0.0</v>
      </c>
      <c r="AW45" s="84">
        <v>0.0</v>
      </c>
      <c r="AX45" s="84">
        <v>0.0</v>
      </c>
      <c r="AY45" s="84">
        <v>1.0</v>
      </c>
      <c r="AZ45" s="84">
        <v>4.0</v>
      </c>
      <c r="BB45" s="84">
        <v>15.0</v>
      </c>
      <c r="BC45" s="84" t="s">
        <v>5244</v>
      </c>
      <c r="BH45" s="84">
        <v>48.0</v>
      </c>
      <c r="BI45" s="84" t="s">
        <v>5245</v>
      </c>
    </row>
    <row r="46" ht="12.75" customHeight="1">
      <c r="A46" s="84">
        <v>44.0</v>
      </c>
      <c r="B46" s="84" t="s">
        <v>2588</v>
      </c>
      <c r="C46" s="84">
        <v>1.0</v>
      </c>
      <c r="D46" s="84" t="s">
        <v>4972</v>
      </c>
      <c r="E46" s="84">
        <v>0.0</v>
      </c>
      <c r="F46" s="84" t="s">
        <v>5135</v>
      </c>
      <c r="G46" s="84">
        <v>60.0</v>
      </c>
      <c r="H46" s="84">
        <v>100.0</v>
      </c>
      <c r="I46" s="84">
        <v>25.0</v>
      </c>
      <c r="N46" s="84">
        <v>0.0</v>
      </c>
      <c r="O46" s="84">
        <v>0.0</v>
      </c>
      <c r="P46" s="84">
        <v>0.0</v>
      </c>
      <c r="T46" s="84">
        <v>30.0</v>
      </c>
      <c r="U46" s="84">
        <v>31.0</v>
      </c>
      <c r="X46" s="84">
        <v>0.0</v>
      </c>
      <c r="AH46" s="84">
        <v>1.0</v>
      </c>
      <c r="AI46" s="84">
        <v>0.0</v>
      </c>
      <c r="AJ46" s="84">
        <v>0.0</v>
      </c>
      <c r="AK46" s="84">
        <v>1.0</v>
      </c>
      <c r="AL46" s="84">
        <v>0.0</v>
      </c>
      <c r="AM46" s="84">
        <v>0.0</v>
      </c>
      <c r="AN46" s="84">
        <v>1.0</v>
      </c>
      <c r="AO46" s="84">
        <v>0.0</v>
      </c>
      <c r="AP46" s="84">
        <v>0.0</v>
      </c>
      <c r="AQ46" s="84">
        <v>0.0</v>
      </c>
      <c r="AR46" s="84">
        <v>0.0</v>
      </c>
      <c r="AS46" s="84">
        <v>0.0</v>
      </c>
      <c r="AT46" s="84">
        <v>0.0</v>
      </c>
      <c r="AU46" s="84">
        <v>0.0</v>
      </c>
      <c r="AV46" s="84">
        <v>0.0</v>
      </c>
      <c r="AW46" s="84">
        <v>0.0</v>
      </c>
      <c r="AX46" s="84">
        <v>0.0</v>
      </c>
      <c r="AY46" s="84">
        <v>1.0</v>
      </c>
      <c r="AZ46" s="84">
        <v>37.0</v>
      </c>
      <c r="BB46" s="84">
        <v>16.0</v>
      </c>
      <c r="BC46" s="84" t="s">
        <v>5246</v>
      </c>
      <c r="BH46" s="84">
        <v>49.0</v>
      </c>
      <c r="BI46" s="84" t="s">
        <v>5247</v>
      </c>
    </row>
    <row r="47" ht="12.75" customHeight="1">
      <c r="A47" s="84">
        <v>45.0</v>
      </c>
      <c r="B47" s="84" t="s">
        <v>2595</v>
      </c>
      <c r="C47" s="84">
        <v>1.0</v>
      </c>
      <c r="D47" s="84" t="s">
        <v>4916</v>
      </c>
      <c r="E47" s="84">
        <v>2.0</v>
      </c>
      <c r="F47" s="84" t="s">
        <v>5131</v>
      </c>
      <c r="G47" s="84">
        <v>0.0</v>
      </c>
      <c r="H47" s="84">
        <v>100.0</v>
      </c>
      <c r="I47" s="84">
        <v>40.0</v>
      </c>
      <c r="N47" s="84">
        <v>0.0</v>
      </c>
      <c r="O47" s="84">
        <v>0.0</v>
      </c>
      <c r="P47" s="84">
        <v>0.0</v>
      </c>
      <c r="U47" s="84">
        <v>18.0</v>
      </c>
      <c r="X47" s="84">
        <v>5.0</v>
      </c>
      <c r="Y47" s="84" t="s">
        <v>20</v>
      </c>
      <c r="Z47" s="84">
        <v>-1.0</v>
      </c>
      <c r="AH47" s="84">
        <v>0.0</v>
      </c>
      <c r="AI47" s="84">
        <v>0.0</v>
      </c>
      <c r="AJ47" s="84">
        <v>0.0</v>
      </c>
      <c r="AK47" s="84">
        <v>1.0</v>
      </c>
      <c r="AL47" s="84">
        <v>1.0</v>
      </c>
      <c r="AM47" s="84">
        <v>0.0</v>
      </c>
      <c r="AN47" s="84">
        <v>1.0</v>
      </c>
      <c r="AO47" s="84">
        <v>0.0</v>
      </c>
      <c r="AP47" s="84">
        <v>1.0</v>
      </c>
      <c r="AQ47" s="84">
        <v>0.0</v>
      </c>
      <c r="AR47" s="84">
        <v>0.0</v>
      </c>
      <c r="AS47" s="84">
        <v>0.0</v>
      </c>
      <c r="AT47" s="84">
        <v>0.0</v>
      </c>
      <c r="AU47" s="84">
        <v>1.0</v>
      </c>
      <c r="AV47" s="84">
        <v>0.0</v>
      </c>
      <c r="AW47" s="84">
        <v>0.0</v>
      </c>
      <c r="AX47" s="84">
        <v>0.0</v>
      </c>
      <c r="AY47" s="84">
        <v>1.0</v>
      </c>
      <c r="AZ47" s="84">
        <v>4.0</v>
      </c>
      <c r="BB47" s="84">
        <v>17.0</v>
      </c>
      <c r="BC47" s="84" t="s">
        <v>5248</v>
      </c>
      <c r="BH47" s="84">
        <v>50.0</v>
      </c>
      <c r="BI47" s="84" t="s">
        <v>5249</v>
      </c>
    </row>
    <row r="48" ht="12.75" customHeight="1">
      <c r="A48" s="84">
        <v>46.0</v>
      </c>
      <c r="B48" s="84" t="s">
        <v>2694</v>
      </c>
      <c r="C48" s="84">
        <v>1.0</v>
      </c>
      <c r="D48" s="84" t="s">
        <v>4916</v>
      </c>
      <c r="E48" s="84">
        <v>12.0</v>
      </c>
      <c r="F48" s="84" t="s">
        <v>5131</v>
      </c>
      <c r="G48" s="84">
        <v>0.0</v>
      </c>
      <c r="H48" s="84">
        <v>101.0</v>
      </c>
      <c r="I48" s="84">
        <v>20.0</v>
      </c>
      <c r="J48" s="84">
        <v>-6.0</v>
      </c>
      <c r="N48" s="84">
        <v>0.0</v>
      </c>
      <c r="O48" s="84">
        <v>0.0</v>
      </c>
      <c r="P48" s="84">
        <v>0.0</v>
      </c>
      <c r="U48" s="84">
        <v>28.0</v>
      </c>
      <c r="X48" s="84">
        <v>0.0</v>
      </c>
      <c r="AH48" s="84">
        <v>0.0</v>
      </c>
      <c r="AI48" s="84">
        <v>0.0</v>
      </c>
      <c r="AJ48" s="84">
        <v>0.0</v>
      </c>
      <c r="AK48" s="84">
        <v>0.0</v>
      </c>
      <c r="AL48" s="84">
        <v>1.0</v>
      </c>
      <c r="AM48" s="84">
        <v>0.0</v>
      </c>
      <c r="AN48" s="84">
        <v>1.0</v>
      </c>
      <c r="AO48" s="84">
        <v>0.0</v>
      </c>
      <c r="AP48" s="84">
        <v>1.0</v>
      </c>
      <c r="AQ48" s="84">
        <v>0.0</v>
      </c>
      <c r="AR48" s="84">
        <v>0.0</v>
      </c>
      <c r="AS48" s="84">
        <v>0.0</v>
      </c>
      <c r="AT48" s="84">
        <v>0.0</v>
      </c>
      <c r="AU48" s="84">
        <v>1.0</v>
      </c>
      <c r="AV48" s="84">
        <v>0.0</v>
      </c>
      <c r="AW48" s="84">
        <v>1.0</v>
      </c>
      <c r="AX48" s="84">
        <v>0.0</v>
      </c>
      <c r="AY48" s="84">
        <v>1.0</v>
      </c>
      <c r="AZ48" s="84">
        <v>1.0</v>
      </c>
      <c r="BB48" s="84">
        <v>18.0</v>
      </c>
      <c r="BC48" s="84" t="s">
        <v>5250</v>
      </c>
      <c r="BH48" s="84">
        <v>51.0</v>
      </c>
      <c r="BI48" s="84" t="s">
        <v>5251</v>
      </c>
    </row>
    <row r="49" ht="12.75" customHeight="1">
      <c r="A49" s="84">
        <v>47.0</v>
      </c>
      <c r="B49" s="84" t="s">
        <v>2822</v>
      </c>
      <c r="C49" s="84">
        <v>1.0</v>
      </c>
      <c r="D49" s="84" t="s">
        <v>4916</v>
      </c>
      <c r="E49" s="84">
        <v>1.0</v>
      </c>
      <c r="F49" s="84" t="s">
        <v>5131</v>
      </c>
      <c r="G49" s="84">
        <v>0.0</v>
      </c>
      <c r="H49" s="84">
        <v>55.0</v>
      </c>
      <c r="I49" s="84">
        <v>15.0</v>
      </c>
      <c r="M49" s="84" t="s">
        <v>5252</v>
      </c>
      <c r="N49" s="84">
        <v>2.0</v>
      </c>
      <c r="O49" s="84">
        <v>0.0</v>
      </c>
      <c r="P49" s="84">
        <v>2.0</v>
      </c>
      <c r="Q49" s="84">
        <v>2.0</v>
      </c>
      <c r="R49" s="84">
        <v>4.0</v>
      </c>
      <c r="U49" s="84">
        <v>1.0</v>
      </c>
      <c r="X49" s="84">
        <v>0.0</v>
      </c>
      <c r="AH49" s="84">
        <v>0.0</v>
      </c>
      <c r="AI49" s="84">
        <v>0.0</v>
      </c>
      <c r="AJ49" s="84">
        <v>0.0</v>
      </c>
      <c r="AK49" s="84">
        <v>1.0</v>
      </c>
      <c r="AL49" s="84">
        <v>1.0</v>
      </c>
      <c r="AM49" s="84">
        <v>0.0</v>
      </c>
      <c r="AN49" s="84">
        <v>1.0</v>
      </c>
      <c r="AO49" s="84">
        <v>0.0</v>
      </c>
      <c r="AP49" s="84">
        <v>1.0</v>
      </c>
      <c r="AQ49" s="84">
        <v>0.0</v>
      </c>
      <c r="AR49" s="84">
        <v>0.0</v>
      </c>
      <c r="AS49" s="84">
        <v>0.0</v>
      </c>
      <c r="AT49" s="84">
        <v>0.0</v>
      </c>
      <c r="AU49" s="84">
        <v>1.0</v>
      </c>
      <c r="AV49" s="84">
        <v>0.0</v>
      </c>
      <c r="AW49" s="84">
        <v>0.0</v>
      </c>
      <c r="AX49" s="84">
        <v>0.0</v>
      </c>
      <c r="AY49" s="84">
        <v>1.0</v>
      </c>
      <c r="AZ49" s="84">
        <v>18.0</v>
      </c>
      <c r="BB49" s="84">
        <v>19.0</v>
      </c>
      <c r="BC49" s="84" t="s">
        <v>5253</v>
      </c>
      <c r="BH49" s="84">
        <v>52.0</v>
      </c>
      <c r="BI49" s="84" t="s">
        <v>5254</v>
      </c>
    </row>
    <row r="50" ht="12.75" customHeight="1">
      <c r="A50" s="84">
        <v>48.0</v>
      </c>
      <c r="B50" s="84" t="s">
        <v>2812</v>
      </c>
      <c r="C50" s="84">
        <v>1.0</v>
      </c>
      <c r="D50" s="84" t="s">
        <v>4916</v>
      </c>
      <c r="E50" s="84">
        <v>1.0</v>
      </c>
      <c r="F50" s="84" t="s">
        <v>5131</v>
      </c>
      <c r="G50" s="84">
        <v>0.0</v>
      </c>
      <c r="H50" s="84">
        <v>55.0</v>
      </c>
      <c r="I50" s="84">
        <v>20.0</v>
      </c>
      <c r="M50" s="84" t="s">
        <v>5255</v>
      </c>
      <c r="N50" s="84">
        <v>6.0</v>
      </c>
      <c r="O50" s="84">
        <v>0.0</v>
      </c>
      <c r="P50" s="84">
        <v>2.0</v>
      </c>
      <c r="Q50" s="84">
        <v>2.0</v>
      </c>
      <c r="R50" s="84">
        <v>5.0</v>
      </c>
      <c r="U50" s="84">
        <v>49.0</v>
      </c>
      <c r="X50" s="84">
        <v>0.0</v>
      </c>
      <c r="AH50" s="84">
        <v>0.0</v>
      </c>
      <c r="AI50" s="84">
        <v>0.0</v>
      </c>
      <c r="AJ50" s="84">
        <v>0.0</v>
      </c>
      <c r="AK50" s="84">
        <v>1.0</v>
      </c>
      <c r="AL50" s="84">
        <v>1.0</v>
      </c>
      <c r="AM50" s="84">
        <v>0.0</v>
      </c>
      <c r="AN50" s="84">
        <v>1.0</v>
      </c>
      <c r="AO50" s="84">
        <v>0.0</v>
      </c>
      <c r="AP50" s="84">
        <v>1.0</v>
      </c>
      <c r="AQ50" s="84">
        <v>0.0</v>
      </c>
      <c r="AR50" s="84">
        <v>0.0</v>
      </c>
      <c r="AS50" s="84">
        <v>0.0</v>
      </c>
      <c r="AT50" s="84">
        <v>0.0</v>
      </c>
      <c r="AU50" s="84">
        <v>1.0</v>
      </c>
      <c r="AV50" s="84">
        <v>0.0</v>
      </c>
      <c r="AW50" s="84">
        <v>0.0</v>
      </c>
      <c r="AX50" s="84">
        <v>0.0</v>
      </c>
      <c r="AY50" s="84">
        <v>1.0</v>
      </c>
      <c r="AZ50" s="84">
        <v>12.0</v>
      </c>
      <c r="BB50" s="84">
        <v>20.0</v>
      </c>
      <c r="BC50" s="84" t="s">
        <v>5256</v>
      </c>
      <c r="BH50" s="84">
        <v>53.0</v>
      </c>
      <c r="BI50" s="84" t="s">
        <v>5257</v>
      </c>
    </row>
    <row r="51" ht="12.75" customHeight="1">
      <c r="A51" s="84">
        <v>49.0</v>
      </c>
      <c r="B51" s="84" t="s">
        <v>5258</v>
      </c>
      <c r="C51" s="84">
        <v>0.0</v>
      </c>
      <c r="D51" s="84" t="s">
        <v>4916</v>
      </c>
      <c r="E51" s="84">
        <v>0.0</v>
      </c>
      <c r="F51" s="84" t="s">
        <v>5172</v>
      </c>
      <c r="G51" s="84">
        <v>1.0</v>
      </c>
      <c r="H51" s="84">
        <v>90.0</v>
      </c>
      <c r="I51" s="84">
        <v>20.0</v>
      </c>
      <c r="J51" s="84"/>
      <c r="K51" s="84"/>
      <c r="L51" s="84"/>
      <c r="M51" s="84"/>
      <c r="N51" s="84">
        <v>0.0</v>
      </c>
      <c r="O51" s="84">
        <v>0.0</v>
      </c>
      <c r="P51" s="84">
        <v>0.0</v>
      </c>
      <c r="Q51" s="84"/>
      <c r="R51" s="84"/>
      <c r="S51" s="84"/>
      <c r="T51" s="84"/>
      <c r="U51" s="84">
        <v>130.0</v>
      </c>
      <c r="V51" s="84"/>
      <c r="W51" s="84"/>
      <c r="X51" s="84">
        <v>0.0</v>
      </c>
      <c r="Y51" s="84"/>
      <c r="Z51" s="84"/>
      <c r="AA51" s="84"/>
      <c r="AB51" s="84"/>
      <c r="AC51" s="84"/>
      <c r="AD51" s="84"/>
      <c r="AE51" s="84"/>
      <c r="AF51" s="84"/>
      <c r="AG51" s="84"/>
      <c r="AH51" s="84">
        <v>0.0</v>
      </c>
      <c r="AI51" s="84">
        <v>0.0</v>
      </c>
      <c r="AJ51" s="84">
        <v>0.0</v>
      </c>
      <c r="AK51" s="84">
        <v>1.0</v>
      </c>
      <c r="AL51" s="84">
        <v>0.0</v>
      </c>
      <c r="AM51" s="84">
        <v>0.0</v>
      </c>
      <c r="AN51" s="84">
        <v>1.0</v>
      </c>
      <c r="AO51" s="84">
        <v>0.0</v>
      </c>
      <c r="AP51" s="84">
        <v>0.0</v>
      </c>
      <c r="AQ51" s="84">
        <v>0.0</v>
      </c>
      <c r="AR51" s="84">
        <v>0.0</v>
      </c>
      <c r="AS51" s="84">
        <v>0.0</v>
      </c>
      <c r="AT51" s="84">
        <v>0.0</v>
      </c>
      <c r="AU51" s="84">
        <v>0.0</v>
      </c>
      <c r="AV51" s="84">
        <v>0.0</v>
      </c>
      <c r="AW51" s="84">
        <v>0.0</v>
      </c>
      <c r="AX51" s="84">
        <v>0.0</v>
      </c>
      <c r="AY51" s="84">
        <v>1.0</v>
      </c>
      <c r="AZ51" s="84">
        <v>0.0</v>
      </c>
      <c r="BB51" s="84">
        <v>21.0</v>
      </c>
      <c r="BC51" s="84" t="s">
        <v>5259</v>
      </c>
      <c r="BH51" s="84">
        <v>54.0</v>
      </c>
      <c r="BI51" s="84" t="s">
        <v>5260</v>
      </c>
    </row>
    <row r="52" ht="12.75" customHeight="1">
      <c r="A52" s="84">
        <v>50.0</v>
      </c>
      <c r="B52" s="84" t="s">
        <v>2739</v>
      </c>
      <c r="C52" s="84">
        <v>1.0</v>
      </c>
      <c r="D52" s="84" t="s">
        <v>4916</v>
      </c>
      <c r="E52" s="84">
        <v>13.0</v>
      </c>
      <c r="F52" s="84" t="s">
        <v>5131</v>
      </c>
      <c r="G52" s="84">
        <v>0.0</v>
      </c>
      <c r="H52" s="84">
        <v>100.0</v>
      </c>
      <c r="I52" s="84">
        <v>20.0</v>
      </c>
      <c r="M52" s="84" t="s">
        <v>2739</v>
      </c>
      <c r="N52" s="84">
        <v>13.0</v>
      </c>
      <c r="O52" s="84">
        <v>0.0</v>
      </c>
      <c r="P52" s="84">
        <v>2.0</v>
      </c>
      <c r="Q52" s="84">
        <v>4.0</v>
      </c>
      <c r="R52" s="84">
        <v>4.0</v>
      </c>
      <c r="U52" s="84">
        <v>86.0</v>
      </c>
      <c r="X52" s="84">
        <v>0.0</v>
      </c>
      <c r="AH52" s="84">
        <v>0.0</v>
      </c>
      <c r="AI52" s="84">
        <v>0.0</v>
      </c>
      <c r="AJ52" s="84">
        <v>0.0</v>
      </c>
      <c r="AK52" s="84">
        <v>1.0</v>
      </c>
      <c r="AL52" s="84">
        <v>1.0</v>
      </c>
      <c r="AM52" s="84">
        <v>0.0</v>
      </c>
      <c r="AN52" s="84">
        <v>1.0</v>
      </c>
      <c r="AO52" s="84">
        <v>0.0</v>
      </c>
      <c r="AP52" s="84">
        <v>0.0</v>
      </c>
      <c r="AQ52" s="84">
        <v>0.0</v>
      </c>
      <c r="AR52" s="84">
        <v>0.0</v>
      </c>
      <c r="AS52" s="84">
        <v>0.0</v>
      </c>
      <c r="AT52" s="84">
        <v>0.0</v>
      </c>
      <c r="AU52" s="84">
        <v>1.0</v>
      </c>
      <c r="AV52" s="84">
        <v>0.0</v>
      </c>
      <c r="AW52" s="84">
        <v>0.0</v>
      </c>
      <c r="AX52" s="84">
        <v>0.0</v>
      </c>
      <c r="AY52" s="84">
        <v>1.0</v>
      </c>
      <c r="AZ52" s="84">
        <v>14.0</v>
      </c>
      <c r="BB52" s="84">
        <v>22.0</v>
      </c>
      <c r="BC52" s="84" t="s">
        <v>5261</v>
      </c>
      <c r="BH52" s="84">
        <v>57.0</v>
      </c>
      <c r="BI52" s="84" t="s">
        <v>5262</v>
      </c>
    </row>
    <row r="53" ht="12.75" customHeight="1">
      <c r="A53" s="84">
        <v>51.0</v>
      </c>
      <c r="B53" s="84" t="s">
        <v>2937</v>
      </c>
      <c r="C53" s="84">
        <v>1.0</v>
      </c>
      <c r="D53" s="84" t="s">
        <v>4905</v>
      </c>
      <c r="E53" s="84">
        <v>6.0</v>
      </c>
      <c r="F53" s="84" t="s">
        <v>5172</v>
      </c>
      <c r="G53" s="84">
        <v>40.0</v>
      </c>
      <c r="H53" s="84">
        <v>100.0</v>
      </c>
      <c r="I53" s="84">
        <v>30.0</v>
      </c>
      <c r="N53" s="84">
        <v>0.0</v>
      </c>
      <c r="O53" s="84">
        <v>0.0</v>
      </c>
      <c r="P53" s="84">
        <v>0.0</v>
      </c>
      <c r="U53" s="84">
        <v>72.0</v>
      </c>
      <c r="X53" s="84">
        <v>5.0</v>
      </c>
      <c r="Y53" s="84" t="s">
        <v>23</v>
      </c>
      <c r="Z53" s="84">
        <v>-1.0</v>
      </c>
      <c r="AA53" s="84">
        <v>10.0</v>
      </c>
      <c r="AH53" s="84">
        <v>0.0</v>
      </c>
      <c r="AI53" s="84">
        <v>0.0</v>
      </c>
      <c r="AJ53" s="84">
        <v>0.0</v>
      </c>
      <c r="AK53" s="84">
        <v>1.0</v>
      </c>
      <c r="AL53" s="84">
        <v>0.0</v>
      </c>
      <c r="AM53" s="84">
        <v>0.0</v>
      </c>
      <c r="AN53" s="84">
        <v>1.0</v>
      </c>
      <c r="AO53" s="84">
        <v>0.0</v>
      </c>
      <c r="AP53" s="84">
        <v>0.0</v>
      </c>
      <c r="AQ53" s="84">
        <v>0.0</v>
      </c>
      <c r="AR53" s="84">
        <v>0.0</v>
      </c>
      <c r="AS53" s="84">
        <v>0.0</v>
      </c>
      <c r="AT53" s="84">
        <v>0.0</v>
      </c>
      <c r="AU53" s="84">
        <v>0.0</v>
      </c>
      <c r="AV53" s="84">
        <v>0.0</v>
      </c>
      <c r="AW53" s="84">
        <v>0.0</v>
      </c>
      <c r="AX53" s="84">
        <v>0.0</v>
      </c>
      <c r="AY53" s="84">
        <v>1.0</v>
      </c>
      <c r="AZ53" s="84">
        <v>34.0</v>
      </c>
      <c r="BB53" s="84">
        <v>23.0</v>
      </c>
      <c r="BC53" s="84" t="s">
        <v>5263</v>
      </c>
      <c r="BH53" s="84">
        <v>58.0</v>
      </c>
      <c r="BI53" s="84" t="s">
        <v>5264</v>
      </c>
    </row>
    <row r="54" ht="12.75" customHeight="1">
      <c r="A54" s="84">
        <v>52.0</v>
      </c>
      <c r="B54" s="84" t="s">
        <v>2831</v>
      </c>
      <c r="C54" s="84">
        <v>1.0</v>
      </c>
      <c r="D54" s="84" t="s">
        <v>4906</v>
      </c>
      <c r="E54" s="84">
        <v>4.0</v>
      </c>
      <c r="F54" s="84" t="s">
        <v>5172</v>
      </c>
      <c r="G54" s="84">
        <v>40.0</v>
      </c>
      <c r="H54" s="84">
        <v>100.0</v>
      </c>
      <c r="I54" s="84">
        <v>25.0</v>
      </c>
      <c r="M54" s="84" t="s">
        <v>5152</v>
      </c>
      <c r="N54" s="84">
        <v>4.0</v>
      </c>
      <c r="O54" s="84">
        <v>10.0</v>
      </c>
      <c r="P54" s="84">
        <v>1.0</v>
      </c>
      <c r="U54" s="84">
        <v>4.0</v>
      </c>
      <c r="X54" s="84">
        <v>0.0</v>
      </c>
      <c r="AH54" s="84">
        <v>0.0</v>
      </c>
      <c r="AI54" s="84">
        <v>0.0</v>
      </c>
      <c r="AJ54" s="84">
        <v>0.0</v>
      </c>
      <c r="AK54" s="84">
        <v>1.0</v>
      </c>
      <c r="AL54" s="84">
        <v>0.0</v>
      </c>
      <c r="AM54" s="84">
        <v>0.0</v>
      </c>
      <c r="AN54" s="84">
        <v>1.0</v>
      </c>
      <c r="AO54" s="84">
        <v>0.0</v>
      </c>
      <c r="AP54" s="84">
        <v>0.0</v>
      </c>
      <c r="AQ54" s="84">
        <v>0.0</v>
      </c>
      <c r="AR54" s="84">
        <v>0.0</v>
      </c>
      <c r="AS54" s="84">
        <v>0.0</v>
      </c>
      <c r="AT54" s="84">
        <v>0.0</v>
      </c>
      <c r="AU54" s="84">
        <v>0.0</v>
      </c>
      <c r="AV54" s="84">
        <v>0.0</v>
      </c>
      <c r="AW54" s="84">
        <v>0.0</v>
      </c>
      <c r="AX54" s="84">
        <v>0.0</v>
      </c>
      <c r="AY54" s="84">
        <v>1.0</v>
      </c>
      <c r="AZ54" s="84">
        <v>34.0</v>
      </c>
      <c r="BB54" s="84">
        <v>24.0</v>
      </c>
      <c r="BC54" s="84" t="s">
        <v>5265</v>
      </c>
      <c r="BH54" s="84">
        <v>59.0</v>
      </c>
      <c r="BI54" s="84" t="s">
        <v>5266</v>
      </c>
    </row>
    <row r="55" ht="12.75" customHeight="1">
      <c r="A55" s="84">
        <v>53.0</v>
      </c>
      <c r="B55" s="84" t="s">
        <v>2660</v>
      </c>
      <c r="C55" s="84">
        <v>1.0</v>
      </c>
      <c r="D55" s="84" t="s">
        <v>4906</v>
      </c>
      <c r="E55" s="84">
        <v>4.0</v>
      </c>
      <c r="F55" s="84" t="s">
        <v>5172</v>
      </c>
      <c r="G55" s="84">
        <v>90.0</v>
      </c>
      <c r="H55" s="84">
        <v>100.0</v>
      </c>
      <c r="I55" s="84">
        <v>15.0</v>
      </c>
      <c r="M55" s="84" t="s">
        <v>5152</v>
      </c>
      <c r="N55" s="84">
        <v>4.0</v>
      </c>
      <c r="O55" s="84">
        <v>10.0</v>
      </c>
      <c r="P55" s="84">
        <v>1.0</v>
      </c>
      <c r="U55" s="84">
        <v>4.0</v>
      </c>
      <c r="X55" s="84">
        <v>0.0</v>
      </c>
      <c r="AH55" s="84">
        <v>0.0</v>
      </c>
      <c r="AI55" s="84">
        <v>0.0</v>
      </c>
      <c r="AJ55" s="84">
        <v>0.0</v>
      </c>
      <c r="AK55" s="84">
        <v>1.0</v>
      </c>
      <c r="AL55" s="84">
        <v>0.0</v>
      </c>
      <c r="AM55" s="84">
        <v>0.0</v>
      </c>
      <c r="AN55" s="84">
        <v>1.0</v>
      </c>
      <c r="AO55" s="84">
        <v>0.0</v>
      </c>
      <c r="AP55" s="84">
        <v>0.0</v>
      </c>
      <c r="AQ55" s="84">
        <v>0.0</v>
      </c>
      <c r="AR55" s="84">
        <v>0.0</v>
      </c>
      <c r="AS55" s="84">
        <v>0.0</v>
      </c>
      <c r="AT55" s="84">
        <v>0.0</v>
      </c>
      <c r="AU55" s="84">
        <v>0.0</v>
      </c>
      <c r="AV55" s="84">
        <v>0.0</v>
      </c>
      <c r="AW55" s="84">
        <v>0.0</v>
      </c>
      <c r="AX55" s="84">
        <v>0.0</v>
      </c>
      <c r="AY55" s="84">
        <v>1.0</v>
      </c>
      <c r="AZ55" s="84">
        <v>41.0</v>
      </c>
      <c r="BB55" s="84">
        <v>25.0</v>
      </c>
      <c r="BC55" s="84" t="s">
        <v>5267</v>
      </c>
      <c r="BH55" s="84">
        <v>60.0</v>
      </c>
      <c r="BI55" s="84" t="s">
        <v>5268</v>
      </c>
    </row>
    <row r="56" ht="12.75" customHeight="1">
      <c r="A56" s="84">
        <v>54.0</v>
      </c>
      <c r="B56" s="84" t="s">
        <v>2645</v>
      </c>
      <c r="C56" s="84">
        <v>1.0</v>
      </c>
      <c r="D56" s="84" t="s">
        <v>4942</v>
      </c>
      <c r="E56" s="84">
        <v>11.0</v>
      </c>
      <c r="F56" s="84" t="s">
        <v>5131</v>
      </c>
      <c r="G56" s="84">
        <v>0.0</v>
      </c>
      <c r="H56" s="84">
        <v>101.0</v>
      </c>
      <c r="I56" s="84">
        <v>30.0</v>
      </c>
      <c r="N56" s="84">
        <v>0.0</v>
      </c>
      <c r="O56" s="84">
        <v>0.0</v>
      </c>
      <c r="P56" s="84">
        <v>0.0</v>
      </c>
      <c r="U56" s="84">
        <v>46.0</v>
      </c>
      <c r="X56" s="84">
        <v>12.0</v>
      </c>
      <c r="AH56" s="84">
        <v>0.0</v>
      </c>
      <c r="AI56" s="84">
        <v>0.0</v>
      </c>
      <c r="AJ56" s="84">
        <v>0.0</v>
      </c>
      <c r="AK56" s="84">
        <v>0.0</v>
      </c>
      <c r="AL56" s="84">
        <v>0.0</v>
      </c>
      <c r="AM56" s="84">
        <v>1.0</v>
      </c>
      <c r="AN56" s="84">
        <v>0.0</v>
      </c>
      <c r="AO56" s="84">
        <v>0.0</v>
      </c>
      <c r="AP56" s="84">
        <v>0.0</v>
      </c>
      <c r="AQ56" s="84">
        <v>0.0</v>
      </c>
      <c r="AR56" s="84">
        <v>0.0</v>
      </c>
      <c r="AS56" s="84">
        <v>0.0</v>
      </c>
      <c r="AT56" s="84">
        <v>0.0</v>
      </c>
      <c r="AU56" s="84">
        <v>0.0</v>
      </c>
      <c r="AV56" s="84">
        <v>0.0</v>
      </c>
      <c r="AW56" s="84">
        <v>0.0</v>
      </c>
      <c r="AX56" s="84">
        <v>0.0</v>
      </c>
      <c r="AY56" s="84">
        <v>1.0</v>
      </c>
      <c r="AZ56" s="84">
        <v>16.0</v>
      </c>
      <c r="BB56" s="84">
        <v>26.0</v>
      </c>
      <c r="BC56" s="84" t="s">
        <v>5269</v>
      </c>
      <c r="BH56" s="84">
        <v>61.0</v>
      </c>
      <c r="BI56" s="84" t="s">
        <v>5270</v>
      </c>
    </row>
    <row r="57" ht="12.75" customHeight="1">
      <c r="A57" s="84">
        <v>55.0</v>
      </c>
      <c r="B57" s="84" t="s">
        <v>3117</v>
      </c>
      <c r="C57" s="84">
        <v>1.0</v>
      </c>
      <c r="D57" s="84" t="s">
        <v>4908</v>
      </c>
      <c r="E57" s="84">
        <v>0.0</v>
      </c>
      <c r="F57" s="84" t="s">
        <v>5172</v>
      </c>
      <c r="G57" s="84">
        <v>40.0</v>
      </c>
      <c r="H57" s="84">
        <v>100.0</v>
      </c>
      <c r="I57" s="84">
        <v>25.0</v>
      </c>
      <c r="N57" s="84">
        <v>0.0</v>
      </c>
      <c r="O57" s="84">
        <v>0.0</v>
      </c>
      <c r="P57" s="84">
        <v>0.0</v>
      </c>
      <c r="U57" s="84">
        <v>0.0</v>
      </c>
      <c r="X57" s="84">
        <v>0.0</v>
      </c>
      <c r="AH57" s="84">
        <v>0.0</v>
      </c>
      <c r="AI57" s="84">
        <v>0.0</v>
      </c>
      <c r="AJ57" s="84">
        <v>0.0</v>
      </c>
      <c r="AK57" s="84">
        <v>1.0</v>
      </c>
      <c r="AL57" s="84">
        <v>0.0</v>
      </c>
      <c r="AM57" s="84">
        <v>0.0</v>
      </c>
      <c r="AN57" s="84">
        <v>1.0</v>
      </c>
      <c r="AO57" s="84">
        <v>0.0</v>
      </c>
      <c r="AP57" s="84">
        <v>0.0</v>
      </c>
      <c r="AQ57" s="84">
        <v>0.0</v>
      </c>
      <c r="AR57" s="84">
        <v>0.0</v>
      </c>
      <c r="AS57" s="84">
        <v>0.0</v>
      </c>
      <c r="AT57" s="84">
        <v>0.0</v>
      </c>
      <c r="AU57" s="84">
        <v>0.0</v>
      </c>
      <c r="AV57" s="84">
        <v>0.0</v>
      </c>
      <c r="AW57" s="84">
        <v>0.0</v>
      </c>
      <c r="AX57" s="84">
        <v>0.0</v>
      </c>
      <c r="AY57" s="84">
        <v>1.0</v>
      </c>
      <c r="AZ57" s="84">
        <v>33.0</v>
      </c>
      <c r="BB57" s="84">
        <v>27.0</v>
      </c>
      <c r="BC57" s="84" t="s">
        <v>5271</v>
      </c>
      <c r="BH57" s="84">
        <v>62.0</v>
      </c>
      <c r="BI57" s="84" t="s">
        <v>5272</v>
      </c>
    </row>
    <row r="58" ht="12.75" customHeight="1">
      <c r="A58" s="84">
        <v>56.0</v>
      </c>
      <c r="B58" s="84" t="s">
        <v>3341</v>
      </c>
      <c r="C58" s="84">
        <v>1.0</v>
      </c>
      <c r="D58" s="84" t="s">
        <v>4908</v>
      </c>
      <c r="E58" s="84">
        <v>0.0</v>
      </c>
      <c r="F58" s="84" t="s">
        <v>5172</v>
      </c>
      <c r="G58" s="84">
        <v>110.0</v>
      </c>
      <c r="H58" s="84">
        <v>80.0</v>
      </c>
      <c r="I58" s="84">
        <v>5.0</v>
      </c>
      <c r="N58" s="84">
        <v>0.0</v>
      </c>
      <c r="O58" s="84">
        <v>0.0</v>
      </c>
      <c r="P58" s="84">
        <v>0.0</v>
      </c>
      <c r="U58" s="84">
        <v>0.0</v>
      </c>
      <c r="X58" s="84">
        <v>0.0</v>
      </c>
      <c r="AH58" s="84">
        <v>0.0</v>
      </c>
      <c r="AI58" s="84">
        <v>0.0</v>
      </c>
      <c r="AJ58" s="84">
        <v>0.0</v>
      </c>
      <c r="AK58" s="84">
        <v>1.0</v>
      </c>
      <c r="AL58" s="84">
        <v>0.0</v>
      </c>
      <c r="AM58" s="84">
        <v>0.0</v>
      </c>
      <c r="AN58" s="84">
        <v>1.0</v>
      </c>
      <c r="AO58" s="84">
        <v>0.0</v>
      </c>
      <c r="AP58" s="84">
        <v>0.0</v>
      </c>
      <c r="AQ58" s="84">
        <v>0.0</v>
      </c>
      <c r="AR58" s="84">
        <v>0.0</v>
      </c>
      <c r="AS58" s="84">
        <v>0.0</v>
      </c>
      <c r="AT58" s="84">
        <v>0.0</v>
      </c>
      <c r="AU58" s="84">
        <v>0.0</v>
      </c>
      <c r="AV58" s="84">
        <v>0.0</v>
      </c>
      <c r="AW58" s="84">
        <v>0.0</v>
      </c>
      <c r="AX58" s="84">
        <v>0.0</v>
      </c>
      <c r="AY58" s="84">
        <v>1.0</v>
      </c>
      <c r="AZ58" s="84">
        <v>45.0</v>
      </c>
      <c r="BB58" s="84">
        <v>28.0</v>
      </c>
      <c r="BC58" s="84" t="s">
        <v>5273</v>
      </c>
      <c r="BH58" s="84">
        <v>65.0</v>
      </c>
      <c r="BI58" s="84" t="s">
        <v>5274</v>
      </c>
    </row>
    <row r="59" ht="12.75" customHeight="1">
      <c r="A59" s="84">
        <v>57.0</v>
      </c>
      <c r="B59" s="84" t="s">
        <v>2967</v>
      </c>
      <c r="C59" s="84">
        <v>1.0</v>
      </c>
      <c r="D59" s="84" t="s">
        <v>4908</v>
      </c>
      <c r="E59" s="84">
        <v>0.0</v>
      </c>
      <c r="F59" s="84" t="s">
        <v>5172</v>
      </c>
      <c r="G59" s="84">
        <v>90.0</v>
      </c>
      <c r="H59" s="84">
        <v>100.0</v>
      </c>
      <c r="I59" s="84">
        <v>15.0</v>
      </c>
      <c r="N59" s="84">
        <v>0.0</v>
      </c>
      <c r="O59" s="84">
        <v>0.0</v>
      </c>
      <c r="P59" s="84">
        <v>0.0</v>
      </c>
      <c r="U59" s="84">
        <v>257.0</v>
      </c>
      <c r="X59" s="84">
        <v>4.0</v>
      </c>
      <c r="AH59" s="84">
        <v>0.0</v>
      </c>
      <c r="AI59" s="84">
        <v>0.0</v>
      </c>
      <c r="AJ59" s="84">
        <v>0.0</v>
      </c>
      <c r="AK59" s="84">
        <v>1.0</v>
      </c>
      <c r="AL59" s="84">
        <v>0.0</v>
      </c>
      <c r="AM59" s="84">
        <v>0.0</v>
      </c>
      <c r="AN59" s="84">
        <v>1.0</v>
      </c>
      <c r="AO59" s="84">
        <v>0.0</v>
      </c>
      <c r="AP59" s="84">
        <v>0.0</v>
      </c>
      <c r="AQ59" s="84">
        <v>0.0</v>
      </c>
      <c r="AR59" s="84">
        <v>0.0</v>
      </c>
      <c r="AS59" s="84">
        <v>0.0</v>
      </c>
      <c r="AT59" s="84">
        <v>0.0</v>
      </c>
      <c r="AU59" s="84">
        <v>0.0</v>
      </c>
      <c r="AV59" s="84">
        <v>1.0</v>
      </c>
      <c r="AW59" s="84">
        <v>0.0</v>
      </c>
      <c r="AX59" s="84">
        <v>0.0</v>
      </c>
      <c r="AY59" s="84">
        <v>1.0</v>
      </c>
      <c r="AZ59" s="84">
        <v>41.0</v>
      </c>
      <c r="BB59" s="84">
        <v>29.0</v>
      </c>
      <c r="BC59" s="84" t="s">
        <v>5275</v>
      </c>
      <c r="BH59" s="84">
        <v>66.0</v>
      </c>
      <c r="BI59" s="84" t="s">
        <v>5276</v>
      </c>
    </row>
    <row r="60" ht="12.75" customHeight="1">
      <c r="A60" s="84">
        <v>58.0</v>
      </c>
      <c r="B60" s="84" t="s">
        <v>2823</v>
      </c>
      <c r="C60" s="84">
        <v>1.0</v>
      </c>
      <c r="D60" s="84" t="s">
        <v>4942</v>
      </c>
      <c r="E60" s="84">
        <v>4.0</v>
      </c>
      <c r="F60" s="84" t="s">
        <v>5172</v>
      </c>
      <c r="G60" s="84">
        <v>90.0</v>
      </c>
      <c r="H60" s="84">
        <v>100.0</v>
      </c>
      <c r="I60" s="84">
        <v>10.0</v>
      </c>
      <c r="M60" s="84" t="s">
        <v>5155</v>
      </c>
      <c r="N60" s="84">
        <v>3.0</v>
      </c>
      <c r="O60" s="84">
        <v>10.0</v>
      </c>
      <c r="P60" s="84">
        <v>1.0</v>
      </c>
      <c r="U60" s="84">
        <v>5.0</v>
      </c>
      <c r="X60" s="84">
        <v>0.0</v>
      </c>
      <c r="AH60" s="84">
        <v>0.0</v>
      </c>
      <c r="AI60" s="84">
        <v>0.0</v>
      </c>
      <c r="AJ60" s="84">
        <v>0.0</v>
      </c>
      <c r="AK60" s="84">
        <v>1.0</v>
      </c>
      <c r="AL60" s="84">
        <v>0.0</v>
      </c>
      <c r="AM60" s="84">
        <v>0.0</v>
      </c>
      <c r="AN60" s="84">
        <v>1.0</v>
      </c>
      <c r="AO60" s="84">
        <v>0.0</v>
      </c>
      <c r="AP60" s="84">
        <v>0.0</v>
      </c>
      <c r="AQ60" s="84">
        <v>0.0</v>
      </c>
      <c r="AR60" s="84">
        <v>0.0</v>
      </c>
      <c r="AS60" s="84">
        <v>0.0</v>
      </c>
      <c r="AT60" s="84">
        <v>0.0</v>
      </c>
      <c r="AU60" s="84">
        <v>0.0</v>
      </c>
      <c r="AV60" s="84">
        <v>0.0</v>
      </c>
      <c r="AW60" s="84">
        <v>0.0</v>
      </c>
      <c r="AX60" s="84">
        <v>0.0</v>
      </c>
      <c r="AY60" s="84">
        <v>1.0</v>
      </c>
      <c r="AZ60" s="84">
        <v>41.0</v>
      </c>
      <c r="BB60" s="84">
        <v>30.0</v>
      </c>
      <c r="BC60" s="84" t="s">
        <v>5277</v>
      </c>
      <c r="BH60" s="84">
        <v>67.0</v>
      </c>
      <c r="BI60" s="84" t="s">
        <v>5278</v>
      </c>
    </row>
    <row r="61" ht="12.75" customHeight="1">
      <c r="A61" s="84">
        <v>59.0</v>
      </c>
      <c r="B61" s="84" t="s">
        <v>3047</v>
      </c>
      <c r="C61" s="84">
        <v>1.0</v>
      </c>
      <c r="D61" s="84" t="s">
        <v>4942</v>
      </c>
      <c r="E61" s="84">
        <v>4.0</v>
      </c>
      <c r="F61" s="84" t="s">
        <v>5172</v>
      </c>
      <c r="G61" s="84">
        <v>110.0</v>
      </c>
      <c r="H61" s="84">
        <v>70.0</v>
      </c>
      <c r="I61" s="84">
        <v>5.0</v>
      </c>
      <c r="M61" s="84" t="s">
        <v>5155</v>
      </c>
      <c r="N61" s="84">
        <v>3.0</v>
      </c>
      <c r="O61" s="84">
        <v>10.0</v>
      </c>
      <c r="P61" s="84">
        <v>1.0</v>
      </c>
      <c r="U61" s="84">
        <v>260.0</v>
      </c>
      <c r="X61" s="84">
        <v>5.0</v>
      </c>
      <c r="AH61" s="84">
        <v>0.0</v>
      </c>
      <c r="AI61" s="84">
        <v>0.0</v>
      </c>
      <c r="AJ61" s="84">
        <v>0.0</v>
      </c>
      <c r="AK61" s="84">
        <v>1.0</v>
      </c>
      <c r="AL61" s="84">
        <v>0.0</v>
      </c>
      <c r="AM61" s="84">
        <v>0.0</v>
      </c>
      <c r="AN61" s="84">
        <v>1.0</v>
      </c>
      <c r="AO61" s="84">
        <v>0.0</v>
      </c>
      <c r="AP61" s="84">
        <v>0.0</v>
      </c>
      <c r="AQ61" s="84">
        <v>0.0</v>
      </c>
      <c r="AR61" s="84">
        <v>0.0</v>
      </c>
      <c r="AS61" s="84">
        <v>0.0</v>
      </c>
      <c r="AT61" s="84">
        <v>0.0</v>
      </c>
      <c r="AU61" s="84">
        <v>0.0</v>
      </c>
      <c r="AV61" s="84">
        <v>0.0</v>
      </c>
      <c r="AW61" s="84">
        <v>0.0</v>
      </c>
      <c r="AX61" s="84">
        <v>0.0</v>
      </c>
      <c r="AY61" s="84">
        <v>1.0</v>
      </c>
      <c r="AZ61" s="84">
        <v>46.0</v>
      </c>
      <c r="BB61" s="84">
        <v>31.0</v>
      </c>
      <c r="BC61" s="84" t="s">
        <v>5279</v>
      </c>
      <c r="BH61" s="84">
        <v>68.0</v>
      </c>
      <c r="BI61" s="84" t="s">
        <v>5280</v>
      </c>
    </row>
    <row r="62" ht="12.75" customHeight="1">
      <c r="A62" s="84">
        <v>60.0</v>
      </c>
      <c r="B62" s="84" t="s">
        <v>2772</v>
      </c>
      <c r="C62" s="84">
        <v>1.0</v>
      </c>
      <c r="D62" s="84" t="s">
        <v>2659</v>
      </c>
      <c r="E62" s="84">
        <v>4.0</v>
      </c>
      <c r="F62" s="84" t="s">
        <v>5172</v>
      </c>
      <c r="G62" s="84">
        <v>65.0</v>
      </c>
      <c r="H62" s="84">
        <v>100.0</v>
      </c>
      <c r="I62" s="84">
        <v>20.0</v>
      </c>
      <c r="M62" s="84" t="s">
        <v>5281</v>
      </c>
      <c r="N62" s="84">
        <v>6.0</v>
      </c>
      <c r="O62" s="84">
        <v>10.0</v>
      </c>
      <c r="P62" s="84">
        <v>2.0</v>
      </c>
      <c r="Q62" s="84">
        <v>2.0</v>
      </c>
      <c r="R62" s="84">
        <v>5.0</v>
      </c>
      <c r="U62" s="84">
        <v>76.0</v>
      </c>
      <c r="X62" s="84">
        <v>0.0</v>
      </c>
      <c r="AH62" s="84">
        <v>0.0</v>
      </c>
      <c r="AI62" s="84">
        <v>0.0</v>
      </c>
      <c r="AJ62" s="84">
        <v>0.0</v>
      </c>
      <c r="AK62" s="84">
        <v>1.0</v>
      </c>
      <c r="AL62" s="84">
        <v>0.0</v>
      </c>
      <c r="AM62" s="84">
        <v>0.0</v>
      </c>
      <c r="AN62" s="84">
        <v>1.0</v>
      </c>
      <c r="AO62" s="84">
        <v>0.0</v>
      </c>
      <c r="AP62" s="84">
        <v>0.0</v>
      </c>
      <c r="AQ62" s="84">
        <v>0.0</v>
      </c>
      <c r="AR62" s="84">
        <v>0.0</v>
      </c>
      <c r="AS62" s="84">
        <v>0.0</v>
      </c>
      <c r="AT62" s="84">
        <v>0.0</v>
      </c>
      <c r="AU62" s="84">
        <v>0.0</v>
      </c>
      <c r="AV62" s="84">
        <v>0.0</v>
      </c>
      <c r="AW62" s="84">
        <v>0.0</v>
      </c>
      <c r="AX62" s="84">
        <v>0.0</v>
      </c>
      <c r="AY62" s="84">
        <v>1.0</v>
      </c>
      <c r="AZ62" s="84">
        <v>40.0</v>
      </c>
      <c r="BB62" s="84">
        <v>32.0</v>
      </c>
      <c r="BC62" s="84" t="s">
        <v>5282</v>
      </c>
      <c r="BH62" s="84">
        <v>69.0</v>
      </c>
      <c r="BI62" s="84" t="s">
        <v>5283</v>
      </c>
    </row>
    <row r="63" ht="12.75" customHeight="1">
      <c r="A63" s="84">
        <v>61.0</v>
      </c>
      <c r="B63" s="84" t="s">
        <v>2643</v>
      </c>
      <c r="C63" s="84">
        <v>1.0</v>
      </c>
      <c r="D63" s="84" t="s">
        <v>4908</v>
      </c>
      <c r="E63" s="84">
        <v>6.0</v>
      </c>
      <c r="F63" s="84" t="s">
        <v>5172</v>
      </c>
      <c r="G63" s="84">
        <v>65.0</v>
      </c>
      <c r="H63" s="84">
        <v>100.0</v>
      </c>
      <c r="I63" s="84">
        <v>20.0</v>
      </c>
      <c r="N63" s="84">
        <v>0.0</v>
      </c>
      <c r="O63" s="84">
        <v>0.0</v>
      </c>
      <c r="P63" s="84">
        <v>0.0</v>
      </c>
      <c r="U63" s="84">
        <v>70.0</v>
      </c>
      <c r="X63" s="84">
        <v>0.0</v>
      </c>
      <c r="Y63" s="84" t="s">
        <v>5073</v>
      </c>
      <c r="Z63" s="84">
        <v>-1.0</v>
      </c>
      <c r="AA63" s="84">
        <v>10.0</v>
      </c>
      <c r="AH63" s="84">
        <v>0.0</v>
      </c>
      <c r="AI63" s="84">
        <v>0.0</v>
      </c>
      <c r="AJ63" s="84">
        <v>0.0</v>
      </c>
      <c r="AK63" s="84">
        <v>1.0</v>
      </c>
      <c r="AL63" s="84">
        <v>0.0</v>
      </c>
      <c r="AM63" s="84">
        <v>0.0</v>
      </c>
      <c r="AN63" s="84">
        <v>1.0</v>
      </c>
      <c r="AO63" s="84">
        <v>0.0</v>
      </c>
      <c r="AP63" s="84">
        <v>0.0</v>
      </c>
      <c r="AQ63" s="84">
        <v>0.0</v>
      </c>
      <c r="AR63" s="84">
        <v>0.0</v>
      </c>
      <c r="AS63" s="84">
        <v>0.0</v>
      </c>
      <c r="AT63" s="84">
        <v>0.0</v>
      </c>
      <c r="AU63" s="84">
        <v>0.0</v>
      </c>
      <c r="AV63" s="84">
        <v>0.0</v>
      </c>
      <c r="AW63" s="84">
        <v>0.0</v>
      </c>
      <c r="AX63" s="84">
        <v>0.0</v>
      </c>
      <c r="AY63" s="84">
        <v>1.0</v>
      </c>
      <c r="AZ63" s="84">
        <v>40.0</v>
      </c>
      <c r="BB63" s="84">
        <v>33.0</v>
      </c>
      <c r="BC63" s="84" t="s">
        <v>5284</v>
      </c>
      <c r="BH63" s="84">
        <v>70.0</v>
      </c>
      <c r="BI63" s="84" t="s">
        <v>5285</v>
      </c>
    </row>
    <row r="64" ht="12.75" customHeight="1">
      <c r="A64" s="84">
        <v>62.0</v>
      </c>
      <c r="B64" s="84" t="s">
        <v>2771</v>
      </c>
      <c r="C64" s="84">
        <v>1.0</v>
      </c>
      <c r="D64" s="84" t="s">
        <v>4942</v>
      </c>
      <c r="E64" s="84">
        <v>6.0</v>
      </c>
      <c r="F64" s="84" t="s">
        <v>5172</v>
      </c>
      <c r="G64" s="84">
        <v>65.0</v>
      </c>
      <c r="H64" s="84">
        <v>100.0</v>
      </c>
      <c r="I64" s="84">
        <v>20.0</v>
      </c>
      <c r="N64" s="84">
        <v>0.0</v>
      </c>
      <c r="O64" s="84">
        <v>0.0</v>
      </c>
      <c r="P64" s="84">
        <v>0.0</v>
      </c>
      <c r="U64" s="84">
        <v>68.0</v>
      </c>
      <c r="X64" s="84">
        <v>0.0</v>
      </c>
      <c r="Y64" s="84" t="s">
        <v>20</v>
      </c>
      <c r="Z64" s="84">
        <v>-1.0</v>
      </c>
      <c r="AA64" s="84">
        <v>10.0</v>
      </c>
      <c r="AH64" s="84">
        <v>0.0</v>
      </c>
      <c r="AI64" s="84">
        <v>0.0</v>
      </c>
      <c r="AJ64" s="84">
        <v>0.0</v>
      </c>
      <c r="AK64" s="84">
        <v>1.0</v>
      </c>
      <c r="AL64" s="84">
        <v>0.0</v>
      </c>
      <c r="AM64" s="84">
        <v>0.0</v>
      </c>
      <c r="AN64" s="84">
        <v>1.0</v>
      </c>
      <c r="AO64" s="84">
        <v>0.0</v>
      </c>
      <c r="AP64" s="84">
        <v>0.0</v>
      </c>
      <c r="AQ64" s="84">
        <v>0.0</v>
      </c>
      <c r="AR64" s="84">
        <v>0.0</v>
      </c>
      <c r="AS64" s="84">
        <v>0.0</v>
      </c>
      <c r="AT64" s="84">
        <v>0.0</v>
      </c>
      <c r="AU64" s="84">
        <v>0.0</v>
      </c>
      <c r="AV64" s="84">
        <v>0.0</v>
      </c>
      <c r="AW64" s="84">
        <v>0.0</v>
      </c>
      <c r="AX64" s="84">
        <v>0.0</v>
      </c>
      <c r="AY64" s="84">
        <v>1.0</v>
      </c>
      <c r="AZ64" s="84">
        <v>40.0</v>
      </c>
      <c r="BB64" s="84">
        <v>34.0</v>
      </c>
      <c r="BC64" s="84" t="s">
        <v>5286</v>
      </c>
      <c r="BH64" s="84">
        <v>71.0</v>
      </c>
      <c r="BI64" s="84" t="s">
        <v>5287</v>
      </c>
    </row>
    <row r="65" ht="12.75" customHeight="1">
      <c r="A65" s="84">
        <v>63.0</v>
      </c>
      <c r="B65" s="84" t="s">
        <v>3994</v>
      </c>
      <c r="C65" s="84">
        <v>1.0</v>
      </c>
      <c r="D65" s="84" t="s">
        <v>4916</v>
      </c>
      <c r="E65" s="84">
        <v>0.0</v>
      </c>
      <c r="F65" s="84" t="s">
        <v>5172</v>
      </c>
      <c r="G65" s="84">
        <v>150.0</v>
      </c>
      <c r="H65" s="84">
        <v>90.0</v>
      </c>
      <c r="I65" s="84">
        <v>5.0</v>
      </c>
      <c r="N65" s="84">
        <v>0.0</v>
      </c>
      <c r="O65" s="84">
        <v>0.0</v>
      </c>
      <c r="P65" s="84">
        <v>0.0</v>
      </c>
      <c r="U65" s="84">
        <v>80.0</v>
      </c>
      <c r="X65" s="84">
        <v>0.0</v>
      </c>
      <c r="AH65" s="84">
        <v>0.0</v>
      </c>
      <c r="AI65" s="84">
        <v>0.0</v>
      </c>
      <c r="AJ65" s="84">
        <v>1.0</v>
      </c>
      <c r="AK65" s="84">
        <v>1.0</v>
      </c>
      <c r="AL65" s="84">
        <v>0.0</v>
      </c>
      <c r="AM65" s="84">
        <v>0.0</v>
      </c>
      <c r="AN65" s="84">
        <v>1.0</v>
      </c>
      <c r="AO65" s="84">
        <v>0.0</v>
      </c>
      <c r="AP65" s="84">
        <v>0.0</v>
      </c>
      <c r="AQ65" s="84">
        <v>0.0</v>
      </c>
      <c r="AR65" s="84">
        <v>0.0</v>
      </c>
      <c r="AS65" s="84">
        <v>0.0</v>
      </c>
      <c r="AT65" s="84">
        <v>0.0</v>
      </c>
      <c r="AU65" s="84">
        <v>0.0</v>
      </c>
      <c r="AV65" s="84">
        <v>0.0</v>
      </c>
      <c r="AW65" s="84">
        <v>0.0</v>
      </c>
      <c r="AX65" s="84">
        <v>0.0</v>
      </c>
      <c r="AY65" s="84">
        <v>1.0</v>
      </c>
      <c r="AZ65" s="84">
        <v>47.0</v>
      </c>
      <c r="BB65" s="84">
        <v>35.0</v>
      </c>
      <c r="BC65" s="84" t="s">
        <v>5288</v>
      </c>
      <c r="BH65" s="84">
        <v>72.0</v>
      </c>
      <c r="BI65" s="84" t="s">
        <v>5289</v>
      </c>
    </row>
    <row r="66" ht="12.75" customHeight="1">
      <c r="A66" s="84">
        <v>64.0</v>
      </c>
      <c r="B66" s="84" t="s">
        <v>2644</v>
      </c>
      <c r="C66" s="84">
        <v>1.0</v>
      </c>
      <c r="D66" s="84" t="s">
        <v>4907</v>
      </c>
      <c r="E66" s="84">
        <v>0.0</v>
      </c>
      <c r="F66" s="84" t="s">
        <v>5135</v>
      </c>
      <c r="G66" s="84">
        <v>35.0</v>
      </c>
      <c r="H66" s="84">
        <v>100.0</v>
      </c>
      <c r="I66" s="84">
        <v>35.0</v>
      </c>
      <c r="N66" s="84">
        <v>0.0</v>
      </c>
      <c r="O66" s="84">
        <v>0.0</v>
      </c>
      <c r="P66" s="84">
        <v>0.0</v>
      </c>
      <c r="U66" s="84">
        <v>0.0</v>
      </c>
      <c r="X66" s="84">
        <v>0.0</v>
      </c>
      <c r="AH66" s="84">
        <v>1.0</v>
      </c>
      <c r="AI66" s="84">
        <v>0.0</v>
      </c>
      <c r="AJ66" s="84">
        <v>0.0</v>
      </c>
      <c r="AK66" s="84">
        <v>1.0</v>
      </c>
      <c r="AL66" s="84">
        <v>0.0</v>
      </c>
      <c r="AM66" s="84">
        <v>0.0</v>
      </c>
      <c r="AN66" s="84">
        <v>1.0</v>
      </c>
      <c r="AO66" s="84">
        <v>0.0</v>
      </c>
      <c r="AP66" s="84">
        <v>0.0</v>
      </c>
      <c r="AQ66" s="84">
        <v>0.0</v>
      </c>
      <c r="AR66" s="84">
        <v>0.0</v>
      </c>
      <c r="AS66" s="84">
        <v>1.0</v>
      </c>
      <c r="AT66" s="84">
        <v>0.0</v>
      </c>
      <c r="AU66" s="84">
        <v>0.0</v>
      </c>
      <c r="AV66" s="84">
        <v>0.0</v>
      </c>
      <c r="AW66" s="84">
        <v>0.0</v>
      </c>
      <c r="AX66" s="84">
        <v>0.0</v>
      </c>
      <c r="AY66" s="84">
        <v>1.0</v>
      </c>
      <c r="AZ66" s="84">
        <v>30.0</v>
      </c>
      <c r="BB66" s="84">
        <v>36.0</v>
      </c>
      <c r="BC66" s="84" t="s">
        <v>5290</v>
      </c>
      <c r="BH66" s="84">
        <v>73.0</v>
      </c>
      <c r="BI66" s="84" t="s">
        <v>5291</v>
      </c>
    </row>
    <row r="67" ht="12.75" customHeight="1">
      <c r="A67" s="84">
        <v>65.0</v>
      </c>
      <c r="B67" s="84" t="s">
        <v>3447</v>
      </c>
      <c r="C67" s="84">
        <v>1.0</v>
      </c>
      <c r="D67" s="84" t="s">
        <v>4907</v>
      </c>
      <c r="E67" s="84">
        <v>0.0</v>
      </c>
      <c r="F67" s="84" t="s">
        <v>5135</v>
      </c>
      <c r="G67" s="84">
        <v>80.0</v>
      </c>
      <c r="H67" s="84">
        <v>100.0</v>
      </c>
      <c r="I67" s="84">
        <v>20.0</v>
      </c>
      <c r="N67" s="84">
        <v>0.0</v>
      </c>
      <c r="O67" s="84">
        <v>0.0</v>
      </c>
      <c r="P67" s="84">
        <v>0.0</v>
      </c>
      <c r="U67" s="84">
        <v>0.0</v>
      </c>
      <c r="X67" s="84">
        <v>0.0</v>
      </c>
      <c r="AH67" s="84">
        <v>1.0</v>
      </c>
      <c r="AI67" s="84">
        <v>0.0</v>
      </c>
      <c r="AJ67" s="84">
        <v>0.0</v>
      </c>
      <c r="AK67" s="84">
        <v>1.0</v>
      </c>
      <c r="AL67" s="84">
        <v>0.0</v>
      </c>
      <c r="AM67" s="84">
        <v>0.0</v>
      </c>
      <c r="AN67" s="84">
        <v>1.0</v>
      </c>
      <c r="AO67" s="84">
        <v>0.0</v>
      </c>
      <c r="AP67" s="84">
        <v>0.0</v>
      </c>
      <c r="AQ67" s="84">
        <v>0.0</v>
      </c>
      <c r="AR67" s="84">
        <v>0.0</v>
      </c>
      <c r="AS67" s="84">
        <v>1.0</v>
      </c>
      <c r="AT67" s="84">
        <v>0.0</v>
      </c>
      <c r="AU67" s="84">
        <v>0.0</v>
      </c>
      <c r="AV67" s="84">
        <v>0.0</v>
      </c>
      <c r="AW67" s="84">
        <v>0.0</v>
      </c>
      <c r="AX67" s="84">
        <v>0.0</v>
      </c>
      <c r="AY67" s="84">
        <v>1.0</v>
      </c>
      <c r="AZ67" s="84">
        <v>37.0</v>
      </c>
      <c r="BB67" s="84">
        <v>37.0</v>
      </c>
      <c r="BC67" s="84" t="s">
        <v>5292</v>
      </c>
      <c r="BH67" s="84">
        <v>75.0</v>
      </c>
      <c r="BI67" s="84" t="s">
        <v>5293</v>
      </c>
    </row>
    <row r="68" ht="12.75" customHeight="1">
      <c r="A68" s="84">
        <v>66.0</v>
      </c>
      <c r="B68" s="84" t="s">
        <v>5294</v>
      </c>
      <c r="C68" s="84">
        <v>1.0</v>
      </c>
      <c r="D68" s="84" t="s">
        <v>4935</v>
      </c>
      <c r="E68" s="84">
        <v>0.0</v>
      </c>
      <c r="F68" s="84" t="s">
        <v>5135</v>
      </c>
      <c r="G68" s="84">
        <v>80.0</v>
      </c>
      <c r="H68" s="84">
        <v>80.0</v>
      </c>
      <c r="I68" s="84">
        <v>20.0</v>
      </c>
      <c r="N68" s="84">
        <v>0.0</v>
      </c>
      <c r="O68" s="84">
        <v>0.0</v>
      </c>
      <c r="P68" s="84">
        <v>0.0</v>
      </c>
      <c r="U68" s="84">
        <v>48.0</v>
      </c>
      <c r="V68" s="84">
        <v>-25.0</v>
      </c>
      <c r="X68" s="84">
        <v>0.0</v>
      </c>
      <c r="AH68" s="84">
        <v>1.0</v>
      </c>
      <c r="AI68" s="84">
        <v>0.0</v>
      </c>
      <c r="AJ68" s="84">
        <v>0.0</v>
      </c>
      <c r="AK68" s="84">
        <v>1.0</v>
      </c>
      <c r="AL68" s="84">
        <v>0.0</v>
      </c>
      <c r="AM68" s="84">
        <v>0.0</v>
      </c>
      <c r="AN68" s="84">
        <v>1.0</v>
      </c>
      <c r="AO68" s="84">
        <v>0.0</v>
      </c>
      <c r="AP68" s="84">
        <v>0.0</v>
      </c>
      <c r="AQ68" s="84">
        <v>0.0</v>
      </c>
      <c r="AR68" s="84">
        <v>0.0</v>
      </c>
      <c r="AS68" s="84">
        <v>0.0</v>
      </c>
      <c r="AT68" s="84">
        <v>0.0</v>
      </c>
      <c r="AU68" s="84">
        <v>0.0</v>
      </c>
      <c r="AV68" s="84">
        <v>0.0</v>
      </c>
      <c r="AW68" s="84">
        <v>0.0</v>
      </c>
      <c r="AX68" s="84">
        <v>0.0</v>
      </c>
      <c r="AY68" s="84">
        <v>1.0</v>
      </c>
      <c r="AZ68" s="84">
        <v>37.0</v>
      </c>
      <c r="BB68" s="84">
        <v>38.0</v>
      </c>
      <c r="BC68" s="84" t="s">
        <v>5295</v>
      </c>
      <c r="BH68" s="84">
        <v>76.0</v>
      </c>
      <c r="BI68" s="84" t="s">
        <v>5296</v>
      </c>
    </row>
    <row r="69" ht="12.75" customHeight="1">
      <c r="A69" s="84">
        <v>67.0</v>
      </c>
      <c r="B69" s="84" t="s">
        <v>2727</v>
      </c>
      <c r="C69" s="84">
        <v>1.0</v>
      </c>
      <c r="D69" s="84" t="s">
        <v>4935</v>
      </c>
      <c r="E69" s="84">
        <v>0.0</v>
      </c>
      <c r="F69" s="84" t="s">
        <v>5135</v>
      </c>
      <c r="G69" s="84">
        <v>1.0</v>
      </c>
      <c r="H69" s="84">
        <v>100.0</v>
      </c>
      <c r="I69" s="84">
        <v>20.0</v>
      </c>
      <c r="N69" s="84">
        <v>0.0</v>
      </c>
      <c r="O69" s="84">
        <v>0.0</v>
      </c>
      <c r="P69" s="84">
        <v>0.0</v>
      </c>
      <c r="U69" s="84">
        <v>196.0</v>
      </c>
      <c r="X69" s="84">
        <v>0.0</v>
      </c>
      <c r="AH69" s="84">
        <v>1.0</v>
      </c>
      <c r="AI69" s="84">
        <v>0.0</v>
      </c>
      <c r="AJ69" s="84">
        <v>0.0</v>
      </c>
      <c r="AK69" s="84">
        <v>1.0</v>
      </c>
      <c r="AL69" s="84">
        <v>0.0</v>
      </c>
      <c r="AM69" s="84">
        <v>0.0</v>
      </c>
      <c r="AN69" s="84">
        <v>1.0</v>
      </c>
      <c r="AO69" s="84">
        <v>0.0</v>
      </c>
      <c r="AP69" s="84">
        <v>0.0</v>
      </c>
      <c r="AQ69" s="84">
        <v>0.0</v>
      </c>
      <c r="AR69" s="84">
        <v>0.0</v>
      </c>
      <c r="AS69" s="84">
        <v>0.0</v>
      </c>
      <c r="AT69" s="84">
        <v>0.0</v>
      </c>
      <c r="AU69" s="84">
        <v>0.0</v>
      </c>
      <c r="AV69" s="84">
        <v>0.0</v>
      </c>
      <c r="AW69" s="84">
        <v>0.0</v>
      </c>
      <c r="AX69" s="84">
        <v>0.0</v>
      </c>
      <c r="AY69" s="84">
        <v>1.0</v>
      </c>
      <c r="AZ69" s="84">
        <v>48.0</v>
      </c>
      <c r="BB69" s="84">
        <v>39.0</v>
      </c>
      <c r="BC69" s="84" t="s">
        <v>5297</v>
      </c>
      <c r="BH69" s="84">
        <v>77.0</v>
      </c>
      <c r="BI69" s="84" t="s">
        <v>5298</v>
      </c>
    </row>
    <row r="70" ht="12.75" customHeight="1">
      <c r="A70" s="84">
        <v>68.0</v>
      </c>
      <c r="B70" s="84" t="s">
        <v>2718</v>
      </c>
      <c r="C70" s="84">
        <v>1.0</v>
      </c>
      <c r="D70" s="84" t="s">
        <v>4935</v>
      </c>
      <c r="E70" s="84">
        <v>0.0</v>
      </c>
      <c r="F70" s="84" t="s">
        <v>5135</v>
      </c>
      <c r="G70" s="84">
        <v>1.0</v>
      </c>
      <c r="H70" s="84">
        <v>100.0</v>
      </c>
      <c r="I70" s="84">
        <v>20.0</v>
      </c>
      <c r="J70" s="84">
        <v>-5.0</v>
      </c>
      <c r="N70" s="84">
        <v>0.0</v>
      </c>
      <c r="O70" s="84">
        <v>0.0</v>
      </c>
      <c r="P70" s="84">
        <v>0.0</v>
      </c>
      <c r="U70" s="84">
        <v>89.0</v>
      </c>
      <c r="X70" s="84">
        <v>13.0</v>
      </c>
      <c r="AH70" s="84">
        <v>1.0</v>
      </c>
      <c r="AI70" s="84">
        <v>0.0</v>
      </c>
      <c r="AJ70" s="84">
        <v>0.0</v>
      </c>
      <c r="AK70" s="84">
        <v>1.0</v>
      </c>
      <c r="AL70" s="84">
        <v>0.0</v>
      </c>
      <c r="AM70" s="84">
        <v>0.0</v>
      </c>
      <c r="AN70" s="84">
        <v>0.0</v>
      </c>
      <c r="AO70" s="84">
        <v>0.0</v>
      </c>
      <c r="AP70" s="84">
        <v>0.0</v>
      </c>
      <c r="AQ70" s="84">
        <v>0.0</v>
      </c>
      <c r="AR70" s="84">
        <v>0.0</v>
      </c>
      <c r="AS70" s="84">
        <v>0.0</v>
      </c>
      <c r="AT70" s="84">
        <v>0.0</v>
      </c>
      <c r="AU70" s="84">
        <v>0.0</v>
      </c>
      <c r="AV70" s="84">
        <v>0.0</v>
      </c>
      <c r="AW70" s="84">
        <v>0.0</v>
      </c>
      <c r="AX70" s="84">
        <v>0.0</v>
      </c>
      <c r="AY70" s="84">
        <v>0.0</v>
      </c>
      <c r="AZ70" s="84">
        <v>48.0</v>
      </c>
      <c r="BB70" s="84">
        <v>40.0</v>
      </c>
      <c r="BC70" s="84" t="s">
        <v>5299</v>
      </c>
      <c r="BH70" s="84">
        <v>78.0</v>
      </c>
      <c r="BI70" s="84" t="s">
        <v>5300</v>
      </c>
    </row>
    <row r="71" ht="12.75" customHeight="1">
      <c r="A71" s="84">
        <v>69.0</v>
      </c>
      <c r="B71" s="84" t="s">
        <v>2817</v>
      </c>
      <c r="C71" s="84">
        <v>1.0</v>
      </c>
      <c r="D71" s="84" t="s">
        <v>4935</v>
      </c>
      <c r="E71" s="84">
        <v>0.0</v>
      </c>
      <c r="F71" s="84" t="s">
        <v>5135</v>
      </c>
      <c r="G71" s="84">
        <v>1.0</v>
      </c>
      <c r="H71" s="84">
        <v>100.0</v>
      </c>
      <c r="I71" s="84">
        <v>20.0</v>
      </c>
      <c r="N71" s="84">
        <v>0.0</v>
      </c>
      <c r="O71" s="84">
        <v>0.0</v>
      </c>
      <c r="P71" s="84">
        <v>0.0</v>
      </c>
      <c r="U71" s="84">
        <v>87.0</v>
      </c>
      <c r="X71" s="84">
        <v>0.0</v>
      </c>
      <c r="AH71" s="84">
        <v>1.0</v>
      </c>
      <c r="AI71" s="84">
        <v>0.0</v>
      </c>
      <c r="AJ71" s="84">
        <v>0.0</v>
      </c>
      <c r="AK71" s="84">
        <v>1.0</v>
      </c>
      <c r="AL71" s="84">
        <v>0.0</v>
      </c>
      <c r="AM71" s="84">
        <v>0.0</v>
      </c>
      <c r="AN71" s="84">
        <v>1.0</v>
      </c>
      <c r="AO71" s="84">
        <v>0.0</v>
      </c>
      <c r="AP71" s="84">
        <v>0.0</v>
      </c>
      <c r="AQ71" s="84">
        <v>0.0</v>
      </c>
      <c r="AR71" s="84">
        <v>0.0</v>
      </c>
      <c r="AS71" s="84">
        <v>0.0</v>
      </c>
      <c r="AT71" s="84">
        <v>0.0</v>
      </c>
      <c r="AU71" s="84">
        <v>0.0</v>
      </c>
      <c r="AV71" s="84">
        <v>1.0</v>
      </c>
      <c r="AW71" s="84">
        <v>0.0</v>
      </c>
      <c r="AX71" s="84">
        <v>0.0</v>
      </c>
      <c r="AY71" s="84">
        <v>1.0</v>
      </c>
      <c r="AZ71" s="84">
        <v>48.0</v>
      </c>
      <c r="BB71" s="84">
        <v>41.0</v>
      </c>
      <c r="BC71" s="84" t="s">
        <v>5301</v>
      </c>
      <c r="BH71" s="84">
        <v>79.0</v>
      </c>
      <c r="BI71" s="84" t="s">
        <v>5302</v>
      </c>
    </row>
    <row r="72" ht="12.75" customHeight="1">
      <c r="A72" s="84">
        <v>70.0</v>
      </c>
      <c r="B72" s="84" t="s">
        <v>2758</v>
      </c>
      <c r="C72" s="84">
        <v>1.0</v>
      </c>
      <c r="D72" s="84" t="s">
        <v>4916</v>
      </c>
      <c r="E72" s="84">
        <v>0.0</v>
      </c>
      <c r="F72" s="84" t="s">
        <v>5135</v>
      </c>
      <c r="G72" s="84">
        <v>80.0</v>
      </c>
      <c r="H72" s="84">
        <v>100.0</v>
      </c>
      <c r="I72" s="84">
        <v>15.0</v>
      </c>
      <c r="N72" s="84">
        <v>0.0</v>
      </c>
      <c r="O72" s="84">
        <v>0.0</v>
      </c>
      <c r="P72" s="84">
        <v>0.0</v>
      </c>
      <c r="U72" s="84">
        <v>0.0</v>
      </c>
      <c r="X72" s="84">
        <v>0.0</v>
      </c>
      <c r="AH72" s="84">
        <v>1.0</v>
      </c>
      <c r="AI72" s="84">
        <v>0.0</v>
      </c>
      <c r="AJ72" s="84">
        <v>0.0</v>
      </c>
      <c r="AK72" s="84">
        <v>1.0</v>
      </c>
      <c r="AL72" s="84">
        <v>0.0</v>
      </c>
      <c r="AM72" s="84">
        <v>0.0</v>
      </c>
      <c r="AN72" s="84">
        <v>1.0</v>
      </c>
      <c r="AO72" s="84">
        <v>0.0</v>
      </c>
      <c r="AP72" s="84">
        <v>0.0</v>
      </c>
      <c r="AQ72" s="84">
        <v>0.0</v>
      </c>
      <c r="AR72" s="84">
        <v>0.0</v>
      </c>
      <c r="AS72" s="84">
        <v>0.0</v>
      </c>
      <c r="AT72" s="84">
        <v>0.0</v>
      </c>
      <c r="AU72" s="84">
        <v>0.0</v>
      </c>
      <c r="AV72" s="84">
        <v>0.0</v>
      </c>
      <c r="AW72" s="84">
        <v>0.0</v>
      </c>
      <c r="AX72" s="84">
        <v>0.0</v>
      </c>
      <c r="AY72" s="84">
        <v>1.0</v>
      </c>
      <c r="AZ72" s="84">
        <v>38.0</v>
      </c>
      <c r="BB72" s="84">
        <v>42.0</v>
      </c>
      <c r="BC72" s="84" t="s">
        <v>5303</v>
      </c>
      <c r="BH72" s="84">
        <v>80.0</v>
      </c>
      <c r="BI72" s="84" t="s">
        <v>5304</v>
      </c>
    </row>
    <row r="73" ht="12.75" customHeight="1">
      <c r="A73" s="84">
        <v>71.0</v>
      </c>
      <c r="B73" s="84" t="s">
        <v>3072</v>
      </c>
      <c r="C73" s="84">
        <v>1.0</v>
      </c>
      <c r="D73" s="84" t="s">
        <v>4904</v>
      </c>
      <c r="E73" s="84">
        <v>8.0</v>
      </c>
      <c r="F73" s="84" t="s">
        <v>5172</v>
      </c>
      <c r="G73" s="84">
        <v>20.0</v>
      </c>
      <c r="H73" s="84">
        <v>100.0</v>
      </c>
      <c r="I73" s="84">
        <v>25.0</v>
      </c>
      <c r="N73" s="84">
        <v>0.0</v>
      </c>
      <c r="O73" s="84">
        <v>0.0</v>
      </c>
      <c r="P73" s="84">
        <v>0.0</v>
      </c>
      <c r="U73" s="84">
        <v>3.0</v>
      </c>
      <c r="V73" s="84">
        <v>50.0</v>
      </c>
      <c r="X73" s="84">
        <v>0.0</v>
      </c>
      <c r="AH73" s="84">
        <v>0.0</v>
      </c>
      <c r="AI73" s="84">
        <v>0.0</v>
      </c>
      <c r="AJ73" s="84">
        <v>0.0</v>
      </c>
      <c r="AK73" s="84">
        <v>1.0</v>
      </c>
      <c r="AL73" s="84">
        <v>0.0</v>
      </c>
      <c r="AM73" s="84">
        <v>0.0</v>
      </c>
      <c r="AN73" s="84">
        <v>1.0</v>
      </c>
      <c r="AO73" s="84">
        <v>0.0</v>
      </c>
      <c r="AP73" s="84">
        <v>0.0</v>
      </c>
      <c r="AQ73" s="84">
        <v>0.0</v>
      </c>
      <c r="AR73" s="84">
        <v>0.0</v>
      </c>
      <c r="AS73" s="84">
        <v>0.0</v>
      </c>
      <c r="AT73" s="84">
        <v>1.0</v>
      </c>
      <c r="AU73" s="84">
        <v>0.0</v>
      </c>
      <c r="AV73" s="84">
        <v>0.0</v>
      </c>
      <c r="AW73" s="84">
        <v>0.0</v>
      </c>
      <c r="AX73" s="84">
        <v>0.0</v>
      </c>
      <c r="AY73" s="84">
        <v>1.0</v>
      </c>
      <c r="AZ73" s="84">
        <v>34.0</v>
      </c>
      <c r="BH73" s="84">
        <v>81.0</v>
      </c>
      <c r="BI73" s="84" t="s">
        <v>5305</v>
      </c>
    </row>
    <row r="74" ht="12.75" customHeight="1">
      <c r="A74" s="84">
        <v>72.0</v>
      </c>
      <c r="B74" s="84" t="s">
        <v>2613</v>
      </c>
      <c r="C74" s="84">
        <v>1.0</v>
      </c>
      <c r="D74" s="84" t="s">
        <v>4904</v>
      </c>
      <c r="E74" s="84">
        <v>8.0</v>
      </c>
      <c r="F74" s="84" t="s">
        <v>5172</v>
      </c>
      <c r="G74" s="84">
        <v>40.0</v>
      </c>
      <c r="H74" s="84">
        <v>100.0</v>
      </c>
      <c r="I74" s="84">
        <v>15.0</v>
      </c>
      <c r="N74" s="84">
        <v>0.0</v>
      </c>
      <c r="O74" s="84">
        <v>0.0</v>
      </c>
      <c r="P74" s="84">
        <v>0.0</v>
      </c>
      <c r="U74" s="84">
        <v>3.0</v>
      </c>
      <c r="V74" s="84">
        <v>50.0</v>
      </c>
      <c r="X74" s="84">
        <v>0.0</v>
      </c>
      <c r="AH74" s="84">
        <v>0.0</v>
      </c>
      <c r="AI74" s="84">
        <v>0.0</v>
      </c>
      <c r="AJ74" s="84">
        <v>0.0</v>
      </c>
      <c r="AK74" s="84">
        <v>1.0</v>
      </c>
      <c r="AL74" s="84">
        <v>0.0</v>
      </c>
      <c r="AM74" s="84">
        <v>0.0</v>
      </c>
      <c r="AN74" s="84">
        <v>1.0</v>
      </c>
      <c r="AO74" s="84">
        <v>0.0</v>
      </c>
      <c r="AP74" s="84">
        <v>0.0</v>
      </c>
      <c r="AQ74" s="84">
        <v>0.0</v>
      </c>
      <c r="AR74" s="84">
        <v>0.0</v>
      </c>
      <c r="AS74" s="84">
        <v>0.0</v>
      </c>
      <c r="AT74" s="84">
        <v>1.0</v>
      </c>
      <c r="AU74" s="84">
        <v>0.0</v>
      </c>
      <c r="AV74" s="84">
        <v>0.0</v>
      </c>
      <c r="AW74" s="84">
        <v>0.0</v>
      </c>
      <c r="AX74" s="84">
        <v>0.0</v>
      </c>
      <c r="AY74" s="84">
        <v>1.0</v>
      </c>
      <c r="AZ74" s="84">
        <v>34.0</v>
      </c>
      <c r="BH74" s="84">
        <v>82.0</v>
      </c>
      <c r="BI74" s="84" t="s">
        <v>5306</v>
      </c>
    </row>
    <row r="75" ht="12.75" customHeight="1">
      <c r="A75" s="84">
        <v>73.0</v>
      </c>
      <c r="B75" s="84" t="s">
        <v>2575</v>
      </c>
      <c r="C75" s="84">
        <v>1.0</v>
      </c>
      <c r="D75" s="84" t="s">
        <v>4904</v>
      </c>
      <c r="E75" s="84">
        <v>1.0</v>
      </c>
      <c r="F75" s="84" t="s">
        <v>5131</v>
      </c>
      <c r="G75" s="84">
        <v>0.0</v>
      </c>
      <c r="H75" s="84">
        <v>90.0</v>
      </c>
      <c r="I75" s="84">
        <v>10.0</v>
      </c>
      <c r="M75" s="84" t="s">
        <v>5307</v>
      </c>
      <c r="N75" s="84">
        <v>18.0</v>
      </c>
      <c r="O75" s="84">
        <v>0.0</v>
      </c>
      <c r="P75" s="84">
        <v>1.0</v>
      </c>
      <c r="U75" s="84">
        <v>84.0</v>
      </c>
      <c r="X75" s="84">
        <v>0.0</v>
      </c>
      <c r="AH75" s="84">
        <v>0.0</v>
      </c>
      <c r="AI75" s="84">
        <v>0.0</v>
      </c>
      <c r="AJ75" s="84">
        <v>0.0</v>
      </c>
      <c r="AK75" s="84">
        <v>1.0</v>
      </c>
      <c r="AL75" s="84">
        <v>1.0</v>
      </c>
      <c r="AM75" s="84">
        <v>0.0</v>
      </c>
      <c r="AN75" s="84">
        <v>1.0</v>
      </c>
      <c r="AO75" s="84">
        <v>0.0</v>
      </c>
      <c r="AP75" s="84">
        <v>0.0</v>
      </c>
      <c r="AQ75" s="84">
        <v>0.0</v>
      </c>
      <c r="AR75" s="84">
        <v>0.0</v>
      </c>
      <c r="AS75" s="84">
        <v>0.0</v>
      </c>
      <c r="AT75" s="84">
        <v>0.0</v>
      </c>
      <c r="AU75" s="84">
        <v>0.0</v>
      </c>
      <c r="AV75" s="84">
        <v>0.0</v>
      </c>
      <c r="AW75" s="84">
        <v>0.0</v>
      </c>
      <c r="AX75" s="84">
        <v>0.0</v>
      </c>
      <c r="AY75" s="84">
        <v>1.0</v>
      </c>
      <c r="AZ75" s="84">
        <v>14.0</v>
      </c>
      <c r="BH75" s="84">
        <v>83.0</v>
      </c>
      <c r="BI75" s="84" t="s">
        <v>5308</v>
      </c>
    </row>
    <row r="76" ht="12.75" customHeight="1">
      <c r="A76" s="84">
        <v>74.0</v>
      </c>
      <c r="B76" s="84" t="s">
        <v>2707</v>
      </c>
      <c r="C76" s="84">
        <v>1.0</v>
      </c>
      <c r="D76" s="84" t="s">
        <v>4916</v>
      </c>
      <c r="E76" s="84">
        <v>2.0</v>
      </c>
      <c r="F76" s="84" t="s">
        <v>5131</v>
      </c>
      <c r="G76" s="84">
        <v>0.0</v>
      </c>
      <c r="H76" s="84">
        <v>101.0</v>
      </c>
      <c r="I76" s="84">
        <v>20.0</v>
      </c>
      <c r="N76" s="84">
        <v>0.0</v>
      </c>
      <c r="O76" s="84">
        <v>0.0</v>
      </c>
      <c r="P76" s="84">
        <v>0.0</v>
      </c>
      <c r="U76" s="84">
        <v>316.0</v>
      </c>
      <c r="X76" s="84">
        <v>7.0</v>
      </c>
      <c r="Y76" s="84" t="s">
        <v>20</v>
      </c>
      <c r="Z76" s="84">
        <v>1.0</v>
      </c>
      <c r="AB76" s="84" t="s">
        <v>22</v>
      </c>
      <c r="AC76" s="84">
        <v>1.0</v>
      </c>
      <c r="AH76" s="84">
        <v>0.0</v>
      </c>
      <c r="AI76" s="84">
        <v>0.0</v>
      </c>
      <c r="AJ76" s="84">
        <v>0.0</v>
      </c>
      <c r="AK76" s="84">
        <v>0.0</v>
      </c>
      <c r="AL76" s="84">
        <v>0.0</v>
      </c>
      <c r="AM76" s="84">
        <v>1.0</v>
      </c>
      <c r="AN76" s="84">
        <v>0.0</v>
      </c>
      <c r="AO76" s="84">
        <v>0.0</v>
      </c>
      <c r="AP76" s="84">
        <v>0.0</v>
      </c>
      <c r="AQ76" s="84">
        <v>0.0</v>
      </c>
      <c r="AR76" s="84">
        <v>0.0</v>
      </c>
      <c r="AS76" s="84">
        <v>0.0</v>
      </c>
      <c r="AT76" s="84">
        <v>0.0</v>
      </c>
      <c r="AU76" s="84">
        <v>0.0</v>
      </c>
      <c r="AV76" s="84">
        <v>0.0</v>
      </c>
      <c r="AW76" s="84">
        <v>0.0</v>
      </c>
      <c r="AX76" s="84">
        <v>0.0</v>
      </c>
      <c r="AY76" s="84">
        <v>1.0</v>
      </c>
      <c r="AZ76" s="84">
        <v>9.0</v>
      </c>
      <c r="BH76" s="84">
        <v>84.0</v>
      </c>
      <c r="BI76" s="84" t="s">
        <v>5250</v>
      </c>
    </row>
    <row r="77" ht="12.75" customHeight="1">
      <c r="A77" s="84">
        <v>75.0</v>
      </c>
      <c r="B77" s="84" t="s">
        <v>2572</v>
      </c>
      <c r="C77" s="84">
        <v>1.0</v>
      </c>
      <c r="D77" s="84" t="s">
        <v>4904</v>
      </c>
      <c r="E77" s="84">
        <v>0.0</v>
      </c>
      <c r="F77" s="84" t="s">
        <v>5135</v>
      </c>
      <c r="G77" s="84">
        <v>55.0</v>
      </c>
      <c r="H77" s="84">
        <v>95.0</v>
      </c>
      <c r="I77" s="84">
        <v>25.0</v>
      </c>
      <c r="N77" s="84">
        <v>0.0</v>
      </c>
      <c r="O77" s="84">
        <v>0.0</v>
      </c>
      <c r="P77" s="84">
        <v>0.0</v>
      </c>
      <c r="S77" s="84">
        <v>1.0</v>
      </c>
      <c r="U77" s="84">
        <v>43.0</v>
      </c>
      <c r="X77" s="84">
        <v>5.0</v>
      </c>
      <c r="AH77" s="84">
        <v>0.0</v>
      </c>
      <c r="AI77" s="84">
        <v>0.0</v>
      </c>
      <c r="AJ77" s="84">
        <v>0.0</v>
      </c>
      <c r="AK77" s="84">
        <v>1.0</v>
      </c>
      <c r="AL77" s="84">
        <v>0.0</v>
      </c>
      <c r="AM77" s="84">
        <v>0.0</v>
      </c>
      <c r="AN77" s="84">
        <v>1.0</v>
      </c>
      <c r="AO77" s="84">
        <v>0.0</v>
      </c>
      <c r="AP77" s="84">
        <v>0.0</v>
      </c>
      <c r="AQ77" s="84">
        <v>0.0</v>
      </c>
      <c r="AR77" s="84">
        <v>0.0</v>
      </c>
      <c r="AS77" s="84">
        <v>0.0</v>
      </c>
      <c r="AT77" s="84">
        <v>0.0</v>
      </c>
      <c r="AU77" s="84">
        <v>0.0</v>
      </c>
      <c r="AV77" s="84">
        <v>0.0</v>
      </c>
      <c r="AW77" s="84">
        <v>0.0</v>
      </c>
      <c r="AX77" s="84">
        <v>0.0</v>
      </c>
      <c r="AY77" s="84">
        <v>1.0</v>
      </c>
      <c r="AZ77" s="84">
        <v>36.0</v>
      </c>
      <c r="BH77" s="84">
        <v>85.0</v>
      </c>
      <c r="BI77" s="84" t="s">
        <v>5309</v>
      </c>
    </row>
    <row r="78" ht="12.75" customHeight="1">
      <c r="A78" s="84">
        <v>76.0</v>
      </c>
      <c r="B78" s="84" t="s">
        <v>3558</v>
      </c>
      <c r="C78" s="84">
        <v>1.0</v>
      </c>
      <c r="D78" s="84" t="s">
        <v>4904</v>
      </c>
      <c r="E78" s="84">
        <v>0.0</v>
      </c>
      <c r="F78" s="84" t="s">
        <v>5172</v>
      </c>
      <c r="G78" s="84">
        <v>120.0</v>
      </c>
      <c r="H78" s="84">
        <v>100.0</v>
      </c>
      <c r="I78" s="84">
        <v>10.0</v>
      </c>
      <c r="N78" s="84">
        <v>0.0</v>
      </c>
      <c r="O78" s="84">
        <v>0.0</v>
      </c>
      <c r="P78" s="84">
        <v>0.0</v>
      </c>
      <c r="U78" s="84">
        <v>151.0</v>
      </c>
      <c r="X78" s="84">
        <v>0.0</v>
      </c>
      <c r="AH78" s="84">
        <v>0.0</v>
      </c>
      <c r="AI78" s="84">
        <v>1.0</v>
      </c>
      <c r="AJ78" s="84">
        <v>0.0</v>
      </c>
      <c r="AK78" s="84">
        <v>1.0</v>
      </c>
      <c r="AL78" s="84">
        <v>0.0</v>
      </c>
      <c r="AM78" s="84">
        <v>0.0</v>
      </c>
      <c r="AN78" s="84">
        <v>1.0</v>
      </c>
      <c r="AO78" s="84">
        <v>0.0</v>
      </c>
      <c r="AP78" s="84">
        <v>0.0</v>
      </c>
      <c r="AQ78" s="84">
        <v>0.0</v>
      </c>
      <c r="AR78" s="84">
        <v>0.0</v>
      </c>
      <c r="AS78" s="84">
        <v>0.0</v>
      </c>
      <c r="AT78" s="84">
        <v>0.0</v>
      </c>
      <c r="AU78" s="84">
        <v>0.0</v>
      </c>
      <c r="AV78" s="84">
        <v>0.0</v>
      </c>
      <c r="AW78" s="84">
        <v>0.0</v>
      </c>
      <c r="AX78" s="84">
        <v>0.0</v>
      </c>
      <c r="AY78" s="84">
        <v>1.0</v>
      </c>
      <c r="AZ78" s="84">
        <v>29.0</v>
      </c>
      <c r="BH78" s="84">
        <v>86.0</v>
      </c>
      <c r="BI78" s="84" t="s">
        <v>5240</v>
      </c>
    </row>
    <row r="79" ht="12.75" customHeight="1">
      <c r="A79" s="84">
        <v>77.0</v>
      </c>
      <c r="B79" s="84" t="s">
        <v>2864</v>
      </c>
      <c r="C79" s="84">
        <v>1.0</v>
      </c>
      <c r="D79" s="84" t="s">
        <v>4905</v>
      </c>
      <c r="E79" s="84">
        <v>1.0</v>
      </c>
      <c r="F79" s="84" t="s">
        <v>5131</v>
      </c>
      <c r="G79" s="84">
        <v>0.0</v>
      </c>
      <c r="H79" s="84">
        <v>75.0</v>
      </c>
      <c r="I79" s="84">
        <v>35.0</v>
      </c>
      <c r="M79" s="84" t="s">
        <v>4905</v>
      </c>
      <c r="N79" s="84">
        <v>5.0</v>
      </c>
      <c r="O79" s="84">
        <v>0.0</v>
      </c>
      <c r="P79" s="84">
        <v>1.0</v>
      </c>
      <c r="U79" s="84">
        <v>66.0</v>
      </c>
      <c r="X79" s="84">
        <v>0.0</v>
      </c>
      <c r="AH79" s="84">
        <v>0.0</v>
      </c>
      <c r="AI79" s="84">
        <v>0.0</v>
      </c>
      <c r="AJ79" s="84">
        <v>0.0</v>
      </c>
      <c r="AK79" s="84">
        <v>1.0</v>
      </c>
      <c r="AL79" s="84">
        <v>1.0</v>
      </c>
      <c r="AM79" s="84">
        <v>0.0</v>
      </c>
      <c r="AN79" s="84">
        <v>1.0</v>
      </c>
      <c r="AO79" s="84">
        <v>0.0</v>
      </c>
      <c r="AP79" s="84">
        <v>0.0</v>
      </c>
      <c r="AQ79" s="84">
        <v>0.0</v>
      </c>
      <c r="AR79" s="84">
        <v>0.0</v>
      </c>
      <c r="AS79" s="84">
        <v>0.0</v>
      </c>
      <c r="AT79" s="84">
        <v>0.0</v>
      </c>
      <c r="AU79" s="84">
        <v>0.0</v>
      </c>
      <c r="AV79" s="84">
        <v>0.0</v>
      </c>
      <c r="AW79" s="84">
        <v>0.0</v>
      </c>
      <c r="AX79" s="84">
        <v>0.0</v>
      </c>
      <c r="AY79" s="84">
        <v>1.0</v>
      </c>
      <c r="AZ79" s="84">
        <v>15.0</v>
      </c>
      <c r="BH79" s="84">
        <v>87.0</v>
      </c>
      <c r="BI79" s="84" t="s">
        <v>5310</v>
      </c>
    </row>
    <row r="80" ht="12.75" customHeight="1">
      <c r="A80" s="84">
        <v>78.0</v>
      </c>
      <c r="B80" s="84" t="s">
        <v>2705</v>
      </c>
      <c r="C80" s="84">
        <v>1.0</v>
      </c>
      <c r="D80" s="84" t="s">
        <v>4904</v>
      </c>
      <c r="E80" s="84">
        <v>1.0</v>
      </c>
      <c r="F80" s="84" t="s">
        <v>5131</v>
      </c>
      <c r="G80" s="84">
        <v>0.0</v>
      </c>
      <c r="H80" s="84">
        <v>75.0</v>
      </c>
      <c r="I80" s="84">
        <v>30.0</v>
      </c>
      <c r="M80" s="84" t="s">
        <v>5311</v>
      </c>
      <c r="N80" s="84">
        <v>1.0</v>
      </c>
      <c r="O80" s="84">
        <v>0.0</v>
      </c>
      <c r="P80" s="84">
        <v>1.0</v>
      </c>
      <c r="U80" s="84">
        <v>67.0</v>
      </c>
      <c r="X80" s="84">
        <v>0.0</v>
      </c>
      <c r="AH80" s="84">
        <v>0.0</v>
      </c>
      <c r="AI80" s="84">
        <v>0.0</v>
      </c>
      <c r="AJ80" s="84">
        <v>0.0</v>
      </c>
      <c r="AK80" s="84">
        <v>1.0</v>
      </c>
      <c r="AL80" s="84">
        <v>1.0</v>
      </c>
      <c r="AM80" s="84">
        <v>0.0</v>
      </c>
      <c r="AN80" s="84">
        <v>1.0</v>
      </c>
      <c r="AO80" s="84">
        <v>0.0</v>
      </c>
      <c r="AP80" s="84">
        <v>0.0</v>
      </c>
      <c r="AQ80" s="84">
        <v>0.0</v>
      </c>
      <c r="AR80" s="84">
        <v>0.0</v>
      </c>
      <c r="AS80" s="84">
        <v>0.0</v>
      </c>
      <c r="AT80" s="84">
        <v>0.0</v>
      </c>
      <c r="AU80" s="84">
        <v>0.0</v>
      </c>
      <c r="AV80" s="84">
        <v>0.0</v>
      </c>
      <c r="AW80" s="84">
        <v>0.0</v>
      </c>
      <c r="AX80" s="84">
        <v>0.0</v>
      </c>
      <c r="AY80" s="84">
        <v>1.0</v>
      </c>
      <c r="AZ80" s="84">
        <v>18.0</v>
      </c>
      <c r="BH80" s="84">
        <v>88.0</v>
      </c>
      <c r="BI80" s="84" t="s">
        <v>5312</v>
      </c>
    </row>
    <row r="81" ht="12.75" customHeight="1">
      <c r="A81" s="84">
        <v>79.0</v>
      </c>
      <c r="B81" s="84" t="s">
        <v>2574</v>
      </c>
      <c r="C81" s="84">
        <v>1.0</v>
      </c>
      <c r="D81" s="84" t="s">
        <v>4904</v>
      </c>
      <c r="E81" s="84">
        <v>1.0</v>
      </c>
      <c r="F81" s="84" t="s">
        <v>5131</v>
      </c>
      <c r="G81" s="84">
        <v>0.0</v>
      </c>
      <c r="H81" s="84">
        <v>75.0</v>
      </c>
      <c r="I81" s="84">
        <v>15.0</v>
      </c>
      <c r="M81" s="84" t="s">
        <v>5252</v>
      </c>
      <c r="N81" s="84">
        <v>2.0</v>
      </c>
      <c r="O81" s="84">
        <v>0.0</v>
      </c>
      <c r="P81" s="84">
        <v>2.0</v>
      </c>
      <c r="Q81" s="84">
        <v>2.0</v>
      </c>
      <c r="R81" s="84">
        <v>4.0</v>
      </c>
      <c r="U81" s="84">
        <v>1.0</v>
      </c>
      <c r="X81" s="84">
        <v>0.0</v>
      </c>
      <c r="AH81" s="84">
        <v>0.0</v>
      </c>
      <c r="AI81" s="84">
        <v>0.0</v>
      </c>
      <c r="AJ81" s="84">
        <v>0.0</v>
      </c>
      <c r="AK81" s="84">
        <v>1.0</v>
      </c>
      <c r="AL81" s="84">
        <v>1.0</v>
      </c>
      <c r="AM81" s="84">
        <v>0.0</v>
      </c>
      <c r="AN81" s="84">
        <v>1.0</v>
      </c>
      <c r="AO81" s="84">
        <v>0.0</v>
      </c>
      <c r="AP81" s="84">
        <v>0.0</v>
      </c>
      <c r="AQ81" s="84">
        <v>0.0</v>
      </c>
      <c r="AR81" s="84">
        <v>0.0</v>
      </c>
      <c r="AS81" s="84">
        <v>0.0</v>
      </c>
      <c r="AT81" s="84">
        <v>0.0</v>
      </c>
      <c r="AU81" s="84">
        <v>0.0</v>
      </c>
      <c r="AV81" s="84">
        <v>0.0</v>
      </c>
      <c r="AW81" s="84">
        <v>0.0</v>
      </c>
      <c r="AX81" s="84">
        <v>0.0</v>
      </c>
      <c r="AY81" s="84">
        <v>1.0</v>
      </c>
      <c r="AZ81" s="84">
        <v>18.0</v>
      </c>
      <c r="BH81" s="84">
        <v>89.0</v>
      </c>
      <c r="BI81" s="84" t="s">
        <v>5313</v>
      </c>
    </row>
    <row r="82" ht="12.75" customHeight="1">
      <c r="A82" s="84">
        <v>80.0</v>
      </c>
      <c r="B82" s="84" t="s">
        <v>3225</v>
      </c>
      <c r="C82" s="84">
        <v>1.0</v>
      </c>
      <c r="D82" s="84" t="s">
        <v>4904</v>
      </c>
      <c r="E82" s="84">
        <v>0.0</v>
      </c>
      <c r="F82" s="84" t="s">
        <v>5172</v>
      </c>
      <c r="G82" s="84">
        <v>120.0</v>
      </c>
      <c r="H82" s="84">
        <v>100.0</v>
      </c>
      <c r="I82" s="84">
        <v>10.0</v>
      </c>
      <c r="N82" s="84">
        <v>0.0</v>
      </c>
      <c r="O82" s="84">
        <v>0.0</v>
      </c>
      <c r="P82" s="84">
        <v>0.0</v>
      </c>
      <c r="U82" s="84">
        <v>27.0</v>
      </c>
      <c r="X82" s="84">
        <v>9.0</v>
      </c>
      <c r="AH82" s="84">
        <v>1.0</v>
      </c>
      <c r="AI82" s="84">
        <v>0.0</v>
      </c>
      <c r="AJ82" s="84">
        <v>0.0</v>
      </c>
      <c r="AK82" s="84">
        <v>1.0</v>
      </c>
      <c r="AL82" s="84">
        <v>0.0</v>
      </c>
      <c r="AM82" s="84">
        <v>0.0</v>
      </c>
      <c r="AN82" s="84">
        <v>1.0</v>
      </c>
      <c r="AO82" s="84">
        <v>0.0</v>
      </c>
      <c r="AP82" s="84">
        <v>0.0</v>
      </c>
      <c r="AQ82" s="84">
        <v>0.0</v>
      </c>
      <c r="AR82" s="84">
        <v>0.0</v>
      </c>
      <c r="AS82" s="84">
        <v>0.0</v>
      </c>
      <c r="AT82" s="84">
        <v>0.0</v>
      </c>
      <c r="AU82" s="84">
        <v>0.0</v>
      </c>
      <c r="AV82" s="84">
        <v>0.0</v>
      </c>
      <c r="AW82" s="84">
        <v>0.0</v>
      </c>
      <c r="AX82" s="84">
        <v>1.0</v>
      </c>
      <c r="AY82" s="84">
        <v>1.0</v>
      </c>
      <c r="AZ82" s="84">
        <v>27.0</v>
      </c>
      <c r="BH82" s="84">
        <v>90.0</v>
      </c>
      <c r="BI82" s="84" t="s">
        <v>5263</v>
      </c>
    </row>
    <row r="83" ht="12.75" customHeight="1">
      <c r="A83" s="84">
        <v>81.0</v>
      </c>
      <c r="B83" s="84" t="s">
        <v>2666</v>
      </c>
      <c r="C83" s="84">
        <v>1.0</v>
      </c>
      <c r="D83" s="84" t="s">
        <v>4910</v>
      </c>
      <c r="E83" s="84">
        <v>2.0</v>
      </c>
      <c r="F83" s="84" t="s">
        <v>5131</v>
      </c>
      <c r="G83" s="84">
        <v>0.0</v>
      </c>
      <c r="H83" s="84">
        <v>95.0</v>
      </c>
      <c r="I83" s="84">
        <v>40.0</v>
      </c>
      <c r="N83" s="84">
        <v>0.0</v>
      </c>
      <c r="O83" s="84">
        <v>0.0</v>
      </c>
      <c r="P83" s="84">
        <v>0.0</v>
      </c>
      <c r="U83" s="84">
        <v>60.0</v>
      </c>
      <c r="X83" s="84">
        <v>5.0</v>
      </c>
      <c r="Y83" s="84" t="s">
        <v>5073</v>
      </c>
      <c r="Z83" s="84">
        <v>-2.0</v>
      </c>
      <c r="AH83" s="84">
        <v>0.0</v>
      </c>
      <c r="AI83" s="84">
        <v>0.0</v>
      </c>
      <c r="AJ83" s="84">
        <v>0.0</v>
      </c>
      <c r="AK83" s="84">
        <v>1.0</v>
      </c>
      <c r="AL83" s="84">
        <v>1.0</v>
      </c>
      <c r="AM83" s="84">
        <v>0.0</v>
      </c>
      <c r="AN83" s="84">
        <v>1.0</v>
      </c>
      <c r="AO83" s="84">
        <v>0.0</v>
      </c>
      <c r="AP83" s="84">
        <v>0.0</v>
      </c>
      <c r="AQ83" s="84">
        <v>0.0</v>
      </c>
      <c r="AR83" s="84">
        <v>0.0</v>
      </c>
      <c r="AS83" s="84">
        <v>0.0</v>
      </c>
      <c r="AT83" s="84">
        <v>0.0</v>
      </c>
      <c r="AU83" s="84">
        <v>0.0</v>
      </c>
      <c r="AV83" s="84">
        <v>0.0</v>
      </c>
      <c r="AW83" s="84">
        <v>0.0</v>
      </c>
      <c r="AX83" s="84">
        <v>0.0</v>
      </c>
      <c r="AY83" s="84">
        <v>1.0</v>
      </c>
      <c r="AZ83" s="84">
        <v>5.0</v>
      </c>
      <c r="BH83" s="84">
        <v>91.0</v>
      </c>
      <c r="BI83" s="84" t="s">
        <v>5314</v>
      </c>
    </row>
    <row r="84" ht="12.75" customHeight="1">
      <c r="A84" s="84">
        <v>82.0</v>
      </c>
      <c r="B84" s="84" t="s">
        <v>5315</v>
      </c>
      <c r="C84" s="84">
        <v>0.0</v>
      </c>
      <c r="D84" s="84" t="s">
        <v>4956</v>
      </c>
      <c r="E84" s="84">
        <v>0.0</v>
      </c>
      <c r="F84" s="84" t="s">
        <v>5172</v>
      </c>
      <c r="G84" s="84">
        <v>1.0</v>
      </c>
      <c r="H84" s="84">
        <v>100.0</v>
      </c>
      <c r="I84" s="84">
        <v>10.0</v>
      </c>
      <c r="J84" s="84"/>
      <c r="K84" s="84"/>
      <c r="L84" s="84"/>
      <c r="M84" s="84"/>
      <c r="N84" s="84">
        <v>0.0</v>
      </c>
      <c r="O84" s="84">
        <v>0.0</v>
      </c>
      <c r="P84" s="84">
        <v>0.0</v>
      </c>
      <c r="Q84" s="84"/>
      <c r="R84" s="84"/>
      <c r="S84" s="84"/>
      <c r="T84" s="84"/>
      <c r="U84" s="84">
        <v>41.0</v>
      </c>
      <c r="V84" s="84"/>
      <c r="W84" s="84"/>
      <c r="X84" s="84">
        <v>0.0</v>
      </c>
      <c r="Y84" s="84"/>
      <c r="Z84" s="84"/>
      <c r="AA84" s="84"/>
      <c r="AB84" s="84"/>
      <c r="AC84" s="84"/>
      <c r="AD84" s="84"/>
      <c r="AE84" s="84"/>
      <c r="AF84" s="84"/>
      <c r="AG84" s="84"/>
      <c r="AH84" s="84">
        <v>0.0</v>
      </c>
      <c r="AI84" s="84">
        <v>0.0</v>
      </c>
      <c r="AJ84" s="84">
        <v>0.0</v>
      </c>
      <c r="AK84" s="84">
        <v>1.0</v>
      </c>
      <c r="AL84" s="84">
        <v>0.0</v>
      </c>
      <c r="AM84" s="84">
        <v>0.0</v>
      </c>
      <c r="AN84" s="84">
        <v>1.0</v>
      </c>
      <c r="AO84" s="84">
        <v>0.0</v>
      </c>
      <c r="AP84" s="84">
        <v>0.0</v>
      </c>
      <c r="AQ84" s="84">
        <v>0.0</v>
      </c>
      <c r="AR84" s="84">
        <v>0.0</v>
      </c>
      <c r="AS84" s="84">
        <v>0.0</v>
      </c>
      <c r="AT84" s="84">
        <v>0.0</v>
      </c>
      <c r="AU84" s="84">
        <v>0.0</v>
      </c>
      <c r="AV84" s="84">
        <v>0.0</v>
      </c>
      <c r="AW84" s="84">
        <v>0.0</v>
      </c>
      <c r="AX84" s="84">
        <v>0.0</v>
      </c>
      <c r="AY84" s="84">
        <v>1.0</v>
      </c>
      <c r="AZ84" s="84">
        <v>0.0</v>
      </c>
      <c r="BH84" s="84">
        <v>92.0</v>
      </c>
      <c r="BI84" s="84" t="s">
        <v>5316</v>
      </c>
    </row>
    <row r="85" ht="12.75" customHeight="1">
      <c r="A85" s="84">
        <v>83.0</v>
      </c>
      <c r="B85" s="84" t="s">
        <v>2637</v>
      </c>
      <c r="C85" s="84">
        <v>1.0</v>
      </c>
      <c r="D85" s="84" t="s">
        <v>4906</v>
      </c>
      <c r="E85" s="84">
        <v>4.0</v>
      </c>
      <c r="F85" s="84" t="s">
        <v>5172</v>
      </c>
      <c r="G85" s="84">
        <v>35.0</v>
      </c>
      <c r="H85" s="84">
        <v>85.0</v>
      </c>
      <c r="I85" s="84">
        <v>15.0</v>
      </c>
      <c r="M85" s="84" t="s">
        <v>5190</v>
      </c>
      <c r="N85" s="84">
        <v>8.0</v>
      </c>
      <c r="O85" s="84">
        <v>100.0</v>
      </c>
      <c r="P85" s="84">
        <v>4.0</v>
      </c>
      <c r="Q85" s="84">
        <v>5.0</v>
      </c>
      <c r="R85" s="84">
        <v>6.0</v>
      </c>
      <c r="U85" s="84">
        <v>42.0</v>
      </c>
      <c r="X85" s="84">
        <v>0.0</v>
      </c>
      <c r="AH85" s="84">
        <v>0.0</v>
      </c>
      <c r="AI85" s="84">
        <v>0.0</v>
      </c>
      <c r="AJ85" s="84">
        <v>0.0</v>
      </c>
      <c r="AK85" s="84">
        <v>1.0</v>
      </c>
      <c r="AL85" s="84">
        <v>0.0</v>
      </c>
      <c r="AM85" s="84">
        <v>0.0</v>
      </c>
      <c r="AN85" s="84">
        <v>1.0</v>
      </c>
      <c r="AO85" s="84">
        <v>0.0</v>
      </c>
      <c r="AP85" s="84">
        <v>0.0</v>
      </c>
      <c r="AQ85" s="84">
        <v>0.0</v>
      </c>
      <c r="AR85" s="84">
        <v>0.0</v>
      </c>
      <c r="AS85" s="84">
        <v>0.0</v>
      </c>
      <c r="AT85" s="84">
        <v>0.0</v>
      </c>
      <c r="AU85" s="84">
        <v>0.0</v>
      </c>
      <c r="AV85" s="84">
        <v>0.0</v>
      </c>
      <c r="AW85" s="84">
        <v>0.0</v>
      </c>
      <c r="AX85" s="84">
        <v>0.0</v>
      </c>
      <c r="AY85" s="84">
        <v>1.0</v>
      </c>
      <c r="AZ85" s="84">
        <v>22.0</v>
      </c>
      <c r="BH85" s="84">
        <v>93.0</v>
      </c>
      <c r="BI85" s="84" t="s">
        <v>5317</v>
      </c>
    </row>
    <row r="86" ht="12.75" customHeight="1">
      <c r="A86" s="84">
        <v>84.0</v>
      </c>
      <c r="B86" s="84" t="s">
        <v>5318</v>
      </c>
      <c r="C86" s="84">
        <v>1.0</v>
      </c>
      <c r="D86" s="84" t="s">
        <v>4921</v>
      </c>
      <c r="E86" s="84">
        <v>4.0</v>
      </c>
      <c r="F86" s="84" t="s">
        <v>5172</v>
      </c>
      <c r="G86" s="84">
        <v>40.0</v>
      </c>
      <c r="H86" s="84">
        <v>100.0</v>
      </c>
      <c r="I86" s="84">
        <v>30.0</v>
      </c>
      <c r="M86" s="84" t="s">
        <v>5158</v>
      </c>
      <c r="N86" s="84">
        <v>1.0</v>
      </c>
      <c r="O86" s="84">
        <v>10.0</v>
      </c>
      <c r="P86" s="84">
        <v>1.0</v>
      </c>
      <c r="U86" s="84">
        <v>6.0</v>
      </c>
      <c r="X86" s="84">
        <v>0.0</v>
      </c>
      <c r="AH86" s="84">
        <v>0.0</v>
      </c>
      <c r="AI86" s="84">
        <v>0.0</v>
      </c>
      <c r="AJ86" s="84">
        <v>0.0</v>
      </c>
      <c r="AK86" s="84">
        <v>1.0</v>
      </c>
      <c r="AL86" s="84">
        <v>0.0</v>
      </c>
      <c r="AM86" s="84">
        <v>0.0</v>
      </c>
      <c r="AN86" s="84">
        <v>1.0</v>
      </c>
      <c r="AO86" s="84">
        <v>0.0</v>
      </c>
      <c r="AP86" s="84">
        <v>0.0</v>
      </c>
      <c r="AQ86" s="84">
        <v>0.0</v>
      </c>
      <c r="AR86" s="84">
        <v>0.0</v>
      </c>
      <c r="AS86" s="84">
        <v>0.0</v>
      </c>
      <c r="AT86" s="84">
        <v>0.0</v>
      </c>
      <c r="AU86" s="84">
        <v>0.0</v>
      </c>
      <c r="AV86" s="84">
        <v>0.0</v>
      </c>
      <c r="AW86" s="84">
        <v>0.0</v>
      </c>
      <c r="AX86" s="84">
        <v>0.0</v>
      </c>
      <c r="AY86" s="84">
        <v>1.0</v>
      </c>
      <c r="AZ86" s="84">
        <v>34.0</v>
      </c>
      <c r="BH86" s="84">
        <v>94.0</v>
      </c>
      <c r="BI86" s="84" t="s">
        <v>5319</v>
      </c>
    </row>
    <row r="87" ht="12.75" customHeight="1">
      <c r="A87" s="84">
        <v>85.0</v>
      </c>
      <c r="B87" s="84" t="s">
        <v>3435</v>
      </c>
      <c r="C87" s="84">
        <v>1.0</v>
      </c>
      <c r="D87" s="84" t="s">
        <v>4921</v>
      </c>
      <c r="E87" s="84">
        <v>4.0</v>
      </c>
      <c r="F87" s="84" t="s">
        <v>5172</v>
      </c>
      <c r="G87" s="84">
        <v>90.0</v>
      </c>
      <c r="H87" s="84">
        <v>100.0</v>
      </c>
      <c r="I87" s="84">
        <v>15.0</v>
      </c>
      <c r="M87" s="84" t="s">
        <v>5158</v>
      </c>
      <c r="N87" s="84">
        <v>1.0</v>
      </c>
      <c r="O87" s="84">
        <v>10.0</v>
      </c>
      <c r="P87" s="84">
        <v>1.0</v>
      </c>
      <c r="U87" s="84">
        <v>6.0</v>
      </c>
      <c r="X87" s="84">
        <v>0.0</v>
      </c>
      <c r="AH87" s="84">
        <v>0.0</v>
      </c>
      <c r="AI87" s="84">
        <v>0.0</v>
      </c>
      <c r="AJ87" s="84">
        <v>0.0</v>
      </c>
      <c r="AK87" s="84">
        <v>1.0</v>
      </c>
      <c r="AL87" s="84">
        <v>0.0</v>
      </c>
      <c r="AM87" s="84">
        <v>0.0</v>
      </c>
      <c r="AN87" s="84">
        <v>1.0</v>
      </c>
      <c r="AO87" s="84">
        <v>0.0</v>
      </c>
      <c r="AP87" s="84">
        <v>0.0</v>
      </c>
      <c r="AQ87" s="84">
        <v>0.0</v>
      </c>
      <c r="AR87" s="84">
        <v>0.0</v>
      </c>
      <c r="AS87" s="84">
        <v>0.0</v>
      </c>
      <c r="AT87" s="84">
        <v>0.0</v>
      </c>
      <c r="AU87" s="84">
        <v>0.0</v>
      </c>
      <c r="AV87" s="84">
        <v>0.0</v>
      </c>
      <c r="AW87" s="84">
        <v>0.0</v>
      </c>
      <c r="AX87" s="84">
        <v>0.0</v>
      </c>
      <c r="AY87" s="84">
        <v>1.0</v>
      </c>
      <c r="AZ87" s="84">
        <v>41.0</v>
      </c>
      <c r="BH87" s="84">
        <v>95.0</v>
      </c>
      <c r="BI87" s="84" t="s">
        <v>5320</v>
      </c>
    </row>
    <row r="88" ht="12.75" customHeight="1">
      <c r="A88" s="84">
        <v>86.0</v>
      </c>
      <c r="B88" s="84" t="s">
        <v>2763</v>
      </c>
      <c r="C88" s="84">
        <v>1.0</v>
      </c>
      <c r="D88" s="84" t="s">
        <v>4921</v>
      </c>
      <c r="E88" s="84">
        <v>1.0</v>
      </c>
      <c r="F88" s="84" t="s">
        <v>5131</v>
      </c>
      <c r="G88" s="84">
        <v>0.0</v>
      </c>
      <c r="H88" s="84">
        <v>90.0</v>
      </c>
      <c r="I88" s="84">
        <v>20.0</v>
      </c>
      <c r="M88" s="84" t="s">
        <v>5311</v>
      </c>
      <c r="N88" s="84">
        <v>1.0</v>
      </c>
      <c r="O88" s="84">
        <v>0.0</v>
      </c>
      <c r="P88" s="84">
        <v>1.0</v>
      </c>
      <c r="U88" s="84">
        <v>67.0</v>
      </c>
      <c r="X88" s="84">
        <v>0.0</v>
      </c>
      <c r="AH88" s="84">
        <v>0.0</v>
      </c>
      <c r="AI88" s="84">
        <v>0.0</v>
      </c>
      <c r="AJ88" s="84">
        <v>0.0</v>
      </c>
      <c r="AK88" s="84">
        <v>1.0</v>
      </c>
      <c r="AL88" s="84">
        <v>1.0</v>
      </c>
      <c r="AM88" s="84">
        <v>0.0</v>
      </c>
      <c r="AN88" s="84">
        <v>1.0</v>
      </c>
      <c r="AO88" s="84">
        <v>0.0</v>
      </c>
      <c r="AP88" s="84">
        <v>0.0</v>
      </c>
      <c r="AQ88" s="84">
        <v>0.0</v>
      </c>
      <c r="AR88" s="84">
        <v>0.0</v>
      </c>
      <c r="AS88" s="84">
        <v>0.0</v>
      </c>
      <c r="AT88" s="84">
        <v>0.0</v>
      </c>
      <c r="AU88" s="84">
        <v>0.0</v>
      </c>
      <c r="AV88" s="84">
        <v>0.0</v>
      </c>
      <c r="AW88" s="84">
        <v>0.0</v>
      </c>
      <c r="AX88" s="84">
        <v>0.0</v>
      </c>
      <c r="AY88" s="84">
        <v>1.0</v>
      </c>
      <c r="AZ88" s="84">
        <v>20.0</v>
      </c>
      <c r="BH88" s="84">
        <v>97.0</v>
      </c>
      <c r="BI88" s="84" t="s">
        <v>5321</v>
      </c>
    </row>
    <row r="89" ht="12.75" customHeight="1">
      <c r="A89" s="84">
        <v>87.0</v>
      </c>
      <c r="B89" s="84" t="s">
        <v>4025</v>
      </c>
      <c r="C89" s="84">
        <v>1.0</v>
      </c>
      <c r="D89" s="84" t="s">
        <v>4921</v>
      </c>
      <c r="E89" s="84">
        <v>4.0</v>
      </c>
      <c r="F89" s="84" t="s">
        <v>5172</v>
      </c>
      <c r="G89" s="84">
        <v>110.0</v>
      </c>
      <c r="H89" s="84">
        <v>70.0</v>
      </c>
      <c r="I89" s="84">
        <v>10.0</v>
      </c>
      <c r="M89" s="84" t="s">
        <v>5222</v>
      </c>
      <c r="N89" s="84">
        <v>1.0</v>
      </c>
      <c r="O89" s="84">
        <v>30.0</v>
      </c>
      <c r="P89" s="84">
        <v>1.0</v>
      </c>
      <c r="U89" s="84">
        <v>152.0</v>
      </c>
      <c r="X89" s="84">
        <v>0.0</v>
      </c>
      <c r="AH89" s="84">
        <v>0.0</v>
      </c>
      <c r="AI89" s="84">
        <v>0.0</v>
      </c>
      <c r="AJ89" s="84">
        <v>0.0</v>
      </c>
      <c r="AK89" s="84">
        <v>1.0</v>
      </c>
      <c r="AL89" s="84">
        <v>0.0</v>
      </c>
      <c r="AM89" s="84">
        <v>0.0</v>
      </c>
      <c r="AN89" s="84">
        <v>1.0</v>
      </c>
      <c r="AO89" s="84">
        <v>0.0</v>
      </c>
      <c r="AP89" s="84">
        <v>0.0</v>
      </c>
      <c r="AQ89" s="84">
        <v>0.0</v>
      </c>
      <c r="AR89" s="84">
        <v>0.0</v>
      </c>
      <c r="AS89" s="84">
        <v>0.0</v>
      </c>
      <c r="AT89" s="84">
        <v>0.0</v>
      </c>
      <c r="AU89" s="84">
        <v>0.0</v>
      </c>
      <c r="AV89" s="84">
        <v>0.0</v>
      </c>
      <c r="AW89" s="84">
        <v>0.0</v>
      </c>
      <c r="AX89" s="84">
        <v>0.0</v>
      </c>
      <c r="AY89" s="84">
        <v>1.0</v>
      </c>
      <c r="AZ89" s="84">
        <v>46.0</v>
      </c>
      <c r="BH89" s="84">
        <v>98.0</v>
      </c>
      <c r="BI89" s="84" t="s">
        <v>5322</v>
      </c>
    </row>
    <row r="90" ht="12.75" customHeight="1">
      <c r="A90" s="84">
        <v>88.0</v>
      </c>
      <c r="B90" s="84" t="s">
        <v>2726</v>
      </c>
      <c r="C90" s="84">
        <v>1.0</v>
      </c>
      <c r="D90" s="84" t="s">
        <v>4940</v>
      </c>
      <c r="E90" s="84">
        <v>0.0</v>
      </c>
      <c r="F90" s="84" t="s">
        <v>5135</v>
      </c>
      <c r="G90" s="84">
        <v>50.0</v>
      </c>
      <c r="H90" s="84">
        <v>90.0</v>
      </c>
      <c r="I90" s="84">
        <v>15.0</v>
      </c>
      <c r="N90" s="84">
        <v>0.0</v>
      </c>
      <c r="O90" s="84">
        <v>0.0</v>
      </c>
      <c r="P90" s="84">
        <v>0.0</v>
      </c>
      <c r="U90" s="84">
        <v>0.0</v>
      </c>
      <c r="X90" s="84">
        <v>0.0</v>
      </c>
      <c r="AH90" s="84">
        <v>0.0</v>
      </c>
      <c r="AI90" s="84">
        <v>0.0</v>
      </c>
      <c r="AJ90" s="84">
        <v>0.0</v>
      </c>
      <c r="AK90" s="84">
        <v>1.0</v>
      </c>
      <c r="AL90" s="84">
        <v>0.0</v>
      </c>
      <c r="AM90" s="84">
        <v>0.0</v>
      </c>
      <c r="AN90" s="84">
        <v>1.0</v>
      </c>
      <c r="AO90" s="84">
        <v>0.0</v>
      </c>
      <c r="AP90" s="84">
        <v>0.0</v>
      </c>
      <c r="AQ90" s="84">
        <v>0.0</v>
      </c>
      <c r="AR90" s="84">
        <v>0.0</v>
      </c>
      <c r="AS90" s="84">
        <v>0.0</v>
      </c>
      <c r="AT90" s="84">
        <v>0.0</v>
      </c>
      <c r="AU90" s="84">
        <v>0.0</v>
      </c>
      <c r="AV90" s="84">
        <v>0.0</v>
      </c>
      <c r="AW90" s="84">
        <v>0.0</v>
      </c>
      <c r="AX90" s="84">
        <v>0.0</v>
      </c>
      <c r="AY90" s="84">
        <v>1.0</v>
      </c>
      <c r="AZ90" s="84">
        <v>36.0</v>
      </c>
      <c r="BH90" s="84">
        <v>99.0</v>
      </c>
      <c r="BI90" s="84" t="s">
        <v>5323</v>
      </c>
    </row>
    <row r="91" ht="12.75" customHeight="1">
      <c r="A91" s="84">
        <v>89.0</v>
      </c>
      <c r="B91" s="84" t="s">
        <v>3454</v>
      </c>
      <c r="C91" s="84">
        <v>1.0</v>
      </c>
      <c r="D91" s="84" t="s">
        <v>4922</v>
      </c>
      <c r="E91" s="84">
        <v>0.0</v>
      </c>
      <c r="F91" s="84" t="s">
        <v>5135</v>
      </c>
      <c r="G91" s="84">
        <v>100.0</v>
      </c>
      <c r="H91" s="84">
        <v>100.0</v>
      </c>
      <c r="I91" s="84">
        <v>10.0</v>
      </c>
      <c r="N91" s="84">
        <v>0.0</v>
      </c>
      <c r="O91" s="84">
        <v>0.0</v>
      </c>
      <c r="P91" s="84">
        <v>0.0</v>
      </c>
      <c r="U91" s="84">
        <v>147.0</v>
      </c>
      <c r="X91" s="84">
        <v>4.0</v>
      </c>
      <c r="AH91" s="84">
        <v>0.0</v>
      </c>
      <c r="AI91" s="84">
        <v>0.0</v>
      </c>
      <c r="AJ91" s="84">
        <v>0.0</v>
      </c>
      <c r="AK91" s="84">
        <v>1.0</v>
      </c>
      <c r="AL91" s="84">
        <v>0.0</v>
      </c>
      <c r="AM91" s="84">
        <v>0.0</v>
      </c>
      <c r="AN91" s="84">
        <v>1.0</v>
      </c>
      <c r="AO91" s="84">
        <v>0.0</v>
      </c>
      <c r="AP91" s="84">
        <v>0.0</v>
      </c>
      <c r="AQ91" s="84">
        <v>0.0</v>
      </c>
      <c r="AR91" s="84">
        <v>0.0</v>
      </c>
      <c r="AS91" s="84">
        <v>0.0</v>
      </c>
      <c r="AT91" s="84">
        <v>0.0</v>
      </c>
      <c r="AU91" s="84">
        <v>0.0</v>
      </c>
      <c r="AV91" s="84">
        <v>1.0</v>
      </c>
      <c r="AW91" s="84">
        <v>0.0</v>
      </c>
      <c r="AX91" s="84">
        <v>0.0</v>
      </c>
      <c r="AY91" s="84">
        <v>1.0</v>
      </c>
      <c r="AZ91" s="84">
        <v>43.0</v>
      </c>
      <c r="BH91" s="84">
        <v>100.0</v>
      </c>
      <c r="BI91" s="84" t="s">
        <v>5324</v>
      </c>
    </row>
    <row r="92" ht="12.75" customHeight="1">
      <c r="A92" s="84">
        <v>90.0</v>
      </c>
      <c r="B92" s="84" t="s">
        <v>2514</v>
      </c>
      <c r="C92" s="84">
        <v>1.0</v>
      </c>
      <c r="D92" s="84" t="s">
        <v>4922</v>
      </c>
      <c r="E92" s="84">
        <v>9.0</v>
      </c>
      <c r="F92" s="84" t="s">
        <v>5135</v>
      </c>
      <c r="G92" s="84">
        <v>1.0</v>
      </c>
      <c r="H92" s="84">
        <v>30.0</v>
      </c>
      <c r="I92" s="84">
        <v>5.0</v>
      </c>
      <c r="N92" s="84">
        <v>0.0</v>
      </c>
      <c r="O92" s="84">
        <v>0.0</v>
      </c>
      <c r="P92" s="84">
        <v>0.0</v>
      </c>
      <c r="U92" s="84">
        <v>38.0</v>
      </c>
      <c r="X92" s="84">
        <v>0.0</v>
      </c>
      <c r="AH92" s="84">
        <v>0.0</v>
      </c>
      <c r="AI92" s="84">
        <v>0.0</v>
      </c>
      <c r="AJ92" s="84">
        <v>0.0</v>
      </c>
      <c r="AK92" s="84">
        <v>1.0</v>
      </c>
      <c r="AL92" s="84">
        <v>0.0</v>
      </c>
      <c r="AM92" s="84">
        <v>0.0</v>
      </c>
      <c r="AN92" s="84">
        <v>1.0</v>
      </c>
      <c r="AO92" s="84">
        <v>0.0</v>
      </c>
      <c r="AP92" s="84">
        <v>0.0</v>
      </c>
      <c r="AQ92" s="84">
        <v>0.0</v>
      </c>
      <c r="AR92" s="84">
        <v>0.0</v>
      </c>
      <c r="AS92" s="84">
        <v>0.0</v>
      </c>
      <c r="AT92" s="84">
        <v>0.0</v>
      </c>
      <c r="AU92" s="84">
        <v>0.0</v>
      </c>
      <c r="AV92" s="84">
        <v>1.0</v>
      </c>
      <c r="AW92" s="84">
        <v>0.0</v>
      </c>
      <c r="AX92" s="84">
        <v>0.0</v>
      </c>
      <c r="AY92" s="84">
        <v>1.0</v>
      </c>
      <c r="AZ92" s="84">
        <v>2.0</v>
      </c>
      <c r="BH92" s="84">
        <v>101.0</v>
      </c>
      <c r="BI92" s="84" t="s">
        <v>5325</v>
      </c>
    </row>
    <row r="93" ht="12.75" customHeight="1">
      <c r="A93" s="84">
        <v>91.0</v>
      </c>
      <c r="B93" s="84" t="s">
        <v>2626</v>
      </c>
      <c r="C93" s="84">
        <v>1.0</v>
      </c>
      <c r="D93" s="84" t="s">
        <v>4922</v>
      </c>
      <c r="E93" s="84">
        <v>0.0</v>
      </c>
      <c r="F93" s="84" t="s">
        <v>5135</v>
      </c>
      <c r="G93" s="84">
        <v>80.0</v>
      </c>
      <c r="H93" s="84">
        <v>100.0</v>
      </c>
      <c r="I93" s="84">
        <v>10.0</v>
      </c>
      <c r="N93" s="84">
        <v>0.0</v>
      </c>
      <c r="O93" s="84">
        <v>0.0</v>
      </c>
      <c r="P93" s="84">
        <v>0.0</v>
      </c>
      <c r="U93" s="84">
        <v>256.0</v>
      </c>
      <c r="X93" s="84">
        <v>0.0</v>
      </c>
      <c r="AH93" s="84">
        <v>1.0</v>
      </c>
      <c r="AI93" s="84">
        <v>1.0</v>
      </c>
      <c r="AJ93" s="84">
        <v>0.0</v>
      </c>
      <c r="AK93" s="84">
        <v>1.0</v>
      </c>
      <c r="AL93" s="84">
        <v>0.0</v>
      </c>
      <c r="AM93" s="84">
        <v>0.0</v>
      </c>
      <c r="AN93" s="84">
        <v>1.0</v>
      </c>
      <c r="AO93" s="84">
        <v>0.0</v>
      </c>
      <c r="AP93" s="84">
        <v>0.0</v>
      </c>
      <c r="AQ93" s="84">
        <v>0.0</v>
      </c>
      <c r="AR93" s="84">
        <v>0.0</v>
      </c>
      <c r="AS93" s="84">
        <v>0.0</v>
      </c>
      <c r="AT93" s="84">
        <v>0.0</v>
      </c>
      <c r="AU93" s="84">
        <v>0.0</v>
      </c>
      <c r="AV93" s="84">
        <v>1.0</v>
      </c>
      <c r="AW93" s="84">
        <v>0.0</v>
      </c>
      <c r="AX93" s="84">
        <v>0.0</v>
      </c>
      <c r="AY93" s="84">
        <v>1.0</v>
      </c>
      <c r="AZ93" s="84">
        <v>27.0</v>
      </c>
      <c r="BH93" s="84">
        <v>102.0</v>
      </c>
      <c r="BI93" s="84" t="s">
        <v>5326</v>
      </c>
    </row>
    <row r="94" ht="12.75" customHeight="1">
      <c r="A94" s="84">
        <v>92.0</v>
      </c>
      <c r="B94" s="84" t="s">
        <v>2855</v>
      </c>
      <c r="C94" s="84">
        <v>1.0</v>
      </c>
      <c r="D94" s="84" t="s">
        <v>4905</v>
      </c>
      <c r="E94" s="84">
        <v>1.0</v>
      </c>
      <c r="F94" s="84" t="s">
        <v>5131</v>
      </c>
      <c r="G94" s="84">
        <v>0.0</v>
      </c>
      <c r="H94" s="84">
        <v>90.0</v>
      </c>
      <c r="I94" s="84">
        <v>10.0</v>
      </c>
      <c r="M94" s="84" t="s">
        <v>4905</v>
      </c>
      <c r="N94" s="84">
        <v>5.0</v>
      </c>
      <c r="O94" s="84">
        <v>0.0</v>
      </c>
      <c r="P94" s="84">
        <v>1.0</v>
      </c>
      <c r="Q94" s="84">
        <v>15.0</v>
      </c>
      <c r="R94" s="84">
        <v>15.0</v>
      </c>
      <c r="U94" s="84">
        <v>33.0</v>
      </c>
      <c r="X94" s="84">
        <v>0.0</v>
      </c>
      <c r="AH94" s="84">
        <v>0.0</v>
      </c>
      <c r="AI94" s="84">
        <v>0.0</v>
      </c>
      <c r="AJ94" s="84">
        <v>0.0</v>
      </c>
      <c r="AK94" s="84">
        <v>1.0</v>
      </c>
      <c r="AL94" s="84">
        <v>1.0</v>
      </c>
      <c r="AM94" s="84">
        <v>0.0</v>
      </c>
      <c r="AN94" s="84">
        <v>1.0</v>
      </c>
      <c r="AO94" s="84">
        <v>0.0</v>
      </c>
      <c r="AP94" s="84">
        <v>0.0</v>
      </c>
      <c r="AQ94" s="84">
        <v>0.0</v>
      </c>
      <c r="AR94" s="84">
        <v>0.0</v>
      </c>
      <c r="AS94" s="84">
        <v>0.0</v>
      </c>
      <c r="AT94" s="84">
        <v>0.0</v>
      </c>
      <c r="AU94" s="84">
        <v>0.0</v>
      </c>
      <c r="AV94" s="84">
        <v>0.0</v>
      </c>
      <c r="AW94" s="84">
        <v>0.0</v>
      </c>
      <c r="AX94" s="84">
        <v>0.0</v>
      </c>
      <c r="AY94" s="84">
        <v>1.0</v>
      </c>
      <c r="AZ94" s="84">
        <v>16.0</v>
      </c>
      <c r="BH94" s="84">
        <v>103.0</v>
      </c>
      <c r="BI94" s="84" t="s">
        <v>5327</v>
      </c>
    </row>
    <row r="95" ht="12.75" customHeight="1">
      <c r="A95" s="84">
        <v>93.0</v>
      </c>
      <c r="B95" s="84" t="s">
        <v>2796</v>
      </c>
      <c r="C95" s="84">
        <v>1.0</v>
      </c>
      <c r="D95" s="84" t="s">
        <v>2659</v>
      </c>
      <c r="E95" s="84">
        <v>4.0</v>
      </c>
      <c r="F95" s="84" t="s">
        <v>5172</v>
      </c>
      <c r="G95" s="84">
        <v>50.0</v>
      </c>
      <c r="H95" s="84">
        <v>100.0</v>
      </c>
      <c r="I95" s="84">
        <v>25.0</v>
      </c>
      <c r="M95" s="84" t="s">
        <v>5281</v>
      </c>
      <c r="N95" s="84">
        <v>6.0</v>
      </c>
      <c r="O95" s="84">
        <v>10.0</v>
      </c>
      <c r="P95" s="84">
        <v>2.0</v>
      </c>
      <c r="Q95" s="84">
        <v>2.0</v>
      </c>
      <c r="R95" s="84">
        <v>5.0</v>
      </c>
      <c r="U95" s="84">
        <v>76.0</v>
      </c>
      <c r="X95" s="84">
        <v>0.0</v>
      </c>
      <c r="AH95" s="84">
        <v>0.0</v>
      </c>
      <c r="AI95" s="84">
        <v>0.0</v>
      </c>
      <c r="AJ95" s="84">
        <v>0.0</v>
      </c>
      <c r="AK95" s="84">
        <v>1.0</v>
      </c>
      <c r="AL95" s="84">
        <v>0.0</v>
      </c>
      <c r="AM95" s="84">
        <v>0.0</v>
      </c>
      <c r="AN95" s="84">
        <v>1.0</v>
      </c>
      <c r="AO95" s="84">
        <v>0.0</v>
      </c>
      <c r="AP95" s="84">
        <v>0.0</v>
      </c>
      <c r="AQ95" s="84">
        <v>0.0</v>
      </c>
      <c r="AR95" s="84">
        <v>0.0</v>
      </c>
      <c r="AS95" s="84">
        <v>0.0</v>
      </c>
      <c r="AT95" s="84">
        <v>0.0</v>
      </c>
      <c r="AU95" s="84">
        <v>0.0</v>
      </c>
      <c r="AV95" s="84">
        <v>0.0</v>
      </c>
      <c r="AW95" s="84">
        <v>0.0</v>
      </c>
      <c r="AX95" s="84">
        <v>0.0</v>
      </c>
      <c r="AY95" s="84">
        <v>1.0</v>
      </c>
      <c r="AZ95" s="84">
        <v>34.0</v>
      </c>
      <c r="BH95" s="84">
        <v>104.0</v>
      </c>
      <c r="BI95" s="84" t="s">
        <v>5328</v>
      </c>
    </row>
    <row r="96" ht="12.75" customHeight="1">
      <c r="A96" s="84">
        <v>94.0</v>
      </c>
      <c r="B96" s="84" t="s">
        <v>2659</v>
      </c>
      <c r="C96" s="84">
        <v>1.0</v>
      </c>
      <c r="D96" s="84" t="s">
        <v>2659</v>
      </c>
      <c r="E96" s="84">
        <v>6.0</v>
      </c>
      <c r="F96" s="84" t="s">
        <v>5172</v>
      </c>
      <c r="G96" s="84">
        <v>90.0</v>
      </c>
      <c r="H96" s="84">
        <v>100.0</v>
      </c>
      <c r="I96" s="84">
        <v>10.0</v>
      </c>
      <c r="N96" s="84">
        <v>0.0</v>
      </c>
      <c r="O96" s="84">
        <v>0.0</v>
      </c>
      <c r="P96" s="84">
        <v>0.0</v>
      </c>
      <c r="U96" s="84">
        <v>72.0</v>
      </c>
      <c r="X96" s="84">
        <v>0.0</v>
      </c>
      <c r="Y96" s="84" t="s">
        <v>23</v>
      </c>
      <c r="Z96" s="84">
        <v>-1.0</v>
      </c>
      <c r="AA96" s="84">
        <v>10.0</v>
      </c>
      <c r="AH96" s="84">
        <v>0.0</v>
      </c>
      <c r="AI96" s="84">
        <v>0.0</v>
      </c>
      <c r="AJ96" s="84">
        <v>0.0</v>
      </c>
      <c r="AK96" s="84">
        <v>1.0</v>
      </c>
      <c r="AL96" s="84">
        <v>0.0</v>
      </c>
      <c r="AM96" s="84">
        <v>0.0</v>
      </c>
      <c r="AN96" s="84">
        <v>1.0</v>
      </c>
      <c r="AO96" s="84">
        <v>0.0</v>
      </c>
      <c r="AP96" s="84">
        <v>0.0</v>
      </c>
      <c r="AQ96" s="84">
        <v>0.0</v>
      </c>
      <c r="AR96" s="84">
        <v>0.0</v>
      </c>
      <c r="AS96" s="84">
        <v>0.0</v>
      </c>
      <c r="AT96" s="84">
        <v>0.0</v>
      </c>
      <c r="AU96" s="84">
        <v>0.0</v>
      </c>
      <c r="AV96" s="84">
        <v>0.0</v>
      </c>
      <c r="AW96" s="84">
        <v>0.0</v>
      </c>
      <c r="AX96" s="84">
        <v>0.0</v>
      </c>
      <c r="AY96" s="84">
        <v>1.0</v>
      </c>
      <c r="AZ96" s="84">
        <v>41.0</v>
      </c>
      <c r="BH96" s="84">
        <v>105.0</v>
      </c>
      <c r="BI96" s="84" t="s">
        <v>5329</v>
      </c>
    </row>
    <row r="97" ht="12.75" customHeight="1">
      <c r="A97" s="84">
        <v>95.0</v>
      </c>
      <c r="B97" s="84" t="s">
        <v>2797</v>
      </c>
      <c r="C97" s="84">
        <v>1.0</v>
      </c>
      <c r="D97" s="84" t="s">
        <v>2659</v>
      </c>
      <c r="E97" s="84">
        <v>1.0</v>
      </c>
      <c r="F97" s="84" t="s">
        <v>5131</v>
      </c>
      <c r="G97" s="84">
        <v>0.0</v>
      </c>
      <c r="H97" s="84">
        <v>60.0</v>
      </c>
      <c r="I97" s="84">
        <v>20.0</v>
      </c>
      <c r="M97" s="84" t="s">
        <v>5252</v>
      </c>
      <c r="N97" s="84">
        <v>2.0</v>
      </c>
      <c r="O97" s="84">
        <v>0.0</v>
      </c>
      <c r="P97" s="84">
        <v>2.0</v>
      </c>
      <c r="Q97" s="84">
        <v>2.0</v>
      </c>
      <c r="R97" s="84">
        <v>4.0</v>
      </c>
      <c r="U97" s="84">
        <v>1.0</v>
      </c>
      <c r="X97" s="84">
        <v>0.0</v>
      </c>
      <c r="AH97" s="84">
        <v>0.0</v>
      </c>
      <c r="AI97" s="84">
        <v>0.0</v>
      </c>
      <c r="AJ97" s="84">
        <v>0.0</v>
      </c>
      <c r="AK97" s="84">
        <v>1.0</v>
      </c>
      <c r="AL97" s="84">
        <v>1.0</v>
      </c>
      <c r="AM97" s="84">
        <v>0.0</v>
      </c>
      <c r="AN97" s="84">
        <v>1.0</v>
      </c>
      <c r="AO97" s="84">
        <v>0.0</v>
      </c>
      <c r="AP97" s="84">
        <v>0.0</v>
      </c>
      <c r="AQ97" s="84">
        <v>0.0</v>
      </c>
      <c r="AR97" s="84">
        <v>0.0</v>
      </c>
      <c r="AS97" s="84">
        <v>0.0</v>
      </c>
      <c r="AT97" s="84">
        <v>0.0</v>
      </c>
      <c r="AU97" s="84">
        <v>0.0</v>
      </c>
      <c r="AV97" s="84">
        <v>0.0</v>
      </c>
      <c r="AW97" s="84">
        <v>0.0</v>
      </c>
      <c r="AX97" s="84">
        <v>0.0</v>
      </c>
      <c r="AY97" s="84">
        <v>1.0</v>
      </c>
      <c r="AZ97" s="84">
        <v>18.0</v>
      </c>
      <c r="BH97" s="84">
        <v>106.0</v>
      </c>
      <c r="BI97" s="84" t="s">
        <v>5330</v>
      </c>
    </row>
    <row r="98" ht="12.75" customHeight="1">
      <c r="A98" s="84">
        <v>96.0</v>
      </c>
      <c r="B98" s="84" t="s">
        <v>5331</v>
      </c>
      <c r="C98" s="84">
        <v>0.0</v>
      </c>
      <c r="D98" s="84" t="s">
        <v>2659</v>
      </c>
      <c r="E98" s="84">
        <v>2.0</v>
      </c>
      <c r="F98" s="84" t="s">
        <v>5131</v>
      </c>
      <c r="G98" s="84">
        <v>0.0</v>
      </c>
      <c r="H98" s="84">
        <v>101.0</v>
      </c>
      <c r="I98" s="84">
        <v>40.0</v>
      </c>
      <c r="J98" s="84"/>
      <c r="K98" s="84"/>
      <c r="L98" s="84"/>
      <c r="M98" s="84"/>
      <c r="N98" s="84">
        <v>0.0</v>
      </c>
      <c r="O98" s="84">
        <v>0.0</v>
      </c>
      <c r="P98" s="84">
        <v>0.0</v>
      </c>
      <c r="Q98" s="84"/>
      <c r="R98" s="84"/>
      <c r="S98" s="84"/>
      <c r="T98" s="84"/>
      <c r="U98" s="84">
        <v>10.0</v>
      </c>
      <c r="V98" s="84"/>
      <c r="W98" s="84"/>
      <c r="X98" s="84">
        <v>7.0</v>
      </c>
      <c r="Y98" s="84" t="s">
        <v>20</v>
      </c>
      <c r="Z98" s="84">
        <v>1.0</v>
      </c>
      <c r="AA98" s="84"/>
      <c r="AB98" s="84"/>
      <c r="AC98" s="84"/>
      <c r="AD98" s="84"/>
      <c r="AE98" s="84"/>
      <c r="AF98" s="84"/>
      <c r="AG98" s="84"/>
      <c r="AH98" s="84">
        <v>0.0</v>
      </c>
      <c r="AI98" s="84">
        <v>0.0</v>
      </c>
      <c r="AJ98" s="84">
        <v>0.0</v>
      </c>
      <c r="AK98" s="84">
        <v>0.0</v>
      </c>
      <c r="AL98" s="84">
        <v>0.0</v>
      </c>
      <c r="AM98" s="84">
        <v>1.0</v>
      </c>
      <c r="AN98" s="84">
        <v>0.0</v>
      </c>
      <c r="AO98" s="84">
        <v>0.0</v>
      </c>
      <c r="AP98" s="84">
        <v>0.0</v>
      </c>
      <c r="AQ98" s="84">
        <v>0.0</v>
      </c>
      <c r="AR98" s="84">
        <v>0.0</v>
      </c>
      <c r="AS98" s="84">
        <v>0.0</v>
      </c>
      <c r="AT98" s="84">
        <v>0.0</v>
      </c>
      <c r="AU98" s="84">
        <v>0.0</v>
      </c>
      <c r="AV98" s="84">
        <v>0.0</v>
      </c>
      <c r="AW98" s="84">
        <v>0.0</v>
      </c>
      <c r="AX98" s="84">
        <v>0.0</v>
      </c>
      <c r="AY98" s="84">
        <v>1.0</v>
      </c>
      <c r="AZ98" s="84">
        <v>0.0</v>
      </c>
      <c r="BH98" s="84">
        <v>107.0</v>
      </c>
      <c r="BI98" s="84" t="s">
        <v>5229</v>
      </c>
    </row>
    <row r="99" ht="12.75" customHeight="1">
      <c r="A99" s="84">
        <v>97.0</v>
      </c>
      <c r="B99" s="84" t="s">
        <v>2948</v>
      </c>
      <c r="C99" s="84">
        <v>1.0</v>
      </c>
      <c r="D99" s="84" t="s">
        <v>2659</v>
      </c>
      <c r="E99" s="84">
        <v>2.0</v>
      </c>
      <c r="F99" s="84" t="s">
        <v>5131</v>
      </c>
      <c r="G99" s="84">
        <v>0.0</v>
      </c>
      <c r="H99" s="84">
        <v>101.0</v>
      </c>
      <c r="I99" s="84">
        <v>30.0</v>
      </c>
      <c r="N99" s="84">
        <v>0.0</v>
      </c>
      <c r="O99" s="84">
        <v>0.0</v>
      </c>
      <c r="P99" s="84">
        <v>0.0</v>
      </c>
      <c r="U99" s="84">
        <v>52.0</v>
      </c>
      <c r="X99" s="84">
        <v>7.0</v>
      </c>
      <c r="Y99" s="84" t="s">
        <v>5073</v>
      </c>
      <c r="Z99" s="84">
        <v>2.0</v>
      </c>
      <c r="AH99" s="84">
        <v>0.0</v>
      </c>
      <c r="AI99" s="84">
        <v>0.0</v>
      </c>
      <c r="AJ99" s="84">
        <v>0.0</v>
      </c>
      <c r="AK99" s="84">
        <v>0.0</v>
      </c>
      <c r="AL99" s="84">
        <v>0.0</v>
      </c>
      <c r="AM99" s="84">
        <v>1.0</v>
      </c>
      <c r="AN99" s="84">
        <v>0.0</v>
      </c>
      <c r="AO99" s="84">
        <v>0.0</v>
      </c>
      <c r="AP99" s="84">
        <v>0.0</v>
      </c>
      <c r="AQ99" s="84">
        <v>0.0</v>
      </c>
      <c r="AR99" s="84">
        <v>0.0</v>
      </c>
      <c r="AS99" s="84">
        <v>0.0</v>
      </c>
      <c r="AT99" s="84">
        <v>0.0</v>
      </c>
      <c r="AU99" s="84">
        <v>0.0</v>
      </c>
      <c r="AV99" s="84">
        <v>0.0</v>
      </c>
      <c r="AW99" s="84">
        <v>0.0</v>
      </c>
      <c r="AX99" s="84">
        <v>0.0</v>
      </c>
      <c r="AY99" s="84">
        <v>1.0</v>
      </c>
      <c r="AZ99" s="84">
        <v>8.0</v>
      </c>
      <c r="BH99" s="84">
        <v>108.0</v>
      </c>
      <c r="BI99" s="84" t="s">
        <v>5332</v>
      </c>
    </row>
    <row r="100" ht="12.75" customHeight="1">
      <c r="A100" s="84">
        <v>98.0</v>
      </c>
      <c r="B100" s="84" t="s">
        <v>2602</v>
      </c>
      <c r="C100" s="84">
        <v>1.0</v>
      </c>
      <c r="D100" s="84" t="s">
        <v>4916</v>
      </c>
      <c r="E100" s="84">
        <v>0.0</v>
      </c>
      <c r="F100" s="84" t="s">
        <v>5135</v>
      </c>
      <c r="G100" s="84">
        <v>40.0</v>
      </c>
      <c r="H100" s="84">
        <v>100.0</v>
      </c>
      <c r="I100" s="84">
        <v>30.0</v>
      </c>
      <c r="J100" s="84">
        <v>1.0</v>
      </c>
      <c r="N100" s="84">
        <v>0.0</v>
      </c>
      <c r="O100" s="84">
        <v>0.0</v>
      </c>
      <c r="P100" s="84">
        <v>0.0</v>
      </c>
      <c r="U100" s="84">
        <v>103.0</v>
      </c>
      <c r="X100" s="84">
        <v>0.0</v>
      </c>
      <c r="AH100" s="84">
        <v>1.0</v>
      </c>
      <c r="AI100" s="84">
        <v>0.0</v>
      </c>
      <c r="AJ100" s="84">
        <v>0.0</v>
      </c>
      <c r="AK100" s="84">
        <v>1.0</v>
      </c>
      <c r="AL100" s="84">
        <v>0.0</v>
      </c>
      <c r="AM100" s="84">
        <v>0.0</v>
      </c>
      <c r="AN100" s="84">
        <v>1.0</v>
      </c>
      <c r="AO100" s="84">
        <v>0.0</v>
      </c>
      <c r="AP100" s="84">
        <v>0.0</v>
      </c>
      <c r="AQ100" s="84">
        <v>0.0</v>
      </c>
      <c r="AR100" s="84">
        <v>0.0</v>
      </c>
      <c r="AS100" s="84">
        <v>0.0</v>
      </c>
      <c r="AT100" s="84">
        <v>0.0</v>
      </c>
      <c r="AU100" s="84">
        <v>0.0</v>
      </c>
      <c r="AV100" s="84">
        <v>0.0</v>
      </c>
      <c r="AW100" s="84">
        <v>0.0</v>
      </c>
      <c r="AX100" s="84">
        <v>0.0</v>
      </c>
      <c r="AY100" s="84">
        <v>1.0</v>
      </c>
      <c r="AZ100" s="84">
        <v>32.0</v>
      </c>
      <c r="BH100" s="84">
        <v>109.0</v>
      </c>
      <c r="BI100" s="84" t="s">
        <v>5333</v>
      </c>
    </row>
    <row r="101" ht="12.75" customHeight="1">
      <c r="A101" s="84">
        <v>99.0</v>
      </c>
      <c r="B101" s="84" t="s">
        <v>5334</v>
      </c>
      <c r="C101" s="84">
        <v>0.0</v>
      </c>
      <c r="D101" s="84" t="s">
        <v>4916</v>
      </c>
      <c r="E101" s="84">
        <v>0.0</v>
      </c>
      <c r="F101" s="84" t="s">
        <v>5135</v>
      </c>
      <c r="G101" s="84">
        <v>20.0</v>
      </c>
      <c r="H101" s="84">
        <v>100.0</v>
      </c>
      <c r="I101" s="84">
        <v>20.0</v>
      </c>
      <c r="J101" s="84"/>
      <c r="K101" s="84"/>
      <c r="L101" s="84"/>
      <c r="M101" s="84"/>
      <c r="N101" s="84">
        <v>0.0</v>
      </c>
      <c r="O101" s="84">
        <v>0.0</v>
      </c>
      <c r="P101" s="84">
        <v>0.0</v>
      </c>
      <c r="Q101" s="84"/>
      <c r="R101" s="84"/>
      <c r="S101" s="84"/>
      <c r="T101" s="84"/>
      <c r="U101" s="84">
        <v>81.0</v>
      </c>
      <c r="V101" s="84"/>
      <c r="W101" s="84"/>
      <c r="X101" s="84">
        <v>0.0</v>
      </c>
      <c r="Y101" s="84"/>
      <c r="Z101" s="84"/>
      <c r="AA101" s="84"/>
      <c r="AB101" s="84"/>
      <c r="AC101" s="84"/>
      <c r="AD101" s="84"/>
      <c r="AE101" s="84"/>
      <c r="AF101" s="84"/>
      <c r="AG101" s="84"/>
      <c r="AH101" s="84">
        <v>1.0</v>
      </c>
      <c r="AI101" s="84">
        <v>0.0</v>
      </c>
      <c r="AJ101" s="84">
        <v>0.0</v>
      </c>
      <c r="AK101" s="84">
        <v>1.0</v>
      </c>
      <c r="AL101" s="84">
        <v>0.0</v>
      </c>
      <c r="AM101" s="84">
        <v>0.0</v>
      </c>
      <c r="AN101" s="84">
        <v>1.0</v>
      </c>
      <c r="AO101" s="84">
        <v>0.0</v>
      </c>
      <c r="AP101" s="84">
        <v>0.0</v>
      </c>
      <c r="AQ101" s="84">
        <v>0.0</v>
      </c>
      <c r="AR101" s="84">
        <v>0.0</v>
      </c>
      <c r="AS101" s="84">
        <v>0.0</v>
      </c>
      <c r="AT101" s="84">
        <v>0.0</v>
      </c>
      <c r="AU101" s="84">
        <v>0.0</v>
      </c>
      <c r="AV101" s="84">
        <v>0.0</v>
      </c>
      <c r="AW101" s="84">
        <v>0.0</v>
      </c>
      <c r="AX101" s="84">
        <v>0.0</v>
      </c>
      <c r="AY101" s="84">
        <v>1.0</v>
      </c>
      <c r="AZ101" s="84">
        <v>0.0</v>
      </c>
      <c r="BH101" s="84">
        <v>111.0</v>
      </c>
      <c r="BI101" s="84" t="s">
        <v>5335</v>
      </c>
    </row>
    <row r="102" ht="12.75" customHeight="1">
      <c r="A102" s="84">
        <v>100.0</v>
      </c>
      <c r="B102" s="84" t="s">
        <v>5336</v>
      </c>
      <c r="C102" s="84">
        <v>1.0</v>
      </c>
      <c r="D102" s="84" t="s">
        <v>2659</v>
      </c>
      <c r="E102" s="84">
        <v>13.0</v>
      </c>
      <c r="F102" s="84" t="s">
        <v>5131</v>
      </c>
      <c r="G102" s="84">
        <v>0.0</v>
      </c>
      <c r="H102" s="84">
        <v>101.0</v>
      </c>
      <c r="I102" s="84">
        <v>20.0</v>
      </c>
      <c r="J102" s="84">
        <v>-6.0</v>
      </c>
      <c r="N102" s="84">
        <v>0.0</v>
      </c>
      <c r="O102" s="84">
        <v>0.0</v>
      </c>
      <c r="P102" s="84">
        <v>0.0</v>
      </c>
      <c r="U102" s="84">
        <v>153.0</v>
      </c>
      <c r="X102" s="84">
        <v>7.0</v>
      </c>
      <c r="AH102" s="84">
        <v>0.0</v>
      </c>
      <c r="AI102" s="84">
        <v>0.0</v>
      </c>
      <c r="AJ102" s="84">
        <v>0.0</v>
      </c>
      <c r="AK102" s="84">
        <v>0.0</v>
      </c>
      <c r="AL102" s="84">
        <v>0.0</v>
      </c>
      <c r="AM102" s="84">
        <v>0.0</v>
      </c>
      <c r="AN102" s="84">
        <v>0.0</v>
      </c>
      <c r="AO102" s="84">
        <v>0.0</v>
      </c>
      <c r="AP102" s="84">
        <v>0.0</v>
      </c>
      <c r="AQ102" s="84">
        <v>0.0</v>
      </c>
      <c r="AR102" s="84">
        <v>0.0</v>
      </c>
      <c r="AS102" s="84">
        <v>0.0</v>
      </c>
      <c r="AT102" s="84">
        <v>0.0</v>
      </c>
      <c r="AU102" s="84">
        <v>0.0</v>
      </c>
      <c r="AV102" s="84">
        <v>0.0</v>
      </c>
      <c r="AW102" s="84">
        <v>0.0</v>
      </c>
      <c r="AX102" s="84">
        <v>0.0</v>
      </c>
      <c r="AY102" s="84">
        <v>1.0</v>
      </c>
      <c r="AZ102" s="84">
        <v>0.0</v>
      </c>
      <c r="BH102" s="84">
        <v>112.0</v>
      </c>
      <c r="BI102" s="84" t="s">
        <v>5337</v>
      </c>
    </row>
    <row r="103" ht="12.75" customHeight="1">
      <c r="A103" s="84">
        <v>101.0</v>
      </c>
      <c r="B103" s="84" t="s">
        <v>2951</v>
      </c>
      <c r="C103" s="84">
        <v>1.0</v>
      </c>
      <c r="D103" s="84" t="s">
        <v>4945</v>
      </c>
      <c r="E103" s="84">
        <v>0.0</v>
      </c>
      <c r="F103" s="84" t="s">
        <v>5172</v>
      </c>
      <c r="G103" s="84">
        <v>1.0</v>
      </c>
      <c r="H103" s="84">
        <v>100.0</v>
      </c>
      <c r="I103" s="84">
        <v>15.0</v>
      </c>
      <c r="N103" s="84">
        <v>0.0</v>
      </c>
      <c r="O103" s="84">
        <v>0.0</v>
      </c>
      <c r="P103" s="84">
        <v>0.0</v>
      </c>
      <c r="U103" s="84">
        <v>87.0</v>
      </c>
      <c r="X103" s="84">
        <v>0.0</v>
      </c>
      <c r="AH103" s="84">
        <v>0.0</v>
      </c>
      <c r="AI103" s="84">
        <v>0.0</v>
      </c>
      <c r="AJ103" s="84">
        <v>0.0</v>
      </c>
      <c r="AK103" s="84">
        <v>1.0</v>
      </c>
      <c r="AL103" s="84">
        <v>0.0</v>
      </c>
      <c r="AM103" s="84">
        <v>0.0</v>
      </c>
      <c r="AN103" s="84">
        <v>1.0</v>
      </c>
      <c r="AO103" s="84">
        <v>0.0</v>
      </c>
      <c r="AP103" s="84">
        <v>0.0</v>
      </c>
      <c r="AQ103" s="84">
        <v>0.0</v>
      </c>
      <c r="AR103" s="84">
        <v>0.0</v>
      </c>
      <c r="AS103" s="84">
        <v>0.0</v>
      </c>
      <c r="AT103" s="84">
        <v>0.0</v>
      </c>
      <c r="AU103" s="84">
        <v>0.0</v>
      </c>
      <c r="AV103" s="84">
        <v>0.0</v>
      </c>
      <c r="AW103" s="84">
        <v>0.0</v>
      </c>
      <c r="AX103" s="84">
        <v>0.0</v>
      </c>
      <c r="AY103" s="84">
        <v>1.0</v>
      </c>
      <c r="AZ103" s="84">
        <v>48.0</v>
      </c>
      <c r="BH103" s="84">
        <v>113.0</v>
      </c>
      <c r="BI103" s="84" t="s">
        <v>5338</v>
      </c>
    </row>
    <row r="104" ht="12.75" customHeight="1">
      <c r="A104" s="84">
        <v>102.0</v>
      </c>
      <c r="B104" s="84" t="s">
        <v>3645</v>
      </c>
      <c r="C104" s="84">
        <v>1.0</v>
      </c>
      <c r="D104" s="84" t="s">
        <v>4916</v>
      </c>
      <c r="E104" s="84">
        <v>13.0</v>
      </c>
      <c r="F104" s="84" t="s">
        <v>5131</v>
      </c>
      <c r="G104" s="84">
        <v>0.0</v>
      </c>
      <c r="H104" s="84">
        <v>101.0</v>
      </c>
      <c r="I104" s="84">
        <v>10.0</v>
      </c>
      <c r="N104" s="84">
        <v>0.0</v>
      </c>
      <c r="O104" s="84">
        <v>0.0</v>
      </c>
      <c r="P104" s="84">
        <v>0.0</v>
      </c>
      <c r="U104" s="84">
        <v>82.0</v>
      </c>
      <c r="X104" s="84">
        <v>0.0</v>
      </c>
      <c r="AH104" s="84">
        <v>0.0</v>
      </c>
      <c r="AI104" s="84">
        <v>0.0</v>
      </c>
      <c r="AJ104" s="84">
        <v>0.0</v>
      </c>
      <c r="AK104" s="84">
        <v>1.0</v>
      </c>
      <c r="AL104" s="84">
        <v>0.0</v>
      </c>
      <c r="AM104" s="84">
        <v>0.0</v>
      </c>
      <c r="AN104" s="84">
        <v>0.0</v>
      </c>
      <c r="AO104" s="84">
        <v>0.0</v>
      </c>
      <c r="AP104" s="84">
        <v>0.0</v>
      </c>
      <c r="AQ104" s="84">
        <v>0.0</v>
      </c>
      <c r="AR104" s="84">
        <v>0.0</v>
      </c>
      <c r="AS104" s="84">
        <v>0.0</v>
      </c>
      <c r="AT104" s="84">
        <v>0.0</v>
      </c>
      <c r="AU104" s="84">
        <v>1.0</v>
      </c>
      <c r="AV104" s="84">
        <v>0.0</v>
      </c>
      <c r="AW104" s="84">
        <v>1.0</v>
      </c>
      <c r="AX104" s="84">
        <v>0.0</v>
      </c>
      <c r="AY104" s="84">
        <v>0.0</v>
      </c>
      <c r="AZ104" s="84">
        <v>48.0</v>
      </c>
      <c r="BH104" s="84">
        <v>114.0</v>
      </c>
      <c r="BI104" s="84" t="s">
        <v>5256</v>
      </c>
    </row>
    <row r="105" ht="12.75" customHeight="1">
      <c r="A105" s="84">
        <v>103.0</v>
      </c>
      <c r="B105" s="84" t="s">
        <v>2608</v>
      </c>
      <c r="C105" s="84">
        <v>1.0</v>
      </c>
      <c r="D105" s="84" t="s">
        <v>4916</v>
      </c>
      <c r="E105" s="84">
        <v>2.0</v>
      </c>
      <c r="F105" s="84" t="s">
        <v>5131</v>
      </c>
      <c r="G105" s="84">
        <v>0.0</v>
      </c>
      <c r="H105" s="84">
        <v>85.0</v>
      </c>
      <c r="I105" s="84">
        <v>40.0</v>
      </c>
      <c r="N105" s="84">
        <v>0.0</v>
      </c>
      <c r="O105" s="84">
        <v>0.0</v>
      </c>
      <c r="P105" s="84">
        <v>0.0</v>
      </c>
      <c r="U105" s="84">
        <v>59.0</v>
      </c>
      <c r="X105" s="84">
        <v>0.0</v>
      </c>
      <c r="Y105" s="84" t="s">
        <v>21</v>
      </c>
      <c r="Z105" s="84">
        <v>-2.0</v>
      </c>
      <c r="AH105" s="84">
        <v>0.0</v>
      </c>
      <c r="AI105" s="84">
        <v>0.0</v>
      </c>
      <c r="AJ105" s="84">
        <v>0.0</v>
      </c>
      <c r="AK105" s="84">
        <v>1.0</v>
      </c>
      <c r="AL105" s="84">
        <v>1.0</v>
      </c>
      <c r="AM105" s="84">
        <v>0.0</v>
      </c>
      <c r="AN105" s="84">
        <v>1.0</v>
      </c>
      <c r="AO105" s="84">
        <v>0.0</v>
      </c>
      <c r="AP105" s="84">
        <v>1.0</v>
      </c>
      <c r="AQ105" s="84">
        <v>0.0</v>
      </c>
      <c r="AR105" s="84">
        <v>0.0</v>
      </c>
      <c r="AS105" s="84">
        <v>0.0</v>
      </c>
      <c r="AT105" s="84">
        <v>0.0</v>
      </c>
      <c r="AU105" s="84">
        <v>1.0</v>
      </c>
      <c r="AV105" s="84">
        <v>0.0</v>
      </c>
      <c r="AW105" s="84">
        <v>1.0</v>
      </c>
      <c r="AX105" s="84">
        <v>0.0</v>
      </c>
      <c r="AY105" s="84">
        <v>1.0</v>
      </c>
      <c r="AZ105" s="84">
        <v>5.0</v>
      </c>
      <c r="BH105" s="84">
        <v>115.0</v>
      </c>
      <c r="BI105" s="84" t="s">
        <v>5339</v>
      </c>
    </row>
    <row r="106" ht="12.75" customHeight="1">
      <c r="A106" s="84">
        <v>104.0</v>
      </c>
      <c r="B106" s="84" t="s">
        <v>2532</v>
      </c>
      <c r="C106" s="84">
        <v>1.0</v>
      </c>
      <c r="D106" s="84" t="s">
        <v>4916</v>
      </c>
      <c r="E106" s="84">
        <v>2.0</v>
      </c>
      <c r="F106" s="84" t="s">
        <v>5131</v>
      </c>
      <c r="G106" s="84">
        <v>0.0</v>
      </c>
      <c r="H106" s="84">
        <v>101.0</v>
      </c>
      <c r="I106" s="84">
        <v>15.0</v>
      </c>
      <c r="N106" s="84">
        <v>0.0</v>
      </c>
      <c r="O106" s="84">
        <v>0.0</v>
      </c>
      <c r="P106" s="84">
        <v>0.0</v>
      </c>
      <c r="U106" s="84">
        <v>16.0</v>
      </c>
      <c r="X106" s="84">
        <v>7.0</v>
      </c>
      <c r="Y106" s="84" t="s">
        <v>882</v>
      </c>
      <c r="Z106" s="84">
        <v>1.0</v>
      </c>
      <c r="AH106" s="84">
        <v>0.0</v>
      </c>
      <c r="AI106" s="84">
        <v>0.0</v>
      </c>
      <c r="AJ106" s="84">
        <v>0.0</v>
      </c>
      <c r="AK106" s="84">
        <v>0.0</v>
      </c>
      <c r="AL106" s="84">
        <v>0.0</v>
      </c>
      <c r="AM106" s="84">
        <v>1.0</v>
      </c>
      <c r="AN106" s="84">
        <v>0.0</v>
      </c>
      <c r="AO106" s="84">
        <v>0.0</v>
      </c>
      <c r="AP106" s="84">
        <v>0.0</v>
      </c>
      <c r="AQ106" s="84">
        <v>0.0</v>
      </c>
      <c r="AR106" s="84">
        <v>0.0</v>
      </c>
      <c r="AS106" s="84">
        <v>0.0</v>
      </c>
      <c r="AT106" s="84">
        <v>0.0</v>
      </c>
      <c r="AU106" s="84">
        <v>0.0</v>
      </c>
      <c r="AV106" s="84">
        <v>0.0</v>
      </c>
      <c r="AW106" s="84">
        <v>0.0</v>
      </c>
      <c r="AX106" s="84">
        <v>0.0</v>
      </c>
      <c r="AY106" s="84">
        <v>1.0</v>
      </c>
      <c r="AZ106" s="84">
        <v>7.0</v>
      </c>
      <c r="BH106" s="84">
        <v>116.0</v>
      </c>
      <c r="BI106" s="84" t="s">
        <v>5340</v>
      </c>
    </row>
    <row r="107" ht="12.75" customHeight="1">
      <c r="A107" s="84">
        <v>105.0</v>
      </c>
      <c r="B107" s="84" t="s">
        <v>3428</v>
      </c>
      <c r="C107" s="84">
        <v>1.0</v>
      </c>
      <c r="D107" s="84" t="s">
        <v>4916</v>
      </c>
      <c r="E107" s="84">
        <v>3.0</v>
      </c>
      <c r="F107" s="84" t="s">
        <v>5131</v>
      </c>
      <c r="G107" s="84">
        <v>0.0</v>
      </c>
      <c r="H107" s="84">
        <v>101.0</v>
      </c>
      <c r="I107" s="84">
        <v>10.0</v>
      </c>
      <c r="N107" s="84">
        <v>0.0</v>
      </c>
      <c r="O107" s="84">
        <v>0.0</v>
      </c>
      <c r="P107" s="84">
        <v>0.0</v>
      </c>
      <c r="U107" s="84">
        <v>32.0</v>
      </c>
      <c r="W107" s="84">
        <v>50.0</v>
      </c>
      <c r="X107" s="84">
        <v>7.0</v>
      </c>
      <c r="AH107" s="84">
        <v>0.0</v>
      </c>
      <c r="AI107" s="84">
        <v>0.0</v>
      </c>
      <c r="AJ107" s="84">
        <v>0.0</v>
      </c>
      <c r="AK107" s="84">
        <v>0.0</v>
      </c>
      <c r="AL107" s="84">
        <v>0.0</v>
      </c>
      <c r="AM107" s="84">
        <v>1.0</v>
      </c>
      <c r="AN107" s="84">
        <v>0.0</v>
      </c>
      <c r="AO107" s="84">
        <v>0.0</v>
      </c>
      <c r="AP107" s="84">
        <v>0.0</v>
      </c>
      <c r="AQ107" s="84">
        <v>0.0</v>
      </c>
      <c r="AR107" s="84">
        <v>0.0</v>
      </c>
      <c r="AS107" s="84">
        <v>0.0</v>
      </c>
      <c r="AT107" s="84">
        <v>1.0</v>
      </c>
      <c r="AU107" s="84">
        <v>0.0</v>
      </c>
      <c r="AV107" s="84">
        <v>0.0</v>
      </c>
      <c r="AW107" s="84">
        <v>0.0</v>
      </c>
      <c r="AX107" s="84">
        <v>0.0</v>
      </c>
      <c r="AY107" s="84">
        <v>1.0</v>
      </c>
      <c r="AZ107" s="84">
        <v>16.0</v>
      </c>
      <c r="BH107" s="84">
        <v>117.0</v>
      </c>
      <c r="BI107" s="84" t="s">
        <v>5341</v>
      </c>
    </row>
    <row r="108" ht="12.75" customHeight="1">
      <c r="A108" s="84">
        <v>106.0</v>
      </c>
      <c r="B108" s="84" t="s">
        <v>2986</v>
      </c>
      <c r="C108" s="84">
        <v>1.0</v>
      </c>
      <c r="D108" s="84" t="s">
        <v>4916</v>
      </c>
      <c r="E108" s="84">
        <v>2.0</v>
      </c>
      <c r="F108" s="84" t="s">
        <v>5131</v>
      </c>
      <c r="G108" s="84">
        <v>0.0</v>
      </c>
      <c r="H108" s="84">
        <v>101.0</v>
      </c>
      <c r="I108" s="84">
        <v>30.0</v>
      </c>
      <c r="N108" s="84">
        <v>0.0</v>
      </c>
      <c r="O108" s="84">
        <v>0.0</v>
      </c>
      <c r="P108" s="84">
        <v>0.0</v>
      </c>
      <c r="U108" s="84">
        <v>11.0</v>
      </c>
      <c r="X108" s="84">
        <v>7.0</v>
      </c>
      <c r="Y108" s="84" t="s">
        <v>21</v>
      </c>
      <c r="Z108" s="84">
        <v>1.0</v>
      </c>
      <c r="AH108" s="84">
        <v>0.0</v>
      </c>
      <c r="AI108" s="84">
        <v>0.0</v>
      </c>
      <c r="AJ108" s="84">
        <v>0.0</v>
      </c>
      <c r="AK108" s="84">
        <v>0.0</v>
      </c>
      <c r="AL108" s="84">
        <v>0.0</v>
      </c>
      <c r="AM108" s="84">
        <v>1.0</v>
      </c>
      <c r="AN108" s="84">
        <v>0.0</v>
      </c>
      <c r="AO108" s="84">
        <v>0.0</v>
      </c>
      <c r="AP108" s="84">
        <v>0.0</v>
      </c>
      <c r="AQ108" s="84">
        <v>0.0</v>
      </c>
      <c r="AR108" s="84">
        <v>0.0</v>
      </c>
      <c r="AS108" s="84">
        <v>0.0</v>
      </c>
      <c r="AT108" s="84">
        <v>0.0</v>
      </c>
      <c r="AU108" s="84">
        <v>0.0</v>
      </c>
      <c r="AV108" s="84">
        <v>0.0</v>
      </c>
      <c r="AW108" s="84">
        <v>0.0</v>
      </c>
      <c r="AX108" s="84">
        <v>0.0</v>
      </c>
      <c r="AY108" s="84">
        <v>1.0</v>
      </c>
      <c r="AZ108" s="84">
        <v>6.0</v>
      </c>
      <c r="BH108" s="84">
        <v>118.0</v>
      </c>
      <c r="BI108" s="84" t="s">
        <v>5342</v>
      </c>
    </row>
    <row r="109" ht="12.75" customHeight="1">
      <c r="A109" s="84">
        <v>107.0</v>
      </c>
      <c r="B109" s="84" t="s">
        <v>2530</v>
      </c>
      <c r="C109" s="84">
        <v>1.0</v>
      </c>
      <c r="D109" s="84" t="s">
        <v>4916</v>
      </c>
      <c r="E109" s="84">
        <v>2.0</v>
      </c>
      <c r="F109" s="84" t="s">
        <v>5131</v>
      </c>
      <c r="G109" s="84">
        <v>0.0</v>
      </c>
      <c r="H109" s="84">
        <v>101.0</v>
      </c>
      <c r="I109" s="84">
        <v>10.0</v>
      </c>
      <c r="N109" s="84">
        <v>0.0</v>
      </c>
      <c r="O109" s="84">
        <v>0.0</v>
      </c>
      <c r="P109" s="84">
        <v>0.0</v>
      </c>
      <c r="U109" s="84">
        <v>108.0</v>
      </c>
      <c r="X109" s="84">
        <v>7.0</v>
      </c>
      <c r="Y109" s="84" t="s">
        <v>882</v>
      </c>
      <c r="Z109" s="84">
        <v>2.0</v>
      </c>
      <c r="AH109" s="84">
        <v>0.0</v>
      </c>
      <c r="AI109" s="84">
        <v>0.0</v>
      </c>
      <c r="AJ109" s="84">
        <v>0.0</v>
      </c>
      <c r="AK109" s="84">
        <v>0.0</v>
      </c>
      <c r="AL109" s="84">
        <v>0.0</v>
      </c>
      <c r="AM109" s="84">
        <v>1.0</v>
      </c>
      <c r="AN109" s="84">
        <v>0.0</v>
      </c>
      <c r="AO109" s="84">
        <v>0.0</v>
      </c>
      <c r="AP109" s="84">
        <v>0.0</v>
      </c>
      <c r="AQ109" s="84">
        <v>0.0</v>
      </c>
      <c r="AR109" s="84">
        <v>0.0</v>
      </c>
      <c r="AS109" s="84">
        <v>0.0</v>
      </c>
      <c r="AT109" s="84">
        <v>0.0</v>
      </c>
      <c r="AU109" s="84">
        <v>0.0</v>
      </c>
      <c r="AV109" s="84">
        <v>0.0</v>
      </c>
      <c r="AW109" s="84">
        <v>0.0</v>
      </c>
      <c r="AX109" s="84">
        <v>0.0</v>
      </c>
      <c r="AY109" s="84">
        <v>1.0</v>
      </c>
      <c r="AZ109" s="84">
        <v>8.0</v>
      </c>
      <c r="BH109" s="84">
        <v>119.0</v>
      </c>
      <c r="BI109" s="84" t="s">
        <v>5343</v>
      </c>
    </row>
    <row r="110" ht="12.75" customHeight="1">
      <c r="A110" s="84">
        <v>108.0</v>
      </c>
      <c r="B110" s="84" t="s">
        <v>2582</v>
      </c>
      <c r="C110" s="84">
        <v>1.0</v>
      </c>
      <c r="D110" s="84" t="s">
        <v>4916</v>
      </c>
      <c r="E110" s="84">
        <v>2.0</v>
      </c>
      <c r="F110" s="84" t="s">
        <v>5131</v>
      </c>
      <c r="G110" s="84">
        <v>0.0</v>
      </c>
      <c r="H110" s="84">
        <v>100.0</v>
      </c>
      <c r="I110" s="84">
        <v>20.0</v>
      </c>
      <c r="N110" s="84">
        <v>0.0</v>
      </c>
      <c r="O110" s="84">
        <v>0.0</v>
      </c>
      <c r="P110" s="84">
        <v>0.0</v>
      </c>
      <c r="U110" s="84">
        <v>23.0</v>
      </c>
      <c r="X110" s="84">
        <v>0.0</v>
      </c>
      <c r="Y110" s="84" t="s">
        <v>5092</v>
      </c>
      <c r="Z110" s="84">
        <v>-1.0</v>
      </c>
      <c r="AH110" s="84">
        <v>0.0</v>
      </c>
      <c r="AI110" s="84">
        <v>0.0</v>
      </c>
      <c r="AJ110" s="84">
        <v>0.0</v>
      </c>
      <c r="AK110" s="84">
        <v>1.0</v>
      </c>
      <c r="AL110" s="84">
        <v>1.0</v>
      </c>
      <c r="AM110" s="84">
        <v>0.0</v>
      </c>
      <c r="AN110" s="84">
        <v>1.0</v>
      </c>
      <c r="AO110" s="84">
        <v>0.0</v>
      </c>
      <c r="AP110" s="84">
        <v>0.0</v>
      </c>
      <c r="AQ110" s="84">
        <v>0.0</v>
      </c>
      <c r="AR110" s="84">
        <v>0.0</v>
      </c>
      <c r="AS110" s="84">
        <v>0.0</v>
      </c>
      <c r="AT110" s="84">
        <v>0.0</v>
      </c>
      <c r="AU110" s="84">
        <v>0.0</v>
      </c>
      <c r="AV110" s="84">
        <v>0.0</v>
      </c>
      <c r="AW110" s="84">
        <v>0.0</v>
      </c>
      <c r="AX110" s="84">
        <v>0.0</v>
      </c>
      <c r="AY110" s="84">
        <v>1.0</v>
      </c>
      <c r="AZ110" s="84">
        <v>3.0</v>
      </c>
      <c r="BH110" s="84">
        <v>120.0</v>
      </c>
      <c r="BI110" s="84" t="s">
        <v>5344</v>
      </c>
    </row>
    <row r="111" ht="12.75" customHeight="1">
      <c r="A111" s="84">
        <v>109.0</v>
      </c>
      <c r="B111" s="84" t="s">
        <v>2536</v>
      </c>
      <c r="C111" s="84">
        <v>1.0</v>
      </c>
      <c r="D111" s="84" t="s">
        <v>4945</v>
      </c>
      <c r="E111" s="84">
        <v>1.0</v>
      </c>
      <c r="F111" s="84" t="s">
        <v>5131</v>
      </c>
      <c r="G111" s="84">
        <v>0.0</v>
      </c>
      <c r="H111" s="84">
        <v>100.0</v>
      </c>
      <c r="I111" s="84">
        <v>10.0</v>
      </c>
      <c r="M111" s="84" t="s">
        <v>5255</v>
      </c>
      <c r="N111" s="84">
        <v>6.0</v>
      </c>
      <c r="O111" s="84">
        <v>0.0</v>
      </c>
      <c r="P111" s="84">
        <v>2.0</v>
      </c>
      <c r="Q111" s="84">
        <v>2.0</v>
      </c>
      <c r="R111" s="84">
        <v>5.0</v>
      </c>
      <c r="U111" s="84">
        <v>49.0</v>
      </c>
      <c r="X111" s="84">
        <v>0.0</v>
      </c>
      <c r="AH111" s="84">
        <v>0.0</v>
      </c>
      <c r="AI111" s="84">
        <v>0.0</v>
      </c>
      <c r="AJ111" s="84">
        <v>0.0</v>
      </c>
      <c r="AK111" s="84">
        <v>1.0</v>
      </c>
      <c r="AL111" s="84">
        <v>1.0</v>
      </c>
      <c r="AM111" s="84">
        <v>0.0</v>
      </c>
      <c r="AN111" s="84">
        <v>1.0</v>
      </c>
      <c r="AO111" s="84">
        <v>0.0</v>
      </c>
      <c r="AP111" s="84">
        <v>0.0</v>
      </c>
      <c r="AQ111" s="84">
        <v>0.0</v>
      </c>
      <c r="AR111" s="84">
        <v>0.0</v>
      </c>
      <c r="AS111" s="84">
        <v>0.0</v>
      </c>
      <c r="AT111" s="84">
        <v>0.0</v>
      </c>
      <c r="AU111" s="84">
        <v>0.0</v>
      </c>
      <c r="AV111" s="84">
        <v>0.0</v>
      </c>
      <c r="AW111" s="84">
        <v>0.0</v>
      </c>
      <c r="AX111" s="84">
        <v>0.0</v>
      </c>
      <c r="AY111" s="84">
        <v>1.0</v>
      </c>
      <c r="AZ111" s="84">
        <v>13.0</v>
      </c>
      <c r="BH111" s="84">
        <v>121.0</v>
      </c>
      <c r="BI111" s="84" t="s">
        <v>5345</v>
      </c>
    </row>
    <row r="112" ht="12.75" customHeight="1">
      <c r="A112" s="84">
        <v>110.0</v>
      </c>
      <c r="B112" s="84" t="s">
        <v>2589</v>
      </c>
      <c r="C112" s="84">
        <v>1.0</v>
      </c>
      <c r="D112" s="84" t="s">
        <v>4908</v>
      </c>
      <c r="E112" s="84">
        <v>2.0</v>
      </c>
      <c r="F112" s="84" t="s">
        <v>5131</v>
      </c>
      <c r="G112" s="84">
        <v>0.0</v>
      </c>
      <c r="H112" s="84">
        <v>101.0</v>
      </c>
      <c r="I112" s="84">
        <v>40.0</v>
      </c>
      <c r="N112" s="84">
        <v>0.0</v>
      </c>
      <c r="O112" s="84">
        <v>0.0</v>
      </c>
      <c r="P112" s="84">
        <v>0.0</v>
      </c>
      <c r="U112" s="84">
        <v>11.0</v>
      </c>
      <c r="X112" s="84">
        <v>7.0</v>
      </c>
      <c r="Y112" s="84" t="s">
        <v>21</v>
      </c>
      <c r="Z112" s="84">
        <v>1.0</v>
      </c>
      <c r="AH112" s="84">
        <v>0.0</v>
      </c>
      <c r="AI112" s="84">
        <v>0.0</v>
      </c>
      <c r="AJ112" s="84">
        <v>0.0</v>
      </c>
      <c r="AK112" s="84">
        <v>0.0</v>
      </c>
      <c r="AL112" s="84">
        <v>0.0</v>
      </c>
      <c r="AM112" s="84">
        <v>1.0</v>
      </c>
      <c r="AN112" s="84">
        <v>0.0</v>
      </c>
      <c r="AO112" s="84">
        <v>0.0</v>
      </c>
      <c r="AP112" s="84">
        <v>0.0</v>
      </c>
      <c r="AQ112" s="84">
        <v>0.0</v>
      </c>
      <c r="AR112" s="84">
        <v>0.0</v>
      </c>
      <c r="AS112" s="84">
        <v>0.0</v>
      </c>
      <c r="AT112" s="84">
        <v>0.0</v>
      </c>
      <c r="AU112" s="84">
        <v>0.0</v>
      </c>
      <c r="AV112" s="84">
        <v>0.0</v>
      </c>
      <c r="AW112" s="84">
        <v>0.0</v>
      </c>
      <c r="AX112" s="84">
        <v>0.0</v>
      </c>
      <c r="AY112" s="84">
        <v>1.0</v>
      </c>
      <c r="AZ112" s="84">
        <v>6.0</v>
      </c>
      <c r="BH112" s="84">
        <v>122.0</v>
      </c>
      <c r="BI112" s="84" t="s">
        <v>5346</v>
      </c>
    </row>
    <row r="113" ht="12.75" customHeight="1">
      <c r="A113" s="84">
        <v>111.0</v>
      </c>
      <c r="B113" s="84" t="s">
        <v>2895</v>
      </c>
      <c r="C113" s="84">
        <v>1.0</v>
      </c>
      <c r="D113" s="84" t="s">
        <v>4916</v>
      </c>
      <c r="E113" s="84">
        <v>2.0</v>
      </c>
      <c r="F113" s="84" t="s">
        <v>5131</v>
      </c>
      <c r="G113" s="84">
        <v>0.0</v>
      </c>
      <c r="H113" s="84">
        <v>101.0</v>
      </c>
      <c r="I113" s="84">
        <v>40.0</v>
      </c>
      <c r="N113" s="84">
        <v>0.0</v>
      </c>
      <c r="O113" s="84">
        <v>0.0</v>
      </c>
      <c r="P113" s="84">
        <v>0.0</v>
      </c>
      <c r="U113" s="84">
        <v>156.0</v>
      </c>
      <c r="X113" s="84">
        <v>7.0</v>
      </c>
      <c r="Y113" s="84" t="s">
        <v>21</v>
      </c>
      <c r="Z113" s="84">
        <v>1.0</v>
      </c>
      <c r="AH113" s="84">
        <v>0.0</v>
      </c>
      <c r="AI113" s="84">
        <v>0.0</v>
      </c>
      <c r="AJ113" s="84">
        <v>0.0</v>
      </c>
      <c r="AK113" s="84">
        <v>0.0</v>
      </c>
      <c r="AL113" s="84">
        <v>0.0</v>
      </c>
      <c r="AM113" s="84">
        <v>1.0</v>
      </c>
      <c r="AN113" s="84">
        <v>0.0</v>
      </c>
      <c r="AO113" s="84">
        <v>0.0</v>
      </c>
      <c r="AP113" s="84">
        <v>0.0</v>
      </c>
      <c r="AQ113" s="84">
        <v>0.0</v>
      </c>
      <c r="AR113" s="84">
        <v>0.0</v>
      </c>
      <c r="AS113" s="84">
        <v>0.0</v>
      </c>
      <c r="AT113" s="84">
        <v>0.0</v>
      </c>
      <c r="AU113" s="84">
        <v>0.0</v>
      </c>
      <c r="AV113" s="84">
        <v>0.0</v>
      </c>
      <c r="AW113" s="84">
        <v>0.0</v>
      </c>
      <c r="AX113" s="84">
        <v>0.0</v>
      </c>
      <c r="AY113" s="84">
        <v>1.0</v>
      </c>
      <c r="AZ113" s="84">
        <v>7.0</v>
      </c>
      <c r="BH113" s="84">
        <v>123.0</v>
      </c>
      <c r="BI113" s="84" t="s">
        <v>5347</v>
      </c>
    </row>
    <row r="114" ht="12.75" customHeight="1">
      <c r="A114" s="84">
        <v>112.0</v>
      </c>
      <c r="B114" s="84" t="s">
        <v>5348</v>
      </c>
      <c r="C114" s="84">
        <v>0.0</v>
      </c>
      <c r="D114" s="84" t="s">
        <v>2659</v>
      </c>
      <c r="E114" s="84">
        <v>2.0</v>
      </c>
      <c r="F114" s="84" t="s">
        <v>5131</v>
      </c>
      <c r="G114" s="84">
        <v>0.0</v>
      </c>
      <c r="H114" s="84">
        <v>101.0</v>
      </c>
      <c r="I114" s="84">
        <v>20.0</v>
      </c>
      <c r="J114" s="84"/>
      <c r="K114" s="84"/>
      <c r="L114" s="84"/>
      <c r="M114" s="84"/>
      <c r="N114" s="84">
        <v>0.0</v>
      </c>
      <c r="O114" s="84">
        <v>0.0</v>
      </c>
      <c r="P114" s="84">
        <v>0.0</v>
      </c>
      <c r="Q114" s="84"/>
      <c r="R114" s="84"/>
      <c r="S114" s="84"/>
      <c r="T114" s="84"/>
      <c r="U114" s="84">
        <v>51.0</v>
      </c>
      <c r="V114" s="84"/>
      <c r="W114" s="84"/>
      <c r="X114" s="84">
        <v>7.0</v>
      </c>
      <c r="Y114" s="84" t="s">
        <v>21</v>
      </c>
      <c r="Z114" s="84">
        <v>2.0</v>
      </c>
      <c r="AA114" s="84"/>
      <c r="AB114" s="84"/>
      <c r="AC114" s="84"/>
      <c r="AD114" s="84"/>
      <c r="AE114" s="84"/>
      <c r="AF114" s="84"/>
      <c r="AG114" s="84"/>
      <c r="AH114" s="84">
        <v>0.0</v>
      </c>
      <c r="AI114" s="84">
        <v>0.0</v>
      </c>
      <c r="AJ114" s="84">
        <v>0.0</v>
      </c>
      <c r="AK114" s="84">
        <v>0.0</v>
      </c>
      <c r="AL114" s="84">
        <v>0.0</v>
      </c>
      <c r="AM114" s="84">
        <v>1.0</v>
      </c>
      <c r="AN114" s="84">
        <v>0.0</v>
      </c>
      <c r="AO114" s="84">
        <v>0.0</v>
      </c>
      <c r="AP114" s="84">
        <v>0.0</v>
      </c>
      <c r="AQ114" s="84">
        <v>0.0</v>
      </c>
      <c r="AR114" s="84">
        <v>0.0</v>
      </c>
      <c r="AS114" s="84">
        <v>0.0</v>
      </c>
      <c r="AT114" s="84">
        <v>0.0</v>
      </c>
      <c r="AU114" s="84">
        <v>0.0</v>
      </c>
      <c r="AV114" s="84">
        <v>0.0</v>
      </c>
      <c r="AW114" s="84">
        <v>0.0</v>
      </c>
      <c r="AX114" s="84">
        <v>0.0</v>
      </c>
      <c r="AY114" s="84">
        <v>1.0</v>
      </c>
      <c r="AZ114" s="84">
        <v>0.0</v>
      </c>
      <c r="BH114" s="84">
        <v>124.0</v>
      </c>
      <c r="BI114" s="84" t="s">
        <v>5349</v>
      </c>
    </row>
    <row r="115" ht="12.75" customHeight="1">
      <c r="A115" s="84">
        <v>113.0</v>
      </c>
      <c r="B115" s="84" t="s">
        <v>2596</v>
      </c>
      <c r="C115" s="84">
        <v>1.0</v>
      </c>
      <c r="D115" s="84" t="s">
        <v>2659</v>
      </c>
      <c r="E115" s="84">
        <v>11.0</v>
      </c>
      <c r="F115" s="84" t="s">
        <v>5131</v>
      </c>
      <c r="G115" s="84">
        <v>0.0</v>
      </c>
      <c r="H115" s="84">
        <v>101.0</v>
      </c>
      <c r="I115" s="84">
        <v>30.0</v>
      </c>
      <c r="N115" s="84">
        <v>0.0</v>
      </c>
      <c r="O115" s="84">
        <v>0.0</v>
      </c>
      <c r="P115" s="84">
        <v>0.0</v>
      </c>
      <c r="U115" s="84">
        <v>35.0</v>
      </c>
      <c r="X115" s="84">
        <v>12.0</v>
      </c>
      <c r="AH115" s="84">
        <v>0.0</v>
      </c>
      <c r="AI115" s="84">
        <v>0.0</v>
      </c>
      <c r="AJ115" s="84">
        <v>0.0</v>
      </c>
      <c r="AK115" s="84">
        <v>0.0</v>
      </c>
      <c r="AL115" s="84">
        <v>0.0</v>
      </c>
      <c r="AM115" s="84">
        <v>1.0</v>
      </c>
      <c r="AN115" s="84">
        <v>0.0</v>
      </c>
      <c r="AO115" s="84">
        <v>0.0</v>
      </c>
      <c r="AP115" s="84">
        <v>0.0</v>
      </c>
      <c r="AQ115" s="84">
        <v>0.0</v>
      </c>
      <c r="AR115" s="84">
        <v>0.0</v>
      </c>
      <c r="AS115" s="84">
        <v>0.0</v>
      </c>
      <c r="AT115" s="84">
        <v>0.0</v>
      </c>
      <c r="AU115" s="84">
        <v>0.0</v>
      </c>
      <c r="AV115" s="84">
        <v>0.0</v>
      </c>
      <c r="AW115" s="84">
        <v>0.0</v>
      </c>
      <c r="AX115" s="84">
        <v>0.0</v>
      </c>
      <c r="AY115" s="84">
        <v>1.0</v>
      </c>
      <c r="AZ115" s="84">
        <v>17.0</v>
      </c>
      <c r="BH115" s="84">
        <v>125.0</v>
      </c>
      <c r="BI115" s="84" t="s">
        <v>5350</v>
      </c>
    </row>
    <row r="116" ht="12.75" customHeight="1">
      <c r="A116" s="84">
        <v>114.0</v>
      </c>
      <c r="B116" s="84" t="s">
        <v>3063</v>
      </c>
      <c r="C116" s="84">
        <v>1.0</v>
      </c>
      <c r="D116" s="84" t="s">
        <v>4942</v>
      </c>
      <c r="E116" s="84">
        <v>10.0</v>
      </c>
      <c r="F116" s="84" t="s">
        <v>5131</v>
      </c>
      <c r="G116" s="84">
        <v>0.0</v>
      </c>
      <c r="H116" s="84">
        <v>101.0</v>
      </c>
      <c r="I116" s="84">
        <v>30.0</v>
      </c>
      <c r="N116" s="84">
        <v>0.0</v>
      </c>
      <c r="O116" s="84">
        <v>0.0</v>
      </c>
      <c r="P116" s="84">
        <v>0.0</v>
      </c>
      <c r="U116" s="84">
        <v>25.0</v>
      </c>
      <c r="X116" s="84">
        <v>10.0</v>
      </c>
      <c r="AH116" s="84">
        <v>0.0</v>
      </c>
      <c r="AI116" s="84">
        <v>0.0</v>
      </c>
      <c r="AJ116" s="84">
        <v>0.0</v>
      </c>
      <c r="AK116" s="84">
        <v>0.0</v>
      </c>
      <c r="AL116" s="84">
        <v>0.0</v>
      </c>
      <c r="AM116" s="84">
        <v>0.0</v>
      </c>
      <c r="AN116" s="84">
        <v>0.0</v>
      </c>
      <c r="AO116" s="84">
        <v>0.0</v>
      </c>
      <c r="AP116" s="84">
        <v>0.0</v>
      </c>
      <c r="AQ116" s="84">
        <v>0.0</v>
      </c>
      <c r="AR116" s="84">
        <v>0.0</v>
      </c>
      <c r="AS116" s="84">
        <v>0.0</v>
      </c>
      <c r="AT116" s="84">
        <v>0.0</v>
      </c>
      <c r="AU116" s="84">
        <v>1.0</v>
      </c>
      <c r="AV116" s="84">
        <v>0.0</v>
      </c>
      <c r="AW116" s="84">
        <v>0.0</v>
      </c>
      <c r="AX116" s="84">
        <v>0.0</v>
      </c>
      <c r="AY116" s="84">
        <v>1.0</v>
      </c>
      <c r="AZ116" s="84">
        <v>16.0</v>
      </c>
      <c r="BH116" s="84">
        <v>126.0</v>
      </c>
      <c r="BI116" s="84" t="s">
        <v>5351</v>
      </c>
    </row>
    <row r="117" ht="12.75" customHeight="1">
      <c r="A117" s="84">
        <v>115.0</v>
      </c>
      <c r="B117" s="84" t="s">
        <v>2863</v>
      </c>
      <c r="C117" s="84">
        <v>1.0</v>
      </c>
      <c r="D117" s="84" t="s">
        <v>2659</v>
      </c>
      <c r="E117" s="84">
        <v>11.0</v>
      </c>
      <c r="F117" s="84" t="s">
        <v>5131</v>
      </c>
      <c r="G117" s="84">
        <v>0.0</v>
      </c>
      <c r="H117" s="84">
        <v>101.0</v>
      </c>
      <c r="I117" s="84">
        <v>20.0</v>
      </c>
      <c r="N117" s="84">
        <v>0.0</v>
      </c>
      <c r="O117" s="84">
        <v>0.0</v>
      </c>
      <c r="P117" s="84">
        <v>0.0</v>
      </c>
      <c r="U117" s="84">
        <v>65.0</v>
      </c>
      <c r="X117" s="84">
        <v>12.0</v>
      </c>
      <c r="AH117" s="84">
        <v>0.0</v>
      </c>
      <c r="AI117" s="84">
        <v>0.0</v>
      </c>
      <c r="AJ117" s="84">
        <v>0.0</v>
      </c>
      <c r="AK117" s="84">
        <v>0.0</v>
      </c>
      <c r="AL117" s="84">
        <v>0.0</v>
      </c>
      <c r="AM117" s="84">
        <v>1.0</v>
      </c>
      <c r="AN117" s="84">
        <v>0.0</v>
      </c>
      <c r="AO117" s="84">
        <v>0.0</v>
      </c>
      <c r="AP117" s="84">
        <v>0.0</v>
      </c>
      <c r="AQ117" s="84">
        <v>0.0</v>
      </c>
      <c r="AR117" s="84">
        <v>0.0</v>
      </c>
      <c r="AS117" s="84">
        <v>0.0</v>
      </c>
      <c r="AT117" s="84">
        <v>0.0</v>
      </c>
      <c r="AU117" s="84">
        <v>0.0</v>
      </c>
      <c r="AV117" s="84">
        <v>0.0</v>
      </c>
      <c r="AW117" s="84">
        <v>0.0</v>
      </c>
      <c r="AX117" s="84">
        <v>0.0</v>
      </c>
      <c r="AY117" s="84">
        <v>1.0</v>
      </c>
      <c r="AZ117" s="84">
        <v>17.0</v>
      </c>
      <c r="BH117" s="84">
        <v>127.0</v>
      </c>
      <c r="BI117" s="84" t="s">
        <v>5352</v>
      </c>
    </row>
    <row r="118" ht="12.75" customHeight="1">
      <c r="A118" s="84">
        <v>116.0</v>
      </c>
      <c r="B118" s="84" t="s">
        <v>3484</v>
      </c>
      <c r="C118" s="84">
        <v>1.0</v>
      </c>
      <c r="D118" s="84" t="s">
        <v>4916</v>
      </c>
      <c r="E118" s="84">
        <v>13.0</v>
      </c>
      <c r="F118" s="84" t="s">
        <v>5131</v>
      </c>
      <c r="G118" s="84">
        <v>0.0</v>
      </c>
      <c r="H118" s="84">
        <v>101.0</v>
      </c>
      <c r="I118" s="84">
        <v>30.0</v>
      </c>
      <c r="N118" s="84">
        <v>0.0</v>
      </c>
      <c r="O118" s="84">
        <v>0.0</v>
      </c>
      <c r="P118" s="84">
        <v>0.0</v>
      </c>
      <c r="U118" s="84">
        <v>47.0</v>
      </c>
      <c r="X118" s="84">
        <v>7.0</v>
      </c>
      <c r="AH118" s="84">
        <v>0.0</v>
      </c>
      <c r="AI118" s="84">
        <v>0.0</v>
      </c>
      <c r="AJ118" s="84">
        <v>0.0</v>
      </c>
      <c r="AK118" s="84">
        <v>0.0</v>
      </c>
      <c r="AL118" s="84">
        <v>0.0</v>
      </c>
      <c r="AM118" s="84">
        <v>1.0</v>
      </c>
      <c r="AN118" s="84">
        <v>0.0</v>
      </c>
      <c r="AO118" s="84">
        <v>0.0</v>
      </c>
      <c r="AP118" s="84">
        <v>0.0</v>
      </c>
      <c r="AQ118" s="84">
        <v>0.0</v>
      </c>
      <c r="AR118" s="84">
        <v>0.0</v>
      </c>
      <c r="AS118" s="84">
        <v>0.0</v>
      </c>
      <c r="AT118" s="84">
        <v>0.0</v>
      </c>
      <c r="AU118" s="84">
        <v>0.0</v>
      </c>
      <c r="AV118" s="84">
        <v>0.0</v>
      </c>
      <c r="AW118" s="84">
        <v>0.0</v>
      </c>
      <c r="AX118" s="84">
        <v>0.0</v>
      </c>
      <c r="AY118" s="84">
        <v>1.0</v>
      </c>
      <c r="AZ118" s="84">
        <v>6.0</v>
      </c>
      <c r="BH118" s="84">
        <v>128.0</v>
      </c>
      <c r="BI118" s="84" t="s">
        <v>5353</v>
      </c>
    </row>
    <row r="119" ht="12.75" customHeight="1">
      <c r="A119" s="84">
        <v>117.0</v>
      </c>
      <c r="B119" s="84" t="s">
        <v>5354</v>
      </c>
      <c r="C119" s="84">
        <v>0.0</v>
      </c>
      <c r="D119" s="84" t="s">
        <v>4916</v>
      </c>
      <c r="E119" s="84">
        <v>0.0</v>
      </c>
      <c r="F119" s="84" t="s">
        <v>5135</v>
      </c>
      <c r="G119" s="84">
        <v>1.0</v>
      </c>
      <c r="H119" s="84">
        <v>101.0</v>
      </c>
      <c r="I119" s="84">
        <v>10.0</v>
      </c>
      <c r="J119" s="84">
        <v>1.0</v>
      </c>
      <c r="K119" s="84"/>
      <c r="L119" s="84"/>
      <c r="M119" s="84"/>
      <c r="N119" s="84">
        <v>0.0</v>
      </c>
      <c r="O119" s="84">
        <v>0.0</v>
      </c>
      <c r="P119" s="84">
        <v>0.0</v>
      </c>
      <c r="Q119" s="84"/>
      <c r="R119" s="84"/>
      <c r="S119" s="84"/>
      <c r="T119" s="84"/>
      <c r="U119" s="84">
        <v>26.0</v>
      </c>
      <c r="V119" s="84"/>
      <c r="W119" s="84"/>
      <c r="X119" s="84">
        <v>7.0</v>
      </c>
      <c r="Y119" s="84"/>
      <c r="Z119" s="84"/>
      <c r="AA119" s="84"/>
      <c r="AB119" s="84"/>
      <c r="AC119" s="84"/>
      <c r="AD119" s="84"/>
      <c r="AE119" s="84"/>
      <c r="AF119" s="84"/>
      <c r="AG119" s="84"/>
      <c r="AH119" s="84">
        <v>1.0</v>
      </c>
      <c r="AI119" s="84">
        <v>0.0</v>
      </c>
      <c r="AJ119" s="84">
        <v>0.0</v>
      </c>
      <c r="AK119" s="84">
        <v>1.0</v>
      </c>
      <c r="AL119" s="84">
        <v>0.0</v>
      </c>
      <c r="AM119" s="84">
        <v>0.0</v>
      </c>
      <c r="AN119" s="84">
        <v>0.0</v>
      </c>
      <c r="AO119" s="84">
        <v>0.0</v>
      </c>
      <c r="AP119" s="84">
        <v>0.0</v>
      </c>
      <c r="AQ119" s="84">
        <v>0.0</v>
      </c>
      <c r="AR119" s="84">
        <v>0.0</v>
      </c>
      <c r="AS119" s="84">
        <v>0.0</v>
      </c>
      <c r="AT119" s="84">
        <v>0.0</v>
      </c>
      <c r="AU119" s="84">
        <v>0.0</v>
      </c>
      <c r="AV119" s="84">
        <v>0.0</v>
      </c>
      <c r="AW119" s="84">
        <v>0.0</v>
      </c>
      <c r="AX119" s="84">
        <v>0.0</v>
      </c>
      <c r="AY119" s="84">
        <v>1.0</v>
      </c>
      <c r="AZ119" s="84">
        <v>0.0</v>
      </c>
      <c r="BH119" s="84">
        <v>129.0</v>
      </c>
      <c r="BI119" s="84" t="s">
        <v>5355</v>
      </c>
    </row>
    <row r="120" ht="12.75" customHeight="1">
      <c r="A120" s="84">
        <v>118.0</v>
      </c>
      <c r="B120" s="84" t="s">
        <v>2894</v>
      </c>
      <c r="C120" s="84">
        <v>1.0</v>
      </c>
      <c r="D120" s="84" t="s">
        <v>4916</v>
      </c>
      <c r="E120" s="84">
        <v>13.0</v>
      </c>
      <c r="F120" s="84" t="s">
        <v>5131</v>
      </c>
      <c r="G120" s="84">
        <v>0.0</v>
      </c>
      <c r="H120" s="84">
        <v>101.0</v>
      </c>
      <c r="I120" s="84">
        <v>10.0</v>
      </c>
      <c r="N120" s="84">
        <v>0.0</v>
      </c>
      <c r="O120" s="84">
        <v>0.0</v>
      </c>
      <c r="P120" s="84">
        <v>0.0</v>
      </c>
      <c r="U120" s="84">
        <v>83.0</v>
      </c>
      <c r="X120" s="84">
        <v>7.0</v>
      </c>
      <c r="AH120" s="84">
        <v>0.0</v>
      </c>
      <c r="AI120" s="84">
        <v>0.0</v>
      </c>
      <c r="AJ120" s="84">
        <v>0.0</v>
      </c>
      <c r="AK120" s="84">
        <v>0.0</v>
      </c>
      <c r="AL120" s="84">
        <v>0.0</v>
      </c>
      <c r="AM120" s="84">
        <v>0.0</v>
      </c>
      <c r="AN120" s="84">
        <v>0.0</v>
      </c>
      <c r="AO120" s="84">
        <v>0.0</v>
      </c>
      <c r="AP120" s="84">
        <v>0.0</v>
      </c>
      <c r="AQ120" s="84">
        <v>0.0</v>
      </c>
      <c r="AR120" s="84">
        <v>0.0</v>
      </c>
      <c r="AS120" s="84">
        <v>0.0</v>
      </c>
      <c r="AT120" s="84">
        <v>0.0</v>
      </c>
      <c r="AU120" s="84">
        <v>0.0</v>
      </c>
      <c r="AV120" s="84">
        <v>0.0</v>
      </c>
      <c r="AW120" s="84">
        <v>0.0</v>
      </c>
      <c r="AX120" s="84">
        <v>0.0</v>
      </c>
      <c r="AY120" s="84">
        <v>0.0</v>
      </c>
      <c r="AZ120" s="84">
        <v>48.0</v>
      </c>
      <c r="BH120" s="84">
        <v>130.0</v>
      </c>
      <c r="BI120" s="84" t="s">
        <v>5356</v>
      </c>
    </row>
    <row r="121" ht="12.75" customHeight="1">
      <c r="A121" s="84">
        <v>119.0</v>
      </c>
      <c r="B121" s="84" t="s">
        <v>5357</v>
      </c>
      <c r="C121" s="84">
        <v>0.0</v>
      </c>
      <c r="D121" s="84" t="s">
        <v>4907</v>
      </c>
      <c r="E121" s="84">
        <v>13.0</v>
      </c>
      <c r="F121" s="84" t="s">
        <v>5131</v>
      </c>
      <c r="G121" s="84">
        <v>0.0</v>
      </c>
      <c r="H121" s="84">
        <v>101.0</v>
      </c>
      <c r="I121" s="84">
        <v>20.0</v>
      </c>
      <c r="J121" s="84"/>
      <c r="K121" s="84"/>
      <c r="L121" s="84"/>
      <c r="M121" s="84"/>
      <c r="N121" s="84">
        <v>0.0</v>
      </c>
      <c r="O121" s="84">
        <v>0.0</v>
      </c>
      <c r="P121" s="84">
        <v>0.0</v>
      </c>
      <c r="Q121" s="84"/>
      <c r="R121" s="84"/>
      <c r="S121" s="84"/>
      <c r="T121" s="84"/>
      <c r="U121" s="84">
        <v>9.0</v>
      </c>
      <c r="V121" s="84"/>
      <c r="W121" s="84"/>
      <c r="X121" s="84">
        <v>0.0</v>
      </c>
      <c r="Y121" s="84"/>
      <c r="Z121" s="84"/>
      <c r="AA121" s="84"/>
      <c r="AB121" s="84"/>
      <c r="AC121" s="84"/>
      <c r="AD121" s="84"/>
      <c r="AE121" s="84"/>
      <c r="AF121" s="84"/>
      <c r="AG121" s="84"/>
      <c r="AH121" s="84">
        <v>0.0</v>
      </c>
      <c r="AI121" s="84">
        <v>0.0</v>
      </c>
      <c r="AJ121" s="84">
        <v>0.0</v>
      </c>
      <c r="AK121" s="84">
        <v>0.0</v>
      </c>
      <c r="AL121" s="84">
        <v>0.0</v>
      </c>
      <c r="AM121" s="84">
        <v>0.0</v>
      </c>
      <c r="AN121" s="84">
        <v>0.0</v>
      </c>
      <c r="AO121" s="84">
        <v>0.0</v>
      </c>
      <c r="AP121" s="84">
        <v>0.0</v>
      </c>
      <c r="AQ121" s="84">
        <v>0.0</v>
      </c>
      <c r="AR121" s="84">
        <v>0.0</v>
      </c>
      <c r="AS121" s="84">
        <v>0.0</v>
      </c>
      <c r="AT121" s="84">
        <v>0.0</v>
      </c>
      <c r="AU121" s="84">
        <v>0.0</v>
      </c>
      <c r="AV121" s="84">
        <v>0.0</v>
      </c>
      <c r="AW121" s="84">
        <v>0.0</v>
      </c>
      <c r="AX121" s="84">
        <v>0.0</v>
      </c>
      <c r="AY121" s="84">
        <v>0.0</v>
      </c>
      <c r="AZ121" s="84">
        <v>0.0</v>
      </c>
      <c r="BH121" s="84">
        <v>132.0</v>
      </c>
      <c r="BI121" s="84" t="s">
        <v>5358</v>
      </c>
    </row>
    <row r="122" ht="12.75" customHeight="1">
      <c r="A122" s="84">
        <v>120.0</v>
      </c>
      <c r="B122" s="84" t="s">
        <v>2538</v>
      </c>
      <c r="C122" s="84">
        <v>1.0</v>
      </c>
      <c r="D122" s="84" t="s">
        <v>4916</v>
      </c>
      <c r="E122" s="84">
        <v>0.0</v>
      </c>
      <c r="F122" s="84" t="s">
        <v>5135</v>
      </c>
      <c r="G122" s="84">
        <v>200.0</v>
      </c>
      <c r="H122" s="84">
        <v>100.0</v>
      </c>
      <c r="I122" s="84">
        <v>5.0</v>
      </c>
      <c r="N122" s="84">
        <v>0.0</v>
      </c>
      <c r="O122" s="84">
        <v>0.0</v>
      </c>
      <c r="P122" s="84">
        <v>0.0</v>
      </c>
      <c r="U122" s="84">
        <v>7.0</v>
      </c>
      <c r="X122" s="84">
        <v>4.0</v>
      </c>
      <c r="AH122" s="84">
        <v>0.0</v>
      </c>
      <c r="AI122" s="84">
        <v>0.0</v>
      </c>
      <c r="AJ122" s="84">
        <v>0.0</v>
      </c>
      <c r="AK122" s="84">
        <v>1.0</v>
      </c>
      <c r="AL122" s="84">
        <v>0.0</v>
      </c>
      <c r="AM122" s="84">
        <v>0.0</v>
      </c>
      <c r="AN122" s="84">
        <v>1.0</v>
      </c>
      <c r="AO122" s="84">
        <v>0.0</v>
      </c>
      <c r="AP122" s="84">
        <v>0.0</v>
      </c>
      <c r="AQ122" s="84">
        <v>0.0</v>
      </c>
      <c r="AR122" s="84">
        <v>0.0</v>
      </c>
      <c r="AS122" s="84">
        <v>0.0</v>
      </c>
      <c r="AT122" s="84">
        <v>0.0</v>
      </c>
      <c r="AU122" s="84">
        <v>0.0</v>
      </c>
      <c r="AV122" s="84">
        <v>0.0</v>
      </c>
      <c r="AW122" s="84">
        <v>0.0</v>
      </c>
      <c r="AX122" s="84">
        <v>0.0</v>
      </c>
      <c r="AY122" s="84">
        <v>1.0</v>
      </c>
      <c r="AZ122" s="84">
        <v>44.0</v>
      </c>
      <c r="BH122" s="84">
        <v>135.0</v>
      </c>
      <c r="BI122" s="84" t="s">
        <v>5359</v>
      </c>
    </row>
    <row r="123" ht="12.75" customHeight="1">
      <c r="A123" s="84">
        <v>121.0</v>
      </c>
      <c r="B123" s="84" t="s">
        <v>5360</v>
      </c>
      <c r="C123" s="84">
        <v>0.0</v>
      </c>
      <c r="D123" s="84" t="s">
        <v>4916</v>
      </c>
      <c r="E123" s="84">
        <v>0.0</v>
      </c>
      <c r="F123" s="84" t="s">
        <v>5135</v>
      </c>
      <c r="G123" s="84">
        <v>100.0</v>
      </c>
      <c r="H123" s="84">
        <v>75.0</v>
      </c>
      <c r="I123" s="84">
        <v>10.0</v>
      </c>
      <c r="J123" s="84"/>
      <c r="K123" s="84"/>
      <c r="L123" s="84"/>
      <c r="M123" s="84"/>
      <c r="N123" s="84">
        <v>0.0</v>
      </c>
      <c r="O123" s="84">
        <v>0.0</v>
      </c>
      <c r="P123" s="84">
        <v>0.0</v>
      </c>
      <c r="Q123" s="84"/>
      <c r="R123" s="84"/>
      <c r="S123" s="84"/>
      <c r="T123" s="84"/>
      <c r="U123" s="84">
        <v>0.0</v>
      </c>
      <c r="V123" s="84"/>
      <c r="W123" s="84"/>
      <c r="X123" s="84">
        <v>0.0</v>
      </c>
      <c r="Y123" s="84"/>
      <c r="Z123" s="84"/>
      <c r="AA123" s="84"/>
      <c r="AB123" s="84"/>
      <c r="AC123" s="84"/>
      <c r="AD123" s="84"/>
      <c r="AE123" s="84"/>
      <c r="AF123" s="84"/>
      <c r="AG123" s="84"/>
      <c r="AH123" s="84">
        <v>0.0</v>
      </c>
      <c r="AI123" s="84">
        <v>0.0</v>
      </c>
      <c r="AJ123" s="84">
        <v>0.0</v>
      </c>
      <c r="AK123" s="84">
        <v>1.0</v>
      </c>
      <c r="AL123" s="84">
        <v>0.0</v>
      </c>
      <c r="AM123" s="84">
        <v>0.0</v>
      </c>
      <c r="AN123" s="84">
        <v>1.0</v>
      </c>
      <c r="AO123" s="84">
        <v>0.0</v>
      </c>
      <c r="AP123" s="84">
        <v>0.0</v>
      </c>
      <c r="AQ123" s="84">
        <v>0.0</v>
      </c>
      <c r="AR123" s="84">
        <v>0.0</v>
      </c>
      <c r="AS123" s="84">
        <v>0.0</v>
      </c>
      <c r="AT123" s="84">
        <v>0.0</v>
      </c>
      <c r="AU123" s="84">
        <v>0.0</v>
      </c>
      <c r="AV123" s="84">
        <v>0.0</v>
      </c>
      <c r="AW123" s="84">
        <v>0.0</v>
      </c>
      <c r="AX123" s="84">
        <v>0.0</v>
      </c>
      <c r="AY123" s="84">
        <v>1.0</v>
      </c>
      <c r="AZ123" s="84">
        <v>0.0</v>
      </c>
      <c r="BH123" s="84">
        <v>136.0</v>
      </c>
      <c r="BI123" s="84" t="s">
        <v>5361</v>
      </c>
    </row>
    <row r="124" ht="12.75" customHeight="1">
      <c r="A124" s="84">
        <v>122.0</v>
      </c>
      <c r="B124" s="84" t="s">
        <v>3004</v>
      </c>
      <c r="C124" s="84">
        <v>1.0</v>
      </c>
      <c r="D124" s="84" t="s">
        <v>4945</v>
      </c>
      <c r="E124" s="84">
        <v>4.0</v>
      </c>
      <c r="F124" s="84" t="s">
        <v>5135</v>
      </c>
      <c r="G124" s="84">
        <v>30.0</v>
      </c>
      <c r="H124" s="84">
        <v>100.0</v>
      </c>
      <c r="I124" s="84">
        <v>30.0</v>
      </c>
      <c r="M124" s="84" t="s">
        <v>5222</v>
      </c>
      <c r="N124" s="84">
        <v>1.0</v>
      </c>
      <c r="O124" s="84">
        <v>30.0</v>
      </c>
      <c r="P124" s="84">
        <v>1.0</v>
      </c>
      <c r="U124" s="84">
        <v>6.0</v>
      </c>
      <c r="X124" s="84">
        <v>0.0</v>
      </c>
      <c r="AH124" s="84">
        <v>1.0</v>
      </c>
      <c r="AI124" s="84">
        <v>0.0</v>
      </c>
      <c r="AJ124" s="84">
        <v>0.0</v>
      </c>
      <c r="AK124" s="84">
        <v>1.0</v>
      </c>
      <c r="AL124" s="84">
        <v>0.0</v>
      </c>
      <c r="AM124" s="84">
        <v>0.0</v>
      </c>
      <c r="AN124" s="84">
        <v>1.0</v>
      </c>
      <c r="AO124" s="84">
        <v>0.0</v>
      </c>
      <c r="AP124" s="84">
        <v>0.0</v>
      </c>
      <c r="AQ124" s="84">
        <v>0.0</v>
      </c>
      <c r="AR124" s="84">
        <v>0.0</v>
      </c>
      <c r="AS124" s="84">
        <v>0.0</v>
      </c>
      <c r="AT124" s="84">
        <v>0.0</v>
      </c>
      <c r="AU124" s="84">
        <v>0.0</v>
      </c>
      <c r="AV124" s="84">
        <v>0.0</v>
      </c>
      <c r="AW124" s="84">
        <v>0.0</v>
      </c>
      <c r="AX124" s="84">
        <v>0.0</v>
      </c>
      <c r="AY124" s="84">
        <v>1.0</v>
      </c>
      <c r="AZ124" s="84">
        <v>31.0</v>
      </c>
      <c r="BH124" s="84">
        <v>137.0</v>
      </c>
      <c r="BI124" s="84" t="s">
        <v>5362</v>
      </c>
    </row>
    <row r="125" ht="12.75" customHeight="1">
      <c r="A125" s="84">
        <v>123.0</v>
      </c>
      <c r="B125" s="84" t="s">
        <v>3161</v>
      </c>
      <c r="C125" s="84">
        <v>1.0</v>
      </c>
      <c r="D125" s="84" t="s">
        <v>4905</v>
      </c>
      <c r="E125" s="84">
        <v>4.0</v>
      </c>
      <c r="F125" s="84" t="s">
        <v>5172</v>
      </c>
      <c r="G125" s="84">
        <v>30.0</v>
      </c>
      <c r="H125" s="84">
        <v>70.0</v>
      </c>
      <c r="I125" s="84">
        <v>20.0</v>
      </c>
      <c r="M125" s="84" t="s">
        <v>5363</v>
      </c>
      <c r="N125" s="84">
        <v>5.0</v>
      </c>
      <c r="O125" s="84">
        <v>40.0</v>
      </c>
      <c r="P125" s="84">
        <v>1.0</v>
      </c>
      <c r="U125" s="84">
        <v>2.0</v>
      </c>
      <c r="X125" s="84">
        <v>0.0</v>
      </c>
      <c r="AH125" s="84">
        <v>0.0</v>
      </c>
      <c r="AI125" s="84">
        <v>0.0</v>
      </c>
      <c r="AJ125" s="84">
        <v>0.0</v>
      </c>
      <c r="AK125" s="84">
        <v>1.0</v>
      </c>
      <c r="AL125" s="84">
        <v>0.0</v>
      </c>
      <c r="AM125" s="84">
        <v>0.0</v>
      </c>
      <c r="AN125" s="84">
        <v>1.0</v>
      </c>
      <c r="AO125" s="84">
        <v>0.0</v>
      </c>
      <c r="AP125" s="84">
        <v>0.0</v>
      </c>
      <c r="AQ125" s="84">
        <v>0.0</v>
      </c>
      <c r="AR125" s="84">
        <v>0.0</v>
      </c>
      <c r="AS125" s="84">
        <v>0.0</v>
      </c>
      <c r="AT125" s="84">
        <v>0.0</v>
      </c>
      <c r="AU125" s="84">
        <v>0.0</v>
      </c>
      <c r="AV125" s="84">
        <v>0.0</v>
      </c>
      <c r="AW125" s="84">
        <v>0.0</v>
      </c>
      <c r="AX125" s="84">
        <v>0.0</v>
      </c>
      <c r="AY125" s="84">
        <v>1.0</v>
      </c>
      <c r="AZ125" s="84">
        <v>34.0</v>
      </c>
      <c r="BH125" s="84">
        <v>138.0</v>
      </c>
      <c r="BI125" s="84" t="s">
        <v>5364</v>
      </c>
    </row>
    <row r="126" ht="12.75" customHeight="1">
      <c r="A126" s="84">
        <v>124.0</v>
      </c>
      <c r="B126" s="84" t="s">
        <v>2971</v>
      </c>
      <c r="C126" s="84">
        <v>1.0</v>
      </c>
      <c r="D126" s="84" t="s">
        <v>4905</v>
      </c>
      <c r="E126" s="84">
        <v>4.0</v>
      </c>
      <c r="F126" s="84" t="s">
        <v>5172</v>
      </c>
      <c r="G126" s="84">
        <v>65.0</v>
      </c>
      <c r="H126" s="84">
        <v>100.0</v>
      </c>
      <c r="I126" s="84">
        <v>20.0</v>
      </c>
      <c r="M126" s="84" t="s">
        <v>5235</v>
      </c>
      <c r="N126" s="84">
        <v>5.0</v>
      </c>
      <c r="O126" s="84">
        <v>30.0</v>
      </c>
      <c r="P126" s="84">
        <v>1.0</v>
      </c>
      <c r="U126" s="84">
        <v>2.0</v>
      </c>
      <c r="X126" s="84">
        <v>0.0</v>
      </c>
      <c r="AH126" s="84">
        <v>0.0</v>
      </c>
      <c r="AI126" s="84">
        <v>0.0</v>
      </c>
      <c r="AJ126" s="84">
        <v>0.0</v>
      </c>
      <c r="AK126" s="84">
        <v>1.0</v>
      </c>
      <c r="AL126" s="84">
        <v>0.0</v>
      </c>
      <c r="AM126" s="84">
        <v>0.0</v>
      </c>
      <c r="AN126" s="84">
        <v>1.0</v>
      </c>
      <c r="AO126" s="84">
        <v>0.0</v>
      </c>
      <c r="AP126" s="84">
        <v>0.0</v>
      </c>
      <c r="AQ126" s="84">
        <v>0.0</v>
      </c>
      <c r="AR126" s="84">
        <v>0.0</v>
      </c>
      <c r="AS126" s="84">
        <v>0.0</v>
      </c>
      <c r="AT126" s="84">
        <v>0.0</v>
      </c>
      <c r="AU126" s="84">
        <v>0.0</v>
      </c>
      <c r="AV126" s="84">
        <v>0.0</v>
      </c>
      <c r="AW126" s="84">
        <v>0.0</v>
      </c>
      <c r="AX126" s="84">
        <v>0.0</v>
      </c>
      <c r="AY126" s="84">
        <v>1.0</v>
      </c>
      <c r="AZ126" s="84">
        <v>40.0</v>
      </c>
      <c r="BH126" s="84">
        <v>139.0</v>
      </c>
      <c r="BI126" s="84" t="s">
        <v>5365</v>
      </c>
    </row>
    <row r="127" ht="12.75" customHeight="1">
      <c r="A127" s="84">
        <v>125.0</v>
      </c>
      <c r="B127" s="84" t="s">
        <v>5366</v>
      </c>
      <c r="C127" s="84">
        <v>0.0</v>
      </c>
      <c r="D127" s="84" t="s">
        <v>4922</v>
      </c>
      <c r="E127" s="84">
        <v>0.0</v>
      </c>
      <c r="F127" s="84" t="s">
        <v>5135</v>
      </c>
      <c r="G127" s="84">
        <v>65.0</v>
      </c>
      <c r="H127" s="84">
        <v>85.0</v>
      </c>
      <c r="I127" s="84">
        <v>20.0</v>
      </c>
      <c r="J127" s="84"/>
      <c r="K127" s="84"/>
      <c r="L127" s="84"/>
      <c r="M127" s="84"/>
      <c r="N127" s="84">
        <v>0.0</v>
      </c>
      <c r="O127" s="84">
        <v>0.0</v>
      </c>
      <c r="P127" s="84">
        <v>0.0</v>
      </c>
      <c r="Q127" s="84"/>
      <c r="R127" s="84"/>
      <c r="S127" s="84"/>
      <c r="T127" s="84">
        <v>10.0</v>
      </c>
      <c r="U127" s="84">
        <v>31.0</v>
      </c>
      <c r="V127" s="84"/>
      <c r="W127" s="84"/>
      <c r="X127" s="84">
        <v>0.0</v>
      </c>
      <c r="Y127" s="84"/>
      <c r="Z127" s="84"/>
      <c r="AA127" s="84"/>
      <c r="AB127" s="84"/>
      <c r="AC127" s="84"/>
      <c r="AD127" s="84"/>
      <c r="AE127" s="84"/>
      <c r="AF127" s="84"/>
      <c r="AG127" s="84"/>
      <c r="AH127" s="84">
        <v>0.0</v>
      </c>
      <c r="AI127" s="84">
        <v>0.0</v>
      </c>
      <c r="AJ127" s="84">
        <v>0.0</v>
      </c>
      <c r="AK127" s="84">
        <v>1.0</v>
      </c>
      <c r="AL127" s="84">
        <v>0.0</v>
      </c>
      <c r="AM127" s="84">
        <v>0.0</v>
      </c>
      <c r="AN127" s="84">
        <v>1.0</v>
      </c>
      <c r="AO127" s="84">
        <v>0.0</v>
      </c>
      <c r="AP127" s="84">
        <v>0.0</v>
      </c>
      <c r="AQ127" s="84">
        <v>0.0</v>
      </c>
      <c r="AR127" s="84">
        <v>0.0</v>
      </c>
      <c r="AS127" s="84">
        <v>0.0</v>
      </c>
      <c r="AT127" s="84">
        <v>0.0</v>
      </c>
      <c r="AU127" s="84">
        <v>0.0</v>
      </c>
      <c r="AV127" s="84">
        <v>0.0</v>
      </c>
      <c r="AW127" s="84">
        <v>0.0</v>
      </c>
      <c r="AX127" s="84">
        <v>0.0</v>
      </c>
      <c r="AY127" s="84">
        <v>1.0</v>
      </c>
      <c r="AZ127" s="84">
        <v>0.0</v>
      </c>
      <c r="BH127" s="84">
        <v>140.0</v>
      </c>
      <c r="BI127" s="84" t="s">
        <v>5367</v>
      </c>
    </row>
    <row r="128" ht="12.75" customHeight="1">
      <c r="A128" s="84">
        <v>126.0</v>
      </c>
      <c r="B128" s="84" t="s">
        <v>3600</v>
      </c>
      <c r="C128" s="84">
        <v>1.0</v>
      </c>
      <c r="D128" s="84" t="s">
        <v>4906</v>
      </c>
      <c r="E128" s="84">
        <v>4.0</v>
      </c>
      <c r="F128" s="84" t="s">
        <v>5172</v>
      </c>
      <c r="G128" s="84">
        <v>110.0</v>
      </c>
      <c r="H128" s="84">
        <v>85.0</v>
      </c>
      <c r="I128" s="84">
        <v>5.0</v>
      </c>
      <c r="M128" s="84" t="s">
        <v>5152</v>
      </c>
      <c r="N128" s="84">
        <v>4.0</v>
      </c>
      <c r="O128" s="84">
        <v>10.0</v>
      </c>
      <c r="P128" s="84">
        <v>1.0</v>
      </c>
      <c r="U128" s="84">
        <v>4.0</v>
      </c>
      <c r="X128" s="84">
        <v>0.0</v>
      </c>
      <c r="AH128" s="84">
        <v>0.0</v>
      </c>
      <c r="AI128" s="84">
        <v>0.0</v>
      </c>
      <c r="AJ128" s="84">
        <v>0.0</v>
      </c>
      <c r="AK128" s="84">
        <v>1.0</v>
      </c>
      <c r="AL128" s="84">
        <v>0.0</v>
      </c>
      <c r="AM128" s="84">
        <v>0.0</v>
      </c>
      <c r="AN128" s="84">
        <v>1.0</v>
      </c>
      <c r="AO128" s="84">
        <v>0.0</v>
      </c>
      <c r="AP128" s="84">
        <v>0.0</v>
      </c>
      <c r="AQ128" s="84">
        <v>0.0</v>
      </c>
      <c r="AR128" s="84">
        <v>0.0</v>
      </c>
      <c r="AS128" s="84">
        <v>0.0</v>
      </c>
      <c r="AT128" s="84">
        <v>0.0</v>
      </c>
      <c r="AU128" s="84">
        <v>0.0</v>
      </c>
      <c r="AV128" s="84">
        <v>0.0</v>
      </c>
      <c r="AW128" s="84">
        <v>0.0</v>
      </c>
      <c r="AX128" s="84">
        <v>0.0</v>
      </c>
      <c r="AY128" s="84">
        <v>1.0</v>
      </c>
      <c r="AZ128" s="84">
        <v>46.0</v>
      </c>
      <c r="BH128" s="84">
        <v>142.0</v>
      </c>
      <c r="BI128" s="84" t="s">
        <v>5368</v>
      </c>
    </row>
    <row r="129" ht="12.75" customHeight="1">
      <c r="A129" s="84">
        <v>127.0</v>
      </c>
      <c r="B129" s="84" t="s">
        <v>2869</v>
      </c>
      <c r="C129" s="84">
        <v>1.0</v>
      </c>
      <c r="D129" s="84" t="s">
        <v>4908</v>
      </c>
      <c r="E129" s="84">
        <v>0.0</v>
      </c>
      <c r="F129" s="84" t="s">
        <v>5135</v>
      </c>
      <c r="G129" s="84">
        <v>80.0</v>
      </c>
      <c r="H129" s="84">
        <v>100.0</v>
      </c>
      <c r="I129" s="84">
        <v>15.0</v>
      </c>
      <c r="N129" s="84">
        <v>0.0</v>
      </c>
      <c r="O129" s="84">
        <v>0.0</v>
      </c>
      <c r="P129" s="84">
        <v>0.0</v>
      </c>
      <c r="T129" s="84">
        <v>20.0</v>
      </c>
      <c r="U129" s="84">
        <v>31.0</v>
      </c>
      <c r="X129" s="84">
        <v>0.0</v>
      </c>
      <c r="AH129" s="84">
        <v>1.0</v>
      </c>
      <c r="AI129" s="84">
        <v>0.0</v>
      </c>
      <c r="AJ129" s="84">
        <v>0.0</v>
      </c>
      <c r="AK129" s="84">
        <v>1.0</v>
      </c>
      <c r="AL129" s="84">
        <v>0.0</v>
      </c>
      <c r="AM129" s="84">
        <v>0.0</v>
      </c>
      <c r="AN129" s="84">
        <v>1.0</v>
      </c>
      <c r="AO129" s="84">
        <v>0.0</v>
      </c>
      <c r="AP129" s="84">
        <v>0.0</v>
      </c>
      <c r="AQ129" s="84">
        <v>0.0</v>
      </c>
      <c r="AR129" s="84">
        <v>0.0</v>
      </c>
      <c r="AS129" s="84">
        <v>0.0</v>
      </c>
      <c r="AT129" s="84">
        <v>0.0</v>
      </c>
      <c r="AU129" s="84">
        <v>0.0</v>
      </c>
      <c r="AV129" s="84">
        <v>0.0</v>
      </c>
      <c r="AW129" s="84">
        <v>0.0</v>
      </c>
      <c r="AX129" s="84">
        <v>0.0</v>
      </c>
      <c r="AY129" s="84">
        <v>1.0</v>
      </c>
      <c r="AZ129" s="84">
        <v>38.0</v>
      </c>
      <c r="BH129" s="84">
        <v>143.0</v>
      </c>
      <c r="BI129" s="84" t="s">
        <v>5369</v>
      </c>
    </row>
    <row r="130" ht="12.75" customHeight="1">
      <c r="A130" s="84">
        <v>128.0</v>
      </c>
      <c r="B130" s="84" t="s">
        <v>5370</v>
      </c>
      <c r="C130" s="84">
        <v>0.0</v>
      </c>
      <c r="D130" s="84" t="s">
        <v>4908</v>
      </c>
      <c r="E130" s="84">
        <v>4.0</v>
      </c>
      <c r="F130" s="84" t="s">
        <v>5135</v>
      </c>
      <c r="G130" s="84">
        <v>35.0</v>
      </c>
      <c r="H130" s="84">
        <v>85.0</v>
      </c>
      <c r="I130" s="84">
        <v>15.0</v>
      </c>
      <c r="J130" s="84"/>
      <c r="K130" s="84"/>
      <c r="L130" s="84"/>
      <c r="M130" s="84" t="s">
        <v>5190</v>
      </c>
      <c r="N130" s="84">
        <v>8.0</v>
      </c>
      <c r="O130" s="84">
        <v>100.0</v>
      </c>
      <c r="P130" s="84">
        <v>4.0</v>
      </c>
      <c r="Q130" s="84">
        <v>5.0</v>
      </c>
      <c r="R130" s="84">
        <v>6.0</v>
      </c>
      <c r="S130" s="84"/>
      <c r="T130" s="84"/>
      <c r="U130" s="84">
        <v>42.0</v>
      </c>
      <c r="V130" s="84"/>
      <c r="W130" s="84"/>
      <c r="X130" s="84">
        <v>0.0</v>
      </c>
      <c r="Y130" s="84"/>
      <c r="Z130" s="84"/>
      <c r="AA130" s="84"/>
      <c r="AB130" s="84"/>
      <c r="AC130" s="84"/>
      <c r="AD130" s="84"/>
      <c r="AE130" s="84"/>
      <c r="AF130" s="84"/>
      <c r="AG130" s="84"/>
      <c r="AH130" s="84">
        <v>1.0</v>
      </c>
      <c r="AI130" s="84">
        <v>0.0</v>
      </c>
      <c r="AJ130" s="84">
        <v>0.0</v>
      </c>
      <c r="AK130" s="84">
        <v>1.0</v>
      </c>
      <c r="AL130" s="84">
        <v>0.0</v>
      </c>
      <c r="AM130" s="84">
        <v>0.0</v>
      </c>
      <c r="AN130" s="84">
        <v>1.0</v>
      </c>
      <c r="AO130" s="84">
        <v>0.0</v>
      </c>
      <c r="AP130" s="84">
        <v>0.0</v>
      </c>
      <c r="AQ130" s="84">
        <v>0.0</v>
      </c>
      <c r="AR130" s="84">
        <v>0.0</v>
      </c>
      <c r="AS130" s="84">
        <v>0.0</v>
      </c>
      <c r="AT130" s="84">
        <v>0.0</v>
      </c>
      <c r="AU130" s="84">
        <v>0.0</v>
      </c>
      <c r="AV130" s="84">
        <v>0.0</v>
      </c>
      <c r="AW130" s="84">
        <v>0.0</v>
      </c>
      <c r="AX130" s="84">
        <v>0.0</v>
      </c>
      <c r="AY130" s="84">
        <v>1.0</v>
      </c>
      <c r="AZ130" s="84">
        <v>0.0</v>
      </c>
      <c r="BH130" s="84">
        <v>144.0</v>
      </c>
      <c r="BI130" s="84" t="s">
        <v>5371</v>
      </c>
    </row>
    <row r="131" ht="12.75" customHeight="1">
      <c r="A131" s="84">
        <v>129.0</v>
      </c>
      <c r="B131" s="84" t="s">
        <v>2601</v>
      </c>
      <c r="C131" s="84">
        <v>1.0</v>
      </c>
      <c r="D131" s="84" t="s">
        <v>4916</v>
      </c>
      <c r="E131" s="84">
        <v>0.0</v>
      </c>
      <c r="F131" s="84" t="s">
        <v>5172</v>
      </c>
      <c r="G131" s="84">
        <v>60.0</v>
      </c>
      <c r="H131" s="84">
        <v>101.0</v>
      </c>
      <c r="I131" s="84">
        <v>20.0</v>
      </c>
      <c r="N131" s="84">
        <v>0.0</v>
      </c>
      <c r="O131" s="84">
        <v>0.0</v>
      </c>
      <c r="P131" s="84">
        <v>0.0</v>
      </c>
      <c r="U131" s="84">
        <v>17.0</v>
      </c>
      <c r="X131" s="84">
        <v>5.0</v>
      </c>
      <c r="AH131" s="84">
        <v>0.0</v>
      </c>
      <c r="AI131" s="84">
        <v>0.0</v>
      </c>
      <c r="AJ131" s="84">
        <v>0.0</v>
      </c>
      <c r="AK131" s="84">
        <v>1.0</v>
      </c>
      <c r="AL131" s="84">
        <v>0.0</v>
      </c>
      <c r="AM131" s="84">
        <v>0.0</v>
      </c>
      <c r="AN131" s="84">
        <v>1.0</v>
      </c>
      <c r="AO131" s="84">
        <v>0.0</v>
      </c>
      <c r="AP131" s="84">
        <v>0.0</v>
      </c>
      <c r="AQ131" s="84">
        <v>0.0</v>
      </c>
      <c r="AR131" s="84">
        <v>0.0</v>
      </c>
      <c r="AS131" s="84">
        <v>0.0</v>
      </c>
      <c r="AT131" s="84">
        <v>0.0</v>
      </c>
      <c r="AU131" s="84">
        <v>0.0</v>
      </c>
      <c r="AV131" s="84">
        <v>0.0</v>
      </c>
      <c r="AW131" s="84">
        <v>0.0</v>
      </c>
      <c r="AX131" s="84">
        <v>0.0</v>
      </c>
      <c r="AY131" s="84">
        <v>1.0</v>
      </c>
      <c r="AZ131" s="84">
        <v>39.0</v>
      </c>
      <c r="BH131" s="84">
        <v>145.0</v>
      </c>
      <c r="BI131" s="84" t="s">
        <v>5372</v>
      </c>
    </row>
    <row r="132" ht="12.75" customHeight="1">
      <c r="A132" s="84">
        <v>130.0</v>
      </c>
      <c r="B132" s="84" t="s">
        <v>3587</v>
      </c>
      <c r="C132" s="84">
        <v>1.0</v>
      </c>
      <c r="D132" s="84" t="s">
        <v>4916</v>
      </c>
      <c r="E132" s="84">
        <v>0.0</v>
      </c>
      <c r="F132" s="84" t="s">
        <v>5135</v>
      </c>
      <c r="G132" s="84">
        <v>130.0</v>
      </c>
      <c r="H132" s="84">
        <v>100.0</v>
      </c>
      <c r="I132" s="84">
        <v>10.0</v>
      </c>
      <c r="N132" s="84">
        <v>0.0</v>
      </c>
      <c r="O132" s="84">
        <v>100.0</v>
      </c>
      <c r="P132" s="84">
        <v>0.0</v>
      </c>
      <c r="U132" s="84">
        <v>145.0</v>
      </c>
      <c r="X132" s="84">
        <v>0.0</v>
      </c>
      <c r="AH132" s="84">
        <v>1.0</v>
      </c>
      <c r="AI132" s="84">
        <v>1.0</v>
      </c>
      <c r="AJ132" s="84">
        <v>0.0</v>
      </c>
      <c r="AK132" s="84">
        <v>1.0</v>
      </c>
      <c r="AL132" s="84">
        <v>0.0</v>
      </c>
      <c r="AM132" s="84">
        <v>0.0</v>
      </c>
      <c r="AN132" s="84">
        <v>1.0</v>
      </c>
      <c r="AO132" s="84">
        <v>0.0</v>
      </c>
      <c r="AP132" s="84">
        <v>0.0</v>
      </c>
      <c r="AQ132" s="84">
        <v>0.0</v>
      </c>
      <c r="AR132" s="84">
        <v>0.0</v>
      </c>
      <c r="AS132" s="84">
        <v>0.0</v>
      </c>
      <c r="AT132" s="84">
        <v>0.0</v>
      </c>
      <c r="AU132" s="84">
        <v>0.0</v>
      </c>
      <c r="AV132" s="84">
        <v>0.0</v>
      </c>
      <c r="AW132" s="84">
        <v>0.0</v>
      </c>
      <c r="AX132" s="84">
        <v>0.0</v>
      </c>
      <c r="AY132" s="84">
        <v>1.0</v>
      </c>
      <c r="AZ132" s="84">
        <v>29.0</v>
      </c>
      <c r="BH132" s="84">
        <v>146.0</v>
      </c>
      <c r="BI132" s="84" t="s">
        <v>5373</v>
      </c>
    </row>
    <row r="133" ht="12.75" customHeight="1">
      <c r="A133" s="84">
        <v>131.0</v>
      </c>
      <c r="B133" s="84" t="s">
        <v>5374</v>
      </c>
      <c r="C133" s="84">
        <v>0.0</v>
      </c>
      <c r="D133" s="84" t="s">
        <v>4916</v>
      </c>
      <c r="E133" s="84">
        <v>0.0</v>
      </c>
      <c r="F133" s="84" t="s">
        <v>5135</v>
      </c>
      <c r="G133" s="84">
        <v>20.0</v>
      </c>
      <c r="H133" s="84">
        <v>100.0</v>
      </c>
      <c r="I133" s="84">
        <v>15.0</v>
      </c>
      <c r="J133" s="84"/>
      <c r="K133" s="84">
        <v>2.0</v>
      </c>
      <c r="L133" s="84">
        <v>5.0</v>
      </c>
      <c r="M133" s="84"/>
      <c r="N133" s="84">
        <v>0.0</v>
      </c>
      <c r="O133" s="84">
        <v>0.0</v>
      </c>
      <c r="P133" s="84">
        <v>0.0</v>
      </c>
      <c r="Q133" s="84"/>
      <c r="R133" s="84"/>
      <c r="S133" s="84"/>
      <c r="T133" s="84"/>
      <c r="U133" s="84">
        <v>29.0</v>
      </c>
      <c r="V133" s="84"/>
      <c r="W133" s="84"/>
      <c r="X133" s="84">
        <v>0.0</v>
      </c>
      <c r="Y133" s="84"/>
      <c r="Z133" s="84"/>
      <c r="AA133" s="84"/>
      <c r="AB133" s="84"/>
      <c r="AC133" s="84"/>
      <c r="AD133" s="84"/>
      <c r="AE133" s="84"/>
      <c r="AF133" s="84"/>
      <c r="AG133" s="84"/>
      <c r="AH133" s="84">
        <v>0.0</v>
      </c>
      <c r="AI133" s="84">
        <v>0.0</v>
      </c>
      <c r="AJ133" s="84">
        <v>0.0</v>
      </c>
      <c r="AK133" s="84">
        <v>1.0</v>
      </c>
      <c r="AL133" s="84">
        <v>0.0</v>
      </c>
      <c r="AM133" s="84">
        <v>0.0</v>
      </c>
      <c r="AN133" s="84">
        <v>1.0</v>
      </c>
      <c r="AO133" s="84">
        <v>0.0</v>
      </c>
      <c r="AP133" s="84">
        <v>0.0</v>
      </c>
      <c r="AQ133" s="84">
        <v>0.0</v>
      </c>
      <c r="AR133" s="84">
        <v>0.0</v>
      </c>
      <c r="AS133" s="84">
        <v>0.0</v>
      </c>
      <c r="AT133" s="84">
        <v>0.0</v>
      </c>
      <c r="AU133" s="84">
        <v>0.0</v>
      </c>
      <c r="AV133" s="84">
        <v>0.0</v>
      </c>
      <c r="AW133" s="84">
        <v>0.0</v>
      </c>
      <c r="AX133" s="84">
        <v>0.0</v>
      </c>
      <c r="AY133" s="84">
        <v>1.0</v>
      </c>
      <c r="AZ133" s="84">
        <v>0.0</v>
      </c>
      <c r="BH133" s="84">
        <v>147.0</v>
      </c>
      <c r="BI133" s="84" t="s">
        <v>5375</v>
      </c>
    </row>
    <row r="134" ht="12.75" customHeight="1">
      <c r="A134" s="84">
        <v>132.0</v>
      </c>
      <c r="B134" s="84" t="s">
        <v>5376</v>
      </c>
      <c r="C134" s="84">
        <v>0.0</v>
      </c>
      <c r="D134" s="84" t="s">
        <v>4916</v>
      </c>
      <c r="E134" s="84">
        <v>6.0</v>
      </c>
      <c r="F134" s="84" t="s">
        <v>5135</v>
      </c>
      <c r="G134" s="84">
        <v>10.0</v>
      </c>
      <c r="H134" s="84">
        <v>100.0</v>
      </c>
      <c r="I134" s="84">
        <v>35.0</v>
      </c>
      <c r="J134" s="84"/>
      <c r="K134" s="84"/>
      <c r="L134" s="84"/>
      <c r="M134" s="84"/>
      <c r="N134" s="84">
        <v>0.0</v>
      </c>
      <c r="O134" s="84">
        <v>0.0</v>
      </c>
      <c r="P134" s="84">
        <v>0.0</v>
      </c>
      <c r="Q134" s="84"/>
      <c r="R134" s="84"/>
      <c r="S134" s="84"/>
      <c r="T134" s="84"/>
      <c r="U134" s="84">
        <v>70.0</v>
      </c>
      <c r="V134" s="84"/>
      <c r="W134" s="84"/>
      <c r="X134" s="84">
        <v>0.0</v>
      </c>
      <c r="Y134" s="84" t="s">
        <v>5073</v>
      </c>
      <c r="Z134" s="84">
        <v>-1.0</v>
      </c>
      <c r="AA134" s="84">
        <v>10.0</v>
      </c>
      <c r="AB134" s="84"/>
      <c r="AC134" s="84"/>
      <c r="AD134" s="84"/>
      <c r="AE134" s="84"/>
      <c r="AF134" s="84"/>
      <c r="AG134" s="84"/>
      <c r="AH134" s="84">
        <v>1.0</v>
      </c>
      <c r="AI134" s="84">
        <v>0.0</v>
      </c>
      <c r="AJ134" s="84">
        <v>0.0</v>
      </c>
      <c r="AK134" s="84">
        <v>1.0</v>
      </c>
      <c r="AL134" s="84">
        <v>0.0</v>
      </c>
      <c r="AM134" s="84">
        <v>0.0</v>
      </c>
      <c r="AN134" s="84">
        <v>1.0</v>
      </c>
      <c r="AO134" s="84">
        <v>0.0</v>
      </c>
      <c r="AP134" s="84">
        <v>0.0</v>
      </c>
      <c r="AQ134" s="84">
        <v>0.0</v>
      </c>
      <c r="AR134" s="84">
        <v>0.0</v>
      </c>
      <c r="AS134" s="84">
        <v>0.0</v>
      </c>
      <c r="AT134" s="84">
        <v>0.0</v>
      </c>
      <c r="AU134" s="84">
        <v>0.0</v>
      </c>
      <c r="AV134" s="84">
        <v>0.0</v>
      </c>
      <c r="AW134" s="84">
        <v>0.0</v>
      </c>
      <c r="AX134" s="84">
        <v>0.0</v>
      </c>
      <c r="AY134" s="84">
        <v>1.0</v>
      </c>
      <c r="AZ134" s="84">
        <v>0.0</v>
      </c>
      <c r="BH134" s="84">
        <v>148.0</v>
      </c>
      <c r="BI134" s="84" t="s">
        <v>5377</v>
      </c>
    </row>
    <row r="135" ht="12.75" customHeight="1">
      <c r="A135" s="84">
        <v>133.0</v>
      </c>
      <c r="B135" s="84" t="s">
        <v>3569</v>
      </c>
      <c r="C135" s="84">
        <v>1.0</v>
      </c>
      <c r="D135" s="84" t="s">
        <v>2659</v>
      </c>
      <c r="E135" s="84">
        <v>2.0</v>
      </c>
      <c r="F135" s="84" t="s">
        <v>5131</v>
      </c>
      <c r="G135" s="84">
        <v>0.0</v>
      </c>
      <c r="H135" s="84">
        <v>101.0</v>
      </c>
      <c r="I135" s="84">
        <v>20.0</v>
      </c>
      <c r="N135" s="84">
        <v>0.0</v>
      </c>
      <c r="O135" s="84">
        <v>0.0</v>
      </c>
      <c r="P135" s="84">
        <v>0.0</v>
      </c>
      <c r="U135" s="84">
        <v>54.0</v>
      </c>
      <c r="X135" s="84">
        <v>7.0</v>
      </c>
      <c r="Y135" s="84" t="s">
        <v>23</v>
      </c>
      <c r="Z135" s="84">
        <v>2.0</v>
      </c>
      <c r="AH135" s="84">
        <v>0.0</v>
      </c>
      <c r="AI135" s="84">
        <v>0.0</v>
      </c>
      <c r="AJ135" s="84">
        <v>0.0</v>
      </c>
      <c r="AK135" s="84">
        <v>0.0</v>
      </c>
      <c r="AL135" s="84">
        <v>0.0</v>
      </c>
      <c r="AM135" s="84">
        <v>1.0</v>
      </c>
      <c r="AN135" s="84">
        <v>0.0</v>
      </c>
      <c r="AO135" s="84">
        <v>0.0</v>
      </c>
      <c r="AP135" s="84">
        <v>0.0</v>
      </c>
      <c r="AQ135" s="84">
        <v>0.0</v>
      </c>
      <c r="AR135" s="84">
        <v>0.0</v>
      </c>
      <c r="AS135" s="84">
        <v>0.0</v>
      </c>
      <c r="AT135" s="84">
        <v>0.0</v>
      </c>
      <c r="AU135" s="84">
        <v>0.0</v>
      </c>
      <c r="AV135" s="84">
        <v>0.0</v>
      </c>
      <c r="AW135" s="84">
        <v>0.0</v>
      </c>
      <c r="AX135" s="84">
        <v>0.0</v>
      </c>
      <c r="AY135" s="84">
        <v>1.0</v>
      </c>
      <c r="AZ135" s="84">
        <v>8.0</v>
      </c>
      <c r="BH135" s="84">
        <v>149.0</v>
      </c>
      <c r="BI135" s="84" t="s">
        <v>5378</v>
      </c>
    </row>
    <row r="136" ht="12.75" customHeight="1">
      <c r="A136" s="84">
        <v>134.0</v>
      </c>
      <c r="B136" s="84" t="s">
        <v>5379</v>
      </c>
      <c r="C136" s="84">
        <v>1.0</v>
      </c>
      <c r="D136" s="84" t="s">
        <v>2659</v>
      </c>
      <c r="E136" s="84">
        <v>2.0</v>
      </c>
      <c r="F136" s="84" t="s">
        <v>5131</v>
      </c>
      <c r="G136" s="84">
        <v>0.0</v>
      </c>
      <c r="H136" s="84">
        <v>80.0</v>
      </c>
      <c r="I136" s="84">
        <v>15.0</v>
      </c>
      <c r="N136" s="84">
        <v>0.0</v>
      </c>
      <c r="O136" s="84">
        <v>0.0</v>
      </c>
      <c r="P136" s="84">
        <v>0.0</v>
      </c>
      <c r="U136" s="84">
        <v>23.0</v>
      </c>
      <c r="X136" s="84">
        <v>0.0</v>
      </c>
      <c r="Y136" s="84" t="s">
        <v>5092</v>
      </c>
      <c r="Z136" s="84">
        <v>-1.0</v>
      </c>
      <c r="AH136" s="84">
        <v>0.0</v>
      </c>
      <c r="AI136" s="84">
        <v>0.0</v>
      </c>
      <c r="AJ136" s="84">
        <v>0.0</v>
      </c>
      <c r="AK136" s="84">
        <v>1.0</v>
      </c>
      <c r="AL136" s="84">
        <v>1.0</v>
      </c>
      <c r="AM136" s="84">
        <v>0.0</v>
      </c>
      <c r="AN136" s="84">
        <v>1.0</v>
      </c>
      <c r="AO136" s="84">
        <v>0.0</v>
      </c>
      <c r="AP136" s="84">
        <v>0.0</v>
      </c>
      <c r="AQ136" s="84">
        <v>0.0</v>
      </c>
      <c r="AR136" s="84">
        <v>0.0</v>
      </c>
      <c r="AS136" s="84">
        <v>0.0</v>
      </c>
      <c r="AT136" s="84">
        <v>0.0</v>
      </c>
      <c r="AU136" s="84">
        <v>0.0</v>
      </c>
      <c r="AV136" s="84">
        <v>0.0</v>
      </c>
      <c r="AW136" s="84">
        <v>0.0</v>
      </c>
      <c r="AX136" s="84">
        <v>0.0</v>
      </c>
      <c r="AY136" s="84">
        <v>1.0</v>
      </c>
      <c r="AZ136" s="84">
        <v>11.0</v>
      </c>
      <c r="BH136" s="84">
        <v>150.0</v>
      </c>
      <c r="BI136" s="84" t="s">
        <v>5380</v>
      </c>
    </row>
    <row r="137" ht="12.75" customHeight="1">
      <c r="A137" s="84">
        <v>135.0</v>
      </c>
      <c r="B137" s="84" t="s">
        <v>3459</v>
      </c>
      <c r="C137" s="84">
        <v>1.0</v>
      </c>
      <c r="D137" s="84" t="s">
        <v>4916</v>
      </c>
      <c r="E137" s="84">
        <v>3.0</v>
      </c>
      <c r="F137" s="84" t="s">
        <v>5131</v>
      </c>
      <c r="G137" s="84">
        <v>0.0</v>
      </c>
      <c r="H137" s="84">
        <v>101.0</v>
      </c>
      <c r="I137" s="84">
        <v>10.0</v>
      </c>
      <c r="N137" s="84">
        <v>0.0</v>
      </c>
      <c r="O137" s="84">
        <v>0.0</v>
      </c>
      <c r="P137" s="84">
        <v>0.0</v>
      </c>
      <c r="U137" s="84">
        <v>32.0</v>
      </c>
      <c r="W137" s="84">
        <v>50.0</v>
      </c>
      <c r="X137" s="84">
        <v>7.0</v>
      </c>
      <c r="AH137" s="84">
        <v>0.0</v>
      </c>
      <c r="AI137" s="84">
        <v>0.0</v>
      </c>
      <c r="AJ137" s="84">
        <v>0.0</v>
      </c>
      <c r="AK137" s="84">
        <v>0.0</v>
      </c>
      <c r="AL137" s="84">
        <v>0.0</v>
      </c>
      <c r="AM137" s="84">
        <v>1.0</v>
      </c>
      <c r="AN137" s="84">
        <v>0.0</v>
      </c>
      <c r="AO137" s="84">
        <v>0.0</v>
      </c>
      <c r="AP137" s="84">
        <v>0.0</v>
      </c>
      <c r="AQ137" s="84">
        <v>0.0</v>
      </c>
      <c r="AR137" s="84">
        <v>0.0</v>
      </c>
      <c r="AS137" s="84">
        <v>0.0</v>
      </c>
      <c r="AT137" s="84">
        <v>1.0</v>
      </c>
      <c r="AU137" s="84">
        <v>0.0</v>
      </c>
      <c r="AV137" s="84">
        <v>0.0</v>
      </c>
      <c r="AW137" s="84">
        <v>0.0</v>
      </c>
      <c r="AX137" s="84">
        <v>0.0</v>
      </c>
      <c r="AY137" s="84">
        <v>1.0</v>
      </c>
      <c r="AZ137" s="84">
        <v>17.0</v>
      </c>
      <c r="BH137" s="84">
        <v>151.0</v>
      </c>
      <c r="BI137" s="84" t="s">
        <v>5381</v>
      </c>
    </row>
    <row r="138" ht="12.75" customHeight="1">
      <c r="A138" s="84">
        <v>136.0</v>
      </c>
      <c r="B138" s="84" t="s">
        <v>3629</v>
      </c>
      <c r="C138" s="84">
        <v>1.0</v>
      </c>
      <c r="D138" s="84" t="s">
        <v>4935</v>
      </c>
      <c r="E138" s="84">
        <v>0.0</v>
      </c>
      <c r="F138" s="84" t="s">
        <v>5135</v>
      </c>
      <c r="G138" s="84">
        <v>130.0</v>
      </c>
      <c r="H138" s="84">
        <v>90.0</v>
      </c>
      <c r="I138" s="84">
        <v>10.0</v>
      </c>
      <c r="N138" s="84">
        <v>0.0</v>
      </c>
      <c r="O138" s="84">
        <v>0.0</v>
      </c>
      <c r="P138" s="84">
        <v>0.0</v>
      </c>
      <c r="U138" s="84">
        <v>45.0</v>
      </c>
      <c r="X138" s="84">
        <v>0.0</v>
      </c>
      <c r="AH138" s="84">
        <v>1.0</v>
      </c>
      <c r="AI138" s="84">
        <v>0.0</v>
      </c>
      <c r="AJ138" s="84">
        <v>0.0</v>
      </c>
      <c r="AK138" s="84">
        <v>1.0</v>
      </c>
      <c r="AL138" s="84">
        <v>0.0</v>
      </c>
      <c r="AM138" s="84">
        <v>0.0</v>
      </c>
      <c r="AN138" s="84">
        <v>1.0</v>
      </c>
      <c r="AO138" s="84">
        <v>0.0</v>
      </c>
      <c r="AP138" s="84">
        <v>0.0</v>
      </c>
      <c r="AQ138" s="84">
        <v>1.0</v>
      </c>
      <c r="AR138" s="84">
        <v>0.0</v>
      </c>
      <c r="AS138" s="84">
        <v>0.0</v>
      </c>
      <c r="AT138" s="84">
        <v>0.0</v>
      </c>
      <c r="AU138" s="84">
        <v>0.0</v>
      </c>
      <c r="AV138" s="84">
        <v>0.0</v>
      </c>
      <c r="AW138" s="84">
        <v>0.0</v>
      </c>
      <c r="AX138" s="84">
        <v>0.0</v>
      </c>
      <c r="AY138" s="84">
        <v>1.0</v>
      </c>
      <c r="AZ138" s="84">
        <v>43.0</v>
      </c>
      <c r="BH138" s="84">
        <v>152.0</v>
      </c>
      <c r="BI138" s="84" t="s">
        <v>5382</v>
      </c>
    </row>
    <row r="139" ht="12.75" customHeight="1">
      <c r="A139" s="84">
        <v>137.0</v>
      </c>
      <c r="B139" s="84" t="s">
        <v>3347</v>
      </c>
      <c r="C139" s="84">
        <v>1.0</v>
      </c>
      <c r="D139" s="84" t="s">
        <v>4916</v>
      </c>
      <c r="E139" s="84">
        <v>1.0</v>
      </c>
      <c r="F139" s="84" t="s">
        <v>5131</v>
      </c>
      <c r="G139" s="84">
        <v>0.0</v>
      </c>
      <c r="H139" s="84">
        <v>100.0</v>
      </c>
      <c r="I139" s="84">
        <v>30.0</v>
      </c>
      <c r="M139" s="84" t="s">
        <v>5311</v>
      </c>
      <c r="N139" s="84">
        <v>1.0</v>
      </c>
      <c r="O139" s="84">
        <v>0.0</v>
      </c>
      <c r="P139" s="84">
        <v>1.0</v>
      </c>
      <c r="U139" s="84">
        <v>67.0</v>
      </c>
      <c r="X139" s="84">
        <v>0.0</v>
      </c>
      <c r="AH139" s="84">
        <v>0.0</v>
      </c>
      <c r="AI139" s="84">
        <v>0.0</v>
      </c>
      <c r="AJ139" s="84">
        <v>0.0</v>
      </c>
      <c r="AK139" s="84">
        <v>1.0</v>
      </c>
      <c r="AL139" s="84">
        <v>1.0</v>
      </c>
      <c r="AM139" s="84">
        <v>0.0</v>
      </c>
      <c r="AN139" s="84">
        <v>1.0</v>
      </c>
      <c r="AO139" s="84">
        <v>0.0</v>
      </c>
      <c r="AP139" s="84">
        <v>0.0</v>
      </c>
      <c r="AQ139" s="84">
        <v>0.0</v>
      </c>
      <c r="AR139" s="84">
        <v>0.0</v>
      </c>
      <c r="AS139" s="84">
        <v>0.0</v>
      </c>
      <c r="AT139" s="84">
        <v>0.0</v>
      </c>
      <c r="AU139" s="84">
        <v>0.0</v>
      </c>
      <c r="AV139" s="84">
        <v>0.0</v>
      </c>
      <c r="AW139" s="84">
        <v>0.0</v>
      </c>
      <c r="AX139" s="84">
        <v>0.0</v>
      </c>
      <c r="AY139" s="84">
        <v>1.0</v>
      </c>
      <c r="AZ139" s="84">
        <v>19.0</v>
      </c>
      <c r="BH139" s="84">
        <v>153.0</v>
      </c>
      <c r="BI139" s="84" t="s">
        <v>5383</v>
      </c>
    </row>
    <row r="140" ht="12.75" customHeight="1">
      <c r="A140" s="84">
        <v>138.0</v>
      </c>
      <c r="B140" s="84" t="s">
        <v>2847</v>
      </c>
      <c r="C140" s="84">
        <v>1.0</v>
      </c>
      <c r="D140" s="84" t="s">
        <v>2659</v>
      </c>
      <c r="E140" s="84">
        <v>8.0</v>
      </c>
      <c r="F140" s="84" t="s">
        <v>5172</v>
      </c>
      <c r="G140" s="84">
        <v>100.0</v>
      </c>
      <c r="H140" s="84">
        <v>100.0</v>
      </c>
      <c r="I140" s="84">
        <v>15.0</v>
      </c>
      <c r="N140" s="84">
        <v>0.0</v>
      </c>
      <c r="O140" s="84">
        <v>0.0</v>
      </c>
      <c r="P140" s="84">
        <v>0.0</v>
      </c>
      <c r="U140" s="84">
        <v>8.0</v>
      </c>
      <c r="V140" s="84">
        <v>50.0</v>
      </c>
      <c r="X140" s="84">
        <v>0.0</v>
      </c>
      <c r="AH140" s="84">
        <v>0.0</v>
      </c>
      <c r="AI140" s="84">
        <v>0.0</v>
      </c>
      <c r="AJ140" s="84">
        <v>0.0</v>
      </c>
      <c r="AK140" s="84">
        <v>1.0</v>
      </c>
      <c r="AL140" s="84">
        <v>0.0</v>
      </c>
      <c r="AM140" s="84">
        <v>0.0</v>
      </c>
      <c r="AN140" s="84">
        <v>1.0</v>
      </c>
      <c r="AO140" s="84">
        <v>0.0</v>
      </c>
      <c r="AP140" s="84">
        <v>0.0</v>
      </c>
      <c r="AQ140" s="84">
        <v>0.0</v>
      </c>
      <c r="AR140" s="84">
        <v>0.0</v>
      </c>
      <c r="AS140" s="84">
        <v>0.0</v>
      </c>
      <c r="AT140" s="84">
        <v>1.0</v>
      </c>
      <c r="AU140" s="84">
        <v>0.0</v>
      </c>
      <c r="AV140" s="84">
        <v>0.0</v>
      </c>
      <c r="AW140" s="84">
        <v>0.0</v>
      </c>
      <c r="AX140" s="84">
        <v>0.0</v>
      </c>
      <c r="AY140" s="84">
        <v>1.0</v>
      </c>
      <c r="AZ140" s="84">
        <v>46.0</v>
      </c>
      <c r="BH140" s="84">
        <v>154.0</v>
      </c>
      <c r="BI140" s="84" t="s">
        <v>5384</v>
      </c>
    </row>
    <row r="141" ht="12.75" customHeight="1">
      <c r="A141" s="84">
        <v>139.0</v>
      </c>
      <c r="B141" s="84" t="s">
        <v>2994</v>
      </c>
      <c r="C141" s="84">
        <v>1.0</v>
      </c>
      <c r="D141" s="84" t="s">
        <v>4905</v>
      </c>
      <c r="E141" s="84">
        <v>1.0</v>
      </c>
      <c r="F141" s="84" t="s">
        <v>5131</v>
      </c>
      <c r="G141" s="84">
        <v>0.0</v>
      </c>
      <c r="H141" s="84">
        <v>90.0</v>
      </c>
      <c r="I141" s="84">
        <v>40.0</v>
      </c>
      <c r="M141" s="84" t="s">
        <v>4905</v>
      </c>
      <c r="N141" s="84">
        <v>5.0</v>
      </c>
      <c r="O141" s="84">
        <v>0.0</v>
      </c>
      <c r="P141" s="84">
        <v>1.0</v>
      </c>
      <c r="U141" s="84">
        <v>66.0</v>
      </c>
      <c r="X141" s="84">
        <v>5.0</v>
      </c>
      <c r="AH141" s="84">
        <v>0.0</v>
      </c>
      <c r="AI141" s="84">
        <v>0.0</v>
      </c>
      <c r="AJ141" s="84">
        <v>0.0</v>
      </c>
      <c r="AK141" s="84">
        <v>1.0</v>
      </c>
      <c r="AL141" s="84">
        <v>1.0</v>
      </c>
      <c r="AM141" s="84">
        <v>0.0</v>
      </c>
      <c r="AN141" s="84">
        <v>1.0</v>
      </c>
      <c r="AO141" s="84">
        <v>0.0</v>
      </c>
      <c r="AP141" s="84">
        <v>0.0</v>
      </c>
      <c r="AQ141" s="84">
        <v>0.0</v>
      </c>
      <c r="AR141" s="84">
        <v>0.0</v>
      </c>
      <c r="AS141" s="84">
        <v>0.0</v>
      </c>
      <c r="AT141" s="84">
        <v>0.0</v>
      </c>
      <c r="AU141" s="84">
        <v>0.0</v>
      </c>
      <c r="AV141" s="84">
        <v>0.0</v>
      </c>
      <c r="AW141" s="84">
        <v>0.0</v>
      </c>
      <c r="AX141" s="84">
        <v>0.0</v>
      </c>
      <c r="AY141" s="84">
        <v>1.0</v>
      </c>
      <c r="AZ141" s="84">
        <v>17.0</v>
      </c>
      <c r="BH141" s="84">
        <v>155.0</v>
      </c>
      <c r="BI141" s="84" t="s">
        <v>5385</v>
      </c>
    </row>
    <row r="142" ht="12.75" customHeight="1">
      <c r="A142" s="84">
        <v>140.0</v>
      </c>
      <c r="B142" s="84" t="s">
        <v>5386</v>
      </c>
      <c r="C142" s="84">
        <v>0.0</v>
      </c>
      <c r="D142" s="84" t="s">
        <v>4916</v>
      </c>
      <c r="E142" s="84">
        <v>0.0</v>
      </c>
      <c r="F142" s="84" t="s">
        <v>5135</v>
      </c>
      <c r="G142" s="84">
        <v>15.0</v>
      </c>
      <c r="H142" s="84">
        <v>85.0</v>
      </c>
      <c r="I142" s="84">
        <v>20.0</v>
      </c>
      <c r="J142" s="84"/>
      <c r="K142" s="84">
        <v>2.0</v>
      </c>
      <c r="L142" s="84">
        <v>5.0</v>
      </c>
      <c r="M142" s="84"/>
      <c r="N142" s="84">
        <v>0.0</v>
      </c>
      <c r="O142" s="84">
        <v>0.0</v>
      </c>
      <c r="P142" s="84">
        <v>0.0</v>
      </c>
      <c r="Q142" s="84"/>
      <c r="R142" s="84"/>
      <c r="S142" s="84"/>
      <c r="T142" s="84"/>
      <c r="U142" s="84">
        <v>29.0</v>
      </c>
      <c r="V142" s="84"/>
      <c r="W142" s="84"/>
      <c r="X142" s="84">
        <v>0.0</v>
      </c>
      <c r="Y142" s="84"/>
      <c r="Z142" s="84"/>
      <c r="AA142" s="84"/>
      <c r="AB142" s="84"/>
      <c r="AC142" s="84"/>
      <c r="AD142" s="84"/>
      <c r="AE142" s="84"/>
      <c r="AF142" s="84"/>
      <c r="AG142" s="84"/>
      <c r="AH142" s="84">
        <v>0.0</v>
      </c>
      <c r="AI142" s="84">
        <v>0.0</v>
      </c>
      <c r="AJ142" s="84">
        <v>0.0</v>
      </c>
      <c r="AK142" s="84">
        <v>1.0</v>
      </c>
      <c r="AL142" s="84">
        <v>0.0</v>
      </c>
      <c r="AM142" s="84">
        <v>0.0</v>
      </c>
      <c r="AN142" s="84">
        <v>1.0</v>
      </c>
      <c r="AO142" s="84">
        <v>0.0</v>
      </c>
      <c r="AP142" s="84">
        <v>0.0</v>
      </c>
      <c r="AQ142" s="84">
        <v>0.0</v>
      </c>
      <c r="AR142" s="84">
        <v>0.0</v>
      </c>
      <c r="AS142" s="84">
        <v>0.0</v>
      </c>
      <c r="AT142" s="84">
        <v>0.0</v>
      </c>
      <c r="AU142" s="84">
        <v>0.0</v>
      </c>
      <c r="AV142" s="84">
        <v>0.0</v>
      </c>
      <c r="AW142" s="84">
        <v>0.0</v>
      </c>
      <c r="AX142" s="84">
        <v>0.0</v>
      </c>
      <c r="AY142" s="84">
        <v>1.0</v>
      </c>
      <c r="AZ142" s="84">
        <v>0.0</v>
      </c>
      <c r="BH142" s="84">
        <v>156.0</v>
      </c>
      <c r="BI142" s="84" t="s">
        <v>5387</v>
      </c>
    </row>
    <row r="143" ht="12.75" customHeight="1">
      <c r="A143" s="84">
        <v>141.0</v>
      </c>
      <c r="B143" s="84" t="s">
        <v>3686</v>
      </c>
      <c r="C143" s="84">
        <v>1.0</v>
      </c>
      <c r="D143" s="84" t="s">
        <v>4910</v>
      </c>
      <c r="E143" s="84">
        <v>8.0</v>
      </c>
      <c r="F143" s="84" t="s">
        <v>5135</v>
      </c>
      <c r="G143" s="84">
        <v>80.0</v>
      </c>
      <c r="H143" s="84">
        <v>100.0</v>
      </c>
      <c r="I143" s="84">
        <v>10.0</v>
      </c>
      <c r="N143" s="84">
        <v>0.0</v>
      </c>
      <c r="O143" s="84">
        <v>0.0</v>
      </c>
      <c r="P143" s="84">
        <v>0.0</v>
      </c>
      <c r="U143" s="84">
        <v>3.0</v>
      </c>
      <c r="V143" s="84">
        <v>50.0</v>
      </c>
      <c r="X143" s="84">
        <v>0.0</v>
      </c>
      <c r="AH143" s="84">
        <v>1.0</v>
      </c>
      <c r="AI143" s="84">
        <v>0.0</v>
      </c>
      <c r="AJ143" s="84">
        <v>0.0</v>
      </c>
      <c r="AK143" s="84">
        <v>1.0</v>
      </c>
      <c r="AL143" s="84">
        <v>0.0</v>
      </c>
      <c r="AM143" s="84">
        <v>0.0</v>
      </c>
      <c r="AN143" s="84">
        <v>1.0</v>
      </c>
      <c r="AO143" s="84">
        <v>0.0</v>
      </c>
      <c r="AP143" s="84">
        <v>0.0</v>
      </c>
      <c r="AQ143" s="84">
        <v>0.0</v>
      </c>
      <c r="AR143" s="84">
        <v>0.0</v>
      </c>
      <c r="AS143" s="84">
        <v>0.0</v>
      </c>
      <c r="AT143" s="84">
        <v>1.0</v>
      </c>
      <c r="AU143" s="84">
        <v>0.0</v>
      </c>
      <c r="AV143" s="84">
        <v>0.0</v>
      </c>
      <c r="AW143" s="84">
        <v>0.0</v>
      </c>
      <c r="AX143" s="84">
        <v>0.0</v>
      </c>
      <c r="AY143" s="84">
        <v>1.0</v>
      </c>
      <c r="AZ143" s="84">
        <v>38.0</v>
      </c>
      <c r="BH143" s="84">
        <v>158.0</v>
      </c>
      <c r="BI143" s="84" t="s">
        <v>5388</v>
      </c>
    </row>
    <row r="144" ht="12.75" customHeight="1">
      <c r="A144" s="84">
        <v>142.0</v>
      </c>
      <c r="B144" s="84" t="s">
        <v>3641</v>
      </c>
      <c r="C144" s="84">
        <v>1.0</v>
      </c>
      <c r="D144" s="84" t="s">
        <v>4916</v>
      </c>
      <c r="E144" s="84">
        <v>1.0</v>
      </c>
      <c r="F144" s="84" t="s">
        <v>5131</v>
      </c>
      <c r="G144" s="84">
        <v>0.0</v>
      </c>
      <c r="H144" s="84">
        <v>75.0</v>
      </c>
      <c r="I144" s="84">
        <v>10.0</v>
      </c>
      <c r="M144" s="84" t="s">
        <v>5252</v>
      </c>
      <c r="N144" s="84">
        <v>2.0</v>
      </c>
      <c r="O144" s="84">
        <v>0.0</v>
      </c>
      <c r="P144" s="84">
        <v>2.0</v>
      </c>
      <c r="Q144" s="84">
        <v>2.0</v>
      </c>
      <c r="R144" s="84">
        <v>4.0</v>
      </c>
      <c r="U144" s="84">
        <v>1.0</v>
      </c>
      <c r="X144" s="84">
        <v>0.0</v>
      </c>
      <c r="AH144" s="84">
        <v>0.0</v>
      </c>
      <c r="AI144" s="84">
        <v>0.0</v>
      </c>
      <c r="AJ144" s="84">
        <v>0.0</v>
      </c>
      <c r="AK144" s="84">
        <v>1.0</v>
      </c>
      <c r="AL144" s="84">
        <v>1.0</v>
      </c>
      <c r="AM144" s="84">
        <v>0.0</v>
      </c>
      <c r="AN144" s="84">
        <v>1.0</v>
      </c>
      <c r="AO144" s="84">
        <v>0.0</v>
      </c>
      <c r="AP144" s="84">
        <v>0.0</v>
      </c>
      <c r="AQ144" s="84">
        <v>0.0</v>
      </c>
      <c r="AR144" s="84">
        <v>0.0</v>
      </c>
      <c r="AS144" s="84">
        <v>0.0</v>
      </c>
      <c r="AT144" s="84">
        <v>0.0</v>
      </c>
      <c r="AU144" s="84">
        <v>0.0</v>
      </c>
      <c r="AV144" s="84">
        <v>0.0</v>
      </c>
      <c r="AW144" s="84">
        <v>0.0</v>
      </c>
      <c r="AX144" s="84">
        <v>0.0</v>
      </c>
      <c r="AY144" s="84">
        <v>1.0</v>
      </c>
      <c r="AZ144" s="84">
        <v>20.0</v>
      </c>
      <c r="BH144" s="84">
        <v>159.0</v>
      </c>
      <c r="BI144" s="84" t="s">
        <v>5297</v>
      </c>
    </row>
    <row r="145" ht="12.75" customHeight="1">
      <c r="A145" s="84">
        <v>143.0</v>
      </c>
      <c r="B145" s="84" t="s">
        <v>3825</v>
      </c>
      <c r="C145" s="84">
        <v>1.0</v>
      </c>
      <c r="D145" s="84" t="s">
        <v>4907</v>
      </c>
      <c r="E145" s="84">
        <v>0.0</v>
      </c>
      <c r="F145" s="84" t="s">
        <v>5135</v>
      </c>
      <c r="G145" s="84">
        <v>140.0</v>
      </c>
      <c r="H145" s="84">
        <v>90.0</v>
      </c>
      <c r="I145" s="84">
        <v>5.0</v>
      </c>
      <c r="N145" s="84">
        <v>0.0</v>
      </c>
      <c r="O145" s="84">
        <v>0.0</v>
      </c>
      <c r="P145" s="84">
        <v>0.0</v>
      </c>
      <c r="S145" s="84">
        <v>1.0</v>
      </c>
      <c r="T145" s="84">
        <v>30.0</v>
      </c>
      <c r="U145" s="84">
        <v>75.0</v>
      </c>
      <c r="X145" s="84">
        <v>0.0</v>
      </c>
      <c r="AH145" s="84">
        <v>0.0</v>
      </c>
      <c r="AI145" s="84">
        <v>1.0</v>
      </c>
      <c r="AJ145" s="84">
        <v>0.0</v>
      </c>
      <c r="AK145" s="84">
        <v>1.0</v>
      </c>
      <c r="AL145" s="84">
        <v>0.0</v>
      </c>
      <c r="AM145" s="84">
        <v>0.0</v>
      </c>
      <c r="AN145" s="84">
        <v>1.0</v>
      </c>
      <c r="AO145" s="84">
        <v>0.0</v>
      </c>
      <c r="AP145" s="84">
        <v>0.0</v>
      </c>
      <c r="AQ145" s="84">
        <v>0.0</v>
      </c>
      <c r="AR145" s="84">
        <v>0.0</v>
      </c>
      <c r="AS145" s="84">
        <v>1.0</v>
      </c>
      <c r="AT145" s="84">
        <v>0.0</v>
      </c>
      <c r="AU145" s="84">
        <v>0.0</v>
      </c>
      <c r="AV145" s="84">
        <v>0.0</v>
      </c>
      <c r="AW145" s="84">
        <v>0.0</v>
      </c>
      <c r="AX145" s="84">
        <v>0.0</v>
      </c>
      <c r="AY145" s="84">
        <v>1.0</v>
      </c>
      <c r="AZ145" s="84">
        <v>29.0</v>
      </c>
      <c r="BH145" s="84">
        <v>160.0</v>
      </c>
      <c r="BI145" s="84" t="s">
        <v>5389</v>
      </c>
    </row>
    <row r="146" ht="12.75" customHeight="1">
      <c r="A146" s="84">
        <v>144.0</v>
      </c>
      <c r="B146" s="84" t="s">
        <v>5390</v>
      </c>
      <c r="C146" s="84">
        <v>1.0</v>
      </c>
      <c r="D146" s="84" t="s">
        <v>4916</v>
      </c>
      <c r="E146" s="84">
        <v>13.0</v>
      </c>
      <c r="F146" s="84" t="s">
        <v>5131</v>
      </c>
      <c r="G146" s="84">
        <v>0.0</v>
      </c>
      <c r="H146" s="84">
        <v>101.0</v>
      </c>
      <c r="I146" s="84">
        <v>10.0</v>
      </c>
      <c r="N146" s="84">
        <v>0.0</v>
      </c>
      <c r="O146" s="84">
        <v>0.0</v>
      </c>
      <c r="P146" s="84">
        <v>0.0</v>
      </c>
      <c r="U146" s="84">
        <v>57.0</v>
      </c>
      <c r="X146" s="84">
        <v>0.0</v>
      </c>
      <c r="AH146" s="84">
        <v>0.0</v>
      </c>
      <c r="AI146" s="84">
        <v>0.0</v>
      </c>
      <c r="AJ146" s="84">
        <v>0.0</v>
      </c>
      <c r="AK146" s="84">
        <v>0.0</v>
      </c>
      <c r="AL146" s="84">
        <v>0.0</v>
      </c>
      <c r="AM146" s="84">
        <v>0.0</v>
      </c>
      <c r="AN146" s="84">
        <v>0.0</v>
      </c>
      <c r="AO146" s="84">
        <v>0.0</v>
      </c>
      <c r="AP146" s="84">
        <v>0.0</v>
      </c>
      <c r="AQ146" s="84">
        <v>0.0</v>
      </c>
      <c r="AR146" s="84">
        <v>0.0</v>
      </c>
      <c r="AS146" s="84">
        <v>0.0</v>
      </c>
      <c r="AT146" s="84">
        <v>0.0</v>
      </c>
      <c r="AU146" s="84">
        <v>0.0</v>
      </c>
      <c r="AV146" s="84">
        <v>0.0</v>
      </c>
      <c r="AW146" s="84">
        <v>1.0</v>
      </c>
      <c r="AX146" s="84">
        <v>0.0</v>
      </c>
      <c r="AY146" s="84">
        <v>0.0</v>
      </c>
      <c r="AZ146" s="84">
        <v>11.0</v>
      </c>
      <c r="BH146" s="84">
        <v>161.0</v>
      </c>
      <c r="BI146" s="84" t="s">
        <v>5391</v>
      </c>
    </row>
    <row r="147" ht="12.75" customHeight="1">
      <c r="A147" s="84">
        <v>145.0</v>
      </c>
      <c r="B147" s="84" t="s">
        <v>5392</v>
      </c>
      <c r="C147" s="84">
        <v>0.0</v>
      </c>
      <c r="D147" s="84" t="s">
        <v>4908</v>
      </c>
      <c r="E147" s="84">
        <v>6.0</v>
      </c>
      <c r="F147" s="84" t="s">
        <v>5172</v>
      </c>
      <c r="G147" s="84">
        <v>40.0</v>
      </c>
      <c r="H147" s="84">
        <v>100.0</v>
      </c>
      <c r="I147" s="84">
        <v>30.0</v>
      </c>
      <c r="J147" s="84"/>
      <c r="K147" s="84"/>
      <c r="L147" s="84"/>
      <c r="M147" s="84"/>
      <c r="N147" s="84">
        <v>0.0</v>
      </c>
      <c r="O147" s="84">
        <v>0.0</v>
      </c>
      <c r="P147" s="84">
        <v>0.0</v>
      </c>
      <c r="Q147" s="84"/>
      <c r="R147" s="84"/>
      <c r="S147" s="84"/>
      <c r="T147" s="84"/>
      <c r="U147" s="84">
        <v>70.0</v>
      </c>
      <c r="V147" s="84"/>
      <c r="W147" s="84"/>
      <c r="X147" s="84">
        <v>5.0</v>
      </c>
      <c r="Y147" s="84" t="s">
        <v>5073</v>
      </c>
      <c r="Z147" s="84">
        <v>-1.0</v>
      </c>
      <c r="AA147" s="84">
        <v>10.0</v>
      </c>
      <c r="AB147" s="84"/>
      <c r="AC147" s="84"/>
      <c r="AD147" s="84"/>
      <c r="AE147" s="84"/>
      <c r="AF147" s="84"/>
      <c r="AG147" s="84"/>
      <c r="AH147" s="84">
        <v>0.0</v>
      </c>
      <c r="AI147" s="84">
        <v>0.0</v>
      </c>
      <c r="AJ147" s="84">
        <v>0.0</v>
      </c>
      <c r="AK147" s="84">
        <v>1.0</v>
      </c>
      <c r="AL147" s="84">
        <v>0.0</v>
      </c>
      <c r="AM147" s="84">
        <v>0.0</v>
      </c>
      <c r="AN147" s="84">
        <v>1.0</v>
      </c>
      <c r="AO147" s="84">
        <v>0.0</v>
      </c>
      <c r="AP147" s="84">
        <v>0.0</v>
      </c>
      <c r="AQ147" s="84">
        <v>0.0</v>
      </c>
      <c r="AR147" s="84">
        <v>0.0</v>
      </c>
      <c r="AS147" s="84">
        <v>0.0</v>
      </c>
      <c r="AT147" s="84">
        <v>0.0</v>
      </c>
      <c r="AU147" s="84">
        <v>0.0</v>
      </c>
      <c r="AV147" s="84">
        <v>0.0</v>
      </c>
      <c r="AW147" s="84">
        <v>0.0</v>
      </c>
      <c r="AX147" s="84">
        <v>0.0</v>
      </c>
      <c r="AY147" s="84">
        <v>1.0</v>
      </c>
      <c r="AZ147" s="84">
        <v>0.0</v>
      </c>
      <c r="BH147" s="84">
        <v>162.0</v>
      </c>
      <c r="BI147" s="84" t="s">
        <v>5393</v>
      </c>
    </row>
    <row r="148" ht="12.75" customHeight="1">
      <c r="A148" s="84">
        <v>146.0</v>
      </c>
      <c r="B148" s="84" t="s">
        <v>5394</v>
      </c>
      <c r="C148" s="84">
        <v>0.0</v>
      </c>
      <c r="D148" s="84" t="s">
        <v>4916</v>
      </c>
      <c r="E148" s="84">
        <v>4.0</v>
      </c>
      <c r="F148" s="84" t="s">
        <v>5135</v>
      </c>
      <c r="G148" s="84">
        <v>70.0</v>
      </c>
      <c r="H148" s="84">
        <v>100.0</v>
      </c>
      <c r="I148" s="84">
        <v>10.0</v>
      </c>
      <c r="J148" s="84"/>
      <c r="K148" s="84"/>
      <c r="L148" s="84"/>
      <c r="M148" s="84" t="s">
        <v>5395</v>
      </c>
      <c r="N148" s="84">
        <v>6.0</v>
      </c>
      <c r="O148" s="84">
        <v>20.0</v>
      </c>
      <c r="P148" s="84">
        <v>2.0</v>
      </c>
      <c r="Q148" s="84">
        <v>2.0</v>
      </c>
      <c r="R148" s="84">
        <v>5.0</v>
      </c>
      <c r="S148" s="84"/>
      <c r="T148" s="84"/>
      <c r="U148" s="84">
        <v>76.0</v>
      </c>
      <c r="V148" s="84"/>
      <c r="W148" s="84"/>
      <c r="X148" s="84">
        <v>0.0</v>
      </c>
      <c r="Y148" s="84"/>
      <c r="Z148" s="84"/>
      <c r="AA148" s="84"/>
      <c r="AB148" s="84"/>
      <c r="AC148" s="84"/>
      <c r="AD148" s="84"/>
      <c r="AE148" s="84"/>
      <c r="AF148" s="84"/>
      <c r="AG148" s="84"/>
      <c r="AH148" s="84">
        <v>1.0</v>
      </c>
      <c r="AI148" s="84">
        <v>0.0</v>
      </c>
      <c r="AJ148" s="84">
        <v>0.0</v>
      </c>
      <c r="AK148" s="84">
        <v>1.0</v>
      </c>
      <c r="AL148" s="84">
        <v>0.0</v>
      </c>
      <c r="AM148" s="84">
        <v>0.0</v>
      </c>
      <c r="AN148" s="84">
        <v>1.0</v>
      </c>
      <c r="AO148" s="84">
        <v>1.0</v>
      </c>
      <c r="AP148" s="84">
        <v>0.0</v>
      </c>
      <c r="AQ148" s="84">
        <v>0.0</v>
      </c>
      <c r="AR148" s="84">
        <v>0.0</v>
      </c>
      <c r="AS148" s="84">
        <v>0.0</v>
      </c>
      <c r="AT148" s="84">
        <v>0.0</v>
      </c>
      <c r="AU148" s="84">
        <v>0.0</v>
      </c>
      <c r="AV148" s="84">
        <v>0.0</v>
      </c>
      <c r="AW148" s="84">
        <v>0.0</v>
      </c>
      <c r="AX148" s="84">
        <v>0.0</v>
      </c>
      <c r="AY148" s="84">
        <v>1.0</v>
      </c>
      <c r="AZ148" s="84">
        <v>0.0</v>
      </c>
      <c r="BH148" s="84">
        <v>164.0</v>
      </c>
      <c r="BI148" s="84" t="s">
        <v>5396</v>
      </c>
    </row>
    <row r="149" ht="12.75" customHeight="1">
      <c r="A149" s="84">
        <v>147.0</v>
      </c>
      <c r="B149" s="84" t="s">
        <v>3249</v>
      </c>
      <c r="C149" s="84">
        <v>1.0</v>
      </c>
      <c r="D149" s="84" t="s">
        <v>4904</v>
      </c>
      <c r="E149" s="84">
        <v>1.0</v>
      </c>
      <c r="F149" s="84" t="s">
        <v>5131</v>
      </c>
      <c r="G149" s="84">
        <v>0.0</v>
      </c>
      <c r="H149" s="84">
        <v>100.0</v>
      </c>
      <c r="I149" s="84">
        <v>15.0</v>
      </c>
      <c r="M149" s="84" t="s">
        <v>5252</v>
      </c>
      <c r="N149" s="84">
        <v>2.0</v>
      </c>
      <c r="O149" s="84">
        <v>0.0</v>
      </c>
      <c r="P149" s="84">
        <v>2.0</v>
      </c>
      <c r="Q149" s="84">
        <v>2.0</v>
      </c>
      <c r="R149" s="84">
        <v>4.0</v>
      </c>
      <c r="U149" s="84">
        <v>1.0</v>
      </c>
      <c r="X149" s="84">
        <v>0.0</v>
      </c>
      <c r="AH149" s="84">
        <v>0.0</v>
      </c>
      <c r="AI149" s="84">
        <v>0.0</v>
      </c>
      <c r="AJ149" s="84">
        <v>0.0</v>
      </c>
      <c r="AK149" s="84">
        <v>1.0</v>
      </c>
      <c r="AL149" s="84">
        <v>1.0</v>
      </c>
      <c r="AM149" s="84">
        <v>0.0</v>
      </c>
      <c r="AN149" s="84">
        <v>1.0</v>
      </c>
      <c r="AO149" s="84">
        <v>0.0</v>
      </c>
      <c r="AP149" s="84">
        <v>0.0</v>
      </c>
      <c r="AQ149" s="84">
        <v>0.0</v>
      </c>
      <c r="AR149" s="84">
        <v>0.0</v>
      </c>
      <c r="AS149" s="84">
        <v>0.0</v>
      </c>
      <c r="AT149" s="84">
        <v>0.0</v>
      </c>
      <c r="AU149" s="84">
        <v>0.0</v>
      </c>
      <c r="AV149" s="84">
        <v>0.0</v>
      </c>
      <c r="AW149" s="84">
        <v>0.0</v>
      </c>
      <c r="AX149" s="84">
        <v>0.0</v>
      </c>
      <c r="AY149" s="84">
        <v>1.0</v>
      </c>
      <c r="AZ149" s="84">
        <v>20.0</v>
      </c>
      <c r="BH149" s="84">
        <v>165.0</v>
      </c>
      <c r="BI149" s="84" t="s">
        <v>5236</v>
      </c>
    </row>
    <row r="150" ht="12.75" customHeight="1">
      <c r="A150" s="84">
        <v>148.0</v>
      </c>
      <c r="B150" s="84" t="s">
        <v>2615</v>
      </c>
      <c r="C150" s="84">
        <v>1.0</v>
      </c>
      <c r="D150" s="84" t="s">
        <v>4916</v>
      </c>
      <c r="E150" s="84">
        <v>2.0</v>
      </c>
      <c r="F150" s="84" t="s">
        <v>5131</v>
      </c>
      <c r="G150" s="84">
        <v>0.0</v>
      </c>
      <c r="H150" s="84">
        <v>100.0</v>
      </c>
      <c r="I150" s="84">
        <v>20.0</v>
      </c>
      <c r="N150" s="84">
        <v>0.0</v>
      </c>
      <c r="O150" s="84">
        <v>0.0</v>
      </c>
      <c r="P150" s="84">
        <v>0.0</v>
      </c>
      <c r="U150" s="84">
        <v>23.0</v>
      </c>
      <c r="X150" s="84">
        <v>0.0</v>
      </c>
      <c r="Y150" s="84" t="s">
        <v>5092</v>
      </c>
      <c r="Z150" s="84">
        <v>-1.0</v>
      </c>
      <c r="AH150" s="84">
        <v>0.0</v>
      </c>
      <c r="AI150" s="84">
        <v>0.0</v>
      </c>
      <c r="AJ150" s="84">
        <v>0.0</v>
      </c>
      <c r="AK150" s="84">
        <v>1.0</v>
      </c>
      <c r="AL150" s="84">
        <v>1.0</v>
      </c>
      <c r="AM150" s="84">
        <v>0.0</v>
      </c>
      <c r="AN150" s="84">
        <v>1.0</v>
      </c>
      <c r="AO150" s="84">
        <v>0.0</v>
      </c>
      <c r="AP150" s="84">
        <v>0.0</v>
      </c>
      <c r="AQ150" s="84">
        <v>0.0</v>
      </c>
      <c r="AR150" s="84">
        <v>0.0</v>
      </c>
      <c r="AS150" s="84">
        <v>0.0</v>
      </c>
      <c r="AT150" s="84">
        <v>0.0</v>
      </c>
      <c r="AU150" s="84">
        <v>0.0</v>
      </c>
      <c r="AV150" s="84">
        <v>0.0</v>
      </c>
      <c r="AW150" s="84">
        <v>0.0</v>
      </c>
      <c r="AX150" s="84">
        <v>0.0</v>
      </c>
      <c r="AY150" s="84">
        <v>1.0</v>
      </c>
      <c r="AZ150" s="84">
        <v>5.0</v>
      </c>
      <c r="BH150" s="84">
        <v>166.0</v>
      </c>
      <c r="BI150" s="84" t="s">
        <v>5397</v>
      </c>
    </row>
    <row r="151" ht="12.75" customHeight="1">
      <c r="A151" s="84">
        <v>149.0</v>
      </c>
      <c r="B151" s="84" t="s">
        <v>5398</v>
      </c>
      <c r="C151" s="84">
        <v>0.0</v>
      </c>
      <c r="D151" s="84" t="s">
        <v>2659</v>
      </c>
      <c r="E151" s="84">
        <v>0.0</v>
      </c>
      <c r="F151" s="84" t="s">
        <v>5172</v>
      </c>
      <c r="G151" s="84">
        <v>1.0</v>
      </c>
      <c r="H151" s="84">
        <v>100.0</v>
      </c>
      <c r="I151" s="84">
        <v>15.0</v>
      </c>
      <c r="J151" s="84"/>
      <c r="K151" s="84"/>
      <c r="L151" s="84"/>
      <c r="M151" s="84"/>
      <c r="N151" s="84">
        <v>0.0</v>
      </c>
      <c r="O151" s="84">
        <v>0.0</v>
      </c>
      <c r="P151" s="84">
        <v>0.0</v>
      </c>
      <c r="Q151" s="84"/>
      <c r="R151" s="84"/>
      <c r="S151" s="84"/>
      <c r="T151" s="84"/>
      <c r="U151" s="84">
        <v>88.0</v>
      </c>
      <c r="V151" s="84"/>
      <c r="W151" s="84"/>
      <c r="X151" s="84">
        <v>0.0</v>
      </c>
      <c r="Y151" s="84"/>
      <c r="Z151" s="84"/>
      <c r="AA151" s="84"/>
      <c r="AB151" s="84"/>
      <c r="AC151" s="84"/>
      <c r="AD151" s="84"/>
      <c r="AE151" s="84"/>
      <c r="AF151" s="84"/>
      <c r="AG151" s="84"/>
      <c r="AH151" s="84">
        <v>0.0</v>
      </c>
      <c r="AI151" s="84">
        <v>0.0</v>
      </c>
      <c r="AJ151" s="84">
        <v>0.0</v>
      </c>
      <c r="AK151" s="84">
        <v>1.0</v>
      </c>
      <c r="AL151" s="84">
        <v>0.0</v>
      </c>
      <c r="AM151" s="84">
        <v>0.0</v>
      </c>
      <c r="AN151" s="84">
        <v>1.0</v>
      </c>
      <c r="AO151" s="84">
        <v>0.0</v>
      </c>
      <c r="AP151" s="84">
        <v>0.0</v>
      </c>
      <c r="AQ151" s="84">
        <v>0.0</v>
      </c>
      <c r="AR151" s="84">
        <v>0.0</v>
      </c>
      <c r="AS151" s="84">
        <v>0.0</v>
      </c>
      <c r="AT151" s="84">
        <v>0.0</v>
      </c>
      <c r="AU151" s="84">
        <v>0.0</v>
      </c>
      <c r="AV151" s="84">
        <v>0.0</v>
      </c>
      <c r="AW151" s="84">
        <v>0.0</v>
      </c>
      <c r="AX151" s="84">
        <v>0.0</v>
      </c>
      <c r="AY151" s="84">
        <v>1.0</v>
      </c>
      <c r="AZ151" s="84">
        <v>0.0</v>
      </c>
      <c r="BH151" s="84">
        <v>167.0</v>
      </c>
      <c r="BI151" s="84" t="s">
        <v>5399</v>
      </c>
    </row>
    <row r="152" ht="12.75" customHeight="1">
      <c r="A152" s="84">
        <v>150.0</v>
      </c>
      <c r="B152" s="84" t="s">
        <v>3109</v>
      </c>
      <c r="C152" s="84">
        <v>1.0</v>
      </c>
      <c r="D152" s="84" t="s">
        <v>4916</v>
      </c>
      <c r="E152" s="84">
        <v>13.0</v>
      </c>
      <c r="F152" s="84" t="s">
        <v>5131</v>
      </c>
      <c r="G152" s="84">
        <v>0.0</v>
      </c>
      <c r="H152" s="84">
        <v>101.0</v>
      </c>
      <c r="I152" s="84">
        <v>40.0</v>
      </c>
      <c r="N152" s="84">
        <v>0.0</v>
      </c>
      <c r="O152" s="84">
        <v>0.0</v>
      </c>
      <c r="P152" s="84">
        <v>0.0</v>
      </c>
      <c r="U152" s="84">
        <v>85.0</v>
      </c>
      <c r="X152" s="84">
        <v>7.0</v>
      </c>
      <c r="AH152" s="84">
        <v>0.0</v>
      </c>
      <c r="AI152" s="84">
        <v>0.0</v>
      </c>
      <c r="AJ152" s="84">
        <v>0.0</v>
      </c>
      <c r="AK152" s="84">
        <v>0.0</v>
      </c>
      <c r="AL152" s="84">
        <v>0.0</v>
      </c>
      <c r="AM152" s="84">
        <v>0.0</v>
      </c>
      <c r="AN152" s="84">
        <v>0.0</v>
      </c>
      <c r="AO152" s="84">
        <v>0.0</v>
      </c>
      <c r="AP152" s="84">
        <v>0.0</v>
      </c>
      <c r="AQ152" s="84">
        <v>1.0</v>
      </c>
      <c r="AR152" s="84">
        <v>0.0</v>
      </c>
      <c r="AS152" s="84">
        <v>0.0</v>
      </c>
      <c r="AT152" s="84">
        <v>0.0</v>
      </c>
      <c r="AU152" s="84">
        <v>0.0</v>
      </c>
      <c r="AV152" s="84">
        <v>0.0</v>
      </c>
      <c r="AW152" s="84">
        <v>0.0</v>
      </c>
      <c r="AX152" s="84">
        <v>0.0</v>
      </c>
      <c r="AY152" s="84">
        <v>1.0</v>
      </c>
      <c r="AZ152" s="84">
        <v>0.0</v>
      </c>
      <c r="BH152" s="84">
        <v>168.0</v>
      </c>
      <c r="BI152" s="84" t="s">
        <v>5400</v>
      </c>
    </row>
    <row r="153" ht="12.75" customHeight="1">
      <c r="A153" s="84">
        <v>151.0</v>
      </c>
      <c r="B153" s="84" t="s">
        <v>2972</v>
      </c>
      <c r="C153" s="84">
        <v>1.0</v>
      </c>
      <c r="D153" s="84" t="s">
        <v>4905</v>
      </c>
      <c r="E153" s="84">
        <v>2.0</v>
      </c>
      <c r="F153" s="84" t="s">
        <v>5131</v>
      </c>
      <c r="G153" s="84">
        <v>0.0</v>
      </c>
      <c r="H153" s="84">
        <v>101.0</v>
      </c>
      <c r="I153" s="84">
        <v>20.0</v>
      </c>
      <c r="N153" s="84">
        <v>0.0</v>
      </c>
      <c r="O153" s="84">
        <v>0.0</v>
      </c>
      <c r="P153" s="84">
        <v>0.0</v>
      </c>
      <c r="U153" s="84">
        <v>51.0</v>
      </c>
      <c r="X153" s="84">
        <v>7.0</v>
      </c>
      <c r="Y153" s="84" t="s">
        <v>21</v>
      </c>
      <c r="Z153" s="84">
        <v>2.0</v>
      </c>
      <c r="AH153" s="84">
        <v>0.0</v>
      </c>
      <c r="AI153" s="84">
        <v>0.0</v>
      </c>
      <c r="AJ153" s="84">
        <v>0.0</v>
      </c>
      <c r="AK153" s="84">
        <v>0.0</v>
      </c>
      <c r="AL153" s="84">
        <v>0.0</v>
      </c>
      <c r="AM153" s="84">
        <v>1.0</v>
      </c>
      <c r="AN153" s="84">
        <v>0.0</v>
      </c>
      <c r="AO153" s="84">
        <v>0.0</v>
      </c>
      <c r="AP153" s="84">
        <v>0.0</v>
      </c>
      <c r="AQ153" s="84">
        <v>0.0</v>
      </c>
      <c r="AR153" s="84">
        <v>0.0</v>
      </c>
      <c r="AS153" s="84">
        <v>0.0</v>
      </c>
      <c r="AT153" s="84">
        <v>0.0</v>
      </c>
      <c r="AU153" s="84">
        <v>0.0</v>
      </c>
      <c r="AV153" s="84">
        <v>0.0</v>
      </c>
      <c r="AW153" s="84">
        <v>0.0</v>
      </c>
      <c r="AX153" s="84">
        <v>0.0</v>
      </c>
      <c r="AY153" s="84">
        <v>1.0</v>
      </c>
      <c r="AZ153" s="84">
        <v>8.0</v>
      </c>
      <c r="BH153" s="84">
        <v>169.0</v>
      </c>
      <c r="BI153" s="84" t="s">
        <v>5401</v>
      </c>
    </row>
    <row r="154" ht="12.75" customHeight="1">
      <c r="A154" s="84">
        <v>152.0</v>
      </c>
      <c r="B154" s="84" t="s">
        <v>2836</v>
      </c>
      <c r="C154" s="84">
        <v>1.0</v>
      </c>
      <c r="D154" s="84" t="s">
        <v>4908</v>
      </c>
      <c r="E154" s="84">
        <v>0.0</v>
      </c>
      <c r="F154" s="84" t="s">
        <v>5135</v>
      </c>
      <c r="G154" s="84">
        <v>100.0</v>
      </c>
      <c r="H154" s="84">
        <v>90.0</v>
      </c>
      <c r="I154" s="84">
        <v>10.0</v>
      </c>
      <c r="N154" s="84">
        <v>0.0</v>
      </c>
      <c r="O154" s="84">
        <v>0.0</v>
      </c>
      <c r="P154" s="84">
        <v>0.0</v>
      </c>
      <c r="S154" s="84">
        <v>1.0</v>
      </c>
      <c r="U154" s="84">
        <v>43.0</v>
      </c>
      <c r="X154" s="84">
        <v>0.0</v>
      </c>
      <c r="AH154" s="84">
        <v>1.0</v>
      </c>
      <c r="AI154" s="84">
        <v>0.0</v>
      </c>
      <c r="AJ154" s="84">
        <v>0.0</v>
      </c>
      <c r="AK154" s="84">
        <v>1.0</v>
      </c>
      <c r="AL154" s="84">
        <v>0.0</v>
      </c>
      <c r="AM154" s="84">
        <v>0.0</v>
      </c>
      <c r="AN154" s="84">
        <v>1.0</v>
      </c>
      <c r="AO154" s="84">
        <v>0.0</v>
      </c>
      <c r="AP154" s="84">
        <v>0.0</v>
      </c>
      <c r="AQ154" s="84">
        <v>0.0</v>
      </c>
      <c r="AR154" s="84">
        <v>0.0</v>
      </c>
      <c r="AS154" s="84">
        <v>0.0</v>
      </c>
      <c r="AT154" s="84">
        <v>0.0</v>
      </c>
      <c r="AU154" s="84">
        <v>0.0</v>
      </c>
      <c r="AV154" s="84">
        <v>0.0</v>
      </c>
      <c r="AW154" s="84">
        <v>0.0</v>
      </c>
      <c r="AX154" s="84">
        <v>0.0</v>
      </c>
      <c r="AY154" s="84">
        <v>1.0</v>
      </c>
      <c r="AZ154" s="84">
        <v>42.0</v>
      </c>
      <c r="BH154" s="84">
        <v>170.0</v>
      </c>
      <c r="BI154" s="84" t="s">
        <v>5402</v>
      </c>
    </row>
    <row r="155" ht="12.75" customHeight="1">
      <c r="A155" s="84">
        <v>153.0</v>
      </c>
      <c r="B155" s="84" t="s">
        <v>2539</v>
      </c>
      <c r="C155" s="84">
        <v>1.0</v>
      </c>
      <c r="D155" s="84" t="s">
        <v>4916</v>
      </c>
      <c r="E155" s="84">
        <v>0.0</v>
      </c>
      <c r="F155" s="84" t="s">
        <v>5135</v>
      </c>
      <c r="G155" s="84">
        <v>250.0</v>
      </c>
      <c r="H155" s="84">
        <v>100.0</v>
      </c>
      <c r="I155" s="84">
        <v>5.0</v>
      </c>
      <c r="N155" s="84">
        <v>0.0</v>
      </c>
      <c r="O155" s="84">
        <v>0.0</v>
      </c>
      <c r="P155" s="84">
        <v>0.0</v>
      </c>
      <c r="U155" s="84">
        <v>7.0</v>
      </c>
      <c r="X155" s="84">
        <v>4.0</v>
      </c>
      <c r="AH155" s="84">
        <v>0.0</v>
      </c>
      <c r="AI155" s="84">
        <v>0.0</v>
      </c>
      <c r="AJ155" s="84">
        <v>0.0</v>
      </c>
      <c r="AK155" s="84">
        <v>1.0</v>
      </c>
      <c r="AL155" s="84">
        <v>0.0</v>
      </c>
      <c r="AM155" s="84">
        <v>0.0</v>
      </c>
      <c r="AN155" s="84">
        <v>1.0</v>
      </c>
      <c r="AO155" s="84">
        <v>0.0</v>
      </c>
      <c r="AP155" s="84">
        <v>0.0</v>
      </c>
      <c r="AQ155" s="84">
        <v>0.0</v>
      </c>
      <c r="AR155" s="84">
        <v>0.0</v>
      </c>
      <c r="AS155" s="84">
        <v>0.0</v>
      </c>
      <c r="AT155" s="84">
        <v>0.0</v>
      </c>
      <c r="AU155" s="84">
        <v>0.0</v>
      </c>
      <c r="AV155" s="84">
        <v>0.0</v>
      </c>
      <c r="AW155" s="84">
        <v>0.0</v>
      </c>
      <c r="AX155" s="84">
        <v>0.0</v>
      </c>
      <c r="AY155" s="84">
        <v>1.0</v>
      </c>
      <c r="AZ155" s="84">
        <v>44.0</v>
      </c>
      <c r="BH155" s="84">
        <v>171.0</v>
      </c>
      <c r="BI155" s="84" t="s">
        <v>5403</v>
      </c>
    </row>
    <row r="156" ht="12.75" customHeight="1">
      <c r="A156" s="84">
        <v>154.0</v>
      </c>
      <c r="B156" s="84" t="s">
        <v>2852</v>
      </c>
      <c r="C156" s="84">
        <v>1.0</v>
      </c>
      <c r="D156" s="84" t="s">
        <v>4916</v>
      </c>
      <c r="E156" s="84">
        <v>0.0</v>
      </c>
      <c r="F156" s="84" t="s">
        <v>5135</v>
      </c>
      <c r="G156" s="84">
        <v>18.0</v>
      </c>
      <c r="H156" s="84">
        <v>80.0</v>
      </c>
      <c r="I156" s="84">
        <v>15.0</v>
      </c>
      <c r="K156" s="84">
        <v>2.0</v>
      </c>
      <c r="L156" s="84">
        <v>5.0</v>
      </c>
      <c r="N156" s="84">
        <v>0.0</v>
      </c>
      <c r="O156" s="84">
        <v>0.0</v>
      </c>
      <c r="P156" s="84">
        <v>0.0</v>
      </c>
      <c r="U156" s="84">
        <v>29.0</v>
      </c>
      <c r="X156" s="84">
        <v>0.0</v>
      </c>
      <c r="AH156" s="84">
        <v>1.0</v>
      </c>
      <c r="AI156" s="84">
        <v>0.0</v>
      </c>
      <c r="AJ156" s="84">
        <v>0.0</v>
      </c>
      <c r="AK156" s="84">
        <v>1.0</v>
      </c>
      <c r="AL156" s="84">
        <v>0.0</v>
      </c>
      <c r="AM156" s="84">
        <v>0.0</v>
      </c>
      <c r="AN156" s="84">
        <v>1.0</v>
      </c>
      <c r="AO156" s="84">
        <v>0.0</v>
      </c>
      <c r="AP156" s="84">
        <v>0.0</v>
      </c>
      <c r="AQ156" s="84">
        <v>0.0</v>
      </c>
      <c r="AR156" s="84">
        <v>0.0</v>
      </c>
      <c r="AS156" s="84">
        <v>0.0</v>
      </c>
      <c r="AT156" s="84">
        <v>0.0</v>
      </c>
      <c r="AU156" s="84">
        <v>0.0</v>
      </c>
      <c r="AV156" s="84">
        <v>0.0</v>
      </c>
      <c r="AW156" s="84">
        <v>0.0</v>
      </c>
      <c r="AX156" s="84">
        <v>0.0</v>
      </c>
      <c r="AY156" s="84">
        <v>1.0</v>
      </c>
      <c r="AZ156" s="84">
        <v>25.0</v>
      </c>
      <c r="BH156" s="84">
        <v>172.0</v>
      </c>
      <c r="BI156" s="84" t="s">
        <v>5404</v>
      </c>
    </row>
    <row r="157" ht="12.75" customHeight="1">
      <c r="A157" s="84">
        <v>155.0</v>
      </c>
      <c r="B157" s="84" t="s">
        <v>2944</v>
      </c>
      <c r="C157" s="84">
        <v>1.0</v>
      </c>
      <c r="D157" s="84" t="s">
        <v>4922</v>
      </c>
      <c r="E157" s="84">
        <v>0.0</v>
      </c>
      <c r="F157" s="84" t="s">
        <v>5135</v>
      </c>
      <c r="G157" s="84">
        <v>50.0</v>
      </c>
      <c r="H157" s="84">
        <v>90.0</v>
      </c>
      <c r="I157" s="84">
        <v>10.0</v>
      </c>
      <c r="K157" s="84">
        <v>2.0</v>
      </c>
      <c r="L157" s="84">
        <v>2.0</v>
      </c>
      <c r="N157" s="84">
        <v>0.0</v>
      </c>
      <c r="O157" s="84">
        <v>0.0</v>
      </c>
      <c r="P157" s="84">
        <v>0.0</v>
      </c>
      <c r="U157" s="84">
        <v>44.0</v>
      </c>
      <c r="X157" s="84">
        <v>0.0</v>
      </c>
      <c r="AH157" s="84">
        <v>0.0</v>
      </c>
      <c r="AI157" s="84">
        <v>0.0</v>
      </c>
      <c r="AJ157" s="84">
        <v>0.0</v>
      </c>
      <c r="AK157" s="84">
        <v>1.0</v>
      </c>
      <c r="AL157" s="84">
        <v>0.0</v>
      </c>
      <c r="AM157" s="84">
        <v>0.0</v>
      </c>
      <c r="AN157" s="84">
        <v>1.0</v>
      </c>
      <c r="AO157" s="84">
        <v>0.0</v>
      </c>
      <c r="AP157" s="84">
        <v>0.0</v>
      </c>
      <c r="AQ157" s="84">
        <v>0.0</v>
      </c>
      <c r="AR157" s="84">
        <v>0.0</v>
      </c>
      <c r="AS157" s="84">
        <v>0.0</v>
      </c>
      <c r="AT157" s="84">
        <v>0.0</v>
      </c>
      <c r="AU157" s="84">
        <v>0.0</v>
      </c>
      <c r="AV157" s="84">
        <v>0.0</v>
      </c>
      <c r="AW157" s="84">
        <v>0.0</v>
      </c>
      <c r="AX157" s="84">
        <v>0.0</v>
      </c>
      <c r="AY157" s="84">
        <v>1.0</v>
      </c>
      <c r="AZ157" s="84">
        <v>24.0</v>
      </c>
      <c r="BH157" s="84">
        <v>173.0</v>
      </c>
      <c r="BI157" s="84" t="s">
        <v>5405</v>
      </c>
    </row>
    <row r="158" ht="12.75" customHeight="1">
      <c r="A158" s="84">
        <v>156.0</v>
      </c>
      <c r="B158" s="84" t="s">
        <v>2841</v>
      </c>
      <c r="C158" s="84">
        <v>1.0</v>
      </c>
      <c r="D158" s="84" t="s">
        <v>2659</v>
      </c>
      <c r="E158" s="84">
        <v>13.0</v>
      </c>
      <c r="F158" s="84" t="s">
        <v>5131</v>
      </c>
      <c r="G158" s="84">
        <v>0.0</v>
      </c>
      <c r="H158" s="84">
        <v>101.0</v>
      </c>
      <c r="I158" s="84">
        <v>10.0</v>
      </c>
      <c r="N158" s="84">
        <v>0.0</v>
      </c>
      <c r="O158" s="84">
        <v>0.0</v>
      </c>
      <c r="P158" s="84">
        <v>0.0</v>
      </c>
      <c r="U158" s="84">
        <v>37.0</v>
      </c>
      <c r="X158" s="84">
        <v>7.0</v>
      </c>
      <c r="AH158" s="84">
        <v>0.0</v>
      </c>
      <c r="AI158" s="84">
        <v>0.0</v>
      </c>
      <c r="AJ158" s="84">
        <v>0.0</v>
      </c>
      <c r="AK158" s="84">
        <v>0.0</v>
      </c>
      <c r="AL158" s="84">
        <v>0.0</v>
      </c>
      <c r="AM158" s="84">
        <v>1.0</v>
      </c>
      <c r="AN158" s="84">
        <v>0.0</v>
      </c>
      <c r="AO158" s="84">
        <v>0.0</v>
      </c>
      <c r="AP158" s="84">
        <v>0.0</v>
      </c>
      <c r="AQ158" s="84">
        <v>0.0</v>
      </c>
      <c r="AR158" s="84">
        <v>0.0</v>
      </c>
      <c r="AS158" s="84">
        <v>0.0</v>
      </c>
      <c r="AT158" s="84">
        <v>1.0</v>
      </c>
      <c r="AU158" s="84">
        <v>0.0</v>
      </c>
      <c r="AV158" s="84">
        <v>0.0</v>
      </c>
      <c r="AW158" s="84">
        <v>0.0</v>
      </c>
      <c r="AX158" s="84">
        <v>0.0</v>
      </c>
      <c r="AY158" s="84">
        <v>1.0</v>
      </c>
      <c r="AZ158" s="84">
        <v>17.0</v>
      </c>
      <c r="BH158" s="84">
        <v>174.0</v>
      </c>
      <c r="BI158" s="84" t="s">
        <v>5406</v>
      </c>
    </row>
    <row r="159" ht="12.75" customHeight="1">
      <c r="A159" s="84">
        <v>157.0</v>
      </c>
      <c r="B159" s="84" t="s">
        <v>2625</v>
      </c>
      <c r="C159" s="84">
        <v>1.0</v>
      </c>
      <c r="D159" s="84" t="s">
        <v>4940</v>
      </c>
      <c r="E159" s="84">
        <v>0.0</v>
      </c>
      <c r="F159" s="84" t="s">
        <v>5135</v>
      </c>
      <c r="G159" s="84">
        <v>75.0</v>
      </c>
      <c r="H159" s="84">
        <v>90.0</v>
      </c>
      <c r="I159" s="84">
        <v>10.0</v>
      </c>
      <c r="N159" s="84">
        <v>0.0</v>
      </c>
      <c r="O159" s="84">
        <v>0.0</v>
      </c>
      <c r="P159" s="84">
        <v>0.0</v>
      </c>
      <c r="T159" s="84">
        <v>30.0</v>
      </c>
      <c r="U159" s="84">
        <v>31.0</v>
      </c>
      <c r="X159" s="84">
        <v>5.0</v>
      </c>
      <c r="AH159" s="84">
        <v>0.0</v>
      </c>
      <c r="AI159" s="84">
        <v>0.0</v>
      </c>
      <c r="AJ159" s="84">
        <v>0.0</v>
      </c>
      <c r="AK159" s="84">
        <v>1.0</v>
      </c>
      <c r="AL159" s="84">
        <v>0.0</v>
      </c>
      <c r="AM159" s="84">
        <v>0.0</v>
      </c>
      <c r="AN159" s="84">
        <v>1.0</v>
      </c>
      <c r="AO159" s="84">
        <v>0.0</v>
      </c>
      <c r="AP159" s="84">
        <v>0.0</v>
      </c>
      <c r="AQ159" s="84">
        <v>0.0</v>
      </c>
      <c r="AR159" s="84">
        <v>0.0</v>
      </c>
      <c r="AS159" s="84">
        <v>0.0</v>
      </c>
      <c r="AT159" s="84">
        <v>0.0</v>
      </c>
      <c r="AU159" s="84">
        <v>0.0</v>
      </c>
      <c r="AV159" s="84">
        <v>0.0</v>
      </c>
      <c r="AW159" s="84">
        <v>0.0</v>
      </c>
      <c r="AX159" s="84">
        <v>0.0</v>
      </c>
      <c r="AY159" s="84">
        <v>1.0</v>
      </c>
      <c r="AZ159" s="84">
        <v>38.0</v>
      </c>
      <c r="BH159" s="84">
        <v>175.0</v>
      </c>
      <c r="BI159" s="84" t="s">
        <v>5233</v>
      </c>
    </row>
    <row r="160" ht="12.75" customHeight="1">
      <c r="A160" s="84">
        <v>158.0</v>
      </c>
      <c r="B160" s="84" t="s">
        <v>5407</v>
      </c>
      <c r="C160" s="84">
        <v>0.0</v>
      </c>
      <c r="D160" s="84" t="s">
        <v>4916</v>
      </c>
      <c r="E160" s="84">
        <v>0.0</v>
      </c>
      <c r="F160" s="84" t="s">
        <v>5135</v>
      </c>
      <c r="G160" s="84">
        <v>80.0</v>
      </c>
      <c r="H160" s="84">
        <v>90.0</v>
      </c>
      <c r="I160" s="84">
        <v>15.0</v>
      </c>
      <c r="J160" s="84"/>
      <c r="K160" s="84"/>
      <c r="L160" s="84"/>
      <c r="M160" s="84"/>
      <c r="N160" s="84">
        <v>0.0</v>
      </c>
      <c r="O160" s="84">
        <v>0.0</v>
      </c>
      <c r="P160" s="84">
        <v>0.0</v>
      </c>
      <c r="Q160" s="84"/>
      <c r="R160" s="84"/>
      <c r="S160" s="84"/>
      <c r="T160" s="84">
        <v>10.0</v>
      </c>
      <c r="U160" s="84">
        <v>31.0</v>
      </c>
      <c r="V160" s="84"/>
      <c r="W160" s="84"/>
      <c r="X160" s="84">
        <v>0.0</v>
      </c>
      <c r="Y160" s="84"/>
      <c r="Z160" s="84"/>
      <c r="AA160" s="84"/>
      <c r="AB160" s="84"/>
      <c r="AC160" s="84"/>
      <c r="AD160" s="84"/>
      <c r="AE160" s="84"/>
      <c r="AF160" s="84"/>
      <c r="AG160" s="84"/>
      <c r="AH160" s="84">
        <v>1.0</v>
      </c>
      <c r="AI160" s="84">
        <v>0.0</v>
      </c>
      <c r="AJ160" s="84">
        <v>0.0</v>
      </c>
      <c r="AK160" s="84">
        <v>1.0</v>
      </c>
      <c r="AL160" s="84">
        <v>0.0</v>
      </c>
      <c r="AM160" s="84">
        <v>0.0</v>
      </c>
      <c r="AN160" s="84">
        <v>1.0</v>
      </c>
      <c r="AO160" s="84">
        <v>0.0</v>
      </c>
      <c r="AP160" s="84">
        <v>0.0</v>
      </c>
      <c r="AQ160" s="84">
        <v>0.0</v>
      </c>
      <c r="AR160" s="84">
        <v>0.0</v>
      </c>
      <c r="AS160" s="84">
        <v>0.0</v>
      </c>
      <c r="AT160" s="84">
        <v>0.0</v>
      </c>
      <c r="AU160" s="84">
        <v>0.0</v>
      </c>
      <c r="AV160" s="84">
        <v>0.0</v>
      </c>
      <c r="AW160" s="84">
        <v>0.0</v>
      </c>
      <c r="AX160" s="84">
        <v>0.0</v>
      </c>
      <c r="AY160" s="84">
        <v>1.0</v>
      </c>
      <c r="AZ160" s="84">
        <v>0.0</v>
      </c>
      <c r="BH160" s="84">
        <v>176.0</v>
      </c>
      <c r="BI160" s="84" t="s">
        <v>5408</v>
      </c>
    </row>
    <row r="161" ht="12.75" customHeight="1">
      <c r="A161" s="84">
        <v>159.0</v>
      </c>
      <c r="B161" s="84" t="s">
        <v>5409</v>
      </c>
      <c r="C161" s="84">
        <v>0.0</v>
      </c>
      <c r="D161" s="84" t="s">
        <v>4916</v>
      </c>
      <c r="E161" s="84">
        <v>2.0</v>
      </c>
      <c r="F161" s="84" t="s">
        <v>5131</v>
      </c>
      <c r="G161" s="84">
        <v>0.0</v>
      </c>
      <c r="H161" s="84">
        <v>101.0</v>
      </c>
      <c r="I161" s="84">
        <v>30.0</v>
      </c>
      <c r="J161" s="84"/>
      <c r="K161" s="84"/>
      <c r="L161" s="84"/>
      <c r="M161" s="84"/>
      <c r="N161" s="84">
        <v>0.0</v>
      </c>
      <c r="O161" s="84">
        <v>0.0</v>
      </c>
      <c r="P161" s="84">
        <v>0.0</v>
      </c>
      <c r="Q161" s="84"/>
      <c r="R161" s="84"/>
      <c r="S161" s="84"/>
      <c r="T161" s="84"/>
      <c r="U161" s="84">
        <v>10.0</v>
      </c>
      <c r="V161" s="84"/>
      <c r="W161" s="84"/>
      <c r="X161" s="84">
        <v>7.0</v>
      </c>
      <c r="Y161" s="84" t="s">
        <v>20</v>
      </c>
      <c r="Z161" s="84">
        <v>1.0</v>
      </c>
      <c r="AA161" s="84"/>
      <c r="AB161" s="84"/>
      <c r="AC161" s="84"/>
      <c r="AD161" s="84"/>
      <c r="AE161" s="84"/>
      <c r="AF161" s="84"/>
      <c r="AG161" s="84"/>
      <c r="AH161" s="84">
        <v>0.0</v>
      </c>
      <c r="AI161" s="84">
        <v>0.0</v>
      </c>
      <c r="AJ161" s="84">
        <v>0.0</v>
      </c>
      <c r="AK161" s="84">
        <v>0.0</v>
      </c>
      <c r="AL161" s="84">
        <v>0.0</v>
      </c>
      <c r="AM161" s="84">
        <v>1.0</v>
      </c>
      <c r="AN161" s="84">
        <v>0.0</v>
      </c>
      <c r="AO161" s="84">
        <v>0.0</v>
      </c>
      <c r="AP161" s="84">
        <v>0.0</v>
      </c>
      <c r="AQ161" s="84">
        <v>0.0</v>
      </c>
      <c r="AR161" s="84">
        <v>0.0</v>
      </c>
      <c r="AS161" s="84">
        <v>0.0</v>
      </c>
      <c r="AT161" s="84">
        <v>0.0</v>
      </c>
      <c r="AU161" s="84">
        <v>0.0</v>
      </c>
      <c r="AV161" s="84">
        <v>0.0</v>
      </c>
      <c r="AW161" s="84">
        <v>0.0</v>
      </c>
      <c r="AX161" s="84">
        <v>0.0</v>
      </c>
      <c r="AY161" s="84">
        <v>1.0</v>
      </c>
      <c r="AZ161" s="84">
        <v>0.0</v>
      </c>
      <c r="BH161" s="84">
        <v>177.0</v>
      </c>
      <c r="BI161" s="84" t="s">
        <v>5410</v>
      </c>
    </row>
    <row r="162" ht="12.75" customHeight="1">
      <c r="A162" s="84">
        <v>160.0</v>
      </c>
      <c r="B162" s="84" t="s">
        <v>3840</v>
      </c>
      <c r="C162" s="84">
        <v>1.0</v>
      </c>
      <c r="D162" s="84" t="s">
        <v>4916</v>
      </c>
      <c r="E162" s="84">
        <v>13.0</v>
      </c>
      <c r="F162" s="84" t="s">
        <v>5131</v>
      </c>
      <c r="G162" s="84">
        <v>0.0</v>
      </c>
      <c r="H162" s="84">
        <v>101.0</v>
      </c>
      <c r="I162" s="84">
        <v>30.0</v>
      </c>
      <c r="N162" s="84">
        <v>0.0</v>
      </c>
      <c r="O162" s="84">
        <v>0.0</v>
      </c>
      <c r="P162" s="84">
        <v>0.0</v>
      </c>
      <c r="U162" s="84">
        <v>30.0</v>
      </c>
      <c r="X162" s="84">
        <v>7.0</v>
      </c>
      <c r="AH162" s="84">
        <v>0.0</v>
      </c>
      <c r="AI162" s="84">
        <v>0.0</v>
      </c>
      <c r="AJ162" s="84">
        <v>0.0</v>
      </c>
      <c r="AK162" s="84">
        <v>0.0</v>
      </c>
      <c r="AL162" s="84">
        <v>0.0</v>
      </c>
      <c r="AM162" s="84">
        <v>1.0</v>
      </c>
      <c r="AN162" s="84">
        <v>0.0</v>
      </c>
      <c r="AO162" s="84">
        <v>0.0</v>
      </c>
      <c r="AP162" s="84">
        <v>0.0</v>
      </c>
      <c r="AQ162" s="84">
        <v>0.0</v>
      </c>
      <c r="AR162" s="84">
        <v>0.0</v>
      </c>
      <c r="AS162" s="84">
        <v>0.0</v>
      </c>
      <c r="AT162" s="84">
        <v>0.0</v>
      </c>
      <c r="AU162" s="84">
        <v>0.0</v>
      </c>
      <c r="AV162" s="84">
        <v>0.0</v>
      </c>
      <c r="AW162" s="84">
        <v>0.0</v>
      </c>
      <c r="AX162" s="84">
        <v>0.0</v>
      </c>
      <c r="AY162" s="84">
        <v>1.0</v>
      </c>
      <c r="AZ162" s="84">
        <v>11.0</v>
      </c>
      <c r="BH162" s="84">
        <v>178.0</v>
      </c>
      <c r="BI162" s="84" t="s">
        <v>5411</v>
      </c>
    </row>
    <row r="163" ht="12.75" customHeight="1">
      <c r="A163" s="84">
        <v>161.0</v>
      </c>
      <c r="B163" s="84" t="s">
        <v>3228</v>
      </c>
      <c r="C163" s="84">
        <v>1.0</v>
      </c>
      <c r="D163" s="84" t="s">
        <v>4916</v>
      </c>
      <c r="E163" s="84">
        <v>4.0</v>
      </c>
      <c r="F163" s="84" t="s">
        <v>5172</v>
      </c>
      <c r="G163" s="84">
        <v>80.0</v>
      </c>
      <c r="H163" s="84">
        <v>100.0</v>
      </c>
      <c r="I163" s="84">
        <v>10.0</v>
      </c>
      <c r="M163" s="84" t="s">
        <v>5412</v>
      </c>
      <c r="N163" s="84">
        <v>65535.0</v>
      </c>
      <c r="O163" s="84">
        <v>20.0</v>
      </c>
      <c r="P163" s="84">
        <v>1.0</v>
      </c>
      <c r="U163" s="84">
        <v>36.0</v>
      </c>
      <c r="X163" s="84">
        <v>0.0</v>
      </c>
      <c r="AH163" s="84">
        <v>0.0</v>
      </c>
      <c r="AI163" s="84">
        <v>0.0</v>
      </c>
      <c r="AJ163" s="84">
        <v>0.0</v>
      </c>
      <c r="AK163" s="84">
        <v>1.0</v>
      </c>
      <c r="AL163" s="84">
        <v>0.0</v>
      </c>
      <c r="AM163" s="84">
        <v>0.0</v>
      </c>
      <c r="AN163" s="84">
        <v>1.0</v>
      </c>
      <c r="AO163" s="84">
        <v>0.0</v>
      </c>
      <c r="AP163" s="84">
        <v>0.0</v>
      </c>
      <c r="AQ163" s="84">
        <v>0.0</v>
      </c>
      <c r="AR163" s="84">
        <v>0.0</v>
      </c>
      <c r="AS163" s="84">
        <v>0.0</v>
      </c>
      <c r="AT163" s="84">
        <v>0.0</v>
      </c>
      <c r="AU163" s="84">
        <v>0.0</v>
      </c>
      <c r="AV163" s="84">
        <v>0.0</v>
      </c>
      <c r="AW163" s="84">
        <v>0.0</v>
      </c>
      <c r="AX163" s="84">
        <v>0.0</v>
      </c>
      <c r="AY163" s="84">
        <v>1.0</v>
      </c>
      <c r="AZ163" s="84">
        <v>41.0</v>
      </c>
      <c r="BH163" s="84">
        <v>179.0</v>
      </c>
      <c r="BI163" s="84" t="s">
        <v>5413</v>
      </c>
    </row>
    <row r="164" ht="12.75" customHeight="1">
      <c r="A164" s="84">
        <v>162.0</v>
      </c>
      <c r="B164" s="84" t="s">
        <v>3338</v>
      </c>
      <c r="C164" s="84">
        <v>1.0</v>
      </c>
      <c r="D164" s="84" t="s">
        <v>4916</v>
      </c>
      <c r="E164" s="84">
        <v>0.0</v>
      </c>
      <c r="F164" s="84" t="s">
        <v>5135</v>
      </c>
      <c r="G164" s="84">
        <v>1.0</v>
      </c>
      <c r="H164" s="84">
        <v>90.0</v>
      </c>
      <c r="I164" s="84">
        <v>10.0</v>
      </c>
      <c r="N164" s="84">
        <v>0.0</v>
      </c>
      <c r="O164" s="84">
        <v>0.0</v>
      </c>
      <c r="P164" s="84">
        <v>0.0</v>
      </c>
      <c r="U164" s="84">
        <v>40.0</v>
      </c>
      <c r="X164" s="84">
        <v>0.0</v>
      </c>
      <c r="AH164" s="84">
        <v>1.0</v>
      </c>
      <c r="AI164" s="84">
        <v>0.0</v>
      </c>
      <c r="AJ164" s="84">
        <v>0.0</v>
      </c>
      <c r="AK164" s="84">
        <v>1.0</v>
      </c>
      <c r="AL164" s="84">
        <v>0.0</v>
      </c>
      <c r="AM164" s="84">
        <v>0.0</v>
      </c>
      <c r="AN164" s="84">
        <v>1.0</v>
      </c>
      <c r="AO164" s="84">
        <v>0.0</v>
      </c>
      <c r="AP164" s="84">
        <v>0.0</v>
      </c>
      <c r="AQ164" s="84">
        <v>0.0</v>
      </c>
      <c r="AR164" s="84">
        <v>0.0</v>
      </c>
      <c r="AS164" s="84">
        <v>0.0</v>
      </c>
      <c r="AT164" s="84">
        <v>0.0</v>
      </c>
      <c r="AU164" s="84">
        <v>0.0</v>
      </c>
      <c r="AV164" s="84">
        <v>0.0</v>
      </c>
      <c r="AW164" s="84">
        <v>0.0</v>
      </c>
      <c r="AX164" s="84">
        <v>0.0</v>
      </c>
      <c r="AY164" s="84">
        <v>1.0</v>
      </c>
      <c r="AZ164" s="84">
        <v>48.0</v>
      </c>
      <c r="BH164" s="84">
        <v>180.0</v>
      </c>
      <c r="BI164" s="84" t="s">
        <v>5414</v>
      </c>
    </row>
    <row r="165" ht="12.75" customHeight="1">
      <c r="A165" s="84">
        <v>163.0</v>
      </c>
      <c r="B165" s="84" t="s">
        <v>2606</v>
      </c>
      <c r="C165" s="84">
        <v>1.0</v>
      </c>
      <c r="D165" s="84" t="s">
        <v>4916</v>
      </c>
      <c r="E165" s="84">
        <v>0.0</v>
      </c>
      <c r="F165" s="84" t="s">
        <v>5135</v>
      </c>
      <c r="G165" s="84">
        <v>70.0</v>
      </c>
      <c r="H165" s="84">
        <v>100.0</v>
      </c>
      <c r="I165" s="84">
        <v>20.0</v>
      </c>
      <c r="N165" s="84">
        <v>0.0</v>
      </c>
      <c r="O165" s="84">
        <v>0.0</v>
      </c>
      <c r="P165" s="84">
        <v>0.0</v>
      </c>
      <c r="S165" s="84">
        <v>1.0</v>
      </c>
      <c r="U165" s="84">
        <v>43.0</v>
      </c>
      <c r="X165" s="84">
        <v>0.0</v>
      </c>
      <c r="AH165" s="84">
        <v>1.0</v>
      </c>
      <c r="AI165" s="84">
        <v>0.0</v>
      </c>
      <c r="AJ165" s="84">
        <v>0.0</v>
      </c>
      <c r="AK165" s="84">
        <v>1.0</v>
      </c>
      <c r="AL165" s="84">
        <v>0.0</v>
      </c>
      <c r="AM165" s="84">
        <v>0.0</v>
      </c>
      <c r="AN165" s="84">
        <v>1.0</v>
      </c>
      <c r="AO165" s="84">
        <v>0.0</v>
      </c>
      <c r="AP165" s="84">
        <v>0.0</v>
      </c>
      <c r="AQ165" s="84">
        <v>0.0</v>
      </c>
      <c r="AR165" s="84">
        <v>0.0</v>
      </c>
      <c r="AS165" s="84">
        <v>0.0</v>
      </c>
      <c r="AT165" s="84">
        <v>0.0</v>
      </c>
      <c r="AU165" s="84">
        <v>0.0</v>
      </c>
      <c r="AV165" s="84">
        <v>0.0</v>
      </c>
      <c r="AW165" s="84">
        <v>0.0</v>
      </c>
      <c r="AX165" s="84">
        <v>0.0</v>
      </c>
      <c r="AY165" s="84">
        <v>1.0</v>
      </c>
      <c r="AZ165" s="84">
        <v>37.0</v>
      </c>
      <c r="BH165" s="84">
        <v>181.0</v>
      </c>
      <c r="BI165" s="84" t="s">
        <v>5259</v>
      </c>
    </row>
    <row r="166" ht="12.75" customHeight="1">
      <c r="A166" s="84">
        <v>164.0</v>
      </c>
      <c r="B166" s="84" t="s">
        <v>3185</v>
      </c>
      <c r="C166" s="84">
        <v>1.0</v>
      </c>
      <c r="D166" s="84" t="s">
        <v>4916</v>
      </c>
      <c r="E166" s="84">
        <v>13.0</v>
      </c>
      <c r="F166" s="84" t="s">
        <v>5131</v>
      </c>
      <c r="G166" s="84">
        <v>0.0</v>
      </c>
      <c r="H166" s="84">
        <v>101.0</v>
      </c>
      <c r="I166" s="84">
        <v>10.0</v>
      </c>
      <c r="N166" s="84">
        <v>0.0</v>
      </c>
      <c r="O166" s="84">
        <v>0.0</v>
      </c>
      <c r="P166" s="84">
        <v>0.0</v>
      </c>
      <c r="U166" s="84">
        <v>79.0</v>
      </c>
      <c r="X166" s="84">
        <v>7.0</v>
      </c>
      <c r="AH166" s="84">
        <v>0.0</v>
      </c>
      <c r="AI166" s="84">
        <v>0.0</v>
      </c>
      <c r="AJ166" s="84">
        <v>0.0</v>
      </c>
      <c r="AK166" s="84">
        <v>0.0</v>
      </c>
      <c r="AL166" s="84">
        <v>0.0</v>
      </c>
      <c r="AM166" s="84">
        <v>1.0</v>
      </c>
      <c r="AN166" s="84">
        <v>0.0</v>
      </c>
      <c r="AO166" s="84">
        <v>0.0</v>
      </c>
      <c r="AP166" s="84">
        <v>0.0</v>
      </c>
      <c r="AQ166" s="84">
        <v>0.0</v>
      </c>
      <c r="AR166" s="84">
        <v>0.0</v>
      </c>
      <c r="AS166" s="84">
        <v>0.0</v>
      </c>
      <c r="AT166" s="84">
        <v>0.0</v>
      </c>
      <c r="AU166" s="84">
        <v>0.0</v>
      </c>
      <c r="AV166" s="84">
        <v>1.0</v>
      </c>
      <c r="AW166" s="84">
        <v>0.0</v>
      </c>
      <c r="AX166" s="84">
        <v>0.0</v>
      </c>
      <c r="AY166" s="84">
        <v>1.0</v>
      </c>
      <c r="AZ166" s="84">
        <v>17.0</v>
      </c>
      <c r="BH166" s="84">
        <v>182.0</v>
      </c>
      <c r="BI166" s="84" t="s">
        <v>5415</v>
      </c>
    </row>
    <row r="167" ht="12.75" customHeight="1">
      <c r="A167" s="84">
        <v>165.0</v>
      </c>
      <c r="B167" s="84" t="s">
        <v>5416</v>
      </c>
      <c r="C167" s="84">
        <v>1.0</v>
      </c>
      <c r="D167" s="84" t="s">
        <v>4916</v>
      </c>
      <c r="E167" s="84">
        <v>0.0</v>
      </c>
      <c r="F167" s="84" t="s">
        <v>5135</v>
      </c>
      <c r="G167" s="84">
        <v>50.0</v>
      </c>
      <c r="H167" s="84">
        <v>101.0</v>
      </c>
      <c r="I167" s="84">
        <v>1.0</v>
      </c>
      <c r="N167" s="84">
        <v>0.0</v>
      </c>
      <c r="O167" s="84">
        <v>0.0</v>
      </c>
      <c r="P167" s="84">
        <v>0.0</v>
      </c>
      <c r="U167" s="84">
        <v>254.0</v>
      </c>
      <c r="W167" s="84">
        <v>-25.0</v>
      </c>
      <c r="X167" s="84">
        <v>9.0</v>
      </c>
      <c r="AH167" s="84">
        <v>1.0</v>
      </c>
      <c r="AI167" s="84">
        <v>0.0</v>
      </c>
      <c r="AJ167" s="84">
        <v>0.0</v>
      </c>
      <c r="AK167" s="84">
        <v>1.0</v>
      </c>
      <c r="AL167" s="84">
        <v>0.0</v>
      </c>
      <c r="AM167" s="84">
        <v>0.0</v>
      </c>
      <c r="AN167" s="84">
        <v>0.0</v>
      </c>
      <c r="AO167" s="84">
        <v>0.0</v>
      </c>
      <c r="AP167" s="84">
        <v>0.0</v>
      </c>
      <c r="AQ167" s="84">
        <v>0.0</v>
      </c>
      <c r="AR167" s="84">
        <v>0.0</v>
      </c>
      <c r="AS167" s="84">
        <v>0.0</v>
      </c>
      <c r="AT167" s="84">
        <v>0.0</v>
      </c>
      <c r="AU167" s="84">
        <v>0.0</v>
      </c>
      <c r="AV167" s="84">
        <v>0.0</v>
      </c>
      <c r="AW167" s="84">
        <v>0.0</v>
      </c>
      <c r="AX167" s="84">
        <v>0.0</v>
      </c>
      <c r="AY167" s="84">
        <v>0.0</v>
      </c>
      <c r="AZ167" s="84">
        <v>0.0</v>
      </c>
      <c r="BH167" s="84">
        <v>183.0</v>
      </c>
      <c r="BI167" s="84" t="s">
        <v>5417</v>
      </c>
    </row>
    <row r="168" ht="12.75" customHeight="1">
      <c r="A168" s="84">
        <v>166.0</v>
      </c>
      <c r="B168" s="84" t="s">
        <v>5418</v>
      </c>
      <c r="C168" s="84">
        <v>1.0</v>
      </c>
      <c r="D168" s="84" t="s">
        <v>4916</v>
      </c>
      <c r="E168" s="84">
        <v>13.0</v>
      </c>
      <c r="F168" s="84" t="s">
        <v>5131</v>
      </c>
      <c r="G168" s="84">
        <v>0.0</v>
      </c>
      <c r="H168" s="84">
        <v>101.0</v>
      </c>
      <c r="I168" s="84">
        <v>1.0</v>
      </c>
      <c r="N168" s="84">
        <v>0.0</v>
      </c>
      <c r="O168" s="84">
        <v>0.0</v>
      </c>
      <c r="P168" s="84">
        <v>0.0</v>
      </c>
      <c r="U168" s="84">
        <v>95.0</v>
      </c>
      <c r="X168" s="84">
        <v>0.0</v>
      </c>
      <c r="AH168" s="84">
        <v>0.0</v>
      </c>
      <c r="AI168" s="84">
        <v>0.0</v>
      </c>
      <c r="AJ168" s="84">
        <v>0.0</v>
      </c>
      <c r="AK168" s="84">
        <v>0.0</v>
      </c>
      <c r="AL168" s="84">
        <v>0.0</v>
      </c>
      <c r="AM168" s="84">
        <v>0.0</v>
      </c>
      <c r="AN168" s="84">
        <v>0.0</v>
      </c>
      <c r="AO168" s="84">
        <v>0.0</v>
      </c>
      <c r="AP168" s="84">
        <v>0.0</v>
      </c>
      <c r="AQ168" s="84">
        <v>0.0</v>
      </c>
      <c r="AR168" s="84">
        <v>0.0</v>
      </c>
      <c r="AS168" s="84">
        <v>0.0</v>
      </c>
      <c r="AT168" s="84">
        <v>0.0</v>
      </c>
      <c r="AU168" s="84">
        <v>1.0</v>
      </c>
      <c r="AV168" s="84">
        <v>0.0</v>
      </c>
      <c r="AW168" s="84">
        <v>1.0</v>
      </c>
      <c r="AX168" s="84">
        <v>0.0</v>
      </c>
      <c r="AY168" s="84">
        <v>0.0</v>
      </c>
      <c r="AZ168" s="84">
        <v>48.0</v>
      </c>
      <c r="BH168" s="84">
        <v>184.0</v>
      </c>
      <c r="BI168" s="84" t="s">
        <v>5419</v>
      </c>
    </row>
    <row r="169" ht="12.75" customHeight="1">
      <c r="A169" s="84">
        <v>167.0</v>
      </c>
      <c r="B169" s="84" t="s">
        <v>3493</v>
      </c>
      <c r="C169" s="84">
        <v>1.0</v>
      </c>
      <c r="D169" s="84" t="s">
        <v>4935</v>
      </c>
      <c r="E169" s="84">
        <v>0.0</v>
      </c>
      <c r="F169" s="84" t="s">
        <v>5135</v>
      </c>
      <c r="G169" s="84">
        <v>10.0</v>
      </c>
      <c r="H169" s="84">
        <v>90.0</v>
      </c>
      <c r="I169" s="84">
        <v>10.0</v>
      </c>
      <c r="K169" s="84">
        <v>3.0</v>
      </c>
      <c r="L169" s="84">
        <v>3.0</v>
      </c>
      <c r="N169" s="84">
        <v>0.0</v>
      </c>
      <c r="O169" s="84">
        <v>0.0</v>
      </c>
      <c r="P169" s="84">
        <v>0.0</v>
      </c>
      <c r="U169" s="84">
        <v>104.0</v>
      </c>
      <c r="X169" s="84">
        <v>0.0</v>
      </c>
      <c r="AH169" s="84">
        <v>1.0</v>
      </c>
      <c r="AI169" s="84">
        <v>0.0</v>
      </c>
      <c r="AJ169" s="84">
        <v>0.0</v>
      </c>
      <c r="AK169" s="84">
        <v>1.0</v>
      </c>
      <c r="AL169" s="84">
        <v>0.0</v>
      </c>
      <c r="AM169" s="84">
        <v>0.0</v>
      </c>
      <c r="AN169" s="84">
        <v>1.0</v>
      </c>
      <c r="AO169" s="84">
        <v>0.0</v>
      </c>
      <c r="AP169" s="84">
        <v>0.0</v>
      </c>
      <c r="AQ169" s="84">
        <v>0.0</v>
      </c>
      <c r="AR169" s="84">
        <v>0.0</v>
      </c>
      <c r="AS169" s="84">
        <v>0.0</v>
      </c>
      <c r="AT169" s="84">
        <v>0.0</v>
      </c>
      <c r="AU169" s="84">
        <v>0.0</v>
      </c>
      <c r="AV169" s="84">
        <v>0.0</v>
      </c>
      <c r="AW169" s="84">
        <v>0.0</v>
      </c>
      <c r="AX169" s="84">
        <v>0.0</v>
      </c>
      <c r="AY169" s="84">
        <v>1.0</v>
      </c>
      <c r="AZ169" s="84">
        <v>26.0</v>
      </c>
      <c r="BH169" s="84">
        <v>185.0</v>
      </c>
      <c r="BI169" s="84" t="s">
        <v>5420</v>
      </c>
    </row>
    <row r="170" ht="12.75" customHeight="1">
      <c r="A170" s="84">
        <v>168.0</v>
      </c>
      <c r="B170" s="84" t="s">
        <v>2890</v>
      </c>
      <c r="C170" s="84">
        <v>1.0</v>
      </c>
      <c r="D170" s="84" t="s">
        <v>4972</v>
      </c>
      <c r="E170" s="84">
        <v>0.0</v>
      </c>
      <c r="F170" s="84" t="s">
        <v>5135</v>
      </c>
      <c r="G170" s="84">
        <v>60.0</v>
      </c>
      <c r="H170" s="84">
        <v>100.0</v>
      </c>
      <c r="I170" s="84">
        <v>25.0</v>
      </c>
      <c r="N170" s="84">
        <v>0.0</v>
      </c>
      <c r="O170" s="84">
        <v>0.0</v>
      </c>
      <c r="P170" s="84">
        <v>0.0</v>
      </c>
      <c r="U170" s="84">
        <v>105.0</v>
      </c>
      <c r="X170" s="84">
        <v>0.0</v>
      </c>
      <c r="AH170" s="84">
        <v>1.0</v>
      </c>
      <c r="AI170" s="84">
        <v>0.0</v>
      </c>
      <c r="AJ170" s="84">
        <v>0.0</v>
      </c>
      <c r="AK170" s="84">
        <v>1.0</v>
      </c>
      <c r="AL170" s="84">
        <v>0.0</v>
      </c>
      <c r="AM170" s="84">
        <v>0.0</v>
      </c>
      <c r="AN170" s="84">
        <v>1.0</v>
      </c>
      <c r="AO170" s="84">
        <v>0.0</v>
      </c>
      <c r="AP170" s="84">
        <v>0.0</v>
      </c>
      <c r="AQ170" s="84">
        <v>0.0</v>
      </c>
      <c r="AR170" s="84">
        <v>0.0</v>
      </c>
      <c r="AS170" s="84">
        <v>0.0</v>
      </c>
      <c r="AT170" s="84">
        <v>0.0</v>
      </c>
      <c r="AU170" s="84">
        <v>0.0</v>
      </c>
      <c r="AV170" s="84">
        <v>0.0</v>
      </c>
      <c r="AW170" s="84">
        <v>0.0</v>
      </c>
      <c r="AX170" s="84">
        <v>0.0</v>
      </c>
      <c r="AY170" s="84">
        <v>0.0</v>
      </c>
      <c r="AZ170" s="84">
        <v>38.0</v>
      </c>
      <c r="BH170" s="84">
        <v>186.0</v>
      </c>
      <c r="BI170" s="84" t="s">
        <v>5421</v>
      </c>
    </row>
    <row r="171" ht="12.75" customHeight="1">
      <c r="A171" s="84">
        <v>169.0</v>
      </c>
      <c r="B171" s="84" t="s">
        <v>5422</v>
      </c>
      <c r="C171" s="84">
        <v>0.0</v>
      </c>
      <c r="D171" s="84" t="s">
        <v>4910</v>
      </c>
      <c r="E171" s="84">
        <v>13.0</v>
      </c>
      <c r="F171" s="84" t="s">
        <v>5131</v>
      </c>
      <c r="G171" s="84">
        <v>0.0</v>
      </c>
      <c r="H171" s="84">
        <v>101.0</v>
      </c>
      <c r="I171" s="84">
        <v>10.0</v>
      </c>
      <c r="J171" s="84"/>
      <c r="K171" s="84"/>
      <c r="L171" s="84"/>
      <c r="M171" s="84"/>
      <c r="N171" s="84">
        <v>0.0</v>
      </c>
      <c r="O171" s="84">
        <v>0.0</v>
      </c>
      <c r="P171" s="84">
        <v>0.0</v>
      </c>
      <c r="Q171" s="84"/>
      <c r="R171" s="84"/>
      <c r="S171" s="84"/>
      <c r="T171" s="84"/>
      <c r="U171" s="84">
        <v>106.0</v>
      </c>
      <c r="V171" s="84"/>
      <c r="W171" s="84"/>
      <c r="X171" s="84">
        <v>0.0</v>
      </c>
      <c r="Y171" s="84"/>
      <c r="Z171" s="84"/>
      <c r="AA171" s="84"/>
      <c r="AB171" s="84"/>
      <c r="AC171" s="84"/>
      <c r="AD171" s="84"/>
      <c r="AE171" s="84"/>
      <c r="AF171" s="84"/>
      <c r="AG171" s="84"/>
      <c r="AH171" s="84">
        <v>0.0</v>
      </c>
      <c r="AI171" s="84">
        <v>0.0</v>
      </c>
      <c r="AJ171" s="84">
        <v>0.0</v>
      </c>
      <c r="AK171" s="84">
        <v>1.0</v>
      </c>
      <c r="AL171" s="84">
        <v>1.0</v>
      </c>
      <c r="AM171" s="84">
        <v>0.0</v>
      </c>
      <c r="AN171" s="84">
        <v>1.0</v>
      </c>
      <c r="AO171" s="84">
        <v>0.0</v>
      </c>
      <c r="AP171" s="84">
        <v>0.0</v>
      </c>
      <c r="AQ171" s="84">
        <v>0.0</v>
      </c>
      <c r="AR171" s="84">
        <v>0.0</v>
      </c>
      <c r="AS171" s="84">
        <v>0.0</v>
      </c>
      <c r="AT171" s="84">
        <v>0.0</v>
      </c>
      <c r="AU171" s="84">
        <v>0.0</v>
      </c>
      <c r="AV171" s="84">
        <v>0.0</v>
      </c>
      <c r="AW171" s="84">
        <v>0.0</v>
      </c>
      <c r="AX171" s="84">
        <v>0.0</v>
      </c>
      <c r="AY171" s="84">
        <v>1.0</v>
      </c>
      <c r="AZ171" s="84">
        <v>0.0</v>
      </c>
      <c r="BH171" s="84">
        <v>187.0</v>
      </c>
      <c r="BI171" s="84" t="s">
        <v>5423</v>
      </c>
    </row>
    <row r="172" ht="12.75" customHeight="1">
      <c r="A172" s="84">
        <v>170.0</v>
      </c>
      <c r="B172" s="84" t="s">
        <v>3768</v>
      </c>
      <c r="C172" s="84">
        <v>1.0</v>
      </c>
      <c r="D172" s="84" t="s">
        <v>4916</v>
      </c>
      <c r="E172" s="84">
        <v>13.0</v>
      </c>
      <c r="F172" s="84" t="s">
        <v>5131</v>
      </c>
      <c r="G172" s="84">
        <v>0.0</v>
      </c>
      <c r="H172" s="84">
        <v>101.0</v>
      </c>
      <c r="I172" s="84">
        <v>5.0</v>
      </c>
      <c r="N172" s="84">
        <v>0.0</v>
      </c>
      <c r="O172" s="84">
        <v>0.0</v>
      </c>
      <c r="P172" s="84">
        <v>0.0</v>
      </c>
      <c r="U172" s="84">
        <v>94.0</v>
      </c>
      <c r="X172" s="84">
        <v>0.0</v>
      </c>
      <c r="AH172" s="84">
        <v>0.0</v>
      </c>
      <c r="AI172" s="84">
        <v>0.0</v>
      </c>
      <c r="AJ172" s="84">
        <v>0.0</v>
      </c>
      <c r="AK172" s="84">
        <v>1.0</v>
      </c>
      <c r="AL172" s="84">
        <v>0.0</v>
      </c>
      <c r="AM172" s="84">
        <v>0.0</v>
      </c>
      <c r="AN172" s="84">
        <v>1.0</v>
      </c>
      <c r="AO172" s="84">
        <v>0.0</v>
      </c>
      <c r="AP172" s="84">
        <v>0.0</v>
      </c>
      <c r="AQ172" s="84">
        <v>0.0</v>
      </c>
      <c r="AR172" s="84">
        <v>0.0</v>
      </c>
      <c r="AS172" s="84">
        <v>0.0</v>
      </c>
      <c r="AT172" s="84">
        <v>0.0</v>
      </c>
      <c r="AU172" s="84">
        <v>0.0</v>
      </c>
      <c r="AV172" s="84">
        <v>0.0</v>
      </c>
      <c r="AW172" s="84">
        <v>0.0</v>
      </c>
      <c r="AX172" s="84">
        <v>0.0</v>
      </c>
      <c r="AY172" s="84">
        <v>1.0</v>
      </c>
      <c r="AZ172" s="84">
        <v>10.0</v>
      </c>
      <c r="BH172" s="84">
        <v>188.0</v>
      </c>
      <c r="BI172" s="84" t="s">
        <v>5424</v>
      </c>
    </row>
    <row r="173" ht="12.75" customHeight="1">
      <c r="A173" s="84">
        <v>171.0</v>
      </c>
      <c r="B173" s="84" t="s">
        <v>5425</v>
      </c>
      <c r="C173" s="84">
        <v>0.0</v>
      </c>
      <c r="D173" s="84" t="s">
        <v>4945</v>
      </c>
      <c r="E173" s="84">
        <v>1.0</v>
      </c>
      <c r="F173" s="84" t="s">
        <v>5131</v>
      </c>
      <c r="G173" s="84">
        <v>0.0</v>
      </c>
      <c r="H173" s="84">
        <v>100.0</v>
      </c>
      <c r="I173" s="84">
        <v>15.0</v>
      </c>
      <c r="J173" s="84"/>
      <c r="K173" s="84"/>
      <c r="L173" s="84"/>
      <c r="M173" s="84" t="s">
        <v>5425</v>
      </c>
      <c r="N173" s="84">
        <v>9.0</v>
      </c>
      <c r="O173" s="84">
        <v>0.0</v>
      </c>
      <c r="P173" s="84">
        <v>1.0</v>
      </c>
      <c r="Q173" s="84"/>
      <c r="R173" s="84"/>
      <c r="S173" s="84"/>
      <c r="T173" s="84"/>
      <c r="U173" s="84">
        <v>107.0</v>
      </c>
      <c r="V173" s="84"/>
      <c r="W173" s="84"/>
      <c r="X173" s="84">
        <v>0.0</v>
      </c>
      <c r="Y173" s="84"/>
      <c r="Z173" s="84"/>
      <c r="AA173" s="84"/>
      <c r="AB173" s="84"/>
      <c r="AC173" s="84"/>
      <c r="AD173" s="84"/>
      <c r="AE173" s="84"/>
      <c r="AF173" s="84"/>
      <c r="AG173" s="84"/>
      <c r="AH173" s="84">
        <v>0.0</v>
      </c>
      <c r="AI173" s="84">
        <v>0.0</v>
      </c>
      <c r="AJ173" s="84">
        <v>0.0</v>
      </c>
      <c r="AK173" s="84">
        <v>1.0</v>
      </c>
      <c r="AL173" s="84">
        <v>0.0</v>
      </c>
      <c r="AM173" s="84">
        <v>0.0</v>
      </c>
      <c r="AN173" s="84">
        <v>1.0</v>
      </c>
      <c r="AO173" s="84">
        <v>0.0</v>
      </c>
      <c r="AP173" s="84">
        <v>0.0</v>
      </c>
      <c r="AQ173" s="84">
        <v>0.0</v>
      </c>
      <c r="AR173" s="84">
        <v>0.0</v>
      </c>
      <c r="AS173" s="84">
        <v>0.0</v>
      </c>
      <c r="AT173" s="84">
        <v>0.0</v>
      </c>
      <c r="AU173" s="84">
        <v>0.0</v>
      </c>
      <c r="AV173" s="84">
        <v>0.0</v>
      </c>
      <c r="AW173" s="84">
        <v>0.0</v>
      </c>
      <c r="AX173" s="84">
        <v>0.0</v>
      </c>
      <c r="AY173" s="84">
        <v>1.0</v>
      </c>
      <c r="AZ173" s="84">
        <v>0.0</v>
      </c>
      <c r="BH173" s="84">
        <v>189.0</v>
      </c>
      <c r="BI173" s="84" t="s">
        <v>5426</v>
      </c>
    </row>
    <row r="174" ht="12.75" customHeight="1">
      <c r="A174" s="84">
        <v>172.0</v>
      </c>
      <c r="B174" s="84" t="s">
        <v>2600</v>
      </c>
      <c r="C174" s="84">
        <v>1.0</v>
      </c>
      <c r="D174" s="84" t="s">
        <v>4906</v>
      </c>
      <c r="E174" s="84">
        <v>4.0</v>
      </c>
      <c r="F174" s="84" t="s">
        <v>5135</v>
      </c>
      <c r="G174" s="84">
        <v>60.0</v>
      </c>
      <c r="H174" s="84">
        <v>100.0</v>
      </c>
      <c r="I174" s="84">
        <v>25.0</v>
      </c>
      <c r="M174" s="84" t="s">
        <v>5152</v>
      </c>
      <c r="N174" s="84">
        <v>4.0</v>
      </c>
      <c r="O174" s="84">
        <v>10.0</v>
      </c>
      <c r="P174" s="84">
        <v>1.0</v>
      </c>
      <c r="U174" s="84">
        <v>125.0</v>
      </c>
      <c r="X174" s="84">
        <v>0.0</v>
      </c>
      <c r="AH174" s="84">
        <v>1.0</v>
      </c>
      <c r="AI174" s="84">
        <v>0.0</v>
      </c>
      <c r="AJ174" s="84">
        <v>0.0</v>
      </c>
      <c r="AK174" s="84">
        <v>1.0</v>
      </c>
      <c r="AL174" s="84">
        <v>0.0</v>
      </c>
      <c r="AM174" s="84">
        <v>0.0</v>
      </c>
      <c r="AN174" s="84">
        <v>1.0</v>
      </c>
      <c r="AO174" s="84">
        <v>0.0</v>
      </c>
      <c r="AP174" s="84">
        <v>0.0</v>
      </c>
      <c r="AQ174" s="84">
        <v>0.0</v>
      </c>
      <c r="AR174" s="84">
        <v>1.0</v>
      </c>
      <c r="AS174" s="84">
        <v>0.0</v>
      </c>
      <c r="AT174" s="84">
        <v>0.0</v>
      </c>
      <c r="AU174" s="84">
        <v>0.0</v>
      </c>
      <c r="AV174" s="84">
        <v>0.0</v>
      </c>
      <c r="AW174" s="84">
        <v>0.0</v>
      </c>
      <c r="AX174" s="84">
        <v>0.0</v>
      </c>
      <c r="AY174" s="84">
        <v>1.0</v>
      </c>
      <c r="AZ174" s="84">
        <v>37.0</v>
      </c>
      <c r="BH174" s="84">
        <v>190.0</v>
      </c>
      <c r="BI174" s="84" t="s">
        <v>5427</v>
      </c>
    </row>
    <row r="175" ht="12.75" customHeight="1">
      <c r="A175" s="84">
        <v>173.0</v>
      </c>
      <c r="B175" s="84" t="s">
        <v>3327</v>
      </c>
      <c r="C175" s="84">
        <v>1.0</v>
      </c>
      <c r="D175" s="84" t="s">
        <v>4916</v>
      </c>
      <c r="E175" s="84">
        <v>0.0</v>
      </c>
      <c r="F175" s="84" t="s">
        <v>5172</v>
      </c>
      <c r="G175" s="84">
        <v>50.0</v>
      </c>
      <c r="H175" s="84">
        <v>100.0</v>
      </c>
      <c r="I175" s="84">
        <v>15.0</v>
      </c>
      <c r="N175" s="84">
        <v>0.0</v>
      </c>
      <c r="O175" s="84">
        <v>0.0</v>
      </c>
      <c r="P175" s="84">
        <v>0.0</v>
      </c>
      <c r="T175" s="84">
        <v>30.0</v>
      </c>
      <c r="U175" s="84">
        <v>92.0</v>
      </c>
      <c r="X175" s="84">
        <v>0.0</v>
      </c>
      <c r="AH175" s="84">
        <v>0.0</v>
      </c>
      <c r="AI175" s="84">
        <v>0.0</v>
      </c>
      <c r="AJ175" s="84">
        <v>0.0</v>
      </c>
      <c r="AK175" s="84">
        <v>1.0</v>
      </c>
      <c r="AL175" s="84">
        <v>0.0</v>
      </c>
      <c r="AM175" s="84">
        <v>0.0</v>
      </c>
      <c r="AN175" s="84">
        <v>1.0</v>
      </c>
      <c r="AO175" s="84">
        <v>0.0</v>
      </c>
      <c r="AP175" s="84">
        <v>1.0</v>
      </c>
      <c r="AQ175" s="84">
        <v>0.0</v>
      </c>
      <c r="AR175" s="84">
        <v>0.0</v>
      </c>
      <c r="AS175" s="84">
        <v>0.0</v>
      </c>
      <c r="AT175" s="84">
        <v>0.0</v>
      </c>
      <c r="AU175" s="84">
        <v>1.0</v>
      </c>
      <c r="AV175" s="84">
        <v>0.0</v>
      </c>
      <c r="AW175" s="84">
        <v>0.0</v>
      </c>
      <c r="AX175" s="84">
        <v>0.0</v>
      </c>
      <c r="AY175" s="84">
        <v>0.0</v>
      </c>
      <c r="AZ175" s="84">
        <v>34.0</v>
      </c>
      <c r="BH175" s="84">
        <v>191.0</v>
      </c>
      <c r="BI175" s="84" t="s">
        <v>5428</v>
      </c>
    </row>
    <row r="176" ht="12.75" customHeight="1">
      <c r="A176" s="84">
        <v>174.0</v>
      </c>
      <c r="B176" s="84" t="s">
        <v>2632</v>
      </c>
      <c r="C176" s="84">
        <v>1.0</v>
      </c>
      <c r="D176" s="84" t="s">
        <v>4945</v>
      </c>
      <c r="E176" s="84">
        <v>13.0</v>
      </c>
      <c r="F176" s="84" t="s">
        <v>5131</v>
      </c>
      <c r="G176" s="84">
        <v>0.0</v>
      </c>
      <c r="H176" s="84">
        <v>101.0</v>
      </c>
      <c r="I176" s="84">
        <v>10.0</v>
      </c>
      <c r="N176" s="84">
        <v>0.0</v>
      </c>
      <c r="O176" s="84">
        <v>0.0</v>
      </c>
      <c r="P176" s="84">
        <v>0.0</v>
      </c>
      <c r="U176" s="84">
        <v>109.0</v>
      </c>
      <c r="X176" s="84">
        <v>13.0</v>
      </c>
      <c r="AH176" s="84">
        <v>0.0</v>
      </c>
      <c r="AI176" s="84">
        <v>0.0</v>
      </c>
      <c r="AJ176" s="84">
        <v>0.0</v>
      </c>
      <c r="AK176" s="84">
        <v>0.0</v>
      </c>
      <c r="AL176" s="84">
        <v>0.0</v>
      </c>
      <c r="AM176" s="84">
        <v>0.0</v>
      </c>
      <c r="AN176" s="84">
        <v>0.0</v>
      </c>
      <c r="AO176" s="84">
        <v>0.0</v>
      </c>
      <c r="AP176" s="84">
        <v>0.0</v>
      </c>
      <c r="AQ176" s="84">
        <v>0.0</v>
      </c>
      <c r="AR176" s="84">
        <v>0.0</v>
      </c>
      <c r="AS176" s="84">
        <v>0.0</v>
      </c>
      <c r="AT176" s="84">
        <v>0.0</v>
      </c>
      <c r="AU176" s="84">
        <v>1.0</v>
      </c>
      <c r="AV176" s="84">
        <v>0.0</v>
      </c>
      <c r="AW176" s="84">
        <v>0.0</v>
      </c>
      <c r="AX176" s="84">
        <v>0.0</v>
      </c>
      <c r="AY176" s="84">
        <v>1.0</v>
      </c>
      <c r="AZ176" s="84">
        <v>15.0</v>
      </c>
      <c r="BH176" s="84">
        <v>192.0</v>
      </c>
      <c r="BI176" s="84" t="s">
        <v>5429</v>
      </c>
    </row>
    <row r="177" ht="12.75" customHeight="1">
      <c r="A177" s="84">
        <v>175.0</v>
      </c>
      <c r="B177" s="84" t="s">
        <v>2977</v>
      </c>
      <c r="C177" s="84">
        <v>1.0</v>
      </c>
      <c r="D177" s="84" t="s">
        <v>4916</v>
      </c>
      <c r="E177" s="84">
        <v>0.0</v>
      </c>
      <c r="F177" s="84" t="s">
        <v>5135</v>
      </c>
      <c r="G177" s="84">
        <v>1.0</v>
      </c>
      <c r="H177" s="84">
        <v>100.0</v>
      </c>
      <c r="I177" s="84">
        <v>15.0</v>
      </c>
      <c r="N177" s="84">
        <v>0.0</v>
      </c>
      <c r="O177" s="84">
        <v>0.0</v>
      </c>
      <c r="P177" s="84">
        <v>0.0</v>
      </c>
      <c r="U177" s="84">
        <v>99.0</v>
      </c>
      <c r="X177" s="84">
        <v>0.0</v>
      </c>
      <c r="AH177" s="84">
        <v>1.0</v>
      </c>
      <c r="AI177" s="84">
        <v>0.0</v>
      </c>
      <c r="AJ177" s="84">
        <v>0.0</v>
      </c>
      <c r="AK177" s="84">
        <v>1.0</v>
      </c>
      <c r="AL177" s="84">
        <v>0.0</v>
      </c>
      <c r="AM177" s="84">
        <v>0.0</v>
      </c>
      <c r="AN177" s="84">
        <v>1.0</v>
      </c>
      <c r="AO177" s="84">
        <v>0.0</v>
      </c>
      <c r="AP177" s="84">
        <v>0.0</v>
      </c>
      <c r="AQ177" s="84">
        <v>0.0</v>
      </c>
      <c r="AR177" s="84">
        <v>0.0</v>
      </c>
      <c r="AS177" s="84">
        <v>0.0</v>
      </c>
      <c r="AT177" s="84">
        <v>0.0</v>
      </c>
      <c r="AU177" s="84">
        <v>0.0</v>
      </c>
      <c r="AV177" s="84">
        <v>0.0</v>
      </c>
      <c r="AW177" s="84">
        <v>0.0</v>
      </c>
      <c r="AX177" s="84">
        <v>0.0</v>
      </c>
      <c r="AY177" s="84">
        <v>1.0</v>
      </c>
      <c r="AZ177" s="84">
        <v>48.0</v>
      </c>
      <c r="BH177" s="84">
        <v>193.0</v>
      </c>
      <c r="BI177" s="84" t="s">
        <v>5430</v>
      </c>
    </row>
    <row r="178" ht="12.75" customHeight="1">
      <c r="A178" s="84">
        <v>176.0</v>
      </c>
      <c r="B178" s="84" t="s">
        <v>5431</v>
      </c>
      <c r="C178" s="84">
        <v>1.0</v>
      </c>
      <c r="D178" s="84" t="s">
        <v>4916</v>
      </c>
      <c r="E178" s="84">
        <v>13.0</v>
      </c>
      <c r="F178" s="84" t="s">
        <v>5131</v>
      </c>
      <c r="G178" s="84">
        <v>0.0</v>
      </c>
      <c r="H178" s="84">
        <v>101.0</v>
      </c>
      <c r="I178" s="84">
        <v>30.0</v>
      </c>
      <c r="N178" s="84">
        <v>0.0</v>
      </c>
      <c r="O178" s="84">
        <v>0.0</v>
      </c>
      <c r="P178" s="84">
        <v>0.0</v>
      </c>
      <c r="U178" s="84">
        <v>93.0</v>
      </c>
      <c r="X178" s="84">
        <v>0.0</v>
      </c>
      <c r="AH178" s="84">
        <v>0.0</v>
      </c>
      <c r="AI178" s="84">
        <v>0.0</v>
      </c>
      <c r="AJ178" s="84">
        <v>0.0</v>
      </c>
      <c r="AK178" s="84">
        <v>0.0</v>
      </c>
      <c r="AL178" s="84">
        <v>0.0</v>
      </c>
      <c r="AM178" s="84">
        <v>0.0</v>
      </c>
      <c r="AN178" s="84">
        <v>0.0</v>
      </c>
      <c r="AO178" s="84">
        <v>0.0</v>
      </c>
      <c r="AP178" s="84">
        <v>0.0</v>
      </c>
      <c r="AQ178" s="84">
        <v>0.0</v>
      </c>
      <c r="AR178" s="84">
        <v>0.0</v>
      </c>
      <c r="AS178" s="84">
        <v>0.0</v>
      </c>
      <c r="AT178" s="84">
        <v>0.0</v>
      </c>
      <c r="AU178" s="84">
        <v>1.0</v>
      </c>
      <c r="AV178" s="84">
        <v>0.0</v>
      </c>
      <c r="AW178" s="84">
        <v>0.0</v>
      </c>
      <c r="AX178" s="84">
        <v>0.0</v>
      </c>
      <c r="AY178" s="84">
        <v>1.0</v>
      </c>
      <c r="AZ178" s="84">
        <v>11.0</v>
      </c>
      <c r="BH178" s="84">
        <v>194.0</v>
      </c>
      <c r="BI178" s="84" t="s">
        <v>5432</v>
      </c>
    </row>
    <row r="179" ht="12.75" customHeight="1">
      <c r="A179" s="84">
        <v>177.0</v>
      </c>
      <c r="B179" s="84" t="s">
        <v>5433</v>
      </c>
      <c r="C179" s="84">
        <v>1.0</v>
      </c>
      <c r="D179" s="84" t="s">
        <v>4907</v>
      </c>
      <c r="E179" s="84">
        <v>0.0</v>
      </c>
      <c r="F179" s="84" t="s">
        <v>5172</v>
      </c>
      <c r="G179" s="84">
        <v>100.0</v>
      </c>
      <c r="H179" s="84">
        <v>95.0</v>
      </c>
      <c r="I179" s="84">
        <v>5.0</v>
      </c>
      <c r="N179" s="84">
        <v>0.0</v>
      </c>
      <c r="O179" s="84">
        <v>0.0</v>
      </c>
      <c r="P179" s="84">
        <v>0.0</v>
      </c>
      <c r="S179" s="84">
        <v>1.0</v>
      </c>
      <c r="U179" s="84">
        <v>43.0</v>
      </c>
      <c r="X179" s="84">
        <v>0.0</v>
      </c>
      <c r="AH179" s="84">
        <v>0.0</v>
      </c>
      <c r="AI179" s="84">
        <v>0.0</v>
      </c>
      <c r="AJ179" s="84">
        <v>0.0</v>
      </c>
      <c r="AK179" s="84">
        <v>1.0</v>
      </c>
      <c r="AL179" s="84">
        <v>0.0</v>
      </c>
      <c r="AM179" s="84">
        <v>0.0</v>
      </c>
      <c r="AN179" s="84">
        <v>1.0</v>
      </c>
      <c r="AO179" s="84">
        <v>0.0</v>
      </c>
      <c r="AP179" s="84">
        <v>0.0</v>
      </c>
      <c r="AQ179" s="84">
        <v>0.0</v>
      </c>
      <c r="AR179" s="84">
        <v>0.0</v>
      </c>
      <c r="AS179" s="84">
        <v>1.0</v>
      </c>
      <c r="AT179" s="84">
        <v>0.0</v>
      </c>
      <c r="AU179" s="84">
        <v>0.0</v>
      </c>
      <c r="AV179" s="84">
        <v>0.0</v>
      </c>
      <c r="AW179" s="84">
        <v>0.0</v>
      </c>
      <c r="AX179" s="84">
        <v>0.0</v>
      </c>
      <c r="AY179" s="84">
        <v>1.0</v>
      </c>
      <c r="AZ179" s="84">
        <v>47.0</v>
      </c>
      <c r="BH179" s="84">
        <v>195.0</v>
      </c>
      <c r="BI179" s="84" t="s">
        <v>5434</v>
      </c>
    </row>
    <row r="180" ht="12.75" customHeight="1">
      <c r="A180" s="84">
        <v>178.0</v>
      </c>
      <c r="B180" s="84" t="s">
        <v>3058</v>
      </c>
      <c r="C180" s="84">
        <v>1.0</v>
      </c>
      <c r="D180" s="84" t="s">
        <v>4904</v>
      </c>
      <c r="E180" s="84">
        <v>2.0</v>
      </c>
      <c r="F180" s="84" t="s">
        <v>5131</v>
      </c>
      <c r="G180" s="84">
        <v>0.0</v>
      </c>
      <c r="H180" s="84">
        <v>100.0</v>
      </c>
      <c r="I180" s="84">
        <v>40.0</v>
      </c>
      <c r="N180" s="84">
        <v>0.0</v>
      </c>
      <c r="O180" s="84">
        <v>0.0</v>
      </c>
      <c r="P180" s="84">
        <v>0.0</v>
      </c>
      <c r="U180" s="84">
        <v>60.0</v>
      </c>
      <c r="X180" s="84">
        <v>5.0</v>
      </c>
      <c r="Y180" s="84" t="s">
        <v>5073</v>
      </c>
      <c r="Z180" s="84">
        <v>-2.0</v>
      </c>
      <c r="AH180" s="84">
        <v>0.0</v>
      </c>
      <c r="AI180" s="84">
        <v>0.0</v>
      </c>
      <c r="AJ180" s="84">
        <v>0.0</v>
      </c>
      <c r="AK180" s="84">
        <v>1.0</v>
      </c>
      <c r="AL180" s="84">
        <v>1.0</v>
      </c>
      <c r="AM180" s="84">
        <v>0.0</v>
      </c>
      <c r="AN180" s="84">
        <v>1.0</v>
      </c>
      <c r="AO180" s="84">
        <v>0.0</v>
      </c>
      <c r="AP180" s="84">
        <v>0.0</v>
      </c>
      <c r="AQ180" s="84">
        <v>0.0</v>
      </c>
      <c r="AR180" s="84">
        <v>0.0</v>
      </c>
      <c r="AS180" s="84">
        <v>0.0</v>
      </c>
      <c r="AT180" s="84">
        <v>0.0</v>
      </c>
      <c r="AU180" s="84">
        <v>0.0</v>
      </c>
      <c r="AV180" s="84">
        <v>0.0</v>
      </c>
      <c r="AW180" s="84">
        <v>0.0</v>
      </c>
      <c r="AX180" s="84">
        <v>0.0</v>
      </c>
      <c r="AY180" s="84">
        <v>1.0</v>
      </c>
      <c r="AZ180" s="84">
        <v>8.0</v>
      </c>
      <c r="BH180" s="84">
        <v>196.0</v>
      </c>
      <c r="BI180" s="84" t="s">
        <v>5435</v>
      </c>
    </row>
    <row r="181" ht="12.75" customHeight="1">
      <c r="A181" s="84">
        <v>179.0</v>
      </c>
      <c r="B181" s="84" t="s">
        <v>3945</v>
      </c>
      <c r="C181" s="84">
        <v>1.0</v>
      </c>
      <c r="D181" s="84" t="s">
        <v>4935</v>
      </c>
      <c r="E181" s="84">
        <v>0.0</v>
      </c>
      <c r="F181" s="84" t="s">
        <v>5135</v>
      </c>
      <c r="G181" s="84">
        <v>1.0</v>
      </c>
      <c r="H181" s="84">
        <v>100.0</v>
      </c>
      <c r="I181" s="84">
        <v>15.0</v>
      </c>
      <c r="N181" s="84">
        <v>0.0</v>
      </c>
      <c r="O181" s="84">
        <v>0.0</v>
      </c>
      <c r="P181" s="84">
        <v>0.0</v>
      </c>
      <c r="U181" s="84">
        <v>99.0</v>
      </c>
      <c r="X181" s="84">
        <v>0.0</v>
      </c>
      <c r="AH181" s="84">
        <v>1.0</v>
      </c>
      <c r="AI181" s="84">
        <v>0.0</v>
      </c>
      <c r="AJ181" s="84">
        <v>0.0</v>
      </c>
      <c r="AK181" s="84">
        <v>1.0</v>
      </c>
      <c r="AL181" s="84">
        <v>0.0</v>
      </c>
      <c r="AM181" s="84">
        <v>0.0</v>
      </c>
      <c r="AN181" s="84">
        <v>1.0</v>
      </c>
      <c r="AO181" s="84">
        <v>0.0</v>
      </c>
      <c r="AP181" s="84">
        <v>0.0</v>
      </c>
      <c r="AQ181" s="84">
        <v>0.0</v>
      </c>
      <c r="AR181" s="84">
        <v>0.0</v>
      </c>
      <c r="AS181" s="84">
        <v>0.0</v>
      </c>
      <c r="AT181" s="84">
        <v>0.0</v>
      </c>
      <c r="AU181" s="84">
        <v>0.0</v>
      </c>
      <c r="AV181" s="84">
        <v>0.0</v>
      </c>
      <c r="AW181" s="84">
        <v>0.0</v>
      </c>
      <c r="AX181" s="84">
        <v>0.0</v>
      </c>
      <c r="AY181" s="84">
        <v>1.0</v>
      </c>
      <c r="AZ181" s="84">
        <v>48.0</v>
      </c>
      <c r="BH181" s="84">
        <v>197.0</v>
      </c>
      <c r="BI181" s="84" t="s">
        <v>5436</v>
      </c>
    </row>
    <row r="182" ht="12.75" customHeight="1">
      <c r="A182" s="84">
        <v>180.0</v>
      </c>
      <c r="B182" s="84" t="s">
        <v>3257</v>
      </c>
      <c r="C182" s="84">
        <v>1.0</v>
      </c>
      <c r="D182" s="84" t="s">
        <v>4945</v>
      </c>
      <c r="E182" s="84">
        <v>13.0</v>
      </c>
      <c r="F182" s="84" t="s">
        <v>5131</v>
      </c>
      <c r="G182" s="84">
        <v>0.0</v>
      </c>
      <c r="H182" s="84">
        <v>100.0</v>
      </c>
      <c r="I182" s="84">
        <v>10.0</v>
      </c>
      <c r="N182" s="84">
        <v>0.0</v>
      </c>
      <c r="O182" s="84">
        <v>0.0</v>
      </c>
      <c r="P182" s="84">
        <v>0.0</v>
      </c>
      <c r="U182" s="84">
        <v>100.0</v>
      </c>
      <c r="X182" s="84">
        <v>0.0</v>
      </c>
      <c r="AH182" s="84">
        <v>0.0</v>
      </c>
      <c r="AI182" s="84">
        <v>0.0</v>
      </c>
      <c r="AJ182" s="84">
        <v>0.0</v>
      </c>
      <c r="AK182" s="84">
        <v>1.0</v>
      </c>
      <c r="AL182" s="84">
        <v>1.0</v>
      </c>
      <c r="AM182" s="84">
        <v>0.0</v>
      </c>
      <c r="AN182" s="84">
        <v>1.0</v>
      </c>
      <c r="AO182" s="84">
        <v>0.0</v>
      </c>
      <c r="AP182" s="84">
        <v>0.0</v>
      </c>
      <c r="AQ182" s="84">
        <v>0.0</v>
      </c>
      <c r="AR182" s="84">
        <v>0.0</v>
      </c>
      <c r="AS182" s="84">
        <v>0.0</v>
      </c>
      <c r="AT182" s="84">
        <v>0.0</v>
      </c>
      <c r="AU182" s="84">
        <v>1.0</v>
      </c>
      <c r="AV182" s="84">
        <v>0.0</v>
      </c>
      <c r="AW182" s="84">
        <v>0.0</v>
      </c>
      <c r="AX182" s="84">
        <v>0.0</v>
      </c>
      <c r="AY182" s="84">
        <v>1.0</v>
      </c>
      <c r="AZ182" s="84">
        <v>13.0</v>
      </c>
      <c r="BH182" s="84">
        <v>198.0</v>
      </c>
      <c r="BI182" s="84" t="s">
        <v>5437</v>
      </c>
    </row>
    <row r="183" ht="12.75" customHeight="1">
      <c r="A183" s="84">
        <v>181.0</v>
      </c>
      <c r="B183" s="84" t="s">
        <v>5438</v>
      </c>
      <c r="C183" s="84">
        <v>1.0</v>
      </c>
      <c r="D183" s="84" t="s">
        <v>4942</v>
      </c>
      <c r="E183" s="84">
        <v>4.0</v>
      </c>
      <c r="F183" s="84" t="s">
        <v>5172</v>
      </c>
      <c r="G183" s="84">
        <v>40.0</v>
      </c>
      <c r="H183" s="84">
        <v>100.0</v>
      </c>
      <c r="I183" s="84">
        <v>25.0</v>
      </c>
      <c r="M183" s="84" t="s">
        <v>5155</v>
      </c>
      <c r="N183" s="84">
        <v>3.0</v>
      </c>
      <c r="O183" s="84">
        <v>10.0</v>
      </c>
      <c r="P183" s="84">
        <v>1.0</v>
      </c>
      <c r="U183" s="84">
        <v>5.0</v>
      </c>
      <c r="X183" s="84">
        <v>5.0</v>
      </c>
      <c r="AH183" s="84">
        <v>0.0</v>
      </c>
      <c r="AI183" s="84">
        <v>0.0</v>
      </c>
      <c r="AJ183" s="84">
        <v>0.0</v>
      </c>
      <c r="AK183" s="84">
        <v>1.0</v>
      </c>
      <c r="AL183" s="84">
        <v>0.0</v>
      </c>
      <c r="AM183" s="84">
        <v>0.0</v>
      </c>
      <c r="AN183" s="84">
        <v>1.0</v>
      </c>
      <c r="AO183" s="84">
        <v>0.0</v>
      </c>
      <c r="AP183" s="84">
        <v>0.0</v>
      </c>
      <c r="AQ183" s="84">
        <v>0.0</v>
      </c>
      <c r="AR183" s="84">
        <v>0.0</v>
      </c>
      <c r="AS183" s="84">
        <v>0.0</v>
      </c>
      <c r="AT183" s="84">
        <v>0.0</v>
      </c>
      <c r="AU183" s="84">
        <v>0.0</v>
      </c>
      <c r="AV183" s="84">
        <v>0.0</v>
      </c>
      <c r="AW183" s="84">
        <v>0.0</v>
      </c>
      <c r="AX183" s="84">
        <v>0.0</v>
      </c>
      <c r="AY183" s="84">
        <v>1.0</v>
      </c>
      <c r="AZ183" s="84">
        <v>34.0</v>
      </c>
      <c r="BH183" s="84">
        <v>199.0</v>
      </c>
      <c r="BI183" s="84" t="s">
        <v>5439</v>
      </c>
    </row>
    <row r="184" ht="12.75" customHeight="1">
      <c r="A184" s="84">
        <v>182.0</v>
      </c>
      <c r="B184" s="84" t="s">
        <v>2517</v>
      </c>
      <c r="C184" s="84">
        <v>1.0</v>
      </c>
      <c r="D184" s="84" t="s">
        <v>4916</v>
      </c>
      <c r="E184" s="84">
        <v>13.0</v>
      </c>
      <c r="F184" s="84" t="s">
        <v>5131</v>
      </c>
      <c r="G184" s="84">
        <v>0.0</v>
      </c>
      <c r="H184" s="84">
        <v>101.0</v>
      </c>
      <c r="I184" s="84">
        <v>10.0</v>
      </c>
      <c r="J184" s="84">
        <v>4.0</v>
      </c>
      <c r="N184" s="84">
        <v>0.0</v>
      </c>
      <c r="O184" s="84">
        <v>0.0</v>
      </c>
      <c r="P184" s="84">
        <v>0.0</v>
      </c>
      <c r="U184" s="84">
        <v>111.0</v>
      </c>
      <c r="X184" s="84">
        <v>7.0</v>
      </c>
      <c r="AH184" s="84">
        <v>0.0</v>
      </c>
      <c r="AI184" s="84">
        <v>0.0</v>
      </c>
      <c r="AJ184" s="84">
        <v>0.0</v>
      </c>
      <c r="AK184" s="84">
        <v>0.0</v>
      </c>
      <c r="AL184" s="84">
        <v>0.0</v>
      </c>
      <c r="AM184" s="84">
        <v>0.0</v>
      </c>
      <c r="AN184" s="84">
        <v>0.0</v>
      </c>
      <c r="AO184" s="84">
        <v>0.0</v>
      </c>
      <c r="AP184" s="84">
        <v>0.0</v>
      </c>
      <c r="AQ184" s="84">
        <v>0.0</v>
      </c>
      <c r="AR184" s="84">
        <v>0.0</v>
      </c>
      <c r="AS184" s="84">
        <v>0.0</v>
      </c>
      <c r="AT184" s="84">
        <v>0.0</v>
      </c>
      <c r="AU184" s="84">
        <v>0.0</v>
      </c>
      <c r="AV184" s="84">
        <v>0.0</v>
      </c>
      <c r="AW184" s="84">
        <v>0.0</v>
      </c>
      <c r="AX184" s="84">
        <v>0.0</v>
      </c>
      <c r="AY184" s="84">
        <v>0.0</v>
      </c>
      <c r="AZ184" s="84">
        <v>18.0</v>
      </c>
      <c r="BH184" s="84">
        <v>200.0</v>
      </c>
      <c r="BI184" s="84" t="s">
        <v>5440</v>
      </c>
    </row>
    <row r="185" ht="12.75" customHeight="1">
      <c r="A185" s="84">
        <v>183.0</v>
      </c>
      <c r="B185" s="84" t="s">
        <v>3312</v>
      </c>
      <c r="C185" s="84">
        <v>1.0</v>
      </c>
      <c r="D185" s="84" t="s">
        <v>4935</v>
      </c>
      <c r="E185" s="84">
        <v>0.0</v>
      </c>
      <c r="F185" s="84" t="s">
        <v>5135</v>
      </c>
      <c r="G185" s="84">
        <v>40.0</v>
      </c>
      <c r="H185" s="84">
        <v>100.0</v>
      </c>
      <c r="I185" s="84">
        <v>30.0</v>
      </c>
      <c r="J185" s="84">
        <v>1.0</v>
      </c>
      <c r="N185" s="84">
        <v>0.0</v>
      </c>
      <c r="O185" s="84">
        <v>0.0</v>
      </c>
      <c r="P185" s="84">
        <v>0.0</v>
      </c>
      <c r="U185" s="84">
        <v>103.0</v>
      </c>
      <c r="X185" s="84">
        <v>0.0</v>
      </c>
      <c r="AH185" s="84">
        <v>1.0</v>
      </c>
      <c r="AI185" s="84">
        <v>0.0</v>
      </c>
      <c r="AJ185" s="84">
        <v>0.0</v>
      </c>
      <c r="AK185" s="84">
        <v>1.0</v>
      </c>
      <c r="AL185" s="84">
        <v>0.0</v>
      </c>
      <c r="AM185" s="84">
        <v>0.0</v>
      </c>
      <c r="AN185" s="84">
        <v>1.0</v>
      </c>
      <c r="AO185" s="84">
        <v>1.0</v>
      </c>
      <c r="AP185" s="84">
        <v>0.0</v>
      </c>
      <c r="AQ185" s="84">
        <v>0.0</v>
      </c>
      <c r="AR185" s="84">
        <v>0.0</v>
      </c>
      <c r="AS185" s="84">
        <v>0.0</v>
      </c>
      <c r="AT185" s="84">
        <v>0.0</v>
      </c>
      <c r="AU185" s="84">
        <v>0.0</v>
      </c>
      <c r="AV185" s="84">
        <v>0.0</v>
      </c>
      <c r="AW185" s="84">
        <v>0.0</v>
      </c>
      <c r="AX185" s="84">
        <v>0.0</v>
      </c>
      <c r="AY185" s="84">
        <v>1.0</v>
      </c>
      <c r="AZ185" s="84">
        <v>32.0</v>
      </c>
      <c r="BH185" s="84">
        <v>201.0</v>
      </c>
      <c r="BI185" s="84" t="s">
        <v>5441</v>
      </c>
    </row>
    <row r="186" ht="12.75" customHeight="1">
      <c r="A186" s="84">
        <v>184.0</v>
      </c>
      <c r="B186" s="84" t="s">
        <v>2583</v>
      </c>
      <c r="C186" s="84">
        <v>1.0</v>
      </c>
      <c r="D186" s="84" t="s">
        <v>4916</v>
      </c>
      <c r="E186" s="84">
        <v>2.0</v>
      </c>
      <c r="F186" s="84" t="s">
        <v>5131</v>
      </c>
      <c r="G186" s="84">
        <v>0.0</v>
      </c>
      <c r="H186" s="84">
        <v>100.0</v>
      </c>
      <c r="I186" s="84">
        <v>10.0</v>
      </c>
      <c r="N186" s="84">
        <v>0.0</v>
      </c>
      <c r="O186" s="84">
        <v>0.0</v>
      </c>
      <c r="P186" s="84">
        <v>0.0</v>
      </c>
      <c r="U186" s="84">
        <v>60.0</v>
      </c>
      <c r="X186" s="84">
        <v>0.0</v>
      </c>
      <c r="Y186" s="84" t="s">
        <v>5073</v>
      </c>
      <c r="Z186" s="84">
        <v>-2.0</v>
      </c>
      <c r="AH186" s="84">
        <v>0.0</v>
      </c>
      <c r="AI186" s="84">
        <v>0.0</v>
      </c>
      <c r="AJ186" s="84">
        <v>0.0</v>
      </c>
      <c r="AK186" s="84">
        <v>1.0</v>
      </c>
      <c r="AL186" s="84">
        <v>1.0</v>
      </c>
      <c r="AM186" s="84">
        <v>0.0</v>
      </c>
      <c r="AN186" s="84">
        <v>1.0</v>
      </c>
      <c r="AO186" s="84">
        <v>0.0</v>
      </c>
      <c r="AP186" s="84">
        <v>0.0</v>
      </c>
      <c r="AQ186" s="84">
        <v>0.0</v>
      </c>
      <c r="AR186" s="84">
        <v>0.0</v>
      </c>
      <c r="AS186" s="84">
        <v>0.0</v>
      </c>
      <c r="AT186" s="84">
        <v>0.0</v>
      </c>
      <c r="AU186" s="84">
        <v>0.0</v>
      </c>
      <c r="AV186" s="84">
        <v>0.0</v>
      </c>
      <c r="AW186" s="84">
        <v>1.0</v>
      </c>
      <c r="AX186" s="84">
        <v>0.0</v>
      </c>
      <c r="AY186" s="84">
        <v>1.0</v>
      </c>
      <c r="AZ186" s="84">
        <v>5.0</v>
      </c>
      <c r="BH186" s="84">
        <v>202.0</v>
      </c>
      <c r="BI186" s="84" t="s">
        <v>5442</v>
      </c>
    </row>
    <row r="187" ht="12.75" customHeight="1">
      <c r="A187" s="84">
        <v>185.0</v>
      </c>
      <c r="B187" s="84" t="s">
        <v>5443</v>
      </c>
      <c r="C187" s="84">
        <v>0.0</v>
      </c>
      <c r="D187" s="84" t="s">
        <v>4972</v>
      </c>
      <c r="E187" s="84">
        <v>0.0</v>
      </c>
      <c r="F187" s="84" t="s">
        <v>5135</v>
      </c>
      <c r="G187" s="84">
        <v>60.0</v>
      </c>
      <c r="H187" s="84">
        <v>101.0</v>
      </c>
      <c r="I187" s="84">
        <v>20.0</v>
      </c>
      <c r="J187" s="84"/>
      <c r="K187" s="84"/>
      <c r="L187" s="84"/>
      <c r="M187" s="84"/>
      <c r="N187" s="84">
        <v>0.0</v>
      </c>
      <c r="O187" s="84">
        <v>0.0</v>
      </c>
      <c r="P187" s="84">
        <v>0.0</v>
      </c>
      <c r="Q187" s="84"/>
      <c r="R187" s="84"/>
      <c r="S187" s="84"/>
      <c r="T187" s="84"/>
      <c r="U187" s="84">
        <v>17.0</v>
      </c>
      <c r="V187" s="84"/>
      <c r="W187" s="84"/>
      <c r="X187" s="84">
        <v>0.0</v>
      </c>
      <c r="Y187" s="84"/>
      <c r="Z187" s="84"/>
      <c r="AA187" s="84"/>
      <c r="AB187" s="84"/>
      <c r="AC187" s="84"/>
      <c r="AD187" s="84"/>
      <c r="AE187" s="84"/>
      <c r="AF187" s="84"/>
      <c r="AG187" s="84"/>
      <c r="AH187" s="84">
        <v>1.0</v>
      </c>
      <c r="AI187" s="84">
        <v>0.0</v>
      </c>
      <c r="AJ187" s="84">
        <v>0.0</v>
      </c>
      <c r="AK187" s="84">
        <v>1.0</v>
      </c>
      <c r="AL187" s="84">
        <v>0.0</v>
      </c>
      <c r="AM187" s="84">
        <v>0.0</v>
      </c>
      <c r="AN187" s="84">
        <v>1.0</v>
      </c>
      <c r="AO187" s="84">
        <v>0.0</v>
      </c>
      <c r="AP187" s="84">
        <v>0.0</v>
      </c>
      <c r="AQ187" s="84">
        <v>0.0</v>
      </c>
      <c r="AR187" s="84">
        <v>0.0</v>
      </c>
      <c r="AS187" s="84">
        <v>0.0</v>
      </c>
      <c r="AT187" s="84">
        <v>0.0</v>
      </c>
      <c r="AU187" s="84">
        <v>0.0</v>
      </c>
      <c r="AV187" s="84">
        <v>0.0</v>
      </c>
      <c r="AW187" s="84">
        <v>0.0</v>
      </c>
      <c r="AX187" s="84">
        <v>0.0</v>
      </c>
      <c r="AY187" s="84">
        <v>1.0</v>
      </c>
      <c r="AZ187" s="84">
        <v>0.0</v>
      </c>
      <c r="BH187" s="84">
        <v>203.0</v>
      </c>
      <c r="BI187" s="84" t="s">
        <v>5444</v>
      </c>
    </row>
    <row r="188" ht="12.75" customHeight="1">
      <c r="A188" s="84">
        <v>186.0</v>
      </c>
      <c r="B188" s="84" t="s">
        <v>2658</v>
      </c>
      <c r="C188" s="84">
        <v>1.0</v>
      </c>
      <c r="D188" s="84" t="s">
        <v>5072</v>
      </c>
      <c r="E188" s="84">
        <v>1.0</v>
      </c>
      <c r="F188" s="84" t="s">
        <v>5131</v>
      </c>
      <c r="G188" s="84">
        <v>0.0</v>
      </c>
      <c r="H188" s="84">
        <v>75.0</v>
      </c>
      <c r="I188" s="84">
        <v>10.0</v>
      </c>
      <c r="M188" s="84" t="s">
        <v>5255</v>
      </c>
      <c r="N188" s="84">
        <v>6.0</v>
      </c>
      <c r="O188" s="84">
        <v>0.0</v>
      </c>
      <c r="P188" s="84">
        <v>2.0</v>
      </c>
      <c r="Q188" s="84">
        <v>2.0</v>
      </c>
      <c r="R188" s="84">
        <v>5.0</v>
      </c>
      <c r="U188" s="84">
        <v>49.0</v>
      </c>
      <c r="X188" s="84">
        <v>0.0</v>
      </c>
      <c r="AH188" s="84">
        <v>0.0</v>
      </c>
      <c r="AI188" s="84">
        <v>0.0</v>
      </c>
      <c r="AJ188" s="84">
        <v>0.0</v>
      </c>
      <c r="AK188" s="84">
        <v>1.0</v>
      </c>
      <c r="AL188" s="84">
        <v>1.0</v>
      </c>
      <c r="AM188" s="84">
        <v>0.0</v>
      </c>
      <c r="AN188" s="84">
        <v>1.0</v>
      </c>
      <c r="AO188" s="84">
        <v>0.0</v>
      </c>
      <c r="AP188" s="84">
        <v>0.0</v>
      </c>
      <c r="AQ188" s="84">
        <v>0.0</v>
      </c>
      <c r="AR188" s="84">
        <v>0.0</v>
      </c>
      <c r="AS188" s="84">
        <v>0.0</v>
      </c>
      <c r="AT188" s="84">
        <v>0.0</v>
      </c>
      <c r="AU188" s="84">
        <v>0.0</v>
      </c>
      <c r="AV188" s="84">
        <v>0.0</v>
      </c>
      <c r="AW188" s="84">
        <v>0.0</v>
      </c>
      <c r="AX188" s="84">
        <v>0.0</v>
      </c>
      <c r="AY188" s="84">
        <v>1.0</v>
      </c>
      <c r="AZ188" s="84">
        <v>12.0</v>
      </c>
      <c r="BH188" s="84">
        <v>204.0</v>
      </c>
      <c r="BI188" s="84" t="s">
        <v>5445</v>
      </c>
    </row>
    <row r="189" ht="12.75" customHeight="1">
      <c r="A189" s="84">
        <v>187.0</v>
      </c>
      <c r="B189" s="84" t="s">
        <v>3844</v>
      </c>
      <c r="C189" s="84">
        <v>1.0</v>
      </c>
      <c r="D189" s="84" t="s">
        <v>4916</v>
      </c>
      <c r="E189" s="84">
        <v>13.0</v>
      </c>
      <c r="F189" s="84" t="s">
        <v>5131</v>
      </c>
      <c r="G189" s="84">
        <v>0.0</v>
      </c>
      <c r="H189" s="84">
        <v>101.0</v>
      </c>
      <c r="I189" s="84">
        <v>10.0</v>
      </c>
      <c r="N189" s="84">
        <v>0.0</v>
      </c>
      <c r="O189" s="84">
        <v>0.0</v>
      </c>
      <c r="P189" s="84">
        <v>0.0</v>
      </c>
      <c r="U189" s="84">
        <v>142.0</v>
      </c>
      <c r="X189" s="84">
        <v>7.0</v>
      </c>
      <c r="AH189" s="84">
        <v>0.0</v>
      </c>
      <c r="AI189" s="84">
        <v>0.0</v>
      </c>
      <c r="AJ189" s="84">
        <v>0.0</v>
      </c>
      <c r="AK189" s="84">
        <v>0.0</v>
      </c>
      <c r="AL189" s="84">
        <v>0.0</v>
      </c>
      <c r="AM189" s="84">
        <v>1.0</v>
      </c>
      <c r="AN189" s="84">
        <v>0.0</v>
      </c>
      <c r="AO189" s="84">
        <v>0.0</v>
      </c>
      <c r="AP189" s="84">
        <v>0.0</v>
      </c>
      <c r="AQ189" s="84">
        <v>0.0</v>
      </c>
      <c r="AR189" s="84">
        <v>0.0</v>
      </c>
      <c r="AS189" s="84">
        <v>0.0</v>
      </c>
      <c r="AT189" s="84">
        <v>0.0</v>
      </c>
      <c r="AU189" s="84">
        <v>0.0</v>
      </c>
      <c r="AV189" s="84">
        <v>0.0</v>
      </c>
      <c r="AW189" s="84">
        <v>0.0</v>
      </c>
      <c r="AX189" s="84">
        <v>0.0</v>
      </c>
      <c r="AY189" s="84">
        <v>1.0</v>
      </c>
      <c r="AZ189" s="84">
        <v>11.0</v>
      </c>
      <c r="BH189" s="84">
        <v>205.0</v>
      </c>
      <c r="BI189" s="84" t="s">
        <v>5446</v>
      </c>
    </row>
    <row r="190" ht="12.75" customHeight="1">
      <c r="A190" s="84">
        <v>188.0</v>
      </c>
      <c r="B190" s="84" t="s">
        <v>3052</v>
      </c>
      <c r="C190" s="84">
        <v>1.0</v>
      </c>
      <c r="D190" s="84" t="s">
        <v>4905</v>
      </c>
      <c r="E190" s="84">
        <v>4.0</v>
      </c>
      <c r="F190" s="84" t="s">
        <v>5172</v>
      </c>
      <c r="G190" s="84">
        <v>90.0</v>
      </c>
      <c r="H190" s="84">
        <v>100.0</v>
      </c>
      <c r="I190" s="84">
        <v>10.0</v>
      </c>
      <c r="M190" s="84" t="s">
        <v>5235</v>
      </c>
      <c r="N190" s="84">
        <v>5.0</v>
      </c>
      <c r="O190" s="84">
        <v>30.0</v>
      </c>
      <c r="P190" s="84">
        <v>1.0</v>
      </c>
      <c r="U190" s="84">
        <v>2.0</v>
      </c>
      <c r="X190" s="84">
        <v>0.0</v>
      </c>
      <c r="AH190" s="84">
        <v>0.0</v>
      </c>
      <c r="AI190" s="84">
        <v>0.0</v>
      </c>
      <c r="AJ190" s="84">
        <v>0.0</v>
      </c>
      <c r="AK190" s="84">
        <v>1.0</v>
      </c>
      <c r="AL190" s="84">
        <v>0.0</v>
      </c>
      <c r="AM190" s="84">
        <v>0.0</v>
      </c>
      <c r="AN190" s="84">
        <v>1.0</v>
      </c>
      <c r="AO190" s="84">
        <v>0.0</v>
      </c>
      <c r="AP190" s="84">
        <v>0.0</v>
      </c>
      <c r="AQ190" s="84">
        <v>0.0</v>
      </c>
      <c r="AR190" s="84">
        <v>0.0</v>
      </c>
      <c r="AS190" s="84">
        <v>0.0</v>
      </c>
      <c r="AT190" s="84">
        <v>0.0</v>
      </c>
      <c r="AU190" s="84">
        <v>0.0</v>
      </c>
      <c r="AV190" s="84">
        <v>0.0</v>
      </c>
      <c r="AW190" s="84">
        <v>0.0</v>
      </c>
      <c r="AX190" s="84">
        <v>0.0</v>
      </c>
      <c r="AY190" s="84">
        <v>1.0</v>
      </c>
      <c r="AZ190" s="84">
        <v>41.0</v>
      </c>
      <c r="BH190" s="84">
        <v>206.0</v>
      </c>
      <c r="BI190" s="84" t="s">
        <v>5447</v>
      </c>
    </row>
    <row r="191" ht="12.75" customHeight="1">
      <c r="A191" s="84">
        <v>189.0</v>
      </c>
      <c r="B191" s="84" t="s">
        <v>2782</v>
      </c>
      <c r="C191" s="84">
        <v>1.0</v>
      </c>
      <c r="D191" s="84" t="s">
        <v>4922</v>
      </c>
      <c r="E191" s="84">
        <v>6.0</v>
      </c>
      <c r="F191" s="84" t="s">
        <v>5172</v>
      </c>
      <c r="G191" s="84">
        <v>20.0</v>
      </c>
      <c r="H191" s="84">
        <v>100.0</v>
      </c>
      <c r="I191" s="84">
        <v>10.0</v>
      </c>
      <c r="N191" s="84">
        <v>0.0</v>
      </c>
      <c r="O191" s="84">
        <v>0.0</v>
      </c>
      <c r="P191" s="84">
        <v>0.0</v>
      </c>
      <c r="U191" s="84">
        <v>73.0</v>
      </c>
      <c r="X191" s="84">
        <v>0.0</v>
      </c>
      <c r="Y191" s="84" t="s">
        <v>5092</v>
      </c>
      <c r="Z191" s="84">
        <v>-1.0</v>
      </c>
      <c r="AA191" s="84">
        <v>100.0</v>
      </c>
      <c r="AH191" s="84">
        <v>0.0</v>
      </c>
      <c r="AI191" s="84">
        <v>0.0</v>
      </c>
      <c r="AJ191" s="84">
        <v>0.0</v>
      </c>
      <c r="AK191" s="84">
        <v>1.0</v>
      </c>
      <c r="AL191" s="84">
        <v>0.0</v>
      </c>
      <c r="AM191" s="84">
        <v>0.0</v>
      </c>
      <c r="AN191" s="84">
        <v>1.0</v>
      </c>
      <c r="AO191" s="84">
        <v>0.0</v>
      </c>
      <c r="AP191" s="84">
        <v>0.0</v>
      </c>
      <c r="AQ191" s="84">
        <v>0.0</v>
      </c>
      <c r="AR191" s="84">
        <v>0.0</v>
      </c>
      <c r="AS191" s="84">
        <v>0.0</v>
      </c>
      <c r="AT191" s="84">
        <v>0.0</v>
      </c>
      <c r="AU191" s="84">
        <v>0.0</v>
      </c>
      <c r="AV191" s="84">
        <v>0.0</v>
      </c>
      <c r="AW191" s="84">
        <v>0.0</v>
      </c>
      <c r="AX191" s="84">
        <v>0.0</v>
      </c>
      <c r="AY191" s="84">
        <v>1.0</v>
      </c>
      <c r="AZ191" s="84">
        <v>34.0</v>
      </c>
      <c r="BH191" s="84">
        <v>207.0</v>
      </c>
      <c r="BI191" s="84" t="s">
        <v>5448</v>
      </c>
    </row>
    <row r="192" ht="12.75" customHeight="1">
      <c r="A192" s="84">
        <v>190.0</v>
      </c>
      <c r="B192" s="84" t="s">
        <v>3561</v>
      </c>
      <c r="C192" s="84">
        <v>1.0</v>
      </c>
      <c r="D192" s="84" t="s">
        <v>4908</v>
      </c>
      <c r="E192" s="84">
        <v>6.0</v>
      </c>
      <c r="F192" s="84" t="s">
        <v>5172</v>
      </c>
      <c r="G192" s="84">
        <v>65.0</v>
      </c>
      <c r="H192" s="84">
        <v>85.0</v>
      </c>
      <c r="I192" s="84">
        <v>10.0</v>
      </c>
      <c r="N192" s="84">
        <v>0.0</v>
      </c>
      <c r="O192" s="84">
        <v>0.0</v>
      </c>
      <c r="P192" s="84">
        <v>0.0</v>
      </c>
      <c r="U192" s="84">
        <v>73.0</v>
      </c>
      <c r="X192" s="84">
        <v>0.0</v>
      </c>
      <c r="Y192" s="84" t="s">
        <v>5092</v>
      </c>
      <c r="Z192" s="84">
        <v>-1.0</v>
      </c>
      <c r="AA192" s="84">
        <v>50.0</v>
      </c>
      <c r="AH192" s="84">
        <v>0.0</v>
      </c>
      <c r="AI192" s="84">
        <v>0.0</v>
      </c>
      <c r="AJ192" s="84">
        <v>0.0</v>
      </c>
      <c r="AK192" s="84">
        <v>1.0</v>
      </c>
      <c r="AL192" s="84">
        <v>0.0</v>
      </c>
      <c r="AM192" s="84">
        <v>0.0</v>
      </c>
      <c r="AN192" s="84">
        <v>1.0</v>
      </c>
      <c r="AO192" s="84">
        <v>0.0</v>
      </c>
      <c r="AP192" s="84">
        <v>0.0</v>
      </c>
      <c r="AQ192" s="84">
        <v>0.0</v>
      </c>
      <c r="AR192" s="84">
        <v>0.0</v>
      </c>
      <c r="AS192" s="84">
        <v>0.0</v>
      </c>
      <c r="AT192" s="84">
        <v>0.0</v>
      </c>
      <c r="AU192" s="84">
        <v>0.0</v>
      </c>
      <c r="AV192" s="84">
        <v>0.0</v>
      </c>
      <c r="AW192" s="84">
        <v>0.0</v>
      </c>
      <c r="AX192" s="84">
        <v>0.0</v>
      </c>
      <c r="AY192" s="84">
        <v>1.0</v>
      </c>
      <c r="AZ192" s="84">
        <v>40.0</v>
      </c>
      <c r="BH192" s="84">
        <v>208.0</v>
      </c>
      <c r="BI192" s="84" t="s">
        <v>5449</v>
      </c>
    </row>
    <row r="193" ht="12.75" customHeight="1">
      <c r="A193" s="84">
        <v>191.0</v>
      </c>
      <c r="B193" s="84" t="s">
        <v>3387</v>
      </c>
      <c r="C193" s="84">
        <v>1.0</v>
      </c>
      <c r="D193" s="84" t="s">
        <v>4922</v>
      </c>
      <c r="E193" s="84">
        <v>11.0</v>
      </c>
      <c r="F193" s="84" t="s">
        <v>5131</v>
      </c>
      <c r="G193" s="84">
        <v>0.0</v>
      </c>
      <c r="H193" s="84">
        <v>101.0</v>
      </c>
      <c r="I193" s="84">
        <v>20.0</v>
      </c>
      <c r="N193" s="84">
        <v>0.0</v>
      </c>
      <c r="O193" s="84">
        <v>0.0</v>
      </c>
      <c r="P193" s="84">
        <v>0.0</v>
      </c>
      <c r="U193" s="84">
        <v>112.0</v>
      </c>
      <c r="X193" s="84">
        <v>11.0</v>
      </c>
      <c r="AH193" s="84">
        <v>0.0</v>
      </c>
      <c r="AI193" s="84">
        <v>0.0</v>
      </c>
      <c r="AJ193" s="84">
        <v>0.0</v>
      </c>
      <c r="AK193" s="84">
        <v>0.0</v>
      </c>
      <c r="AL193" s="84">
        <v>1.0</v>
      </c>
      <c r="AM193" s="84">
        <v>0.0</v>
      </c>
      <c r="AN193" s="84">
        <v>0.0</v>
      </c>
      <c r="AO193" s="84">
        <v>0.0</v>
      </c>
      <c r="AP193" s="84">
        <v>0.0</v>
      </c>
      <c r="AQ193" s="84">
        <v>0.0</v>
      </c>
      <c r="AR193" s="84">
        <v>0.0</v>
      </c>
      <c r="AS193" s="84">
        <v>0.0</v>
      </c>
      <c r="AT193" s="84">
        <v>0.0</v>
      </c>
      <c r="AU193" s="84">
        <v>0.0</v>
      </c>
      <c r="AV193" s="84">
        <v>1.0</v>
      </c>
      <c r="AW193" s="84">
        <v>0.0</v>
      </c>
      <c r="AX193" s="84">
        <v>0.0</v>
      </c>
      <c r="AY193" s="84">
        <v>1.0</v>
      </c>
      <c r="AZ193" s="84">
        <v>14.0</v>
      </c>
      <c r="BH193" s="84">
        <v>209.0</v>
      </c>
      <c r="BI193" s="84" t="s">
        <v>5450</v>
      </c>
    </row>
    <row r="194" ht="12.75" customHeight="1">
      <c r="A194" s="84">
        <v>192.0</v>
      </c>
      <c r="B194" s="84" t="s">
        <v>5451</v>
      </c>
      <c r="C194" s="84">
        <v>1.0</v>
      </c>
      <c r="D194" s="84" t="s">
        <v>4921</v>
      </c>
      <c r="E194" s="84">
        <v>4.0</v>
      </c>
      <c r="F194" s="84" t="s">
        <v>5172</v>
      </c>
      <c r="G194" s="84">
        <v>120.0</v>
      </c>
      <c r="H194" s="84">
        <v>50.0</v>
      </c>
      <c r="I194" s="84">
        <v>5.0</v>
      </c>
      <c r="M194" s="84" t="s">
        <v>5452</v>
      </c>
      <c r="N194" s="84">
        <v>1.0</v>
      </c>
      <c r="O194" s="84">
        <v>100.0</v>
      </c>
      <c r="P194" s="84">
        <v>1.0</v>
      </c>
      <c r="U194" s="84">
        <v>6.0</v>
      </c>
      <c r="X194" s="84">
        <v>0.0</v>
      </c>
      <c r="AH194" s="84">
        <v>0.0</v>
      </c>
      <c r="AI194" s="84">
        <v>0.0</v>
      </c>
      <c r="AJ194" s="84">
        <v>0.0</v>
      </c>
      <c r="AK194" s="84">
        <v>1.0</v>
      </c>
      <c r="AL194" s="84">
        <v>0.0</v>
      </c>
      <c r="AM194" s="84">
        <v>0.0</v>
      </c>
      <c r="AN194" s="84">
        <v>1.0</v>
      </c>
      <c r="AO194" s="84">
        <v>0.0</v>
      </c>
      <c r="AP194" s="84">
        <v>0.0</v>
      </c>
      <c r="AQ194" s="84">
        <v>0.0</v>
      </c>
      <c r="AR194" s="84">
        <v>0.0</v>
      </c>
      <c r="AS194" s="84">
        <v>0.0</v>
      </c>
      <c r="AT194" s="84">
        <v>0.0</v>
      </c>
      <c r="AU194" s="84">
        <v>0.0</v>
      </c>
      <c r="AV194" s="84">
        <v>0.0</v>
      </c>
      <c r="AW194" s="84">
        <v>0.0</v>
      </c>
      <c r="AX194" s="84">
        <v>0.0</v>
      </c>
      <c r="AY194" s="84">
        <v>1.0</v>
      </c>
      <c r="AZ194" s="84">
        <v>47.0</v>
      </c>
      <c r="BH194" s="84">
        <v>210.0</v>
      </c>
      <c r="BI194" s="84" t="s">
        <v>5453</v>
      </c>
    </row>
    <row r="195" ht="12.75" customHeight="1">
      <c r="A195" s="84">
        <v>193.0</v>
      </c>
      <c r="B195" s="84" t="s">
        <v>5454</v>
      </c>
      <c r="C195" s="84">
        <v>0.0</v>
      </c>
      <c r="D195" s="84" t="s">
        <v>4916</v>
      </c>
      <c r="E195" s="84">
        <v>1.0</v>
      </c>
      <c r="F195" s="84" t="s">
        <v>5131</v>
      </c>
      <c r="G195" s="84">
        <v>0.0</v>
      </c>
      <c r="H195" s="84">
        <v>101.0</v>
      </c>
      <c r="I195" s="84">
        <v>40.0</v>
      </c>
      <c r="J195" s="84"/>
      <c r="K195" s="84"/>
      <c r="L195" s="84"/>
      <c r="M195" s="84" t="s">
        <v>5455</v>
      </c>
      <c r="N195" s="84">
        <v>17.0</v>
      </c>
      <c r="O195" s="84">
        <v>0.0</v>
      </c>
      <c r="P195" s="84">
        <v>1.0</v>
      </c>
      <c r="Q195" s="84"/>
      <c r="R195" s="84"/>
      <c r="S195" s="84"/>
      <c r="T195" s="84"/>
      <c r="U195" s="84">
        <v>113.0</v>
      </c>
      <c r="V195" s="84"/>
      <c r="W195" s="84"/>
      <c r="X195" s="84">
        <v>0.0</v>
      </c>
      <c r="Y195" s="84"/>
      <c r="Z195" s="84"/>
      <c r="AA195" s="84"/>
      <c r="AB195" s="84"/>
      <c r="AC195" s="84"/>
      <c r="AD195" s="84"/>
      <c r="AE195" s="84"/>
      <c r="AF195" s="84"/>
      <c r="AG195" s="84"/>
      <c r="AH195" s="84">
        <v>0.0</v>
      </c>
      <c r="AI195" s="84">
        <v>0.0</v>
      </c>
      <c r="AJ195" s="84">
        <v>0.0</v>
      </c>
      <c r="AK195" s="84">
        <v>1.0</v>
      </c>
      <c r="AL195" s="84">
        <v>1.0</v>
      </c>
      <c r="AM195" s="84">
        <v>0.0</v>
      </c>
      <c r="AN195" s="84">
        <v>1.0</v>
      </c>
      <c r="AO195" s="84">
        <v>0.0</v>
      </c>
      <c r="AP195" s="84">
        <v>0.0</v>
      </c>
      <c r="AQ195" s="84">
        <v>0.0</v>
      </c>
      <c r="AR195" s="84">
        <v>0.0</v>
      </c>
      <c r="AS195" s="84">
        <v>0.0</v>
      </c>
      <c r="AT195" s="84">
        <v>0.0</v>
      </c>
      <c r="AU195" s="84">
        <v>1.0</v>
      </c>
      <c r="AV195" s="84">
        <v>0.0</v>
      </c>
      <c r="AW195" s="84">
        <v>0.0</v>
      </c>
      <c r="AX195" s="84">
        <v>0.0</v>
      </c>
      <c r="AY195" s="84">
        <v>1.0</v>
      </c>
      <c r="AZ195" s="84">
        <v>0.0</v>
      </c>
      <c r="BH195" s="84">
        <v>211.0</v>
      </c>
      <c r="BI195" s="84" t="s">
        <v>5456</v>
      </c>
    </row>
    <row r="196" ht="12.75" customHeight="1">
      <c r="A196" s="84">
        <v>194.0</v>
      </c>
      <c r="B196" s="84" t="s">
        <v>4033</v>
      </c>
      <c r="C196" s="84">
        <v>1.0</v>
      </c>
      <c r="D196" s="84" t="s">
        <v>4945</v>
      </c>
      <c r="E196" s="84">
        <v>13.0</v>
      </c>
      <c r="F196" s="84" t="s">
        <v>5131</v>
      </c>
      <c r="G196" s="84">
        <v>0.0</v>
      </c>
      <c r="H196" s="84">
        <v>101.0</v>
      </c>
      <c r="I196" s="84">
        <v>5.0</v>
      </c>
      <c r="N196" s="84">
        <v>0.0</v>
      </c>
      <c r="O196" s="84">
        <v>0.0</v>
      </c>
      <c r="P196" s="84">
        <v>0.0</v>
      </c>
      <c r="U196" s="84">
        <v>98.0</v>
      </c>
      <c r="X196" s="84">
        <v>7.0</v>
      </c>
      <c r="AH196" s="84">
        <v>0.0</v>
      </c>
      <c r="AI196" s="84">
        <v>0.0</v>
      </c>
      <c r="AJ196" s="84">
        <v>0.0</v>
      </c>
      <c r="AK196" s="84">
        <v>0.0</v>
      </c>
      <c r="AL196" s="84">
        <v>0.0</v>
      </c>
      <c r="AM196" s="84">
        <v>0.0</v>
      </c>
      <c r="AN196" s="84">
        <v>0.0</v>
      </c>
      <c r="AO196" s="84">
        <v>0.0</v>
      </c>
      <c r="AP196" s="84">
        <v>0.0</v>
      </c>
      <c r="AQ196" s="84">
        <v>0.0</v>
      </c>
      <c r="AR196" s="84">
        <v>0.0</v>
      </c>
      <c r="AS196" s="84">
        <v>0.0</v>
      </c>
      <c r="AT196" s="84">
        <v>0.0</v>
      </c>
      <c r="AU196" s="84">
        <v>1.0</v>
      </c>
      <c r="AV196" s="84">
        <v>0.0</v>
      </c>
      <c r="AW196" s="84">
        <v>0.0</v>
      </c>
      <c r="AX196" s="84">
        <v>0.0</v>
      </c>
      <c r="AY196" s="84">
        <v>0.0</v>
      </c>
      <c r="AZ196" s="84">
        <v>2.0</v>
      </c>
      <c r="BH196" s="84">
        <v>212.0</v>
      </c>
      <c r="BI196" s="84" t="s">
        <v>5457</v>
      </c>
    </row>
    <row r="197" ht="12.75" customHeight="1">
      <c r="A197" s="84">
        <v>195.0</v>
      </c>
      <c r="B197" s="84" t="s">
        <v>3640</v>
      </c>
      <c r="C197" s="84">
        <v>1.0</v>
      </c>
      <c r="D197" s="84" t="s">
        <v>4916</v>
      </c>
      <c r="E197" s="84">
        <v>1.0</v>
      </c>
      <c r="F197" s="84" t="s">
        <v>5131</v>
      </c>
      <c r="G197" s="84">
        <v>0.0</v>
      </c>
      <c r="H197" s="84">
        <v>101.0</v>
      </c>
      <c r="I197" s="84">
        <v>5.0</v>
      </c>
      <c r="M197" s="84" t="s">
        <v>5458</v>
      </c>
      <c r="N197" s="84">
        <v>20.0</v>
      </c>
      <c r="O197" s="84">
        <v>0.0</v>
      </c>
      <c r="P197" s="84">
        <v>2.0</v>
      </c>
      <c r="Q197" s="84">
        <v>4.0</v>
      </c>
      <c r="R197" s="84">
        <v>4.0</v>
      </c>
      <c r="U197" s="84">
        <v>114.0</v>
      </c>
      <c r="X197" s="84">
        <v>8.0</v>
      </c>
      <c r="AH197" s="84">
        <v>0.0</v>
      </c>
      <c r="AI197" s="84">
        <v>0.0</v>
      </c>
      <c r="AJ197" s="84">
        <v>0.0</v>
      </c>
      <c r="AK197" s="84">
        <v>0.0</v>
      </c>
      <c r="AL197" s="84">
        <v>0.0</v>
      </c>
      <c r="AM197" s="84">
        <v>0.0</v>
      </c>
      <c r="AN197" s="84">
        <v>0.0</v>
      </c>
      <c r="AO197" s="84">
        <v>0.0</v>
      </c>
      <c r="AP197" s="84">
        <v>1.0</v>
      </c>
      <c r="AQ197" s="84">
        <v>0.0</v>
      </c>
      <c r="AR197" s="84">
        <v>0.0</v>
      </c>
      <c r="AS197" s="84">
        <v>1.0</v>
      </c>
      <c r="AT197" s="84">
        <v>0.0</v>
      </c>
      <c r="AU197" s="84">
        <v>1.0</v>
      </c>
      <c r="AV197" s="84">
        <v>0.0</v>
      </c>
      <c r="AW197" s="84">
        <v>0.0</v>
      </c>
      <c r="AX197" s="84">
        <v>0.0</v>
      </c>
      <c r="AY197" s="84">
        <v>1.0</v>
      </c>
      <c r="AZ197" s="84">
        <v>19.0</v>
      </c>
      <c r="BH197" s="84">
        <v>213.0</v>
      </c>
      <c r="BI197" s="84" t="s">
        <v>5459</v>
      </c>
    </row>
    <row r="198" ht="12.75" customHeight="1">
      <c r="A198" s="84">
        <v>196.0</v>
      </c>
      <c r="B198" s="84" t="s">
        <v>2785</v>
      </c>
      <c r="C198" s="84">
        <v>1.0</v>
      </c>
      <c r="D198" s="84" t="s">
        <v>4942</v>
      </c>
      <c r="E198" s="84">
        <v>6.0</v>
      </c>
      <c r="F198" s="84" t="s">
        <v>5172</v>
      </c>
      <c r="G198" s="84">
        <v>55.0</v>
      </c>
      <c r="H198" s="84">
        <v>95.0</v>
      </c>
      <c r="I198" s="84">
        <v>15.0</v>
      </c>
      <c r="N198" s="84">
        <v>0.0</v>
      </c>
      <c r="O198" s="84">
        <v>0.0</v>
      </c>
      <c r="P198" s="84">
        <v>0.0</v>
      </c>
      <c r="U198" s="84">
        <v>70.0</v>
      </c>
      <c r="X198" s="84">
        <v>5.0</v>
      </c>
      <c r="Y198" s="84" t="s">
        <v>5073</v>
      </c>
      <c r="Z198" s="84">
        <v>-1.0</v>
      </c>
      <c r="AA198" s="84">
        <v>100.0</v>
      </c>
      <c r="AH198" s="84">
        <v>0.0</v>
      </c>
      <c r="AI198" s="84">
        <v>0.0</v>
      </c>
      <c r="AJ198" s="84">
        <v>0.0</v>
      </c>
      <c r="AK198" s="84">
        <v>1.0</v>
      </c>
      <c r="AL198" s="84">
        <v>0.0</v>
      </c>
      <c r="AM198" s="84">
        <v>0.0</v>
      </c>
      <c r="AN198" s="84">
        <v>1.0</v>
      </c>
      <c r="AO198" s="84">
        <v>0.0</v>
      </c>
      <c r="AP198" s="84">
        <v>0.0</v>
      </c>
      <c r="AQ198" s="84">
        <v>0.0</v>
      </c>
      <c r="AR198" s="84">
        <v>0.0</v>
      </c>
      <c r="AS198" s="84">
        <v>0.0</v>
      </c>
      <c r="AT198" s="84">
        <v>0.0</v>
      </c>
      <c r="AU198" s="84">
        <v>0.0</v>
      </c>
      <c r="AV198" s="84">
        <v>0.0</v>
      </c>
      <c r="AW198" s="84">
        <v>0.0</v>
      </c>
      <c r="AX198" s="84">
        <v>0.0</v>
      </c>
      <c r="AY198" s="84">
        <v>1.0</v>
      </c>
      <c r="AZ198" s="84">
        <v>40.0</v>
      </c>
      <c r="BH198" s="84">
        <v>214.0</v>
      </c>
      <c r="BI198" s="84" t="s">
        <v>5460</v>
      </c>
    </row>
    <row r="199" ht="12.75" customHeight="1">
      <c r="A199" s="84">
        <v>197.0</v>
      </c>
      <c r="B199" s="84" t="s">
        <v>2521</v>
      </c>
      <c r="C199" s="84">
        <v>1.0</v>
      </c>
      <c r="D199" s="84" t="s">
        <v>4935</v>
      </c>
      <c r="E199" s="84">
        <v>13.0</v>
      </c>
      <c r="F199" s="84" t="s">
        <v>5131</v>
      </c>
      <c r="G199" s="84">
        <v>0.0</v>
      </c>
      <c r="H199" s="84">
        <v>101.0</v>
      </c>
      <c r="I199" s="84">
        <v>5.0</v>
      </c>
      <c r="J199" s="84">
        <v>4.0</v>
      </c>
      <c r="N199" s="84">
        <v>0.0</v>
      </c>
      <c r="O199" s="84">
        <v>0.0</v>
      </c>
      <c r="P199" s="84">
        <v>0.0</v>
      </c>
      <c r="U199" s="84">
        <v>111.0</v>
      </c>
      <c r="X199" s="84">
        <v>7.0</v>
      </c>
      <c r="AH199" s="84">
        <v>0.0</v>
      </c>
      <c r="AI199" s="84">
        <v>0.0</v>
      </c>
      <c r="AJ199" s="84">
        <v>0.0</v>
      </c>
      <c r="AK199" s="84">
        <v>0.0</v>
      </c>
      <c r="AL199" s="84">
        <v>0.0</v>
      </c>
      <c r="AM199" s="84">
        <v>0.0</v>
      </c>
      <c r="AN199" s="84">
        <v>0.0</v>
      </c>
      <c r="AO199" s="84">
        <v>0.0</v>
      </c>
      <c r="AP199" s="84">
        <v>0.0</v>
      </c>
      <c r="AQ199" s="84">
        <v>0.0</v>
      </c>
      <c r="AR199" s="84">
        <v>0.0</v>
      </c>
      <c r="AS199" s="84">
        <v>0.0</v>
      </c>
      <c r="AT199" s="84">
        <v>0.0</v>
      </c>
      <c r="AU199" s="84">
        <v>0.0</v>
      </c>
      <c r="AV199" s="84">
        <v>0.0</v>
      </c>
      <c r="AW199" s="84">
        <v>0.0</v>
      </c>
      <c r="AX199" s="84">
        <v>0.0</v>
      </c>
      <c r="AY199" s="84">
        <v>0.0</v>
      </c>
      <c r="AZ199" s="84">
        <v>17.0</v>
      </c>
      <c r="BH199" s="84">
        <v>215.0</v>
      </c>
      <c r="BI199" s="84" t="s">
        <v>5461</v>
      </c>
    </row>
    <row r="200" ht="12.75" customHeight="1">
      <c r="A200" s="84">
        <v>198.0</v>
      </c>
      <c r="B200" s="84" t="s">
        <v>5462</v>
      </c>
      <c r="C200" s="84">
        <v>1.0</v>
      </c>
      <c r="D200" s="84" t="s">
        <v>4922</v>
      </c>
      <c r="E200" s="84">
        <v>0.0</v>
      </c>
      <c r="F200" s="84" t="s">
        <v>5135</v>
      </c>
      <c r="G200" s="84">
        <v>25.0</v>
      </c>
      <c r="H200" s="84">
        <v>90.0</v>
      </c>
      <c r="I200" s="84">
        <v>10.0</v>
      </c>
      <c r="K200" s="84">
        <v>2.0</v>
      </c>
      <c r="L200" s="84">
        <v>5.0</v>
      </c>
      <c r="N200" s="84">
        <v>0.0</v>
      </c>
      <c r="O200" s="84">
        <v>0.0</v>
      </c>
      <c r="P200" s="84">
        <v>0.0</v>
      </c>
      <c r="U200" s="84">
        <v>29.0</v>
      </c>
      <c r="X200" s="84">
        <v>0.0</v>
      </c>
      <c r="AH200" s="84">
        <v>0.0</v>
      </c>
      <c r="AI200" s="84">
        <v>0.0</v>
      </c>
      <c r="AJ200" s="84">
        <v>0.0</v>
      </c>
      <c r="AK200" s="84">
        <v>1.0</v>
      </c>
      <c r="AL200" s="84">
        <v>0.0</v>
      </c>
      <c r="AM200" s="84">
        <v>0.0</v>
      </c>
      <c r="AN200" s="84">
        <v>1.0</v>
      </c>
      <c r="AO200" s="84">
        <v>0.0</v>
      </c>
      <c r="AP200" s="84">
        <v>0.0</v>
      </c>
      <c r="AQ200" s="84">
        <v>0.0</v>
      </c>
      <c r="AR200" s="84">
        <v>0.0</v>
      </c>
      <c r="AS200" s="84">
        <v>0.0</v>
      </c>
      <c r="AT200" s="84">
        <v>0.0</v>
      </c>
      <c r="AU200" s="84">
        <v>0.0</v>
      </c>
      <c r="AV200" s="84">
        <v>0.0</v>
      </c>
      <c r="AW200" s="84">
        <v>0.0</v>
      </c>
      <c r="AX200" s="84">
        <v>0.0</v>
      </c>
      <c r="AY200" s="84">
        <v>1.0</v>
      </c>
      <c r="AZ200" s="84">
        <v>28.0</v>
      </c>
      <c r="BH200" s="84">
        <v>216.0</v>
      </c>
      <c r="BI200" s="84" t="s">
        <v>5463</v>
      </c>
    </row>
    <row r="201" ht="12.75" customHeight="1">
      <c r="A201" s="84">
        <v>199.0</v>
      </c>
      <c r="B201" s="84" t="s">
        <v>3883</v>
      </c>
      <c r="C201" s="84">
        <v>1.0</v>
      </c>
      <c r="D201" s="84" t="s">
        <v>4916</v>
      </c>
      <c r="E201" s="84">
        <v>13.0</v>
      </c>
      <c r="F201" s="84" t="s">
        <v>5131</v>
      </c>
      <c r="G201" s="84">
        <v>0.0</v>
      </c>
      <c r="H201" s="84">
        <v>101.0</v>
      </c>
      <c r="I201" s="84">
        <v>5.0</v>
      </c>
      <c r="N201" s="84">
        <v>0.0</v>
      </c>
      <c r="O201" s="84">
        <v>0.0</v>
      </c>
      <c r="P201" s="84">
        <v>0.0</v>
      </c>
      <c r="U201" s="84">
        <v>94.0</v>
      </c>
      <c r="X201" s="84">
        <v>0.0</v>
      </c>
      <c r="AH201" s="84">
        <v>0.0</v>
      </c>
      <c r="AI201" s="84">
        <v>0.0</v>
      </c>
      <c r="AJ201" s="84">
        <v>0.0</v>
      </c>
      <c r="AK201" s="84">
        <v>1.0</v>
      </c>
      <c r="AL201" s="84">
        <v>0.0</v>
      </c>
      <c r="AM201" s="84">
        <v>0.0</v>
      </c>
      <c r="AN201" s="84">
        <v>1.0</v>
      </c>
      <c r="AO201" s="84">
        <v>0.0</v>
      </c>
      <c r="AP201" s="84">
        <v>0.0</v>
      </c>
      <c r="AQ201" s="84">
        <v>0.0</v>
      </c>
      <c r="AR201" s="84">
        <v>0.0</v>
      </c>
      <c r="AS201" s="84">
        <v>0.0</v>
      </c>
      <c r="AT201" s="84">
        <v>0.0</v>
      </c>
      <c r="AU201" s="84">
        <v>0.0</v>
      </c>
      <c r="AV201" s="84">
        <v>0.0</v>
      </c>
      <c r="AW201" s="84">
        <v>0.0</v>
      </c>
      <c r="AX201" s="84">
        <v>0.0</v>
      </c>
      <c r="AY201" s="84">
        <v>1.0</v>
      </c>
      <c r="AZ201" s="84">
        <v>10.0</v>
      </c>
      <c r="BH201" s="84">
        <v>217.0</v>
      </c>
      <c r="BI201" s="84" t="s">
        <v>5464</v>
      </c>
    </row>
    <row r="202" ht="12.75" customHeight="1">
      <c r="A202" s="84">
        <v>200.0</v>
      </c>
      <c r="B202" s="84" t="s">
        <v>2762</v>
      </c>
      <c r="C202" s="84">
        <v>1.0</v>
      </c>
      <c r="D202" s="84" t="s">
        <v>4956</v>
      </c>
      <c r="E202" s="84">
        <v>0.0</v>
      </c>
      <c r="F202" s="84" t="s">
        <v>5135</v>
      </c>
      <c r="G202" s="84">
        <v>120.0</v>
      </c>
      <c r="H202" s="84">
        <v>100.0</v>
      </c>
      <c r="I202" s="84">
        <v>10.0</v>
      </c>
      <c r="N202" s="84">
        <v>0.0</v>
      </c>
      <c r="O202" s="84">
        <v>0.0</v>
      </c>
      <c r="P202" s="84">
        <v>0.0</v>
      </c>
      <c r="U202" s="84">
        <v>27.0</v>
      </c>
      <c r="X202" s="84">
        <v>9.0</v>
      </c>
      <c r="AH202" s="84">
        <v>1.0</v>
      </c>
      <c r="AI202" s="84">
        <v>0.0</v>
      </c>
      <c r="AJ202" s="84">
        <v>0.0</v>
      </c>
      <c r="AK202" s="84">
        <v>1.0</v>
      </c>
      <c r="AL202" s="84">
        <v>0.0</v>
      </c>
      <c r="AM202" s="84">
        <v>0.0</v>
      </c>
      <c r="AN202" s="84">
        <v>1.0</v>
      </c>
      <c r="AO202" s="84">
        <v>0.0</v>
      </c>
      <c r="AP202" s="84">
        <v>0.0</v>
      </c>
      <c r="AQ202" s="84">
        <v>0.0</v>
      </c>
      <c r="AR202" s="84">
        <v>0.0</v>
      </c>
      <c r="AS202" s="84">
        <v>0.0</v>
      </c>
      <c r="AT202" s="84">
        <v>0.0</v>
      </c>
      <c r="AU202" s="84">
        <v>0.0</v>
      </c>
      <c r="AV202" s="84">
        <v>0.0</v>
      </c>
      <c r="AW202" s="84">
        <v>0.0</v>
      </c>
      <c r="AX202" s="84">
        <v>0.0</v>
      </c>
      <c r="AY202" s="84">
        <v>1.0</v>
      </c>
      <c r="AZ202" s="84">
        <v>27.0</v>
      </c>
      <c r="BH202" s="84">
        <v>218.0</v>
      </c>
      <c r="BI202" s="84" t="s">
        <v>5465</v>
      </c>
    </row>
    <row r="203" ht="12.75" customHeight="1">
      <c r="A203" s="84">
        <v>201.0</v>
      </c>
      <c r="B203" s="84" t="s">
        <v>2752</v>
      </c>
      <c r="C203" s="84">
        <v>1.0</v>
      </c>
      <c r="D203" s="84" t="s">
        <v>4940</v>
      </c>
      <c r="E203" s="84">
        <v>10.0</v>
      </c>
      <c r="F203" s="84" t="s">
        <v>5131</v>
      </c>
      <c r="G203" s="84">
        <v>0.0</v>
      </c>
      <c r="H203" s="84">
        <v>101.0</v>
      </c>
      <c r="I203" s="84">
        <v>10.0</v>
      </c>
      <c r="N203" s="84">
        <v>0.0</v>
      </c>
      <c r="O203" s="84">
        <v>0.0</v>
      </c>
      <c r="P203" s="84">
        <v>0.0</v>
      </c>
      <c r="U203" s="84">
        <v>115.0</v>
      </c>
      <c r="X203" s="84">
        <v>10.0</v>
      </c>
      <c r="AH203" s="84">
        <v>0.0</v>
      </c>
      <c r="AI203" s="84">
        <v>0.0</v>
      </c>
      <c r="AJ203" s="84">
        <v>0.0</v>
      </c>
      <c r="AK203" s="84">
        <v>0.0</v>
      </c>
      <c r="AL203" s="84">
        <v>0.0</v>
      </c>
      <c r="AM203" s="84">
        <v>0.0</v>
      </c>
      <c r="AN203" s="84">
        <v>0.0</v>
      </c>
      <c r="AO203" s="84">
        <v>0.0</v>
      </c>
      <c r="AP203" s="84">
        <v>0.0</v>
      </c>
      <c r="AQ203" s="84">
        <v>0.0</v>
      </c>
      <c r="AR203" s="84">
        <v>0.0</v>
      </c>
      <c r="AS203" s="84">
        <v>0.0</v>
      </c>
      <c r="AT203" s="84">
        <v>0.0</v>
      </c>
      <c r="AU203" s="84">
        <v>0.0</v>
      </c>
      <c r="AV203" s="84">
        <v>0.0</v>
      </c>
      <c r="AW203" s="84">
        <v>0.0</v>
      </c>
      <c r="AX203" s="84">
        <v>0.0</v>
      </c>
      <c r="AY203" s="84">
        <v>1.0</v>
      </c>
      <c r="AZ203" s="84">
        <v>23.0</v>
      </c>
      <c r="BH203" s="84">
        <v>219.0</v>
      </c>
      <c r="BI203" s="84" t="s">
        <v>5466</v>
      </c>
    </row>
    <row r="204" ht="12.75" customHeight="1">
      <c r="A204" s="84">
        <v>202.0</v>
      </c>
      <c r="B204" s="84" t="s">
        <v>2704</v>
      </c>
      <c r="C204" s="84">
        <v>1.0</v>
      </c>
      <c r="D204" s="84" t="s">
        <v>4904</v>
      </c>
      <c r="E204" s="84">
        <v>8.0</v>
      </c>
      <c r="F204" s="84" t="s">
        <v>5172</v>
      </c>
      <c r="G204" s="84">
        <v>75.0</v>
      </c>
      <c r="H204" s="84">
        <v>100.0</v>
      </c>
      <c r="I204" s="84">
        <v>10.0</v>
      </c>
      <c r="N204" s="84">
        <v>0.0</v>
      </c>
      <c r="O204" s="84">
        <v>0.0</v>
      </c>
      <c r="P204" s="84">
        <v>0.0</v>
      </c>
      <c r="U204" s="84">
        <v>3.0</v>
      </c>
      <c r="V204" s="84">
        <v>50.0</v>
      </c>
      <c r="X204" s="84">
        <v>0.0</v>
      </c>
      <c r="AH204" s="84">
        <v>0.0</v>
      </c>
      <c r="AI204" s="84">
        <v>0.0</v>
      </c>
      <c r="AJ204" s="84">
        <v>0.0</v>
      </c>
      <c r="AK204" s="84">
        <v>1.0</v>
      </c>
      <c r="AL204" s="84">
        <v>0.0</v>
      </c>
      <c r="AM204" s="84">
        <v>0.0</v>
      </c>
      <c r="AN204" s="84">
        <v>1.0</v>
      </c>
      <c r="AO204" s="84">
        <v>0.0</v>
      </c>
      <c r="AP204" s="84">
        <v>0.0</v>
      </c>
      <c r="AQ204" s="84">
        <v>0.0</v>
      </c>
      <c r="AR204" s="84">
        <v>0.0</v>
      </c>
      <c r="AS204" s="84">
        <v>0.0</v>
      </c>
      <c r="AT204" s="84">
        <v>1.0</v>
      </c>
      <c r="AU204" s="84">
        <v>0.0</v>
      </c>
      <c r="AV204" s="84">
        <v>0.0</v>
      </c>
      <c r="AW204" s="84">
        <v>0.0</v>
      </c>
      <c r="AX204" s="84">
        <v>0.0</v>
      </c>
      <c r="AY204" s="84">
        <v>1.0</v>
      </c>
      <c r="AZ204" s="84">
        <v>41.0</v>
      </c>
      <c r="BH204" s="84">
        <v>220.0</v>
      </c>
      <c r="BI204" s="84" t="s">
        <v>5467</v>
      </c>
    </row>
    <row r="205" ht="12.75" customHeight="1">
      <c r="A205" s="84">
        <v>203.0</v>
      </c>
      <c r="B205" s="84" t="s">
        <v>2525</v>
      </c>
      <c r="C205" s="84">
        <v>1.0</v>
      </c>
      <c r="D205" s="84" t="s">
        <v>4916</v>
      </c>
      <c r="E205" s="84">
        <v>13.0</v>
      </c>
      <c r="F205" s="84" t="s">
        <v>5131</v>
      </c>
      <c r="G205" s="84">
        <v>0.0</v>
      </c>
      <c r="H205" s="84">
        <v>101.0</v>
      </c>
      <c r="I205" s="84">
        <v>10.0</v>
      </c>
      <c r="J205" s="84">
        <v>4.0</v>
      </c>
      <c r="N205" s="84">
        <v>0.0</v>
      </c>
      <c r="O205" s="84">
        <v>0.0</v>
      </c>
      <c r="P205" s="84">
        <v>0.0</v>
      </c>
      <c r="U205" s="84">
        <v>116.0</v>
      </c>
      <c r="X205" s="84">
        <v>7.0</v>
      </c>
      <c r="AH205" s="84">
        <v>0.0</v>
      </c>
      <c r="AI205" s="84">
        <v>0.0</v>
      </c>
      <c r="AJ205" s="84">
        <v>0.0</v>
      </c>
      <c r="AK205" s="84">
        <v>0.0</v>
      </c>
      <c r="AL205" s="84">
        <v>0.0</v>
      </c>
      <c r="AM205" s="84">
        <v>0.0</v>
      </c>
      <c r="AN205" s="84">
        <v>0.0</v>
      </c>
      <c r="AO205" s="84">
        <v>0.0</v>
      </c>
      <c r="AP205" s="84">
        <v>0.0</v>
      </c>
      <c r="AQ205" s="84">
        <v>0.0</v>
      </c>
      <c r="AR205" s="84">
        <v>0.0</v>
      </c>
      <c r="AS205" s="84">
        <v>0.0</v>
      </c>
      <c r="AT205" s="84">
        <v>0.0</v>
      </c>
      <c r="AU205" s="84">
        <v>0.0</v>
      </c>
      <c r="AV205" s="84">
        <v>0.0</v>
      </c>
      <c r="AW205" s="84">
        <v>0.0</v>
      </c>
      <c r="AX205" s="84">
        <v>0.0</v>
      </c>
      <c r="AY205" s="84">
        <v>0.0</v>
      </c>
      <c r="AZ205" s="84">
        <v>18.0</v>
      </c>
      <c r="BH205" s="84">
        <v>221.0</v>
      </c>
      <c r="BI205" s="84" t="s">
        <v>5468</v>
      </c>
    </row>
    <row r="206" ht="12.75" customHeight="1">
      <c r="A206" s="84">
        <v>204.0</v>
      </c>
      <c r="B206" s="84" t="s">
        <v>2767</v>
      </c>
      <c r="C206" s="84">
        <v>1.0</v>
      </c>
      <c r="D206" s="84" t="s">
        <v>5072</v>
      </c>
      <c r="E206" s="84">
        <v>2.0</v>
      </c>
      <c r="F206" s="84" t="s">
        <v>5131</v>
      </c>
      <c r="G206" s="84">
        <v>0.0</v>
      </c>
      <c r="H206" s="84">
        <v>100.0</v>
      </c>
      <c r="I206" s="84">
        <v>20.0</v>
      </c>
      <c r="N206" s="84">
        <v>0.0</v>
      </c>
      <c r="O206" s="84">
        <v>0.0</v>
      </c>
      <c r="P206" s="84">
        <v>0.0</v>
      </c>
      <c r="U206" s="84">
        <v>58.0</v>
      </c>
      <c r="X206" s="84">
        <v>0.0</v>
      </c>
      <c r="Y206" s="84" t="s">
        <v>20</v>
      </c>
      <c r="Z206" s="84">
        <v>-2.0</v>
      </c>
      <c r="AH206" s="84">
        <v>0.0</v>
      </c>
      <c r="AI206" s="84">
        <v>0.0</v>
      </c>
      <c r="AJ206" s="84">
        <v>0.0</v>
      </c>
      <c r="AK206" s="84">
        <v>1.0</v>
      </c>
      <c r="AL206" s="84">
        <v>1.0</v>
      </c>
      <c r="AM206" s="84">
        <v>0.0</v>
      </c>
      <c r="AN206" s="84">
        <v>1.0</v>
      </c>
      <c r="AO206" s="84">
        <v>0.0</v>
      </c>
      <c r="AP206" s="84">
        <v>0.0</v>
      </c>
      <c r="AQ206" s="84">
        <v>0.0</v>
      </c>
      <c r="AR206" s="84">
        <v>0.0</v>
      </c>
      <c r="AS206" s="84">
        <v>0.0</v>
      </c>
      <c r="AT206" s="84">
        <v>0.0</v>
      </c>
      <c r="AU206" s="84">
        <v>0.0</v>
      </c>
      <c r="AV206" s="84">
        <v>0.0</v>
      </c>
      <c r="AW206" s="84">
        <v>1.0</v>
      </c>
      <c r="AX206" s="84">
        <v>0.0</v>
      </c>
      <c r="AY206" s="84">
        <v>1.0</v>
      </c>
      <c r="AZ206" s="84">
        <v>5.0</v>
      </c>
      <c r="BH206" s="84">
        <v>222.0</v>
      </c>
      <c r="BI206" s="84" t="s">
        <v>5469</v>
      </c>
    </row>
    <row r="207" ht="12.75" customHeight="1">
      <c r="A207" s="84">
        <v>205.0</v>
      </c>
      <c r="B207" s="84" t="s">
        <v>2867</v>
      </c>
      <c r="C207" s="84">
        <v>1.0</v>
      </c>
      <c r="D207" s="84" t="s">
        <v>4940</v>
      </c>
      <c r="E207" s="84">
        <v>0.0</v>
      </c>
      <c r="F207" s="84" t="s">
        <v>5135</v>
      </c>
      <c r="G207" s="84">
        <v>30.0</v>
      </c>
      <c r="H207" s="84">
        <v>90.0</v>
      </c>
      <c r="I207" s="84">
        <v>20.0</v>
      </c>
      <c r="N207" s="84">
        <v>0.0</v>
      </c>
      <c r="O207" s="84">
        <v>0.0</v>
      </c>
      <c r="P207" s="84">
        <v>0.0</v>
      </c>
      <c r="U207" s="84">
        <v>117.0</v>
      </c>
      <c r="X207" s="84">
        <v>0.0</v>
      </c>
      <c r="AH207" s="84">
        <v>1.0</v>
      </c>
      <c r="AI207" s="84">
        <v>0.0</v>
      </c>
      <c r="AJ207" s="84">
        <v>0.0</v>
      </c>
      <c r="AK207" s="84">
        <v>1.0</v>
      </c>
      <c r="AL207" s="84">
        <v>0.0</v>
      </c>
      <c r="AM207" s="84">
        <v>0.0</v>
      </c>
      <c r="AN207" s="84">
        <v>1.0</v>
      </c>
      <c r="AO207" s="84">
        <v>0.0</v>
      </c>
      <c r="AP207" s="84">
        <v>0.0</v>
      </c>
      <c r="AQ207" s="84">
        <v>0.0</v>
      </c>
      <c r="AR207" s="84">
        <v>0.0</v>
      </c>
      <c r="AS207" s="84">
        <v>0.0</v>
      </c>
      <c r="AT207" s="84">
        <v>0.0</v>
      </c>
      <c r="AU207" s="84">
        <v>0.0</v>
      </c>
      <c r="AV207" s="84">
        <v>0.0</v>
      </c>
      <c r="AW207" s="84">
        <v>0.0</v>
      </c>
      <c r="AX207" s="84">
        <v>0.0</v>
      </c>
      <c r="AY207" s="84">
        <v>1.0</v>
      </c>
      <c r="AZ207" s="84">
        <v>28.0</v>
      </c>
      <c r="BH207" s="84">
        <v>223.0</v>
      </c>
      <c r="BI207" s="84" t="s">
        <v>5470</v>
      </c>
    </row>
    <row r="208" ht="12.75" customHeight="1">
      <c r="A208" s="84">
        <v>206.0</v>
      </c>
      <c r="B208" s="84" t="s">
        <v>5471</v>
      </c>
      <c r="C208" s="84">
        <v>1.0</v>
      </c>
      <c r="D208" s="84" t="s">
        <v>4916</v>
      </c>
      <c r="E208" s="84">
        <v>0.0</v>
      </c>
      <c r="F208" s="84" t="s">
        <v>5135</v>
      </c>
      <c r="G208" s="84">
        <v>40.0</v>
      </c>
      <c r="H208" s="84">
        <v>100.0</v>
      </c>
      <c r="I208" s="84">
        <v>40.0</v>
      </c>
      <c r="N208" s="84">
        <v>0.0</v>
      </c>
      <c r="O208" s="84">
        <v>0.0</v>
      </c>
      <c r="P208" s="84">
        <v>0.0</v>
      </c>
      <c r="U208" s="84">
        <v>101.0</v>
      </c>
      <c r="X208" s="84">
        <v>0.0</v>
      </c>
      <c r="AH208" s="84">
        <v>1.0</v>
      </c>
      <c r="AI208" s="84">
        <v>0.0</v>
      </c>
      <c r="AJ208" s="84">
        <v>0.0</v>
      </c>
      <c r="AK208" s="84">
        <v>1.0</v>
      </c>
      <c r="AL208" s="84">
        <v>0.0</v>
      </c>
      <c r="AM208" s="84">
        <v>0.0</v>
      </c>
      <c r="AN208" s="84">
        <v>1.0</v>
      </c>
      <c r="AO208" s="84">
        <v>0.0</v>
      </c>
      <c r="AP208" s="84">
        <v>0.0</v>
      </c>
      <c r="AQ208" s="84">
        <v>0.0</v>
      </c>
      <c r="AR208" s="84">
        <v>0.0</v>
      </c>
      <c r="AS208" s="84">
        <v>0.0</v>
      </c>
      <c r="AT208" s="84">
        <v>0.0</v>
      </c>
      <c r="AU208" s="84">
        <v>0.0</v>
      </c>
      <c r="AV208" s="84">
        <v>0.0</v>
      </c>
      <c r="AW208" s="84">
        <v>0.0</v>
      </c>
      <c r="AX208" s="84">
        <v>0.0</v>
      </c>
      <c r="AY208" s="84">
        <v>1.0</v>
      </c>
      <c r="AZ208" s="84">
        <v>32.0</v>
      </c>
      <c r="BH208" s="84">
        <v>224.0</v>
      </c>
      <c r="BI208" s="84" t="s">
        <v>5472</v>
      </c>
    </row>
    <row r="209" ht="12.75" customHeight="1">
      <c r="A209" s="84">
        <v>207.0</v>
      </c>
      <c r="B209" s="84" t="s">
        <v>2534</v>
      </c>
      <c r="C209" s="84">
        <v>1.0</v>
      </c>
      <c r="D209" s="84" t="s">
        <v>4916</v>
      </c>
      <c r="E209" s="84">
        <v>5.0</v>
      </c>
      <c r="F209" s="84" t="s">
        <v>5131</v>
      </c>
      <c r="G209" s="84">
        <v>0.0</v>
      </c>
      <c r="H209" s="84">
        <v>85.0</v>
      </c>
      <c r="I209" s="84">
        <v>15.0</v>
      </c>
      <c r="M209" s="84" t="s">
        <v>5255</v>
      </c>
      <c r="N209" s="84">
        <v>6.0</v>
      </c>
      <c r="O209" s="84">
        <v>0.0</v>
      </c>
      <c r="P209" s="84">
        <v>2.0</v>
      </c>
      <c r="Q209" s="84">
        <v>2.0</v>
      </c>
      <c r="R209" s="84">
        <v>5.0</v>
      </c>
      <c r="U209" s="84">
        <v>118.0</v>
      </c>
      <c r="X209" s="84">
        <v>0.0</v>
      </c>
      <c r="Y209" s="84" t="s">
        <v>20</v>
      </c>
      <c r="Z209" s="84">
        <v>2.0</v>
      </c>
      <c r="AH209" s="84">
        <v>0.0</v>
      </c>
      <c r="AI209" s="84">
        <v>0.0</v>
      </c>
      <c r="AJ209" s="84">
        <v>0.0</v>
      </c>
      <c r="AK209" s="84">
        <v>1.0</v>
      </c>
      <c r="AL209" s="84">
        <v>1.0</v>
      </c>
      <c r="AM209" s="84">
        <v>0.0</v>
      </c>
      <c r="AN209" s="84">
        <v>1.0</v>
      </c>
      <c r="AO209" s="84">
        <v>0.0</v>
      </c>
      <c r="AP209" s="84">
        <v>0.0</v>
      </c>
      <c r="AQ209" s="84">
        <v>0.0</v>
      </c>
      <c r="AR209" s="84">
        <v>0.0</v>
      </c>
      <c r="AS209" s="84">
        <v>0.0</v>
      </c>
      <c r="AT209" s="84">
        <v>0.0</v>
      </c>
      <c r="AU209" s="84">
        <v>0.0</v>
      </c>
      <c r="AV209" s="84">
        <v>0.0</v>
      </c>
      <c r="AW209" s="84">
        <v>1.0</v>
      </c>
      <c r="AX209" s="84">
        <v>0.0</v>
      </c>
      <c r="AY209" s="84">
        <v>1.0</v>
      </c>
      <c r="AZ209" s="84">
        <v>14.0</v>
      </c>
      <c r="BH209" s="84">
        <v>225.0</v>
      </c>
      <c r="BI209" s="84" t="s">
        <v>5473</v>
      </c>
    </row>
    <row r="210" ht="12.75" customHeight="1">
      <c r="A210" s="84">
        <v>208.0</v>
      </c>
      <c r="B210" s="84" t="s">
        <v>3736</v>
      </c>
      <c r="C210" s="84">
        <v>1.0</v>
      </c>
      <c r="D210" s="84" t="s">
        <v>4916</v>
      </c>
      <c r="E210" s="84">
        <v>3.0</v>
      </c>
      <c r="F210" s="84" t="s">
        <v>5131</v>
      </c>
      <c r="G210" s="84">
        <v>0.0</v>
      </c>
      <c r="H210" s="84">
        <v>101.0</v>
      </c>
      <c r="I210" s="84">
        <v>10.0</v>
      </c>
      <c r="N210" s="84">
        <v>0.0</v>
      </c>
      <c r="O210" s="84">
        <v>0.0</v>
      </c>
      <c r="P210" s="84">
        <v>0.0</v>
      </c>
      <c r="U210" s="84">
        <v>32.0</v>
      </c>
      <c r="W210" s="84">
        <v>50.0</v>
      </c>
      <c r="X210" s="84">
        <v>7.0</v>
      </c>
      <c r="AH210" s="84">
        <v>0.0</v>
      </c>
      <c r="AI210" s="84">
        <v>0.0</v>
      </c>
      <c r="AJ210" s="84">
        <v>0.0</v>
      </c>
      <c r="AK210" s="84">
        <v>0.0</v>
      </c>
      <c r="AL210" s="84">
        <v>0.0</v>
      </c>
      <c r="AM210" s="84">
        <v>1.0</v>
      </c>
      <c r="AN210" s="84">
        <v>0.0</v>
      </c>
      <c r="AO210" s="84">
        <v>0.0</v>
      </c>
      <c r="AP210" s="84">
        <v>0.0</v>
      </c>
      <c r="AQ210" s="84">
        <v>0.0</v>
      </c>
      <c r="AR210" s="84">
        <v>0.0</v>
      </c>
      <c r="AS210" s="84">
        <v>0.0</v>
      </c>
      <c r="AT210" s="84">
        <v>1.0</v>
      </c>
      <c r="AU210" s="84">
        <v>0.0</v>
      </c>
      <c r="AV210" s="84">
        <v>0.0</v>
      </c>
      <c r="AW210" s="84">
        <v>0.0</v>
      </c>
      <c r="AX210" s="84">
        <v>0.0</v>
      </c>
      <c r="AY210" s="84">
        <v>1.0</v>
      </c>
      <c r="AZ210" s="84">
        <v>17.0</v>
      </c>
      <c r="BH210" s="84">
        <v>226.0</v>
      </c>
      <c r="BI210" s="84" t="s">
        <v>5474</v>
      </c>
    </row>
    <row r="211" ht="12.75" customHeight="1">
      <c r="A211" s="84">
        <v>209.0</v>
      </c>
      <c r="B211" s="84" t="s">
        <v>2693</v>
      </c>
      <c r="C211" s="84">
        <v>1.0</v>
      </c>
      <c r="D211" s="84" t="s">
        <v>4921</v>
      </c>
      <c r="E211" s="84">
        <v>4.0</v>
      </c>
      <c r="F211" s="84" t="s">
        <v>5135</v>
      </c>
      <c r="G211" s="84">
        <v>65.0</v>
      </c>
      <c r="H211" s="84">
        <v>100.0</v>
      </c>
      <c r="I211" s="84">
        <v>20.0</v>
      </c>
      <c r="M211" s="84" t="s">
        <v>5222</v>
      </c>
      <c r="N211" s="84">
        <v>1.0</v>
      </c>
      <c r="O211" s="84">
        <v>30.0</v>
      </c>
      <c r="P211" s="84">
        <v>1.0</v>
      </c>
      <c r="U211" s="84">
        <v>6.0</v>
      </c>
      <c r="X211" s="84">
        <v>0.0</v>
      </c>
      <c r="AH211" s="84">
        <v>1.0</v>
      </c>
      <c r="AI211" s="84">
        <v>0.0</v>
      </c>
      <c r="AJ211" s="84">
        <v>0.0</v>
      </c>
      <c r="AK211" s="84">
        <v>1.0</v>
      </c>
      <c r="AL211" s="84">
        <v>0.0</v>
      </c>
      <c r="AM211" s="84">
        <v>0.0</v>
      </c>
      <c r="AN211" s="84">
        <v>1.0</v>
      </c>
      <c r="AO211" s="84">
        <v>0.0</v>
      </c>
      <c r="AP211" s="84">
        <v>0.0</v>
      </c>
      <c r="AQ211" s="84">
        <v>0.0</v>
      </c>
      <c r="AR211" s="84">
        <v>0.0</v>
      </c>
      <c r="AS211" s="84">
        <v>0.0</v>
      </c>
      <c r="AT211" s="84">
        <v>0.0</v>
      </c>
      <c r="AU211" s="84">
        <v>0.0</v>
      </c>
      <c r="AV211" s="84">
        <v>0.0</v>
      </c>
      <c r="AW211" s="84">
        <v>0.0</v>
      </c>
      <c r="AX211" s="84">
        <v>0.0</v>
      </c>
      <c r="AY211" s="84">
        <v>1.0</v>
      </c>
      <c r="AZ211" s="84">
        <v>38.0</v>
      </c>
      <c r="BH211" s="84">
        <v>227.0</v>
      </c>
      <c r="BI211" s="84" t="s">
        <v>5475</v>
      </c>
    </row>
    <row r="212" ht="12.75" customHeight="1">
      <c r="A212" s="84">
        <v>210.0</v>
      </c>
      <c r="B212" s="84" t="s">
        <v>3126</v>
      </c>
      <c r="C212" s="84">
        <v>1.0</v>
      </c>
      <c r="D212" s="84" t="s">
        <v>4910</v>
      </c>
      <c r="E212" s="84">
        <v>0.0</v>
      </c>
      <c r="F212" s="84" t="s">
        <v>5135</v>
      </c>
      <c r="G212" s="84">
        <v>40.0</v>
      </c>
      <c r="H212" s="84">
        <v>95.0</v>
      </c>
      <c r="I212" s="84">
        <v>20.0</v>
      </c>
      <c r="N212" s="84">
        <v>0.0</v>
      </c>
      <c r="O212" s="84">
        <v>0.0</v>
      </c>
      <c r="P212" s="84">
        <v>0.0</v>
      </c>
      <c r="U212" s="84">
        <v>119.0</v>
      </c>
      <c r="X212" s="84">
        <v>0.0</v>
      </c>
      <c r="AH212" s="84">
        <v>1.0</v>
      </c>
      <c r="AI212" s="84">
        <v>0.0</v>
      </c>
      <c r="AJ212" s="84">
        <v>0.0</v>
      </c>
      <c r="AK212" s="84">
        <v>1.0</v>
      </c>
      <c r="AL212" s="84">
        <v>0.0</v>
      </c>
      <c r="AM212" s="84">
        <v>0.0</v>
      </c>
      <c r="AN212" s="84">
        <v>1.0</v>
      </c>
      <c r="AO212" s="84">
        <v>0.0</v>
      </c>
      <c r="AP212" s="84">
        <v>0.0</v>
      </c>
      <c r="AQ212" s="84">
        <v>0.0</v>
      </c>
      <c r="AR212" s="84">
        <v>0.0</v>
      </c>
      <c r="AS212" s="84">
        <v>0.0</v>
      </c>
      <c r="AT212" s="84">
        <v>0.0</v>
      </c>
      <c r="AU212" s="84">
        <v>0.0</v>
      </c>
      <c r="AV212" s="84">
        <v>0.0</v>
      </c>
      <c r="AW212" s="84">
        <v>0.0</v>
      </c>
      <c r="AX212" s="84">
        <v>0.0</v>
      </c>
      <c r="AY212" s="84">
        <v>1.0</v>
      </c>
      <c r="AZ212" s="84">
        <v>31.0</v>
      </c>
      <c r="BH212" s="84">
        <v>228.0</v>
      </c>
      <c r="BI212" s="84" t="s">
        <v>5476</v>
      </c>
    </row>
    <row r="213" ht="12.75" customHeight="1">
      <c r="A213" s="84">
        <v>211.0</v>
      </c>
      <c r="B213" s="84" t="s">
        <v>3475</v>
      </c>
      <c r="C213" s="84">
        <v>1.0</v>
      </c>
      <c r="D213" s="84" t="s">
        <v>4975</v>
      </c>
      <c r="E213" s="84">
        <v>7.0</v>
      </c>
      <c r="F213" s="84" t="s">
        <v>5135</v>
      </c>
      <c r="G213" s="84">
        <v>70.0</v>
      </c>
      <c r="H213" s="84">
        <v>90.0</v>
      </c>
      <c r="I213" s="84">
        <v>25.0</v>
      </c>
      <c r="N213" s="84">
        <v>0.0</v>
      </c>
      <c r="O213" s="84">
        <v>0.0</v>
      </c>
      <c r="P213" s="84">
        <v>0.0</v>
      </c>
      <c r="U213" s="84">
        <v>138.0</v>
      </c>
      <c r="X213" s="84">
        <v>0.0</v>
      </c>
      <c r="Y213" s="84" t="s">
        <v>21</v>
      </c>
      <c r="Z213" s="84">
        <v>1.0</v>
      </c>
      <c r="AA213" s="84">
        <v>10.0</v>
      </c>
      <c r="AH213" s="84">
        <v>1.0</v>
      </c>
      <c r="AI213" s="84">
        <v>0.0</v>
      </c>
      <c r="AJ213" s="84">
        <v>0.0</v>
      </c>
      <c r="AK213" s="84">
        <v>1.0</v>
      </c>
      <c r="AL213" s="84">
        <v>0.0</v>
      </c>
      <c r="AM213" s="84">
        <v>0.0</v>
      </c>
      <c r="AN213" s="84">
        <v>1.0</v>
      </c>
      <c r="AO213" s="84">
        <v>0.0</v>
      </c>
      <c r="AP213" s="84">
        <v>0.0</v>
      </c>
      <c r="AQ213" s="84">
        <v>0.0</v>
      </c>
      <c r="AR213" s="84">
        <v>0.0</v>
      </c>
      <c r="AS213" s="84">
        <v>0.0</v>
      </c>
      <c r="AT213" s="84">
        <v>0.0</v>
      </c>
      <c r="AU213" s="84">
        <v>0.0</v>
      </c>
      <c r="AV213" s="84">
        <v>0.0</v>
      </c>
      <c r="AW213" s="84">
        <v>0.0</v>
      </c>
      <c r="AX213" s="84">
        <v>0.0</v>
      </c>
      <c r="AY213" s="84">
        <v>1.0</v>
      </c>
      <c r="AZ213" s="84">
        <v>38.0</v>
      </c>
      <c r="BH213" s="84">
        <v>229.0</v>
      </c>
      <c r="BI213" s="84" t="s">
        <v>5477</v>
      </c>
    </row>
    <row r="214" ht="12.75" customHeight="1">
      <c r="A214" s="84">
        <v>212.0</v>
      </c>
      <c r="B214" s="84" t="s">
        <v>3639</v>
      </c>
      <c r="C214" s="84">
        <v>1.0</v>
      </c>
      <c r="D214" s="84" t="s">
        <v>4916</v>
      </c>
      <c r="E214" s="84">
        <v>13.0</v>
      </c>
      <c r="F214" s="84" t="s">
        <v>5131</v>
      </c>
      <c r="G214" s="84">
        <v>0.0</v>
      </c>
      <c r="H214" s="84">
        <v>101.0</v>
      </c>
      <c r="I214" s="84">
        <v>5.0</v>
      </c>
      <c r="N214" s="84">
        <v>0.0</v>
      </c>
      <c r="O214" s="84">
        <v>0.0</v>
      </c>
      <c r="P214" s="84">
        <v>0.0</v>
      </c>
      <c r="U214" s="84">
        <v>106.0</v>
      </c>
      <c r="X214" s="84">
        <v>0.0</v>
      </c>
      <c r="AH214" s="84">
        <v>0.0</v>
      </c>
      <c r="AI214" s="84">
        <v>0.0</v>
      </c>
      <c r="AJ214" s="84">
        <v>0.0</v>
      </c>
      <c r="AK214" s="84">
        <v>0.0</v>
      </c>
      <c r="AL214" s="84">
        <v>1.0</v>
      </c>
      <c r="AM214" s="84">
        <v>0.0</v>
      </c>
      <c r="AN214" s="84">
        <v>1.0</v>
      </c>
      <c r="AO214" s="84">
        <v>0.0</v>
      </c>
      <c r="AP214" s="84">
        <v>0.0</v>
      </c>
      <c r="AQ214" s="84">
        <v>0.0</v>
      </c>
      <c r="AR214" s="84">
        <v>0.0</v>
      </c>
      <c r="AS214" s="84">
        <v>0.0</v>
      </c>
      <c r="AT214" s="84">
        <v>0.0</v>
      </c>
      <c r="AU214" s="84">
        <v>0.0</v>
      </c>
      <c r="AV214" s="84">
        <v>0.0</v>
      </c>
      <c r="AW214" s="84">
        <v>0.0</v>
      </c>
      <c r="AX214" s="84">
        <v>0.0</v>
      </c>
      <c r="AY214" s="84">
        <v>1.0</v>
      </c>
      <c r="AZ214" s="84">
        <v>3.0</v>
      </c>
      <c r="BH214" s="84">
        <v>230.0</v>
      </c>
      <c r="BI214" s="84" t="s">
        <v>5478</v>
      </c>
    </row>
    <row r="215" ht="12.75" customHeight="1">
      <c r="A215" s="84">
        <v>213.0</v>
      </c>
      <c r="B215" s="84" t="s">
        <v>2848</v>
      </c>
      <c r="C215" s="84">
        <v>1.0</v>
      </c>
      <c r="D215" s="84" t="s">
        <v>4916</v>
      </c>
      <c r="E215" s="84">
        <v>1.0</v>
      </c>
      <c r="F215" s="84" t="s">
        <v>5131</v>
      </c>
      <c r="G215" s="84">
        <v>0.0</v>
      </c>
      <c r="H215" s="84">
        <v>100.0</v>
      </c>
      <c r="I215" s="84">
        <v>15.0</v>
      </c>
      <c r="M215" s="84" t="s">
        <v>2848</v>
      </c>
      <c r="N215" s="84">
        <v>7.0</v>
      </c>
      <c r="O215" s="84">
        <v>0.0</v>
      </c>
      <c r="P215" s="84">
        <v>3.0</v>
      </c>
      <c r="U215" s="84">
        <v>120.0</v>
      </c>
      <c r="X215" s="84">
        <v>0.0</v>
      </c>
      <c r="AH215" s="84">
        <v>0.0</v>
      </c>
      <c r="AI215" s="84">
        <v>0.0</v>
      </c>
      <c r="AJ215" s="84">
        <v>0.0</v>
      </c>
      <c r="AK215" s="84">
        <v>1.0</v>
      </c>
      <c r="AL215" s="84">
        <v>1.0</v>
      </c>
      <c r="AM215" s="84">
        <v>0.0</v>
      </c>
      <c r="AN215" s="84">
        <v>1.0</v>
      </c>
      <c r="AO215" s="84">
        <v>0.0</v>
      </c>
      <c r="AP215" s="84">
        <v>0.0</v>
      </c>
      <c r="AQ215" s="84">
        <v>0.0</v>
      </c>
      <c r="AR215" s="84">
        <v>0.0</v>
      </c>
      <c r="AS215" s="84">
        <v>0.0</v>
      </c>
      <c r="AT215" s="84">
        <v>0.0</v>
      </c>
      <c r="AU215" s="84">
        <v>1.0</v>
      </c>
      <c r="AV215" s="84">
        <v>0.0</v>
      </c>
      <c r="AW215" s="84">
        <v>0.0</v>
      </c>
      <c r="AX215" s="84">
        <v>0.0</v>
      </c>
      <c r="AY215" s="84">
        <v>1.0</v>
      </c>
      <c r="AZ215" s="84">
        <v>13.0</v>
      </c>
      <c r="BH215" s="84">
        <v>231.0</v>
      </c>
      <c r="BI215" s="84" t="s">
        <v>5479</v>
      </c>
    </row>
    <row r="216" ht="12.75" customHeight="1">
      <c r="A216" s="84">
        <v>214.0</v>
      </c>
      <c r="B216" s="84" t="s">
        <v>3510</v>
      </c>
      <c r="C216" s="84">
        <v>1.0</v>
      </c>
      <c r="D216" s="84" t="s">
        <v>4916</v>
      </c>
      <c r="E216" s="84">
        <v>13.0</v>
      </c>
      <c r="F216" s="84" t="s">
        <v>5131</v>
      </c>
      <c r="G216" s="84">
        <v>0.0</v>
      </c>
      <c r="H216" s="84">
        <v>101.0</v>
      </c>
      <c r="I216" s="84">
        <v>10.0</v>
      </c>
      <c r="N216" s="84">
        <v>0.0</v>
      </c>
      <c r="O216" s="84">
        <v>0.0</v>
      </c>
      <c r="P216" s="84">
        <v>0.0</v>
      </c>
      <c r="U216" s="84">
        <v>97.0</v>
      </c>
      <c r="X216" s="84">
        <v>7.0</v>
      </c>
      <c r="AH216" s="84">
        <v>0.0</v>
      </c>
      <c r="AI216" s="84">
        <v>0.0</v>
      </c>
      <c r="AJ216" s="84">
        <v>0.0</v>
      </c>
      <c r="AK216" s="84">
        <v>0.0</v>
      </c>
      <c r="AL216" s="84">
        <v>0.0</v>
      </c>
      <c r="AM216" s="84">
        <v>0.0</v>
      </c>
      <c r="AN216" s="84">
        <v>0.0</v>
      </c>
      <c r="AO216" s="84">
        <v>0.0</v>
      </c>
      <c r="AP216" s="84">
        <v>0.0</v>
      </c>
      <c r="AQ216" s="84">
        <v>0.0</v>
      </c>
      <c r="AR216" s="84">
        <v>0.0</v>
      </c>
      <c r="AS216" s="84">
        <v>0.0</v>
      </c>
      <c r="AT216" s="84">
        <v>0.0</v>
      </c>
      <c r="AU216" s="84">
        <v>0.0</v>
      </c>
      <c r="AV216" s="84">
        <v>0.0</v>
      </c>
      <c r="AW216" s="84">
        <v>0.0</v>
      </c>
      <c r="AX216" s="84">
        <v>0.0</v>
      </c>
      <c r="AY216" s="84">
        <v>0.0</v>
      </c>
      <c r="AZ216" s="84">
        <v>48.0</v>
      </c>
      <c r="BH216" s="84">
        <v>232.0</v>
      </c>
      <c r="BI216" s="84" t="s">
        <v>5253</v>
      </c>
    </row>
    <row r="217" ht="12.75" customHeight="1">
      <c r="A217" s="84">
        <v>215.0</v>
      </c>
      <c r="B217" s="84" t="s">
        <v>3382</v>
      </c>
      <c r="C217" s="84">
        <v>1.0</v>
      </c>
      <c r="D217" s="84" t="s">
        <v>4916</v>
      </c>
      <c r="E217" s="84">
        <v>13.0</v>
      </c>
      <c r="F217" s="84" t="s">
        <v>5131</v>
      </c>
      <c r="G217" s="84">
        <v>0.0</v>
      </c>
      <c r="H217" s="84">
        <v>101.0</v>
      </c>
      <c r="I217" s="84">
        <v>5.0</v>
      </c>
      <c r="N217" s="84">
        <v>0.0</v>
      </c>
      <c r="O217" s="84">
        <v>0.0</v>
      </c>
      <c r="P217" s="84">
        <v>0.0</v>
      </c>
      <c r="U217" s="84">
        <v>102.0</v>
      </c>
      <c r="X217" s="84">
        <v>6.0</v>
      </c>
      <c r="AH217" s="84">
        <v>0.0</v>
      </c>
      <c r="AI217" s="84">
        <v>0.0</v>
      </c>
      <c r="AJ217" s="84">
        <v>0.0</v>
      </c>
      <c r="AK217" s="84">
        <v>0.0</v>
      </c>
      <c r="AL217" s="84">
        <v>0.0</v>
      </c>
      <c r="AM217" s="84">
        <v>1.0</v>
      </c>
      <c r="AN217" s="84">
        <v>0.0</v>
      </c>
      <c r="AO217" s="84">
        <v>0.0</v>
      </c>
      <c r="AP217" s="84">
        <v>1.0</v>
      </c>
      <c r="AQ217" s="84">
        <v>0.0</v>
      </c>
      <c r="AR217" s="84">
        <v>0.0</v>
      </c>
      <c r="AS217" s="84">
        <v>1.0</v>
      </c>
      <c r="AT217" s="84">
        <v>0.0</v>
      </c>
      <c r="AU217" s="84">
        <v>1.0</v>
      </c>
      <c r="AV217" s="84">
        <v>0.0</v>
      </c>
      <c r="AW217" s="84">
        <v>0.0</v>
      </c>
      <c r="AX217" s="84">
        <v>0.0</v>
      </c>
      <c r="AY217" s="84">
        <v>1.0</v>
      </c>
      <c r="AZ217" s="84">
        <v>15.0</v>
      </c>
      <c r="BH217" s="84">
        <v>233.0</v>
      </c>
      <c r="BI217" s="84" t="s">
        <v>5480</v>
      </c>
    </row>
    <row r="218" ht="12.75" customHeight="1">
      <c r="A218" s="84">
        <v>216.0</v>
      </c>
      <c r="B218" s="84" t="s">
        <v>5481</v>
      </c>
      <c r="C218" s="84">
        <v>0.0</v>
      </c>
      <c r="D218" s="84" t="s">
        <v>4916</v>
      </c>
      <c r="E218" s="84">
        <v>0.0</v>
      </c>
      <c r="F218" s="84" t="s">
        <v>5135</v>
      </c>
      <c r="G218" s="84">
        <v>1.0</v>
      </c>
      <c r="H218" s="84">
        <v>100.0</v>
      </c>
      <c r="I218" s="84">
        <v>20.0</v>
      </c>
      <c r="J218" s="84"/>
      <c r="K218" s="84"/>
      <c r="L218" s="84"/>
      <c r="M218" s="84"/>
      <c r="N218" s="84">
        <v>0.0</v>
      </c>
      <c r="O218" s="84">
        <v>0.0</v>
      </c>
      <c r="P218" s="84">
        <v>0.0</v>
      </c>
      <c r="Q218" s="84"/>
      <c r="R218" s="84"/>
      <c r="S218" s="84"/>
      <c r="T218" s="84"/>
      <c r="U218" s="84">
        <v>121.0</v>
      </c>
      <c r="V218" s="84"/>
      <c r="W218" s="84"/>
      <c r="X218" s="84">
        <v>0.0</v>
      </c>
      <c r="Y218" s="84"/>
      <c r="Z218" s="84"/>
      <c r="AA218" s="84"/>
      <c r="AB218" s="84"/>
      <c r="AC218" s="84"/>
      <c r="AD218" s="84"/>
      <c r="AE218" s="84"/>
      <c r="AF218" s="84"/>
      <c r="AG218" s="84"/>
      <c r="AH218" s="84">
        <v>1.0</v>
      </c>
      <c r="AI218" s="84">
        <v>0.0</v>
      </c>
      <c r="AJ218" s="84">
        <v>0.0</v>
      </c>
      <c r="AK218" s="84">
        <v>1.0</v>
      </c>
      <c r="AL218" s="84">
        <v>0.0</v>
      </c>
      <c r="AM218" s="84">
        <v>0.0</v>
      </c>
      <c r="AN218" s="84">
        <v>1.0</v>
      </c>
      <c r="AO218" s="84">
        <v>0.0</v>
      </c>
      <c r="AP218" s="84">
        <v>0.0</v>
      </c>
      <c r="AQ218" s="84">
        <v>0.0</v>
      </c>
      <c r="AR218" s="84">
        <v>0.0</v>
      </c>
      <c r="AS218" s="84">
        <v>0.0</v>
      </c>
      <c r="AT218" s="84">
        <v>0.0</v>
      </c>
      <c r="AU218" s="84">
        <v>0.0</v>
      </c>
      <c r="AV218" s="84">
        <v>0.0</v>
      </c>
      <c r="AW218" s="84">
        <v>0.0</v>
      </c>
      <c r="AX218" s="84">
        <v>0.0</v>
      </c>
      <c r="AY218" s="84">
        <v>1.0</v>
      </c>
      <c r="AZ218" s="84">
        <v>0.0</v>
      </c>
      <c r="BH218" s="84">
        <v>234.0</v>
      </c>
      <c r="BI218" s="84" t="s">
        <v>5482</v>
      </c>
    </row>
    <row r="219" ht="12.75" customHeight="1">
      <c r="A219" s="84">
        <v>217.0</v>
      </c>
      <c r="B219" s="84" t="s">
        <v>3009</v>
      </c>
      <c r="C219" s="84">
        <v>1.0</v>
      </c>
      <c r="D219" s="84" t="s">
        <v>4916</v>
      </c>
      <c r="E219" s="84">
        <v>0.0</v>
      </c>
      <c r="F219" s="84" t="s">
        <v>5135</v>
      </c>
      <c r="G219" s="84">
        <v>1.0</v>
      </c>
      <c r="H219" s="84">
        <v>90.0</v>
      </c>
      <c r="I219" s="84">
        <v>15.0</v>
      </c>
      <c r="N219" s="84">
        <v>0.0</v>
      </c>
      <c r="O219" s="84">
        <v>0.0</v>
      </c>
      <c r="P219" s="84">
        <v>0.0</v>
      </c>
      <c r="U219" s="84">
        <v>122.0</v>
      </c>
      <c r="X219" s="84">
        <v>0.0</v>
      </c>
      <c r="AH219" s="84">
        <v>0.0</v>
      </c>
      <c r="AI219" s="84">
        <v>0.0</v>
      </c>
      <c r="AJ219" s="84">
        <v>0.0</v>
      </c>
      <c r="AK219" s="84">
        <v>1.0</v>
      </c>
      <c r="AL219" s="84">
        <v>0.0</v>
      </c>
      <c r="AM219" s="84">
        <v>0.0</v>
      </c>
      <c r="AN219" s="84">
        <v>1.0</v>
      </c>
      <c r="AO219" s="84">
        <v>0.0</v>
      </c>
      <c r="AP219" s="84">
        <v>0.0</v>
      </c>
      <c r="AQ219" s="84">
        <v>0.0</v>
      </c>
      <c r="AR219" s="84">
        <v>0.0</v>
      </c>
      <c r="AS219" s="84">
        <v>0.0</v>
      </c>
      <c r="AT219" s="84">
        <v>0.0</v>
      </c>
      <c r="AU219" s="84">
        <v>0.0</v>
      </c>
      <c r="AV219" s="84">
        <v>0.0</v>
      </c>
      <c r="AW219" s="84">
        <v>0.0</v>
      </c>
      <c r="AX219" s="84">
        <v>0.0</v>
      </c>
      <c r="AY219" s="84">
        <v>1.0</v>
      </c>
      <c r="AZ219" s="84">
        <v>48.0</v>
      </c>
      <c r="BH219" s="84">
        <v>235.0</v>
      </c>
      <c r="BI219" s="84" t="s">
        <v>5483</v>
      </c>
    </row>
    <row r="220" ht="12.75" customHeight="1">
      <c r="A220" s="84">
        <v>218.0</v>
      </c>
      <c r="B220" s="84" t="s">
        <v>5484</v>
      </c>
      <c r="C220" s="84">
        <v>0.0</v>
      </c>
      <c r="D220" s="84" t="s">
        <v>4916</v>
      </c>
      <c r="E220" s="84">
        <v>0.0</v>
      </c>
      <c r="F220" s="84" t="s">
        <v>5135</v>
      </c>
      <c r="G220" s="84">
        <v>1.0</v>
      </c>
      <c r="H220" s="84">
        <v>100.0</v>
      </c>
      <c r="I220" s="84">
        <v>20.0</v>
      </c>
      <c r="J220" s="84"/>
      <c r="K220" s="84"/>
      <c r="L220" s="84"/>
      <c r="M220" s="84"/>
      <c r="N220" s="84">
        <v>0.0</v>
      </c>
      <c r="O220" s="84">
        <v>0.0</v>
      </c>
      <c r="P220" s="84">
        <v>0.0</v>
      </c>
      <c r="Q220" s="84"/>
      <c r="R220" s="84"/>
      <c r="S220" s="84"/>
      <c r="T220" s="84"/>
      <c r="U220" s="84">
        <v>123.0</v>
      </c>
      <c r="V220" s="84"/>
      <c r="W220" s="84"/>
      <c r="X220" s="84">
        <v>0.0</v>
      </c>
      <c r="Y220" s="84"/>
      <c r="Z220" s="84"/>
      <c r="AA220" s="84"/>
      <c r="AB220" s="84"/>
      <c r="AC220" s="84"/>
      <c r="AD220" s="84"/>
      <c r="AE220" s="84"/>
      <c r="AF220" s="84"/>
      <c r="AG220" s="84"/>
      <c r="AH220" s="84">
        <v>1.0</v>
      </c>
      <c r="AI220" s="84">
        <v>0.0</v>
      </c>
      <c r="AJ220" s="84">
        <v>0.0</v>
      </c>
      <c r="AK220" s="84">
        <v>1.0</v>
      </c>
      <c r="AL220" s="84">
        <v>0.0</v>
      </c>
      <c r="AM220" s="84">
        <v>0.0</v>
      </c>
      <c r="AN220" s="84">
        <v>1.0</v>
      </c>
      <c r="AO220" s="84">
        <v>0.0</v>
      </c>
      <c r="AP220" s="84">
        <v>0.0</v>
      </c>
      <c r="AQ220" s="84">
        <v>0.0</v>
      </c>
      <c r="AR220" s="84">
        <v>0.0</v>
      </c>
      <c r="AS220" s="84">
        <v>0.0</v>
      </c>
      <c r="AT220" s="84">
        <v>0.0</v>
      </c>
      <c r="AU220" s="84">
        <v>0.0</v>
      </c>
      <c r="AV220" s="84">
        <v>0.0</v>
      </c>
      <c r="AW220" s="84">
        <v>0.0</v>
      </c>
      <c r="AX220" s="84">
        <v>0.0</v>
      </c>
      <c r="AY220" s="84">
        <v>1.0</v>
      </c>
      <c r="AZ220" s="84">
        <v>0.0</v>
      </c>
      <c r="BH220" s="84">
        <v>236.0</v>
      </c>
      <c r="BI220" s="84" t="s">
        <v>5244</v>
      </c>
    </row>
    <row r="221" ht="12.75" customHeight="1">
      <c r="A221" s="84">
        <v>219.0</v>
      </c>
      <c r="B221" s="84" t="s">
        <v>3268</v>
      </c>
      <c r="C221" s="84">
        <v>1.0</v>
      </c>
      <c r="D221" s="84" t="s">
        <v>4916</v>
      </c>
      <c r="E221" s="84">
        <v>11.0</v>
      </c>
      <c r="F221" s="84" t="s">
        <v>5131</v>
      </c>
      <c r="G221" s="84">
        <v>0.0</v>
      </c>
      <c r="H221" s="84">
        <v>101.0</v>
      </c>
      <c r="I221" s="84">
        <v>25.0</v>
      </c>
      <c r="N221" s="84">
        <v>0.0</v>
      </c>
      <c r="O221" s="84">
        <v>0.0</v>
      </c>
      <c r="P221" s="84">
        <v>0.0</v>
      </c>
      <c r="U221" s="84">
        <v>124.0</v>
      </c>
      <c r="X221" s="84">
        <v>12.0</v>
      </c>
      <c r="AH221" s="84">
        <v>0.0</v>
      </c>
      <c r="AI221" s="84">
        <v>0.0</v>
      </c>
      <c r="AJ221" s="84">
        <v>0.0</v>
      </c>
      <c r="AK221" s="84">
        <v>0.0</v>
      </c>
      <c r="AL221" s="84">
        <v>0.0</v>
      </c>
      <c r="AM221" s="84">
        <v>1.0</v>
      </c>
      <c r="AN221" s="84">
        <v>0.0</v>
      </c>
      <c r="AO221" s="84">
        <v>0.0</v>
      </c>
      <c r="AP221" s="84">
        <v>0.0</v>
      </c>
      <c r="AQ221" s="84">
        <v>0.0</v>
      </c>
      <c r="AR221" s="84">
        <v>0.0</v>
      </c>
      <c r="AS221" s="84">
        <v>0.0</v>
      </c>
      <c r="AT221" s="84">
        <v>0.0</v>
      </c>
      <c r="AU221" s="84">
        <v>0.0</v>
      </c>
      <c r="AV221" s="84">
        <v>0.0</v>
      </c>
      <c r="AW221" s="84">
        <v>0.0</v>
      </c>
      <c r="AX221" s="84">
        <v>0.0</v>
      </c>
      <c r="AY221" s="84">
        <v>1.0</v>
      </c>
      <c r="AZ221" s="84">
        <v>17.0</v>
      </c>
      <c r="BH221" s="84">
        <v>237.0</v>
      </c>
      <c r="BI221" s="84" t="s">
        <v>5485</v>
      </c>
    </row>
    <row r="222" ht="12.75" customHeight="1">
      <c r="A222" s="84">
        <v>220.0</v>
      </c>
      <c r="B222" s="84" t="s">
        <v>3407</v>
      </c>
      <c r="C222" s="84">
        <v>1.0</v>
      </c>
      <c r="D222" s="84" t="s">
        <v>4916</v>
      </c>
      <c r="E222" s="84">
        <v>13.0</v>
      </c>
      <c r="F222" s="84" t="s">
        <v>5131</v>
      </c>
      <c r="G222" s="84">
        <v>0.0</v>
      </c>
      <c r="H222" s="84">
        <v>101.0</v>
      </c>
      <c r="I222" s="84">
        <v>20.0</v>
      </c>
      <c r="N222" s="84">
        <v>0.0</v>
      </c>
      <c r="O222" s="84">
        <v>0.0</v>
      </c>
      <c r="P222" s="84">
        <v>0.0</v>
      </c>
      <c r="U222" s="84">
        <v>91.0</v>
      </c>
      <c r="X222" s="84">
        <v>0.0</v>
      </c>
      <c r="AH222" s="84">
        <v>0.0</v>
      </c>
      <c r="AI222" s="84">
        <v>0.0</v>
      </c>
      <c r="AJ222" s="84">
        <v>0.0</v>
      </c>
      <c r="AK222" s="84">
        <v>1.0</v>
      </c>
      <c r="AL222" s="84">
        <v>0.0</v>
      </c>
      <c r="AM222" s="84">
        <v>0.0</v>
      </c>
      <c r="AN222" s="84">
        <v>1.0</v>
      </c>
      <c r="AO222" s="84">
        <v>0.0</v>
      </c>
      <c r="AP222" s="84">
        <v>0.0</v>
      </c>
      <c r="AQ222" s="84">
        <v>0.0</v>
      </c>
      <c r="AR222" s="84">
        <v>0.0</v>
      </c>
      <c r="AS222" s="84">
        <v>0.0</v>
      </c>
      <c r="AT222" s="84">
        <v>0.0</v>
      </c>
      <c r="AU222" s="84">
        <v>0.0</v>
      </c>
      <c r="AV222" s="84">
        <v>0.0</v>
      </c>
      <c r="AW222" s="84">
        <v>1.0</v>
      </c>
      <c r="AX222" s="84">
        <v>0.0</v>
      </c>
      <c r="AY222" s="84">
        <v>1.0</v>
      </c>
      <c r="AZ222" s="84">
        <v>48.0</v>
      </c>
      <c r="BH222" s="84">
        <v>238.0</v>
      </c>
      <c r="BI222" s="84" t="s">
        <v>5486</v>
      </c>
    </row>
    <row r="223" ht="12.75" customHeight="1">
      <c r="A223" s="84">
        <v>221.0</v>
      </c>
      <c r="B223" s="84" t="s">
        <v>4429</v>
      </c>
      <c r="C223" s="84">
        <v>1.0</v>
      </c>
      <c r="D223" s="84" t="s">
        <v>4906</v>
      </c>
      <c r="E223" s="84">
        <v>4.0</v>
      </c>
      <c r="F223" s="84" t="s">
        <v>5135</v>
      </c>
      <c r="G223" s="84">
        <v>100.0</v>
      </c>
      <c r="H223" s="84">
        <v>95.0</v>
      </c>
      <c r="I223" s="84">
        <v>5.0</v>
      </c>
      <c r="M223" s="84" t="s">
        <v>5487</v>
      </c>
      <c r="N223" s="84">
        <v>4.0</v>
      </c>
      <c r="O223" s="84">
        <v>50.0</v>
      </c>
      <c r="P223" s="84">
        <v>1.0</v>
      </c>
      <c r="U223" s="84">
        <v>125.0</v>
      </c>
      <c r="X223" s="84">
        <v>0.0</v>
      </c>
      <c r="AH223" s="84">
        <v>0.0</v>
      </c>
      <c r="AI223" s="84">
        <v>0.0</v>
      </c>
      <c r="AJ223" s="84">
        <v>0.0</v>
      </c>
      <c r="AK223" s="84">
        <v>1.0</v>
      </c>
      <c r="AL223" s="84">
        <v>0.0</v>
      </c>
      <c r="AM223" s="84">
        <v>0.0</v>
      </c>
      <c r="AN223" s="84">
        <v>1.0</v>
      </c>
      <c r="AO223" s="84">
        <v>0.0</v>
      </c>
      <c r="AP223" s="84">
        <v>0.0</v>
      </c>
      <c r="AQ223" s="84">
        <v>0.0</v>
      </c>
      <c r="AR223" s="84">
        <v>1.0</v>
      </c>
      <c r="AS223" s="84">
        <v>0.0</v>
      </c>
      <c r="AT223" s="84">
        <v>0.0</v>
      </c>
      <c r="AU223" s="84">
        <v>0.0</v>
      </c>
      <c r="AV223" s="84">
        <v>0.0</v>
      </c>
      <c r="AW223" s="84">
        <v>0.0</v>
      </c>
      <c r="AX223" s="84">
        <v>0.0</v>
      </c>
      <c r="AY223" s="84">
        <v>1.0</v>
      </c>
      <c r="AZ223" s="84">
        <v>44.0</v>
      </c>
      <c r="BH223" s="84">
        <v>239.0</v>
      </c>
      <c r="BI223" s="84" t="s">
        <v>5246</v>
      </c>
    </row>
    <row r="224" ht="12.75" customHeight="1">
      <c r="A224" s="84">
        <v>222.0</v>
      </c>
      <c r="B224" s="84" t="s">
        <v>5488</v>
      </c>
      <c r="C224" s="84">
        <v>0.0</v>
      </c>
      <c r="D224" s="84" t="s">
        <v>4922</v>
      </c>
      <c r="E224" s="84">
        <v>0.0</v>
      </c>
      <c r="F224" s="84" t="s">
        <v>5135</v>
      </c>
      <c r="G224" s="84">
        <v>1.0</v>
      </c>
      <c r="H224" s="84">
        <v>100.0</v>
      </c>
      <c r="I224" s="84">
        <v>30.0</v>
      </c>
      <c r="J224" s="84"/>
      <c r="K224" s="84"/>
      <c r="L224" s="84"/>
      <c r="M224" s="84"/>
      <c r="N224" s="84">
        <v>0.0</v>
      </c>
      <c r="O224" s="84">
        <v>0.0</v>
      </c>
      <c r="P224" s="84">
        <v>0.0</v>
      </c>
      <c r="Q224" s="84"/>
      <c r="R224" s="84"/>
      <c r="S224" s="84"/>
      <c r="T224" s="84"/>
      <c r="U224" s="84">
        <v>126.0</v>
      </c>
      <c r="V224" s="84"/>
      <c r="W224" s="84"/>
      <c r="X224" s="84">
        <v>4.0</v>
      </c>
      <c r="Y224" s="84"/>
      <c r="Z224" s="84"/>
      <c r="AA224" s="84"/>
      <c r="AB224" s="84"/>
      <c r="AC224" s="84"/>
      <c r="AD224" s="84"/>
      <c r="AE224" s="84"/>
      <c r="AF224" s="84"/>
      <c r="AG224" s="84"/>
      <c r="AH224" s="84">
        <v>0.0</v>
      </c>
      <c r="AI224" s="84">
        <v>0.0</v>
      </c>
      <c r="AJ224" s="84">
        <v>0.0</v>
      </c>
      <c r="AK224" s="84">
        <v>1.0</v>
      </c>
      <c r="AL224" s="84">
        <v>0.0</v>
      </c>
      <c r="AM224" s="84">
        <v>0.0</v>
      </c>
      <c r="AN224" s="84">
        <v>1.0</v>
      </c>
      <c r="AO224" s="84">
        <v>0.0</v>
      </c>
      <c r="AP224" s="84">
        <v>0.0</v>
      </c>
      <c r="AQ224" s="84">
        <v>0.0</v>
      </c>
      <c r="AR224" s="84">
        <v>0.0</v>
      </c>
      <c r="AS224" s="84">
        <v>0.0</v>
      </c>
      <c r="AT224" s="84">
        <v>0.0</v>
      </c>
      <c r="AU224" s="84">
        <v>0.0</v>
      </c>
      <c r="AV224" s="84">
        <v>1.0</v>
      </c>
      <c r="AW224" s="84">
        <v>0.0</v>
      </c>
      <c r="AX224" s="84">
        <v>0.0</v>
      </c>
      <c r="AY224" s="84">
        <v>1.0</v>
      </c>
      <c r="AZ224" s="84">
        <v>0.0</v>
      </c>
      <c r="BH224" s="84">
        <v>240.0</v>
      </c>
      <c r="BI224" s="84" t="s">
        <v>5489</v>
      </c>
    </row>
    <row r="225" ht="12.75" customHeight="1">
      <c r="A225" s="84">
        <v>223.0</v>
      </c>
      <c r="B225" s="84" t="s">
        <v>3817</v>
      </c>
      <c r="C225" s="84">
        <v>1.0</v>
      </c>
      <c r="D225" s="84" t="s">
        <v>4935</v>
      </c>
      <c r="E225" s="84">
        <v>4.0</v>
      </c>
      <c r="F225" s="84" t="s">
        <v>5135</v>
      </c>
      <c r="G225" s="84">
        <v>100.0</v>
      </c>
      <c r="H225" s="84">
        <v>50.0</v>
      </c>
      <c r="I225" s="84">
        <v>5.0</v>
      </c>
      <c r="M225" s="84" t="s">
        <v>5490</v>
      </c>
      <c r="N225" s="84">
        <v>6.0</v>
      </c>
      <c r="O225" s="84">
        <v>100.0</v>
      </c>
      <c r="P225" s="84">
        <v>2.0</v>
      </c>
      <c r="Q225" s="84">
        <v>2.0</v>
      </c>
      <c r="R225" s="84">
        <v>5.0</v>
      </c>
      <c r="U225" s="84">
        <v>76.0</v>
      </c>
      <c r="X225" s="84">
        <v>0.0</v>
      </c>
      <c r="AH225" s="84">
        <v>1.0</v>
      </c>
      <c r="AI225" s="84">
        <v>0.0</v>
      </c>
      <c r="AJ225" s="84">
        <v>0.0</v>
      </c>
      <c r="AK225" s="84">
        <v>1.0</v>
      </c>
      <c r="AL225" s="84">
        <v>0.0</v>
      </c>
      <c r="AM225" s="84">
        <v>0.0</v>
      </c>
      <c r="AN225" s="84">
        <v>1.0</v>
      </c>
      <c r="AO225" s="84">
        <v>1.0</v>
      </c>
      <c r="AP225" s="84">
        <v>0.0</v>
      </c>
      <c r="AQ225" s="84">
        <v>0.0</v>
      </c>
      <c r="AR225" s="84">
        <v>0.0</v>
      </c>
      <c r="AS225" s="84">
        <v>0.0</v>
      </c>
      <c r="AT225" s="84">
        <v>0.0</v>
      </c>
      <c r="AU225" s="84">
        <v>0.0</v>
      </c>
      <c r="AV225" s="84">
        <v>0.0</v>
      </c>
      <c r="AW225" s="84">
        <v>0.0</v>
      </c>
      <c r="AX225" s="84">
        <v>0.0</v>
      </c>
      <c r="AY225" s="84">
        <v>1.0</v>
      </c>
      <c r="AZ225" s="84">
        <v>43.0</v>
      </c>
      <c r="BH225" s="84">
        <v>241.0</v>
      </c>
      <c r="BI225" s="84" t="s">
        <v>5491</v>
      </c>
    </row>
    <row r="226" ht="12.75" customHeight="1">
      <c r="A226" s="84">
        <v>224.0</v>
      </c>
      <c r="B226" s="84" t="s">
        <v>3787</v>
      </c>
      <c r="C226" s="84">
        <v>1.0</v>
      </c>
      <c r="D226" s="84" t="s">
        <v>4910</v>
      </c>
      <c r="E226" s="84">
        <v>0.0</v>
      </c>
      <c r="F226" s="84" t="s">
        <v>5135</v>
      </c>
      <c r="G226" s="84">
        <v>120.0</v>
      </c>
      <c r="H226" s="84">
        <v>85.0</v>
      </c>
      <c r="I226" s="84">
        <v>10.0</v>
      </c>
      <c r="N226" s="84">
        <v>0.0</v>
      </c>
      <c r="O226" s="84">
        <v>0.0</v>
      </c>
      <c r="P226" s="84">
        <v>0.0</v>
      </c>
      <c r="U226" s="84">
        <v>0.0</v>
      </c>
      <c r="X226" s="84">
        <v>0.0</v>
      </c>
      <c r="AH226" s="84">
        <v>1.0</v>
      </c>
      <c r="AI226" s="84">
        <v>0.0</v>
      </c>
      <c r="AJ226" s="84">
        <v>0.0</v>
      </c>
      <c r="AK226" s="84">
        <v>1.0</v>
      </c>
      <c r="AL226" s="84">
        <v>0.0</v>
      </c>
      <c r="AM226" s="84">
        <v>0.0</v>
      </c>
      <c r="AN226" s="84">
        <v>1.0</v>
      </c>
      <c r="AO226" s="84">
        <v>0.0</v>
      </c>
      <c r="AP226" s="84">
        <v>0.0</v>
      </c>
      <c r="AQ226" s="84">
        <v>0.0</v>
      </c>
      <c r="AR226" s="84">
        <v>0.0</v>
      </c>
      <c r="AS226" s="84">
        <v>0.0</v>
      </c>
      <c r="AT226" s="84">
        <v>0.0</v>
      </c>
      <c r="AU226" s="84">
        <v>0.0</v>
      </c>
      <c r="AV226" s="84">
        <v>0.0</v>
      </c>
      <c r="AW226" s="84">
        <v>0.0</v>
      </c>
      <c r="AX226" s="84">
        <v>0.0</v>
      </c>
      <c r="AY226" s="84">
        <v>1.0</v>
      </c>
      <c r="AZ226" s="84">
        <v>43.0</v>
      </c>
      <c r="BH226" s="84">
        <v>242.0</v>
      </c>
      <c r="BI226" s="84" t="s">
        <v>5492</v>
      </c>
    </row>
    <row r="227" ht="12.75" customHeight="1">
      <c r="A227" s="84">
        <v>225.0</v>
      </c>
      <c r="B227" s="84" t="s">
        <v>2791</v>
      </c>
      <c r="C227" s="84">
        <v>1.0</v>
      </c>
      <c r="D227" s="84" t="s">
        <v>4956</v>
      </c>
      <c r="E227" s="84">
        <v>4.0</v>
      </c>
      <c r="F227" s="84" t="s">
        <v>5172</v>
      </c>
      <c r="G227" s="84">
        <v>60.0</v>
      </c>
      <c r="H227" s="84">
        <v>100.0</v>
      </c>
      <c r="I227" s="84">
        <v>20.0</v>
      </c>
      <c r="M227" s="84" t="s">
        <v>5222</v>
      </c>
      <c r="N227" s="84">
        <v>1.0</v>
      </c>
      <c r="O227" s="84">
        <v>30.0</v>
      </c>
      <c r="P227" s="84">
        <v>1.0</v>
      </c>
      <c r="U227" s="84">
        <v>6.0</v>
      </c>
      <c r="X227" s="84">
        <v>0.0</v>
      </c>
      <c r="AH227" s="84">
        <v>0.0</v>
      </c>
      <c r="AI227" s="84">
        <v>0.0</v>
      </c>
      <c r="AJ227" s="84">
        <v>0.0</v>
      </c>
      <c r="AK227" s="84">
        <v>1.0</v>
      </c>
      <c r="AL227" s="84">
        <v>0.0</v>
      </c>
      <c r="AM227" s="84">
        <v>0.0</v>
      </c>
      <c r="AN227" s="84">
        <v>1.0</v>
      </c>
      <c r="AO227" s="84">
        <v>0.0</v>
      </c>
      <c r="AP227" s="84">
        <v>0.0</v>
      </c>
      <c r="AQ227" s="84">
        <v>0.0</v>
      </c>
      <c r="AR227" s="84">
        <v>0.0</v>
      </c>
      <c r="AS227" s="84">
        <v>0.0</v>
      </c>
      <c r="AT227" s="84">
        <v>0.0</v>
      </c>
      <c r="AU227" s="84">
        <v>0.0</v>
      </c>
      <c r="AV227" s="84">
        <v>0.0</v>
      </c>
      <c r="AW227" s="84">
        <v>0.0</v>
      </c>
      <c r="AX227" s="84">
        <v>0.0</v>
      </c>
      <c r="AY227" s="84">
        <v>1.0</v>
      </c>
      <c r="AZ227" s="84">
        <v>40.0</v>
      </c>
      <c r="BH227" s="84">
        <v>243.0</v>
      </c>
      <c r="BI227" s="84" t="s">
        <v>5493</v>
      </c>
    </row>
    <row r="228" ht="12.75" customHeight="1">
      <c r="A228" s="84">
        <v>226.0</v>
      </c>
      <c r="B228" s="84" t="s">
        <v>3130</v>
      </c>
      <c r="C228" s="84">
        <v>1.0</v>
      </c>
      <c r="D228" s="84" t="s">
        <v>4916</v>
      </c>
      <c r="E228" s="84">
        <v>13.0</v>
      </c>
      <c r="F228" s="84" t="s">
        <v>5131</v>
      </c>
      <c r="G228" s="84">
        <v>0.0</v>
      </c>
      <c r="H228" s="84">
        <v>101.0</v>
      </c>
      <c r="I228" s="84">
        <v>40.0</v>
      </c>
      <c r="N228" s="84">
        <v>0.0</v>
      </c>
      <c r="O228" s="84">
        <v>0.0</v>
      </c>
      <c r="P228" s="84">
        <v>0.0</v>
      </c>
      <c r="U228" s="84">
        <v>127.0</v>
      </c>
      <c r="X228" s="84">
        <v>7.0</v>
      </c>
      <c r="AH228" s="84">
        <v>0.0</v>
      </c>
      <c r="AI228" s="84">
        <v>0.0</v>
      </c>
      <c r="AJ228" s="84">
        <v>0.0</v>
      </c>
      <c r="AK228" s="84">
        <v>0.0</v>
      </c>
      <c r="AL228" s="84">
        <v>0.0</v>
      </c>
      <c r="AM228" s="84">
        <v>0.0</v>
      </c>
      <c r="AN228" s="84">
        <v>0.0</v>
      </c>
      <c r="AO228" s="84">
        <v>0.0</v>
      </c>
      <c r="AP228" s="84">
        <v>0.0</v>
      </c>
      <c r="AQ228" s="84">
        <v>0.0</v>
      </c>
      <c r="AR228" s="84">
        <v>0.0</v>
      </c>
      <c r="AS228" s="84">
        <v>0.0</v>
      </c>
      <c r="AT228" s="84">
        <v>0.0</v>
      </c>
      <c r="AU228" s="84">
        <v>0.0</v>
      </c>
      <c r="AV228" s="84">
        <v>0.0</v>
      </c>
      <c r="AW228" s="84">
        <v>0.0</v>
      </c>
      <c r="AX228" s="84">
        <v>0.0</v>
      </c>
      <c r="AY228" s="84">
        <v>1.0</v>
      </c>
      <c r="AZ228" s="84">
        <v>0.0</v>
      </c>
      <c r="BH228" s="84">
        <v>244.0</v>
      </c>
      <c r="BI228" s="84" t="s">
        <v>5494</v>
      </c>
    </row>
    <row r="229" ht="12.75" customHeight="1">
      <c r="A229" s="84">
        <v>227.0</v>
      </c>
      <c r="B229" s="84" t="s">
        <v>2957</v>
      </c>
      <c r="C229" s="84">
        <v>1.0</v>
      </c>
      <c r="D229" s="84" t="s">
        <v>4916</v>
      </c>
      <c r="E229" s="84">
        <v>13.0</v>
      </c>
      <c r="F229" s="84" t="s">
        <v>5131</v>
      </c>
      <c r="G229" s="84">
        <v>0.0</v>
      </c>
      <c r="H229" s="84">
        <v>100.0</v>
      </c>
      <c r="I229" s="84">
        <v>5.0</v>
      </c>
      <c r="N229" s="84">
        <v>0.0</v>
      </c>
      <c r="O229" s="84">
        <v>0.0</v>
      </c>
      <c r="P229" s="84">
        <v>0.0</v>
      </c>
      <c r="U229" s="84">
        <v>90.0</v>
      </c>
      <c r="X229" s="84">
        <v>0.0</v>
      </c>
      <c r="AH229" s="84">
        <v>0.0</v>
      </c>
      <c r="AI229" s="84">
        <v>0.0</v>
      </c>
      <c r="AJ229" s="84">
        <v>0.0</v>
      </c>
      <c r="AK229" s="84">
        <v>1.0</v>
      </c>
      <c r="AL229" s="84">
        <v>1.0</v>
      </c>
      <c r="AM229" s="84">
        <v>0.0</v>
      </c>
      <c r="AN229" s="84">
        <v>1.0</v>
      </c>
      <c r="AO229" s="84">
        <v>0.0</v>
      </c>
      <c r="AP229" s="84">
        <v>0.0</v>
      </c>
      <c r="AQ229" s="84">
        <v>0.0</v>
      </c>
      <c r="AR229" s="84">
        <v>0.0</v>
      </c>
      <c r="AS229" s="84">
        <v>0.0</v>
      </c>
      <c r="AT229" s="84">
        <v>0.0</v>
      </c>
      <c r="AU229" s="84">
        <v>1.0</v>
      </c>
      <c r="AV229" s="84">
        <v>0.0</v>
      </c>
      <c r="AW229" s="84">
        <v>0.0</v>
      </c>
      <c r="AX229" s="84">
        <v>0.0</v>
      </c>
      <c r="AY229" s="84">
        <v>1.0</v>
      </c>
      <c r="AZ229" s="84">
        <v>12.0</v>
      </c>
      <c r="BH229" s="84">
        <v>245.0</v>
      </c>
      <c r="BI229" s="84" t="s">
        <v>5495</v>
      </c>
    </row>
    <row r="230" ht="12.75" customHeight="1">
      <c r="A230" s="84">
        <v>228.0</v>
      </c>
      <c r="B230" s="84" t="s">
        <v>5496</v>
      </c>
      <c r="C230" s="84">
        <v>0.0</v>
      </c>
      <c r="D230" s="84" t="s">
        <v>4972</v>
      </c>
      <c r="E230" s="84">
        <v>0.0</v>
      </c>
      <c r="F230" s="84" t="s">
        <v>5135</v>
      </c>
      <c r="G230" s="84">
        <v>40.0</v>
      </c>
      <c r="H230" s="84">
        <v>100.0</v>
      </c>
      <c r="I230" s="84">
        <v>20.0</v>
      </c>
      <c r="J230" s="84"/>
      <c r="K230" s="84"/>
      <c r="L230" s="84"/>
      <c r="M230" s="84"/>
      <c r="N230" s="84">
        <v>0.0</v>
      </c>
      <c r="O230" s="84">
        <v>0.0</v>
      </c>
      <c r="P230" s="84">
        <v>0.0</v>
      </c>
      <c r="Q230" s="84"/>
      <c r="R230" s="84"/>
      <c r="S230" s="84"/>
      <c r="T230" s="84"/>
      <c r="U230" s="84">
        <v>128.0</v>
      </c>
      <c r="V230" s="84"/>
      <c r="W230" s="84"/>
      <c r="X230" s="84">
        <v>0.0</v>
      </c>
      <c r="Y230" s="84"/>
      <c r="Z230" s="84"/>
      <c r="AA230" s="84"/>
      <c r="AB230" s="84"/>
      <c r="AC230" s="84"/>
      <c r="AD230" s="84"/>
      <c r="AE230" s="84"/>
      <c r="AF230" s="84"/>
      <c r="AG230" s="84"/>
      <c r="AH230" s="84">
        <v>1.0</v>
      </c>
      <c r="AI230" s="84">
        <v>0.0</v>
      </c>
      <c r="AJ230" s="84">
        <v>0.0</v>
      </c>
      <c r="AK230" s="84">
        <v>1.0</v>
      </c>
      <c r="AL230" s="84">
        <v>0.0</v>
      </c>
      <c r="AM230" s="84">
        <v>0.0</v>
      </c>
      <c r="AN230" s="84">
        <v>1.0</v>
      </c>
      <c r="AO230" s="84">
        <v>0.0</v>
      </c>
      <c r="AP230" s="84">
        <v>0.0</v>
      </c>
      <c r="AQ230" s="84">
        <v>0.0</v>
      </c>
      <c r="AR230" s="84">
        <v>0.0</v>
      </c>
      <c r="AS230" s="84">
        <v>0.0</v>
      </c>
      <c r="AT230" s="84">
        <v>0.0</v>
      </c>
      <c r="AU230" s="84">
        <v>0.0</v>
      </c>
      <c r="AV230" s="84">
        <v>0.0</v>
      </c>
      <c r="AW230" s="84">
        <v>0.0</v>
      </c>
      <c r="AX230" s="84">
        <v>0.0</v>
      </c>
      <c r="AY230" s="84">
        <v>1.0</v>
      </c>
      <c r="AZ230" s="84">
        <v>0.0</v>
      </c>
      <c r="BH230" s="84">
        <v>246.0</v>
      </c>
      <c r="BI230" s="84" t="s">
        <v>5497</v>
      </c>
    </row>
    <row r="231" ht="12.75" customHeight="1">
      <c r="A231" s="84">
        <v>229.0</v>
      </c>
      <c r="B231" s="84" t="s">
        <v>3294</v>
      </c>
      <c r="C231" s="84">
        <v>1.0</v>
      </c>
      <c r="D231" s="84" t="s">
        <v>4916</v>
      </c>
      <c r="E231" s="84">
        <v>7.0</v>
      </c>
      <c r="F231" s="84" t="s">
        <v>5135</v>
      </c>
      <c r="G231" s="84">
        <v>50.0</v>
      </c>
      <c r="H231" s="84">
        <v>100.0</v>
      </c>
      <c r="I231" s="84">
        <v>40.0</v>
      </c>
      <c r="N231" s="84">
        <v>0.0</v>
      </c>
      <c r="O231" s="84">
        <v>0.0</v>
      </c>
      <c r="P231" s="84">
        <v>0.0</v>
      </c>
      <c r="U231" s="84">
        <v>129.0</v>
      </c>
      <c r="X231" s="84">
        <v>0.0</v>
      </c>
      <c r="Y231" s="84" t="s">
        <v>5073</v>
      </c>
      <c r="Z231" s="84">
        <v>1.0</v>
      </c>
      <c r="AA231" s="84">
        <v>100.0</v>
      </c>
      <c r="AH231" s="84">
        <v>1.0</v>
      </c>
      <c r="AI231" s="84">
        <v>0.0</v>
      </c>
      <c r="AJ231" s="84">
        <v>0.0</v>
      </c>
      <c r="AK231" s="84">
        <v>1.0</v>
      </c>
      <c r="AL231" s="84">
        <v>0.0</v>
      </c>
      <c r="AM231" s="84">
        <v>0.0</v>
      </c>
      <c r="AN231" s="84">
        <v>1.0</v>
      </c>
      <c r="AO231" s="84">
        <v>0.0</v>
      </c>
      <c r="AP231" s="84">
        <v>0.0</v>
      </c>
      <c r="AQ231" s="84">
        <v>0.0</v>
      </c>
      <c r="AR231" s="84">
        <v>0.0</v>
      </c>
      <c r="AS231" s="84">
        <v>0.0</v>
      </c>
      <c r="AT231" s="84">
        <v>0.0</v>
      </c>
      <c r="AU231" s="84">
        <v>0.0</v>
      </c>
      <c r="AV231" s="84">
        <v>0.0</v>
      </c>
      <c r="AW231" s="84">
        <v>0.0</v>
      </c>
      <c r="AX231" s="84">
        <v>0.0</v>
      </c>
      <c r="AY231" s="84">
        <v>1.0</v>
      </c>
      <c r="AZ231" s="84">
        <v>37.0</v>
      </c>
      <c r="BH231" s="84">
        <v>247.0</v>
      </c>
      <c r="BI231" s="84" t="s">
        <v>5498</v>
      </c>
    </row>
    <row r="232" ht="12.75" customHeight="1">
      <c r="A232" s="84">
        <v>230.0</v>
      </c>
      <c r="B232" s="84" t="s">
        <v>2680</v>
      </c>
      <c r="C232" s="84">
        <v>1.0</v>
      </c>
      <c r="D232" s="84" t="s">
        <v>4916</v>
      </c>
      <c r="E232" s="84">
        <v>2.0</v>
      </c>
      <c r="F232" s="84" t="s">
        <v>5131</v>
      </c>
      <c r="G232" s="84">
        <v>0.0</v>
      </c>
      <c r="H232" s="84">
        <v>100.0</v>
      </c>
      <c r="I232" s="84">
        <v>20.0</v>
      </c>
      <c r="N232" s="84">
        <v>0.0</v>
      </c>
      <c r="O232" s="84">
        <v>0.0</v>
      </c>
      <c r="P232" s="84">
        <v>0.0</v>
      </c>
      <c r="U232" s="84">
        <v>24.0</v>
      </c>
      <c r="X232" s="84">
        <v>5.0</v>
      </c>
      <c r="Y232" s="84" t="s">
        <v>882</v>
      </c>
      <c r="Z232" s="84">
        <v>-2.0</v>
      </c>
      <c r="AH232" s="84">
        <v>0.0</v>
      </c>
      <c r="AI232" s="84">
        <v>0.0</v>
      </c>
      <c r="AJ232" s="84">
        <v>0.0</v>
      </c>
      <c r="AK232" s="84">
        <v>1.0</v>
      </c>
      <c r="AL232" s="84">
        <v>1.0</v>
      </c>
      <c r="AM232" s="84">
        <v>0.0</v>
      </c>
      <c r="AN232" s="84">
        <v>1.0</v>
      </c>
      <c r="AO232" s="84">
        <v>0.0</v>
      </c>
      <c r="AP232" s="84">
        <v>0.0</v>
      </c>
      <c r="AQ232" s="84">
        <v>0.0</v>
      </c>
      <c r="AR232" s="84">
        <v>0.0</v>
      </c>
      <c r="AS232" s="84">
        <v>0.0</v>
      </c>
      <c r="AT232" s="84">
        <v>0.0</v>
      </c>
      <c r="AU232" s="84">
        <v>0.0</v>
      </c>
      <c r="AV232" s="84">
        <v>0.0</v>
      </c>
      <c r="AW232" s="84">
        <v>0.0</v>
      </c>
      <c r="AX232" s="84">
        <v>0.0</v>
      </c>
      <c r="AY232" s="84">
        <v>1.0</v>
      </c>
      <c r="AZ232" s="84">
        <v>5.0</v>
      </c>
      <c r="BH232" s="84">
        <v>248.0</v>
      </c>
      <c r="BI232" s="84" t="s">
        <v>5499</v>
      </c>
    </row>
    <row r="233" ht="12.75" customHeight="1">
      <c r="A233" s="84">
        <v>231.0</v>
      </c>
      <c r="B233" s="84" t="s">
        <v>2746</v>
      </c>
      <c r="C233" s="84">
        <v>1.0</v>
      </c>
      <c r="D233" s="84" t="s">
        <v>4975</v>
      </c>
      <c r="E233" s="84">
        <v>6.0</v>
      </c>
      <c r="F233" s="84" t="s">
        <v>5135</v>
      </c>
      <c r="G233" s="84">
        <v>100.0</v>
      </c>
      <c r="H233" s="84">
        <v>75.0</v>
      </c>
      <c r="I233" s="84">
        <v>15.0</v>
      </c>
      <c r="N233" s="84">
        <v>0.0</v>
      </c>
      <c r="O233" s="84">
        <v>0.0</v>
      </c>
      <c r="P233" s="84">
        <v>0.0</v>
      </c>
      <c r="U233" s="84">
        <v>69.0</v>
      </c>
      <c r="X233" s="84">
        <v>0.0</v>
      </c>
      <c r="Y233" s="84" t="s">
        <v>21</v>
      </c>
      <c r="Z233" s="84">
        <v>-1.0</v>
      </c>
      <c r="AA233" s="84">
        <v>30.0</v>
      </c>
      <c r="AH233" s="84">
        <v>1.0</v>
      </c>
      <c r="AI233" s="84">
        <v>0.0</v>
      </c>
      <c r="AJ233" s="84">
        <v>0.0</v>
      </c>
      <c r="AK233" s="84">
        <v>1.0</v>
      </c>
      <c r="AL233" s="84">
        <v>0.0</v>
      </c>
      <c r="AM233" s="84">
        <v>0.0</v>
      </c>
      <c r="AN233" s="84">
        <v>1.0</v>
      </c>
      <c r="AO233" s="84">
        <v>0.0</v>
      </c>
      <c r="AP233" s="84">
        <v>0.0</v>
      </c>
      <c r="AQ233" s="84">
        <v>0.0</v>
      </c>
      <c r="AR233" s="84">
        <v>0.0</v>
      </c>
      <c r="AS233" s="84">
        <v>0.0</v>
      </c>
      <c r="AT233" s="84">
        <v>0.0</v>
      </c>
      <c r="AU233" s="84">
        <v>0.0</v>
      </c>
      <c r="AV233" s="84">
        <v>0.0</v>
      </c>
      <c r="AW233" s="84">
        <v>0.0</v>
      </c>
      <c r="AX233" s="84">
        <v>0.0</v>
      </c>
      <c r="AY233" s="84">
        <v>1.0</v>
      </c>
      <c r="AZ233" s="84">
        <v>43.0</v>
      </c>
      <c r="BH233" s="84">
        <v>249.0</v>
      </c>
      <c r="BI233" s="84" t="s">
        <v>5500</v>
      </c>
    </row>
    <row r="234" ht="12.75" customHeight="1">
      <c r="A234" s="84">
        <v>232.0</v>
      </c>
      <c r="B234" s="84" t="s">
        <v>2887</v>
      </c>
      <c r="C234" s="84">
        <v>1.0</v>
      </c>
      <c r="D234" s="84" t="s">
        <v>4975</v>
      </c>
      <c r="E234" s="84">
        <v>7.0</v>
      </c>
      <c r="F234" s="84" t="s">
        <v>5135</v>
      </c>
      <c r="G234" s="84">
        <v>50.0</v>
      </c>
      <c r="H234" s="84">
        <v>95.0</v>
      </c>
      <c r="I234" s="84">
        <v>35.0</v>
      </c>
      <c r="N234" s="84">
        <v>0.0</v>
      </c>
      <c r="O234" s="84">
        <v>0.0</v>
      </c>
      <c r="P234" s="84">
        <v>0.0</v>
      </c>
      <c r="U234" s="84">
        <v>139.0</v>
      </c>
      <c r="X234" s="84">
        <v>0.0</v>
      </c>
      <c r="Y234" s="84" t="s">
        <v>20</v>
      </c>
      <c r="Z234" s="84">
        <v>1.0</v>
      </c>
      <c r="AA234" s="84">
        <v>10.0</v>
      </c>
      <c r="AH234" s="84">
        <v>1.0</v>
      </c>
      <c r="AI234" s="84">
        <v>0.0</v>
      </c>
      <c r="AJ234" s="84">
        <v>0.0</v>
      </c>
      <c r="AK234" s="84">
        <v>1.0</v>
      </c>
      <c r="AL234" s="84">
        <v>0.0</v>
      </c>
      <c r="AM234" s="84">
        <v>0.0</v>
      </c>
      <c r="AN234" s="84">
        <v>1.0</v>
      </c>
      <c r="AO234" s="84">
        <v>0.0</v>
      </c>
      <c r="AP234" s="84">
        <v>0.0</v>
      </c>
      <c r="AQ234" s="84">
        <v>0.0</v>
      </c>
      <c r="AR234" s="84">
        <v>0.0</v>
      </c>
      <c r="AS234" s="84">
        <v>0.0</v>
      </c>
      <c r="AT234" s="84">
        <v>0.0</v>
      </c>
      <c r="AU234" s="84">
        <v>0.0</v>
      </c>
      <c r="AV234" s="84">
        <v>0.0</v>
      </c>
      <c r="AW234" s="84">
        <v>0.0</v>
      </c>
      <c r="AX234" s="84">
        <v>0.0</v>
      </c>
      <c r="AY234" s="84">
        <v>1.0</v>
      </c>
      <c r="AZ234" s="84">
        <v>37.0</v>
      </c>
      <c r="BH234" s="84">
        <v>250.0</v>
      </c>
      <c r="BI234" s="84" t="s">
        <v>5501</v>
      </c>
    </row>
    <row r="235" ht="12.75" customHeight="1">
      <c r="A235" s="84">
        <v>233.0</v>
      </c>
      <c r="B235" s="84" t="s">
        <v>5502</v>
      </c>
      <c r="C235" s="84">
        <v>1.0</v>
      </c>
      <c r="D235" s="84" t="s">
        <v>4935</v>
      </c>
      <c r="E235" s="84">
        <v>0.0</v>
      </c>
      <c r="F235" s="84" t="s">
        <v>5135</v>
      </c>
      <c r="G235" s="84">
        <v>70.0</v>
      </c>
      <c r="H235" s="84">
        <v>101.0</v>
      </c>
      <c r="I235" s="84">
        <v>10.0</v>
      </c>
      <c r="J235" s="84">
        <v>-1.0</v>
      </c>
      <c r="N235" s="84">
        <v>0.0</v>
      </c>
      <c r="O235" s="84">
        <v>0.0</v>
      </c>
      <c r="P235" s="84">
        <v>0.0</v>
      </c>
      <c r="U235" s="84">
        <v>78.0</v>
      </c>
      <c r="X235" s="84">
        <v>0.0</v>
      </c>
      <c r="AH235" s="84">
        <v>1.0</v>
      </c>
      <c r="AI235" s="84">
        <v>0.0</v>
      </c>
      <c r="AJ235" s="84">
        <v>0.0</v>
      </c>
      <c r="AK235" s="84">
        <v>1.0</v>
      </c>
      <c r="AL235" s="84">
        <v>0.0</v>
      </c>
      <c r="AM235" s="84">
        <v>0.0</v>
      </c>
      <c r="AN235" s="84">
        <v>1.0</v>
      </c>
      <c r="AO235" s="84">
        <v>0.0</v>
      </c>
      <c r="AP235" s="84">
        <v>0.0</v>
      </c>
      <c r="AQ235" s="84">
        <v>0.0</v>
      </c>
      <c r="AR235" s="84">
        <v>0.0</v>
      </c>
      <c r="AS235" s="84">
        <v>0.0</v>
      </c>
      <c r="AT235" s="84">
        <v>0.0</v>
      </c>
      <c r="AU235" s="84">
        <v>0.0</v>
      </c>
      <c r="AV235" s="84">
        <v>0.0</v>
      </c>
      <c r="AW235" s="84">
        <v>0.0</v>
      </c>
      <c r="AX235" s="84">
        <v>0.0</v>
      </c>
      <c r="AY235" s="84">
        <v>1.0</v>
      </c>
      <c r="AZ235" s="84">
        <v>37.0</v>
      </c>
      <c r="BH235" s="84">
        <v>251.0</v>
      </c>
      <c r="BI235" s="84" t="s">
        <v>5290</v>
      </c>
    </row>
    <row r="236" ht="12.75" customHeight="1">
      <c r="A236" s="84">
        <v>234.0</v>
      </c>
      <c r="B236" s="84" t="s">
        <v>4083</v>
      </c>
      <c r="C236" s="84">
        <v>1.0</v>
      </c>
      <c r="D236" s="84" t="s">
        <v>4916</v>
      </c>
      <c r="E236" s="84">
        <v>3.0</v>
      </c>
      <c r="F236" s="84" t="s">
        <v>5131</v>
      </c>
      <c r="G236" s="84">
        <v>0.0</v>
      </c>
      <c r="H236" s="84">
        <v>101.0</v>
      </c>
      <c r="I236" s="84">
        <v>5.0</v>
      </c>
      <c r="N236" s="84">
        <v>0.0</v>
      </c>
      <c r="O236" s="84">
        <v>0.0</v>
      </c>
      <c r="P236" s="84">
        <v>0.0</v>
      </c>
      <c r="U236" s="84">
        <v>132.0</v>
      </c>
      <c r="W236" s="84">
        <v>50.0</v>
      </c>
      <c r="X236" s="84">
        <v>7.0</v>
      </c>
      <c r="AH236" s="84">
        <v>0.0</v>
      </c>
      <c r="AI236" s="84">
        <v>0.0</v>
      </c>
      <c r="AJ236" s="84">
        <v>0.0</v>
      </c>
      <c r="AK236" s="84">
        <v>0.0</v>
      </c>
      <c r="AL236" s="84">
        <v>0.0</v>
      </c>
      <c r="AM236" s="84">
        <v>1.0</v>
      </c>
      <c r="AN236" s="84">
        <v>0.0</v>
      </c>
      <c r="AO236" s="84">
        <v>0.0</v>
      </c>
      <c r="AP236" s="84">
        <v>0.0</v>
      </c>
      <c r="AQ236" s="84">
        <v>0.0</v>
      </c>
      <c r="AR236" s="84">
        <v>0.0</v>
      </c>
      <c r="AS236" s="84">
        <v>0.0</v>
      </c>
      <c r="AT236" s="84">
        <v>1.0</v>
      </c>
      <c r="AU236" s="84">
        <v>0.0</v>
      </c>
      <c r="AV236" s="84">
        <v>0.0</v>
      </c>
      <c r="AW236" s="84">
        <v>0.0</v>
      </c>
      <c r="AX236" s="84">
        <v>0.0</v>
      </c>
      <c r="AY236" s="84">
        <v>1.0</v>
      </c>
      <c r="AZ236" s="84">
        <v>16.0</v>
      </c>
      <c r="BH236" s="84">
        <v>252.0</v>
      </c>
      <c r="BI236" s="84" t="s">
        <v>5279</v>
      </c>
    </row>
    <row r="237" ht="12.75" customHeight="1">
      <c r="A237" s="84">
        <v>235.0</v>
      </c>
      <c r="B237" s="84" t="s">
        <v>2856</v>
      </c>
      <c r="C237" s="84">
        <v>1.0</v>
      </c>
      <c r="D237" s="84" t="s">
        <v>4904</v>
      </c>
      <c r="E237" s="84">
        <v>3.0</v>
      </c>
      <c r="F237" s="84" t="s">
        <v>5131</v>
      </c>
      <c r="G237" s="84">
        <v>0.0</v>
      </c>
      <c r="H237" s="84">
        <v>101.0</v>
      </c>
      <c r="I237" s="84">
        <v>5.0</v>
      </c>
      <c r="N237" s="84">
        <v>0.0</v>
      </c>
      <c r="O237" s="84">
        <v>0.0</v>
      </c>
      <c r="P237" s="84">
        <v>0.0</v>
      </c>
      <c r="U237" s="84">
        <v>132.0</v>
      </c>
      <c r="W237" s="84">
        <v>50.0</v>
      </c>
      <c r="X237" s="84">
        <v>7.0</v>
      </c>
      <c r="AH237" s="84">
        <v>0.0</v>
      </c>
      <c r="AI237" s="84">
        <v>0.0</v>
      </c>
      <c r="AJ237" s="84">
        <v>0.0</v>
      </c>
      <c r="AK237" s="84">
        <v>0.0</v>
      </c>
      <c r="AL237" s="84">
        <v>0.0</v>
      </c>
      <c r="AM237" s="84">
        <v>1.0</v>
      </c>
      <c r="AN237" s="84">
        <v>0.0</v>
      </c>
      <c r="AO237" s="84">
        <v>0.0</v>
      </c>
      <c r="AP237" s="84">
        <v>0.0</v>
      </c>
      <c r="AQ237" s="84">
        <v>0.0</v>
      </c>
      <c r="AR237" s="84">
        <v>0.0</v>
      </c>
      <c r="AS237" s="84">
        <v>0.0</v>
      </c>
      <c r="AT237" s="84">
        <v>1.0</v>
      </c>
      <c r="AU237" s="84">
        <v>0.0</v>
      </c>
      <c r="AV237" s="84">
        <v>0.0</v>
      </c>
      <c r="AW237" s="84">
        <v>0.0</v>
      </c>
      <c r="AX237" s="84">
        <v>0.0</v>
      </c>
      <c r="AY237" s="84">
        <v>1.0</v>
      </c>
      <c r="AZ237" s="84">
        <v>16.0</v>
      </c>
      <c r="BH237" s="84">
        <v>253.0</v>
      </c>
      <c r="BI237" s="84" t="s">
        <v>5503</v>
      </c>
    </row>
    <row r="238" ht="12.75" customHeight="1">
      <c r="A238" s="84">
        <v>236.0</v>
      </c>
      <c r="B238" s="84" t="s">
        <v>2938</v>
      </c>
      <c r="C238" s="84">
        <v>1.0</v>
      </c>
      <c r="D238" s="84" t="s">
        <v>5072</v>
      </c>
      <c r="E238" s="84">
        <v>3.0</v>
      </c>
      <c r="F238" s="84" t="s">
        <v>5131</v>
      </c>
      <c r="G238" s="84">
        <v>0.0</v>
      </c>
      <c r="H238" s="84">
        <v>101.0</v>
      </c>
      <c r="I238" s="84">
        <v>5.0</v>
      </c>
      <c r="N238" s="84">
        <v>0.0</v>
      </c>
      <c r="O238" s="84">
        <v>0.0</v>
      </c>
      <c r="P238" s="84">
        <v>0.0</v>
      </c>
      <c r="U238" s="84">
        <v>132.0</v>
      </c>
      <c r="W238" s="84">
        <v>50.0</v>
      </c>
      <c r="X238" s="84">
        <v>7.0</v>
      </c>
      <c r="AH238" s="84">
        <v>0.0</v>
      </c>
      <c r="AI238" s="84">
        <v>0.0</v>
      </c>
      <c r="AJ238" s="84">
        <v>0.0</v>
      </c>
      <c r="AK238" s="84">
        <v>0.0</v>
      </c>
      <c r="AL238" s="84">
        <v>0.0</v>
      </c>
      <c r="AM238" s="84">
        <v>1.0</v>
      </c>
      <c r="AN238" s="84">
        <v>0.0</v>
      </c>
      <c r="AO238" s="84">
        <v>0.0</v>
      </c>
      <c r="AP238" s="84">
        <v>0.0</v>
      </c>
      <c r="AQ238" s="84">
        <v>0.0</v>
      </c>
      <c r="AR238" s="84">
        <v>0.0</v>
      </c>
      <c r="AS238" s="84">
        <v>0.0</v>
      </c>
      <c r="AT238" s="84">
        <v>1.0</v>
      </c>
      <c r="AU238" s="84">
        <v>0.0</v>
      </c>
      <c r="AV238" s="84">
        <v>0.0</v>
      </c>
      <c r="AW238" s="84">
        <v>0.0</v>
      </c>
      <c r="AX238" s="84">
        <v>0.0</v>
      </c>
      <c r="AY238" s="84">
        <v>1.0</v>
      </c>
      <c r="AZ238" s="84">
        <v>16.0</v>
      </c>
      <c r="BH238" s="84">
        <v>254.0</v>
      </c>
      <c r="BI238" s="84" t="s">
        <v>5504</v>
      </c>
    </row>
    <row r="239" ht="12.75" customHeight="1">
      <c r="A239" s="84">
        <v>237.0</v>
      </c>
      <c r="B239" s="84" t="s">
        <v>5505</v>
      </c>
      <c r="C239" s="84">
        <v>1.0</v>
      </c>
      <c r="D239" s="84" t="s">
        <v>4916</v>
      </c>
      <c r="E239" s="84">
        <v>0.0</v>
      </c>
      <c r="F239" s="84" t="s">
        <v>5172</v>
      </c>
      <c r="G239" s="84">
        <v>60.0</v>
      </c>
      <c r="H239" s="84">
        <v>100.0</v>
      </c>
      <c r="I239" s="84">
        <v>15.0</v>
      </c>
      <c r="N239" s="84">
        <v>0.0</v>
      </c>
      <c r="O239" s="84">
        <v>0.0</v>
      </c>
      <c r="P239" s="84">
        <v>0.0</v>
      </c>
      <c r="U239" s="84">
        <v>135.0</v>
      </c>
      <c r="X239" s="84">
        <v>0.0</v>
      </c>
      <c r="AH239" s="84">
        <v>0.0</v>
      </c>
      <c r="AI239" s="84">
        <v>0.0</v>
      </c>
      <c r="AJ239" s="84">
        <v>0.0</v>
      </c>
      <c r="AK239" s="84">
        <v>1.0</v>
      </c>
      <c r="AL239" s="84">
        <v>0.0</v>
      </c>
      <c r="AM239" s="84">
        <v>0.0</v>
      </c>
      <c r="AN239" s="84">
        <v>1.0</v>
      </c>
      <c r="AO239" s="84">
        <v>0.0</v>
      </c>
      <c r="AP239" s="84">
        <v>0.0</v>
      </c>
      <c r="AQ239" s="84">
        <v>0.0</v>
      </c>
      <c r="AR239" s="84">
        <v>0.0</v>
      </c>
      <c r="AS239" s="84">
        <v>0.0</v>
      </c>
      <c r="AT239" s="84">
        <v>0.0</v>
      </c>
      <c r="AU239" s="84">
        <v>0.0</v>
      </c>
      <c r="AV239" s="84">
        <v>0.0</v>
      </c>
      <c r="AW239" s="84">
        <v>0.0</v>
      </c>
      <c r="AX239" s="84">
        <v>0.0</v>
      </c>
      <c r="AY239" s="84">
        <v>1.0</v>
      </c>
      <c r="AZ239" s="84">
        <v>48.0</v>
      </c>
      <c r="BH239" s="84">
        <v>255.0</v>
      </c>
      <c r="BI239" s="84" t="s">
        <v>5506</v>
      </c>
    </row>
    <row r="240" ht="12.75" customHeight="1">
      <c r="A240" s="84">
        <v>238.0</v>
      </c>
      <c r="B240" s="84" t="s">
        <v>3478</v>
      </c>
      <c r="C240" s="84">
        <v>1.0</v>
      </c>
      <c r="D240" s="84" t="s">
        <v>4935</v>
      </c>
      <c r="E240" s="84">
        <v>0.0</v>
      </c>
      <c r="F240" s="84" t="s">
        <v>5135</v>
      </c>
      <c r="G240" s="84">
        <v>100.0</v>
      </c>
      <c r="H240" s="84">
        <v>80.0</v>
      </c>
      <c r="I240" s="84">
        <v>5.0</v>
      </c>
      <c r="N240" s="84">
        <v>0.0</v>
      </c>
      <c r="O240" s="84">
        <v>0.0</v>
      </c>
      <c r="P240" s="84">
        <v>0.0</v>
      </c>
      <c r="S240" s="84">
        <v>1.0</v>
      </c>
      <c r="U240" s="84">
        <v>43.0</v>
      </c>
      <c r="X240" s="84">
        <v>0.0</v>
      </c>
      <c r="AH240" s="84">
        <v>1.0</v>
      </c>
      <c r="AI240" s="84">
        <v>0.0</v>
      </c>
      <c r="AJ240" s="84">
        <v>0.0</v>
      </c>
      <c r="AK240" s="84">
        <v>1.0</v>
      </c>
      <c r="AL240" s="84">
        <v>0.0</v>
      </c>
      <c r="AM240" s="84">
        <v>0.0</v>
      </c>
      <c r="AN240" s="84">
        <v>1.0</v>
      </c>
      <c r="AO240" s="84">
        <v>0.0</v>
      </c>
      <c r="AP240" s="84">
        <v>0.0</v>
      </c>
      <c r="AQ240" s="84">
        <v>0.0</v>
      </c>
      <c r="AR240" s="84">
        <v>0.0</v>
      </c>
      <c r="AS240" s="84">
        <v>0.0</v>
      </c>
      <c r="AT240" s="84">
        <v>0.0</v>
      </c>
      <c r="AU240" s="84">
        <v>0.0</v>
      </c>
      <c r="AV240" s="84">
        <v>0.0</v>
      </c>
      <c r="AW240" s="84">
        <v>0.0</v>
      </c>
      <c r="AX240" s="84">
        <v>0.0</v>
      </c>
      <c r="AY240" s="84">
        <v>1.0</v>
      </c>
      <c r="AZ240" s="84">
        <v>42.0</v>
      </c>
      <c r="BH240" s="84">
        <v>256.0</v>
      </c>
      <c r="BI240" s="84" t="s">
        <v>5507</v>
      </c>
    </row>
    <row r="241" ht="12.75" customHeight="1">
      <c r="A241" s="84">
        <v>239.0</v>
      </c>
      <c r="B241" s="84" t="s">
        <v>5508</v>
      </c>
      <c r="C241" s="84">
        <v>1.0</v>
      </c>
      <c r="D241" s="84" t="s">
        <v>4956</v>
      </c>
      <c r="E241" s="84">
        <v>0.0</v>
      </c>
      <c r="F241" s="84" t="s">
        <v>5172</v>
      </c>
      <c r="G241" s="84">
        <v>40.0</v>
      </c>
      <c r="H241" s="84">
        <v>100.0</v>
      </c>
      <c r="I241" s="84">
        <v>20.0</v>
      </c>
      <c r="N241" s="84">
        <v>0.0</v>
      </c>
      <c r="O241" s="84">
        <v>0.0</v>
      </c>
      <c r="P241" s="84">
        <v>0.0</v>
      </c>
      <c r="T241" s="84">
        <v>20.0</v>
      </c>
      <c r="U241" s="84">
        <v>146.0</v>
      </c>
      <c r="X241" s="84">
        <v>5.0</v>
      </c>
      <c r="AH241" s="84">
        <v>0.0</v>
      </c>
      <c r="AI241" s="84">
        <v>0.0</v>
      </c>
      <c r="AJ241" s="84">
        <v>0.0</v>
      </c>
      <c r="AK241" s="84">
        <v>1.0</v>
      </c>
      <c r="AL241" s="84">
        <v>0.0</v>
      </c>
      <c r="AM241" s="84">
        <v>0.0</v>
      </c>
      <c r="AN241" s="84">
        <v>1.0</v>
      </c>
      <c r="AO241" s="84">
        <v>0.0</v>
      </c>
      <c r="AP241" s="84">
        <v>0.0</v>
      </c>
      <c r="AQ241" s="84">
        <v>0.0</v>
      </c>
      <c r="AR241" s="84">
        <v>0.0</v>
      </c>
      <c r="AS241" s="84">
        <v>0.0</v>
      </c>
      <c r="AT241" s="84">
        <v>0.0</v>
      </c>
      <c r="AU241" s="84">
        <v>0.0</v>
      </c>
      <c r="AV241" s="84">
        <v>0.0</v>
      </c>
      <c r="AW241" s="84">
        <v>0.0</v>
      </c>
      <c r="AX241" s="84">
        <v>0.0</v>
      </c>
      <c r="AY241" s="84">
        <v>1.0</v>
      </c>
      <c r="AZ241" s="84">
        <v>34.0</v>
      </c>
      <c r="BH241" s="84">
        <v>257.0</v>
      </c>
      <c r="BI241" s="84" t="s">
        <v>5509</v>
      </c>
    </row>
    <row r="242" ht="12.75" customHeight="1">
      <c r="A242" s="84">
        <v>240.0</v>
      </c>
      <c r="B242" s="84" t="s">
        <v>2987</v>
      </c>
      <c r="C242" s="84">
        <v>1.0</v>
      </c>
      <c r="D242" s="84" t="s">
        <v>4908</v>
      </c>
      <c r="E242" s="84">
        <v>10.0</v>
      </c>
      <c r="F242" s="84" t="s">
        <v>5131</v>
      </c>
      <c r="G242" s="84">
        <v>0.0</v>
      </c>
      <c r="H242" s="84">
        <v>101.0</v>
      </c>
      <c r="I242" s="84">
        <v>5.0</v>
      </c>
      <c r="N242" s="84">
        <v>0.0</v>
      </c>
      <c r="O242" s="84">
        <v>0.0</v>
      </c>
      <c r="P242" s="84">
        <v>0.0</v>
      </c>
      <c r="U242" s="84">
        <v>136.0</v>
      </c>
      <c r="X242" s="84">
        <v>10.0</v>
      </c>
      <c r="AH242" s="84">
        <v>0.0</v>
      </c>
      <c r="AI242" s="84">
        <v>0.0</v>
      </c>
      <c r="AJ242" s="84">
        <v>0.0</v>
      </c>
      <c r="AK242" s="84">
        <v>0.0</v>
      </c>
      <c r="AL242" s="84">
        <v>0.0</v>
      </c>
      <c r="AM242" s="84">
        <v>0.0</v>
      </c>
      <c r="AN242" s="84">
        <v>0.0</v>
      </c>
      <c r="AO242" s="84">
        <v>0.0</v>
      </c>
      <c r="AP242" s="84">
        <v>0.0</v>
      </c>
      <c r="AQ242" s="84">
        <v>0.0</v>
      </c>
      <c r="AR242" s="84">
        <v>0.0</v>
      </c>
      <c r="AS242" s="84">
        <v>0.0</v>
      </c>
      <c r="AT242" s="84">
        <v>0.0</v>
      </c>
      <c r="AU242" s="84">
        <v>0.0</v>
      </c>
      <c r="AV242" s="84">
        <v>0.0</v>
      </c>
      <c r="AW242" s="84">
        <v>0.0</v>
      </c>
      <c r="AX242" s="84">
        <v>0.0</v>
      </c>
      <c r="AY242" s="84">
        <v>1.0</v>
      </c>
      <c r="AZ242" s="84">
        <v>23.0</v>
      </c>
      <c r="BH242" s="84">
        <v>258.0</v>
      </c>
      <c r="BI242" s="84" t="s">
        <v>5510</v>
      </c>
    </row>
    <row r="243" ht="12.75" customHeight="1">
      <c r="A243" s="84">
        <v>241.0</v>
      </c>
      <c r="B243" s="84" t="s">
        <v>2700</v>
      </c>
      <c r="C243" s="84">
        <v>1.0</v>
      </c>
      <c r="D243" s="84" t="s">
        <v>4906</v>
      </c>
      <c r="E243" s="84">
        <v>10.0</v>
      </c>
      <c r="F243" s="84" t="s">
        <v>5131</v>
      </c>
      <c r="G243" s="84">
        <v>0.0</v>
      </c>
      <c r="H243" s="84">
        <v>101.0</v>
      </c>
      <c r="I243" s="84">
        <v>5.0</v>
      </c>
      <c r="N243" s="84">
        <v>0.0</v>
      </c>
      <c r="O243" s="84">
        <v>0.0</v>
      </c>
      <c r="P243" s="84">
        <v>0.0</v>
      </c>
      <c r="U243" s="84">
        <v>137.0</v>
      </c>
      <c r="X243" s="84">
        <v>10.0</v>
      </c>
      <c r="AH243" s="84">
        <v>0.0</v>
      </c>
      <c r="AI243" s="84">
        <v>0.0</v>
      </c>
      <c r="AJ243" s="84">
        <v>0.0</v>
      </c>
      <c r="AK243" s="84">
        <v>0.0</v>
      </c>
      <c r="AL243" s="84">
        <v>0.0</v>
      </c>
      <c r="AM243" s="84">
        <v>0.0</v>
      </c>
      <c r="AN243" s="84">
        <v>0.0</v>
      </c>
      <c r="AO243" s="84">
        <v>0.0</v>
      </c>
      <c r="AP243" s="84">
        <v>0.0</v>
      </c>
      <c r="AQ243" s="84">
        <v>0.0</v>
      </c>
      <c r="AR243" s="84">
        <v>0.0</v>
      </c>
      <c r="AS243" s="84">
        <v>0.0</v>
      </c>
      <c r="AT243" s="84">
        <v>0.0</v>
      </c>
      <c r="AU243" s="84">
        <v>0.0</v>
      </c>
      <c r="AV243" s="84">
        <v>0.0</v>
      </c>
      <c r="AW243" s="84">
        <v>0.0</v>
      </c>
      <c r="AX243" s="84">
        <v>0.0</v>
      </c>
      <c r="AY243" s="84">
        <v>1.0</v>
      </c>
      <c r="AZ243" s="84">
        <v>23.0</v>
      </c>
      <c r="BH243" s="84">
        <v>259.0</v>
      </c>
      <c r="BI243" s="84" t="s">
        <v>5511</v>
      </c>
    </row>
    <row r="244" ht="12.75" customHeight="1">
      <c r="A244" s="84">
        <v>242.0</v>
      </c>
      <c r="B244" s="84" t="s">
        <v>3015</v>
      </c>
      <c r="C244" s="84">
        <v>1.0</v>
      </c>
      <c r="D244" s="84" t="s">
        <v>4972</v>
      </c>
      <c r="E244" s="84">
        <v>6.0</v>
      </c>
      <c r="F244" s="84" t="s">
        <v>5135</v>
      </c>
      <c r="G244" s="84">
        <v>80.0</v>
      </c>
      <c r="H244" s="84">
        <v>100.0</v>
      </c>
      <c r="I244" s="84">
        <v>15.0</v>
      </c>
      <c r="N244" s="84">
        <v>0.0</v>
      </c>
      <c r="O244" s="84">
        <v>0.0</v>
      </c>
      <c r="P244" s="84">
        <v>0.0</v>
      </c>
      <c r="U244" s="84">
        <v>69.0</v>
      </c>
      <c r="X244" s="84">
        <v>0.0</v>
      </c>
      <c r="Y244" s="84" t="s">
        <v>21</v>
      </c>
      <c r="Z244" s="84">
        <v>-1.0</v>
      </c>
      <c r="AA244" s="84">
        <v>20.0</v>
      </c>
      <c r="AH244" s="84">
        <v>1.0</v>
      </c>
      <c r="AI244" s="84">
        <v>0.0</v>
      </c>
      <c r="AJ244" s="84">
        <v>0.0</v>
      </c>
      <c r="AK244" s="84">
        <v>1.0</v>
      </c>
      <c r="AL244" s="84">
        <v>0.0</v>
      </c>
      <c r="AM244" s="84">
        <v>0.0</v>
      </c>
      <c r="AN244" s="84">
        <v>1.0</v>
      </c>
      <c r="AO244" s="84">
        <v>0.0</v>
      </c>
      <c r="AP244" s="84">
        <v>0.0</v>
      </c>
      <c r="AQ244" s="84">
        <v>0.0</v>
      </c>
      <c r="AR244" s="84">
        <v>0.0</v>
      </c>
      <c r="AS244" s="84">
        <v>0.0</v>
      </c>
      <c r="AT244" s="84">
        <v>0.0</v>
      </c>
      <c r="AU244" s="84">
        <v>0.0</v>
      </c>
      <c r="AV244" s="84">
        <v>0.0</v>
      </c>
      <c r="AW244" s="84">
        <v>0.0</v>
      </c>
      <c r="AX244" s="84">
        <v>0.0</v>
      </c>
      <c r="AY244" s="84">
        <v>1.0</v>
      </c>
      <c r="AZ244" s="84">
        <v>38.0</v>
      </c>
      <c r="BH244" s="84">
        <v>260.0</v>
      </c>
      <c r="BI244" s="84" t="s">
        <v>5512</v>
      </c>
    </row>
    <row r="245" ht="12.75" customHeight="1">
      <c r="A245" s="84">
        <v>243.0</v>
      </c>
      <c r="B245" s="84" t="s">
        <v>3168</v>
      </c>
      <c r="C245" s="84">
        <v>1.0</v>
      </c>
      <c r="D245" s="84" t="s">
        <v>2659</v>
      </c>
      <c r="E245" s="84">
        <v>0.0</v>
      </c>
      <c r="F245" s="84" t="s">
        <v>5172</v>
      </c>
      <c r="G245" s="84">
        <v>1.0</v>
      </c>
      <c r="H245" s="84">
        <v>100.0</v>
      </c>
      <c r="I245" s="84">
        <v>20.0</v>
      </c>
      <c r="J245" s="84">
        <v>-5.0</v>
      </c>
      <c r="N245" s="84">
        <v>0.0</v>
      </c>
      <c r="O245" s="84">
        <v>0.0</v>
      </c>
      <c r="P245" s="84">
        <v>0.0</v>
      </c>
      <c r="U245" s="84">
        <v>144.0</v>
      </c>
      <c r="X245" s="84">
        <v>13.0</v>
      </c>
      <c r="AH245" s="84">
        <v>0.0</v>
      </c>
      <c r="AI245" s="84">
        <v>0.0</v>
      </c>
      <c r="AJ245" s="84">
        <v>0.0</v>
      </c>
      <c r="AK245" s="84">
        <v>1.0</v>
      </c>
      <c r="AL245" s="84">
        <v>0.0</v>
      </c>
      <c r="AM245" s="84">
        <v>0.0</v>
      </c>
      <c r="AN245" s="84">
        <v>0.0</v>
      </c>
      <c r="AO245" s="84">
        <v>0.0</v>
      </c>
      <c r="AP245" s="84">
        <v>0.0</v>
      </c>
      <c r="AQ245" s="84">
        <v>0.0</v>
      </c>
      <c r="AR245" s="84">
        <v>0.0</v>
      </c>
      <c r="AS245" s="84">
        <v>0.0</v>
      </c>
      <c r="AT245" s="84">
        <v>0.0</v>
      </c>
      <c r="AU245" s="84">
        <v>0.0</v>
      </c>
      <c r="AV245" s="84">
        <v>0.0</v>
      </c>
      <c r="AW245" s="84">
        <v>0.0</v>
      </c>
      <c r="AX245" s="84">
        <v>0.0</v>
      </c>
      <c r="AY245" s="84">
        <v>0.0</v>
      </c>
      <c r="AZ245" s="84">
        <v>48.0</v>
      </c>
      <c r="BH245" s="84">
        <v>261.0</v>
      </c>
      <c r="BI245" s="84" t="s">
        <v>5513</v>
      </c>
    </row>
    <row r="246" ht="12.75" customHeight="1">
      <c r="A246" s="84">
        <v>244.0</v>
      </c>
      <c r="B246" s="84" t="s">
        <v>3464</v>
      </c>
      <c r="C246" s="84">
        <v>1.0</v>
      </c>
      <c r="D246" s="84" t="s">
        <v>4916</v>
      </c>
      <c r="E246" s="84">
        <v>13.0</v>
      </c>
      <c r="F246" s="84" t="s">
        <v>5131</v>
      </c>
      <c r="G246" s="84">
        <v>0.0</v>
      </c>
      <c r="H246" s="84">
        <v>101.0</v>
      </c>
      <c r="I246" s="84">
        <v>10.0</v>
      </c>
      <c r="N246" s="84">
        <v>0.0</v>
      </c>
      <c r="O246" s="84">
        <v>0.0</v>
      </c>
      <c r="P246" s="84">
        <v>0.0</v>
      </c>
      <c r="U246" s="84">
        <v>143.0</v>
      </c>
      <c r="X246" s="84">
        <v>0.0</v>
      </c>
      <c r="AH246" s="84">
        <v>0.0</v>
      </c>
      <c r="AI246" s="84">
        <v>0.0</v>
      </c>
      <c r="AJ246" s="84">
        <v>0.0</v>
      </c>
      <c r="AK246" s="84">
        <v>0.0</v>
      </c>
      <c r="AL246" s="84">
        <v>0.0</v>
      </c>
      <c r="AM246" s="84">
        <v>0.0</v>
      </c>
      <c r="AN246" s="84">
        <v>0.0</v>
      </c>
      <c r="AO246" s="84">
        <v>0.0</v>
      </c>
      <c r="AP246" s="84">
        <v>0.0</v>
      </c>
      <c r="AQ246" s="84">
        <v>0.0</v>
      </c>
      <c r="AR246" s="84">
        <v>0.0</v>
      </c>
      <c r="AS246" s="84">
        <v>0.0</v>
      </c>
      <c r="AT246" s="84">
        <v>0.0</v>
      </c>
      <c r="AU246" s="84">
        <v>1.0</v>
      </c>
      <c r="AV246" s="84">
        <v>0.0</v>
      </c>
      <c r="AW246" s="84">
        <v>1.0</v>
      </c>
      <c r="AX246" s="84">
        <v>0.0</v>
      </c>
      <c r="AY246" s="84">
        <v>1.0</v>
      </c>
      <c r="AZ246" s="84">
        <v>9.0</v>
      </c>
      <c r="BH246" s="84">
        <v>262.0</v>
      </c>
      <c r="BI246" s="84" t="s">
        <v>5514</v>
      </c>
    </row>
    <row r="247" ht="12.75" customHeight="1">
      <c r="A247" s="84">
        <v>245.0</v>
      </c>
      <c r="B247" s="84" t="s">
        <v>3360</v>
      </c>
      <c r="C247" s="84">
        <v>1.0</v>
      </c>
      <c r="D247" s="84" t="s">
        <v>4916</v>
      </c>
      <c r="E247" s="84">
        <v>0.0</v>
      </c>
      <c r="F247" s="84" t="s">
        <v>5135</v>
      </c>
      <c r="G247" s="84">
        <v>80.0</v>
      </c>
      <c r="H247" s="84">
        <v>100.0</v>
      </c>
      <c r="I247" s="84">
        <v>5.0</v>
      </c>
      <c r="J247" s="84">
        <v>2.0</v>
      </c>
      <c r="N247" s="84">
        <v>0.0</v>
      </c>
      <c r="O247" s="84">
        <v>0.0</v>
      </c>
      <c r="P247" s="84">
        <v>0.0</v>
      </c>
      <c r="U247" s="84">
        <v>103.0</v>
      </c>
      <c r="X247" s="84">
        <v>0.0</v>
      </c>
      <c r="AH247" s="84">
        <v>1.0</v>
      </c>
      <c r="AI247" s="84">
        <v>0.0</v>
      </c>
      <c r="AJ247" s="84">
        <v>0.0</v>
      </c>
      <c r="AK247" s="84">
        <v>1.0</v>
      </c>
      <c r="AL247" s="84">
        <v>0.0</v>
      </c>
      <c r="AM247" s="84">
        <v>0.0</v>
      </c>
      <c r="AN247" s="84">
        <v>1.0</v>
      </c>
      <c r="AO247" s="84">
        <v>0.0</v>
      </c>
      <c r="AP247" s="84">
        <v>0.0</v>
      </c>
      <c r="AQ247" s="84">
        <v>0.0</v>
      </c>
      <c r="AR247" s="84">
        <v>0.0</v>
      </c>
      <c r="AS247" s="84">
        <v>0.0</v>
      </c>
      <c r="AT247" s="84">
        <v>0.0</v>
      </c>
      <c r="AU247" s="84">
        <v>0.0</v>
      </c>
      <c r="AV247" s="84">
        <v>0.0</v>
      </c>
      <c r="AW247" s="84">
        <v>0.0</v>
      </c>
      <c r="AX247" s="84">
        <v>0.0</v>
      </c>
      <c r="AY247" s="84">
        <v>1.0</v>
      </c>
      <c r="AZ247" s="84">
        <v>38.0</v>
      </c>
      <c r="BH247" s="84">
        <v>263.0</v>
      </c>
      <c r="BI247" s="84" t="s">
        <v>5515</v>
      </c>
    </row>
    <row r="248" ht="12.75" customHeight="1">
      <c r="A248" s="84">
        <v>246.0</v>
      </c>
      <c r="B248" s="84" t="s">
        <v>2781</v>
      </c>
      <c r="C248" s="84">
        <v>1.0</v>
      </c>
      <c r="D248" s="84" t="s">
        <v>4940</v>
      </c>
      <c r="E248" s="84">
        <v>7.0</v>
      </c>
      <c r="F248" s="84" t="s">
        <v>5172</v>
      </c>
      <c r="G248" s="84">
        <v>60.0</v>
      </c>
      <c r="H248" s="84">
        <v>100.0</v>
      </c>
      <c r="I248" s="84">
        <v>5.0</v>
      </c>
      <c r="N248" s="84">
        <v>0.0</v>
      </c>
      <c r="O248" s="84">
        <v>0.0</v>
      </c>
      <c r="P248" s="84">
        <v>0.0</v>
      </c>
      <c r="U248" s="84">
        <v>140.0</v>
      </c>
      <c r="X248" s="84">
        <v>0.0</v>
      </c>
      <c r="Y248" s="84" t="s">
        <v>5159</v>
      </c>
      <c r="Z248" s="84">
        <v>1.0</v>
      </c>
      <c r="AA248" s="84">
        <v>10.0</v>
      </c>
      <c r="AH248" s="84">
        <v>0.0</v>
      </c>
      <c r="AI248" s="84">
        <v>0.0</v>
      </c>
      <c r="AJ248" s="84">
        <v>0.0</v>
      </c>
      <c r="AK248" s="84">
        <v>1.0</v>
      </c>
      <c r="AL248" s="84">
        <v>0.0</v>
      </c>
      <c r="AM248" s="84">
        <v>0.0</v>
      </c>
      <c r="AN248" s="84">
        <v>1.0</v>
      </c>
      <c r="AO248" s="84">
        <v>0.0</v>
      </c>
      <c r="AP248" s="84">
        <v>0.0</v>
      </c>
      <c r="AQ248" s="84">
        <v>0.0</v>
      </c>
      <c r="AR248" s="84">
        <v>0.0</v>
      </c>
      <c r="AS248" s="84">
        <v>0.0</v>
      </c>
      <c r="AT248" s="84">
        <v>0.0</v>
      </c>
      <c r="AU248" s="84">
        <v>0.0</v>
      </c>
      <c r="AV248" s="84">
        <v>0.0</v>
      </c>
      <c r="AW248" s="84">
        <v>0.0</v>
      </c>
      <c r="AX248" s="84">
        <v>0.0</v>
      </c>
      <c r="AY248" s="84">
        <v>1.0</v>
      </c>
      <c r="AZ248" s="84">
        <v>40.0</v>
      </c>
      <c r="BH248" s="84">
        <v>265.0</v>
      </c>
      <c r="BI248" s="84" t="s">
        <v>5516</v>
      </c>
    </row>
    <row r="249" ht="12.75" customHeight="1">
      <c r="A249" s="84">
        <v>247.0</v>
      </c>
      <c r="B249" s="84" t="s">
        <v>2661</v>
      </c>
      <c r="C249" s="84">
        <v>1.0</v>
      </c>
      <c r="D249" s="84" t="s">
        <v>4945</v>
      </c>
      <c r="E249" s="84">
        <v>6.0</v>
      </c>
      <c r="F249" s="84" t="s">
        <v>5172</v>
      </c>
      <c r="G249" s="84">
        <v>80.0</v>
      </c>
      <c r="H249" s="84">
        <v>100.0</v>
      </c>
      <c r="I249" s="84">
        <v>15.0</v>
      </c>
      <c r="N249" s="84">
        <v>0.0</v>
      </c>
      <c r="O249" s="84">
        <v>0.0</v>
      </c>
      <c r="P249" s="84">
        <v>0.0</v>
      </c>
      <c r="U249" s="84">
        <v>72.0</v>
      </c>
      <c r="X249" s="84">
        <v>0.0</v>
      </c>
      <c r="Y249" s="84" t="s">
        <v>23</v>
      </c>
      <c r="Z249" s="84">
        <v>-1.0</v>
      </c>
      <c r="AA249" s="84">
        <v>20.0</v>
      </c>
      <c r="AH249" s="84">
        <v>0.0</v>
      </c>
      <c r="AI249" s="84">
        <v>0.0</v>
      </c>
      <c r="AJ249" s="84">
        <v>0.0</v>
      </c>
      <c r="AK249" s="84">
        <v>1.0</v>
      </c>
      <c r="AL249" s="84">
        <v>0.0</v>
      </c>
      <c r="AM249" s="84">
        <v>0.0</v>
      </c>
      <c r="AN249" s="84">
        <v>1.0</v>
      </c>
      <c r="AO249" s="84">
        <v>0.0</v>
      </c>
      <c r="AP249" s="84">
        <v>0.0</v>
      </c>
      <c r="AQ249" s="84">
        <v>0.0</v>
      </c>
      <c r="AR249" s="84">
        <v>0.0</v>
      </c>
      <c r="AS249" s="84">
        <v>0.0</v>
      </c>
      <c r="AT249" s="84">
        <v>0.0</v>
      </c>
      <c r="AU249" s="84">
        <v>0.0</v>
      </c>
      <c r="AV249" s="84">
        <v>0.0</v>
      </c>
      <c r="AW249" s="84">
        <v>0.0</v>
      </c>
      <c r="AX249" s="84">
        <v>0.0</v>
      </c>
      <c r="AY249" s="84">
        <v>1.0</v>
      </c>
      <c r="AZ249" s="84">
        <v>41.0</v>
      </c>
      <c r="BH249" s="84">
        <v>266.0</v>
      </c>
      <c r="BI249" s="84" t="s">
        <v>5517</v>
      </c>
    </row>
    <row r="250" ht="12.75" customHeight="1">
      <c r="A250" s="84">
        <v>248.0</v>
      </c>
      <c r="B250" s="84" t="s">
        <v>2952</v>
      </c>
      <c r="C250" s="84">
        <v>1.0</v>
      </c>
      <c r="D250" s="84" t="s">
        <v>2659</v>
      </c>
      <c r="E250" s="84">
        <v>13.0</v>
      </c>
      <c r="F250" s="84" t="s">
        <v>5172</v>
      </c>
      <c r="G250" s="84">
        <v>120.0</v>
      </c>
      <c r="H250" s="84">
        <v>100.0</v>
      </c>
      <c r="I250" s="84">
        <v>10.0</v>
      </c>
      <c r="N250" s="84">
        <v>0.0</v>
      </c>
      <c r="O250" s="84">
        <v>0.0</v>
      </c>
      <c r="P250" s="84">
        <v>0.0</v>
      </c>
      <c r="U250" s="84">
        <v>148.0</v>
      </c>
      <c r="X250" s="84">
        <v>0.0</v>
      </c>
      <c r="AH250" s="84">
        <v>0.0</v>
      </c>
      <c r="AI250" s="84">
        <v>0.0</v>
      </c>
      <c r="AJ250" s="84">
        <v>0.0</v>
      </c>
      <c r="AK250" s="84">
        <v>0.0</v>
      </c>
      <c r="AL250" s="84">
        <v>0.0</v>
      </c>
      <c r="AM250" s="84">
        <v>0.0</v>
      </c>
      <c r="AN250" s="84">
        <v>0.0</v>
      </c>
      <c r="AO250" s="84">
        <v>0.0</v>
      </c>
      <c r="AP250" s="84">
        <v>0.0</v>
      </c>
      <c r="AQ250" s="84">
        <v>0.0</v>
      </c>
      <c r="AR250" s="84">
        <v>0.0</v>
      </c>
      <c r="AS250" s="84">
        <v>0.0</v>
      </c>
      <c r="AT250" s="84">
        <v>0.0</v>
      </c>
      <c r="AU250" s="84">
        <v>0.0</v>
      </c>
      <c r="AV250" s="84">
        <v>0.0</v>
      </c>
      <c r="AW250" s="84">
        <v>0.0</v>
      </c>
      <c r="AX250" s="84">
        <v>0.0</v>
      </c>
      <c r="AY250" s="84">
        <v>1.0</v>
      </c>
      <c r="AZ250" s="84">
        <v>29.0</v>
      </c>
      <c r="BH250" s="84">
        <v>267.0</v>
      </c>
      <c r="BI250" s="84" t="s">
        <v>5518</v>
      </c>
    </row>
    <row r="251" ht="12.75" customHeight="1">
      <c r="A251" s="84">
        <v>249.0</v>
      </c>
      <c r="B251" s="84" t="s">
        <v>5519</v>
      </c>
      <c r="C251" s="84">
        <v>1.0</v>
      </c>
      <c r="D251" s="84" t="s">
        <v>4935</v>
      </c>
      <c r="E251" s="84">
        <v>6.0</v>
      </c>
      <c r="F251" s="84" t="s">
        <v>5135</v>
      </c>
      <c r="G251" s="84">
        <v>40.0</v>
      </c>
      <c r="H251" s="84">
        <v>100.0</v>
      </c>
      <c r="I251" s="84">
        <v>15.0</v>
      </c>
      <c r="N251" s="84">
        <v>0.0</v>
      </c>
      <c r="O251" s="84">
        <v>0.0</v>
      </c>
      <c r="P251" s="84">
        <v>0.0</v>
      </c>
      <c r="U251" s="84">
        <v>69.0</v>
      </c>
      <c r="X251" s="84">
        <v>0.0</v>
      </c>
      <c r="Y251" s="84" t="s">
        <v>21</v>
      </c>
      <c r="Z251" s="84">
        <v>-1.0</v>
      </c>
      <c r="AA251" s="84">
        <v>50.0</v>
      </c>
      <c r="AH251" s="84">
        <v>1.0</v>
      </c>
      <c r="AI251" s="84">
        <v>0.0</v>
      </c>
      <c r="AJ251" s="84">
        <v>0.0</v>
      </c>
      <c r="AK251" s="84">
        <v>1.0</v>
      </c>
      <c r="AL251" s="84">
        <v>0.0</v>
      </c>
      <c r="AM251" s="84">
        <v>0.0</v>
      </c>
      <c r="AN251" s="84">
        <v>1.0</v>
      </c>
      <c r="AO251" s="84">
        <v>0.0</v>
      </c>
      <c r="AP251" s="84">
        <v>0.0</v>
      </c>
      <c r="AQ251" s="84">
        <v>0.0</v>
      </c>
      <c r="AR251" s="84">
        <v>0.0</v>
      </c>
      <c r="AS251" s="84">
        <v>0.0</v>
      </c>
      <c r="AT251" s="84">
        <v>0.0</v>
      </c>
      <c r="AU251" s="84">
        <v>0.0</v>
      </c>
      <c r="AV251" s="84">
        <v>0.0</v>
      </c>
      <c r="AW251" s="84">
        <v>0.0</v>
      </c>
      <c r="AX251" s="84">
        <v>0.0</v>
      </c>
      <c r="AY251" s="84">
        <v>1.0</v>
      </c>
      <c r="AZ251" s="84">
        <v>32.0</v>
      </c>
      <c r="BH251" s="84">
        <v>268.0</v>
      </c>
      <c r="BI251" s="84" t="s">
        <v>5520</v>
      </c>
    </row>
    <row r="252" ht="12.75" customHeight="1">
      <c r="A252" s="84">
        <v>250.0</v>
      </c>
      <c r="B252" s="84" t="s">
        <v>3245</v>
      </c>
      <c r="C252" s="84">
        <v>1.0</v>
      </c>
      <c r="D252" s="84" t="s">
        <v>4908</v>
      </c>
      <c r="E252" s="84">
        <v>4.0</v>
      </c>
      <c r="F252" s="84" t="s">
        <v>5172</v>
      </c>
      <c r="G252" s="84">
        <v>35.0</v>
      </c>
      <c r="H252" s="84">
        <v>85.0</v>
      </c>
      <c r="I252" s="84">
        <v>15.0</v>
      </c>
      <c r="M252" s="84" t="s">
        <v>5190</v>
      </c>
      <c r="N252" s="84">
        <v>8.0</v>
      </c>
      <c r="O252" s="84">
        <v>100.0</v>
      </c>
      <c r="P252" s="84">
        <v>4.0</v>
      </c>
      <c r="Q252" s="84">
        <v>5.0</v>
      </c>
      <c r="R252" s="84">
        <v>6.0</v>
      </c>
      <c r="U252" s="84">
        <v>261.0</v>
      </c>
      <c r="X252" s="84">
        <v>0.0</v>
      </c>
      <c r="AH252" s="84">
        <v>0.0</v>
      </c>
      <c r="AI252" s="84">
        <v>0.0</v>
      </c>
      <c r="AJ252" s="84">
        <v>0.0</v>
      </c>
      <c r="AK252" s="84">
        <v>1.0</v>
      </c>
      <c r="AL252" s="84">
        <v>0.0</v>
      </c>
      <c r="AM252" s="84">
        <v>0.0</v>
      </c>
      <c r="AN252" s="84">
        <v>1.0</v>
      </c>
      <c r="AO252" s="84">
        <v>0.0</v>
      </c>
      <c r="AP252" s="84">
        <v>0.0</v>
      </c>
      <c r="AQ252" s="84">
        <v>0.0</v>
      </c>
      <c r="AR252" s="84">
        <v>0.0</v>
      </c>
      <c r="AS252" s="84">
        <v>0.0</v>
      </c>
      <c r="AT252" s="84">
        <v>0.0</v>
      </c>
      <c r="AU252" s="84">
        <v>0.0</v>
      </c>
      <c r="AV252" s="84">
        <v>0.0</v>
      </c>
      <c r="AW252" s="84">
        <v>0.0</v>
      </c>
      <c r="AX252" s="84">
        <v>0.0</v>
      </c>
      <c r="AY252" s="84">
        <v>1.0</v>
      </c>
      <c r="AZ252" s="84">
        <v>22.0</v>
      </c>
      <c r="BH252" s="84">
        <v>269.0</v>
      </c>
      <c r="BI252" s="84" t="s">
        <v>5521</v>
      </c>
    </row>
    <row r="253" ht="12.75" customHeight="1">
      <c r="A253" s="84">
        <v>251.0</v>
      </c>
      <c r="B253" s="84" t="s">
        <v>5522</v>
      </c>
      <c r="C253" s="84">
        <v>1.0</v>
      </c>
      <c r="D253" s="84" t="s">
        <v>4972</v>
      </c>
      <c r="E253" s="84">
        <v>0.0</v>
      </c>
      <c r="F253" s="84" t="s">
        <v>5135</v>
      </c>
      <c r="G253" s="84">
        <v>1.0</v>
      </c>
      <c r="H253" s="84">
        <v>100.0</v>
      </c>
      <c r="I253" s="84">
        <v>10.0</v>
      </c>
      <c r="K253" s="84">
        <v>6.0</v>
      </c>
      <c r="L253" s="84">
        <v>6.0</v>
      </c>
      <c r="N253" s="84">
        <v>0.0</v>
      </c>
      <c r="O253" s="84">
        <v>0.0</v>
      </c>
      <c r="P253" s="84">
        <v>0.0</v>
      </c>
      <c r="U253" s="84">
        <v>154.0</v>
      </c>
      <c r="X253" s="84">
        <v>0.0</v>
      </c>
      <c r="AH253" s="84">
        <v>0.0</v>
      </c>
      <c r="AI253" s="84">
        <v>0.0</v>
      </c>
      <c r="AJ253" s="84">
        <v>0.0</v>
      </c>
      <c r="AK253" s="84">
        <v>1.0</v>
      </c>
      <c r="AL253" s="84">
        <v>0.0</v>
      </c>
      <c r="AM253" s="84">
        <v>0.0</v>
      </c>
      <c r="AN253" s="84">
        <v>1.0</v>
      </c>
      <c r="AO253" s="84">
        <v>0.0</v>
      </c>
      <c r="AP253" s="84">
        <v>0.0</v>
      </c>
      <c r="AQ253" s="84">
        <v>0.0</v>
      </c>
      <c r="AR253" s="84">
        <v>0.0</v>
      </c>
      <c r="AS253" s="84">
        <v>0.0</v>
      </c>
      <c r="AT253" s="84">
        <v>0.0</v>
      </c>
      <c r="AU253" s="84">
        <v>0.0</v>
      </c>
      <c r="AV253" s="84">
        <v>0.0</v>
      </c>
      <c r="AW253" s="84">
        <v>1.0</v>
      </c>
      <c r="AX253" s="84">
        <v>0.0</v>
      </c>
      <c r="AY253" s="84">
        <v>1.0</v>
      </c>
      <c r="AZ253" s="84">
        <v>28.0</v>
      </c>
      <c r="BH253" s="84">
        <v>270.0</v>
      </c>
      <c r="BI253" s="84" t="s">
        <v>5523</v>
      </c>
    </row>
    <row r="254" ht="12.75" customHeight="1">
      <c r="A254" s="84">
        <v>252.0</v>
      </c>
      <c r="B254" s="84" t="s">
        <v>2513</v>
      </c>
      <c r="C254" s="84">
        <v>1.0</v>
      </c>
      <c r="D254" s="84" t="s">
        <v>4916</v>
      </c>
      <c r="E254" s="84">
        <v>0.0</v>
      </c>
      <c r="F254" s="84" t="s">
        <v>5135</v>
      </c>
      <c r="G254" s="84">
        <v>40.0</v>
      </c>
      <c r="H254" s="84">
        <v>100.0</v>
      </c>
      <c r="I254" s="84">
        <v>10.0</v>
      </c>
      <c r="J254" s="84">
        <v>3.0</v>
      </c>
      <c r="N254" s="84">
        <v>0.0</v>
      </c>
      <c r="O254" s="84">
        <v>0.0</v>
      </c>
      <c r="P254" s="84">
        <v>0.0</v>
      </c>
      <c r="T254" s="84">
        <v>100.0</v>
      </c>
      <c r="U254" s="84">
        <v>158.0</v>
      </c>
      <c r="X254" s="84">
        <v>0.0</v>
      </c>
      <c r="AH254" s="84">
        <v>1.0</v>
      </c>
      <c r="AI254" s="84">
        <v>0.0</v>
      </c>
      <c r="AJ254" s="84">
        <v>0.0</v>
      </c>
      <c r="AK254" s="84">
        <v>1.0</v>
      </c>
      <c r="AL254" s="84">
        <v>0.0</v>
      </c>
      <c r="AM254" s="84">
        <v>0.0</v>
      </c>
      <c r="AN254" s="84">
        <v>1.0</v>
      </c>
      <c r="AO254" s="84">
        <v>0.0</v>
      </c>
      <c r="AP254" s="84">
        <v>0.0</v>
      </c>
      <c r="AQ254" s="84">
        <v>0.0</v>
      </c>
      <c r="AR254" s="84">
        <v>0.0</v>
      </c>
      <c r="AS254" s="84">
        <v>0.0</v>
      </c>
      <c r="AT254" s="84">
        <v>0.0</v>
      </c>
      <c r="AU254" s="84">
        <v>0.0</v>
      </c>
      <c r="AV254" s="84">
        <v>0.0</v>
      </c>
      <c r="AW254" s="84">
        <v>0.0</v>
      </c>
      <c r="AX254" s="84">
        <v>0.0</v>
      </c>
      <c r="AY254" s="84">
        <v>1.0</v>
      </c>
      <c r="AZ254" s="84">
        <v>32.0</v>
      </c>
      <c r="BH254" s="84">
        <v>271.0</v>
      </c>
      <c r="BI254" s="84" t="s">
        <v>5524</v>
      </c>
    </row>
    <row r="255" ht="12.75" customHeight="1">
      <c r="A255" s="84">
        <v>253.0</v>
      </c>
      <c r="B255" s="84" t="s">
        <v>2713</v>
      </c>
      <c r="C255" s="84">
        <v>1.0</v>
      </c>
      <c r="D255" s="84" t="s">
        <v>4916</v>
      </c>
      <c r="E255" s="84">
        <v>0.0</v>
      </c>
      <c r="F255" s="84" t="s">
        <v>5172</v>
      </c>
      <c r="G255" s="84">
        <v>90.0</v>
      </c>
      <c r="H255" s="84">
        <v>100.0</v>
      </c>
      <c r="I255" s="84">
        <v>10.0</v>
      </c>
      <c r="N255" s="84">
        <v>0.0</v>
      </c>
      <c r="O255" s="84">
        <v>0.0</v>
      </c>
      <c r="P255" s="84">
        <v>0.0</v>
      </c>
      <c r="U255" s="84">
        <v>159.0</v>
      </c>
      <c r="X255" s="84">
        <v>9.0</v>
      </c>
      <c r="AH255" s="84">
        <v>0.0</v>
      </c>
      <c r="AI255" s="84">
        <v>0.0</v>
      </c>
      <c r="AJ255" s="84">
        <v>0.0</v>
      </c>
      <c r="AK255" s="84">
        <v>1.0</v>
      </c>
      <c r="AL255" s="84">
        <v>0.0</v>
      </c>
      <c r="AM255" s="84">
        <v>0.0</v>
      </c>
      <c r="AN255" s="84">
        <v>1.0</v>
      </c>
      <c r="AO255" s="84">
        <v>0.0</v>
      </c>
      <c r="AP255" s="84">
        <v>1.0</v>
      </c>
      <c r="AQ255" s="84">
        <v>0.0</v>
      </c>
      <c r="AR255" s="84">
        <v>0.0</v>
      </c>
      <c r="AS255" s="84">
        <v>0.0</v>
      </c>
      <c r="AT255" s="84">
        <v>0.0</v>
      </c>
      <c r="AU255" s="84">
        <v>1.0</v>
      </c>
      <c r="AV255" s="84">
        <v>0.0</v>
      </c>
      <c r="AW255" s="84">
        <v>0.0</v>
      </c>
      <c r="AX255" s="84">
        <v>0.0</v>
      </c>
      <c r="AY255" s="84">
        <v>1.0</v>
      </c>
      <c r="AZ255" s="84">
        <v>41.0</v>
      </c>
      <c r="BH255" s="84">
        <v>272.0</v>
      </c>
      <c r="BI255" s="84" t="s">
        <v>5525</v>
      </c>
    </row>
    <row r="256" ht="12.75" customHeight="1">
      <c r="A256" s="84">
        <v>254.0</v>
      </c>
      <c r="B256" s="84" t="s">
        <v>3222</v>
      </c>
      <c r="C256" s="84">
        <v>1.0</v>
      </c>
      <c r="D256" s="84" t="s">
        <v>4916</v>
      </c>
      <c r="E256" s="84">
        <v>13.0</v>
      </c>
      <c r="F256" s="84" t="s">
        <v>5131</v>
      </c>
      <c r="G256" s="84">
        <v>0.0</v>
      </c>
      <c r="H256" s="84">
        <v>101.0</v>
      </c>
      <c r="I256" s="84">
        <v>20.0</v>
      </c>
      <c r="N256" s="84">
        <v>0.0</v>
      </c>
      <c r="O256" s="84">
        <v>0.0</v>
      </c>
      <c r="P256" s="84">
        <v>0.0</v>
      </c>
      <c r="U256" s="84">
        <v>160.0</v>
      </c>
      <c r="X256" s="84">
        <v>7.0</v>
      </c>
      <c r="AH256" s="84">
        <v>0.0</v>
      </c>
      <c r="AI256" s="84">
        <v>0.0</v>
      </c>
      <c r="AJ256" s="84">
        <v>0.0</v>
      </c>
      <c r="AK256" s="84">
        <v>0.0</v>
      </c>
      <c r="AL256" s="84">
        <v>0.0</v>
      </c>
      <c r="AM256" s="84">
        <v>1.0</v>
      </c>
      <c r="AN256" s="84">
        <v>0.0</v>
      </c>
      <c r="AO256" s="84">
        <v>0.0</v>
      </c>
      <c r="AP256" s="84">
        <v>0.0</v>
      </c>
      <c r="AQ256" s="84">
        <v>0.0</v>
      </c>
      <c r="AR256" s="84">
        <v>0.0</v>
      </c>
      <c r="AS256" s="84">
        <v>0.0</v>
      </c>
      <c r="AT256" s="84">
        <v>0.0</v>
      </c>
      <c r="AU256" s="84">
        <v>0.0</v>
      </c>
      <c r="AV256" s="84">
        <v>0.0</v>
      </c>
      <c r="AW256" s="84">
        <v>0.0</v>
      </c>
      <c r="AX256" s="84">
        <v>0.0</v>
      </c>
      <c r="AY256" s="84">
        <v>1.0</v>
      </c>
      <c r="AZ256" s="84">
        <v>9.0</v>
      </c>
      <c r="BH256" s="84">
        <v>273.0</v>
      </c>
      <c r="BI256" s="84" t="s">
        <v>5526</v>
      </c>
    </row>
    <row r="257" ht="12.75" customHeight="1">
      <c r="A257" s="84">
        <v>255.0</v>
      </c>
      <c r="B257" s="84" t="s">
        <v>5527</v>
      </c>
      <c r="C257" s="84">
        <v>1.0</v>
      </c>
      <c r="D257" s="84" t="s">
        <v>4916</v>
      </c>
      <c r="E257" s="84">
        <v>0.0</v>
      </c>
      <c r="F257" s="84" t="s">
        <v>5172</v>
      </c>
      <c r="G257" s="84">
        <v>1.0</v>
      </c>
      <c r="H257" s="84">
        <v>100.0</v>
      </c>
      <c r="I257" s="84">
        <v>10.0</v>
      </c>
      <c r="N257" s="84">
        <v>0.0</v>
      </c>
      <c r="O257" s="84">
        <v>0.0</v>
      </c>
      <c r="P257" s="84">
        <v>0.0</v>
      </c>
      <c r="U257" s="84">
        <v>161.0</v>
      </c>
      <c r="X257" s="84">
        <v>0.0</v>
      </c>
      <c r="AH257" s="84">
        <v>0.0</v>
      </c>
      <c r="AI257" s="84">
        <v>0.0</v>
      </c>
      <c r="AJ257" s="84">
        <v>0.0</v>
      </c>
      <c r="AK257" s="84">
        <v>1.0</v>
      </c>
      <c r="AL257" s="84">
        <v>0.0</v>
      </c>
      <c r="AM257" s="84">
        <v>0.0</v>
      </c>
      <c r="AN257" s="84">
        <v>0.0</v>
      </c>
      <c r="AO257" s="84">
        <v>0.0</v>
      </c>
      <c r="AP257" s="84">
        <v>0.0</v>
      </c>
      <c r="AQ257" s="84">
        <v>0.0</v>
      </c>
      <c r="AR257" s="84">
        <v>0.0</v>
      </c>
      <c r="AS257" s="84">
        <v>0.0</v>
      </c>
      <c r="AT257" s="84">
        <v>0.0</v>
      </c>
      <c r="AU257" s="84">
        <v>0.0</v>
      </c>
      <c r="AV257" s="84">
        <v>0.0</v>
      </c>
      <c r="AW257" s="84">
        <v>0.0</v>
      </c>
      <c r="AX257" s="84">
        <v>0.0</v>
      </c>
      <c r="AY257" s="84">
        <v>1.0</v>
      </c>
      <c r="AZ257" s="84">
        <v>2.0</v>
      </c>
      <c r="BH257" s="84">
        <v>274.0</v>
      </c>
      <c r="BI257" s="84" t="s">
        <v>5528</v>
      </c>
    </row>
    <row r="258" ht="12.75" customHeight="1">
      <c r="A258" s="84">
        <v>256.0</v>
      </c>
      <c r="B258" s="84" t="s">
        <v>3398</v>
      </c>
      <c r="C258" s="84">
        <v>1.0</v>
      </c>
      <c r="D258" s="84" t="s">
        <v>4916</v>
      </c>
      <c r="E258" s="84">
        <v>3.0</v>
      </c>
      <c r="F258" s="84" t="s">
        <v>5131</v>
      </c>
      <c r="G258" s="84">
        <v>0.0</v>
      </c>
      <c r="H258" s="84">
        <v>101.0</v>
      </c>
      <c r="I258" s="84">
        <v>10.0</v>
      </c>
      <c r="N258" s="84">
        <v>0.0</v>
      </c>
      <c r="O258" s="84">
        <v>0.0</v>
      </c>
      <c r="P258" s="84">
        <v>0.0</v>
      </c>
      <c r="U258" s="84">
        <v>162.0</v>
      </c>
      <c r="W258" s="84">
        <v>25.0</v>
      </c>
      <c r="X258" s="84">
        <v>7.0</v>
      </c>
      <c r="AH258" s="84">
        <v>0.0</v>
      </c>
      <c r="AI258" s="84">
        <v>0.0</v>
      </c>
      <c r="AJ258" s="84">
        <v>0.0</v>
      </c>
      <c r="AK258" s="84">
        <v>0.0</v>
      </c>
      <c r="AL258" s="84">
        <v>0.0</v>
      </c>
      <c r="AM258" s="84">
        <v>1.0</v>
      </c>
      <c r="AN258" s="84">
        <v>0.0</v>
      </c>
      <c r="AO258" s="84">
        <v>0.0</v>
      </c>
      <c r="AP258" s="84">
        <v>0.0</v>
      </c>
      <c r="AQ258" s="84">
        <v>0.0</v>
      </c>
      <c r="AR258" s="84">
        <v>0.0</v>
      </c>
      <c r="AS258" s="84">
        <v>0.0</v>
      </c>
      <c r="AT258" s="84">
        <v>1.0</v>
      </c>
      <c r="AU258" s="84">
        <v>0.0</v>
      </c>
      <c r="AV258" s="84">
        <v>0.0</v>
      </c>
      <c r="AW258" s="84">
        <v>0.0</v>
      </c>
      <c r="AX258" s="84">
        <v>0.0</v>
      </c>
      <c r="AY258" s="84">
        <v>1.0</v>
      </c>
      <c r="AZ258" s="84">
        <v>15.0</v>
      </c>
      <c r="BH258" s="84">
        <v>275.0</v>
      </c>
      <c r="BI258" s="84" t="s">
        <v>5529</v>
      </c>
    </row>
    <row r="259" ht="12.75" customHeight="1">
      <c r="A259" s="84">
        <v>257.0</v>
      </c>
      <c r="B259" s="84" t="s">
        <v>4213</v>
      </c>
      <c r="C259" s="84">
        <v>1.0</v>
      </c>
      <c r="D259" s="84" t="s">
        <v>4906</v>
      </c>
      <c r="E259" s="84">
        <v>4.0</v>
      </c>
      <c r="F259" s="84" t="s">
        <v>5172</v>
      </c>
      <c r="G259" s="84">
        <v>95.0</v>
      </c>
      <c r="H259" s="84">
        <v>90.0</v>
      </c>
      <c r="I259" s="84">
        <v>10.0</v>
      </c>
      <c r="M259" s="84" t="s">
        <v>5152</v>
      </c>
      <c r="N259" s="84">
        <v>4.0</v>
      </c>
      <c r="O259" s="84">
        <v>10.0</v>
      </c>
      <c r="P259" s="84">
        <v>1.0</v>
      </c>
      <c r="U259" s="84">
        <v>4.0</v>
      </c>
      <c r="X259" s="84">
        <v>5.0</v>
      </c>
      <c r="AH259" s="84">
        <v>0.0</v>
      </c>
      <c r="AI259" s="84">
        <v>0.0</v>
      </c>
      <c r="AJ259" s="84">
        <v>0.0</v>
      </c>
      <c r="AK259" s="84">
        <v>1.0</v>
      </c>
      <c r="AL259" s="84">
        <v>0.0</v>
      </c>
      <c r="AM259" s="84">
        <v>0.0</v>
      </c>
      <c r="AN259" s="84">
        <v>1.0</v>
      </c>
      <c r="AO259" s="84">
        <v>0.0</v>
      </c>
      <c r="AP259" s="84">
        <v>0.0</v>
      </c>
      <c r="AQ259" s="84">
        <v>0.0</v>
      </c>
      <c r="AR259" s="84">
        <v>0.0</v>
      </c>
      <c r="AS259" s="84">
        <v>0.0</v>
      </c>
      <c r="AT259" s="84">
        <v>0.0</v>
      </c>
      <c r="AU259" s="84">
        <v>0.0</v>
      </c>
      <c r="AV259" s="84">
        <v>0.0</v>
      </c>
      <c r="AW259" s="84">
        <v>0.0</v>
      </c>
      <c r="AX259" s="84">
        <v>0.0</v>
      </c>
      <c r="AY259" s="84">
        <v>1.0</v>
      </c>
      <c r="AZ259" s="84">
        <v>41.0</v>
      </c>
      <c r="BH259" s="84">
        <v>276.0</v>
      </c>
      <c r="BI259" s="84" t="s">
        <v>5530</v>
      </c>
    </row>
    <row r="260" ht="12.75" customHeight="1">
      <c r="A260" s="84">
        <v>258.0</v>
      </c>
      <c r="B260" s="84" t="s">
        <v>3010</v>
      </c>
      <c r="C260" s="84">
        <v>1.0</v>
      </c>
      <c r="D260" s="84" t="s">
        <v>4942</v>
      </c>
      <c r="E260" s="84">
        <v>10.0</v>
      </c>
      <c r="F260" s="84" t="s">
        <v>5131</v>
      </c>
      <c r="G260" s="84">
        <v>0.0</v>
      </c>
      <c r="H260" s="84">
        <v>101.0</v>
      </c>
      <c r="I260" s="84">
        <v>10.0</v>
      </c>
      <c r="N260" s="84">
        <v>0.0</v>
      </c>
      <c r="O260" s="84">
        <v>0.0</v>
      </c>
      <c r="P260" s="84">
        <v>0.0</v>
      </c>
      <c r="U260" s="84">
        <v>164.0</v>
      </c>
      <c r="X260" s="84">
        <v>10.0</v>
      </c>
      <c r="AH260" s="84">
        <v>0.0</v>
      </c>
      <c r="AI260" s="84">
        <v>0.0</v>
      </c>
      <c r="AJ260" s="84">
        <v>0.0</v>
      </c>
      <c r="AK260" s="84">
        <v>0.0</v>
      </c>
      <c r="AL260" s="84">
        <v>0.0</v>
      </c>
      <c r="AM260" s="84">
        <v>0.0</v>
      </c>
      <c r="AN260" s="84">
        <v>0.0</v>
      </c>
      <c r="AO260" s="84">
        <v>0.0</v>
      </c>
      <c r="AP260" s="84">
        <v>0.0</v>
      </c>
      <c r="AQ260" s="84">
        <v>0.0</v>
      </c>
      <c r="AR260" s="84">
        <v>0.0</v>
      </c>
      <c r="AS260" s="84">
        <v>0.0</v>
      </c>
      <c r="AT260" s="84">
        <v>0.0</v>
      </c>
      <c r="AU260" s="84">
        <v>0.0</v>
      </c>
      <c r="AV260" s="84">
        <v>0.0</v>
      </c>
      <c r="AW260" s="84">
        <v>0.0</v>
      </c>
      <c r="AX260" s="84">
        <v>0.0</v>
      </c>
      <c r="AY260" s="84">
        <v>1.0</v>
      </c>
      <c r="AZ260" s="84">
        <v>23.0</v>
      </c>
      <c r="BH260" s="84">
        <v>277.0</v>
      </c>
      <c r="BI260" s="84" t="s">
        <v>5531</v>
      </c>
    </row>
    <row r="261" ht="12.75" customHeight="1">
      <c r="A261" s="84">
        <v>259.0</v>
      </c>
      <c r="B261" s="84" t="s">
        <v>3062</v>
      </c>
      <c r="C261" s="84">
        <v>1.0</v>
      </c>
      <c r="D261" s="84" t="s">
        <v>4972</v>
      </c>
      <c r="E261" s="84">
        <v>1.0</v>
      </c>
      <c r="F261" s="84" t="s">
        <v>5131</v>
      </c>
      <c r="G261" s="84">
        <v>0.0</v>
      </c>
      <c r="H261" s="84">
        <v>100.0</v>
      </c>
      <c r="I261" s="84">
        <v>15.0</v>
      </c>
      <c r="M261" s="84" t="s">
        <v>3062</v>
      </c>
      <c r="N261" s="84">
        <v>12.0</v>
      </c>
      <c r="O261" s="84">
        <v>0.0</v>
      </c>
      <c r="P261" s="84">
        <v>1.0</v>
      </c>
      <c r="U261" s="84">
        <v>165.0</v>
      </c>
      <c r="X261" s="84">
        <v>0.0</v>
      </c>
      <c r="AH261" s="84">
        <v>0.0</v>
      </c>
      <c r="AI261" s="84">
        <v>0.0</v>
      </c>
      <c r="AJ261" s="84">
        <v>0.0</v>
      </c>
      <c r="AK261" s="84">
        <v>1.0</v>
      </c>
      <c r="AL261" s="84">
        <v>1.0</v>
      </c>
      <c r="AM261" s="84">
        <v>0.0</v>
      </c>
      <c r="AN261" s="84">
        <v>1.0</v>
      </c>
      <c r="AO261" s="84">
        <v>0.0</v>
      </c>
      <c r="AP261" s="84">
        <v>0.0</v>
      </c>
      <c r="AQ261" s="84">
        <v>0.0</v>
      </c>
      <c r="AR261" s="84">
        <v>0.0</v>
      </c>
      <c r="AS261" s="84">
        <v>0.0</v>
      </c>
      <c r="AT261" s="84">
        <v>0.0</v>
      </c>
      <c r="AU261" s="84">
        <v>1.0</v>
      </c>
      <c r="AV261" s="84">
        <v>0.0</v>
      </c>
      <c r="AW261" s="84">
        <v>0.0</v>
      </c>
      <c r="AX261" s="84">
        <v>0.0</v>
      </c>
      <c r="AY261" s="84">
        <v>1.0</v>
      </c>
      <c r="AZ261" s="84">
        <v>14.0</v>
      </c>
      <c r="BH261" s="84">
        <v>278.0</v>
      </c>
      <c r="BI261" s="84" t="s">
        <v>5532</v>
      </c>
    </row>
    <row r="262" ht="12.75" customHeight="1">
      <c r="A262" s="84">
        <v>260.0</v>
      </c>
      <c r="B262" s="84" t="s">
        <v>3152</v>
      </c>
      <c r="C262" s="84">
        <v>1.0</v>
      </c>
      <c r="D262" s="84" t="s">
        <v>4972</v>
      </c>
      <c r="E262" s="84">
        <v>5.0</v>
      </c>
      <c r="F262" s="84" t="s">
        <v>5131</v>
      </c>
      <c r="G262" s="84">
        <v>0.0</v>
      </c>
      <c r="H262" s="84">
        <v>100.0</v>
      </c>
      <c r="I262" s="84">
        <v>15.0</v>
      </c>
      <c r="M262" s="84" t="s">
        <v>5255</v>
      </c>
      <c r="N262" s="84">
        <v>6.0</v>
      </c>
      <c r="O262" s="84">
        <v>0.0</v>
      </c>
      <c r="P262" s="84">
        <v>2.0</v>
      </c>
      <c r="Q262" s="84">
        <v>2.0</v>
      </c>
      <c r="R262" s="84">
        <v>5.0</v>
      </c>
      <c r="U262" s="84">
        <v>166.0</v>
      </c>
      <c r="X262" s="84">
        <v>0.0</v>
      </c>
      <c r="Y262" s="84" t="s">
        <v>22</v>
      </c>
      <c r="Z262" s="84">
        <v>1.0</v>
      </c>
      <c r="AH262" s="84">
        <v>0.0</v>
      </c>
      <c r="AI262" s="84">
        <v>0.0</v>
      </c>
      <c r="AJ262" s="84">
        <v>0.0</v>
      </c>
      <c r="AK262" s="84">
        <v>1.0</v>
      </c>
      <c r="AL262" s="84">
        <v>1.0</v>
      </c>
      <c r="AM262" s="84">
        <v>0.0</v>
      </c>
      <c r="AN262" s="84">
        <v>1.0</v>
      </c>
      <c r="AO262" s="84">
        <v>0.0</v>
      </c>
      <c r="AP262" s="84">
        <v>0.0</v>
      </c>
      <c r="AQ262" s="84">
        <v>0.0</v>
      </c>
      <c r="AR262" s="84">
        <v>0.0</v>
      </c>
      <c r="AS262" s="84">
        <v>0.0</v>
      </c>
      <c r="AT262" s="84">
        <v>0.0</v>
      </c>
      <c r="AU262" s="84">
        <v>0.0</v>
      </c>
      <c r="AV262" s="84">
        <v>0.0</v>
      </c>
      <c r="AW262" s="84">
        <v>1.0</v>
      </c>
      <c r="AX262" s="84">
        <v>0.0</v>
      </c>
      <c r="AY262" s="84">
        <v>1.0</v>
      </c>
      <c r="AZ262" s="84">
        <v>14.0</v>
      </c>
      <c r="BH262" s="84">
        <v>279.0</v>
      </c>
      <c r="BI262" s="84" t="s">
        <v>5533</v>
      </c>
    </row>
    <row r="263" ht="12.75" customHeight="1">
      <c r="A263" s="84">
        <v>261.0</v>
      </c>
      <c r="B263" s="84" t="s">
        <v>2732</v>
      </c>
      <c r="C263" s="84">
        <v>1.0</v>
      </c>
      <c r="D263" s="84" t="s">
        <v>4906</v>
      </c>
      <c r="E263" s="84">
        <v>1.0</v>
      </c>
      <c r="F263" s="84" t="s">
        <v>5131</v>
      </c>
      <c r="G263" s="84">
        <v>0.0</v>
      </c>
      <c r="H263" s="84">
        <v>85.0</v>
      </c>
      <c r="I263" s="84">
        <v>15.0</v>
      </c>
      <c r="M263" s="84" t="s">
        <v>5534</v>
      </c>
      <c r="N263" s="84">
        <v>4.0</v>
      </c>
      <c r="O263" s="84">
        <v>0.0</v>
      </c>
      <c r="P263" s="84">
        <v>1.0</v>
      </c>
      <c r="U263" s="84">
        <v>167.0</v>
      </c>
      <c r="X263" s="84">
        <v>0.0</v>
      </c>
      <c r="AH263" s="84">
        <v>0.0</v>
      </c>
      <c r="AI263" s="84">
        <v>0.0</v>
      </c>
      <c r="AJ263" s="84">
        <v>0.0</v>
      </c>
      <c r="AK263" s="84">
        <v>1.0</v>
      </c>
      <c r="AL263" s="84">
        <v>1.0</v>
      </c>
      <c r="AM263" s="84">
        <v>0.0</v>
      </c>
      <c r="AN263" s="84">
        <v>1.0</v>
      </c>
      <c r="AO263" s="84">
        <v>0.0</v>
      </c>
      <c r="AP263" s="84">
        <v>0.0</v>
      </c>
      <c r="AQ263" s="84">
        <v>0.0</v>
      </c>
      <c r="AR263" s="84">
        <v>0.0</v>
      </c>
      <c r="AS263" s="84">
        <v>0.0</v>
      </c>
      <c r="AT263" s="84">
        <v>0.0</v>
      </c>
      <c r="AU263" s="84">
        <v>0.0</v>
      </c>
      <c r="AV263" s="84">
        <v>0.0</v>
      </c>
      <c r="AW263" s="84">
        <v>0.0</v>
      </c>
      <c r="AX263" s="84">
        <v>0.0</v>
      </c>
      <c r="AY263" s="84">
        <v>1.0</v>
      </c>
      <c r="AZ263" s="84">
        <v>16.0</v>
      </c>
      <c r="BH263" s="84">
        <v>280.0</v>
      </c>
      <c r="BI263" s="84" t="s">
        <v>5535</v>
      </c>
    </row>
    <row r="264" ht="12.75" customHeight="1">
      <c r="A264" s="84">
        <v>262.0</v>
      </c>
      <c r="B264" s="84" t="s">
        <v>4032</v>
      </c>
      <c r="C264" s="84">
        <v>1.0</v>
      </c>
      <c r="D264" s="84" t="s">
        <v>4972</v>
      </c>
      <c r="E264" s="84">
        <v>13.0</v>
      </c>
      <c r="F264" s="84" t="s">
        <v>5131</v>
      </c>
      <c r="G264" s="84">
        <v>0.0</v>
      </c>
      <c r="H264" s="84">
        <v>100.0</v>
      </c>
      <c r="I264" s="84">
        <v>10.0</v>
      </c>
      <c r="N264" s="84">
        <v>0.0</v>
      </c>
      <c r="O264" s="84">
        <v>0.0</v>
      </c>
      <c r="P264" s="84">
        <v>0.0</v>
      </c>
      <c r="U264" s="84">
        <v>168.0</v>
      </c>
      <c r="X264" s="84">
        <v>0.0</v>
      </c>
      <c r="AH264" s="84">
        <v>0.0</v>
      </c>
      <c r="AI264" s="84">
        <v>0.0</v>
      </c>
      <c r="AJ264" s="84">
        <v>0.0</v>
      </c>
      <c r="AK264" s="84">
        <v>1.0</v>
      </c>
      <c r="AL264" s="84">
        <v>0.0</v>
      </c>
      <c r="AM264" s="84">
        <v>0.0</v>
      </c>
      <c r="AN264" s="84">
        <v>1.0</v>
      </c>
      <c r="AO264" s="84">
        <v>0.0</v>
      </c>
      <c r="AP264" s="84">
        <v>0.0</v>
      </c>
      <c r="AQ264" s="84">
        <v>0.0</v>
      </c>
      <c r="AR264" s="84">
        <v>0.0</v>
      </c>
      <c r="AS264" s="84">
        <v>0.0</v>
      </c>
      <c r="AT264" s="84">
        <v>0.0</v>
      </c>
      <c r="AU264" s="84">
        <v>0.0</v>
      </c>
      <c r="AV264" s="84">
        <v>0.0</v>
      </c>
      <c r="AW264" s="84">
        <v>0.0</v>
      </c>
      <c r="AX264" s="84">
        <v>0.0</v>
      </c>
      <c r="AY264" s="84">
        <v>1.0</v>
      </c>
      <c r="AZ264" s="84">
        <v>11.0</v>
      </c>
      <c r="BH264" s="84">
        <v>281.0</v>
      </c>
      <c r="BI264" s="84" t="s">
        <v>5536</v>
      </c>
    </row>
    <row r="265" ht="12.75" customHeight="1">
      <c r="A265" s="84">
        <v>263.0</v>
      </c>
      <c r="B265" s="84" t="s">
        <v>3253</v>
      </c>
      <c r="C265" s="84">
        <v>1.0</v>
      </c>
      <c r="D265" s="84" t="s">
        <v>4916</v>
      </c>
      <c r="E265" s="84">
        <v>0.0</v>
      </c>
      <c r="F265" s="84" t="s">
        <v>5135</v>
      </c>
      <c r="G265" s="84">
        <v>70.0</v>
      </c>
      <c r="H265" s="84">
        <v>100.0</v>
      </c>
      <c r="I265" s="84">
        <v>20.0</v>
      </c>
      <c r="N265" s="84">
        <v>0.0</v>
      </c>
      <c r="O265" s="84">
        <v>0.0</v>
      </c>
      <c r="P265" s="84">
        <v>0.0</v>
      </c>
      <c r="U265" s="84">
        <v>169.0</v>
      </c>
      <c r="X265" s="84">
        <v>0.0</v>
      </c>
      <c r="AH265" s="84">
        <v>1.0</v>
      </c>
      <c r="AI265" s="84">
        <v>0.0</v>
      </c>
      <c r="AJ265" s="84">
        <v>0.0</v>
      </c>
      <c r="AK265" s="84">
        <v>1.0</v>
      </c>
      <c r="AL265" s="84">
        <v>0.0</v>
      </c>
      <c r="AM265" s="84">
        <v>0.0</v>
      </c>
      <c r="AN265" s="84">
        <v>1.0</v>
      </c>
      <c r="AO265" s="84">
        <v>0.0</v>
      </c>
      <c r="AP265" s="84">
        <v>0.0</v>
      </c>
      <c r="AQ265" s="84">
        <v>0.0</v>
      </c>
      <c r="AR265" s="84">
        <v>0.0</v>
      </c>
      <c r="AS265" s="84">
        <v>0.0</v>
      </c>
      <c r="AT265" s="84">
        <v>0.0</v>
      </c>
      <c r="AU265" s="84">
        <v>0.0</v>
      </c>
      <c r="AV265" s="84">
        <v>0.0</v>
      </c>
      <c r="AW265" s="84">
        <v>0.0</v>
      </c>
      <c r="AX265" s="84">
        <v>0.0</v>
      </c>
      <c r="AY265" s="84">
        <v>1.0</v>
      </c>
      <c r="AZ265" s="84">
        <v>38.0</v>
      </c>
      <c r="BH265" s="84">
        <v>282.0</v>
      </c>
      <c r="BI265" s="84" t="s">
        <v>5537</v>
      </c>
    </row>
    <row r="266" ht="12.75" customHeight="1">
      <c r="A266" s="84">
        <v>264.0</v>
      </c>
      <c r="B266" s="84" t="s">
        <v>3594</v>
      </c>
      <c r="C266" s="84">
        <v>1.0</v>
      </c>
      <c r="D266" s="84" t="s">
        <v>4935</v>
      </c>
      <c r="E266" s="84">
        <v>0.0</v>
      </c>
      <c r="F266" s="84" t="s">
        <v>5135</v>
      </c>
      <c r="G266" s="84">
        <v>150.0</v>
      </c>
      <c r="H266" s="84">
        <v>100.0</v>
      </c>
      <c r="I266" s="84">
        <v>20.0</v>
      </c>
      <c r="J266" s="84">
        <v>-3.0</v>
      </c>
      <c r="N266" s="84">
        <v>0.0</v>
      </c>
      <c r="O266" s="84">
        <v>0.0</v>
      </c>
      <c r="P266" s="84">
        <v>0.0</v>
      </c>
      <c r="U266" s="84">
        <v>170.0</v>
      </c>
      <c r="X266" s="84">
        <v>0.0</v>
      </c>
      <c r="AH266" s="84">
        <v>1.0</v>
      </c>
      <c r="AI266" s="84">
        <v>0.0</v>
      </c>
      <c r="AJ266" s="84">
        <v>0.0</v>
      </c>
      <c r="AK266" s="84">
        <v>1.0</v>
      </c>
      <c r="AL266" s="84">
        <v>0.0</v>
      </c>
      <c r="AM266" s="84">
        <v>0.0</v>
      </c>
      <c r="AN266" s="84">
        <v>0.0</v>
      </c>
      <c r="AO266" s="84">
        <v>1.0</v>
      </c>
      <c r="AP266" s="84">
        <v>0.0</v>
      </c>
      <c r="AQ266" s="84">
        <v>0.0</v>
      </c>
      <c r="AR266" s="84">
        <v>0.0</v>
      </c>
      <c r="AS266" s="84">
        <v>0.0</v>
      </c>
      <c r="AT266" s="84">
        <v>0.0</v>
      </c>
      <c r="AU266" s="84">
        <v>0.0</v>
      </c>
      <c r="AV266" s="84">
        <v>0.0</v>
      </c>
      <c r="AW266" s="84">
        <v>0.0</v>
      </c>
      <c r="AX266" s="84">
        <v>0.0</v>
      </c>
      <c r="AY266" s="84">
        <v>0.0</v>
      </c>
      <c r="AZ266" s="84">
        <v>44.0</v>
      </c>
      <c r="BH266" s="84">
        <v>283.0</v>
      </c>
      <c r="BI266" s="84" t="s">
        <v>5538</v>
      </c>
    </row>
    <row r="267" ht="12.75" customHeight="1">
      <c r="A267" s="84">
        <v>265.0</v>
      </c>
      <c r="B267" s="84" t="s">
        <v>5539</v>
      </c>
      <c r="C267" s="84">
        <v>0.0</v>
      </c>
      <c r="D267" s="84" t="s">
        <v>4916</v>
      </c>
      <c r="E267" s="84">
        <v>0.0</v>
      </c>
      <c r="F267" s="84" t="s">
        <v>5135</v>
      </c>
      <c r="G267" s="84">
        <v>70.0</v>
      </c>
      <c r="H267" s="84">
        <v>100.0</v>
      </c>
      <c r="I267" s="84">
        <v>10.0</v>
      </c>
      <c r="J267" s="84"/>
      <c r="K267" s="84"/>
      <c r="L267" s="84"/>
      <c r="M267" s="84"/>
      <c r="N267" s="84">
        <v>0.0</v>
      </c>
      <c r="O267" s="84">
        <v>0.0</v>
      </c>
      <c r="P267" s="84">
        <v>0.0</v>
      </c>
      <c r="Q267" s="84"/>
      <c r="R267" s="84"/>
      <c r="S267" s="84"/>
      <c r="T267" s="84"/>
      <c r="U267" s="84">
        <v>171.0</v>
      </c>
      <c r="V267" s="84"/>
      <c r="W267" s="84"/>
      <c r="X267" s="84">
        <v>0.0</v>
      </c>
      <c r="Y267" s="84"/>
      <c r="Z267" s="84"/>
      <c r="AA267" s="84"/>
      <c r="AB267" s="84"/>
      <c r="AC267" s="84"/>
      <c r="AD267" s="84"/>
      <c r="AE267" s="84"/>
      <c r="AF267" s="84"/>
      <c r="AG267" s="84"/>
      <c r="AH267" s="84">
        <v>1.0</v>
      </c>
      <c r="AI267" s="84">
        <v>0.0</v>
      </c>
      <c r="AJ267" s="84">
        <v>0.0</v>
      </c>
      <c r="AK267" s="84">
        <v>1.0</v>
      </c>
      <c r="AL267" s="84">
        <v>0.0</v>
      </c>
      <c r="AM267" s="84">
        <v>0.0</v>
      </c>
      <c r="AN267" s="84">
        <v>1.0</v>
      </c>
      <c r="AO267" s="84">
        <v>0.0</v>
      </c>
      <c r="AP267" s="84">
        <v>0.0</v>
      </c>
      <c r="AQ267" s="84">
        <v>0.0</v>
      </c>
      <c r="AR267" s="84">
        <v>0.0</v>
      </c>
      <c r="AS267" s="84">
        <v>0.0</v>
      </c>
      <c r="AT267" s="84">
        <v>0.0</v>
      </c>
      <c r="AU267" s="84">
        <v>0.0</v>
      </c>
      <c r="AV267" s="84">
        <v>0.0</v>
      </c>
      <c r="AW267" s="84">
        <v>0.0</v>
      </c>
      <c r="AX267" s="84">
        <v>0.0</v>
      </c>
      <c r="AY267" s="84">
        <v>1.0</v>
      </c>
      <c r="AZ267" s="84">
        <v>0.0</v>
      </c>
      <c r="BH267" s="84">
        <v>284.0</v>
      </c>
      <c r="BI267" s="84" t="s">
        <v>5540</v>
      </c>
    </row>
    <row r="268" ht="12.75" customHeight="1">
      <c r="A268" s="84">
        <v>266.0</v>
      </c>
      <c r="B268" s="84" t="s">
        <v>3261</v>
      </c>
      <c r="C268" s="84">
        <v>1.0</v>
      </c>
      <c r="D268" s="84" t="s">
        <v>4916</v>
      </c>
      <c r="E268" s="84">
        <v>13.0</v>
      </c>
      <c r="F268" s="84" t="s">
        <v>5131</v>
      </c>
      <c r="G268" s="84">
        <v>0.0</v>
      </c>
      <c r="H268" s="84">
        <v>101.0</v>
      </c>
      <c r="I268" s="84">
        <v>20.0</v>
      </c>
      <c r="J268" s="84">
        <v>2.0</v>
      </c>
      <c r="N268" s="84">
        <v>0.0</v>
      </c>
      <c r="O268" s="84">
        <v>0.0</v>
      </c>
      <c r="P268" s="84">
        <v>0.0</v>
      </c>
      <c r="U268" s="84">
        <v>172.0</v>
      </c>
      <c r="X268" s="84">
        <v>7.0</v>
      </c>
      <c r="AH268" s="84">
        <v>0.0</v>
      </c>
      <c r="AI268" s="84">
        <v>0.0</v>
      </c>
      <c r="AJ268" s="84">
        <v>0.0</v>
      </c>
      <c r="AK268" s="84">
        <v>0.0</v>
      </c>
      <c r="AL268" s="84">
        <v>0.0</v>
      </c>
      <c r="AM268" s="84">
        <v>0.0</v>
      </c>
      <c r="AN268" s="84">
        <v>0.0</v>
      </c>
      <c r="AO268" s="84">
        <v>0.0</v>
      </c>
      <c r="AP268" s="84">
        <v>0.0</v>
      </c>
      <c r="AQ268" s="84">
        <v>0.0</v>
      </c>
      <c r="AR268" s="84">
        <v>0.0</v>
      </c>
      <c r="AS268" s="84">
        <v>0.0</v>
      </c>
      <c r="AT268" s="84">
        <v>0.0</v>
      </c>
      <c r="AU268" s="84">
        <v>0.0</v>
      </c>
      <c r="AV268" s="84">
        <v>0.0</v>
      </c>
      <c r="AW268" s="84">
        <v>0.0</v>
      </c>
      <c r="AX268" s="84">
        <v>0.0</v>
      </c>
      <c r="AY268" s="84">
        <v>0.0</v>
      </c>
      <c r="AZ268" s="84">
        <v>1.0</v>
      </c>
      <c r="BH268" s="84">
        <v>285.0</v>
      </c>
      <c r="BI268" s="84" t="s">
        <v>5284</v>
      </c>
    </row>
    <row r="269" ht="12.75" customHeight="1">
      <c r="A269" s="84">
        <v>267.0</v>
      </c>
      <c r="B269" s="84" t="s">
        <v>5541</v>
      </c>
      <c r="C269" s="84">
        <v>1.0</v>
      </c>
      <c r="D269" s="84" t="s">
        <v>4916</v>
      </c>
      <c r="E269" s="84">
        <v>13.0</v>
      </c>
      <c r="F269" s="84" t="s">
        <v>5131</v>
      </c>
      <c r="G269" s="84">
        <v>0.0</v>
      </c>
      <c r="H269" s="84">
        <v>101.0</v>
      </c>
      <c r="I269" s="84">
        <v>20.0</v>
      </c>
      <c r="N269" s="84">
        <v>0.0</v>
      </c>
      <c r="O269" s="84">
        <v>0.0</v>
      </c>
      <c r="P269" s="84">
        <v>0.0</v>
      </c>
      <c r="U269" s="84">
        <v>173.0</v>
      </c>
      <c r="X269" s="84">
        <v>0.0</v>
      </c>
      <c r="AH269" s="84">
        <v>0.0</v>
      </c>
      <c r="AI269" s="84">
        <v>0.0</v>
      </c>
      <c r="AJ269" s="84">
        <v>0.0</v>
      </c>
      <c r="AK269" s="84">
        <v>0.0</v>
      </c>
      <c r="AL269" s="84">
        <v>0.0</v>
      </c>
      <c r="AM269" s="84">
        <v>0.0</v>
      </c>
      <c r="AN269" s="84">
        <v>0.0</v>
      </c>
      <c r="AO269" s="84">
        <v>0.0</v>
      </c>
      <c r="AP269" s="84">
        <v>0.0</v>
      </c>
      <c r="AQ269" s="84">
        <v>0.0</v>
      </c>
      <c r="AR269" s="84">
        <v>0.0</v>
      </c>
      <c r="AS269" s="84">
        <v>0.0</v>
      </c>
      <c r="AT269" s="84">
        <v>0.0</v>
      </c>
      <c r="AU269" s="84">
        <v>0.0</v>
      </c>
      <c r="AV269" s="84">
        <v>0.0</v>
      </c>
      <c r="AW269" s="84">
        <v>0.0</v>
      </c>
      <c r="AX269" s="84">
        <v>0.0</v>
      </c>
      <c r="AY269" s="84">
        <v>0.0</v>
      </c>
      <c r="AZ269" s="84">
        <v>48.0</v>
      </c>
      <c r="BH269" s="84">
        <v>286.0</v>
      </c>
      <c r="BI269" s="84" t="s">
        <v>5542</v>
      </c>
    </row>
    <row r="270" ht="12.75" customHeight="1">
      <c r="A270" s="84">
        <v>268.0</v>
      </c>
      <c r="B270" s="84" t="s">
        <v>3812</v>
      </c>
      <c r="C270" s="84">
        <v>1.0</v>
      </c>
      <c r="D270" s="84" t="s">
        <v>4921</v>
      </c>
      <c r="E270" s="84">
        <v>2.0</v>
      </c>
      <c r="F270" s="84" t="s">
        <v>5131</v>
      </c>
      <c r="G270" s="84">
        <v>0.0</v>
      </c>
      <c r="H270" s="84">
        <v>101.0</v>
      </c>
      <c r="I270" s="84">
        <v>20.0</v>
      </c>
      <c r="N270" s="84">
        <v>0.0</v>
      </c>
      <c r="O270" s="84">
        <v>0.0</v>
      </c>
      <c r="P270" s="84">
        <v>0.0</v>
      </c>
      <c r="U270" s="84">
        <v>174.0</v>
      </c>
      <c r="X270" s="84">
        <v>7.0</v>
      </c>
      <c r="Y270" s="84" t="s">
        <v>23</v>
      </c>
      <c r="Z270" s="84">
        <v>1.0</v>
      </c>
      <c r="AH270" s="84">
        <v>0.0</v>
      </c>
      <c r="AI270" s="84">
        <v>0.0</v>
      </c>
      <c r="AJ270" s="84">
        <v>0.0</v>
      </c>
      <c r="AK270" s="84">
        <v>0.0</v>
      </c>
      <c r="AL270" s="84">
        <v>0.0</v>
      </c>
      <c r="AM270" s="84">
        <v>1.0</v>
      </c>
      <c r="AN270" s="84">
        <v>0.0</v>
      </c>
      <c r="AO270" s="84">
        <v>0.0</v>
      </c>
      <c r="AP270" s="84">
        <v>0.0</v>
      </c>
      <c r="AQ270" s="84">
        <v>0.0</v>
      </c>
      <c r="AR270" s="84">
        <v>0.0</v>
      </c>
      <c r="AS270" s="84">
        <v>0.0</v>
      </c>
      <c r="AT270" s="84">
        <v>0.0</v>
      </c>
      <c r="AU270" s="84">
        <v>0.0</v>
      </c>
      <c r="AV270" s="84">
        <v>0.0</v>
      </c>
      <c r="AW270" s="84">
        <v>0.0</v>
      </c>
      <c r="AX270" s="84">
        <v>0.0</v>
      </c>
      <c r="AY270" s="84">
        <v>1.0</v>
      </c>
      <c r="AZ270" s="84">
        <v>7.0</v>
      </c>
      <c r="BH270" s="84">
        <v>287.0</v>
      </c>
      <c r="BI270" s="84" t="s">
        <v>5543</v>
      </c>
    </row>
    <row r="271" ht="12.75" customHeight="1">
      <c r="A271" s="84">
        <v>269.0</v>
      </c>
      <c r="B271" s="84" t="s">
        <v>2537</v>
      </c>
      <c r="C271" s="84">
        <v>1.0</v>
      </c>
      <c r="D271" s="84" t="s">
        <v>4972</v>
      </c>
      <c r="E271" s="84">
        <v>13.0</v>
      </c>
      <c r="F271" s="84" t="s">
        <v>5131</v>
      </c>
      <c r="G271" s="84">
        <v>0.0</v>
      </c>
      <c r="H271" s="84">
        <v>100.0</v>
      </c>
      <c r="I271" s="84">
        <v>20.0</v>
      </c>
      <c r="N271" s="84">
        <v>0.0</v>
      </c>
      <c r="O271" s="84">
        <v>0.0</v>
      </c>
      <c r="P271" s="84">
        <v>0.0</v>
      </c>
      <c r="U271" s="84">
        <v>175.0</v>
      </c>
      <c r="X271" s="84">
        <v>0.0</v>
      </c>
      <c r="AH271" s="84">
        <v>0.0</v>
      </c>
      <c r="AI271" s="84">
        <v>0.0</v>
      </c>
      <c r="AJ271" s="84">
        <v>0.0</v>
      </c>
      <c r="AK271" s="84">
        <v>1.0</v>
      </c>
      <c r="AL271" s="84">
        <v>1.0</v>
      </c>
      <c r="AM271" s="84">
        <v>0.0</v>
      </c>
      <c r="AN271" s="84">
        <v>1.0</v>
      </c>
      <c r="AO271" s="84">
        <v>0.0</v>
      </c>
      <c r="AP271" s="84">
        <v>0.0</v>
      </c>
      <c r="AQ271" s="84">
        <v>0.0</v>
      </c>
      <c r="AR271" s="84">
        <v>0.0</v>
      </c>
      <c r="AS271" s="84">
        <v>0.0</v>
      </c>
      <c r="AT271" s="84">
        <v>0.0</v>
      </c>
      <c r="AU271" s="84">
        <v>1.0</v>
      </c>
      <c r="AV271" s="84">
        <v>0.0</v>
      </c>
      <c r="AW271" s="84">
        <v>0.0</v>
      </c>
      <c r="AX271" s="84">
        <v>0.0</v>
      </c>
      <c r="AY271" s="84">
        <v>1.0</v>
      </c>
      <c r="AZ271" s="84">
        <v>14.0</v>
      </c>
      <c r="BH271" s="84">
        <v>288.0</v>
      </c>
      <c r="BI271" s="84" t="s">
        <v>5544</v>
      </c>
    </row>
    <row r="272" ht="12.75" customHeight="1">
      <c r="A272" s="84">
        <v>270.0</v>
      </c>
      <c r="B272" s="84" t="s">
        <v>3236</v>
      </c>
      <c r="C272" s="84">
        <v>1.0</v>
      </c>
      <c r="D272" s="84" t="s">
        <v>4916</v>
      </c>
      <c r="E272" s="84">
        <v>13.0</v>
      </c>
      <c r="F272" s="84" t="s">
        <v>5131</v>
      </c>
      <c r="G272" s="84">
        <v>0.0</v>
      </c>
      <c r="H272" s="84">
        <v>101.0</v>
      </c>
      <c r="I272" s="84">
        <v>20.0</v>
      </c>
      <c r="J272" s="84">
        <v>5.0</v>
      </c>
      <c r="N272" s="84">
        <v>0.0</v>
      </c>
      <c r="O272" s="84">
        <v>0.0</v>
      </c>
      <c r="P272" s="84">
        <v>0.0</v>
      </c>
      <c r="U272" s="84">
        <v>176.0</v>
      </c>
      <c r="X272" s="84">
        <v>2.0</v>
      </c>
      <c r="AH272" s="84">
        <v>0.0</v>
      </c>
      <c r="AI272" s="84">
        <v>0.0</v>
      </c>
      <c r="AJ272" s="84">
        <v>0.0</v>
      </c>
      <c r="AK272" s="84">
        <v>0.0</v>
      </c>
      <c r="AL272" s="84">
        <v>0.0</v>
      </c>
      <c r="AM272" s="84">
        <v>0.0</v>
      </c>
      <c r="AN272" s="84">
        <v>0.0</v>
      </c>
      <c r="AO272" s="84">
        <v>0.0</v>
      </c>
      <c r="AP272" s="84">
        <v>0.0</v>
      </c>
      <c r="AQ272" s="84">
        <v>0.0</v>
      </c>
      <c r="AR272" s="84">
        <v>0.0</v>
      </c>
      <c r="AS272" s="84">
        <v>0.0</v>
      </c>
      <c r="AT272" s="84">
        <v>0.0</v>
      </c>
      <c r="AU272" s="84">
        <v>1.0</v>
      </c>
      <c r="AV272" s="84">
        <v>0.0</v>
      </c>
      <c r="AW272" s="84">
        <v>0.0</v>
      </c>
      <c r="AX272" s="84">
        <v>0.0</v>
      </c>
      <c r="AY272" s="84">
        <v>0.0</v>
      </c>
      <c r="AZ272" s="84">
        <v>10.0</v>
      </c>
      <c r="BH272" s="84">
        <v>289.0</v>
      </c>
      <c r="BI272" s="84" t="s">
        <v>5545</v>
      </c>
    </row>
    <row r="273" ht="12.75" customHeight="1">
      <c r="A273" s="84">
        <v>271.0</v>
      </c>
      <c r="B273" s="84" t="s">
        <v>4477</v>
      </c>
      <c r="C273" s="84">
        <v>1.0</v>
      </c>
      <c r="D273" s="84" t="s">
        <v>2659</v>
      </c>
      <c r="E273" s="84">
        <v>13.0</v>
      </c>
      <c r="F273" s="84" t="s">
        <v>5131</v>
      </c>
      <c r="G273" s="84">
        <v>0.0</v>
      </c>
      <c r="H273" s="84">
        <v>100.0</v>
      </c>
      <c r="I273" s="84">
        <v>10.0</v>
      </c>
      <c r="N273" s="84">
        <v>0.0</v>
      </c>
      <c r="O273" s="84">
        <v>0.0</v>
      </c>
      <c r="P273" s="84">
        <v>0.0</v>
      </c>
      <c r="U273" s="84">
        <v>177.0</v>
      </c>
      <c r="X273" s="84">
        <v>0.0</v>
      </c>
      <c r="AH273" s="84">
        <v>0.0</v>
      </c>
      <c r="AI273" s="84">
        <v>0.0</v>
      </c>
      <c r="AJ273" s="84">
        <v>0.0</v>
      </c>
      <c r="AK273" s="84">
        <v>1.0</v>
      </c>
      <c r="AL273" s="84">
        <v>0.0</v>
      </c>
      <c r="AM273" s="84">
        <v>0.0</v>
      </c>
      <c r="AN273" s="84">
        <v>1.0</v>
      </c>
      <c r="AO273" s="84">
        <v>0.0</v>
      </c>
      <c r="AP273" s="84">
        <v>0.0</v>
      </c>
      <c r="AQ273" s="84">
        <v>0.0</v>
      </c>
      <c r="AR273" s="84">
        <v>0.0</v>
      </c>
      <c r="AS273" s="84">
        <v>0.0</v>
      </c>
      <c r="AT273" s="84">
        <v>0.0</v>
      </c>
      <c r="AU273" s="84">
        <v>0.0</v>
      </c>
      <c r="AV273" s="84">
        <v>0.0</v>
      </c>
      <c r="AW273" s="84">
        <v>1.0</v>
      </c>
      <c r="AX273" s="84">
        <v>0.0</v>
      </c>
      <c r="AY273" s="84">
        <v>0.0</v>
      </c>
      <c r="AZ273" s="84">
        <v>48.0</v>
      </c>
      <c r="BH273" s="84">
        <v>290.0</v>
      </c>
      <c r="BI273" s="84" t="s">
        <v>5546</v>
      </c>
    </row>
    <row r="274" ht="12.75" customHeight="1">
      <c r="A274" s="84">
        <v>272.0</v>
      </c>
      <c r="B274" s="84" t="s">
        <v>3232</v>
      </c>
      <c r="C274" s="84">
        <v>1.0</v>
      </c>
      <c r="D274" s="84" t="s">
        <v>2659</v>
      </c>
      <c r="E274" s="84">
        <v>13.0</v>
      </c>
      <c r="F274" s="84" t="s">
        <v>5131</v>
      </c>
      <c r="G274" s="84">
        <v>0.0</v>
      </c>
      <c r="H274" s="84">
        <v>101.0</v>
      </c>
      <c r="I274" s="84">
        <v>10.0</v>
      </c>
      <c r="N274" s="84">
        <v>0.0</v>
      </c>
      <c r="O274" s="84">
        <v>0.0</v>
      </c>
      <c r="P274" s="84">
        <v>0.0</v>
      </c>
      <c r="U274" s="84">
        <v>178.0</v>
      </c>
      <c r="X274" s="84">
        <v>0.0</v>
      </c>
      <c r="AH274" s="84">
        <v>0.0</v>
      </c>
      <c r="AI274" s="84">
        <v>0.0</v>
      </c>
      <c r="AJ274" s="84">
        <v>0.0</v>
      </c>
      <c r="AK274" s="84">
        <v>0.0</v>
      </c>
      <c r="AL274" s="84">
        <v>0.0</v>
      </c>
      <c r="AM274" s="84">
        <v>0.0</v>
      </c>
      <c r="AN274" s="84">
        <v>0.0</v>
      </c>
      <c r="AO274" s="84">
        <v>0.0</v>
      </c>
      <c r="AP274" s="84">
        <v>0.0</v>
      </c>
      <c r="AQ274" s="84">
        <v>0.0</v>
      </c>
      <c r="AR274" s="84">
        <v>0.0</v>
      </c>
      <c r="AS274" s="84">
        <v>0.0</v>
      </c>
      <c r="AT274" s="84">
        <v>0.0</v>
      </c>
      <c r="AU274" s="84">
        <v>1.0</v>
      </c>
      <c r="AV274" s="84">
        <v>0.0</v>
      </c>
      <c r="AW274" s="84">
        <v>1.0</v>
      </c>
      <c r="AX274" s="84">
        <v>0.0</v>
      </c>
      <c r="AY274" s="84">
        <v>1.0</v>
      </c>
      <c r="AZ274" s="84">
        <v>1.0</v>
      </c>
      <c r="BH274" s="84">
        <v>291.0</v>
      </c>
      <c r="BI274" s="84" t="s">
        <v>5547</v>
      </c>
    </row>
    <row r="275" ht="12.75" customHeight="1">
      <c r="A275" s="84">
        <v>273.0</v>
      </c>
      <c r="B275" s="84" t="s">
        <v>3239</v>
      </c>
      <c r="C275" s="84">
        <v>1.0</v>
      </c>
      <c r="D275" s="84" t="s">
        <v>4916</v>
      </c>
      <c r="E275" s="84">
        <v>13.0</v>
      </c>
      <c r="F275" s="84" t="s">
        <v>5131</v>
      </c>
      <c r="G275" s="84">
        <v>0.0</v>
      </c>
      <c r="H275" s="84">
        <v>101.0</v>
      </c>
      <c r="I275" s="84">
        <v>10.0</v>
      </c>
      <c r="N275" s="84">
        <v>0.0</v>
      </c>
      <c r="O275" s="84">
        <v>0.0</v>
      </c>
      <c r="P275" s="84">
        <v>0.0</v>
      </c>
      <c r="U275" s="84">
        <v>179.0</v>
      </c>
      <c r="X275" s="84">
        <v>7.0</v>
      </c>
      <c r="AH275" s="84">
        <v>0.0</v>
      </c>
      <c r="AI275" s="84">
        <v>0.0</v>
      </c>
      <c r="AJ275" s="84">
        <v>0.0</v>
      </c>
      <c r="AK275" s="84">
        <v>0.0</v>
      </c>
      <c r="AL275" s="84">
        <v>0.0</v>
      </c>
      <c r="AM275" s="84">
        <v>1.0</v>
      </c>
      <c r="AN275" s="84">
        <v>0.0</v>
      </c>
      <c r="AO275" s="84">
        <v>0.0</v>
      </c>
      <c r="AP275" s="84">
        <v>0.0</v>
      </c>
      <c r="AQ275" s="84">
        <v>0.0</v>
      </c>
      <c r="AR275" s="84">
        <v>0.0</v>
      </c>
      <c r="AS275" s="84">
        <v>0.0</v>
      </c>
      <c r="AT275" s="84">
        <v>1.0</v>
      </c>
      <c r="AU275" s="84">
        <v>0.0</v>
      </c>
      <c r="AV275" s="84">
        <v>0.0</v>
      </c>
      <c r="AW275" s="84">
        <v>0.0</v>
      </c>
      <c r="AX275" s="84">
        <v>0.0</v>
      </c>
      <c r="AY275" s="84">
        <v>1.0</v>
      </c>
      <c r="AZ275" s="84">
        <v>16.0</v>
      </c>
      <c r="BH275" s="84">
        <v>292.0</v>
      </c>
      <c r="BI275" s="84" t="s">
        <v>5548</v>
      </c>
    </row>
    <row r="276" ht="12.75" customHeight="1">
      <c r="A276" s="84">
        <v>274.0</v>
      </c>
      <c r="B276" s="84" t="s">
        <v>5549</v>
      </c>
      <c r="C276" s="84">
        <v>0.0</v>
      </c>
      <c r="D276" s="84" t="s">
        <v>4916</v>
      </c>
      <c r="E276" s="84">
        <v>13.0</v>
      </c>
      <c r="F276" s="84" t="s">
        <v>5131</v>
      </c>
      <c r="G276" s="84">
        <v>0.0</v>
      </c>
      <c r="H276" s="84">
        <v>101.0</v>
      </c>
      <c r="I276" s="84">
        <v>20.0</v>
      </c>
      <c r="J276" s="84"/>
      <c r="K276" s="84"/>
      <c r="L276" s="84"/>
      <c r="M276" s="84"/>
      <c r="N276" s="84">
        <v>0.0</v>
      </c>
      <c r="O276" s="84">
        <v>0.0</v>
      </c>
      <c r="P276" s="84">
        <v>0.0</v>
      </c>
      <c r="Q276" s="84"/>
      <c r="R276" s="84"/>
      <c r="S276" s="84"/>
      <c r="T276" s="84"/>
      <c r="U276" s="84">
        <v>180.0</v>
      </c>
      <c r="V276" s="84"/>
      <c r="W276" s="84"/>
      <c r="X276" s="84">
        <v>7.0</v>
      </c>
      <c r="Y276" s="84"/>
      <c r="Z276" s="84"/>
      <c r="AA276" s="84"/>
      <c r="AB276" s="84"/>
      <c r="AC276" s="84"/>
      <c r="AD276" s="84"/>
      <c r="AE276" s="84"/>
      <c r="AF276" s="84"/>
      <c r="AG276" s="84"/>
      <c r="AH276" s="84">
        <v>0.0</v>
      </c>
      <c r="AI276" s="84">
        <v>0.0</v>
      </c>
      <c r="AJ276" s="84">
        <v>0.0</v>
      </c>
      <c r="AK276" s="84">
        <v>0.0</v>
      </c>
      <c r="AL276" s="84">
        <v>0.0</v>
      </c>
      <c r="AM276" s="84">
        <v>0.0</v>
      </c>
      <c r="AN276" s="84">
        <v>0.0</v>
      </c>
      <c r="AO276" s="84">
        <v>0.0</v>
      </c>
      <c r="AP276" s="84">
        <v>0.0</v>
      </c>
      <c r="AQ276" s="84">
        <v>0.0</v>
      </c>
      <c r="AR276" s="84">
        <v>0.0</v>
      </c>
      <c r="AS276" s="84">
        <v>0.0</v>
      </c>
      <c r="AT276" s="84">
        <v>0.0</v>
      </c>
      <c r="AU276" s="84">
        <v>0.0</v>
      </c>
      <c r="AV276" s="84">
        <v>0.0</v>
      </c>
      <c r="AW276" s="84">
        <v>0.0</v>
      </c>
      <c r="AX276" s="84">
        <v>0.0</v>
      </c>
      <c r="AY276" s="84">
        <v>0.0</v>
      </c>
      <c r="AZ276" s="84">
        <v>0.0</v>
      </c>
      <c r="BH276" s="84">
        <v>293.0</v>
      </c>
      <c r="BI276" s="84" t="s">
        <v>5550</v>
      </c>
    </row>
    <row r="277" ht="12.75" customHeight="1">
      <c r="A277" s="84">
        <v>275.0</v>
      </c>
      <c r="B277" s="84" t="s">
        <v>3123</v>
      </c>
      <c r="C277" s="84">
        <v>1.0</v>
      </c>
      <c r="D277" s="84" t="s">
        <v>4904</v>
      </c>
      <c r="E277" s="84">
        <v>1.0</v>
      </c>
      <c r="F277" s="84" t="s">
        <v>5131</v>
      </c>
      <c r="G277" s="84">
        <v>0.0</v>
      </c>
      <c r="H277" s="84">
        <v>101.0</v>
      </c>
      <c r="I277" s="84">
        <v>20.0</v>
      </c>
      <c r="M277" s="84" t="s">
        <v>3123</v>
      </c>
      <c r="N277" s="84">
        <v>21.0</v>
      </c>
      <c r="O277" s="84">
        <v>0.0</v>
      </c>
      <c r="P277" s="84">
        <v>1.0</v>
      </c>
      <c r="U277" s="84">
        <v>181.0</v>
      </c>
      <c r="X277" s="84">
        <v>7.0</v>
      </c>
      <c r="AH277" s="84">
        <v>0.0</v>
      </c>
      <c r="AI277" s="84">
        <v>0.0</v>
      </c>
      <c r="AJ277" s="84">
        <v>0.0</v>
      </c>
      <c r="AK277" s="84">
        <v>0.0</v>
      </c>
      <c r="AL277" s="84">
        <v>0.0</v>
      </c>
      <c r="AM277" s="84">
        <v>1.0</v>
      </c>
      <c r="AN277" s="84">
        <v>0.0</v>
      </c>
      <c r="AO277" s="84">
        <v>0.0</v>
      </c>
      <c r="AP277" s="84">
        <v>0.0</v>
      </c>
      <c r="AQ277" s="84">
        <v>0.0</v>
      </c>
      <c r="AR277" s="84">
        <v>0.0</v>
      </c>
      <c r="AS277" s="84">
        <v>0.0</v>
      </c>
      <c r="AT277" s="84">
        <v>0.0</v>
      </c>
      <c r="AU277" s="84">
        <v>0.0</v>
      </c>
      <c r="AV277" s="84">
        <v>1.0</v>
      </c>
      <c r="AW277" s="84">
        <v>0.0</v>
      </c>
      <c r="AX277" s="84">
        <v>0.0</v>
      </c>
      <c r="AY277" s="84">
        <v>1.0</v>
      </c>
      <c r="AZ277" s="84">
        <v>15.0</v>
      </c>
      <c r="BH277" s="84">
        <v>294.0</v>
      </c>
      <c r="BI277" s="84" t="s">
        <v>5551</v>
      </c>
    </row>
    <row r="278" ht="12.75" customHeight="1">
      <c r="A278" s="84">
        <v>276.0</v>
      </c>
      <c r="B278" s="84" t="s">
        <v>3535</v>
      </c>
      <c r="C278" s="84">
        <v>1.0</v>
      </c>
      <c r="D278" s="84" t="s">
        <v>4935</v>
      </c>
      <c r="E278" s="84">
        <v>7.0</v>
      </c>
      <c r="F278" s="84" t="s">
        <v>5135</v>
      </c>
      <c r="G278" s="84">
        <v>120.0</v>
      </c>
      <c r="H278" s="84">
        <v>100.0</v>
      </c>
      <c r="I278" s="84">
        <v>5.0</v>
      </c>
      <c r="N278" s="84">
        <v>0.0</v>
      </c>
      <c r="O278" s="84">
        <v>0.0</v>
      </c>
      <c r="P278" s="84">
        <v>0.0</v>
      </c>
      <c r="U278" s="84">
        <v>182.0</v>
      </c>
      <c r="X278" s="84">
        <v>0.0</v>
      </c>
      <c r="Y278" s="84" t="s">
        <v>20</v>
      </c>
      <c r="Z278" s="84">
        <v>-1.0</v>
      </c>
      <c r="AA278" s="84">
        <v>100.0</v>
      </c>
      <c r="AB278" s="84" t="s">
        <v>21</v>
      </c>
      <c r="AC278" s="84">
        <v>-1.0</v>
      </c>
      <c r="AD278" s="84">
        <v>100.0</v>
      </c>
      <c r="AH278" s="84">
        <v>1.0</v>
      </c>
      <c r="AI278" s="84">
        <v>0.0</v>
      </c>
      <c r="AJ278" s="84">
        <v>0.0</v>
      </c>
      <c r="AK278" s="84">
        <v>1.0</v>
      </c>
      <c r="AL278" s="84">
        <v>0.0</v>
      </c>
      <c r="AM278" s="84">
        <v>0.0</v>
      </c>
      <c r="AN278" s="84">
        <v>1.0</v>
      </c>
      <c r="AO278" s="84">
        <v>0.0</v>
      </c>
      <c r="AP278" s="84">
        <v>0.0</v>
      </c>
      <c r="AQ278" s="84">
        <v>0.0</v>
      </c>
      <c r="AR278" s="84">
        <v>0.0</v>
      </c>
      <c r="AS278" s="84">
        <v>0.0</v>
      </c>
      <c r="AT278" s="84">
        <v>0.0</v>
      </c>
      <c r="AU278" s="84">
        <v>0.0</v>
      </c>
      <c r="AV278" s="84">
        <v>0.0</v>
      </c>
      <c r="AW278" s="84">
        <v>0.0</v>
      </c>
      <c r="AX278" s="84">
        <v>0.0</v>
      </c>
      <c r="AY278" s="84">
        <v>1.0</v>
      </c>
      <c r="AZ278" s="84">
        <v>43.0</v>
      </c>
      <c r="BH278" s="84">
        <v>295.0</v>
      </c>
      <c r="BI278" s="84" t="s">
        <v>5552</v>
      </c>
    </row>
    <row r="279" ht="12.75" customHeight="1">
      <c r="A279" s="84">
        <v>277.0</v>
      </c>
      <c r="B279" s="84" t="s">
        <v>3025</v>
      </c>
      <c r="C279" s="84">
        <v>1.0</v>
      </c>
      <c r="D279" s="84" t="s">
        <v>2659</v>
      </c>
      <c r="E279" s="84">
        <v>13.0</v>
      </c>
      <c r="F279" s="84" t="s">
        <v>5131</v>
      </c>
      <c r="G279" s="84">
        <v>0.0</v>
      </c>
      <c r="H279" s="84">
        <v>101.0</v>
      </c>
      <c r="I279" s="84">
        <v>15.0</v>
      </c>
      <c r="J279" s="84">
        <v>4.0</v>
      </c>
      <c r="N279" s="84">
        <v>0.0</v>
      </c>
      <c r="O279" s="84">
        <v>0.0</v>
      </c>
      <c r="P279" s="84">
        <v>0.0</v>
      </c>
      <c r="U279" s="84">
        <v>183.0</v>
      </c>
      <c r="X279" s="84">
        <v>7.0</v>
      </c>
      <c r="AH279" s="84">
        <v>0.0</v>
      </c>
      <c r="AI279" s="84">
        <v>0.0</v>
      </c>
      <c r="AJ279" s="84">
        <v>0.0</v>
      </c>
      <c r="AK279" s="84">
        <v>0.0</v>
      </c>
      <c r="AL279" s="84">
        <v>0.0</v>
      </c>
      <c r="AM279" s="84">
        <v>0.0</v>
      </c>
      <c r="AN279" s="84">
        <v>0.0</v>
      </c>
      <c r="AO279" s="84">
        <v>0.0</v>
      </c>
      <c r="AP279" s="84">
        <v>0.0</v>
      </c>
      <c r="AQ279" s="84">
        <v>0.0</v>
      </c>
      <c r="AR279" s="84">
        <v>0.0</v>
      </c>
      <c r="AS279" s="84">
        <v>0.0</v>
      </c>
      <c r="AT279" s="84">
        <v>0.0</v>
      </c>
      <c r="AU279" s="84">
        <v>0.0</v>
      </c>
      <c r="AV279" s="84">
        <v>0.0</v>
      </c>
      <c r="AW279" s="84">
        <v>0.0</v>
      </c>
      <c r="AX279" s="84">
        <v>0.0</v>
      </c>
      <c r="AY279" s="84">
        <v>1.0</v>
      </c>
      <c r="AZ279" s="84">
        <v>11.0</v>
      </c>
      <c r="BH279" s="84">
        <v>296.0</v>
      </c>
      <c r="BI279" s="84" t="s">
        <v>5553</v>
      </c>
    </row>
    <row r="280" ht="12.75" customHeight="1">
      <c r="A280" s="84">
        <v>278.0</v>
      </c>
      <c r="B280" s="84" t="s">
        <v>3221</v>
      </c>
      <c r="C280" s="84">
        <v>1.0</v>
      </c>
      <c r="D280" s="84" t="s">
        <v>4916</v>
      </c>
      <c r="E280" s="84">
        <v>13.0</v>
      </c>
      <c r="F280" s="84" t="s">
        <v>5131</v>
      </c>
      <c r="G280" s="84">
        <v>0.0</v>
      </c>
      <c r="H280" s="84">
        <v>101.0</v>
      </c>
      <c r="I280" s="84">
        <v>10.0</v>
      </c>
      <c r="N280" s="84">
        <v>0.0</v>
      </c>
      <c r="O280" s="84">
        <v>0.0</v>
      </c>
      <c r="P280" s="84">
        <v>0.0</v>
      </c>
      <c r="U280" s="84">
        <v>184.0</v>
      </c>
      <c r="X280" s="84">
        <v>7.0</v>
      </c>
      <c r="AH280" s="84">
        <v>0.0</v>
      </c>
      <c r="AI280" s="84">
        <v>0.0</v>
      </c>
      <c r="AJ280" s="84">
        <v>0.0</v>
      </c>
      <c r="AK280" s="84">
        <v>0.0</v>
      </c>
      <c r="AL280" s="84">
        <v>0.0</v>
      </c>
      <c r="AM280" s="84">
        <v>1.0</v>
      </c>
      <c r="AN280" s="84">
        <v>0.0</v>
      </c>
      <c r="AO280" s="84">
        <v>0.0</v>
      </c>
      <c r="AP280" s="84">
        <v>0.0</v>
      </c>
      <c r="AQ280" s="84">
        <v>0.0</v>
      </c>
      <c r="AR280" s="84">
        <v>0.0</v>
      </c>
      <c r="AS280" s="84">
        <v>0.0</v>
      </c>
      <c r="AT280" s="84">
        <v>0.0</v>
      </c>
      <c r="AU280" s="84">
        <v>0.0</v>
      </c>
      <c r="AV280" s="84">
        <v>0.0</v>
      </c>
      <c r="AW280" s="84">
        <v>0.0</v>
      </c>
      <c r="AX280" s="84">
        <v>0.0</v>
      </c>
      <c r="AY280" s="84">
        <v>1.0</v>
      </c>
      <c r="AZ280" s="84">
        <v>2.0</v>
      </c>
      <c r="BH280" s="84">
        <v>297.0</v>
      </c>
      <c r="BI280" s="84" t="s">
        <v>5554</v>
      </c>
    </row>
    <row r="281" ht="12.75" customHeight="1">
      <c r="A281" s="84">
        <v>279.0</v>
      </c>
      <c r="B281" s="84" t="s">
        <v>2818</v>
      </c>
      <c r="C281" s="84">
        <v>1.0</v>
      </c>
      <c r="D281" s="84" t="s">
        <v>4935</v>
      </c>
      <c r="E281" s="84">
        <v>0.0</v>
      </c>
      <c r="F281" s="84" t="s">
        <v>5135</v>
      </c>
      <c r="G281" s="84">
        <v>60.0</v>
      </c>
      <c r="H281" s="84">
        <v>100.0</v>
      </c>
      <c r="I281" s="84">
        <v>10.0</v>
      </c>
      <c r="J281" s="84">
        <v>-4.0</v>
      </c>
      <c r="N281" s="84">
        <v>0.0</v>
      </c>
      <c r="O281" s="84">
        <v>0.0</v>
      </c>
      <c r="P281" s="84">
        <v>0.0</v>
      </c>
      <c r="U281" s="84">
        <v>185.0</v>
      </c>
      <c r="X281" s="84">
        <v>0.0</v>
      </c>
      <c r="AH281" s="84">
        <v>1.0</v>
      </c>
      <c r="AI281" s="84">
        <v>0.0</v>
      </c>
      <c r="AJ281" s="84">
        <v>0.0</v>
      </c>
      <c r="AK281" s="84">
        <v>1.0</v>
      </c>
      <c r="AL281" s="84">
        <v>0.0</v>
      </c>
      <c r="AM281" s="84">
        <v>0.0</v>
      </c>
      <c r="AN281" s="84">
        <v>1.0</v>
      </c>
      <c r="AO281" s="84">
        <v>0.0</v>
      </c>
      <c r="AP281" s="84">
        <v>0.0</v>
      </c>
      <c r="AQ281" s="84">
        <v>0.0</v>
      </c>
      <c r="AR281" s="84">
        <v>0.0</v>
      </c>
      <c r="AS281" s="84">
        <v>0.0</v>
      </c>
      <c r="AT281" s="84">
        <v>0.0</v>
      </c>
      <c r="AU281" s="84">
        <v>0.0</v>
      </c>
      <c r="AV281" s="84">
        <v>0.0</v>
      </c>
      <c r="AW281" s="84">
        <v>0.0</v>
      </c>
      <c r="AX281" s="84">
        <v>0.0</v>
      </c>
      <c r="AY281" s="84">
        <v>1.0</v>
      </c>
      <c r="AZ281" s="84">
        <v>37.0</v>
      </c>
      <c r="BH281" s="84">
        <v>298.0</v>
      </c>
      <c r="BI281" s="84" t="s">
        <v>5555</v>
      </c>
    </row>
    <row r="282" ht="12.75" customHeight="1">
      <c r="A282" s="84">
        <v>280.0</v>
      </c>
      <c r="B282" s="84" t="s">
        <v>2581</v>
      </c>
      <c r="C282" s="84">
        <v>1.0</v>
      </c>
      <c r="D282" s="84" t="s">
        <v>4935</v>
      </c>
      <c r="E282" s="84">
        <v>0.0</v>
      </c>
      <c r="F282" s="84" t="s">
        <v>5135</v>
      </c>
      <c r="G282" s="84">
        <v>75.0</v>
      </c>
      <c r="H282" s="84">
        <v>100.0</v>
      </c>
      <c r="I282" s="84">
        <v>15.0</v>
      </c>
      <c r="N282" s="84">
        <v>0.0</v>
      </c>
      <c r="O282" s="84">
        <v>0.0</v>
      </c>
      <c r="P282" s="84">
        <v>0.0</v>
      </c>
      <c r="U282" s="84">
        <v>186.0</v>
      </c>
      <c r="X282" s="84">
        <v>0.0</v>
      </c>
      <c r="AH282" s="84">
        <v>1.0</v>
      </c>
      <c r="AI282" s="84">
        <v>0.0</v>
      </c>
      <c r="AJ282" s="84">
        <v>0.0</v>
      </c>
      <c r="AK282" s="84">
        <v>1.0</v>
      </c>
      <c r="AL282" s="84">
        <v>0.0</v>
      </c>
      <c r="AM282" s="84">
        <v>0.0</v>
      </c>
      <c r="AN282" s="84">
        <v>1.0</v>
      </c>
      <c r="AO282" s="84">
        <v>0.0</v>
      </c>
      <c r="AP282" s="84">
        <v>0.0</v>
      </c>
      <c r="AQ282" s="84">
        <v>0.0</v>
      </c>
      <c r="AR282" s="84">
        <v>0.0</v>
      </c>
      <c r="AS282" s="84">
        <v>0.0</v>
      </c>
      <c r="AT282" s="84">
        <v>0.0</v>
      </c>
      <c r="AU282" s="84">
        <v>0.0</v>
      </c>
      <c r="AV282" s="84">
        <v>0.0</v>
      </c>
      <c r="AW282" s="84">
        <v>0.0</v>
      </c>
      <c r="AX282" s="84">
        <v>0.0</v>
      </c>
      <c r="AY282" s="84">
        <v>1.0</v>
      </c>
      <c r="AZ282" s="84">
        <v>38.0</v>
      </c>
      <c r="BH282" s="84">
        <v>299.0</v>
      </c>
      <c r="BI282" s="84" t="s">
        <v>5556</v>
      </c>
    </row>
    <row r="283" ht="12.75" customHeight="1">
      <c r="A283" s="84">
        <v>281.0</v>
      </c>
      <c r="B283" s="84" t="s">
        <v>2688</v>
      </c>
      <c r="C283" s="84">
        <v>1.0</v>
      </c>
      <c r="D283" s="84" t="s">
        <v>4916</v>
      </c>
      <c r="E283" s="84">
        <v>1.0</v>
      </c>
      <c r="F283" s="84" t="s">
        <v>5131</v>
      </c>
      <c r="G283" s="84">
        <v>0.0</v>
      </c>
      <c r="H283" s="84">
        <v>101.0</v>
      </c>
      <c r="I283" s="84">
        <v>10.0</v>
      </c>
      <c r="M283" s="84" t="s">
        <v>5557</v>
      </c>
      <c r="N283" s="84">
        <v>14.0</v>
      </c>
      <c r="O283" s="84">
        <v>0.0</v>
      </c>
      <c r="P283" s="84">
        <v>2.0</v>
      </c>
      <c r="Q283" s="84">
        <v>2.0</v>
      </c>
      <c r="R283" s="84">
        <v>2.0</v>
      </c>
      <c r="U283" s="84">
        <v>187.0</v>
      </c>
      <c r="X283" s="84">
        <v>0.0</v>
      </c>
      <c r="AH283" s="84">
        <v>0.0</v>
      </c>
      <c r="AI283" s="84">
        <v>0.0</v>
      </c>
      <c r="AJ283" s="84">
        <v>0.0</v>
      </c>
      <c r="AK283" s="84">
        <v>1.0</v>
      </c>
      <c r="AL283" s="84">
        <v>1.0</v>
      </c>
      <c r="AM283" s="84">
        <v>0.0</v>
      </c>
      <c r="AN283" s="84">
        <v>1.0</v>
      </c>
      <c r="AO283" s="84">
        <v>0.0</v>
      </c>
      <c r="AP283" s="84">
        <v>0.0</v>
      </c>
      <c r="AQ283" s="84">
        <v>0.0</v>
      </c>
      <c r="AR283" s="84">
        <v>0.0</v>
      </c>
      <c r="AS283" s="84">
        <v>0.0</v>
      </c>
      <c r="AT283" s="84">
        <v>0.0</v>
      </c>
      <c r="AU283" s="84">
        <v>0.0</v>
      </c>
      <c r="AV283" s="84">
        <v>0.0</v>
      </c>
      <c r="AW283" s="84">
        <v>0.0</v>
      </c>
      <c r="AX283" s="84">
        <v>0.0</v>
      </c>
      <c r="AY283" s="84">
        <v>1.0</v>
      </c>
      <c r="AZ283" s="84">
        <v>19.0</v>
      </c>
      <c r="BH283" s="84">
        <v>300.0</v>
      </c>
      <c r="BI283" s="84" t="s">
        <v>5558</v>
      </c>
    </row>
    <row r="284" ht="12.75" customHeight="1">
      <c r="A284" s="84">
        <v>282.0</v>
      </c>
      <c r="B284" s="84" t="s">
        <v>2734</v>
      </c>
      <c r="C284" s="84">
        <v>1.0</v>
      </c>
      <c r="D284" s="84" t="s">
        <v>4972</v>
      </c>
      <c r="E284" s="84">
        <v>0.0</v>
      </c>
      <c r="F284" s="84" t="s">
        <v>5135</v>
      </c>
      <c r="G284" s="84">
        <v>65.0</v>
      </c>
      <c r="H284" s="84">
        <v>100.0</v>
      </c>
      <c r="I284" s="84">
        <v>20.0</v>
      </c>
      <c r="N284" s="84">
        <v>0.0</v>
      </c>
      <c r="O284" s="84">
        <v>0.0</v>
      </c>
      <c r="P284" s="84">
        <v>0.0</v>
      </c>
      <c r="U284" s="84">
        <v>188.0</v>
      </c>
      <c r="X284" s="84">
        <v>0.0</v>
      </c>
      <c r="AH284" s="84">
        <v>1.0</v>
      </c>
      <c r="AI284" s="84">
        <v>0.0</v>
      </c>
      <c r="AJ284" s="84">
        <v>0.0</v>
      </c>
      <c r="AK284" s="84">
        <v>1.0</v>
      </c>
      <c r="AL284" s="84">
        <v>0.0</v>
      </c>
      <c r="AM284" s="84">
        <v>0.0</v>
      </c>
      <c r="AN284" s="84">
        <v>1.0</v>
      </c>
      <c r="AO284" s="84">
        <v>0.0</v>
      </c>
      <c r="AP284" s="84">
        <v>0.0</v>
      </c>
      <c r="AQ284" s="84">
        <v>0.0</v>
      </c>
      <c r="AR284" s="84">
        <v>0.0</v>
      </c>
      <c r="AS284" s="84">
        <v>0.0</v>
      </c>
      <c r="AT284" s="84">
        <v>0.0</v>
      </c>
      <c r="AU284" s="84">
        <v>0.0</v>
      </c>
      <c r="AV284" s="84">
        <v>0.0</v>
      </c>
      <c r="AW284" s="84">
        <v>0.0</v>
      </c>
      <c r="AX284" s="84">
        <v>0.0</v>
      </c>
      <c r="AY284" s="84">
        <v>1.0</v>
      </c>
      <c r="AZ284" s="84">
        <v>38.0</v>
      </c>
      <c r="BH284" s="84">
        <v>301.0</v>
      </c>
      <c r="BI284" s="84" t="s">
        <v>5559</v>
      </c>
    </row>
    <row r="285" ht="12.75" customHeight="1">
      <c r="A285" s="84">
        <v>283.0</v>
      </c>
      <c r="B285" s="84" t="s">
        <v>2624</v>
      </c>
      <c r="C285" s="84">
        <v>1.0</v>
      </c>
      <c r="D285" s="84" t="s">
        <v>4916</v>
      </c>
      <c r="E285" s="84">
        <v>0.0</v>
      </c>
      <c r="F285" s="84" t="s">
        <v>5135</v>
      </c>
      <c r="G285" s="84">
        <v>1.0</v>
      </c>
      <c r="H285" s="84">
        <v>100.0</v>
      </c>
      <c r="I285" s="84">
        <v>5.0</v>
      </c>
      <c r="N285" s="84">
        <v>0.0</v>
      </c>
      <c r="O285" s="84">
        <v>0.0</v>
      </c>
      <c r="P285" s="84">
        <v>0.0</v>
      </c>
      <c r="U285" s="84">
        <v>189.0</v>
      </c>
      <c r="X285" s="84">
        <v>0.0</v>
      </c>
      <c r="AH285" s="84">
        <v>1.0</v>
      </c>
      <c r="AI285" s="84">
        <v>0.0</v>
      </c>
      <c r="AJ285" s="84">
        <v>0.0</v>
      </c>
      <c r="AK285" s="84">
        <v>1.0</v>
      </c>
      <c r="AL285" s="84">
        <v>0.0</v>
      </c>
      <c r="AM285" s="84">
        <v>0.0</v>
      </c>
      <c r="AN285" s="84">
        <v>1.0</v>
      </c>
      <c r="AO285" s="84">
        <v>0.0</v>
      </c>
      <c r="AP285" s="84">
        <v>0.0</v>
      </c>
      <c r="AQ285" s="84">
        <v>0.0</v>
      </c>
      <c r="AR285" s="84">
        <v>0.0</v>
      </c>
      <c r="AS285" s="84">
        <v>0.0</v>
      </c>
      <c r="AT285" s="84">
        <v>0.0</v>
      </c>
      <c r="AU285" s="84">
        <v>0.0</v>
      </c>
      <c r="AV285" s="84">
        <v>0.0</v>
      </c>
      <c r="AW285" s="84">
        <v>0.0</v>
      </c>
      <c r="AX285" s="84">
        <v>0.0</v>
      </c>
      <c r="AY285" s="84">
        <v>1.0</v>
      </c>
      <c r="AZ285" s="84">
        <v>48.0</v>
      </c>
      <c r="BH285" s="84">
        <v>302.0</v>
      </c>
      <c r="BI285" s="84" t="s">
        <v>5560</v>
      </c>
    </row>
    <row r="286" ht="12.75" customHeight="1">
      <c r="A286" s="84">
        <v>284.0</v>
      </c>
      <c r="B286" s="84" t="s">
        <v>3515</v>
      </c>
      <c r="C286" s="84">
        <v>1.0</v>
      </c>
      <c r="D286" s="84" t="s">
        <v>4906</v>
      </c>
      <c r="E286" s="84">
        <v>0.0</v>
      </c>
      <c r="F286" s="84" t="s">
        <v>5172</v>
      </c>
      <c r="G286" s="84">
        <v>150.0</v>
      </c>
      <c r="H286" s="84">
        <v>100.0</v>
      </c>
      <c r="I286" s="84">
        <v>5.0</v>
      </c>
      <c r="N286" s="84">
        <v>0.0</v>
      </c>
      <c r="O286" s="84">
        <v>0.0</v>
      </c>
      <c r="P286" s="84">
        <v>0.0</v>
      </c>
      <c r="U286" s="84">
        <v>190.0</v>
      </c>
      <c r="X286" s="84">
        <v>5.0</v>
      </c>
      <c r="AH286" s="84">
        <v>0.0</v>
      </c>
      <c r="AI286" s="84">
        <v>0.0</v>
      </c>
      <c r="AJ286" s="84">
        <v>0.0</v>
      </c>
      <c r="AK286" s="84">
        <v>1.0</v>
      </c>
      <c r="AL286" s="84">
        <v>0.0</v>
      </c>
      <c r="AM286" s="84">
        <v>0.0</v>
      </c>
      <c r="AN286" s="84">
        <v>1.0</v>
      </c>
      <c r="AO286" s="84">
        <v>0.0</v>
      </c>
      <c r="AP286" s="84">
        <v>0.0</v>
      </c>
      <c r="AQ286" s="84">
        <v>0.0</v>
      </c>
      <c r="AR286" s="84">
        <v>0.0</v>
      </c>
      <c r="AS286" s="84">
        <v>0.0</v>
      </c>
      <c r="AT286" s="84">
        <v>0.0</v>
      </c>
      <c r="AU286" s="84">
        <v>0.0</v>
      </c>
      <c r="AV286" s="84">
        <v>0.0</v>
      </c>
      <c r="AW286" s="84">
        <v>0.0</v>
      </c>
      <c r="AX286" s="84">
        <v>0.0</v>
      </c>
      <c r="AY286" s="84">
        <v>1.0</v>
      </c>
      <c r="AZ286" s="84">
        <v>47.0</v>
      </c>
      <c r="BH286" s="84">
        <v>303.0</v>
      </c>
      <c r="BI286" s="84" t="s">
        <v>5561</v>
      </c>
    </row>
    <row r="287" ht="12.75" customHeight="1">
      <c r="A287" s="84">
        <v>285.0</v>
      </c>
      <c r="B287" s="84" t="s">
        <v>2813</v>
      </c>
      <c r="C287" s="84">
        <v>1.0</v>
      </c>
      <c r="D287" s="84" t="s">
        <v>2659</v>
      </c>
      <c r="E287" s="84">
        <v>13.0</v>
      </c>
      <c r="F287" s="84" t="s">
        <v>5131</v>
      </c>
      <c r="G287" s="84">
        <v>0.0</v>
      </c>
      <c r="H287" s="84">
        <v>101.0</v>
      </c>
      <c r="I287" s="84">
        <v>10.0</v>
      </c>
      <c r="N287" s="84">
        <v>0.0</v>
      </c>
      <c r="O287" s="84">
        <v>0.0</v>
      </c>
      <c r="P287" s="84">
        <v>0.0</v>
      </c>
      <c r="U287" s="84">
        <v>191.0</v>
      </c>
      <c r="X287" s="84">
        <v>0.0</v>
      </c>
      <c r="AH287" s="84">
        <v>0.0</v>
      </c>
      <c r="AI287" s="84">
        <v>0.0</v>
      </c>
      <c r="AJ287" s="84">
        <v>0.0</v>
      </c>
      <c r="AK287" s="84">
        <v>1.0</v>
      </c>
      <c r="AL287" s="84">
        <v>0.0</v>
      </c>
      <c r="AM287" s="84">
        <v>0.0</v>
      </c>
      <c r="AN287" s="84">
        <v>1.0</v>
      </c>
      <c r="AO287" s="84">
        <v>0.0</v>
      </c>
      <c r="AP287" s="84">
        <v>0.0</v>
      </c>
      <c r="AQ287" s="84">
        <v>0.0</v>
      </c>
      <c r="AR287" s="84">
        <v>0.0</v>
      </c>
      <c r="AS287" s="84">
        <v>0.0</v>
      </c>
      <c r="AT287" s="84">
        <v>0.0</v>
      </c>
      <c r="AU287" s="84">
        <v>1.0</v>
      </c>
      <c r="AV287" s="84">
        <v>0.0</v>
      </c>
      <c r="AW287" s="84">
        <v>1.0</v>
      </c>
      <c r="AX287" s="84">
        <v>0.0</v>
      </c>
      <c r="AY287" s="84">
        <v>1.0</v>
      </c>
      <c r="AZ287" s="84">
        <v>2.0</v>
      </c>
      <c r="BH287" s="84">
        <v>304.0</v>
      </c>
      <c r="BI287" s="84" t="s">
        <v>5562</v>
      </c>
    </row>
    <row r="288" ht="12.75" customHeight="1">
      <c r="A288" s="84">
        <v>286.0</v>
      </c>
      <c r="B288" s="84" t="s">
        <v>4028</v>
      </c>
      <c r="C288" s="84">
        <v>1.0</v>
      </c>
      <c r="D288" s="84" t="s">
        <v>2659</v>
      </c>
      <c r="E288" s="84">
        <v>13.0</v>
      </c>
      <c r="F288" s="84" t="s">
        <v>5131</v>
      </c>
      <c r="G288" s="84">
        <v>0.0</v>
      </c>
      <c r="H288" s="84">
        <v>101.0</v>
      </c>
      <c r="I288" s="84">
        <v>10.0</v>
      </c>
      <c r="N288" s="84">
        <v>0.0</v>
      </c>
      <c r="O288" s="84">
        <v>0.0</v>
      </c>
      <c r="P288" s="84">
        <v>0.0</v>
      </c>
      <c r="U288" s="84">
        <v>192.0</v>
      </c>
      <c r="X288" s="84">
        <v>7.0</v>
      </c>
      <c r="AH288" s="84">
        <v>0.0</v>
      </c>
      <c r="AI288" s="84">
        <v>0.0</v>
      </c>
      <c r="AJ288" s="84">
        <v>0.0</v>
      </c>
      <c r="AK288" s="84">
        <v>0.0</v>
      </c>
      <c r="AL288" s="84">
        <v>0.0</v>
      </c>
      <c r="AM288" s="84">
        <v>1.0</v>
      </c>
      <c r="AN288" s="84">
        <v>0.0</v>
      </c>
      <c r="AO288" s="84">
        <v>0.0</v>
      </c>
      <c r="AP288" s="84">
        <v>0.0</v>
      </c>
      <c r="AQ288" s="84">
        <v>0.0</v>
      </c>
      <c r="AR288" s="84">
        <v>0.0</v>
      </c>
      <c r="AS288" s="84">
        <v>0.0</v>
      </c>
      <c r="AT288" s="84">
        <v>0.0</v>
      </c>
      <c r="AU288" s="84">
        <v>1.0</v>
      </c>
      <c r="AV288" s="84">
        <v>0.0</v>
      </c>
      <c r="AW288" s="84">
        <v>0.0</v>
      </c>
      <c r="AX288" s="84">
        <v>0.0</v>
      </c>
      <c r="AY288" s="84">
        <v>1.0</v>
      </c>
      <c r="AZ288" s="84">
        <v>13.0</v>
      </c>
      <c r="BH288" s="84">
        <v>305.0</v>
      </c>
      <c r="BI288" s="84" t="s">
        <v>5563</v>
      </c>
    </row>
    <row r="289" ht="12.75" customHeight="1">
      <c r="A289" s="84">
        <v>287.0</v>
      </c>
      <c r="B289" s="84" t="s">
        <v>5564</v>
      </c>
      <c r="C289" s="84">
        <v>0.0</v>
      </c>
      <c r="D289" s="84" t="s">
        <v>4916</v>
      </c>
      <c r="E289" s="84">
        <v>13.0</v>
      </c>
      <c r="F289" s="84" t="s">
        <v>5131</v>
      </c>
      <c r="G289" s="84">
        <v>0.0</v>
      </c>
      <c r="H289" s="84">
        <v>101.0</v>
      </c>
      <c r="I289" s="84">
        <v>20.0</v>
      </c>
      <c r="J289" s="84"/>
      <c r="K289" s="84"/>
      <c r="L289" s="84"/>
      <c r="M289" s="84"/>
      <c r="N289" s="84">
        <v>0.0</v>
      </c>
      <c r="O289" s="84">
        <v>0.0</v>
      </c>
      <c r="P289" s="84">
        <v>0.0</v>
      </c>
      <c r="Q289" s="84"/>
      <c r="R289" s="84"/>
      <c r="S289" s="84"/>
      <c r="T289" s="84"/>
      <c r="U289" s="84">
        <v>193.0</v>
      </c>
      <c r="V289" s="84"/>
      <c r="W289" s="84"/>
      <c r="X289" s="84">
        <v>7.0</v>
      </c>
      <c r="Y289" s="84"/>
      <c r="Z289" s="84"/>
      <c r="AA289" s="84"/>
      <c r="AB289" s="84"/>
      <c r="AC289" s="84"/>
      <c r="AD289" s="84"/>
      <c r="AE289" s="84"/>
      <c r="AF289" s="84"/>
      <c r="AG289" s="84"/>
      <c r="AH289" s="84">
        <v>0.0</v>
      </c>
      <c r="AI289" s="84">
        <v>0.0</v>
      </c>
      <c r="AJ289" s="84">
        <v>0.0</v>
      </c>
      <c r="AK289" s="84">
        <v>0.0</v>
      </c>
      <c r="AL289" s="84">
        <v>0.0</v>
      </c>
      <c r="AM289" s="84">
        <v>1.0</v>
      </c>
      <c r="AN289" s="84">
        <v>0.0</v>
      </c>
      <c r="AO289" s="84">
        <v>0.0</v>
      </c>
      <c r="AP289" s="84">
        <v>0.0</v>
      </c>
      <c r="AQ289" s="84">
        <v>0.0</v>
      </c>
      <c r="AR289" s="84">
        <v>0.0</v>
      </c>
      <c r="AS289" s="84">
        <v>0.0</v>
      </c>
      <c r="AT289" s="84">
        <v>0.0</v>
      </c>
      <c r="AU289" s="84">
        <v>0.0</v>
      </c>
      <c r="AV289" s="84">
        <v>0.0</v>
      </c>
      <c r="AW289" s="84">
        <v>0.0</v>
      </c>
      <c r="AX289" s="84">
        <v>0.0</v>
      </c>
      <c r="AY289" s="84">
        <v>1.0</v>
      </c>
      <c r="AZ289" s="84">
        <v>0.0</v>
      </c>
      <c r="BH289" s="84">
        <v>306.0</v>
      </c>
      <c r="BI289" s="84" t="s">
        <v>5565</v>
      </c>
    </row>
    <row r="290" ht="12.75" customHeight="1">
      <c r="A290" s="84">
        <v>288.0</v>
      </c>
      <c r="B290" s="84" t="s">
        <v>2733</v>
      </c>
      <c r="C290" s="84">
        <v>1.0</v>
      </c>
      <c r="D290" s="84" t="s">
        <v>4945</v>
      </c>
      <c r="E290" s="84">
        <v>13.0</v>
      </c>
      <c r="F290" s="84" t="s">
        <v>5131</v>
      </c>
      <c r="G290" s="84">
        <v>0.0</v>
      </c>
      <c r="H290" s="84">
        <v>101.0</v>
      </c>
      <c r="I290" s="84">
        <v>5.0</v>
      </c>
      <c r="N290" s="84">
        <v>0.0</v>
      </c>
      <c r="O290" s="84">
        <v>0.0</v>
      </c>
      <c r="P290" s="84">
        <v>0.0</v>
      </c>
      <c r="U290" s="84">
        <v>194.0</v>
      </c>
      <c r="X290" s="84">
        <v>7.0</v>
      </c>
      <c r="AH290" s="84">
        <v>0.0</v>
      </c>
      <c r="AI290" s="84">
        <v>0.0</v>
      </c>
      <c r="AJ290" s="84">
        <v>0.0</v>
      </c>
      <c r="AK290" s="84">
        <v>0.0</v>
      </c>
      <c r="AL290" s="84">
        <v>0.0</v>
      </c>
      <c r="AM290" s="84">
        <v>0.0</v>
      </c>
      <c r="AN290" s="84">
        <v>0.0</v>
      </c>
      <c r="AO290" s="84">
        <v>0.0</v>
      </c>
      <c r="AP290" s="84">
        <v>0.0</v>
      </c>
      <c r="AQ290" s="84">
        <v>0.0</v>
      </c>
      <c r="AR290" s="84">
        <v>0.0</v>
      </c>
      <c r="AS290" s="84">
        <v>0.0</v>
      </c>
      <c r="AT290" s="84">
        <v>0.0</v>
      </c>
      <c r="AU290" s="84">
        <v>1.0</v>
      </c>
      <c r="AV290" s="84">
        <v>0.0</v>
      </c>
      <c r="AW290" s="84">
        <v>0.0</v>
      </c>
      <c r="AX290" s="84">
        <v>0.0</v>
      </c>
      <c r="AY290" s="84">
        <v>1.0</v>
      </c>
      <c r="AZ290" s="84">
        <v>13.0</v>
      </c>
      <c r="BH290" s="84">
        <v>307.0</v>
      </c>
      <c r="BI290" s="84" t="s">
        <v>5566</v>
      </c>
    </row>
    <row r="291" ht="12.75" customHeight="1">
      <c r="A291" s="84">
        <v>289.0</v>
      </c>
      <c r="B291" s="84" t="s">
        <v>5567</v>
      </c>
      <c r="C291" s="84">
        <v>0.0</v>
      </c>
      <c r="D291" s="84" t="s">
        <v>4972</v>
      </c>
      <c r="E291" s="84">
        <v>13.0</v>
      </c>
      <c r="F291" s="84" t="s">
        <v>5131</v>
      </c>
      <c r="G291" s="84">
        <v>0.0</v>
      </c>
      <c r="H291" s="84">
        <v>101.0</v>
      </c>
      <c r="I291" s="84">
        <v>10.0</v>
      </c>
      <c r="J291" s="84">
        <v>4.0</v>
      </c>
      <c r="K291" s="84"/>
      <c r="L291" s="84"/>
      <c r="M291" s="84"/>
      <c r="N291" s="84">
        <v>0.0</v>
      </c>
      <c r="O291" s="84">
        <v>0.0</v>
      </c>
      <c r="P291" s="84">
        <v>0.0</v>
      </c>
      <c r="Q291" s="84"/>
      <c r="R291" s="84"/>
      <c r="S291" s="84"/>
      <c r="T291" s="84"/>
      <c r="U291" s="84">
        <v>195.0</v>
      </c>
      <c r="V291" s="84"/>
      <c r="W291" s="84"/>
      <c r="X291" s="84">
        <v>7.0</v>
      </c>
      <c r="Y291" s="84"/>
      <c r="Z291" s="84"/>
      <c r="AA291" s="84"/>
      <c r="AB291" s="84"/>
      <c r="AC291" s="84"/>
      <c r="AD291" s="84"/>
      <c r="AE291" s="84"/>
      <c r="AF291" s="84"/>
      <c r="AG291" s="84"/>
      <c r="AH291" s="84">
        <v>0.0</v>
      </c>
      <c r="AI291" s="84">
        <v>0.0</v>
      </c>
      <c r="AJ291" s="84">
        <v>0.0</v>
      </c>
      <c r="AK291" s="84">
        <v>0.0</v>
      </c>
      <c r="AL291" s="84">
        <v>0.0</v>
      </c>
      <c r="AM291" s="84">
        <v>0.0</v>
      </c>
      <c r="AN291" s="84">
        <v>0.0</v>
      </c>
      <c r="AO291" s="84">
        <v>0.0</v>
      </c>
      <c r="AP291" s="84">
        <v>0.0</v>
      </c>
      <c r="AQ291" s="84">
        <v>0.0</v>
      </c>
      <c r="AR291" s="84">
        <v>0.0</v>
      </c>
      <c r="AS291" s="84">
        <v>0.0</v>
      </c>
      <c r="AT291" s="84">
        <v>0.0</v>
      </c>
      <c r="AU291" s="84">
        <v>1.0</v>
      </c>
      <c r="AV291" s="84">
        <v>0.0</v>
      </c>
      <c r="AW291" s="84">
        <v>0.0</v>
      </c>
      <c r="AX291" s="84">
        <v>0.0</v>
      </c>
      <c r="AY291" s="84">
        <v>0.0</v>
      </c>
      <c r="AZ291" s="84">
        <v>0.0</v>
      </c>
      <c r="BH291" s="84">
        <v>308.0</v>
      </c>
      <c r="BI291" s="84" t="s">
        <v>5568</v>
      </c>
    </row>
    <row r="292" ht="12.75" customHeight="1">
      <c r="A292" s="84">
        <v>290.0</v>
      </c>
      <c r="B292" s="84" t="s">
        <v>5569</v>
      </c>
      <c r="C292" s="84">
        <v>0.0</v>
      </c>
      <c r="D292" s="84" t="s">
        <v>4916</v>
      </c>
      <c r="E292" s="84">
        <v>0.0</v>
      </c>
      <c r="F292" s="84" t="s">
        <v>5135</v>
      </c>
      <c r="G292" s="84">
        <v>70.0</v>
      </c>
      <c r="H292" s="84">
        <v>100.0</v>
      </c>
      <c r="I292" s="84">
        <v>20.0</v>
      </c>
      <c r="J292" s="84"/>
      <c r="K292" s="84"/>
      <c r="L292" s="84"/>
      <c r="M292" s="84"/>
      <c r="N292" s="84">
        <v>0.0</v>
      </c>
      <c r="O292" s="84">
        <v>30.0</v>
      </c>
      <c r="P292" s="84">
        <v>0.0</v>
      </c>
      <c r="Q292" s="84"/>
      <c r="R292" s="84"/>
      <c r="S292" s="84"/>
      <c r="T292" s="84"/>
      <c r="U292" s="84">
        <v>197.0</v>
      </c>
      <c r="V292" s="84"/>
      <c r="W292" s="84"/>
      <c r="X292" s="84">
        <v>0.0</v>
      </c>
      <c r="Y292" s="84"/>
      <c r="Z292" s="84"/>
      <c r="AA292" s="84"/>
      <c r="AB292" s="84"/>
      <c r="AC292" s="84"/>
      <c r="AD292" s="84"/>
      <c r="AE292" s="84"/>
      <c r="AF292" s="84"/>
      <c r="AG292" s="84"/>
      <c r="AH292" s="84">
        <v>0.0</v>
      </c>
      <c r="AI292" s="84">
        <v>0.0</v>
      </c>
      <c r="AJ292" s="84">
        <v>0.0</v>
      </c>
      <c r="AK292" s="84">
        <v>1.0</v>
      </c>
      <c r="AL292" s="84">
        <v>0.0</v>
      </c>
      <c r="AM292" s="84">
        <v>0.0</v>
      </c>
      <c r="AN292" s="84">
        <v>1.0</v>
      </c>
      <c r="AO292" s="84">
        <v>0.0</v>
      </c>
      <c r="AP292" s="84">
        <v>0.0</v>
      </c>
      <c r="AQ292" s="84">
        <v>0.0</v>
      </c>
      <c r="AR292" s="84">
        <v>0.0</v>
      </c>
      <c r="AS292" s="84">
        <v>0.0</v>
      </c>
      <c r="AT292" s="84">
        <v>0.0</v>
      </c>
      <c r="AU292" s="84">
        <v>0.0</v>
      </c>
      <c r="AV292" s="84">
        <v>0.0</v>
      </c>
      <c r="AW292" s="84">
        <v>0.0</v>
      </c>
      <c r="AX292" s="84">
        <v>0.0</v>
      </c>
      <c r="AY292" s="84">
        <v>1.0</v>
      </c>
      <c r="AZ292" s="84">
        <v>0.0</v>
      </c>
      <c r="BH292" s="84">
        <v>309.0</v>
      </c>
      <c r="BI292" s="84" t="s">
        <v>5570</v>
      </c>
    </row>
    <row r="293" ht="12.75" customHeight="1">
      <c r="A293" s="84">
        <v>291.0</v>
      </c>
      <c r="B293" s="84" t="s">
        <v>2966</v>
      </c>
      <c r="C293" s="84">
        <v>1.0</v>
      </c>
      <c r="D293" s="84" t="s">
        <v>4908</v>
      </c>
      <c r="E293" s="84">
        <v>0.0</v>
      </c>
      <c r="F293" s="84" t="s">
        <v>5135</v>
      </c>
      <c r="G293" s="84">
        <v>80.0</v>
      </c>
      <c r="H293" s="84">
        <v>100.0</v>
      </c>
      <c r="I293" s="84">
        <v>10.0</v>
      </c>
      <c r="N293" s="84">
        <v>0.0</v>
      </c>
      <c r="O293" s="84">
        <v>0.0</v>
      </c>
      <c r="P293" s="84">
        <v>0.0</v>
      </c>
      <c r="U293" s="84">
        <v>255.0</v>
      </c>
      <c r="X293" s="84">
        <v>0.0</v>
      </c>
      <c r="AH293" s="84">
        <v>1.0</v>
      </c>
      <c r="AI293" s="84">
        <v>1.0</v>
      </c>
      <c r="AJ293" s="84">
        <v>0.0</v>
      </c>
      <c r="AK293" s="84">
        <v>1.0</v>
      </c>
      <c r="AL293" s="84">
        <v>0.0</v>
      </c>
      <c r="AM293" s="84">
        <v>0.0</v>
      </c>
      <c r="AN293" s="84">
        <v>1.0</v>
      </c>
      <c r="AO293" s="84">
        <v>0.0</v>
      </c>
      <c r="AP293" s="84">
        <v>0.0</v>
      </c>
      <c r="AQ293" s="84">
        <v>0.0</v>
      </c>
      <c r="AR293" s="84">
        <v>0.0</v>
      </c>
      <c r="AS293" s="84">
        <v>0.0</v>
      </c>
      <c r="AT293" s="84">
        <v>0.0</v>
      </c>
      <c r="AU293" s="84">
        <v>0.0</v>
      </c>
      <c r="AV293" s="84">
        <v>1.0</v>
      </c>
      <c r="AW293" s="84">
        <v>1.0</v>
      </c>
      <c r="AX293" s="84">
        <v>0.0</v>
      </c>
      <c r="AY293" s="84">
        <v>1.0</v>
      </c>
      <c r="AZ293" s="84">
        <v>26.0</v>
      </c>
      <c r="BH293" s="84">
        <v>310.0</v>
      </c>
      <c r="BI293" s="84" t="s">
        <v>5571</v>
      </c>
    </row>
    <row r="294" ht="12.75" customHeight="1">
      <c r="A294" s="84">
        <v>292.0</v>
      </c>
      <c r="B294" s="84" t="s">
        <v>5572</v>
      </c>
      <c r="C294" s="84">
        <v>1.0</v>
      </c>
      <c r="D294" s="84" t="s">
        <v>4935</v>
      </c>
      <c r="E294" s="84">
        <v>0.0</v>
      </c>
      <c r="F294" s="84" t="s">
        <v>5135</v>
      </c>
      <c r="G294" s="84">
        <v>15.0</v>
      </c>
      <c r="H294" s="84">
        <v>100.0</v>
      </c>
      <c r="I294" s="84">
        <v>20.0</v>
      </c>
      <c r="K294" s="84">
        <v>2.0</v>
      </c>
      <c r="L294" s="84">
        <v>5.0</v>
      </c>
      <c r="N294" s="84">
        <v>0.0</v>
      </c>
      <c r="O294" s="84">
        <v>0.0</v>
      </c>
      <c r="P294" s="84">
        <v>0.0</v>
      </c>
      <c r="U294" s="84">
        <v>29.0</v>
      </c>
      <c r="X294" s="84">
        <v>0.0</v>
      </c>
      <c r="AH294" s="84">
        <v>1.0</v>
      </c>
      <c r="AI294" s="84">
        <v>0.0</v>
      </c>
      <c r="AJ294" s="84">
        <v>0.0</v>
      </c>
      <c r="AK294" s="84">
        <v>1.0</v>
      </c>
      <c r="AL294" s="84">
        <v>0.0</v>
      </c>
      <c r="AM294" s="84">
        <v>0.0</v>
      </c>
      <c r="AN294" s="84">
        <v>1.0</v>
      </c>
      <c r="AO294" s="84">
        <v>0.0</v>
      </c>
      <c r="AP294" s="84">
        <v>0.0</v>
      </c>
      <c r="AQ294" s="84">
        <v>0.0</v>
      </c>
      <c r="AR294" s="84">
        <v>0.0</v>
      </c>
      <c r="AS294" s="84">
        <v>0.0</v>
      </c>
      <c r="AT294" s="84">
        <v>0.0</v>
      </c>
      <c r="AU294" s="84">
        <v>0.0</v>
      </c>
      <c r="AV294" s="84">
        <v>0.0</v>
      </c>
      <c r="AW294" s="84">
        <v>0.0</v>
      </c>
      <c r="AX294" s="84">
        <v>0.0</v>
      </c>
      <c r="AY294" s="84">
        <v>1.0</v>
      </c>
      <c r="AZ294" s="84">
        <v>26.0</v>
      </c>
      <c r="BH294" s="84">
        <v>311.0</v>
      </c>
      <c r="BI294" s="84" t="s">
        <v>5573</v>
      </c>
    </row>
    <row r="295" ht="12.75" customHeight="1">
      <c r="A295" s="84">
        <v>293.0</v>
      </c>
      <c r="B295" s="84" t="s">
        <v>5574</v>
      </c>
      <c r="C295" s="84">
        <v>0.0</v>
      </c>
      <c r="D295" s="84" t="s">
        <v>4916</v>
      </c>
      <c r="E295" s="84">
        <v>13.0</v>
      </c>
      <c r="F295" s="84" t="s">
        <v>5131</v>
      </c>
      <c r="G295" s="84">
        <v>0.0</v>
      </c>
      <c r="H295" s="84">
        <v>101.0</v>
      </c>
      <c r="I295" s="84">
        <v>20.0</v>
      </c>
      <c r="J295" s="84"/>
      <c r="K295" s="84"/>
      <c r="L295" s="84"/>
      <c r="M295" s="84"/>
      <c r="N295" s="84">
        <v>0.0</v>
      </c>
      <c r="O295" s="84">
        <v>0.0</v>
      </c>
      <c r="P295" s="84">
        <v>0.0</v>
      </c>
      <c r="Q295" s="84"/>
      <c r="R295" s="84"/>
      <c r="S295" s="84"/>
      <c r="T295" s="84"/>
      <c r="U295" s="84">
        <v>213.0</v>
      </c>
      <c r="V295" s="84"/>
      <c r="W295" s="84"/>
      <c r="X295" s="84">
        <v>7.0</v>
      </c>
      <c r="Y295" s="84"/>
      <c r="Z295" s="84"/>
      <c r="AA295" s="84"/>
      <c r="AB295" s="84"/>
      <c r="AC295" s="84"/>
      <c r="AD295" s="84"/>
      <c r="AE295" s="84"/>
      <c r="AF295" s="84"/>
      <c r="AG295" s="84"/>
      <c r="AH295" s="84">
        <v>0.0</v>
      </c>
      <c r="AI295" s="84">
        <v>0.0</v>
      </c>
      <c r="AJ295" s="84">
        <v>0.0</v>
      </c>
      <c r="AK295" s="84">
        <v>0.0</v>
      </c>
      <c r="AL295" s="84">
        <v>0.0</v>
      </c>
      <c r="AM295" s="84">
        <v>1.0</v>
      </c>
      <c r="AN295" s="84">
        <v>0.0</v>
      </c>
      <c r="AO295" s="84">
        <v>0.0</v>
      </c>
      <c r="AP295" s="84">
        <v>0.0</v>
      </c>
      <c r="AQ295" s="84">
        <v>0.0</v>
      </c>
      <c r="AR295" s="84">
        <v>0.0</v>
      </c>
      <c r="AS295" s="84">
        <v>0.0</v>
      </c>
      <c r="AT295" s="84">
        <v>0.0</v>
      </c>
      <c r="AU295" s="84">
        <v>0.0</v>
      </c>
      <c r="AV295" s="84">
        <v>0.0</v>
      </c>
      <c r="AW295" s="84">
        <v>0.0</v>
      </c>
      <c r="AX295" s="84">
        <v>0.0</v>
      </c>
      <c r="AY295" s="84">
        <v>1.0</v>
      </c>
      <c r="AZ295" s="84">
        <v>0.0</v>
      </c>
      <c r="BH295" s="84">
        <v>312.0</v>
      </c>
      <c r="BI295" s="84" t="s">
        <v>5575</v>
      </c>
    </row>
    <row r="296" ht="12.75" customHeight="1">
      <c r="A296" s="84">
        <v>294.0</v>
      </c>
      <c r="B296" s="84" t="s">
        <v>5576</v>
      </c>
      <c r="C296" s="84">
        <v>1.0</v>
      </c>
      <c r="D296" s="84" t="s">
        <v>4910</v>
      </c>
      <c r="E296" s="84">
        <v>2.0</v>
      </c>
      <c r="F296" s="84" t="s">
        <v>5131</v>
      </c>
      <c r="G296" s="84">
        <v>0.0</v>
      </c>
      <c r="H296" s="84">
        <v>101.0</v>
      </c>
      <c r="I296" s="84">
        <v>20.0</v>
      </c>
      <c r="N296" s="84">
        <v>0.0</v>
      </c>
      <c r="O296" s="84">
        <v>0.0</v>
      </c>
      <c r="P296" s="84">
        <v>0.0</v>
      </c>
      <c r="U296" s="84">
        <v>321.0</v>
      </c>
      <c r="X296" s="84">
        <v>7.0</v>
      </c>
      <c r="Y296" s="84" t="s">
        <v>22</v>
      </c>
      <c r="Z296" s="84">
        <v>3.0</v>
      </c>
      <c r="AH296" s="84">
        <v>0.0</v>
      </c>
      <c r="AI296" s="84">
        <v>0.0</v>
      </c>
      <c r="AJ296" s="84">
        <v>0.0</v>
      </c>
      <c r="AK296" s="84">
        <v>0.0</v>
      </c>
      <c r="AL296" s="84">
        <v>0.0</v>
      </c>
      <c r="AM296" s="84">
        <v>1.0</v>
      </c>
      <c r="AN296" s="84">
        <v>0.0</v>
      </c>
      <c r="AO296" s="84">
        <v>0.0</v>
      </c>
      <c r="AP296" s="84">
        <v>0.0</v>
      </c>
      <c r="AQ296" s="84">
        <v>0.0</v>
      </c>
      <c r="AR296" s="84">
        <v>0.0</v>
      </c>
      <c r="AS296" s="84">
        <v>0.0</v>
      </c>
      <c r="AT296" s="84">
        <v>0.0</v>
      </c>
      <c r="AU296" s="84">
        <v>0.0</v>
      </c>
      <c r="AV296" s="84">
        <v>0.0</v>
      </c>
      <c r="AW296" s="84">
        <v>0.0</v>
      </c>
      <c r="AX296" s="84">
        <v>0.0</v>
      </c>
      <c r="AY296" s="84">
        <v>1.0</v>
      </c>
      <c r="AZ296" s="84">
        <v>11.0</v>
      </c>
      <c r="BH296" s="84">
        <v>313.0</v>
      </c>
      <c r="BI296" s="84" t="s">
        <v>5577</v>
      </c>
    </row>
    <row r="297" ht="12.75" customHeight="1">
      <c r="A297" s="84">
        <v>295.0</v>
      </c>
      <c r="B297" s="84" t="s">
        <v>4263</v>
      </c>
      <c r="C297" s="84">
        <v>1.0</v>
      </c>
      <c r="D297" s="84" t="s">
        <v>2659</v>
      </c>
      <c r="E297" s="84">
        <v>6.0</v>
      </c>
      <c r="F297" s="84" t="s">
        <v>5172</v>
      </c>
      <c r="G297" s="84">
        <v>70.0</v>
      </c>
      <c r="H297" s="84">
        <v>100.0</v>
      </c>
      <c r="I297" s="84">
        <v>5.0</v>
      </c>
      <c r="N297" s="84">
        <v>0.0</v>
      </c>
      <c r="O297" s="84">
        <v>0.0</v>
      </c>
      <c r="P297" s="84">
        <v>0.0</v>
      </c>
      <c r="U297" s="84">
        <v>72.0</v>
      </c>
      <c r="X297" s="84">
        <v>0.0</v>
      </c>
      <c r="Y297" s="84" t="s">
        <v>23</v>
      </c>
      <c r="Z297" s="84">
        <v>-1.0</v>
      </c>
      <c r="AA297" s="84">
        <v>50.0</v>
      </c>
      <c r="AH297" s="84">
        <v>0.0</v>
      </c>
      <c r="AI297" s="84">
        <v>0.0</v>
      </c>
      <c r="AJ297" s="84">
        <v>0.0</v>
      </c>
      <c r="AK297" s="84">
        <v>1.0</v>
      </c>
      <c r="AL297" s="84">
        <v>0.0</v>
      </c>
      <c r="AM297" s="84">
        <v>0.0</v>
      </c>
      <c r="AN297" s="84">
        <v>1.0</v>
      </c>
      <c r="AO297" s="84">
        <v>0.0</v>
      </c>
      <c r="AP297" s="84">
        <v>0.0</v>
      </c>
      <c r="AQ297" s="84">
        <v>0.0</v>
      </c>
      <c r="AR297" s="84">
        <v>0.0</v>
      </c>
      <c r="AS297" s="84">
        <v>0.0</v>
      </c>
      <c r="AT297" s="84">
        <v>0.0</v>
      </c>
      <c r="AU297" s="84">
        <v>0.0</v>
      </c>
      <c r="AV297" s="84">
        <v>0.0</v>
      </c>
      <c r="AW297" s="84">
        <v>0.0</v>
      </c>
      <c r="AX297" s="84">
        <v>0.0</v>
      </c>
      <c r="AY297" s="84">
        <v>1.0</v>
      </c>
      <c r="AZ297" s="84">
        <v>44.0</v>
      </c>
      <c r="BH297" s="84">
        <v>314.0</v>
      </c>
      <c r="BI297" s="84" t="s">
        <v>5578</v>
      </c>
    </row>
    <row r="298" ht="12.75" customHeight="1">
      <c r="A298" s="84">
        <v>296.0</v>
      </c>
      <c r="B298" s="84" t="s">
        <v>4277</v>
      </c>
      <c r="C298" s="84">
        <v>1.0</v>
      </c>
      <c r="D298" s="84" t="s">
        <v>2659</v>
      </c>
      <c r="E298" s="84">
        <v>6.0</v>
      </c>
      <c r="F298" s="84" t="s">
        <v>5172</v>
      </c>
      <c r="G298" s="84">
        <v>70.0</v>
      </c>
      <c r="H298" s="84">
        <v>100.0</v>
      </c>
      <c r="I298" s="84">
        <v>5.0</v>
      </c>
      <c r="N298" s="84">
        <v>0.0</v>
      </c>
      <c r="O298" s="84">
        <v>0.0</v>
      </c>
      <c r="P298" s="84">
        <v>0.0</v>
      </c>
      <c r="U298" s="84">
        <v>71.0</v>
      </c>
      <c r="X298" s="84">
        <v>0.0</v>
      </c>
      <c r="Y298" s="84" t="s">
        <v>22</v>
      </c>
      <c r="Z298" s="84">
        <v>-1.0</v>
      </c>
      <c r="AA298" s="84">
        <v>50.0</v>
      </c>
      <c r="AH298" s="84">
        <v>0.0</v>
      </c>
      <c r="AI298" s="84">
        <v>0.0</v>
      </c>
      <c r="AJ298" s="84">
        <v>0.0</v>
      </c>
      <c r="AK298" s="84">
        <v>1.0</v>
      </c>
      <c r="AL298" s="84">
        <v>0.0</v>
      </c>
      <c r="AM298" s="84">
        <v>0.0</v>
      </c>
      <c r="AN298" s="84">
        <v>1.0</v>
      </c>
      <c r="AO298" s="84">
        <v>0.0</v>
      </c>
      <c r="AP298" s="84">
        <v>0.0</v>
      </c>
      <c r="AQ298" s="84">
        <v>0.0</v>
      </c>
      <c r="AR298" s="84">
        <v>0.0</v>
      </c>
      <c r="AS298" s="84">
        <v>0.0</v>
      </c>
      <c r="AT298" s="84">
        <v>0.0</v>
      </c>
      <c r="AU298" s="84">
        <v>0.0</v>
      </c>
      <c r="AV298" s="84">
        <v>0.0</v>
      </c>
      <c r="AW298" s="84">
        <v>0.0</v>
      </c>
      <c r="AX298" s="84">
        <v>0.0</v>
      </c>
      <c r="AY298" s="84">
        <v>1.0</v>
      </c>
      <c r="AZ298" s="84">
        <v>47.0</v>
      </c>
      <c r="BH298" s="84">
        <v>315.0</v>
      </c>
      <c r="BI298" s="84" t="s">
        <v>5579</v>
      </c>
    </row>
    <row r="299" ht="12.75" customHeight="1">
      <c r="A299" s="84">
        <v>297.0</v>
      </c>
      <c r="B299" s="84" t="s">
        <v>2872</v>
      </c>
      <c r="C299" s="84">
        <v>1.0</v>
      </c>
      <c r="D299" s="84" t="s">
        <v>4907</v>
      </c>
      <c r="E299" s="84">
        <v>2.0</v>
      </c>
      <c r="F299" s="84" t="s">
        <v>5131</v>
      </c>
      <c r="G299" s="84">
        <v>0.0</v>
      </c>
      <c r="H299" s="84">
        <v>100.0</v>
      </c>
      <c r="I299" s="84">
        <v>15.0</v>
      </c>
      <c r="N299" s="84">
        <v>0.0</v>
      </c>
      <c r="O299" s="84">
        <v>0.0</v>
      </c>
      <c r="P299" s="84">
        <v>0.0</v>
      </c>
      <c r="U299" s="84">
        <v>58.0</v>
      </c>
      <c r="X299" s="84">
        <v>0.0</v>
      </c>
      <c r="Y299" s="84" t="s">
        <v>20</v>
      </c>
      <c r="Z299" s="84">
        <v>-2.0</v>
      </c>
      <c r="AH299" s="84">
        <v>0.0</v>
      </c>
      <c r="AI299" s="84">
        <v>0.0</v>
      </c>
      <c r="AJ299" s="84">
        <v>0.0</v>
      </c>
      <c r="AK299" s="84">
        <v>1.0</v>
      </c>
      <c r="AL299" s="84">
        <v>1.0</v>
      </c>
      <c r="AM299" s="84">
        <v>0.0</v>
      </c>
      <c r="AN299" s="84">
        <v>1.0</v>
      </c>
      <c r="AO299" s="84">
        <v>0.0</v>
      </c>
      <c r="AP299" s="84">
        <v>0.0</v>
      </c>
      <c r="AQ299" s="84">
        <v>0.0</v>
      </c>
      <c r="AR299" s="84">
        <v>0.0</v>
      </c>
      <c r="AS299" s="84">
        <v>0.0</v>
      </c>
      <c r="AT299" s="84">
        <v>0.0</v>
      </c>
      <c r="AU299" s="84">
        <v>0.0</v>
      </c>
      <c r="AV299" s="84">
        <v>0.0</v>
      </c>
      <c r="AW299" s="84">
        <v>1.0</v>
      </c>
      <c r="AX299" s="84">
        <v>1.0</v>
      </c>
      <c r="AY299" s="84">
        <v>1.0</v>
      </c>
      <c r="AZ299" s="84">
        <v>5.0</v>
      </c>
      <c r="BH299" s="84">
        <v>316.0</v>
      </c>
      <c r="BI299" s="84" t="s">
        <v>5580</v>
      </c>
    </row>
    <row r="300" ht="12.75" customHeight="1">
      <c r="A300" s="84">
        <v>298.0</v>
      </c>
      <c r="B300" s="84" t="s">
        <v>3144</v>
      </c>
      <c r="C300" s="84">
        <v>1.0</v>
      </c>
      <c r="D300" s="84" t="s">
        <v>4916</v>
      </c>
      <c r="E300" s="84">
        <v>1.0</v>
      </c>
      <c r="F300" s="84" t="s">
        <v>5131</v>
      </c>
      <c r="G300" s="84">
        <v>0.0</v>
      </c>
      <c r="H300" s="84">
        <v>100.0</v>
      </c>
      <c r="I300" s="84">
        <v>20.0</v>
      </c>
      <c r="M300" s="84" t="s">
        <v>5255</v>
      </c>
      <c r="N300" s="84">
        <v>6.0</v>
      </c>
      <c r="O300" s="84">
        <v>0.0</v>
      </c>
      <c r="P300" s="84">
        <v>2.0</v>
      </c>
      <c r="Q300" s="84">
        <v>2.0</v>
      </c>
      <c r="R300" s="84">
        <v>5.0</v>
      </c>
      <c r="U300" s="84">
        <v>199.0</v>
      </c>
      <c r="X300" s="84">
        <v>4.0</v>
      </c>
      <c r="AH300" s="84">
        <v>0.0</v>
      </c>
      <c r="AI300" s="84">
        <v>0.0</v>
      </c>
      <c r="AJ300" s="84">
        <v>0.0</v>
      </c>
      <c r="AK300" s="84">
        <v>1.0</v>
      </c>
      <c r="AL300" s="84">
        <v>0.0</v>
      </c>
      <c r="AM300" s="84">
        <v>0.0</v>
      </c>
      <c r="AN300" s="84">
        <v>1.0</v>
      </c>
      <c r="AO300" s="84">
        <v>0.0</v>
      </c>
      <c r="AP300" s="84">
        <v>0.0</v>
      </c>
      <c r="AQ300" s="84">
        <v>0.0</v>
      </c>
      <c r="AR300" s="84">
        <v>0.0</v>
      </c>
      <c r="AS300" s="84">
        <v>0.0</v>
      </c>
      <c r="AT300" s="84">
        <v>0.0</v>
      </c>
      <c r="AU300" s="84">
        <v>0.0</v>
      </c>
      <c r="AV300" s="84">
        <v>0.0</v>
      </c>
      <c r="AW300" s="84">
        <v>0.0</v>
      </c>
      <c r="AX300" s="84">
        <v>1.0</v>
      </c>
      <c r="AY300" s="84">
        <v>1.0</v>
      </c>
      <c r="AZ300" s="84">
        <v>14.0</v>
      </c>
      <c r="BH300" s="84">
        <v>317.0</v>
      </c>
      <c r="BI300" s="84" t="s">
        <v>5581</v>
      </c>
    </row>
    <row r="301" ht="12.75" customHeight="1">
      <c r="A301" s="84">
        <v>299.0</v>
      </c>
      <c r="B301" s="84" t="s">
        <v>3482</v>
      </c>
      <c r="C301" s="84">
        <v>1.0</v>
      </c>
      <c r="D301" s="84" t="s">
        <v>4906</v>
      </c>
      <c r="E301" s="84">
        <v>4.0</v>
      </c>
      <c r="F301" s="84" t="s">
        <v>5135</v>
      </c>
      <c r="G301" s="84">
        <v>85.0</v>
      </c>
      <c r="H301" s="84">
        <v>90.0</v>
      </c>
      <c r="I301" s="84">
        <v>10.0</v>
      </c>
      <c r="M301" s="84" t="s">
        <v>5152</v>
      </c>
      <c r="N301" s="84">
        <v>4.0</v>
      </c>
      <c r="O301" s="84">
        <v>10.0</v>
      </c>
      <c r="P301" s="84">
        <v>1.0</v>
      </c>
      <c r="S301" s="84">
        <v>1.0</v>
      </c>
      <c r="U301" s="84">
        <v>200.0</v>
      </c>
      <c r="X301" s="84">
        <v>0.0</v>
      </c>
      <c r="AH301" s="84">
        <v>1.0</v>
      </c>
      <c r="AI301" s="84">
        <v>0.0</v>
      </c>
      <c r="AJ301" s="84">
        <v>0.0</v>
      </c>
      <c r="AK301" s="84">
        <v>1.0</v>
      </c>
      <c r="AL301" s="84">
        <v>0.0</v>
      </c>
      <c r="AM301" s="84">
        <v>0.0</v>
      </c>
      <c r="AN301" s="84">
        <v>1.0</v>
      </c>
      <c r="AO301" s="84">
        <v>0.0</v>
      </c>
      <c r="AP301" s="84">
        <v>0.0</v>
      </c>
      <c r="AQ301" s="84">
        <v>0.0</v>
      </c>
      <c r="AR301" s="84">
        <v>0.0</v>
      </c>
      <c r="AS301" s="84">
        <v>0.0</v>
      </c>
      <c r="AT301" s="84">
        <v>0.0</v>
      </c>
      <c r="AU301" s="84">
        <v>0.0</v>
      </c>
      <c r="AV301" s="84">
        <v>0.0</v>
      </c>
      <c r="AW301" s="84">
        <v>0.0</v>
      </c>
      <c r="AX301" s="84">
        <v>0.0</v>
      </c>
      <c r="AY301" s="84">
        <v>1.0</v>
      </c>
      <c r="AZ301" s="84">
        <v>43.0</v>
      </c>
      <c r="BH301" s="84">
        <v>318.0</v>
      </c>
      <c r="BI301" s="84" t="s">
        <v>5582</v>
      </c>
    </row>
    <row r="302" ht="12.75" customHeight="1">
      <c r="A302" s="84">
        <v>300.0</v>
      </c>
      <c r="B302" s="84" t="s">
        <v>5583</v>
      </c>
      <c r="C302" s="84">
        <v>0.0</v>
      </c>
      <c r="D302" s="84" t="s">
        <v>4922</v>
      </c>
      <c r="E302" s="84">
        <v>10.0</v>
      </c>
      <c r="F302" s="84" t="s">
        <v>5131</v>
      </c>
      <c r="G302" s="84">
        <v>0.0</v>
      </c>
      <c r="H302" s="84">
        <v>101.0</v>
      </c>
      <c r="I302" s="84">
        <v>15.0</v>
      </c>
      <c r="J302" s="84"/>
      <c r="K302" s="84"/>
      <c r="L302" s="84"/>
      <c r="M302" s="84"/>
      <c r="N302" s="84">
        <v>0.0</v>
      </c>
      <c r="O302" s="84">
        <v>0.0</v>
      </c>
      <c r="P302" s="84">
        <v>0.0</v>
      </c>
      <c r="Q302" s="84"/>
      <c r="R302" s="84"/>
      <c r="S302" s="84"/>
      <c r="T302" s="84"/>
      <c r="U302" s="84">
        <v>201.0</v>
      </c>
      <c r="V302" s="84"/>
      <c r="W302" s="84"/>
      <c r="X302" s="84">
        <v>10.0</v>
      </c>
      <c r="Y302" s="84"/>
      <c r="Z302" s="84"/>
      <c r="AA302" s="84"/>
      <c r="AB302" s="84"/>
      <c r="AC302" s="84"/>
      <c r="AD302" s="84"/>
      <c r="AE302" s="84"/>
      <c r="AF302" s="84"/>
      <c r="AG302" s="84"/>
      <c r="AH302" s="84">
        <v>0.0</v>
      </c>
      <c r="AI302" s="84">
        <v>0.0</v>
      </c>
      <c r="AJ302" s="84">
        <v>0.0</v>
      </c>
      <c r="AK302" s="84">
        <v>0.0</v>
      </c>
      <c r="AL302" s="84">
        <v>0.0</v>
      </c>
      <c r="AM302" s="84">
        <v>0.0</v>
      </c>
      <c r="AN302" s="84">
        <v>0.0</v>
      </c>
      <c r="AO302" s="84">
        <v>0.0</v>
      </c>
      <c r="AP302" s="84">
        <v>0.0</v>
      </c>
      <c r="AQ302" s="84">
        <v>0.0</v>
      </c>
      <c r="AR302" s="84">
        <v>0.0</v>
      </c>
      <c r="AS302" s="84">
        <v>0.0</v>
      </c>
      <c r="AT302" s="84">
        <v>0.0</v>
      </c>
      <c r="AU302" s="84">
        <v>0.0</v>
      </c>
      <c r="AV302" s="84">
        <v>1.0</v>
      </c>
      <c r="AW302" s="84">
        <v>0.0</v>
      </c>
      <c r="AX302" s="84">
        <v>0.0</v>
      </c>
      <c r="AY302" s="84">
        <v>1.0</v>
      </c>
      <c r="AZ302" s="84">
        <v>0.0</v>
      </c>
      <c r="BH302" s="84">
        <v>319.0</v>
      </c>
      <c r="BI302" s="84" t="s">
        <v>5584</v>
      </c>
    </row>
    <row r="303" ht="12.75" customHeight="1">
      <c r="A303" s="84">
        <v>301.0</v>
      </c>
      <c r="B303" s="84" t="s">
        <v>5585</v>
      </c>
      <c r="C303" s="84">
        <v>0.0</v>
      </c>
      <c r="D303" s="84" t="s">
        <v>4942</v>
      </c>
      <c r="E303" s="84">
        <v>0.0</v>
      </c>
      <c r="F303" s="84" t="s">
        <v>5135</v>
      </c>
      <c r="G303" s="84">
        <v>30.0</v>
      </c>
      <c r="H303" s="84">
        <v>90.0</v>
      </c>
      <c r="I303" s="84">
        <v>20.0</v>
      </c>
      <c r="J303" s="84"/>
      <c r="K303" s="84"/>
      <c r="L303" s="84"/>
      <c r="M303" s="84"/>
      <c r="N303" s="84">
        <v>0.0</v>
      </c>
      <c r="O303" s="84">
        <v>0.0</v>
      </c>
      <c r="P303" s="84">
        <v>0.0</v>
      </c>
      <c r="Q303" s="84"/>
      <c r="R303" s="84"/>
      <c r="S303" s="84"/>
      <c r="T303" s="84"/>
      <c r="U303" s="84">
        <v>117.0</v>
      </c>
      <c r="V303" s="84"/>
      <c r="W303" s="84"/>
      <c r="X303" s="84">
        <v>0.0</v>
      </c>
      <c r="Y303" s="84"/>
      <c r="Z303" s="84"/>
      <c r="AA303" s="84"/>
      <c r="AB303" s="84"/>
      <c r="AC303" s="84"/>
      <c r="AD303" s="84"/>
      <c r="AE303" s="84"/>
      <c r="AF303" s="84"/>
      <c r="AG303" s="84"/>
      <c r="AH303" s="84">
        <v>1.0</v>
      </c>
      <c r="AI303" s="84">
        <v>0.0</v>
      </c>
      <c r="AJ303" s="84">
        <v>0.0</v>
      </c>
      <c r="AK303" s="84">
        <v>1.0</v>
      </c>
      <c r="AL303" s="84">
        <v>0.0</v>
      </c>
      <c r="AM303" s="84">
        <v>0.0</v>
      </c>
      <c r="AN303" s="84">
        <v>1.0</v>
      </c>
      <c r="AO303" s="84">
        <v>0.0</v>
      </c>
      <c r="AP303" s="84">
        <v>0.0</v>
      </c>
      <c r="AQ303" s="84">
        <v>0.0</v>
      </c>
      <c r="AR303" s="84">
        <v>0.0</v>
      </c>
      <c r="AS303" s="84">
        <v>0.0</v>
      </c>
      <c r="AT303" s="84">
        <v>0.0</v>
      </c>
      <c r="AU303" s="84">
        <v>0.0</v>
      </c>
      <c r="AV303" s="84">
        <v>0.0</v>
      </c>
      <c r="AW303" s="84">
        <v>0.0</v>
      </c>
      <c r="AX303" s="84">
        <v>0.0</v>
      </c>
      <c r="AY303" s="84">
        <v>1.0</v>
      </c>
      <c r="AZ303" s="84">
        <v>0.0</v>
      </c>
      <c r="BH303" s="84">
        <v>320.0</v>
      </c>
      <c r="BI303" s="84" t="s">
        <v>5586</v>
      </c>
    </row>
    <row r="304" ht="12.75" customHeight="1">
      <c r="A304" s="84">
        <v>302.0</v>
      </c>
      <c r="B304" s="84" t="s">
        <v>5587</v>
      </c>
      <c r="C304" s="84">
        <v>0.0</v>
      </c>
      <c r="D304" s="84" t="s">
        <v>4904</v>
      </c>
      <c r="E304" s="84">
        <v>0.0</v>
      </c>
      <c r="F304" s="84" t="s">
        <v>5135</v>
      </c>
      <c r="G304" s="84">
        <v>60.0</v>
      </c>
      <c r="H304" s="84">
        <v>100.0</v>
      </c>
      <c r="I304" s="84">
        <v>15.0</v>
      </c>
      <c r="J304" s="84"/>
      <c r="K304" s="84"/>
      <c r="L304" s="84"/>
      <c r="M304" s="84"/>
      <c r="N304" s="84">
        <v>0.0</v>
      </c>
      <c r="O304" s="84">
        <v>0.0</v>
      </c>
      <c r="P304" s="84">
        <v>0.0</v>
      </c>
      <c r="Q304" s="84"/>
      <c r="R304" s="84"/>
      <c r="S304" s="84"/>
      <c r="T304" s="84">
        <v>30.0</v>
      </c>
      <c r="U304" s="84">
        <v>31.0</v>
      </c>
      <c r="V304" s="84"/>
      <c r="W304" s="84"/>
      <c r="X304" s="84">
        <v>0.0</v>
      </c>
      <c r="Y304" s="84"/>
      <c r="Z304" s="84"/>
      <c r="AA304" s="84"/>
      <c r="AB304" s="84"/>
      <c r="AC304" s="84"/>
      <c r="AD304" s="84"/>
      <c r="AE304" s="84"/>
      <c r="AF304" s="84"/>
      <c r="AG304" s="84"/>
      <c r="AH304" s="84">
        <v>1.0</v>
      </c>
      <c r="AI304" s="84">
        <v>0.0</v>
      </c>
      <c r="AJ304" s="84">
        <v>0.0</v>
      </c>
      <c r="AK304" s="84">
        <v>1.0</v>
      </c>
      <c r="AL304" s="84">
        <v>0.0</v>
      </c>
      <c r="AM304" s="84">
        <v>0.0</v>
      </c>
      <c r="AN304" s="84">
        <v>1.0</v>
      </c>
      <c r="AO304" s="84">
        <v>0.0</v>
      </c>
      <c r="AP304" s="84">
        <v>0.0</v>
      </c>
      <c r="AQ304" s="84">
        <v>0.0</v>
      </c>
      <c r="AR304" s="84">
        <v>0.0</v>
      </c>
      <c r="AS304" s="84">
        <v>0.0</v>
      </c>
      <c r="AT304" s="84">
        <v>0.0</v>
      </c>
      <c r="AU304" s="84">
        <v>0.0</v>
      </c>
      <c r="AV304" s="84">
        <v>0.0</v>
      </c>
      <c r="AW304" s="84">
        <v>0.0</v>
      </c>
      <c r="AX304" s="84">
        <v>0.0</v>
      </c>
      <c r="AY304" s="84">
        <v>1.0</v>
      </c>
      <c r="AZ304" s="84">
        <v>0.0</v>
      </c>
      <c r="BH304" s="84">
        <v>321.0</v>
      </c>
      <c r="BI304" s="84" t="s">
        <v>5588</v>
      </c>
    </row>
    <row r="305" ht="12.75" customHeight="1">
      <c r="A305" s="84">
        <v>303.0</v>
      </c>
      <c r="B305" s="84" t="s">
        <v>3719</v>
      </c>
      <c r="C305" s="84">
        <v>1.0</v>
      </c>
      <c r="D305" s="84" t="s">
        <v>4916</v>
      </c>
      <c r="E305" s="84">
        <v>3.0</v>
      </c>
      <c r="F305" s="84" t="s">
        <v>5131</v>
      </c>
      <c r="G305" s="84">
        <v>0.0</v>
      </c>
      <c r="H305" s="84">
        <v>101.0</v>
      </c>
      <c r="I305" s="84">
        <v>10.0</v>
      </c>
      <c r="N305" s="84">
        <v>0.0</v>
      </c>
      <c r="O305" s="84">
        <v>0.0</v>
      </c>
      <c r="P305" s="84">
        <v>0.0</v>
      </c>
      <c r="U305" s="84">
        <v>32.0</v>
      </c>
      <c r="W305" s="84">
        <v>50.0</v>
      </c>
      <c r="X305" s="84">
        <v>7.0</v>
      </c>
      <c r="AH305" s="84">
        <v>0.0</v>
      </c>
      <c r="AI305" s="84">
        <v>0.0</v>
      </c>
      <c r="AJ305" s="84">
        <v>0.0</v>
      </c>
      <c r="AK305" s="84">
        <v>0.0</v>
      </c>
      <c r="AL305" s="84">
        <v>0.0</v>
      </c>
      <c r="AM305" s="84">
        <v>1.0</v>
      </c>
      <c r="AN305" s="84">
        <v>0.0</v>
      </c>
      <c r="AO305" s="84">
        <v>0.0</v>
      </c>
      <c r="AP305" s="84">
        <v>0.0</v>
      </c>
      <c r="AQ305" s="84">
        <v>0.0</v>
      </c>
      <c r="AR305" s="84">
        <v>0.0</v>
      </c>
      <c r="AS305" s="84">
        <v>0.0</v>
      </c>
      <c r="AT305" s="84">
        <v>1.0</v>
      </c>
      <c r="AU305" s="84">
        <v>0.0</v>
      </c>
      <c r="AV305" s="84">
        <v>0.0</v>
      </c>
      <c r="AW305" s="84">
        <v>0.0</v>
      </c>
      <c r="AX305" s="84">
        <v>0.0</v>
      </c>
      <c r="AY305" s="84">
        <v>1.0</v>
      </c>
      <c r="AZ305" s="84">
        <v>16.0</v>
      </c>
      <c r="BH305" s="84">
        <v>322.0</v>
      </c>
      <c r="BI305" s="84" t="s">
        <v>5589</v>
      </c>
    </row>
    <row r="306" ht="12.75" customHeight="1">
      <c r="A306" s="84">
        <v>304.0</v>
      </c>
      <c r="B306" s="84" t="s">
        <v>3139</v>
      </c>
      <c r="C306" s="84">
        <v>1.0</v>
      </c>
      <c r="D306" s="84" t="s">
        <v>4916</v>
      </c>
      <c r="E306" s="84">
        <v>0.0</v>
      </c>
      <c r="F306" s="84" t="s">
        <v>5172</v>
      </c>
      <c r="G306" s="84">
        <v>90.0</v>
      </c>
      <c r="H306" s="84">
        <v>100.0</v>
      </c>
      <c r="I306" s="84">
        <v>10.0</v>
      </c>
      <c r="N306" s="84">
        <v>0.0</v>
      </c>
      <c r="O306" s="84">
        <v>0.0</v>
      </c>
      <c r="P306" s="84">
        <v>0.0</v>
      </c>
      <c r="U306" s="84">
        <v>0.0</v>
      </c>
      <c r="X306" s="84">
        <v>5.0</v>
      </c>
      <c r="AH306" s="84">
        <v>0.0</v>
      </c>
      <c r="AI306" s="84">
        <v>0.0</v>
      </c>
      <c r="AJ306" s="84">
        <v>0.0</v>
      </c>
      <c r="AK306" s="84">
        <v>1.0</v>
      </c>
      <c r="AL306" s="84">
        <v>0.0</v>
      </c>
      <c r="AM306" s="84">
        <v>0.0</v>
      </c>
      <c r="AN306" s="84">
        <v>1.0</v>
      </c>
      <c r="AO306" s="84">
        <v>0.0</v>
      </c>
      <c r="AP306" s="84">
        <v>1.0</v>
      </c>
      <c r="AQ306" s="84">
        <v>0.0</v>
      </c>
      <c r="AR306" s="84">
        <v>0.0</v>
      </c>
      <c r="AS306" s="84">
        <v>0.0</v>
      </c>
      <c r="AT306" s="84">
        <v>0.0</v>
      </c>
      <c r="AU306" s="84">
        <v>1.0</v>
      </c>
      <c r="AV306" s="84">
        <v>0.0</v>
      </c>
      <c r="AW306" s="84">
        <v>0.0</v>
      </c>
      <c r="AX306" s="84">
        <v>0.0</v>
      </c>
      <c r="AY306" s="84">
        <v>1.0</v>
      </c>
      <c r="AZ306" s="84">
        <v>40.0</v>
      </c>
      <c r="BH306" s="84">
        <v>323.0</v>
      </c>
      <c r="BI306" s="84" t="s">
        <v>5590</v>
      </c>
    </row>
    <row r="307" ht="12.75" customHeight="1">
      <c r="A307" s="84">
        <v>305.0</v>
      </c>
      <c r="B307" s="84" t="s">
        <v>3357</v>
      </c>
      <c r="C307" s="84">
        <v>1.0</v>
      </c>
      <c r="D307" s="84" t="s">
        <v>4905</v>
      </c>
      <c r="E307" s="84">
        <v>4.0</v>
      </c>
      <c r="F307" s="84" t="s">
        <v>5135</v>
      </c>
      <c r="G307" s="84">
        <v>50.0</v>
      </c>
      <c r="H307" s="84">
        <v>100.0</v>
      </c>
      <c r="I307" s="84">
        <v>15.0</v>
      </c>
      <c r="M307" s="84" t="s">
        <v>5591</v>
      </c>
      <c r="N307" s="84">
        <v>5.0</v>
      </c>
      <c r="O307" s="84">
        <v>50.0</v>
      </c>
      <c r="P307" s="84">
        <v>1.0</v>
      </c>
      <c r="Q307" s="84">
        <v>15.0</v>
      </c>
      <c r="R307" s="84">
        <v>15.0</v>
      </c>
      <c r="U307" s="84">
        <v>202.0</v>
      </c>
      <c r="X307" s="84">
        <v>0.0</v>
      </c>
      <c r="AH307" s="84">
        <v>1.0</v>
      </c>
      <c r="AI307" s="84">
        <v>0.0</v>
      </c>
      <c r="AJ307" s="84">
        <v>0.0</v>
      </c>
      <c r="AK307" s="84">
        <v>1.0</v>
      </c>
      <c r="AL307" s="84">
        <v>0.0</v>
      </c>
      <c r="AM307" s="84">
        <v>0.0</v>
      </c>
      <c r="AN307" s="84">
        <v>1.0</v>
      </c>
      <c r="AO307" s="84">
        <v>0.0</v>
      </c>
      <c r="AP307" s="84">
        <v>0.0</v>
      </c>
      <c r="AQ307" s="84">
        <v>0.0</v>
      </c>
      <c r="AR307" s="84">
        <v>0.0</v>
      </c>
      <c r="AS307" s="84">
        <v>0.0</v>
      </c>
      <c r="AT307" s="84">
        <v>0.0</v>
      </c>
      <c r="AU307" s="84">
        <v>0.0</v>
      </c>
      <c r="AV307" s="84">
        <v>0.0</v>
      </c>
      <c r="AW307" s="84">
        <v>0.0</v>
      </c>
      <c r="AX307" s="84">
        <v>0.0</v>
      </c>
      <c r="AY307" s="84">
        <v>1.0</v>
      </c>
      <c r="AZ307" s="84">
        <v>37.0</v>
      </c>
      <c r="BH307" s="84">
        <v>324.0</v>
      </c>
      <c r="BI307" s="84" t="s">
        <v>5592</v>
      </c>
    </row>
    <row r="308" ht="12.75" customHeight="1">
      <c r="A308" s="84">
        <v>306.0</v>
      </c>
      <c r="B308" s="84" t="s">
        <v>3453</v>
      </c>
      <c r="C308" s="84">
        <v>1.0</v>
      </c>
      <c r="D308" s="84" t="s">
        <v>4916</v>
      </c>
      <c r="E308" s="84">
        <v>6.0</v>
      </c>
      <c r="F308" s="84" t="s">
        <v>5135</v>
      </c>
      <c r="G308" s="84">
        <v>75.0</v>
      </c>
      <c r="H308" s="84">
        <v>95.0</v>
      </c>
      <c r="I308" s="84">
        <v>10.0</v>
      </c>
      <c r="N308" s="84">
        <v>0.0</v>
      </c>
      <c r="O308" s="84">
        <v>0.0</v>
      </c>
      <c r="P308" s="84">
        <v>0.0</v>
      </c>
      <c r="U308" s="84">
        <v>69.0</v>
      </c>
      <c r="X308" s="84">
        <v>0.0</v>
      </c>
      <c r="Y308" s="84" t="s">
        <v>21</v>
      </c>
      <c r="Z308" s="84">
        <v>-1.0</v>
      </c>
      <c r="AA308" s="84">
        <v>50.0</v>
      </c>
      <c r="AH308" s="84">
        <v>1.0</v>
      </c>
      <c r="AI308" s="84">
        <v>0.0</v>
      </c>
      <c r="AJ308" s="84">
        <v>0.0</v>
      </c>
      <c r="AK308" s="84">
        <v>1.0</v>
      </c>
      <c r="AL308" s="84">
        <v>0.0</v>
      </c>
      <c r="AM308" s="84">
        <v>0.0</v>
      </c>
      <c r="AN308" s="84">
        <v>1.0</v>
      </c>
      <c r="AO308" s="84">
        <v>0.0</v>
      </c>
      <c r="AP308" s="84">
        <v>0.0</v>
      </c>
      <c r="AQ308" s="84">
        <v>0.0</v>
      </c>
      <c r="AR308" s="84">
        <v>0.0</v>
      </c>
      <c r="AS308" s="84">
        <v>0.0</v>
      </c>
      <c r="AT308" s="84">
        <v>0.0</v>
      </c>
      <c r="AU308" s="84">
        <v>0.0</v>
      </c>
      <c r="AV308" s="84">
        <v>0.0</v>
      </c>
      <c r="AW308" s="84">
        <v>0.0</v>
      </c>
      <c r="AX308" s="84">
        <v>0.0</v>
      </c>
      <c r="AY308" s="84">
        <v>1.0</v>
      </c>
      <c r="AZ308" s="84">
        <v>38.0</v>
      </c>
      <c r="BH308" s="84">
        <v>325.0</v>
      </c>
      <c r="BI308" s="84" t="s">
        <v>5593</v>
      </c>
    </row>
    <row r="309" ht="12.75" customHeight="1">
      <c r="A309" s="84">
        <v>307.0</v>
      </c>
      <c r="B309" s="84" t="s">
        <v>5594</v>
      </c>
      <c r="C309" s="84">
        <v>1.0</v>
      </c>
      <c r="D309" s="84" t="s">
        <v>4906</v>
      </c>
      <c r="E309" s="84">
        <v>0.0</v>
      </c>
      <c r="F309" s="84" t="s">
        <v>5172</v>
      </c>
      <c r="G309" s="84">
        <v>150.0</v>
      </c>
      <c r="H309" s="84">
        <v>90.0</v>
      </c>
      <c r="I309" s="84">
        <v>5.0</v>
      </c>
      <c r="N309" s="84">
        <v>0.0</v>
      </c>
      <c r="O309" s="84">
        <v>0.0</v>
      </c>
      <c r="P309" s="84">
        <v>0.0</v>
      </c>
      <c r="U309" s="84">
        <v>80.0</v>
      </c>
      <c r="X309" s="84">
        <v>0.0</v>
      </c>
      <c r="AH309" s="84">
        <v>0.0</v>
      </c>
      <c r="AI309" s="84">
        <v>0.0</v>
      </c>
      <c r="AJ309" s="84">
        <v>1.0</v>
      </c>
      <c r="AK309" s="84">
        <v>1.0</v>
      </c>
      <c r="AL309" s="84">
        <v>0.0</v>
      </c>
      <c r="AM309" s="84">
        <v>0.0</v>
      </c>
      <c r="AN309" s="84">
        <v>1.0</v>
      </c>
      <c r="AO309" s="84">
        <v>0.0</v>
      </c>
      <c r="AP309" s="84">
        <v>0.0</v>
      </c>
      <c r="AQ309" s="84">
        <v>0.0</v>
      </c>
      <c r="AR309" s="84">
        <v>0.0</v>
      </c>
      <c r="AS309" s="84">
        <v>0.0</v>
      </c>
      <c r="AT309" s="84">
        <v>0.0</v>
      </c>
      <c r="AU309" s="84">
        <v>0.0</v>
      </c>
      <c r="AV309" s="84">
        <v>0.0</v>
      </c>
      <c r="AW309" s="84">
        <v>0.0</v>
      </c>
      <c r="AX309" s="84">
        <v>0.0</v>
      </c>
      <c r="AY309" s="84">
        <v>1.0</v>
      </c>
      <c r="AZ309" s="84">
        <v>47.0</v>
      </c>
      <c r="BH309" s="84">
        <v>326.0</v>
      </c>
      <c r="BI309" s="84" t="s">
        <v>5595</v>
      </c>
    </row>
    <row r="310" ht="12.75" customHeight="1">
      <c r="A310" s="84">
        <v>308.0</v>
      </c>
      <c r="B310" s="84" t="s">
        <v>5596</v>
      </c>
      <c r="C310" s="84">
        <v>1.0</v>
      </c>
      <c r="D310" s="84" t="s">
        <v>4908</v>
      </c>
      <c r="E310" s="84">
        <v>0.0</v>
      </c>
      <c r="F310" s="84" t="s">
        <v>5172</v>
      </c>
      <c r="G310" s="84">
        <v>150.0</v>
      </c>
      <c r="H310" s="84">
        <v>90.0</v>
      </c>
      <c r="I310" s="84">
        <v>5.0</v>
      </c>
      <c r="N310" s="84">
        <v>0.0</v>
      </c>
      <c r="O310" s="84">
        <v>0.0</v>
      </c>
      <c r="P310" s="84">
        <v>0.0</v>
      </c>
      <c r="U310" s="84">
        <v>80.0</v>
      </c>
      <c r="X310" s="84">
        <v>0.0</v>
      </c>
      <c r="AH310" s="84">
        <v>0.0</v>
      </c>
      <c r="AI310" s="84">
        <v>0.0</v>
      </c>
      <c r="AJ310" s="84">
        <v>1.0</v>
      </c>
      <c r="AK310" s="84">
        <v>1.0</v>
      </c>
      <c r="AL310" s="84">
        <v>0.0</v>
      </c>
      <c r="AM310" s="84">
        <v>0.0</v>
      </c>
      <c r="AN310" s="84">
        <v>1.0</v>
      </c>
      <c r="AO310" s="84">
        <v>0.0</v>
      </c>
      <c r="AP310" s="84">
        <v>0.0</v>
      </c>
      <c r="AQ310" s="84">
        <v>0.0</v>
      </c>
      <c r="AR310" s="84">
        <v>0.0</v>
      </c>
      <c r="AS310" s="84">
        <v>0.0</v>
      </c>
      <c r="AT310" s="84">
        <v>0.0</v>
      </c>
      <c r="AU310" s="84">
        <v>0.0</v>
      </c>
      <c r="AV310" s="84">
        <v>0.0</v>
      </c>
      <c r="AW310" s="84">
        <v>0.0</v>
      </c>
      <c r="AX310" s="84">
        <v>0.0</v>
      </c>
      <c r="AY310" s="84">
        <v>1.0</v>
      </c>
      <c r="AZ310" s="84">
        <v>47.0</v>
      </c>
      <c r="BH310" s="84">
        <v>327.0</v>
      </c>
      <c r="BI310" s="84" t="s">
        <v>5597</v>
      </c>
    </row>
    <row r="311" ht="12.75" customHeight="1">
      <c r="A311" s="84">
        <v>309.0</v>
      </c>
      <c r="B311" s="84" t="s">
        <v>3934</v>
      </c>
      <c r="C311" s="84">
        <v>1.0</v>
      </c>
      <c r="D311" s="84" t="s">
        <v>4975</v>
      </c>
      <c r="E311" s="84">
        <v>7.0</v>
      </c>
      <c r="F311" s="84" t="s">
        <v>5135</v>
      </c>
      <c r="G311" s="84">
        <v>90.0</v>
      </c>
      <c r="H311" s="84">
        <v>90.0</v>
      </c>
      <c r="I311" s="84">
        <v>10.0</v>
      </c>
      <c r="N311" s="84">
        <v>0.0</v>
      </c>
      <c r="O311" s="84">
        <v>0.0</v>
      </c>
      <c r="P311" s="84">
        <v>0.0</v>
      </c>
      <c r="U311" s="84">
        <v>139.0</v>
      </c>
      <c r="X311" s="84">
        <v>0.0</v>
      </c>
      <c r="Y311" s="84" t="s">
        <v>20</v>
      </c>
      <c r="Z311" s="84">
        <v>1.0</v>
      </c>
      <c r="AA311" s="84">
        <v>20.0</v>
      </c>
      <c r="AH311" s="84">
        <v>1.0</v>
      </c>
      <c r="AI311" s="84">
        <v>0.0</v>
      </c>
      <c r="AJ311" s="84">
        <v>0.0</v>
      </c>
      <c r="AK311" s="84">
        <v>1.0</v>
      </c>
      <c r="AL311" s="84">
        <v>0.0</v>
      </c>
      <c r="AM311" s="84">
        <v>0.0</v>
      </c>
      <c r="AN311" s="84">
        <v>1.0</v>
      </c>
      <c r="AO311" s="84">
        <v>1.0</v>
      </c>
      <c r="AP311" s="84">
        <v>0.0</v>
      </c>
      <c r="AQ311" s="84">
        <v>0.0</v>
      </c>
      <c r="AR311" s="84">
        <v>0.0</v>
      </c>
      <c r="AS311" s="84">
        <v>0.0</v>
      </c>
      <c r="AT311" s="84">
        <v>0.0</v>
      </c>
      <c r="AU311" s="84">
        <v>0.0</v>
      </c>
      <c r="AV311" s="84">
        <v>0.0</v>
      </c>
      <c r="AW311" s="84">
        <v>0.0</v>
      </c>
      <c r="AX311" s="84">
        <v>0.0</v>
      </c>
      <c r="AY311" s="84">
        <v>1.0</v>
      </c>
      <c r="AZ311" s="84">
        <v>43.0</v>
      </c>
      <c r="BH311" s="84">
        <v>328.0</v>
      </c>
      <c r="BI311" s="84" t="s">
        <v>5598</v>
      </c>
    </row>
    <row r="312" ht="12.75" customHeight="1">
      <c r="A312" s="84">
        <v>310.0</v>
      </c>
      <c r="B312" s="84" t="s">
        <v>2901</v>
      </c>
      <c r="C312" s="84">
        <v>1.0</v>
      </c>
      <c r="D312" s="84" t="s">
        <v>4945</v>
      </c>
      <c r="E312" s="84">
        <v>0.0</v>
      </c>
      <c r="F312" s="84" t="s">
        <v>5135</v>
      </c>
      <c r="G312" s="84">
        <v>30.0</v>
      </c>
      <c r="H312" s="84">
        <v>100.0</v>
      </c>
      <c r="I312" s="84">
        <v>15.0</v>
      </c>
      <c r="N312" s="84">
        <v>0.0</v>
      </c>
      <c r="O312" s="84">
        <v>0.0</v>
      </c>
      <c r="P312" s="84">
        <v>0.0</v>
      </c>
      <c r="T312" s="84">
        <v>30.0</v>
      </c>
      <c r="U312" s="84">
        <v>31.0</v>
      </c>
      <c r="X312" s="84">
        <v>0.0</v>
      </c>
      <c r="AH312" s="84">
        <v>1.0</v>
      </c>
      <c r="AI312" s="84">
        <v>0.0</v>
      </c>
      <c r="AJ312" s="84">
        <v>0.0</v>
      </c>
      <c r="AK312" s="84">
        <v>1.0</v>
      </c>
      <c r="AL312" s="84">
        <v>0.0</v>
      </c>
      <c r="AM312" s="84">
        <v>0.0</v>
      </c>
      <c r="AN312" s="84">
        <v>1.0</v>
      </c>
      <c r="AO312" s="84">
        <v>0.0</v>
      </c>
      <c r="AP312" s="84">
        <v>0.0</v>
      </c>
      <c r="AQ312" s="84">
        <v>0.0</v>
      </c>
      <c r="AR312" s="84">
        <v>0.0</v>
      </c>
      <c r="AS312" s="84">
        <v>0.0</v>
      </c>
      <c r="AT312" s="84">
        <v>0.0</v>
      </c>
      <c r="AU312" s="84">
        <v>0.0</v>
      </c>
      <c r="AV312" s="84">
        <v>0.0</v>
      </c>
      <c r="AW312" s="84">
        <v>0.0</v>
      </c>
      <c r="AX312" s="84">
        <v>0.0</v>
      </c>
      <c r="AY312" s="84">
        <v>1.0</v>
      </c>
      <c r="AZ312" s="84">
        <v>31.0</v>
      </c>
      <c r="BH312" s="84">
        <v>329.0</v>
      </c>
      <c r="BI312" s="84" t="s">
        <v>5599</v>
      </c>
    </row>
    <row r="313" ht="12.75" customHeight="1">
      <c r="A313" s="84">
        <v>311.0</v>
      </c>
      <c r="B313" s="84" t="s">
        <v>3351</v>
      </c>
      <c r="C313" s="84">
        <v>1.0</v>
      </c>
      <c r="D313" s="84" t="s">
        <v>4916</v>
      </c>
      <c r="E313" s="84">
        <v>0.0</v>
      </c>
      <c r="F313" s="84" t="s">
        <v>5172</v>
      </c>
      <c r="G313" s="84">
        <v>50.0</v>
      </c>
      <c r="H313" s="84">
        <v>100.0</v>
      </c>
      <c r="I313" s="84">
        <v>10.0</v>
      </c>
      <c r="N313" s="84">
        <v>0.0</v>
      </c>
      <c r="O313" s="84">
        <v>0.0</v>
      </c>
      <c r="P313" s="84">
        <v>0.0</v>
      </c>
      <c r="U313" s="84">
        <v>203.0</v>
      </c>
      <c r="X313" s="84">
        <v>0.0</v>
      </c>
      <c r="AH313" s="84">
        <v>0.0</v>
      </c>
      <c r="AI313" s="84">
        <v>0.0</v>
      </c>
      <c r="AJ313" s="84">
        <v>0.0</v>
      </c>
      <c r="AK313" s="84">
        <v>1.0</v>
      </c>
      <c r="AL313" s="84">
        <v>0.0</v>
      </c>
      <c r="AM313" s="84">
        <v>0.0</v>
      </c>
      <c r="AN313" s="84">
        <v>1.0</v>
      </c>
      <c r="AO313" s="84">
        <v>0.0</v>
      </c>
      <c r="AP313" s="84">
        <v>0.0</v>
      </c>
      <c r="AQ313" s="84">
        <v>0.0</v>
      </c>
      <c r="AR313" s="84">
        <v>0.0</v>
      </c>
      <c r="AS313" s="84">
        <v>0.0</v>
      </c>
      <c r="AT313" s="84">
        <v>0.0</v>
      </c>
      <c r="AU313" s="84">
        <v>0.0</v>
      </c>
      <c r="AV313" s="84">
        <v>0.0</v>
      </c>
      <c r="AW313" s="84">
        <v>0.0</v>
      </c>
      <c r="AX313" s="84">
        <v>0.0</v>
      </c>
      <c r="AY313" s="84">
        <v>1.0</v>
      </c>
      <c r="AZ313" s="84">
        <v>33.0</v>
      </c>
      <c r="BH313" s="84">
        <v>330.0</v>
      </c>
      <c r="BI313" s="84" t="s">
        <v>5600</v>
      </c>
    </row>
    <row r="314" ht="12.75" customHeight="1">
      <c r="A314" s="84">
        <v>312.0</v>
      </c>
      <c r="B314" s="84" t="s">
        <v>5601</v>
      </c>
      <c r="C314" s="84">
        <v>1.0</v>
      </c>
      <c r="D314" s="84" t="s">
        <v>4904</v>
      </c>
      <c r="E314" s="84">
        <v>13.0</v>
      </c>
      <c r="F314" s="84" t="s">
        <v>5131</v>
      </c>
      <c r="G314" s="84">
        <v>0.0</v>
      </c>
      <c r="H314" s="84">
        <v>101.0</v>
      </c>
      <c r="I314" s="84">
        <v>5.0</v>
      </c>
      <c r="N314" s="84">
        <v>0.0</v>
      </c>
      <c r="O314" s="84">
        <v>0.0</v>
      </c>
      <c r="P314" s="84">
        <v>0.0</v>
      </c>
      <c r="U314" s="84">
        <v>102.0</v>
      </c>
      <c r="X314" s="84">
        <v>6.0</v>
      </c>
      <c r="AH314" s="84">
        <v>0.0</v>
      </c>
      <c r="AI314" s="84">
        <v>0.0</v>
      </c>
      <c r="AJ314" s="84">
        <v>0.0</v>
      </c>
      <c r="AK314" s="84">
        <v>0.0</v>
      </c>
      <c r="AL314" s="84">
        <v>0.0</v>
      </c>
      <c r="AM314" s="84">
        <v>1.0</v>
      </c>
      <c r="AN314" s="84">
        <v>0.0</v>
      </c>
      <c r="AO314" s="84">
        <v>0.0</v>
      </c>
      <c r="AP314" s="84">
        <v>0.0</v>
      </c>
      <c r="AQ314" s="84">
        <v>0.0</v>
      </c>
      <c r="AR314" s="84">
        <v>0.0</v>
      </c>
      <c r="AS314" s="84">
        <v>1.0</v>
      </c>
      <c r="AT314" s="84">
        <v>0.0</v>
      </c>
      <c r="AU314" s="84">
        <v>0.0</v>
      </c>
      <c r="AV314" s="84">
        <v>0.0</v>
      </c>
      <c r="AW314" s="84">
        <v>0.0</v>
      </c>
      <c r="AX314" s="84">
        <v>0.0</v>
      </c>
      <c r="AY314" s="84">
        <v>1.0</v>
      </c>
      <c r="AZ314" s="84">
        <v>17.0</v>
      </c>
      <c r="BH314" s="84">
        <v>331.0</v>
      </c>
      <c r="BI314" s="84" t="s">
        <v>5602</v>
      </c>
    </row>
    <row r="315" ht="12.75" customHeight="1">
      <c r="A315" s="84">
        <v>313.0</v>
      </c>
      <c r="B315" s="84" t="s">
        <v>2725</v>
      </c>
      <c r="C315" s="84">
        <v>1.0</v>
      </c>
      <c r="D315" s="84" t="s">
        <v>4972</v>
      </c>
      <c r="E315" s="84">
        <v>2.0</v>
      </c>
      <c r="F315" s="84" t="s">
        <v>5131</v>
      </c>
      <c r="G315" s="84">
        <v>0.0</v>
      </c>
      <c r="H315" s="84">
        <v>100.0</v>
      </c>
      <c r="I315" s="84">
        <v>20.0</v>
      </c>
      <c r="N315" s="84">
        <v>0.0</v>
      </c>
      <c r="O315" s="84">
        <v>0.0</v>
      </c>
      <c r="P315" s="84">
        <v>0.0</v>
      </c>
      <c r="U315" s="84">
        <v>62.0</v>
      </c>
      <c r="X315" s="84">
        <v>0.0</v>
      </c>
      <c r="Y315" s="84" t="s">
        <v>23</v>
      </c>
      <c r="Z315" s="84">
        <v>-2.0</v>
      </c>
      <c r="AH315" s="84">
        <v>0.0</v>
      </c>
      <c r="AI315" s="84">
        <v>0.0</v>
      </c>
      <c r="AJ315" s="84">
        <v>0.0</v>
      </c>
      <c r="AK315" s="84">
        <v>1.0</v>
      </c>
      <c r="AL315" s="84">
        <v>1.0</v>
      </c>
      <c r="AM315" s="84">
        <v>0.0</v>
      </c>
      <c r="AN315" s="84">
        <v>1.0</v>
      </c>
      <c r="AO315" s="84">
        <v>0.0</v>
      </c>
      <c r="AP315" s="84">
        <v>0.0</v>
      </c>
      <c r="AQ315" s="84">
        <v>0.0</v>
      </c>
      <c r="AR315" s="84">
        <v>0.0</v>
      </c>
      <c r="AS315" s="84">
        <v>0.0</v>
      </c>
      <c r="AT315" s="84">
        <v>0.0</v>
      </c>
      <c r="AU315" s="84">
        <v>0.0</v>
      </c>
      <c r="AV315" s="84">
        <v>0.0</v>
      </c>
      <c r="AW315" s="84">
        <v>1.0</v>
      </c>
      <c r="AX315" s="84">
        <v>0.0</v>
      </c>
      <c r="AY315" s="84">
        <v>1.0</v>
      </c>
      <c r="AZ315" s="84">
        <v>5.0</v>
      </c>
      <c r="BH315" s="84">
        <v>332.0</v>
      </c>
      <c r="BI315" s="84" t="s">
        <v>5603</v>
      </c>
    </row>
    <row r="316" ht="12.75" customHeight="1">
      <c r="A316" s="84">
        <v>314.0</v>
      </c>
      <c r="B316" s="84" t="s">
        <v>5604</v>
      </c>
      <c r="C316" s="84">
        <v>1.0</v>
      </c>
      <c r="D316" s="84" t="s">
        <v>4907</v>
      </c>
      <c r="E316" s="84">
        <v>0.0</v>
      </c>
      <c r="F316" s="84" t="s">
        <v>5172</v>
      </c>
      <c r="G316" s="84">
        <v>60.0</v>
      </c>
      <c r="H316" s="84">
        <v>95.0</v>
      </c>
      <c r="I316" s="84">
        <v>25.0</v>
      </c>
      <c r="N316" s="84">
        <v>0.0</v>
      </c>
      <c r="O316" s="84">
        <v>0.0</v>
      </c>
      <c r="P316" s="84">
        <v>0.0</v>
      </c>
      <c r="S316" s="84">
        <v>1.0</v>
      </c>
      <c r="U316" s="84">
        <v>43.0</v>
      </c>
      <c r="X316" s="84">
        <v>5.0</v>
      </c>
      <c r="AH316" s="84">
        <v>0.0</v>
      </c>
      <c r="AI316" s="84">
        <v>0.0</v>
      </c>
      <c r="AJ316" s="84">
        <v>0.0</v>
      </c>
      <c r="AK316" s="84">
        <v>1.0</v>
      </c>
      <c r="AL316" s="84">
        <v>0.0</v>
      </c>
      <c r="AM316" s="84">
        <v>0.0</v>
      </c>
      <c r="AN316" s="84">
        <v>1.0</v>
      </c>
      <c r="AO316" s="84">
        <v>0.0</v>
      </c>
      <c r="AP316" s="84">
        <v>0.0</v>
      </c>
      <c r="AQ316" s="84">
        <v>0.0</v>
      </c>
      <c r="AR316" s="84">
        <v>0.0</v>
      </c>
      <c r="AS316" s="84">
        <v>0.0</v>
      </c>
      <c r="AT316" s="84">
        <v>0.0</v>
      </c>
      <c r="AU316" s="84">
        <v>0.0</v>
      </c>
      <c r="AV316" s="84">
        <v>0.0</v>
      </c>
      <c r="AW316" s="84">
        <v>0.0</v>
      </c>
      <c r="AX316" s="84">
        <v>0.0</v>
      </c>
      <c r="AY316" s="84">
        <v>1.0</v>
      </c>
      <c r="AZ316" s="84">
        <v>39.0</v>
      </c>
      <c r="BH316" s="84">
        <v>333.0</v>
      </c>
      <c r="BI316" s="84" t="s">
        <v>5605</v>
      </c>
    </row>
    <row r="317" ht="12.75" customHeight="1">
      <c r="A317" s="84">
        <v>315.0</v>
      </c>
      <c r="B317" s="84" t="s">
        <v>3617</v>
      </c>
      <c r="C317" s="84">
        <v>1.0</v>
      </c>
      <c r="D317" s="84" t="s">
        <v>4906</v>
      </c>
      <c r="E317" s="84">
        <v>7.0</v>
      </c>
      <c r="F317" s="84" t="s">
        <v>5172</v>
      </c>
      <c r="G317" s="84">
        <v>130.0</v>
      </c>
      <c r="H317" s="84">
        <v>90.0</v>
      </c>
      <c r="I317" s="84">
        <v>5.0</v>
      </c>
      <c r="N317" s="84">
        <v>0.0</v>
      </c>
      <c r="O317" s="84">
        <v>0.0</v>
      </c>
      <c r="P317" s="84">
        <v>0.0</v>
      </c>
      <c r="U317" s="84">
        <v>204.0</v>
      </c>
      <c r="X317" s="84">
        <v>0.0</v>
      </c>
      <c r="Y317" s="84" t="s">
        <v>22</v>
      </c>
      <c r="Z317" s="84">
        <v>-2.0</v>
      </c>
      <c r="AA317" s="84">
        <v>100.0</v>
      </c>
      <c r="AH317" s="84">
        <v>0.0</v>
      </c>
      <c r="AI317" s="84">
        <v>0.0</v>
      </c>
      <c r="AJ317" s="84">
        <v>0.0</v>
      </c>
      <c r="AK317" s="84">
        <v>1.0</v>
      </c>
      <c r="AL317" s="84">
        <v>0.0</v>
      </c>
      <c r="AM317" s="84">
        <v>0.0</v>
      </c>
      <c r="AN317" s="84">
        <v>1.0</v>
      </c>
      <c r="AO317" s="84">
        <v>0.0</v>
      </c>
      <c r="AP317" s="84">
        <v>0.0</v>
      </c>
      <c r="AQ317" s="84">
        <v>0.0</v>
      </c>
      <c r="AR317" s="84">
        <v>0.0</v>
      </c>
      <c r="AS317" s="84">
        <v>0.0</v>
      </c>
      <c r="AT317" s="84">
        <v>0.0</v>
      </c>
      <c r="AU317" s="84">
        <v>0.0</v>
      </c>
      <c r="AV317" s="84">
        <v>0.0</v>
      </c>
      <c r="AW317" s="84">
        <v>0.0</v>
      </c>
      <c r="AX317" s="84">
        <v>0.0</v>
      </c>
      <c r="AY317" s="84">
        <v>1.0</v>
      </c>
      <c r="AZ317" s="84">
        <v>46.0</v>
      </c>
      <c r="BH317" s="84">
        <v>334.0</v>
      </c>
      <c r="BI317" s="84" t="s">
        <v>5606</v>
      </c>
    </row>
    <row r="318" ht="12.75" customHeight="1">
      <c r="A318" s="84">
        <v>316.0</v>
      </c>
      <c r="B318" s="84" t="s">
        <v>5607</v>
      </c>
      <c r="C318" s="84">
        <v>0.0</v>
      </c>
      <c r="D318" s="84" t="s">
        <v>4916</v>
      </c>
      <c r="E318" s="84">
        <v>1.0</v>
      </c>
      <c r="F318" s="84" t="s">
        <v>5131</v>
      </c>
      <c r="G318" s="84">
        <v>0.0</v>
      </c>
      <c r="H318" s="84">
        <v>101.0</v>
      </c>
      <c r="I318" s="84">
        <v>40.0</v>
      </c>
      <c r="J318" s="84"/>
      <c r="K318" s="84"/>
      <c r="L318" s="84"/>
      <c r="M318" s="84" t="s">
        <v>5455</v>
      </c>
      <c r="N318" s="84">
        <v>17.0</v>
      </c>
      <c r="O318" s="84">
        <v>0.0</v>
      </c>
      <c r="P318" s="84">
        <v>1.0</v>
      </c>
      <c r="Q318" s="84"/>
      <c r="R318" s="84"/>
      <c r="S318" s="84"/>
      <c r="T318" s="84"/>
      <c r="U318" s="84">
        <v>113.0</v>
      </c>
      <c r="V318" s="84"/>
      <c r="W318" s="84"/>
      <c r="X318" s="84">
        <v>0.0</v>
      </c>
      <c r="Y318" s="84"/>
      <c r="Z318" s="84"/>
      <c r="AA318" s="84"/>
      <c r="AB318" s="84"/>
      <c r="AC318" s="84"/>
      <c r="AD318" s="84"/>
      <c r="AE318" s="84"/>
      <c r="AF318" s="84"/>
      <c r="AG318" s="84"/>
      <c r="AH318" s="84">
        <v>0.0</v>
      </c>
      <c r="AI318" s="84">
        <v>0.0</v>
      </c>
      <c r="AJ318" s="84">
        <v>0.0</v>
      </c>
      <c r="AK318" s="84">
        <v>1.0</v>
      </c>
      <c r="AL318" s="84">
        <v>1.0</v>
      </c>
      <c r="AM318" s="84">
        <v>0.0</v>
      </c>
      <c r="AN318" s="84">
        <v>1.0</v>
      </c>
      <c r="AO318" s="84">
        <v>0.0</v>
      </c>
      <c r="AP318" s="84">
        <v>0.0</v>
      </c>
      <c r="AQ318" s="84">
        <v>0.0</v>
      </c>
      <c r="AR318" s="84">
        <v>0.0</v>
      </c>
      <c r="AS318" s="84">
        <v>0.0</v>
      </c>
      <c r="AT318" s="84">
        <v>0.0</v>
      </c>
      <c r="AU318" s="84">
        <v>1.0</v>
      </c>
      <c r="AV318" s="84">
        <v>0.0</v>
      </c>
      <c r="AW318" s="84">
        <v>1.0</v>
      </c>
      <c r="AX318" s="84">
        <v>0.0</v>
      </c>
      <c r="AY318" s="84">
        <v>1.0</v>
      </c>
      <c r="AZ318" s="84">
        <v>0.0</v>
      </c>
      <c r="BH318" s="84">
        <v>335.0</v>
      </c>
      <c r="BI318" s="84" t="s">
        <v>5608</v>
      </c>
    </row>
    <row r="319" ht="12.75" customHeight="1">
      <c r="A319" s="84">
        <v>317.0</v>
      </c>
      <c r="B319" s="84" t="s">
        <v>2751</v>
      </c>
      <c r="C319" s="84">
        <v>1.0</v>
      </c>
      <c r="D319" s="84" t="s">
        <v>4940</v>
      </c>
      <c r="E319" s="84">
        <v>6.0</v>
      </c>
      <c r="F319" s="84" t="s">
        <v>5135</v>
      </c>
      <c r="G319" s="84">
        <v>60.0</v>
      </c>
      <c r="H319" s="84">
        <v>95.0</v>
      </c>
      <c r="I319" s="84">
        <v>15.0</v>
      </c>
      <c r="N319" s="84">
        <v>0.0</v>
      </c>
      <c r="O319" s="84">
        <v>0.0</v>
      </c>
      <c r="P319" s="84">
        <v>0.0</v>
      </c>
      <c r="U319" s="84">
        <v>70.0</v>
      </c>
      <c r="X319" s="84">
        <v>0.0</v>
      </c>
      <c r="Y319" s="84" t="s">
        <v>5073</v>
      </c>
      <c r="Z319" s="84">
        <v>-1.0</v>
      </c>
      <c r="AA319" s="84">
        <v>100.0</v>
      </c>
      <c r="AH319" s="84">
        <v>0.0</v>
      </c>
      <c r="AI319" s="84">
        <v>0.0</v>
      </c>
      <c r="AJ319" s="84">
        <v>0.0</v>
      </c>
      <c r="AK319" s="84">
        <v>1.0</v>
      </c>
      <c r="AL319" s="84">
        <v>0.0</v>
      </c>
      <c r="AM319" s="84">
        <v>0.0</v>
      </c>
      <c r="AN319" s="84">
        <v>1.0</v>
      </c>
      <c r="AO319" s="84">
        <v>0.0</v>
      </c>
      <c r="AP319" s="84">
        <v>0.0</v>
      </c>
      <c r="AQ319" s="84">
        <v>0.0</v>
      </c>
      <c r="AR319" s="84">
        <v>0.0</v>
      </c>
      <c r="AS319" s="84">
        <v>0.0</v>
      </c>
      <c r="AT319" s="84">
        <v>0.0</v>
      </c>
      <c r="AU319" s="84">
        <v>0.0</v>
      </c>
      <c r="AV319" s="84">
        <v>0.0</v>
      </c>
      <c r="AW319" s="84">
        <v>0.0</v>
      </c>
      <c r="AX319" s="84">
        <v>0.0</v>
      </c>
      <c r="AY319" s="84">
        <v>1.0</v>
      </c>
      <c r="AZ319" s="84">
        <v>38.0</v>
      </c>
      <c r="BH319" s="84">
        <v>336.0</v>
      </c>
      <c r="BI319" s="84" t="s">
        <v>5609</v>
      </c>
    </row>
    <row r="320" ht="12.75" customHeight="1">
      <c r="A320" s="84">
        <v>318.0</v>
      </c>
      <c r="B320" s="84" t="s">
        <v>5610</v>
      </c>
      <c r="C320" s="84">
        <v>0.0</v>
      </c>
      <c r="D320" s="84" t="s">
        <v>4910</v>
      </c>
      <c r="E320" s="84">
        <v>7.0</v>
      </c>
      <c r="F320" s="84" t="s">
        <v>5172</v>
      </c>
      <c r="G320" s="84">
        <v>60.0</v>
      </c>
      <c r="H320" s="84">
        <v>100.0</v>
      </c>
      <c r="I320" s="84">
        <v>5.0</v>
      </c>
      <c r="J320" s="84"/>
      <c r="K320" s="84"/>
      <c r="L320" s="84"/>
      <c r="M320" s="84"/>
      <c r="N320" s="84">
        <v>0.0</v>
      </c>
      <c r="O320" s="84">
        <v>0.0</v>
      </c>
      <c r="P320" s="84">
        <v>0.0</v>
      </c>
      <c r="Q320" s="84"/>
      <c r="R320" s="84"/>
      <c r="S320" s="84"/>
      <c r="T320" s="84"/>
      <c r="U320" s="84">
        <v>140.0</v>
      </c>
      <c r="V320" s="84"/>
      <c r="W320" s="84"/>
      <c r="X320" s="84">
        <v>0.0</v>
      </c>
      <c r="Y320" s="84" t="s">
        <v>5159</v>
      </c>
      <c r="Z320" s="84">
        <v>1.0</v>
      </c>
      <c r="AA320" s="84">
        <v>10.0</v>
      </c>
      <c r="AB320" s="84"/>
      <c r="AC320" s="84"/>
      <c r="AD320" s="84"/>
      <c r="AE320" s="84"/>
      <c r="AF320" s="84"/>
      <c r="AG320" s="84"/>
      <c r="AH320" s="84">
        <v>0.0</v>
      </c>
      <c r="AI320" s="84">
        <v>0.0</v>
      </c>
      <c r="AJ320" s="84">
        <v>0.0</v>
      </c>
      <c r="AK320" s="84">
        <v>1.0</v>
      </c>
      <c r="AL320" s="84">
        <v>0.0</v>
      </c>
      <c r="AM320" s="84">
        <v>0.0</v>
      </c>
      <c r="AN320" s="84">
        <v>1.0</v>
      </c>
      <c r="AO320" s="84">
        <v>0.0</v>
      </c>
      <c r="AP320" s="84">
        <v>0.0</v>
      </c>
      <c r="AQ320" s="84">
        <v>0.0</v>
      </c>
      <c r="AR320" s="84">
        <v>0.0</v>
      </c>
      <c r="AS320" s="84">
        <v>0.0</v>
      </c>
      <c r="AT320" s="84">
        <v>0.0</v>
      </c>
      <c r="AU320" s="84">
        <v>0.0</v>
      </c>
      <c r="AV320" s="84">
        <v>0.0</v>
      </c>
      <c r="AW320" s="84">
        <v>0.0</v>
      </c>
      <c r="AX320" s="84">
        <v>0.0</v>
      </c>
      <c r="AY320" s="84">
        <v>1.0</v>
      </c>
      <c r="AZ320" s="84">
        <v>0.0</v>
      </c>
      <c r="BH320" s="84">
        <v>337.0</v>
      </c>
      <c r="BI320" s="84" t="s">
        <v>5611</v>
      </c>
    </row>
    <row r="321" ht="12.75" customHeight="1">
      <c r="A321" s="84">
        <v>319.0</v>
      </c>
      <c r="B321" s="84" t="s">
        <v>2962</v>
      </c>
      <c r="C321" s="84">
        <v>1.0</v>
      </c>
      <c r="D321" s="84" t="s">
        <v>4975</v>
      </c>
      <c r="E321" s="84">
        <v>2.0</v>
      </c>
      <c r="F321" s="84" t="s">
        <v>5131</v>
      </c>
      <c r="G321" s="84">
        <v>0.0</v>
      </c>
      <c r="H321" s="84">
        <v>85.0</v>
      </c>
      <c r="I321" s="84">
        <v>40.0</v>
      </c>
      <c r="N321" s="84">
        <v>0.0</v>
      </c>
      <c r="O321" s="84">
        <v>0.0</v>
      </c>
      <c r="P321" s="84">
        <v>0.0</v>
      </c>
      <c r="U321" s="84">
        <v>62.0</v>
      </c>
      <c r="X321" s="84">
        <v>0.0</v>
      </c>
      <c r="Y321" s="84" t="s">
        <v>23</v>
      </c>
      <c r="Z321" s="84">
        <v>-2.0</v>
      </c>
      <c r="AH321" s="84">
        <v>0.0</v>
      </c>
      <c r="AI321" s="84">
        <v>0.0</v>
      </c>
      <c r="AJ321" s="84">
        <v>0.0</v>
      </c>
      <c r="AK321" s="84">
        <v>1.0</v>
      </c>
      <c r="AL321" s="84">
        <v>1.0</v>
      </c>
      <c r="AM321" s="84">
        <v>0.0</v>
      </c>
      <c r="AN321" s="84">
        <v>1.0</v>
      </c>
      <c r="AO321" s="84">
        <v>0.0</v>
      </c>
      <c r="AP321" s="84">
        <v>1.0</v>
      </c>
      <c r="AQ321" s="84">
        <v>0.0</v>
      </c>
      <c r="AR321" s="84">
        <v>0.0</v>
      </c>
      <c r="AS321" s="84">
        <v>0.0</v>
      </c>
      <c r="AT321" s="84">
        <v>0.0</v>
      </c>
      <c r="AU321" s="84">
        <v>1.0</v>
      </c>
      <c r="AV321" s="84">
        <v>0.0</v>
      </c>
      <c r="AW321" s="84">
        <v>1.0</v>
      </c>
      <c r="AX321" s="84">
        <v>0.0</v>
      </c>
      <c r="AY321" s="84">
        <v>1.0</v>
      </c>
      <c r="AZ321" s="84">
        <v>5.0</v>
      </c>
      <c r="BH321" s="84">
        <v>338.0</v>
      </c>
      <c r="BI321" s="84" t="s">
        <v>5612</v>
      </c>
    </row>
    <row r="322" ht="12.75" customHeight="1">
      <c r="A322" s="84">
        <v>320.0</v>
      </c>
      <c r="B322" s="84" t="s">
        <v>5613</v>
      </c>
      <c r="C322" s="84">
        <v>0.0</v>
      </c>
      <c r="D322" s="84" t="s">
        <v>4904</v>
      </c>
      <c r="E322" s="84">
        <v>1.0</v>
      </c>
      <c r="F322" s="84" t="s">
        <v>5131</v>
      </c>
      <c r="G322" s="84">
        <v>0.0</v>
      </c>
      <c r="H322" s="84">
        <v>55.0</v>
      </c>
      <c r="I322" s="84">
        <v>15.0</v>
      </c>
      <c r="J322" s="84"/>
      <c r="K322" s="84"/>
      <c r="L322" s="84"/>
      <c r="M322" s="84" t="s">
        <v>5252</v>
      </c>
      <c r="N322" s="84">
        <v>2.0</v>
      </c>
      <c r="O322" s="84">
        <v>0.0</v>
      </c>
      <c r="P322" s="84">
        <v>2.0</v>
      </c>
      <c r="Q322" s="84">
        <v>2.0</v>
      </c>
      <c r="R322" s="84">
        <v>4.0</v>
      </c>
      <c r="S322" s="84"/>
      <c r="T322" s="84"/>
      <c r="U322" s="84">
        <v>1.0</v>
      </c>
      <c r="V322" s="84"/>
      <c r="W322" s="84"/>
      <c r="X322" s="84">
        <v>0.0</v>
      </c>
      <c r="Y322" s="84"/>
      <c r="Z322" s="84"/>
      <c r="AA322" s="84"/>
      <c r="AB322" s="84"/>
      <c r="AC322" s="84"/>
      <c r="AD322" s="84"/>
      <c r="AE322" s="84"/>
      <c r="AF322" s="84"/>
      <c r="AG322" s="84"/>
      <c r="AH322" s="84">
        <v>0.0</v>
      </c>
      <c r="AI322" s="84">
        <v>0.0</v>
      </c>
      <c r="AJ322" s="84">
        <v>0.0</v>
      </c>
      <c r="AK322" s="84">
        <v>1.0</v>
      </c>
      <c r="AL322" s="84">
        <v>1.0</v>
      </c>
      <c r="AM322" s="84">
        <v>0.0</v>
      </c>
      <c r="AN322" s="84">
        <v>1.0</v>
      </c>
      <c r="AO322" s="84">
        <v>0.0</v>
      </c>
      <c r="AP322" s="84">
        <v>1.0</v>
      </c>
      <c r="AQ322" s="84">
        <v>0.0</v>
      </c>
      <c r="AR322" s="84">
        <v>0.0</v>
      </c>
      <c r="AS322" s="84">
        <v>0.0</v>
      </c>
      <c r="AT322" s="84">
        <v>0.0</v>
      </c>
      <c r="AU322" s="84">
        <v>1.0</v>
      </c>
      <c r="AV322" s="84">
        <v>0.0</v>
      </c>
      <c r="AW322" s="84">
        <v>0.0</v>
      </c>
      <c r="AX322" s="84">
        <v>0.0</v>
      </c>
      <c r="AY322" s="84">
        <v>1.0</v>
      </c>
      <c r="AZ322" s="84">
        <v>0.0</v>
      </c>
      <c r="BH322" s="84">
        <v>339.0</v>
      </c>
      <c r="BI322" s="84" t="s">
        <v>5614</v>
      </c>
    </row>
    <row r="323" ht="12.75" customHeight="1">
      <c r="A323" s="84">
        <v>321.0</v>
      </c>
      <c r="B323" s="84" t="s">
        <v>3118</v>
      </c>
      <c r="C323" s="84">
        <v>1.0</v>
      </c>
      <c r="D323" s="84" t="s">
        <v>4916</v>
      </c>
      <c r="E323" s="84">
        <v>2.0</v>
      </c>
      <c r="F323" s="84" t="s">
        <v>5131</v>
      </c>
      <c r="G323" s="84">
        <v>0.0</v>
      </c>
      <c r="H323" s="84">
        <v>100.0</v>
      </c>
      <c r="I323" s="84">
        <v>20.0</v>
      </c>
      <c r="N323" s="84">
        <v>0.0</v>
      </c>
      <c r="O323" s="84">
        <v>0.0</v>
      </c>
      <c r="P323" s="84">
        <v>0.0</v>
      </c>
      <c r="U323" s="84">
        <v>205.0</v>
      </c>
      <c r="X323" s="84">
        <v>0.0</v>
      </c>
      <c r="Y323" s="84" t="s">
        <v>20</v>
      </c>
      <c r="Z323" s="84">
        <v>-1.0</v>
      </c>
      <c r="AB323" s="84" t="s">
        <v>21</v>
      </c>
      <c r="AC323" s="84">
        <v>-1.0</v>
      </c>
      <c r="AH323" s="84">
        <v>0.0</v>
      </c>
      <c r="AI323" s="84">
        <v>0.0</v>
      </c>
      <c r="AJ323" s="84">
        <v>0.0</v>
      </c>
      <c r="AK323" s="84">
        <v>1.0</v>
      </c>
      <c r="AL323" s="84">
        <v>1.0</v>
      </c>
      <c r="AM323" s="84">
        <v>0.0</v>
      </c>
      <c r="AN323" s="84">
        <v>1.0</v>
      </c>
      <c r="AO323" s="84">
        <v>0.0</v>
      </c>
      <c r="AP323" s="84">
        <v>0.0</v>
      </c>
      <c r="AQ323" s="84">
        <v>0.0</v>
      </c>
      <c r="AR323" s="84">
        <v>0.0</v>
      </c>
      <c r="AS323" s="84">
        <v>0.0</v>
      </c>
      <c r="AT323" s="84">
        <v>0.0</v>
      </c>
      <c r="AU323" s="84">
        <v>0.0</v>
      </c>
      <c r="AV323" s="84">
        <v>0.0</v>
      </c>
      <c r="AW323" s="84">
        <v>1.0</v>
      </c>
      <c r="AX323" s="84">
        <v>0.0</v>
      </c>
      <c r="AY323" s="84">
        <v>1.0</v>
      </c>
      <c r="AZ323" s="84">
        <v>5.0</v>
      </c>
      <c r="BH323" s="84">
        <v>340.0</v>
      </c>
      <c r="BI323" s="84" t="s">
        <v>5615</v>
      </c>
    </row>
    <row r="324" ht="12.75" customHeight="1">
      <c r="A324" s="84">
        <v>322.0</v>
      </c>
      <c r="B324" s="84" t="s">
        <v>3419</v>
      </c>
      <c r="C324" s="84">
        <v>1.0</v>
      </c>
      <c r="D324" s="84" t="s">
        <v>2659</v>
      </c>
      <c r="E324" s="84">
        <v>2.0</v>
      </c>
      <c r="F324" s="84" t="s">
        <v>5131</v>
      </c>
      <c r="G324" s="84">
        <v>0.0</v>
      </c>
      <c r="H324" s="84">
        <v>101.0</v>
      </c>
      <c r="I324" s="84">
        <v>20.0</v>
      </c>
      <c r="N324" s="84">
        <v>0.0</v>
      </c>
      <c r="O324" s="84">
        <v>0.0</v>
      </c>
      <c r="P324" s="84">
        <v>0.0</v>
      </c>
      <c r="U324" s="84">
        <v>206.0</v>
      </c>
      <c r="X324" s="84">
        <v>7.0</v>
      </c>
      <c r="Y324" s="84" t="s">
        <v>21</v>
      </c>
      <c r="Z324" s="84">
        <v>1.0</v>
      </c>
      <c r="AB324" s="84" t="s">
        <v>23</v>
      </c>
      <c r="AC324" s="84">
        <v>1.0</v>
      </c>
      <c r="AH324" s="84">
        <v>0.0</v>
      </c>
      <c r="AI324" s="84">
        <v>0.0</v>
      </c>
      <c r="AJ324" s="84">
        <v>0.0</v>
      </c>
      <c r="AK324" s="84">
        <v>0.0</v>
      </c>
      <c r="AL324" s="84">
        <v>0.0</v>
      </c>
      <c r="AM324" s="84">
        <v>1.0</v>
      </c>
      <c r="AN324" s="84">
        <v>0.0</v>
      </c>
      <c r="AO324" s="84">
        <v>0.0</v>
      </c>
      <c r="AP324" s="84">
        <v>0.0</v>
      </c>
      <c r="AQ324" s="84">
        <v>0.0</v>
      </c>
      <c r="AR324" s="84">
        <v>0.0</v>
      </c>
      <c r="AS324" s="84">
        <v>0.0</v>
      </c>
      <c r="AT324" s="84">
        <v>0.0</v>
      </c>
      <c r="AU324" s="84">
        <v>0.0</v>
      </c>
      <c r="AV324" s="84">
        <v>0.0</v>
      </c>
      <c r="AW324" s="84">
        <v>0.0</v>
      </c>
      <c r="AX324" s="84">
        <v>0.0</v>
      </c>
      <c r="AY324" s="84">
        <v>1.0</v>
      </c>
      <c r="AZ324" s="84">
        <v>8.0</v>
      </c>
      <c r="BH324" s="84">
        <v>341.0</v>
      </c>
      <c r="BI324" s="84" t="s">
        <v>5616</v>
      </c>
    </row>
    <row r="325" ht="12.75" customHeight="1">
      <c r="A325" s="84">
        <v>323.0</v>
      </c>
      <c r="B325" s="84" t="s">
        <v>4049</v>
      </c>
      <c r="C325" s="84">
        <v>1.0</v>
      </c>
      <c r="D325" s="84" t="s">
        <v>4908</v>
      </c>
      <c r="E325" s="84">
        <v>0.0</v>
      </c>
      <c r="F325" s="84" t="s">
        <v>5172</v>
      </c>
      <c r="G325" s="84">
        <v>150.0</v>
      </c>
      <c r="H325" s="84">
        <v>100.0</v>
      </c>
      <c r="I325" s="84">
        <v>5.0</v>
      </c>
      <c r="N325" s="84">
        <v>0.0</v>
      </c>
      <c r="O325" s="84">
        <v>0.0</v>
      </c>
      <c r="P325" s="84">
        <v>0.0</v>
      </c>
      <c r="U325" s="84">
        <v>190.0</v>
      </c>
      <c r="X325" s="84">
        <v>5.0</v>
      </c>
      <c r="AH325" s="84">
        <v>0.0</v>
      </c>
      <c r="AI325" s="84">
        <v>0.0</v>
      </c>
      <c r="AJ325" s="84">
        <v>0.0</v>
      </c>
      <c r="AK325" s="84">
        <v>1.0</v>
      </c>
      <c r="AL325" s="84">
        <v>0.0</v>
      </c>
      <c r="AM325" s="84">
        <v>0.0</v>
      </c>
      <c r="AN325" s="84">
        <v>1.0</v>
      </c>
      <c r="AO325" s="84">
        <v>0.0</v>
      </c>
      <c r="AP325" s="84">
        <v>0.0</v>
      </c>
      <c r="AQ325" s="84">
        <v>0.0</v>
      </c>
      <c r="AR325" s="84">
        <v>0.0</v>
      </c>
      <c r="AS325" s="84">
        <v>0.0</v>
      </c>
      <c r="AT325" s="84">
        <v>0.0</v>
      </c>
      <c r="AU325" s="84">
        <v>0.0</v>
      </c>
      <c r="AV325" s="84">
        <v>0.0</v>
      </c>
      <c r="AW325" s="84">
        <v>0.0</v>
      </c>
      <c r="AX325" s="84">
        <v>0.0</v>
      </c>
      <c r="AY325" s="84">
        <v>1.0</v>
      </c>
      <c r="AZ325" s="84">
        <v>47.0</v>
      </c>
      <c r="BH325" s="84">
        <v>342.0</v>
      </c>
      <c r="BI325" s="84" t="s">
        <v>5617</v>
      </c>
    </row>
    <row r="326" ht="12.75" customHeight="1">
      <c r="A326" s="84">
        <v>324.0</v>
      </c>
      <c r="B326" s="84" t="s">
        <v>5618</v>
      </c>
      <c r="C326" s="84">
        <v>0.0</v>
      </c>
      <c r="D326" s="84" t="s">
        <v>4910</v>
      </c>
      <c r="E326" s="84">
        <v>4.0</v>
      </c>
      <c r="F326" s="84" t="s">
        <v>5172</v>
      </c>
      <c r="G326" s="84">
        <v>75.0</v>
      </c>
      <c r="H326" s="84">
        <v>100.0</v>
      </c>
      <c r="I326" s="84">
        <v>15.0</v>
      </c>
      <c r="J326" s="84"/>
      <c r="K326" s="84"/>
      <c r="L326" s="84"/>
      <c r="M326" s="84" t="s">
        <v>5281</v>
      </c>
      <c r="N326" s="84">
        <v>6.0</v>
      </c>
      <c r="O326" s="84">
        <v>10.0</v>
      </c>
      <c r="P326" s="84">
        <v>2.0</v>
      </c>
      <c r="Q326" s="84">
        <v>2.0</v>
      </c>
      <c r="R326" s="84">
        <v>5.0</v>
      </c>
      <c r="S326" s="84"/>
      <c r="T326" s="84"/>
      <c r="U326" s="84">
        <v>76.0</v>
      </c>
      <c r="V326" s="84"/>
      <c r="W326" s="84"/>
      <c r="X326" s="84">
        <v>0.0</v>
      </c>
      <c r="Y326" s="84"/>
      <c r="Z326" s="84"/>
      <c r="AA326" s="84"/>
      <c r="AB326" s="84"/>
      <c r="AC326" s="84"/>
      <c r="AD326" s="84"/>
      <c r="AE326" s="84"/>
      <c r="AF326" s="84"/>
      <c r="AG326" s="84"/>
      <c r="AH326" s="84">
        <v>0.0</v>
      </c>
      <c r="AI326" s="84">
        <v>0.0</v>
      </c>
      <c r="AJ326" s="84">
        <v>0.0</v>
      </c>
      <c r="AK326" s="84">
        <v>1.0</v>
      </c>
      <c r="AL326" s="84">
        <v>0.0</v>
      </c>
      <c r="AM326" s="84">
        <v>0.0</v>
      </c>
      <c r="AN326" s="84">
        <v>1.0</v>
      </c>
      <c r="AO326" s="84">
        <v>0.0</v>
      </c>
      <c r="AP326" s="84">
        <v>0.0</v>
      </c>
      <c r="AQ326" s="84">
        <v>0.0</v>
      </c>
      <c r="AR326" s="84">
        <v>0.0</v>
      </c>
      <c r="AS326" s="84">
        <v>0.0</v>
      </c>
      <c r="AT326" s="84">
        <v>0.0</v>
      </c>
      <c r="AU326" s="84">
        <v>0.0</v>
      </c>
      <c r="AV326" s="84">
        <v>0.0</v>
      </c>
      <c r="AW326" s="84">
        <v>0.0</v>
      </c>
      <c r="AX326" s="84">
        <v>0.0</v>
      </c>
      <c r="AY326" s="84">
        <v>1.0</v>
      </c>
      <c r="AZ326" s="84">
        <v>0.0</v>
      </c>
      <c r="BH326" s="84">
        <v>343.0</v>
      </c>
      <c r="BI326" s="84" t="s">
        <v>5619</v>
      </c>
    </row>
    <row r="327" ht="12.75" customHeight="1">
      <c r="A327" s="84">
        <v>325.0</v>
      </c>
      <c r="B327" s="84" t="s">
        <v>3256</v>
      </c>
      <c r="C327" s="84">
        <v>1.0</v>
      </c>
      <c r="D327" s="84" t="s">
        <v>4945</v>
      </c>
      <c r="E327" s="84">
        <v>0.0</v>
      </c>
      <c r="F327" s="84" t="s">
        <v>5135</v>
      </c>
      <c r="G327" s="84">
        <v>60.0</v>
      </c>
      <c r="H327" s="84">
        <v>101.0</v>
      </c>
      <c r="I327" s="84">
        <v>20.0</v>
      </c>
      <c r="N327" s="84">
        <v>0.0</v>
      </c>
      <c r="O327" s="84">
        <v>0.0</v>
      </c>
      <c r="P327" s="84">
        <v>0.0</v>
      </c>
      <c r="U327" s="84">
        <v>17.0</v>
      </c>
      <c r="X327" s="84">
        <v>0.0</v>
      </c>
      <c r="AH327" s="84">
        <v>1.0</v>
      </c>
      <c r="AI327" s="84">
        <v>0.0</v>
      </c>
      <c r="AJ327" s="84">
        <v>0.0</v>
      </c>
      <c r="AK327" s="84">
        <v>1.0</v>
      </c>
      <c r="AL327" s="84">
        <v>0.0</v>
      </c>
      <c r="AM327" s="84">
        <v>0.0</v>
      </c>
      <c r="AN327" s="84">
        <v>1.0</v>
      </c>
      <c r="AO327" s="84">
        <v>1.0</v>
      </c>
      <c r="AP327" s="84">
        <v>0.0</v>
      </c>
      <c r="AQ327" s="84">
        <v>0.0</v>
      </c>
      <c r="AR327" s="84">
        <v>0.0</v>
      </c>
      <c r="AS327" s="84">
        <v>0.0</v>
      </c>
      <c r="AT327" s="84">
        <v>0.0</v>
      </c>
      <c r="AU327" s="84">
        <v>0.0</v>
      </c>
      <c r="AV327" s="84">
        <v>0.0</v>
      </c>
      <c r="AW327" s="84">
        <v>0.0</v>
      </c>
      <c r="AX327" s="84">
        <v>0.0</v>
      </c>
      <c r="AY327" s="84">
        <v>1.0</v>
      </c>
      <c r="AZ327" s="84">
        <v>36.0</v>
      </c>
      <c r="BH327" s="84">
        <v>344.0</v>
      </c>
      <c r="BI327" s="84" t="s">
        <v>5620</v>
      </c>
    </row>
    <row r="328" ht="12.75" customHeight="1">
      <c r="A328" s="84">
        <v>326.0</v>
      </c>
      <c r="B328" s="84" t="s">
        <v>2712</v>
      </c>
      <c r="C328" s="84">
        <v>1.0</v>
      </c>
      <c r="D328" s="84" t="s">
        <v>2659</v>
      </c>
      <c r="E328" s="84">
        <v>0.0</v>
      </c>
      <c r="F328" s="84" t="s">
        <v>5172</v>
      </c>
      <c r="G328" s="84">
        <v>80.0</v>
      </c>
      <c r="H328" s="84">
        <v>100.0</v>
      </c>
      <c r="I328" s="84">
        <v>20.0</v>
      </c>
      <c r="N328" s="84">
        <v>0.0</v>
      </c>
      <c r="O328" s="84">
        <v>0.0</v>
      </c>
      <c r="P328" s="84">
        <v>0.0</v>
      </c>
      <c r="T328" s="84">
        <v>10.0</v>
      </c>
      <c r="U328" s="84">
        <v>31.0</v>
      </c>
      <c r="X328" s="84">
        <v>0.0</v>
      </c>
      <c r="AH328" s="84">
        <v>0.0</v>
      </c>
      <c r="AI328" s="84">
        <v>0.0</v>
      </c>
      <c r="AJ328" s="84">
        <v>0.0</v>
      </c>
      <c r="AK328" s="84">
        <v>1.0</v>
      </c>
      <c r="AL328" s="84">
        <v>0.0</v>
      </c>
      <c r="AM328" s="84">
        <v>0.0</v>
      </c>
      <c r="AN328" s="84">
        <v>1.0</v>
      </c>
      <c r="AO328" s="84">
        <v>0.0</v>
      </c>
      <c r="AP328" s="84">
        <v>0.0</v>
      </c>
      <c r="AQ328" s="84">
        <v>0.0</v>
      </c>
      <c r="AR328" s="84">
        <v>0.0</v>
      </c>
      <c r="AS328" s="84">
        <v>0.0</v>
      </c>
      <c r="AT328" s="84">
        <v>0.0</v>
      </c>
      <c r="AU328" s="84">
        <v>0.0</v>
      </c>
      <c r="AV328" s="84">
        <v>0.0</v>
      </c>
      <c r="AW328" s="84">
        <v>0.0</v>
      </c>
      <c r="AX328" s="84">
        <v>0.0</v>
      </c>
      <c r="AY328" s="84">
        <v>1.0</v>
      </c>
      <c r="AZ328" s="84">
        <v>41.0</v>
      </c>
      <c r="BH328" s="84">
        <v>345.0</v>
      </c>
      <c r="BI328" s="84" t="s">
        <v>5621</v>
      </c>
    </row>
    <row r="329" ht="12.75" customHeight="1">
      <c r="A329" s="84">
        <v>327.0</v>
      </c>
      <c r="B329" s="84" t="s">
        <v>5622</v>
      </c>
      <c r="C329" s="84">
        <v>0.0</v>
      </c>
      <c r="D329" s="84" t="s">
        <v>4935</v>
      </c>
      <c r="E329" s="84">
        <v>0.0</v>
      </c>
      <c r="F329" s="84" t="s">
        <v>5135</v>
      </c>
      <c r="G329" s="84">
        <v>85.0</v>
      </c>
      <c r="H329" s="84">
        <v>90.0</v>
      </c>
      <c r="I329" s="84">
        <v>15.0</v>
      </c>
      <c r="J329" s="84"/>
      <c r="K329" s="84"/>
      <c r="L329" s="84"/>
      <c r="M329" s="84"/>
      <c r="N329" s="84">
        <v>0.0</v>
      </c>
      <c r="O329" s="84">
        <v>0.0</v>
      </c>
      <c r="P329" s="84">
        <v>0.0</v>
      </c>
      <c r="Q329" s="84"/>
      <c r="R329" s="84"/>
      <c r="S329" s="84"/>
      <c r="T329" s="84"/>
      <c r="U329" s="84">
        <v>207.0</v>
      </c>
      <c r="V329" s="84"/>
      <c r="W329" s="84"/>
      <c r="X329" s="84">
        <v>0.0</v>
      </c>
      <c r="Y329" s="84"/>
      <c r="Z329" s="84"/>
      <c r="AA329" s="84"/>
      <c r="AB329" s="84"/>
      <c r="AC329" s="84"/>
      <c r="AD329" s="84"/>
      <c r="AE329" s="84"/>
      <c r="AF329" s="84"/>
      <c r="AG329" s="84"/>
      <c r="AH329" s="84">
        <v>1.0</v>
      </c>
      <c r="AI329" s="84">
        <v>0.0</v>
      </c>
      <c r="AJ329" s="84">
        <v>0.0</v>
      </c>
      <c r="AK329" s="84">
        <v>1.0</v>
      </c>
      <c r="AL329" s="84">
        <v>0.0</v>
      </c>
      <c r="AM329" s="84">
        <v>0.0</v>
      </c>
      <c r="AN329" s="84">
        <v>1.0</v>
      </c>
      <c r="AO329" s="84">
        <v>1.0</v>
      </c>
      <c r="AP329" s="84">
        <v>0.0</v>
      </c>
      <c r="AQ329" s="84">
        <v>0.0</v>
      </c>
      <c r="AR329" s="84">
        <v>0.0</v>
      </c>
      <c r="AS329" s="84">
        <v>0.0</v>
      </c>
      <c r="AT329" s="84">
        <v>0.0</v>
      </c>
      <c r="AU329" s="84">
        <v>0.0</v>
      </c>
      <c r="AV329" s="84">
        <v>0.0</v>
      </c>
      <c r="AW329" s="84">
        <v>0.0</v>
      </c>
      <c r="AX329" s="84">
        <v>0.0</v>
      </c>
      <c r="AY329" s="84">
        <v>1.0</v>
      </c>
      <c r="AZ329" s="84">
        <v>0.0</v>
      </c>
      <c r="BH329" s="84">
        <v>346.0</v>
      </c>
      <c r="BI329" s="84" t="s">
        <v>5623</v>
      </c>
    </row>
    <row r="330" ht="12.75" customHeight="1">
      <c r="A330" s="84">
        <v>328.0</v>
      </c>
      <c r="B330" s="84" t="s">
        <v>2802</v>
      </c>
      <c r="C330" s="84">
        <v>1.0</v>
      </c>
      <c r="D330" s="84" t="s">
        <v>4922</v>
      </c>
      <c r="E330" s="84">
        <v>4.0</v>
      </c>
      <c r="F330" s="84" t="s">
        <v>5135</v>
      </c>
      <c r="G330" s="84">
        <v>35.0</v>
      </c>
      <c r="H330" s="84">
        <v>85.0</v>
      </c>
      <c r="I330" s="84">
        <v>15.0</v>
      </c>
      <c r="M330" s="84" t="s">
        <v>5190</v>
      </c>
      <c r="N330" s="84">
        <v>8.0</v>
      </c>
      <c r="O330" s="84">
        <v>100.0</v>
      </c>
      <c r="P330" s="84">
        <v>4.0</v>
      </c>
      <c r="Q330" s="84">
        <v>5.0</v>
      </c>
      <c r="R330" s="84">
        <v>6.0</v>
      </c>
      <c r="U330" s="84">
        <v>42.0</v>
      </c>
      <c r="X330" s="84">
        <v>0.0</v>
      </c>
      <c r="AH330" s="84">
        <v>0.0</v>
      </c>
      <c r="AI330" s="84">
        <v>0.0</v>
      </c>
      <c r="AJ330" s="84">
        <v>0.0</v>
      </c>
      <c r="AK330" s="84">
        <v>1.0</v>
      </c>
      <c r="AL330" s="84">
        <v>0.0</v>
      </c>
      <c r="AM330" s="84">
        <v>0.0</v>
      </c>
      <c r="AN330" s="84">
        <v>1.0</v>
      </c>
      <c r="AO330" s="84">
        <v>0.0</v>
      </c>
      <c r="AP330" s="84">
        <v>0.0</v>
      </c>
      <c r="AQ330" s="84">
        <v>0.0</v>
      </c>
      <c r="AR330" s="84">
        <v>0.0</v>
      </c>
      <c r="AS330" s="84">
        <v>0.0</v>
      </c>
      <c r="AT330" s="84">
        <v>0.0</v>
      </c>
      <c r="AU330" s="84">
        <v>0.0</v>
      </c>
      <c r="AV330" s="84">
        <v>0.0</v>
      </c>
      <c r="AW330" s="84">
        <v>0.0</v>
      </c>
      <c r="AX330" s="84">
        <v>0.0</v>
      </c>
      <c r="AY330" s="84">
        <v>1.0</v>
      </c>
      <c r="AZ330" s="84">
        <v>22.0</v>
      </c>
      <c r="BH330" s="84">
        <v>347.0</v>
      </c>
      <c r="BI330" s="84" t="s">
        <v>5624</v>
      </c>
    </row>
    <row r="331" ht="12.75" customHeight="1">
      <c r="A331" s="84">
        <v>329.0</v>
      </c>
      <c r="B331" s="84" t="s">
        <v>2526</v>
      </c>
      <c r="C331" s="84">
        <v>1.0</v>
      </c>
      <c r="D331" s="84" t="s">
        <v>4942</v>
      </c>
      <c r="E331" s="84">
        <v>9.0</v>
      </c>
      <c r="F331" s="84" t="s">
        <v>5172</v>
      </c>
      <c r="G331" s="84">
        <v>1.0</v>
      </c>
      <c r="H331" s="84">
        <v>30.0</v>
      </c>
      <c r="I331" s="84">
        <v>5.0</v>
      </c>
      <c r="N331" s="84">
        <v>0.0</v>
      </c>
      <c r="O331" s="84">
        <v>0.0</v>
      </c>
      <c r="P331" s="84">
        <v>0.0</v>
      </c>
      <c r="U331" s="84">
        <v>38.0</v>
      </c>
      <c r="X331" s="84">
        <v>0.0</v>
      </c>
      <c r="AH331" s="84">
        <v>0.0</v>
      </c>
      <c r="AI331" s="84">
        <v>0.0</v>
      </c>
      <c r="AJ331" s="84">
        <v>0.0</v>
      </c>
      <c r="AK331" s="84">
        <v>1.0</v>
      </c>
      <c r="AL331" s="84">
        <v>0.0</v>
      </c>
      <c r="AM331" s="84">
        <v>0.0</v>
      </c>
      <c r="AN331" s="84">
        <v>1.0</v>
      </c>
      <c r="AO331" s="84">
        <v>0.0</v>
      </c>
      <c r="AP331" s="84">
        <v>0.0</v>
      </c>
      <c r="AQ331" s="84">
        <v>0.0</v>
      </c>
      <c r="AR331" s="84">
        <v>0.0</v>
      </c>
      <c r="AS331" s="84">
        <v>0.0</v>
      </c>
      <c r="AT331" s="84">
        <v>0.0</v>
      </c>
      <c r="AU331" s="84">
        <v>0.0</v>
      </c>
      <c r="AV331" s="84">
        <v>0.0</v>
      </c>
      <c r="AW331" s="84">
        <v>0.0</v>
      </c>
      <c r="AX331" s="84">
        <v>0.0</v>
      </c>
      <c r="AY331" s="84">
        <v>1.0</v>
      </c>
      <c r="AZ331" s="84">
        <v>2.0</v>
      </c>
      <c r="BH331" s="84">
        <v>348.0</v>
      </c>
      <c r="BI331" s="84" t="s">
        <v>5625</v>
      </c>
    </row>
    <row r="332" ht="12.75" customHeight="1">
      <c r="A332" s="84">
        <v>330.0</v>
      </c>
      <c r="B332" s="84" t="s">
        <v>3611</v>
      </c>
      <c r="C332" s="84">
        <v>1.0</v>
      </c>
      <c r="D332" s="84" t="s">
        <v>4908</v>
      </c>
      <c r="E332" s="84">
        <v>6.0</v>
      </c>
      <c r="F332" s="84" t="s">
        <v>5172</v>
      </c>
      <c r="G332" s="84">
        <v>90.0</v>
      </c>
      <c r="H332" s="84">
        <v>85.0</v>
      </c>
      <c r="I332" s="84">
        <v>10.0</v>
      </c>
      <c r="N332" s="84">
        <v>0.0</v>
      </c>
      <c r="O332" s="84">
        <v>0.0</v>
      </c>
      <c r="P332" s="84">
        <v>0.0</v>
      </c>
      <c r="U332" s="84">
        <v>73.0</v>
      </c>
      <c r="X332" s="84">
        <v>5.0</v>
      </c>
      <c r="Y332" s="84" t="s">
        <v>5092</v>
      </c>
      <c r="Z332" s="84">
        <v>-1.0</v>
      </c>
      <c r="AA332" s="84">
        <v>30.0</v>
      </c>
      <c r="AH332" s="84">
        <v>0.0</v>
      </c>
      <c r="AI332" s="84">
        <v>0.0</v>
      </c>
      <c r="AJ332" s="84">
        <v>0.0</v>
      </c>
      <c r="AK332" s="84">
        <v>1.0</v>
      </c>
      <c r="AL332" s="84">
        <v>0.0</v>
      </c>
      <c r="AM332" s="84">
        <v>0.0</v>
      </c>
      <c r="AN332" s="84">
        <v>1.0</v>
      </c>
      <c r="AO332" s="84">
        <v>0.0</v>
      </c>
      <c r="AP332" s="84">
        <v>0.0</v>
      </c>
      <c r="AQ332" s="84">
        <v>0.0</v>
      </c>
      <c r="AR332" s="84">
        <v>0.0</v>
      </c>
      <c r="AS332" s="84">
        <v>0.0</v>
      </c>
      <c r="AT332" s="84">
        <v>0.0</v>
      </c>
      <c r="AU332" s="84">
        <v>0.0</v>
      </c>
      <c r="AV332" s="84">
        <v>1.0</v>
      </c>
      <c r="AW332" s="84">
        <v>0.0</v>
      </c>
      <c r="AX332" s="84">
        <v>0.0</v>
      </c>
      <c r="AY332" s="84">
        <v>1.0</v>
      </c>
      <c r="AZ332" s="84">
        <v>41.0</v>
      </c>
      <c r="BH332" s="84">
        <v>349.0</v>
      </c>
      <c r="BI332" s="84" t="s">
        <v>5626</v>
      </c>
    </row>
    <row r="333" ht="12.75" customHeight="1">
      <c r="A333" s="84">
        <v>331.0</v>
      </c>
      <c r="B333" s="84" t="s">
        <v>2594</v>
      </c>
      <c r="C333" s="84">
        <v>1.0</v>
      </c>
      <c r="D333" s="84" t="s">
        <v>4904</v>
      </c>
      <c r="E333" s="84">
        <v>0.0</v>
      </c>
      <c r="F333" s="84" t="s">
        <v>5135</v>
      </c>
      <c r="G333" s="84">
        <v>25.0</v>
      </c>
      <c r="H333" s="84">
        <v>100.0</v>
      </c>
      <c r="I333" s="84">
        <v>30.0</v>
      </c>
      <c r="K333" s="84">
        <v>2.0</v>
      </c>
      <c r="L333" s="84">
        <v>5.0</v>
      </c>
      <c r="N333" s="84">
        <v>0.0</v>
      </c>
      <c r="O333" s="84">
        <v>0.0</v>
      </c>
      <c r="P333" s="84">
        <v>0.0</v>
      </c>
      <c r="U333" s="84">
        <v>29.0</v>
      </c>
      <c r="X333" s="84">
        <v>0.0</v>
      </c>
      <c r="AH333" s="84">
        <v>0.0</v>
      </c>
      <c r="AI333" s="84">
        <v>0.0</v>
      </c>
      <c r="AJ333" s="84">
        <v>0.0</v>
      </c>
      <c r="AK333" s="84">
        <v>1.0</v>
      </c>
      <c r="AL333" s="84">
        <v>0.0</v>
      </c>
      <c r="AM333" s="84">
        <v>0.0</v>
      </c>
      <c r="AN333" s="84">
        <v>1.0</v>
      </c>
      <c r="AO333" s="84">
        <v>0.0</v>
      </c>
      <c r="AP333" s="84">
        <v>0.0</v>
      </c>
      <c r="AQ333" s="84">
        <v>0.0</v>
      </c>
      <c r="AR333" s="84">
        <v>0.0</v>
      </c>
      <c r="AS333" s="84">
        <v>0.0</v>
      </c>
      <c r="AT333" s="84">
        <v>0.0</v>
      </c>
      <c r="AU333" s="84">
        <v>0.0</v>
      </c>
      <c r="AV333" s="84">
        <v>0.0</v>
      </c>
      <c r="AW333" s="84">
        <v>0.0</v>
      </c>
      <c r="AX333" s="84">
        <v>0.0</v>
      </c>
      <c r="AY333" s="84">
        <v>1.0</v>
      </c>
      <c r="AZ333" s="84">
        <v>29.0</v>
      </c>
      <c r="BH333" s="84">
        <v>350.0</v>
      </c>
      <c r="BI333" s="84" t="s">
        <v>5627</v>
      </c>
    </row>
    <row r="334" ht="12.75" customHeight="1">
      <c r="A334" s="84">
        <v>332.0</v>
      </c>
      <c r="B334" s="84" t="s">
        <v>2614</v>
      </c>
      <c r="C334" s="84">
        <v>1.0</v>
      </c>
      <c r="D334" s="84" t="s">
        <v>4907</v>
      </c>
      <c r="E334" s="84">
        <v>0.0</v>
      </c>
      <c r="F334" s="84" t="s">
        <v>5135</v>
      </c>
      <c r="G334" s="84">
        <v>60.0</v>
      </c>
      <c r="H334" s="84">
        <v>101.0</v>
      </c>
      <c r="I334" s="84">
        <v>20.0</v>
      </c>
      <c r="N334" s="84">
        <v>0.0</v>
      </c>
      <c r="O334" s="84">
        <v>0.0</v>
      </c>
      <c r="P334" s="84">
        <v>0.0</v>
      </c>
      <c r="U334" s="84">
        <v>17.0</v>
      </c>
      <c r="X334" s="84">
        <v>0.0</v>
      </c>
      <c r="AH334" s="84">
        <v>1.0</v>
      </c>
      <c r="AI334" s="84">
        <v>0.0</v>
      </c>
      <c r="AJ334" s="84">
        <v>0.0</v>
      </c>
      <c r="AK334" s="84">
        <v>1.0</v>
      </c>
      <c r="AL334" s="84">
        <v>0.0</v>
      </c>
      <c r="AM334" s="84">
        <v>0.0</v>
      </c>
      <c r="AN334" s="84">
        <v>1.0</v>
      </c>
      <c r="AO334" s="84">
        <v>0.0</v>
      </c>
      <c r="AP334" s="84">
        <v>0.0</v>
      </c>
      <c r="AQ334" s="84">
        <v>0.0</v>
      </c>
      <c r="AR334" s="84">
        <v>0.0</v>
      </c>
      <c r="AS334" s="84">
        <v>1.0</v>
      </c>
      <c r="AT334" s="84">
        <v>0.0</v>
      </c>
      <c r="AU334" s="84">
        <v>0.0</v>
      </c>
      <c r="AV334" s="84">
        <v>0.0</v>
      </c>
      <c r="AW334" s="84">
        <v>0.0</v>
      </c>
      <c r="AX334" s="84">
        <v>0.0</v>
      </c>
      <c r="AY334" s="84">
        <v>1.0</v>
      </c>
      <c r="AZ334" s="84">
        <v>37.0</v>
      </c>
      <c r="BH334" s="84">
        <v>351.0</v>
      </c>
      <c r="BI334" s="84" t="s">
        <v>5628</v>
      </c>
    </row>
    <row r="335" ht="12.75" customHeight="1">
      <c r="A335" s="84">
        <v>333.0</v>
      </c>
      <c r="B335" s="84" t="s">
        <v>3583</v>
      </c>
      <c r="C335" s="84">
        <v>1.0</v>
      </c>
      <c r="D335" s="84" t="s">
        <v>4942</v>
      </c>
      <c r="E335" s="84">
        <v>0.0</v>
      </c>
      <c r="F335" s="84" t="s">
        <v>5135</v>
      </c>
      <c r="G335" s="84">
        <v>25.0</v>
      </c>
      <c r="H335" s="84">
        <v>100.0</v>
      </c>
      <c r="I335" s="84">
        <v>30.0</v>
      </c>
      <c r="K335" s="84">
        <v>2.0</v>
      </c>
      <c r="L335" s="84">
        <v>5.0</v>
      </c>
      <c r="N335" s="84">
        <v>0.0</v>
      </c>
      <c r="O335" s="84">
        <v>0.0</v>
      </c>
      <c r="P335" s="84">
        <v>0.0</v>
      </c>
      <c r="U335" s="84">
        <v>29.0</v>
      </c>
      <c r="X335" s="84">
        <v>0.0</v>
      </c>
      <c r="AH335" s="84">
        <v>0.0</v>
      </c>
      <c r="AI335" s="84">
        <v>0.0</v>
      </c>
      <c r="AJ335" s="84">
        <v>0.0</v>
      </c>
      <c r="AK335" s="84">
        <v>1.0</v>
      </c>
      <c r="AL335" s="84">
        <v>0.0</v>
      </c>
      <c r="AM335" s="84">
        <v>0.0</v>
      </c>
      <c r="AN335" s="84">
        <v>1.0</v>
      </c>
      <c r="AO335" s="84">
        <v>0.0</v>
      </c>
      <c r="AP335" s="84">
        <v>0.0</v>
      </c>
      <c r="AQ335" s="84">
        <v>0.0</v>
      </c>
      <c r="AR335" s="84">
        <v>0.0</v>
      </c>
      <c r="AS335" s="84">
        <v>0.0</v>
      </c>
      <c r="AT335" s="84">
        <v>0.0</v>
      </c>
      <c r="AU335" s="84">
        <v>0.0</v>
      </c>
      <c r="AV335" s="84">
        <v>0.0</v>
      </c>
      <c r="AW335" s="84">
        <v>0.0</v>
      </c>
      <c r="AX335" s="84">
        <v>0.0</v>
      </c>
      <c r="AY335" s="84">
        <v>1.0</v>
      </c>
      <c r="AZ335" s="84">
        <v>28.0</v>
      </c>
      <c r="BH335" s="84">
        <v>352.0</v>
      </c>
      <c r="BI335" s="84" t="s">
        <v>5629</v>
      </c>
    </row>
    <row r="336" ht="12.75" customHeight="1">
      <c r="A336" s="84">
        <v>334.0</v>
      </c>
      <c r="B336" s="84" t="s">
        <v>3087</v>
      </c>
      <c r="C336" s="84">
        <v>1.0</v>
      </c>
      <c r="D336" s="84" t="s">
        <v>4975</v>
      </c>
      <c r="E336" s="84">
        <v>2.0</v>
      </c>
      <c r="F336" s="84" t="s">
        <v>5131</v>
      </c>
      <c r="G336" s="84">
        <v>0.0</v>
      </c>
      <c r="H336" s="84">
        <v>101.0</v>
      </c>
      <c r="I336" s="84">
        <v>15.0</v>
      </c>
      <c r="N336" s="84">
        <v>0.0</v>
      </c>
      <c r="O336" s="84">
        <v>0.0</v>
      </c>
      <c r="P336" s="84">
        <v>0.0</v>
      </c>
      <c r="U336" s="84">
        <v>51.0</v>
      </c>
      <c r="X336" s="84">
        <v>7.0</v>
      </c>
      <c r="Y336" s="84" t="s">
        <v>21</v>
      </c>
      <c r="Z336" s="84">
        <v>2.0</v>
      </c>
      <c r="AH336" s="84">
        <v>0.0</v>
      </c>
      <c r="AI336" s="84">
        <v>0.0</v>
      </c>
      <c r="AJ336" s="84">
        <v>0.0</v>
      </c>
      <c r="AK336" s="84">
        <v>0.0</v>
      </c>
      <c r="AL336" s="84">
        <v>0.0</v>
      </c>
      <c r="AM336" s="84">
        <v>1.0</v>
      </c>
      <c r="AN336" s="84">
        <v>0.0</v>
      </c>
      <c r="AO336" s="84">
        <v>0.0</v>
      </c>
      <c r="AP336" s="84">
        <v>0.0</v>
      </c>
      <c r="AQ336" s="84">
        <v>0.0</v>
      </c>
      <c r="AR336" s="84">
        <v>0.0</v>
      </c>
      <c r="AS336" s="84">
        <v>0.0</v>
      </c>
      <c r="AT336" s="84">
        <v>0.0</v>
      </c>
      <c r="AU336" s="84">
        <v>0.0</v>
      </c>
      <c r="AV336" s="84">
        <v>0.0</v>
      </c>
      <c r="AW336" s="84">
        <v>0.0</v>
      </c>
      <c r="AX336" s="84">
        <v>0.0</v>
      </c>
      <c r="AY336" s="84">
        <v>1.0</v>
      </c>
      <c r="AZ336" s="84">
        <v>8.0</v>
      </c>
      <c r="BH336" s="84">
        <v>353.0</v>
      </c>
      <c r="BI336" s="84" t="s">
        <v>5630</v>
      </c>
    </row>
    <row r="337" ht="12.75" customHeight="1">
      <c r="A337" s="84">
        <v>335.0</v>
      </c>
      <c r="B337" s="84" t="s">
        <v>3320</v>
      </c>
      <c r="C337" s="84">
        <v>1.0</v>
      </c>
      <c r="D337" s="84" t="s">
        <v>4916</v>
      </c>
      <c r="E337" s="84">
        <v>13.0</v>
      </c>
      <c r="F337" s="84" t="s">
        <v>5131</v>
      </c>
      <c r="G337" s="84">
        <v>0.0</v>
      </c>
      <c r="H337" s="84">
        <v>101.0</v>
      </c>
      <c r="I337" s="84">
        <v>5.0</v>
      </c>
      <c r="N337" s="84">
        <v>0.0</v>
      </c>
      <c r="O337" s="84">
        <v>0.0</v>
      </c>
      <c r="P337" s="84">
        <v>0.0</v>
      </c>
      <c r="U337" s="84">
        <v>106.0</v>
      </c>
      <c r="X337" s="84">
        <v>0.0</v>
      </c>
      <c r="AH337" s="84">
        <v>0.0</v>
      </c>
      <c r="AI337" s="84">
        <v>0.0</v>
      </c>
      <c r="AJ337" s="84">
        <v>0.0</v>
      </c>
      <c r="AK337" s="84">
        <v>0.0</v>
      </c>
      <c r="AL337" s="84">
        <v>1.0</v>
      </c>
      <c r="AM337" s="84">
        <v>0.0</v>
      </c>
      <c r="AN337" s="84">
        <v>1.0</v>
      </c>
      <c r="AO337" s="84">
        <v>0.0</v>
      </c>
      <c r="AP337" s="84">
        <v>0.0</v>
      </c>
      <c r="AQ337" s="84">
        <v>0.0</v>
      </c>
      <c r="AR337" s="84">
        <v>0.0</v>
      </c>
      <c r="AS337" s="84">
        <v>0.0</v>
      </c>
      <c r="AT337" s="84">
        <v>0.0</v>
      </c>
      <c r="AU337" s="84">
        <v>0.0</v>
      </c>
      <c r="AV337" s="84">
        <v>0.0</v>
      </c>
      <c r="AW337" s="84">
        <v>0.0</v>
      </c>
      <c r="AX337" s="84">
        <v>0.0</v>
      </c>
      <c r="AY337" s="84">
        <v>1.0</v>
      </c>
      <c r="AZ337" s="84">
        <v>3.0</v>
      </c>
      <c r="BH337" s="84">
        <v>354.0</v>
      </c>
      <c r="BI337" s="84" t="s">
        <v>5631</v>
      </c>
    </row>
    <row r="338" ht="12.75" customHeight="1">
      <c r="A338" s="84">
        <v>336.0</v>
      </c>
      <c r="B338" s="84" t="s">
        <v>3140</v>
      </c>
      <c r="C338" s="84">
        <v>1.0</v>
      </c>
      <c r="D338" s="84" t="s">
        <v>4916</v>
      </c>
      <c r="E338" s="84">
        <v>2.0</v>
      </c>
      <c r="F338" s="84" t="s">
        <v>5131</v>
      </c>
      <c r="G338" s="84">
        <v>0.0</v>
      </c>
      <c r="H338" s="84">
        <v>101.0</v>
      </c>
      <c r="I338" s="84">
        <v>40.0</v>
      </c>
      <c r="N338" s="84">
        <v>0.0</v>
      </c>
      <c r="O338" s="84">
        <v>0.0</v>
      </c>
      <c r="P338" s="84">
        <v>0.0</v>
      </c>
      <c r="U338" s="84">
        <v>10.0</v>
      </c>
      <c r="X338" s="84">
        <v>6.0</v>
      </c>
      <c r="Y338" s="84" t="s">
        <v>20</v>
      </c>
      <c r="Z338" s="84">
        <v>1.0</v>
      </c>
      <c r="AH338" s="84">
        <v>0.0</v>
      </c>
      <c r="AI338" s="84">
        <v>0.0</v>
      </c>
      <c r="AJ338" s="84">
        <v>0.0</v>
      </c>
      <c r="AK338" s="84">
        <v>0.0</v>
      </c>
      <c r="AL338" s="84">
        <v>0.0</v>
      </c>
      <c r="AM338" s="84">
        <v>1.0</v>
      </c>
      <c r="AN338" s="84">
        <v>0.0</v>
      </c>
      <c r="AO338" s="84">
        <v>0.0</v>
      </c>
      <c r="AP338" s="84">
        <v>1.0</v>
      </c>
      <c r="AQ338" s="84">
        <v>0.0</v>
      </c>
      <c r="AR338" s="84">
        <v>0.0</v>
      </c>
      <c r="AS338" s="84">
        <v>0.0</v>
      </c>
      <c r="AT338" s="84">
        <v>0.0</v>
      </c>
      <c r="AU338" s="84">
        <v>0.0</v>
      </c>
      <c r="AV338" s="84">
        <v>0.0</v>
      </c>
      <c r="AW338" s="84">
        <v>0.0</v>
      </c>
      <c r="AX338" s="84">
        <v>0.0</v>
      </c>
      <c r="AY338" s="84">
        <v>1.0</v>
      </c>
      <c r="AZ338" s="84">
        <v>8.0</v>
      </c>
      <c r="BH338" s="84">
        <v>355.0</v>
      </c>
      <c r="BI338" s="84" t="s">
        <v>5632</v>
      </c>
    </row>
    <row r="339" ht="12.75" customHeight="1">
      <c r="A339" s="84">
        <v>337.0</v>
      </c>
      <c r="B339" s="84" t="s">
        <v>2801</v>
      </c>
      <c r="C339" s="84">
        <v>1.0</v>
      </c>
      <c r="D339" s="84" t="s">
        <v>4956</v>
      </c>
      <c r="E339" s="84">
        <v>0.0</v>
      </c>
      <c r="F339" s="84" t="s">
        <v>5135</v>
      </c>
      <c r="G339" s="84">
        <v>80.0</v>
      </c>
      <c r="H339" s="84">
        <v>100.0</v>
      </c>
      <c r="I339" s="84">
        <v>15.0</v>
      </c>
      <c r="N339" s="84">
        <v>0.0</v>
      </c>
      <c r="O339" s="84">
        <v>0.0</v>
      </c>
      <c r="P339" s="84">
        <v>0.0</v>
      </c>
      <c r="U339" s="84">
        <v>0.0</v>
      </c>
      <c r="X339" s="84">
        <v>0.0</v>
      </c>
      <c r="AH339" s="84">
        <v>1.0</v>
      </c>
      <c r="AI339" s="84">
        <v>0.0</v>
      </c>
      <c r="AJ339" s="84">
        <v>0.0</v>
      </c>
      <c r="AK339" s="84">
        <v>1.0</v>
      </c>
      <c r="AL339" s="84">
        <v>0.0</v>
      </c>
      <c r="AM339" s="84">
        <v>0.0</v>
      </c>
      <c r="AN339" s="84">
        <v>1.0</v>
      </c>
      <c r="AO339" s="84">
        <v>0.0</v>
      </c>
      <c r="AP339" s="84">
        <v>0.0</v>
      </c>
      <c r="AQ339" s="84">
        <v>0.0</v>
      </c>
      <c r="AR339" s="84">
        <v>0.0</v>
      </c>
      <c r="AS339" s="84">
        <v>0.0</v>
      </c>
      <c r="AT339" s="84">
        <v>0.0</v>
      </c>
      <c r="AU339" s="84">
        <v>0.0</v>
      </c>
      <c r="AV339" s="84">
        <v>0.0</v>
      </c>
      <c r="AW339" s="84">
        <v>0.0</v>
      </c>
      <c r="AX339" s="84">
        <v>0.0</v>
      </c>
      <c r="AY339" s="84">
        <v>1.0</v>
      </c>
      <c r="AZ339" s="84">
        <v>38.0</v>
      </c>
      <c r="BH339" s="84">
        <v>356.0</v>
      </c>
      <c r="BI339" s="84" t="s">
        <v>5633</v>
      </c>
    </row>
    <row r="340" ht="12.75" customHeight="1">
      <c r="A340" s="84">
        <v>338.0</v>
      </c>
      <c r="B340" s="84" t="s">
        <v>4134</v>
      </c>
      <c r="C340" s="84">
        <v>1.0</v>
      </c>
      <c r="D340" s="84" t="s">
        <v>4904</v>
      </c>
      <c r="E340" s="84">
        <v>0.0</v>
      </c>
      <c r="F340" s="84" t="s">
        <v>5172</v>
      </c>
      <c r="G340" s="84">
        <v>150.0</v>
      </c>
      <c r="H340" s="84">
        <v>90.0</v>
      </c>
      <c r="I340" s="84">
        <v>5.0</v>
      </c>
      <c r="N340" s="84">
        <v>0.0</v>
      </c>
      <c r="O340" s="84">
        <v>0.0</v>
      </c>
      <c r="P340" s="84">
        <v>0.0</v>
      </c>
      <c r="U340" s="84">
        <v>80.0</v>
      </c>
      <c r="X340" s="84">
        <v>0.0</v>
      </c>
      <c r="AH340" s="84">
        <v>0.0</v>
      </c>
      <c r="AI340" s="84">
        <v>0.0</v>
      </c>
      <c r="AJ340" s="84">
        <v>1.0</v>
      </c>
      <c r="AK340" s="84">
        <v>1.0</v>
      </c>
      <c r="AL340" s="84">
        <v>0.0</v>
      </c>
      <c r="AM340" s="84">
        <v>0.0</v>
      </c>
      <c r="AN340" s="84">
        <v>1.0</v>
      </c>
      <c r="AO340" s="84">
        <v>0.0</v>
      </c>
      <c r="AP340" s="84">
        <v>0.0</v>
      </c>
      <c r="AQ340" s="84">
        <v>0.0</v>
      </c>
      <c r="AR340" s="84">
        <v>0.0</v>
      </c>
      <c r="AS340" s="84">
        <v>0.0</v>
      </c>
      <c r="AT340" s="84">
        <v>0.0</v>
      </c>
      <c r="AU340" s="84">
        <v>0.0</v>
      </c>
      <c r="AV340" s="84">
        <v>1.0</v>
      </c>
      <c r="AW340" s="84">
        <v>0.0</v>
      </c>
      <c r="AX340" s="84">
        <v>0.0</v>
      </c>
      <c r="AY340" s="84">
        <v>1.0</v>
      </c>
      <c r="AZ340" s="84">
        <v>47.0</v>
      </c>
      <c r="BH340" s="84">
        <v>357.0</v>
      </c>
      <c r="BI340" s="84" t="s">
        <v>5634</v>
      </c>
    </row>
    <row r="341" ht="12.75" customHeight="1">
      <c r="A341" s="84">
        <v>339.0</v>
      </c>
      <c r="B341" s="84" t="s">
        <v>2878</v>
      </c>
      <c r="C341" s="84">
        <v>1.0</v>
      </c>
      <c r="D341" s="84" t="s">
        <v>4935</v>
      </c>
      <c r="E341" s="84">
        <v>2.0</v>
      </c>
      <c r="F341" s="84" t="s">
        <v>5131</v>
      </c>
      <c r="G341" s="84">
        <v>0.0</v>
      </c>
      <c r="H341" s="84">
        <v>101.0</v>
      </c>
      <c r="I341" s="84">
        <v>20.0</v>
      </c>
      <c r="N341" s="84">
        <v>0.0</v>
      </c>
      <c r="O341" s="84">
        <v>0.0</v>
      </c>
      <c r="P341" s="84">
        <v>0.0</v>
      </c>
      <c r="U341" s="84">
        <v>208.0</v>
      </c>
      <c r="X341" s="84">
        <v>7.0</v>
      </c>
      <c r="Y341" s="84" t="s">
        <v>20</v>
      </c>
      <c r="Z341" s="84">
        <v>1.0</v>
      </c>
      <c r="AB341" s="84" t="s">
        <v>21</v>
      </c>
      <c r="AC341" s="84">
        <v>1.0</v>
      </c>
      <c r="AH341" s="84">
        <v>0.0</v>
      </c>
      <c r="AI341" s="84">
        <v>0.0</v>
      </c>
      <c r="AJ341" s="84">
        <v>0.0</v>
      </c>
      <c r="AK341" s="84">
        <v>0.0</v>
      </c>
      <c r="AL341" s="84">
        <v>0.0</v>
      </c>
      <c r="AM341" s="84">
        <v>1.0</v>
      </c>
      <c r="AN341" s="84">
        <v>0.0</v>
      </c>
      <c r="AO341" s="84">
        <v>0.0</v>
      </c>
      <c r="AP341" s="84">
        <v>0.0</v>
      </c>
      <c r="AQ341" s="84">
        <v>0.0</v>
      </c>
      <c r="AR341" s="84">
        <v>0.0</v>
      </c>
      <c r="AS341" s="84">
        <v>0.0</v>
      </c>
      <c r="AT341" s="84">
        <v>0.0</v>
      </c>
      <c r="AU341" s="84">
        <v>0.0</v>
      </c>
      <c r="AV341" s="84">
        <v>0.0</v>
      </c>
      <c r="AW341" s="84">
        <v>0.0</v>
      </c>
      <c r="AX341" s="84">
        <v>0.0</v>
      </c>
      <c r="AY341" s="84">
        <v>1.0</v>
      </c>
      <c r="AZ341" s="84">
        <v>9.0</v>
      </c>
      <c r="BH341" s="84">
        <v>358.0</v>
      </c>
      <c r="BI341" s="84" t="s">
        <v>5635</v>
      </c>
    </row>
    <row r="342" ht="12.75" customHeight="1">
      <c r="A342" s="84">
        <v>340.0</v>
      </c>
      <c r="B342" s="84" t="s">
        <v>3024</v>
      </c>
      <c r="C342" s="84">
        <v>1.0</v>
      </c>
      <c r="D342" s="84" t="s">
        <v>4907</v>
      </c>
      <c r="E342" s="84">
        <v>4.0</v>
      </c>
      <c r="F342" s="84" t="s">
        <v>5135</v>
      </c>
      <c r="G342" s="84">
        <v>85.0</v>
      </c>
      <c r="H342" s="84">
        <v>85.0</v>
      </c>
      <c r="I342" s="84">
        <v>5.0</v>
      </c>
      <c r="M342" s="84" t="s">
        <v>5222</v>
      </c>
      <c r="N342" s="84">
        <v>1.0</v>
      </c>
      <c r="O342" s="84">
        <v>30.0</v>
      </c>
      <c r="P342" s="84">
        <v>1.0</v>
      </c>
      <c r="U342" s="84">
        <v>263.0</v>
      </c>
      <c r="X342" s="84">
        <v>0.0</v>
      </c>
      <c r="AH342" s="84">
        <v>1.0</v>
      </c>
      <c r="AI342" s="84">
        <v>1.0</v>
      </c>
      <c r="AJ342" s="84">
        <v>0.0</v>
      </c>
      <c r="AK342" s="84">
        <v>1.0</v>
      </c>
      <c r="AL342" s="84">
        <v>0.0</v>
      </c>
      <c r="AM342" s="84">
        <v>0.0</v>
      </c>
      <c r="AN342" s="84">
        <v>1.0</v>
      </c>
      <c r="AO342" s="84">
        <v>0.0</v>
      </c>
      <c r="AP342" s="84">
        <v>0.0</v>
      </c>
      <c r="AQ342" s="84">
        <v>1.0</v>
      </c>
      <c r="AR342" s="84">
        <v>0.0</v>
      </c>
      <c r="AS342" s="84">
        <v>1.0</v>
      </c>
      <c r="AT342" s="84">
        <v>0.0</v>
      </c>
      <c r="AU342" s="84">
        <v>0.0</v>
      </c>
      <c r="AV342" s="84">
        <v>0.0</v>
      </c>
      <c r="AW342" s="84">
        <v>0.0</v>
      </c>
      <c r="AX342" s="84">
        <v>0.0</v>
      </c>
      <c r="AY342" s="84">
        <v>1.0</v>
      </c>
      <c r="AZ342" s="84">
        <v>26.0</v>
      </c>
      <c r="BH342" s="84">
        <v>359.0</v>
      </c>
      <c r="BI342" s="84" t="s">
        <v>5636</v>
      </c>
    </row>
    <row r="343" ht="12.75" customHeight="1">
      <c r="A343" s="84">
        <v>341.0</v>
      </c>
      <c r="B343" s="84" t="s">
        <v>2976</v>
      </c>
      <c r="C343" s="84">
        <v>1.0</v>
      </c>
      <c r="D343" s="84" t="s">
        <v>4922</v>
      </c>
      <c r="E343" s="84">
        <v>6.0</v>
      </c>
      <c r="F343" s="84" t="s">
        <v>5172</v>
      </c>
      <c r="G343" s="84">
        <v>55.0</v>
      </c>
      <c r="H343" s="84">
        <v>95.0</v>
      </c>
      <c r="I343" s="84">
        <v>15.0</v>
      </c>
      <c r="N343" s="84">
        <v>0.0</v>
      </c>
      <c r="O343" s="84">
        <v>0.0</v>
      </c>
      <c r="P343" s="84">
        <v>0.0</v>
      </c>
      <c r="U343" s="84">
        <v>70.0</v>
      </c>
      <c r="X343" s="84">
        <v>0.0</v>
      </c>
      <c r="Y343" s="84" t="s">
        <v>5073</v>
      </c>
      <c r="Z343" s="84">
        <v>-1.0</v>
      </c>
      <c r="AA343" s="84">
        <v>100.0</v>
      </c>
      <c r="AH343" s="84">
        <v>0.0</v>
      </c>
      <c r="AI343" s="84">
        <v>0.0</v>
      </c>
      <c r="AJ343" s="84">
        <v>0.0</v>
      </c>
      <c r="AK343" s="84">
        <v>1.0</v>
      </c>
      <c r="AL343" s="84">
        <v>0.0</v>
      </c>
      <c r="AM343" s="84">
        <v>0.0</v>
      </c>
      <c r="AN343" s="84">
        <v>1.0</v>
      </c>
      <c r="AO343" s="84">
        <v>0.0</v>
      </c>
      <c r="AP343" s="84">
        <v>0.0</v>
      </c>
      <c r="AQ343" s="84">
        <v>0.0</v>
      </c>
      <c r="AR343" s="84">
        <v>0.0</v>
      </c>
      <c r="AS343" s="84">
        <v>0.0</v>
      </c>
      <c r="AT343" s="84">
        <v>0.0</v>
      </c>
      <c r="AU343" s="84">
        <v>0.0</v>
      </c>
      <c r="AV343" s="84">
        <v>0.0</v>
      </c>
      <c r="AW343" s="84">
        <v>0.0</v>
      </c>
      <c r="AX343" s="84">
        <v>0.0</v>
      </c>
      <c r="AY343" s="84">
        <v>1.0</v>
      </c>
      <c r="AZ343" s="84">
        <v>40.0</v>
      </c>
      <c r="BH343" s="84">
        <v>360.0</v>
      </c>
      <c r="BI343" s="84" t="s">
        <v>5637</v>
      </c>
    </row>
    <row r="344" ht="12.75" customHeight="1">
      <c r="A344" s="84">
        <v>342.0</v>
      </c>
      <c r="B344" s="84" t="s">
        <v>3507</v>
      </c>
      <c r="C344" s="84">
        <v>1.0</v>
      </c>
      <c r="D344" s="84" t="s">
        <v>4905</v>
      </c>
      <c r="E344" s="84">
        <v>4.0</v>
      </c>
      <c r="F344" s="84" t="s">
        <v>5135</v>
      </c>
      <c r="G344" s="84">
        <v>50.0</v>
      </c>
      <c r="H344" s="84">
        <v>100.0</v>
      </c>
      <c r="I344" s="84">
        <v>25.0</v>
      </c>
      <c r="M344" s="84" t="s">
        <v>5638</v>
      </c>
      <c r="N344" s="84">
        <v>5.0</v>
      </c>
      <c r="O344" s="84">
        <v>10.0</v>
      </c>
      <c r="P344" s="84">
        <v>1.0</v>
      </c>
      <c r="S344" s="84">
        <v>1.0</v>
      </c>
      <c r="U344" s="84">
        <v>209.0</v>
      </c>
      <c r="X344" s="84">
        <v>0.0</v>
      </c>
      <c r="AH344" s="84">
        <v>1.0</v>
      </c>
      <c r="AI344" s="84">
        <v>0.0</v>
      </c>
      <c r="AJ344" s="84">
        <v>0.0</v>
      </c>
      <c r="AK344" s="84">
        <v>1.0</v>
      </c>
      <c r="AL344" s="84">
        <v>0.0</v>
      </c>
      <c r="AM344" s="84">
        <v>0.0</v>
      </c>
      <c r="AN344" s="84">
        <v>1.0</v>
      </c>
      <c r="AO344" s="84">
        <v>0.0</v>
      </c>
      <c r="AP344" s="84">
        <v>0.0</v>
      </c>
      <c r="AQ344" s="84">
        <v>0.0</v>
      </c>
      <c r="AR344" s="84">
        <v>0.0</v>
      </c>
      <c r="AS344" s="84">
        <v>0.0</v>
      </c>
      <c r="AT344" s="84">
        <v>0.0</v>
      </c>
      <c r="AU344" s="84">
        <v>0.0</v>
      </c>
      <c r="AV344" s="84">
        <v>0.0</v>
      </c>
      <c r="AW344" s="84">
        <v>0.0</v>
      </c>
      <c r="AX344" s="84">
        <v>0.0</v>
      </c>
      <c r="AY344" s="84">
        <v>1.0</v>
      </c>
      <c r="AZ344" s="84">
        <v>37.0</v>
      </c>
      <c r="BH344" s="84">
        <v>361.0</v>
      </c>
      <c r="BI344" s="84" t="s">
        <v>5639</v>
      </c>
    </row>
    <row r="345" ht="12.75" customHeight="1">
      <c r="A345" s="84">
        <v>343.0</v>
      </c>
      <c r="B345" s="84" t="s">
        <v>3361</v>
      </c>
      <c r="C345" s="84">
        <v>1.0</v>
      </c>
      <c r="D345" s="84" t="s">
        <v>4916</v>
      </c>
      <c r="E345" s="84">
        <v>0.0</v>
      </c>
      <c r="F345" s="84" t="s">
        <v>5135</v>
      </c>
      <c r="G345" s="84">
        <v>60.0</v>
      </c>
      <c r="H345" s="84">
        <v>100.0</v>
      </c>
      <c r="I345" s="84">
        <v>25.0</v>
      </c>
      <c r="N345" s="84">
        <v>0.0</v>
      </c>
      <c r="O345" s="84">
        <v>0.0</v>
      </c>
      <c r="P345" s="84">
        <v>0.0</v>
      </c>
      <c r="U345" s="84">
        <v>105.0</v>
      </c>
      <c r="X345" s="84">
        <v>0.0</v>
      </c>
      <c r="AH345" s="84">
        <v>1.0</v>
      </c>
      <c r="AI345" s="84">
        <v>0.0</v>
      </c>
      <c r="AJ345" s="84">
        <v>0.0</v>
      </c>
      <c r="AK345" s="84">
        <v>1.0</v>
      </c>
      <c r="AL345" s="84">
        <v>0.0</v>
      </c>
      <c r="AM345" s="84">
        <v>0.0</v>
      </c>
      <c r="AN345" s="84">
        <v>1.0</v>
      </c>
      <c r="AO345" s="84">
        <v>0.0</v>
      </c>
      <c r="AP345" s="84">
        <v>0.0</v>
      </c>
      <c r="AQ345" s="84">
        <v>0.0</v>
      </c>
      <c r="AR345" s="84">
        <v>0.0</v>
      </c>
      <c r="AS345" s="84">
        <v>0.0</v>
      </c>
      <c r="AT345" s="84">
        <v>0.0</v>
      </c>
      <c r="AU345" s="84">
        <v>0.0</v>
      </c>
      <c r="AV345" s="84">
        <v>0.0</v>
      </c>
      <c r="AW345" s="84">
        <v>0.0</v>
      </c>
      <c r="AX345" s="84">
        <v>0.0</v>
      </c>
      <c r="AY345" s="84">
        <v>0.0</v>
      </c>
      <c r="AZ345" s="84">
        <v>37.0</v>
      </c>
      <c r="BH345" s="84">
        <v>362.0</v>
      </c>
      <c r="BI345" s="84" t="s">
        <v>5640</v>
      </c>
    </row>
    <row r="346" ht="12.75" customHeight="1">
      <c r="A346" s="84">
        <v>344.0</v>
      </c>
      <c r="B346" s="84" t="s">
        <v>5641</v>
      </c>
      <c r="C346" s="84">
        <v>1.0</v>
      </c>
      <c r="D346" s="84" t="s">
        <v>4921</v>
      </c>
      <c r="E346" s="84">
        <v>4.0</v>
      </c>
      <c r="F346" s="84" t="s">
        <v>5135</v>
      </c>
      <c r="G346" s="84">
        <v>120.0</v>
      </c>
      <c r="H346" s="84">
        <v>100.0</v>
      </c>
      <c r="I346" s="84">
        <v>15.0</v>
      </c>
      <c r="M346" s="84" t="s">
        <v>5158</v>
      </c>
      <c r="N346" s="84">
        <v>1.0</v>
      </c>
      <c r="O346" s="84">
        <v>10.0</v>
      </c>
      <c r="P346" s="84">
        <v>1.0</v>
      </c>
      <c r="U346" s="84">
        <v>262.0</v>
      </c>
      <c r="V346" s="84">
        <v>-33.0</v>
      </c>
      <c r="X346" s="84">
        <v>0.0</v>
      </c>
      <c r="AH346" s="84">
        <v>1.0</v>
      </c>
      <c r="AI346" s="84">
        <v>0.0</v>
      </c>
      <c r="AJ346" s="84">
        <v>0.0</v>
      </c>
      <c r="AK346" s="84">
        <v>1.0</v>
      </c>
      <c r="AL346" s="84">
        <v>0.0</v>
      </c>
      <c r="AM346" s="84">
        <v>0.0</v>
      </c>
      <c r="AN346" s="84">
        <v>1.0</v>
      </c>
      <c r="AO346" s="84">
        <v>0.0</v>
      </c>
      <c r="AP346" s="84">
        <v>0.0</v>
      </c>
      <c r="AQ346" s="84">
        <v>0.0</v>
      </c>
      <c r="AR346" s="84">
        <v>0.0</v>
      </c>
      <c r="AS346" s="84">
        <v>0.0</v>
      </c>
      <c r="AT346" s="84">
        <v>0.0</v>
      </c>
      <c r="AU346" s="84">
        <v>0.0</v>
      </c>
      <c r="AV346" s="84">
        <v>0.0</v>
      </c>
      <c r="AW346" s="84">
        <v>0.0</v>
      </c>
      <c r="AX346" s="84">
        <v>0.0</v>
      </c>
      <c r="AY346" s="84">
        <v>1.0</v>
      </c>
      <c r="AZ346" s="84">
        <v>44.0</v>
      </c>
      <c r="BH346" s="84">
        <v>363.0</v>
      </c>
      <c r="BI346" s="84" t="s">
        <v>5642</v>
      </c>
    </row>
    <row r="347" ht="12.75" customHeight="1">
      <c r="A347" s="84">
        <v>345.0</v>
      </c>
      <c r="B347" s="84" t="s">
        <v>2699</v>
      </c>
      <c r="C347" s="84">
        <v>1.0</v>
      </c>
      <c r="D347" s="84" t="s">
        <v>4904</v>
      </c>
      <c r="E347" s="84">
        <v>0.0</v>
      </c>
      <c r="F347" s="84" t="s">
        <v>5172</v>
      </c>
      <c r="G347" s="84">
        <v>60.0</v>
      </c>
      <c r="H347" s="84">
        <v>101.0</v>
      </c>
      <c r="I347" s="84">
        <v>20.0</v>
      </c>
      <c r="N347" s="84">
        <v>0.0</v>
      </c>
      <c r="O347" s="84">
        <v>0.0</v>
      </c>
      <c r="P347" s="84">
        <v>0.0</v>
      </c>
      <c r="U347" s="84">
        <v>17.0</v>
      </c>
      <c r="X347" s="84">
        <v>0.0</v>
      </c>
      <c r="AH347" s="84">
        <v>0.0</v>
      </c>
      <c r="AI347" s="84">
        <v>0.0</v>
      </c>
      <c r="AJ347" s="84">
        <v>0.0</v>
      </c>
      <c r="AK347" s="84">
        <v>1.0</v>
      </c>
      <c r="AL347" s="84">
        <v>0.0</v>
      </c>
      <c r="AM347" s="84">
        <v>0.0</v>
      </c>
      <c r="AN347" s="84">
        <v>1.0</v>
      </c>
      <c r="AO347" s="84">
        <v>0.0</v>
      </c>
      <c r="AP347" s="84">
        <v>0.0</v>
      </c>
      <c r="AQ347" s="84">
        <v>0.0</v>
      </c>
      <c r="AR347" s="84">
        <v>0.0</v>
      </c>
      <c r="AS347" s="84">
        <v>0.0</v>
      </c>
      <c r="AT347" s="84">
        <v>0.0</v>
      </c>
      <c r="AU347" s="84">
        <v>0.0</v>
      </c>
      <c r="AV347" s="84">
        <v>0.0</v>
      </c>
      <c r="AW347" s="84">
        <v>0.0</v>
      </c>
      <c r="AX347" s="84">
        <v>0.0</v>
      </c>
      <c r="AY347" s="84">
        <v>1.0</v>
      </c>
      <c r="AZ347" s="84">
        <v>39.0</v>
      </c>
      <c r="BH347" s="84">
        <v>364.0</v>
      </c>
      <c r="BI347" s="84" t="s">
        <v>5643</v>
      </c>
    </row>
    <row r="348" ht="12.75" customHeight="1">
      <c r="A348" s="84">
        <v>346.0</v>
      </c>
      <c r="B348" s="84" t="s">
        <v>5644</v>
      </c>
      <c r="C348" s="84">
        <v>0.0</v>
      </c>
      <c r="D348" s="84" t="s">
        <v>4908</v>
      </c>
      <c r="E348" s="84">
        <v>10.0</v>
      </c>
      <c r="F348" s="84" t="s">
        <v>5131</v>
      </c>
      <c r="G348" s="84">
        <v>0.0</v>
      </c>
      <c r="H348" s="84">
        <v>101.0</v>
      </c>
      <c r="I348" s="84">
        <v>15.0</v>
      </c>
      <c r="J348" s="84"/>
      <c r="K348" s="84"/>
      <c r="L348" s="84"/>
      <c r="M348" s="84"/>
      <c r="N348" s="84">
        <v>0.0</v>
      </c>
      <c r="O348" s="84">
        <v>0.0</v>
      </c>
      <c r="P348" s="84">
        <v>0.0</v>
      </c>
      <c r="Q348" s="84"/>
      <c r="R348" s="84"/>
      <c r="S348" s="84"/>
      <c r="T348" s="84"/>
      <c r="U348" s="84">
        <v>210.0</v>
      </c>
      <c r="V348" s="84"/>
      <c r="W348" s="84"/>
      <c r="X348" s="84">
        <v>10.0</v>
      </c>
      <c r="Y348" s="84"/>
      <c r="Z348" s="84"/>
      <c r="AA348" s="84"/>
      <c r="AB348" s="84"/>
      <c r="AC348" s="84"/>
      <c r="AD348" s="84"/>
      <c r="AE348" s="84"/>
      <c r="AF348" s="84"/>
      <c r="AG348" s="84"/>
      <c r="AH348" s="84">
        <v>0.0</v>
      </c>
      <c r="AI348" s="84">
        <v>0.0</v>
      </c>
      <c r="AJ348" s="84">
        <v>0.0</v>
      </c>
      <c r="AK348" s="84">
        <v>0.0</v>
      </c>
      <c r="AL348" s="84">
        <v>0.0</v>
      </c>
      <c r="AM348" s="84">
        <v>0.0</v>
      </c>
      <c r="AN348" s="84">
        <v>0.0</v>
      </c>
      <c r="AO348" s="84">
        <v>0.0</v>
      </c>
      <c r="AP348" s="84">
        <v>0.0</v>
      </c>
      <c r="AQ348" s="84">
        <v>0.0</v>
      </c>
      <c r="AR348" s="84">
        <v>0.0</v>
      </c>
      <c r="AS348" s="84">
        <v>0.0</v>
      </c>
      <c r="AT348" s="84">
        <v>0.0</v>
      </c>
      <c r="AU348" s="84">
        <v>0.0</v>
      </c>
      <c r="AV348" s="84">
        <v>1.0</v>
      </c>
      <c r="AW348" s="84">
        <v>0.0</v>
      </c>
      <c r="AX348" s="84">
        <v>0.0</v>
      </c>
      <c r="AY348" s="84">
        <v>1.0</v>
      </c>
      <c r="AZ348" s="84">
        <v>0.0</v>
      </c>
      <c r="BH348" s="84">
        <v>365.0</v>
      </c>
      <c r="BI348" s="84" t="s">
        <v>5645</v>
      </c>
    </row>
    <row r="349" ht="12.75" customHeight="1">
      <c r="A349" s="84">
        <v>347.0</v>
      </c>
      <c r="B349" s="84" t="s">
        <v>3718</v>
      </c>
      <c r="C349" s="84">
        <v>1.0</v>
      </c>
      <c r="D349" s="84" t="s">
        <v>2659</v>
      </c>
      <c r="E349" s="84">
        <v>2.0</v>
      </c>
      <c r="F349" s="84" t="s">
        <v>5131</v>
      </c>
      <c r="G349" s="84">
        <v>0.0</v>
      </c>
      <c r="H349" s="84">
        <v>101.0</v>
      </c>
      <c r="I349" s="84">
        <v>20.0</v>
      </c>
      <c r="N349" s="84">
        <v>0.0</v>
      </c>
      <c r="O349" s="84">
        <v>0.0</v>
      </c>
      <c r="P349" s="84">
        <v>0.0</v>
      </c>
      <c r="U349" s="84">
        <v>211.0</v>
      </c>
      <c r="X349" s="84">
        <v>7.0</v>
      </c>
      <c r="Y349" s="84" t="s">
        <v>22</v>
      </c>
      <c r="Z349" s="84">
        <v>1.0</v>
      </c>
      <c r="AB349" s="84" t="s">
        <v>23</v>
      </c>
      <c r="AC349" s="84">
        <v>1.0</v>
      </c>
      <c r="AH349" s="84">
        <v>0.0</v>
      </c>
      <c r="AI349" s="84">
        <v>0.0</v>
      </c>
      <c r="AJ349" s="84">
        <v>0.0</v>
      </c>
      <c r="AK349" s="84">
        <v>0.0</v>
      </c>
      <c r="AL349" s="84">
        <v>0.0</v>
      </c>
      <c r="AM349" s="84">
        <v>1.0</v>
      </c>
      <c r="AN349" s="84">
        <v>0.0</v>
      </c>
      <c r="AO349" s="84">
        <v>0.0</v>
      </c>
      <c r="AP349" s="84">
        <v>0.0</v>
      </c>
      <c r="AQ349" s="84">
        <v>0.0</v>
      </c>
      <c r="AR349" s="84">
        <v>0.0</v>
      </c>
      <c r="AS349" s="84">
        <v>0.0</v>
      </c>
      <c r="AT349" s="84">
        <v>0.0</v>
      </c>
      <c r="AU349" s="84">
        <v>0.0</v>
      </c>
      <c r="AV349" s="84">
        <v>0.0</v>
      </c>
      <c r="AW349" s="84">
        <v>0.0</v>
      </c>
      <c r="AX349" s="84">
        <v>0.0</v>
      </c>
      <c r="AY349" s="84">
        <v>1.0</v>
      </c>
      <c r="AZ349" s="84">
        <v>9.0</v>
      </c>
      <c r="BH349" s="84">
        <v>366.0</v>
      </c>
      <c r="BI349" s="84" t="s">
        <v>5646</v>
      </c>
    </row>
    <row r="350" ht="12.75" customHeight="1">
      <c r="A350" s="84">
        <v>348.0</v>
      </c>
      <c r="B350" s="84" t="s">
        <v>3685</v>
      </c>
      <c r="C350" s="84">
        <v>1.0</v>
      </c>
      <c r="D350" s="84" t="s">
        <v>4904</v>
      </c>
      <c r="E350" s="84">
        <v>0.0</v>
      </c>
      <c r="F350" s="84" t="s">
        <v>5135</v>
      </c>
      <c r="G350" s="84">
        <v>90.0</v>
      </c>
      <c r="H350" s="84">
        <v>100.0</v>
      </c>
      <c r="I350" s="84">
        <v>15.0</v>
      </c>
      <c r="N350" s="84">
        <v>0.0</v>
      </c>
      <c r="O350" s="84">
        <v>0.0</v>
      </c>
      <c r="P350" s="84">
        <v>0.0</v>
      </c>
      <c r="S350" s="84">
        <v>1.0</v>
      </c>
      <c r="U350" s="84">
        <v>43.0</v>
      </c>
      <c r="X350" s="84">
        <v>0.0</v>
      </c>
      <c r="AH350" s="84">
        <v>1.0</v>
      </c>
      <c r="AI350" s="84">
        <v>0.0</v>
      </c>
      <c r="AJ350" s="84">
        <v>0.0</v>
      </c>
      <c r="AK350" s="84">
        <v>1.0</v>
      </c>
      <c r="AL350" s="84">
        <v>0.0</v>
      </c>
      <c r="AM350" s="84">
        <v>0.0</v>
      </c>
      <c r="AN350" s="84">
        <v>1.0</v>
      </c>
      <c r="AO350" s="84">
        <v>0.0</v>
      </c>
      <c r="AP350" s="84">
        <v>0.0</v>
      </c>
      <c r="AQ350" s="84">
        <v>0.0</v>
      </c>
      <c r="AR350" s="84">
        <v>0.0</v>
      </c>
      <c r="AS350" s="84">
        <v>0.0</v>
      </c>
      <c r="AT350" s="84">
        <v>0.0</v>
      </c>
      <c r="AU350" s="84">
        <v>0.0</v>
      </c>
      <c r="AV350" s="84">
        <v>0.0</v>
      </c>
      <c r="AW350" s="84">
        <v>0.0</v>
      </c>
      <c r="AX350" s="84">
        <v>0.0</v>
      </c>
      <c r="AY350" s="84">
        <v>1.0</v>
      </c>
      <c r="AZ350" s="84">
        <v>42.0</v>
      </c>
      <c r="BH350" s="84">
        <v>367.0</v>
      </c>
      <c r="BI350" s="84" t="s">
        <v>5647</v>
      </c>
    </row>
    <row r="351" ht="12.75" customHeight="1">
      <c r="A351" s="84">
        <v>349.0</v>
      </c>
      <c r="B351" s="84" t="s">
        <v>2764</v>
      </c>
      <c r="C351" s="84">
        <v>1.0</v>
      </c>
      <c r="D351" s="84" t="s">
        <v>4956</v>
      </c>
      <c r="E351" s="84">
        <v>2.0</v>
      </c>
      <c r="F351" s="84" t="s">
        <v>5131</v>
      </c>
      <c r="G351" s="84">
        <v>0.0</v>
      </c>
      <c r="H351" s="84">
        <v>101.0</v>
      </c>
      <c r="I351" s="84">
        <v>20.0</v>
      </c>
      <c r="N351" s="84">
        <v>0.0</v>
      </c>
      <c r="O351" s="84">
        <v>0.0</v>
      </c>
      <c r="P351" s="84">
        <v>0.0</v>
      </c>
      <c r="U351" s="84">
        <v>212.0</v>
      </c>
      <c r="X351" s="84">
        <v>7.0</v>
      </c>
      <c r="Y351" s="84" t="s">
        <v>20</v>
      </c>
      <c r="Z351" s="84">
        <v>1.0</v>
      </c>
      <c r="AB351" s="84" t="s">
        <v>5073</v>
      </c>
      <c r="AC351" s="84">
        <v>1.0</v>
      </c>
      <c r="AH351" s="84">
        <v>0.0</v>
      </c>
      <c r="AI351" s="84">
        <v>0.0</v>
      </c>
      <c r="AJ351" s="84">
        <v>0.0</v>
      </c>
      <c r="AK351" s="84">
        <v>0.0</v>
      </c>
      <c r="AL351" s="84">
        <v>0.0</v>
      </c>
      <c r="AM351" s="84">
        <v>1.0</v>
      </c>
      <c r="AN351" s="84">
        <v>0.0</v>
      </c>
      <c r="AO351" s="84">
        <v>0.0</v>
      </c>
      <c r="AP351" s="84">
        <v>0.0</v>
      </c>
      <c r="AQ351" s="84">
        <v>0.0</v>
      </c>
      <c r="AR351" s="84">
        <v>0.0</v>
      </c>
      <c r="AS351" s="84">
        <v>0.0</v>
      </c>
      <c r="AT351" s="84">
        <v>0.0</v>
      </c>
      <c r="AU351" s="84">
        <v>0.0</v>
      </c>
      <c r="AV351" s="84">
        <v>0.0</v>
      </c>
      <c r="AW351" s="84">
        <v>0.0</v>
      </c>
      <c r="AX351" s="84">
        <v>1.0</v>
      </c>
      <c r="AY351" s="84">
        <v>1.0</v>
      </c>
      <c r="AZ351" s="84">
        <v>8.0</v>
      </c>
      <c r="BH351" s="84">
        <v>368.0</v>
      </c>
      <c r="BI351" s="84" t="s">
        <v>5648</v>
      </c>
    </row>
    <row r="352" ht="12.75" customHeight="1">
      <c r="A352" s="84">
        <v>350.0</v>
      </c>
      <c r="B352" s="84" t="s">
        <v>2757</v>
      </c>
      <c r="C352" s="84">
        <v>1.0</v>
      </c>
      <c r="D352" s="84" t="s">
        <v>4940</v>
      </c>
      <c r="E352" s="84">
        <v>0.0</v>
      </c>
      <c r="F352" s="84" t="s">
        <v>5135</v>
      </c>
      <c r="G352" s="84">
        <v>25.0</v>
      </c>
      <c r="H352" s="84">
        <v>90.0</v>
      </c>
      <c r="I352" s="84">
        <v>10.0</v>
      </c>
      <c r="K352" s="84">
        <v>2.0</v>
      </c>
      <c r="L352" s="84">
        <v>5.0</v>
      </c>
      <c r="N352" s="84">
        <v>0.0</v>
      </c>
      <c r="O352" s="84">
        <v>0.0</v>
      </c>
      <c r="P352" s="84">
        <v>0.0</v>
      </c>
      <c r="U352" s="84">
        <v>29.0</v>
      </c>
      <c r="X352" s="84">
        <v>0.0</v>
      </c>
      <c r="AH352" s="84">
        <v>0.0</v>
      </c>
      <c r="AI352" s="84">
        <v>0.0</v>
      </c>
      <c r="AJ352" s="84">
        <v>0.0</v>
      </c>
      <c r="AK352" s="84">
        <v>1.0</v>
      </c>
      <c r="AL352" s="84">
        <v>0.0</v>
      </c>
      <c r="AM352" s="84">
        <v>0.0</v>
      </c>
      <c r="AN352" s="84">
        <v>1.0</v>
      </c>
      <c r="AO352" s="84">
        <v>0.0</v>
      </c>
      <c r="AP352" s="84">
        <v>0.0</v>
      </c>
      <c r="AQ352" s="84">
        <v>0.0</v>
      </c>
      <c r="AR352" s="84">
        <v>0.0</v>
      </c>
      <c r="AS352" s="84">
        <v>0.0</v>
      </c>
      <c r="AT352" s="84">
        <v>0.0</v>
      </c>
      <c r="AU352" s="84">
        <v>0.0</v>
      </c>
      <c r="AV352" s="84">
        <v>0.0</v>
      </c>
      <c r="AW352" s="84">
        <v>0.0</v>
      </c>
      <c r="AX352" s="84">
        <v>0.0</v>
      </c>
      <c r="AY352" s="84">
        <v>1.0</v>
      </c>
      <c r="AZ352" s="84">
        <v>28.0</v>
      </c>
      <c r="BH352" s="84">
        <v>369.0</v>
      </c>
      <c r="BI352" s="84" t="s">
        <v>5649</v>
      </c>
    </row>
    <row r="353" ht="12.75" customHeight="1">
      <c r="A353" s="84">
        <v>351.0</v>
      </c>
      <c r="B353" s="84" t="s">
        <v>2961</v>
      </c>
      <c r="C353" s="84">
        <v>1.0</v>
      </c>
      <c r="D353" s="84" t="s">
        <v>4921</v>
      </c>
      <c r="E353" s="84">
        <v>0.0</v>
      </c>
      <c r="F353" s="84" t="s">
        <v>5172</v>
      </c>
      <c r="G353" s="84">
        <v>60.0</v>
      </c>
      <c r="H353" s="84">
        <v>101.0</v>
      </c>
      <c r="I353" s="84">
        <v>20.0</v>
      </c>
      <c r="N353" s="84">
        <v>0.0</v>
      </c>
      <c r="O353" s="84">
        <v>0.0</v>
      </c>
      <c r="P353" s="84">
        <v>0.0</v>
      </c>
      <c r="U353" s="84">
        <v>17.0</v>
      </c>
      <c r="X353" s="84">
        <v>0.0</v>
      </c>
      <c r="AH353" s="84">
        <v>0.0</v>
      </c>
      <c r="AI353" s="84">
        <v>0.0</v>
      </c>
      <c r="AJ353" s="84">
        <v>0.0</v>
      </c>
      <c r="AK353" s="84">
        <v>1.0</v>
      </c>
      <c r="AL353" s="84">
        <v>0.0</v>
      </c>
      <c r="AM353" s="84">
        <v>0.0</v>
      </c>
      <c r="AN353" s="84">
        <v>1.0</v>
      </c>
      <c r="AO353" s="84">
        <v>0.0</v>
      </c>
      <c r="AP353" s="84">
        <v>0.0</v>
      </c>
      <c r="AQ353" s="84">
        <v>0.0</v>
      </c>
      <c r="AR353" s="84">
        <v>0.0</v>
      </c>
      <c r="AS353" s="84">
        <v>0.0</v>
      </c>
      <c r="AT353" s="84">
        <v>0.0</v>
      </c>
      <c r="AU353" s="84">
        <v>0.0</v>
      </c>
      <c r="AV353" s="84">
        <v>0.0</v>
      </c>
      <c r="AW353" s="84">
        <v>0.0</v>
      </c>
      <c r="AX353" s="84">
        <v>0.0</v>
      </c>
      <c r="AY353" s="84">
        <v>1.0</v>
      </c>
      <c r="AZ353" s="84">
        <v>40.0</v>
      </c>
      <c r="BH353" s="84">
        <v>370.0</v>
      </c>
      <c r="BI353" s="84" t="s">
        <v>5650</v>
      </c>
    </row>
    <row r="354" ht="12.75" customHeight="1">
      <c r="A354" s="84">
        <v>352.0</v>
      </c>
      <c r="B354" s="84" t="s">
        <v>2607</v>
      </c>
      <c r="C354" s="84">
        <v>1.0</v>
      </c>
      <c r="D354" s="84" t="s">
        <v>4908</v>
      </c>
      <c r="E354" s="84">
        <v>4.0</v>
      </c>
      <c r="F354" s="84" t="s">
        <v>5172</v>
      </c>
      <c r="G354" s="84">
        <v>60.0</v>
      </c>
      <c r="H354" s="84">
        <v>100.0</v>
      </c>
      <c r="I354" s="84">
        <v>20.0</v>
      </c>
      <c r="M354" s="84" t="s">
        <v>5395</v>
      </c>
      <c r="N354" s="84">
        <v>6.0</v>
      </c>
      <c r="O354" s="84">
        <v>20.0</v>
      </c>
      <c r="P354" s="84">
        <v>2.0</v>
      </c>
      <c r="Q354" s="84">
        <v>2.0</v>
      </c>
      <c r="R354" s="84">
        <v>5.0</v>
      </c>
      <c r="U354" s="84">
        <v>76.0</v>
      </c>
      <c r="X354" s="84">
        <v>0.0</v>
      </c>
      <c r="AH354" s="84">
        <v>0.0</v>
      </c>
      <c r="AI354" s="84">
        <v>0.0</v>
      </c>
      <c r="AJ354" s="84">
        <v>0.0</v>
      </c>
      <c r="AK354" s="84">
        <v>1.0</v>
      </c>
      <c r="AL354" s="84">
        <v>0.0</v>
      </c>
      <c r="AM354" s="84">
        <v>0.0</v>
      </c>
      <c r="AN354" s="84">
        <v>1.0</v>
      </c>
      <c r="AO354" s="84">
        <v>0.0</v>
      </c>
      <c r="AP354" s="84">
        <v>0.0</v>
      </c>
      <c r="AQ354" s="84">
        <v>0.0</v>
      </c>
      <c r="AR354" s="84">
        <v>0.0</v>
      </c>
      <c r="AS354" s="84">
        <v>1.0</v>
      </c>
      <c r="AT354" s="84">
        <v>0.0</v>
      </c>
      <c r="AU354" s="84">
        <v>0.0</v>
      </c>
      <c r="AV354" s="84">
        <v>0.0</v>
      </c>
      <c r="AW354" s="84">
        <v>0.0</v>
      </c>
      <c r="AX354" s="84">
        <v>0.0</v>
      </c>
      <c r="AY354" s="84">
        <v>1.0</v>
      </c>
      <c r="AZ354" s="84">
        <v>41.0</v>
      </c>
      <c r="BH354" s="84">
        <v>371.0</v>
      </c>
      <c r="BI354" s="84" t="s">
        <v>5278</v>
      </c>
    </row>
    <row r="355" ht="12.75" customHeight="1">
      <c r="A355" s="84">
        <v>353.0</v>
      </c>
      <c r="B355" s="84" t="s">
        <v>5651</v>
      </c>
      <c r="C355" s="84">
        <v>1.0</v>
      </c>
      <c r="D355" s="84" t="s">
        <v>4975</v>
      </c>
      <c r="E355" s="84">
        <v>13.0</v>
      </c>
      <c r="F355" s="84" t="s">
        <v>5172</v>
      </c>
      <c r="G355" s="84">
        <v>140.0</v>
      </c>
      <c r="H355" s="84">
        <v>100.0</v>
      </c>
      <c r="I355" s="84">
        <v>5.0</v>
      </c>
      <c r="N355" s="84">
        <v>0.0</v>
      </c>
      <c r="O355" s="84">
        <v>0.0</v>
      </c>
      <c r="P355" s="84">
        <v>0.0</v>
      </c>
      <c r="U355" s="84">
        <v>148.0</v>
      </c>
      <c r="X355" s="84">
        <v>0.0</v>
      </c>
      <c r="AH355" s="84">
        <v>0.0</v>
      </c>
      <c r="AI355" s="84">
        <v>0.0</v>
      </c>
      <c r="AJ355" s="84">
        <v>0.0</v>
      </c>
      <c r="AK355" s="84">
        <v>0.0</v>
      </c>
      <c r="AL355" s="84">
        <v>0.0</v>
      </c>
      <c r="AM355" s="84">
        <v>0.0</v>
      </c>
      <c r="AN355" s="84">
        <v>0.0</v>
      </c>
      <c r="AO355" s="84">
        <v>0.0</v>
      </c>
      <c r="AP355" s="84">
        <v>0.0</v>
      </c>
      <c r="AQ355" s="84">
        <v>0.0</v>
      </c>
      <c r="AR355" s="84">
        <v>0.0</v>
      </c>
      <c r="AS355" s="84">
        <v>0.0</v>
      </c>
      <c r="AT355" s="84">
        <v>0.0</v>
      </c>
      <c r="AU355" s="84">
        <v>0.0</v>
      </c>
      <c r="AV355" s="84">
        <v>0.0</v>
      </c>
      <c r="AW355" s="84">
        <v>0.0</v>
      </c>
      <c r="AX355" s="84">
        <v>0.0</v>
      </c>
      <c r="AY355" s="84">
        <v>1.0</v>
      </c>
      <c r="AZ355" s="84">
        <v>47.0</v>
      </c>
      <c r="BH355" s="84">
        <v>372.0</v>
      </c>
      <c r="BI355" s="84" t="s">
        <v>5652</v>
      </c>
    </row>
    <row r="356" ht="12.75" customHeight="1">
      <c r="A356" s="84">
        <v>354.0</v>
      </c>
      <c r="B356" s="84" t="s">
        <v>5653</v>
      </c>
      <c r="C356" s="84">
        <v>1.0</v>
      </c>
      <c r="D356" s="84" t="s">
        <v>2659</v>
      </c>
      <c r="E356" s="84">
        <v>7.0</v>
      </c>
      <c r="F356" s="84" t="s">
        <v>5172</v>
      </c>
      <c r="G356" s="84">
        <v>140.0</v>
      </c>
      <c r="H356" s="84">
        <v>90.0</v>
      </c>
      <c r="I356" s="84">
        <v>5.0</v>
      </c>
      <c r="N356" s="84">
        <v>0.0</v>
      </c>
      <c r="O356" s="84">
        <v>0.0</v>
      </c>
      <c r="P356" s="84">
        <v>0.0</v>
      </c>
      <c r="U356" s="84">
        <v>204.0</v>
      </c>
      <c r="X356" s="84">
        <v>0.0</v>
      </c>
      <c r="Y356" s="84" t="s">
        <v>22</v>
      </c>
      <c r="Z356" s="84">
        <v>-2.0</v>
      </c>
      <c r="AA356" s="84">
        <v>100.0</v>
      </c>
      <c r="AH356" s="84">
        <v>0.0</v>
      </c>
      <c r="AI356" s="84">
        <v>0.0</v>
      </c>
      <c r="AJ356" s="84">
        <v>0.0</v>
      </c>
      <c r="AK356" s="84">
        <v>1.0</v>
      </c>
      <c r="AL356" s="84">
        <v>0.0</v>
      </c>
      <c r="AM356" s="84">
        <v>0.0</v>
      </c>
      <c r="AN356" s="84">
        <v>1.0</v>
      </c>
      <c r="AO356" s="84">
        <v>0.0</v>
      </c>
      <c r="AP356" s="84">
        <v>0.0</v>
      </c>
      <c r="AQ356" s="84">
        <v>0.0</v>
      </c>
      <c r="AR356" s="84">
        <v>0.0</v>
      </c>
      <c r="AS356" s="84">
        <v>0.0</v>
      </c>
      <c r="AT356" s="84">
        <v>0.0</v>
      </c>
      <c r="AU356" s="84">
        <v>0.0</v>
      </c>
      <c r="AV356" s="84">
        <v>0.0</v>
      </c>
      <c r="AW356" s="84">
        <v>0.0</v>
      </c>
      <c r="AX356" s="84">
        <v>0.0</v>
      </c>
      <c r="AY356" s="84">
        <v>1.0</v>
      </c>
      <c r="AZ356" s="84">
        <v>47.0</v>
      </c>
      <c r="BH356" s="84">
        <v>373.0</v>
      </c>
      <c r="BI356" s="84" t="s">
        <v>5654</v>
      </c>
    </row>
    <row r="357" ht="12.75" customHeight="1">
      <c r="A357" s="84">
        <v>355.0</v>
      </c>
      <c r="B357" s="84" t="s">
        <v>3448</v>
      </c>
      <c r="C357" s="84">
        <v>1.0</v>
      </c>
      <c r="D357" s="84" t="s">
        <v>4907</v>
      </c>
      <c r="E357" s="84">
        <v>3.0</v>
      </c>
      <c r="F357" s="84" t="s">
        <v>5131</v>
      </c>
      <c r="G357" s="84">
        <v>0.0</v>
      </c>
      <c r="H357" s="84">
        <v>101.0</v>
      </c>
      <c r="I357" s="84">
        <v>10.0</v>
      </c>
      <c r="N357" s="84">
        <v>0.0</v>
      </c>
      <c r="O357" s="84">
        <v>0.0</v>
      </c>
      <c r="P357" s="84">
        <v>0.0</v>
      </c>
      <c r="U357" s="84">
        <v>214.0</v>
      </c>
      <c r="W357" s="84">
        <v>50.0</v>
      </c>
      <c r="X357" s="84">
        <v>7.0</v>
      </c>
      <c r="AH357" s="84">
        <v>0.0</v>
      </c>
      <c r="AI357" s="84">
        <v>0.0</v>
      </c>
      <c r="AJ357" s="84">
        <v>0.0</v>
      </c>
      <c r="AK357" s="84">
        <v>0.0</v>
      </c>
      <c r="AL357" s="84">
        <v>0.0</v>
      </c>
      <c r="AM357" s="84">
        <v>1.0</v>
      </c>
      <c r="AN357" s="84">
        <v>0.0</v>
      </c>
      <c r="AO357" s="84">
        <v>0.0</v>
      </c>
      <c r="AP357" s="84">
        <v>0.0</v>
      </c>
      <c r="AQ357" s="84">
        <v>0.0</v>
      </c>
      <c r="AR357" s="84">
        <v>0.0</v>
      </c>
      <c r="AS357" s="84">
        <v>0.0</v>
      </c>
      <c r="AT357" s="84">
        <v>1.0</v>
      </c>
      <c r="AU357" s="84">
        <v>0.0</v>
      </c>
      <c r="AV357" s="84">
        <v>0.0</v>
      </c>
      <c r="AW357" s="84">
        <v>0.0</v>
      </c>
      <c r="AX357" s="84">
        <v>0.0</v>
      </c>
      <c r="AY357" s="84">
        <v>1.0</v>
      </c>
      <c r="AZ357" s="84">
        <v>17.0</v>
      </c>
      <c r="BH357" s="84">
        <v>374.0</v>
      </c>
      <c r="BI357" s="84" t="s">
        <v>5655</v>
      </c>
    </row>
    <row r="358" ht="12.75" customHeight="1">
      <c r="A358" s="84">
        <v>356.0</v>
      </c>
      <c r="B358" s="84" t="s">
        <v>5656</v>
      </c>
      <c r="C358" s="84">
        <v>1.0</v>
      </c>
      <c r="D358" s="84" t="s">
        <v>2659</v>
      </c>
      <c r="E358" s="84">
        <v>10.0</v>
      </c>
      <c r="F358" s="84" t="s">
        <v>5131</v>
      </c>
      <c r="G358" s="84">
        <v>0.0</v>
      </c>
      <c r="H358" s="84">
        <v>101.0</v>
      </c>
      <c r="I358" s="84">
        <v>5.0</v>
      </c>
      <c r="N358" s="84">
        <v>0.0</v>
      </c>
      <c r="O358" s="84">
        <v>0.0</v>
      </c>
      <c r="P358" s="84">
        <v>0.0</v>
      </c>
      <c r="U358" s="84">
        <v>215.0</v>
      </c>
      <c r="X358" s="84">
        <v>10.0</v>
      </c>
      <c r="AH358" s="84">
        <v>0.0</v>
      </c>
      <c r="AI358" s="84">
        <v>0.0</v>
      </c>
      <c r="AJ358" s="84">
        <v>0.0</v>
      </c>
      <c r="AK358" s="84">
        <v>0.0</v>
      </c>
      <c r="AL358" s="84">
        <v>0.0</v>
      </c>
      <c r="AM358" s="84">
        <v>0.0</v>
      </c>
      <c r="AN358" s="84">
        <v>0.0</v>
      </c>
      <c r="AO358" s="84">
        <v>0.0</v>
      </c>
      <c r="AP358" s="84">
        <v>0.0</v>
      </c>
      <c r="AQ358" s="84">
        <v>0.0</v>
      </c>
      <c r="AR358" s="84">
        <v>0.0</v>
      </c>
      <c r="AS358" s="84">
        <v>0.0</v>
      </c>
      <c r="AT358" s="84">
        <v>0.0</v>
      </c>
      <c r="AU358" s="84">
        <v>0.0</v>
      </c>
      <c r="AV358" s="84">
        <v>1.0</v>
      </c>
      <c r="AW358" s="84">
        <v>0.0</v>
      </c>
      <c r="AX358" s="84">
        <v>0.0</v>
      </c>
      <c r="AY358" s="84">
        <v>1.0</v>
      </c>
      <c r="AZ358" s="84">
        <v>23.0</v>
      </c>
      <c r="BH358" s="84">
        <v>375.0</v>
      </c>
      <c r="BI358" s="84" t="s">
        <v>5657</v>
      </c>
    </row>
    <row r="359" ht="12.75" customHeight="1">
      <c r="A359" s="84">
        <v>357.0</v>
      </c>
      <c r="B359" s="84" t="s">
        <v>5658</v>
      </c>
      <c r="C359" s="84">
        <v>0.0</v>
      </c>
      <c r="D359" s="84" t="s">
        <v>2659</v>
      </c>
      <c r="E359" s="84">
        <v>1.0</v>
      </c>
      <c r="F359" s="84" t="s">
        <v>5131</v>
      </c>
      <c r="G359" s="84">
        <v>0.0</v>
      </c>
      <c r="H359" s="84">
        <v>101.0</v>
      </c>
      <c r="I359" s="84">
        <v>40.0</v>
      </c>
      <c r="J359" s="84"/>
      <c r="K359" s="84"/>
      <c r="L359" s="84"/>
      <c r="M359" s="84" t="s">
        <v>5455</v>
      </c>
      <c r="N359" s="84">
        <v>17.0</v>
      </c>
      <c r="O359" s="84">
        <v>0.0</v>
      </c>
      <c r="P359" s="84">
        <v>1.0</v>
      </c>
      <c r="Q359" s="84"/>
      <c r="R359" s="84"/>
      <c r="S359" s="84"/>
      <c r="T359" s="84"/>
      <c r="U359" s="84">
        <v>216.0</v>
      </c>
      <c r="V359" s="84"/>
      <c r="W359" s="84"/>
      <c r="X359" s="84">
        <v>0.0</v>
      </c>
      <c r="Y359" s="84"/>
      <c r="Z359" s="84"/>
      <c r="AA359" s="84"/>
      <c r="AB359" s="84"/>
      <c r="AC359" s="84"/>
      <c r="AD359" s="84"/>
      <c r="AE359" s="84"/>
      <c r="AF359" s="84"/>
      <c r="AG359" s="84"/>
      <c r="AH359" s="84">
        <v>0.0</v>
      </c>
      <c r="AI359" s="84">
        <v>0.0</v>
      </c>
      <c r="AJ359" s="84">
        <v>0.0</v>
      </c>
      <c r="AK359" s="84">
        <v>1.0</v>
      </c>
      <c r="AL359" s="84">
        <v>1.0</v>
      </c>
      <c r="AM359" s="84">
        <v>0.0</v>
      </c>
      <c r="AN359" s="84">
        <v>1.0</v>
      </c>
      <c r="AO359" s="84">
        <v>0.0</v>
      </c>
      <c r="AP359" s="84">
        <v>0.0</v>
      </c>
      <c r="AQ359" s="84">
        <v>0.0</v>
      </c>
      <c r="AR359" s="84">
        <v>0.0</v>
      </c>
      <c r="AS359" s="84">
        <v>0.0</v>
      </c>
      <c r="AT359" s="84">
        <v>0.0</v>
      </c>
      <c r="AU359" s="84">
        <v>1.0</v>
      </c>
      <c r="AV359" s="84">
        <v>0.0</v>
      </c>
      <c r="AW359" s="84">
        <v>0.0</v>
      </c>
      <c r="AX359" s="84">
        <v>0.0</v>
      </c>
      <c r="AY359" s="84">
        <v>1.0</v>
      </c>
      <c r="AZ359" s="84">
        <v>0.0</v>
      </c>
      <c r="BH359" s="84">
        <v>376.0</v>
      </c>
      <c r="BI359" s="84" t="s">
        <v>5659</v>
      </c>
    </row>
    <row r="360" ht="12.75" customHeight="1">
      <c r="A360" s="84">
        <v>358.0</v>
      </c>
      <c r="B360" s="84" t="s">
        <v>5660</v>
      </c>
      <c r="C360" s="84">
        <v>0.0</v>
      </c>
      <c r="D360" s="84" t="s">
        <v>4935</v>
      </c>
      <c r="E360" s="84">
        <v>0.0</v>
      </c>
      <c r="F360" s="84" t="s">
        <v>5135</v>
      </c>
      <c r="G360" s="84">
        <v>70.0</v>
      </c>
      <c r="H360" s="84">
        <v>100.0</v>
      </c>
      <c r="I360" s="84">
        <v>10.0</v>
      </c>
      <c r="J360" s="84"/>
      <c r="K360" s="84"/>
      <c r="L360" s="84"/>
      <c r="M360" s="84"/>
      <c r="N360" s="84">
        <v>0.0</v>
      </c>
      <c r="O360" s="84">
        <v>0.0</v>
      </c>
      <c r="P360" s="84">
        <v>0.0</v>
      </c>
      <c r="Q360" s="84"/>
      <c r="R360" s="84"/>
      <c r="S360" s="84"/>
      <c r="T360" s="84"/>
      <c r="U360" s="84">
        <v>217.0</v>
      </c>
      <c r="V360" s="84"/>
      <c r="W360" s="84"/>
      <c r="X360" s="84">
        <v>0.0</v>
      </c>
      <c r="Y360" s="84"/>
      <c r="Z360" s="84"/>
      <c r="AA360" s="84"/>
      <c r="AB360" s="84"/>
      <c r="AC360" s="84"/>
      <c r="AD360" s="84"/>
      <c r="AE360" s="84"/>
      <c r="AF360" s="84"/>
      <c r="AG360" s="84"/>
      <c r="AH360" s="84">
        <v>1.0</v>
      </c>
      <c r="AI360" s="84">
        <v>0.0</v>
      </c>
      <c r="AJ360" s="84">
        <v>0.0</v>
      </c>
      <c r="AK360" s="84">
        <v>1.0</v>
      </c>
      <c r="AL360" s="84">
        <v>0.0</v>
      </c>
      <c r="AM360" s="84">
        <v>0.0</v>
      </c>
      <c r="AN360" s="84">
        <v>1.0</v>
      </c>
      <c r="AO360" s="84">
        <v>0.0</v>
      </c>
      <c r="AP360" s="84">
        <v>0.0</v>
      </c>
      <c r="AQ360" s="84">
        <v>0.0</v>
      </c>
      <c r="AR360" s="84">
        <v>0.0</v>
      </c>
      <c r="AS360" s="84">
        <v>0.0</v>
      </c>
      <c r="AT360" s="84">
        <v>0.0</v>
      </c>
      <c r="AU360" s="84">
        <v>0.0</v>
      </c>
      <c r="AV360" s="84">
        <v>0.0</v>
      </c>
      <c r="AW360" s="84">
        <v>0.0</v>
      </c>
      <c r="AX360" s="84">
        <v>0.0</v>
      </c>
      <c r="AY360" s="84">
        <v>1.0</v>
      </c>
      <c r="AZ360" s="84">
        <v>0.0</v>
      </c>
      <c r="BH360" s="84">
        <v>377.0</v>
      </c>
      <c r="BI360" s="84" t="s">
        <v>5661</v>
      </c>
    </row>
    <row r="361" ht="12.75" customHeight="1">
      <c r="A361" s="84">
        <v>359.0</v>
      </c>
      <c r="B361" s="84" t="s">
        <v>3950</v>
      </c>
      <c r="C361" s="84">
        <v>1.0</v>
      </c>
      <c r="D361" s="84" t="s">
        <v>4935</v>
      </c>
      <c r="E361" s="84">
        <v>7.0</v>
      </c>
      <c r="F361" s="84" t="s">
        <v>5135</v>
      </c>
      <c r="G361" s="84">
        <v>100.0</v>
      </c>
      <c r="H361" s="84">
        <v>90.0</v>
      </c>
      <c r="I361" s="84">
        <v>10.0</v>
      </c>
      <c r="N361" s="84">
        <v>0.0</v>
      </c>
      <c r="O361" s="84">
        <v>0.0</v>
      </c>
      <c r="P361" s="84">
        <v>0.0</v>
      </c>
      <c r="U361" s="84">
        <v>218.0</v>
      </c>
      <c r="X361" s="84">
        <v>0.0</v>
      </c>
      <c r="Y361" s="84" t="s">
        <v>5073</v>
      </c>
      <c r="Z361" s="84">
        <v>-1.0</v>
      </c>
      <c r="AA361" s="84">
        <v>100.0</v>
      </c>
      <c r="AH361" s="84">
        <v>1.0</v>
      </c>
      <c r="AI361" s="84">
        <v>0.0</v>
      </c>
      <c r="AJ361" s="84">
        <v>0.0</v>
      </c>
      <c r="AK361" s="84">
        <v>1.0</v>
      </c>
      <c r="AL361" s="84">
        <v>0.0</v>
      </c>
      <c r="AM361" s="84">
        <v>0.0</v>
      </c>
      <c r="AN361" s="84">
        <v>1.0</v>
      </c>
      <c r="AO361" s="84">
        <v>1.0</v>
      </c>
      <c r="AP361" s="84">
        <v>0.0</v>
      </c>
      <c r="AQ361" s="84">
        <v>0.0</v>
      </c>
      <c r="AR361" s="84">
        <v>0.0</v>
      </c>
      <c r="AS361" s="84">
        <v>0.0</v>
      </c>
      <c r="AT361" s="84">
        <v>0.0</v>
      </c>
      <c r="AU361" s="84">
        <v>0.0</v>
      </c>
      <c r="AV361" s="84">
        <v>0.0</v>
      </c>
      <c r="AW361" s="84">
        <v>0.0</v>
      </c>
      <c r="AX361" s="84">
        <v>0.0</v>
      </c>
      <c r="AY361" s="84">
        <v>1.0</v>
      </c>
      <c r="AZ361" s="84">
        <v>42.0</v>
      </c>
      <c r="BH361" s="84">
        <v>378.0</v>
      </c>
      <c r="BI361" s="84" t="s">
        <v>5662</v>
      </c>
    </row>
    <row r="362" ht="12.75" customHeight="1">
      <c r="A362" s="84">
        <v>360.0</v>
      </c>
      <c r="B362" s="84" t="s">
        <v>2798</v>
      </c>
      <c r="C362" s="84">
        <v>1.0</v>
      </c>
      <c r="D362" s="84" t="s">
        <v>4975</v>
      </c>
      <c r="E362" s="84">
        <v>0.0</v>
      </c>
      <c r="F362" s="84" t="s">
        <v>5135</v>
      </c>
      <c r="G362" s="84">
        <v>1.0</v>
      </c>
      <c r="H362" s="84">
        <v>100.0</v>
      </c>
      <c r="I362" s="84">
        <v>5.0</v>
      </c>
      <c r="N362" s="84">
        <v>0.0</v>
      </c>
      <c r="O362" s="84">
        <v>0.0</v>
      </c>
      <c r="P362" s="84">
        <v>0.0</v>
      </c>
      <c r="U362" s="84">
        <v>219.0</v>
      </c>
      <c r="X362" s="84">
        <v>0.0</v>
      </c>
      <c r="AH362" s="84">
        <v>1.0</v>
      </c>
      <c r="AI362" s="84">
        <v>0.0</v>
      </c>
      <c r="AJ362" s="84">
        <v>0.0</v>
      </c>
      <c r="AK362" s="84">
        <v>1.0</v>
      </c>
      <c r="AL362" s="84">
        <v>0.0</v>
      </c>
      <c r="AM362" s="84">
        <v>0.0</v>
      </c>
      <c r="AN362" s="84">
        <v>1.0</v>
      </c>
      <c r="AO362" s="84">
        <v>0.0</v>
      </c>
      <c r="AP362" s="84">
        <v>0.0</v>
      </c>
      <c r="AQ362" s="84">
        <v>0.0</v>
      </c>
      <c r="AR362" s="84">
        <v>0.0</v>
      </c>
      <c r="AS362" s="84">
        <v>0.0</v>
      </c>
      <c r="AT362" s="84">
        <v>0.0</v>
      </c>
      <c r="AU362" s="84">
        <v>0.0</v>
      </c>
      <c r="AV362" s="84">
        <v>0.0</v>
      </c>
      <c r="AW362" s="84">
        <v>0.0</v>
      </c>
      <c r="AX362" s="84">
        <v>0.0</v>
      </c>
      <c r="AY362" s="84">
        <v>1.0</v>
      </c>
      <c r="AZ362" s="84">
        <v>48.0</v>
      </c>
      <c r="BH362" s="84">
        <v>379.0</v>
      </c>
      <c r="BI362" s="84" t="s">
        <v>5663</v>
      </c>
    </row>
    <row r="363" ht="12.75" customHeight="1">
      <c r="A363" s="84">
        <v>361.0</v>
      </c>
      <c r="B363" s="84" t="s">
        <v>5664</v>
      </c>
      <c r="C363" s="84">
        <v>1.0</v>
      </c>
      <c r="D363" s="84" t="s">
        <v>2659</v>
      </c>
      <c r="E363" s="84">
        <v>13.0</v>
      </c>
      <c r="F363" s="84" t="s">
        <v>5131</v>
      </c>
      <c r="G363" s="84">
        <v>0.0</v>
      </c>
      <c r="H363" s="84">
        <v>101.0</v>
      </c>
      <c r="I363" s="84">
        <v>10.0</v>
      </c>
      <c r="N363" s="84">
        <v>0.0</v>
      </c>
      <c r="O363" s="84">
        <v>0.0</v>
      </c>
      <c r="P363" s="84">
        <v>0.0</v>
      </c>
      <c r="U363" s="84">
        <v>220.0</v>
      </c>
      <c r="X363" s="84">
        <v>7.0</v>
      </c>
      <c r="AH363" s="84">
        <v>0.0</v>
      </c>
      <c r="AI363" s="84">
        <v>0.0</v>
      </c>
      <c r="AJ363" s="84">
        <v>0.0</v>
      </c>
      <c r="AK363" s="84">
        <v>0.0</v>
      </c>
      <c r="AL363" s="84">
        <v>0.0</v>
      </c>
      <c r="AM363" s="84">
        <v>1.0</v>
      </c>
      <c r="AN363" s="84">
        <v>0.0</v>
      </c>
      <c r="AO363" s="84">
        <v>0.0</v>
      </c>
      <c r="AP363" s="84">
        <v>0.0</v>
      </c>
      <c r="AQ363" s="84">
        <v>0.0</v>
      </c>
      <c r="AR363" s="84">
        <v>0.0</v>
      </c>
      <c r="AS363" s="84">
        <v>0.0</v>
      </c>
      <c r="AT363" s="84">
        <v>1.0</v>
      </c>
      <c r="AU363" s="84">
        <v>0.0</v>
      </c>
      <c r="AV363" s="84">
        <v>0.0</v>
      </c>
      <c r="AW363" s="84">
        <v>0.0</v>
      </c>
      <c r="AX363" s="84">
        <v>0.0</v>
      </c>
      <c r="AY363" s="84">
        <v>1.0</v>
      </c>
      <c r="AZ363" s="84">
        <v>17.0</v>
      </c>
      <c r="BH363" s="84">
        <v>380.0</v>
      </c>
      <c r="BI363" s="84" t="s">
        <v>5665</v>
      </c>
    </row>
    <row r="364" ht="12.75" customHeight="1">
      <c r="A364" s="84">
        <v>362.0</v>
      </c>
      <c r="B364" s="84" t="s">
        <v>2860</v>
      </c>
      <c r="C364" s="84">
        <v>1.0</v>
      </c>
      <c r="D364" s="84" t="s">
        <v>4908</v>
      </c>
      <c r="E364" s="84">
        <v>0.0</v>
      </c>
      <c r="F364" s="84" t="s">
        <v>5172</v>
      </c>
      <c r="G364" s="84">
        <v>65.0</v>
      </c>
      <c r="H364" s="84">
        <v>100.0</v>
      </c>
      <c r="I364" s="84">
        <v>10.0</v>
      </c>
      <c r="N364" s="84">
        <v>0.0</v>
      </c>
      <c r="O364" s="84">
        <v>0.0</v>
      </c>
      <c r="P364" s="84">
        <v>0.0</v>
      </c>
      <c r="U364" s="84">
        <v>221.0</v>
      </c>
      <c r="X364" s="84">
        <v>0.0</v>
      </c>
      <c r="AH364" s="84">
        <v>0.0</v>
      </c>
      <c r="AI364" s="84">
        <v>0.0</v>
      </c>
      <c r="AJ364" s="84">
        <v>0.0</v>
      </c>
      <c r="AK364" s="84">
        <v>1.0</v>
      </c>
      <c r="AL364" s="84">
        <v>0.0</v>
      </c>
      <c r="AM364" s="84">
        <v>0.0</v>
      </c>
      <c r="AN364" s="84">
        <v>1.0</v>
      </c>
      <c r="AO364" s="84">
        <v>0.0</v>
      </c>
      <c r="AP364" s="84">
        <v>0.0</v>
      </c>
      <c r="AQ364" s="84">
        <v>0.0</v>
      </c>
      <c r="AR364" s="84">
        <v>0.0</v>
      </c>
      <c r="AS364" s="84">
        <v>0.0</v>
      </c>
      <c r="AT364" s="84">
        <v>0.0</v>
      </c>
      <c r="AU364" s="84">
        <v>0.0</v>
      </c>
      <c r="AV364" s="84">
        <v>0.0</v>
      </c>
      <c r="AW364" s="84">
        <v>0.0</v>
      </c>
      <c r="AX364" s="84">
        <v>0.0</v>
      </c>
      <c r="AY364" s="84">
        <v>1.0</v>
      </c>
      <c r="AZ364" s="84">
        <v>40.0</v>
      </c>
      <c r="BH364" s="84">
        <v>381.0</v>
      </c>
      <c r="BI364" s="84" t="s">
        <v>5666</v>
      </c>
    </row>
    <row r="365" ht="12.75" customHeight="1">
      <c r="A365" s="84">
        <v>363.0</v>
      </c>
      <c r="B365" s="84" t="s">
        <v>5667</v>
      </c>
      <c r="C365" s="84">
        <v>0.0</v>
      </c>
      <c r="D365" s="84" t="s">
        <v>4916</v>
      </c>
      <c r="E365" s="84">
        <v>0.0</v>
      </c>
      <c r="F365" s="84" t="s">
        <v>5135</v>
      </c>
      <c r="G365" s="84">
        <v>1.0</v>
      </c>
      <c r="H365" s="84">
        <v>100.0</v>
      </c>
      <c r="I365" s="84">
        <v>15.0</v>
      </c>
      <c r="J365" s="84"/>
      <c r="K365" s="84"/>
      <c r="L365" s="84"/>
      <c r="M365" s="84"/>
      <c r="N365" s="84">
        <v>0.0</v>
      </c>
      <c r="O365" s="84">
        <v>0.0</v>
      </c>
      <c r="P365" s="84">
        <v>0.0</v>
      </c>
      <c r="Q365" s="84"/>
      <c r="R365" s="84"/>
      <c r="S365" s="84"/>
      <c r="T365" s="84"/>
      <c r="U365" s="84">
        <v>222.0</v>
      </c>
      <c r="V365" s="84"/>
      <c r="W365" s="84"/>
      <c r="X365" s="84">
        <v>0.0</v>
      </c>
      <c r="Y365" s="84"/>
      <c r="Z365" s="84"/>
      <c r="AA365" s="84"/>
      <c r="AB365" s="84"/>
      <c r="AC365" s="84"/>
      <c r="AD365" s="84"/>
      <c r="AE365" s="84"/>
      <c r="AF365" s="84"/>
      <c r="AG365" s="84"/>
      <c r="AH365" s="84">
        <v>0.0</v>
      </c>
      <c r="AI365" s="84">
        <v>0.0</v>
      </c>
      <c r="AJ365" s="84">
        <v>0.0</v>
      </c>
      <c r="AK365" s="84">
        <v>1.0</v>
      </c>
      <c r="AL365" s="84">
        <v>0.0</v>
      </c>
      <c r="AM365" s="84">
        <v>0.0</v>
      </c>
      <c r="AN365" s="84">
        <v>1.0</v>
      </c>
      <c r="AO365" s="84">
        <v>0.0</v>
      </c>
      <c r="AP365" s="84">
        <v>0.0</v>
      </c>
      <c r="AQ365" s="84">
        <v>0.0</v>
      </c>
      <c r="AR365" s="84">
        <v>0.0</v>
      </c>
      <c r="AS365" s="84">
        <v>0.0</v>
      </c>
      <c r="AT365" s="84">
        <v>0.0</v>
      </c>
      <c r="AU365" s="84">
        <v>0.0</v>
      </c>
      <c r="AV365" s="84">
        <v>0.0</v>
      </c>
      <c r="AW365" s="84">
        <v>0.0</v>
      </c>
      <c r="AX365" s="84">
        <v>0.0</v>
      </c>
      <c r="AY365" s="84">
        <v>1.0</v>
      </c>
      <c r="AZ365" s="84">
        <v>0.0</v>
      </c>
      <c r="BH365" s="84">
        <v>382.0</v>
      </c>
      <c r="BI365" s="84" t="s">
        <v>5668</v>
      </c>
    </row>
    <row r="366" ht="12.75" customHeight="1">
      <c r="A366" s="84">
        <v>364.0</v>
      </c>
      <c r="B366" s="84" t="s">
        <v>3313</v>
      </c>
      <c r="C366" s="84">
        <v>1.0</v>
      </c>
      <c r="D366" s="84" t="s">
        <v>4916</v>
      </c>
      <c r="E366" s="84">
        <v>0.0</v>
      </c>
      <c r="F366" s="84" t="s">
        <v>5135</v>
      </c>
      <c r="G366" s="84">
        <v>30.0</v>
      </c>
      <c r="H366" s="84">
        <v>100.0</v>
      </c>
      <c r="I366" s="84">
        <v>10.0</v>
      </c>
      <c r="J366" s="84">
        <v>2.0</v>
      </c>
      <c r="N366" s="84">
        <v>0.0</v>
      </c>
      <c r="O366" s="84">
        <v>0.0</v>
      </c>
      <c r="P366" s="84">
        <v>0.0</v>
      </c>
      <c r="U366" s="84">
        <v>223.0</v>
      </c>
      <c r="X366" s="84">
        <v>0.0</v>
      </c>
      <c r="AH366" s="84">
        <v>0.0</v>
      </c>
      <c r="AI366" s="84">
        <v>0.0</v>
      </c>
      <c r="AJ366" s="84">
        <v>0.0</v>
      </c>
      <c r="AK366" s="84">
        <v>0.0</v>
      </c>
      <c r="AL366" s="84">
        <v>0.0</v>
      </c>
      <c r="AM366" s="84">
        <v>0.0</v>
      </c>
      <c r="AN366" s="84">
        <v>1.0</v>
      </c>
      <c r="AO366" s="84">
        <v>0.0</v>
      </c>
      <c r="AP366" s="84">
        <v>0.0</v>
      </c>
      <c r="AQ366" s="84">
        <v>0.0</v>
      </c>
      <c r="AR366" s="84">
        <v>0.0</v>
      </c>
      <c r="AS366" s="84">
        <v>0.0</v>
      </c>
      <c r="AT366" s="84">
        <v>0.0</v>
      </c>
      <c r="AU366" s="84">
        <v>0.0</v>
      </c>
      <c r="AV366" s="84">
        <v>0.0</v>
      </c>
      <c r="AW366" s="84">
        <v>0.0</v>
      </c>
      <c r="AX366" s="84">
        <v>0.0</v>
      </c>
      <c r="AY366" s="84">
        <v>0.0</v>
      </c>
      <c r="AZ366" s="84">
        <v>32.0</v>
      </c>
      <c r="BH366" s="84">
        <v>383.0</v>
      </c>
      <c r="BI366" s="84" t="s">
        <v>5669</v>
      </c>
    </row>
    <row r="367" ht="12.75" customHeight="1">
      <c r="A367" s="84">
        <v>365.0</v>
      </c>
      <c r="B367" s="84" t="s">
        <v>2687</v>
      </c>
      <c r="C367" s="84">
        <v>1.0</v>
      </c>
      <c r="D367" s="84" t="s">
        <v>4907</v>
      </c>
      <c r="E367" s="84">
        <v>0.0</v>
      </c>
      <c r="F367" s="84" t="s">
        <v>5135</v>
      </c>
      <c r="G367" s="84">
        <v>60.0</v>
      </c>
      <c r="H367" s="84">
        <v>100.0</v>
      </c>
      <c r="I367" s="84">
        <v>20.0</v>
      </c>
      <c r="N367" s="84">
        <v>0.0</v>
      </c>
      <c r="O367" s="84">
        <v>0.0</v>
      </c>
      <c r="P367" s="84">
        <v>0.0</v>
      </c>
      <c r="U367" s="84">
        <v>224.0</v>
      </c>
      <c r="X367" s="84">
        <v>0.0</v>
      </c>
      <c r="AH367" s="84">
        <v>1.0</v>
      </c>
      <c r="AI367" s="84">
        <v>0.0</v>
      </c>
      <c r="AJ367" s="84">
        <v>0.0</v>
      </c>
      <c r="AK367" s="84">
        <v>1.0</v>
      </c>
      <c r="AL367" s="84">
        <v>0.0</v>
      </c>
      <c r="AM367" s="84">
        <v>0.0</v>
      </c>
      <c r="AN367" s="84">
        <v>1.0</v>
      </c>
      <c r="AO367" s="84">
        <v>0.0</v>
      </c>
      <c r="AP367" s="84">
        <v>0.0</v>
      </c>
      <c r="AQ367" s="84">
        <v>0.0</v>
      </c>
      <c r="AR367" s="84">
        <v>0.0</v>
      </c>
      <c r="AS367" s="84">
        <v>1.0</v>
      </c>
      <c r="AT367" s="84">
        <v>0.0</v>
      </c>
      <c r="AU367" s="84">
        <v>0.0</v>
      </c>
      <c r="AV367" s="84">
        <v>0.0</v>
      </c>
      <c r="AW367" s="84">
        <v>0.0</v>
      </c>
      <c r="AX367" s="84">
        <v>0.0</v>
      </c>
      <c r="AY367" s="84">
        <v>1.0</v>
      </c>
      <c r="AZ367" s="84">
        <v>38.0</v>
      </c>
      <c r="BH367" s="84">
        <v>384.0</v>
      </c>
      <c r="BI367" s="84" t="s">
        <v>5670</v>
      </c>
    </row>
    <row r="368" ht="12.75" customHeight="1">
      <c r="A368" s="84">
        <v>366.0</v>
      </c>
      <c r="B368" s="84" t="s">
        <v>4350</v>
      </c>
      <c r="C368" s="84">
        <v>1.0</v>
      </c>
      <c r="D368" s="84" t="s">
        <v>4907</v>
      </c>
      <c r="E368" s="84">
        <v>11.0</v>
      </c>
      <c r="F368" s="84" t="s">
        <v>5131</v>
      </c>
      <c r="G368" s="84">
        <v>0.0</v>
      </c>
      <c r="H368" s="84">
        <v>101.0</v>
      </c>
      <c r="I368" s="84">
        <v>15.0</v>
      </c>
      <c r="N368" s="84">
        <v>0.0</v>
      </c>
      <c r="O368" s="84">
        <v>0.0</v>
      </c>
      <c r="P368" s="84">
        <v>0.0</v>
      </c>
      <c r="U368" s="84">
        <v>225.0</v>
      </c>
      <c r="X368" s="84">
        <v>12.0</v>
      </c>
      <c r="AH368" s="84">
        <v>0.0</v>
      </c>
      <c r="AI368" s="84">
        <v>0.0</v>
      </c>
      <c r="AJ368" s="84">
        <v>0.0</v>
      </c>
      <c r="AK368" s="84">
        <v>0.0</v>
      </c>
      <c r="AL368" s="84">
        <v>0.0</v>
      </c>
      <c r="AM368" s="84">
        <v>1.0</v>
      </c>
      <c r="AN368" s="84">
        <v>0.0</v>
      </c>
      <c r="AO368" s="84">
        <v>0.0</v>
      </c>
      <c r="AP368" s="84">
        <v>0.0</v>
      </c>
      <c r="AQ368" s="84">
        <v>0.0</v>
      </c>
      <c r="AR368" s="84">
        <v>0.0</v>
      </c>
      <c r="AS368" s="84">
        <v>0.0</v>
      </c>
      <c r="AT368" s="84">
        <v>0.0</v>
      </c>
      <c r="AU368" s="84">
        <v>0.0</v>
      </c>
      <c r="AV368" s="84">
        <v>0.0</v>
      </c>
      <c r="AW368" s="84">
        <v>0.0</v>
      </c>
      <c r="AX368" s="84">
        <v>0.0</v>
      </c>
      <c r="AY368" s="84">
        <v>1.0</v>
      </c>
      <c r="AZ368" s="84">
        <v>23.0</v>
      </c>
      <c r="BH368" s="84">
        <v>385.0</v>
      </c>
      <c r="BI368" s="84" t="s">
        <v>5671</v>
      </c>
    </row>
    <row r="369" ht="12.75" customHeight="1">
      <c r="A369" s="84">
        <v>367.0</v>
      </c>
      <c r="B369" s="84" t="s">
        <v>3808</v>
      </c>
      <c r="C369" s="84">
        <v>1.0</v>
      </c>
      <c r="D369" s="84" t="s">
        <v>4916</v>
      </c>
      <c r="E369" s="84">
        <v>13.0</v>
      </c>
      <c r="F369" s="84" t="s">
        <v>5131</v>
      </c>
      <c r="G369" s="84">
        <v>0.0</v>
      </c>
      <c r="H369" s="84">
        <v>101.0</v>
      </c>
      <c r="I369" s="84">
        <v>30.0</v>
      </c>
      <c r="N369" s="84">
        <v>0.0</v>
      </c>
      <c r="O369" s="84">
        <v>0.0</v>
      </c>
      <c r="P369" s="84">
        <v>0.0</v>
      </c>
      <c r="U369" s="84">
        <v>226.0</v>
      </c>
      <c r="X369" s="84">
        <v>1.0</v>
      </c>
      <c r="AH369" s="84">
        <v>0.0</v>
      </c>
      <c r="AI369" s="84">
        <v>0.0</v>
      </c>
      <c r="AJ369" s="84">
        <v>0.0</v>
      </c>
      <c r="AK369" s="84">
        <v>0.0</v>
      </c>
      <c r="AL369" s="84">
        <v>0.0</v>
      </c>
      <c r="AM369" s="84">
        <v>0.0</v>
      </c>
      <c r="AN369" s="84">
        <v>0.0</v>
      </c>
      <c r="AO369" s="84">
        <v>0.0</v>
      </c>
      <c r="AP369" s="84">
        <v>0.0</v>
      </c>
      <c r="AQ369" s="84">
        <v>0.0</v>
      </c>
      <c r="AR369" s="84">
        <v>0.0</v>
      </c>
      <c r="AS369" s="84">
        <v>0.0</v>
      </c>
      <c r="AT369" s="84">
        <v>0.0</v>
      </c>
      <c r="AU369" s="84">
        <v>0.0</v>
      </c>
      <c r="AV369" s="84">
        <v>0.0</v>
      </c>
      <c r="AW369" s="84">
        <v>0.0</v>
      </c>
      <c r="AX369" s="84">
        <v>0.0</v>
      </c>
      <c r="AY369" s="84">
        <v>1.0</v>
      </c>
      <c r="AZ369" s="84">
        <v>10.0</v>
      </c>
      <c r="BH369" s="84">
        <v>386.0</v>
      </c>
      <c r="BI369" s="84" t="s">
        <v>5672</v>
      </c>
    </row>
    <row r="370" ht="12.75" customHeight="1">
      <c r="A370" s="84">
        <v>368.0</v>
      </c>
      <c r="B370" s="84" t="s">
        <v>3754</v>
      </c>
      <c r="C370" s="84">
        <v>1.0</v>
      </c>
      <c r="D370" s="84" t="s">
        <v>4975</v>
      </c>
      <c r="E370" s="84">
        <v>0.0</v>
      </c>
      <c r="F370" s="84" t="s">
        <v>5135</v>
      </c>
      <c r="G370" s="84">
        <v>1.0</v>
      </c>
      <c r="H370" s="84">
        <v>100.0</v>
      </c>
      <c r="I370" s="84">
        <v>10.0</v>
      </c>
      <c r="N370" s="84">
        <v>0.0</v>
      </c>
      <c r="O370" s="84">
        <v>0.0</v>
      </c>
      <c r="P370" s="84">
        <v>0.0</v>
      </c>
      <c r="U370" s="84">
        <v>227.0</v>
      </c>
      <c r="X370" s="84">
        <v>13.0</v>
      </c>
      <c r="AH370" s="84">
        <v>0.0</v>
      </c>
      <c r="AI370" s="84">
        <v>0.0</v>
      </c>
      <c r="AJ370" s="84">
        <v>0.0</v>
      </c>
      <c r="AK370" s="84">
        <v>1.0</v>
      </c>
      <c r="AL370" s="84">
        <v>0.0</v>
      </c>
      <c r="AM370" s="84">
        <v>0.0</v>
      </c>
      <c r="AN370" s="84">
        <v>1.0</v>
      </c>
      <c r="AO370" s="84">
        <v>0.0</v>
      </c>
      <c r="AP370" s="84">
        <v>0.0</v>
      </c>
      <c r="AQ370" s="84">
        <v>0.0</v>
      </c>
      <c r="AR370" s="84">
        <v>0.0</v>
      </c>
      <c r="AS370" s="84">
        <v>0.0</v>
      </c>
      <c r="AT370" s="84">
        <v>0.0</v>
      </c>
      <c r="AU370" s="84">
        <v>0.0</v>
      </c>
      <c r="AV370" s="84">
        <v>0.0</v>
      </c>
      <c r="AW370" s="84">
        <v>0.0</v>
      </c>
      <c r="AX370" s="84">
        <v>0.0</v>
      </c>
      <c r="AY370" s="84">
        <v>1.0</v>
      </c>
      <c r="AZ370" s="84">
        <v>48.0</v>
      </c>
      <c r="BH370" s="84">
        <v>387.0</v>
      </c>
      <c r="BI370" s="84" t="s">
        <v>5673</v>
      </c>
    </row>
    <row r="371" ht="12.75" customHeight="1">
      <c r="A371" s="84">
        <v>369.0</v>
      </c>
      <c r="B371" s="84" t="s">
        <v>3314</v>
      </c>
      <c r="C371" s="84">
        <v>1.0</v>
      </c>
      <c r="D371" s="84" t="s">
        <v>4910</v>
      </c>
      <c r="E371" s="84">
        <v>0.0</v>
      </c>
      <c r="F371" s="84" t="s">
        <v>5135</v>
      </c>
      <c r="G371" s="84">
        <v>70.0</v>
      </c>
      <c r="H371" s="84">
        <v>100.0</v>
      </c>
      <c r="I371" s="84">
        <v>20.0</v>
      </c>
      <c r="N371" s="84">
        <v>0.0</v>
      </c>
      <c r="O371" s="84">
        <v>0.0</v>
      </c>
      <c r="P371" s="84">
        <v>0.0</v>
      </c>
      <c r="U371" s="84">
        <v>228.0</v>
      </c>
      <c r="X371" s="84">
        <v>0.0</v>
      </c>
      <c r="AH371" s="84">
        <v>1.0</v>
      </c>
      <c r="AI371" s="84">
        <v>0.0</v>
      </c>
      <c r="AJ371" s="84">
        <v>0.0</v>
      </c>
      <c r="AK371" s="84">
        <v>1.0</v>
      </c>
      <c r="AL371" s="84">
        <v>0.0</v>
      </c>
      <c r="AM371" s="84">
        <v>0.0</v>
      </c>
      <c r="AN371" s="84">
        <v>1.0</v>
      </c>
      <c r="AO371" s="84">
        <v>0.0</v>
      </c>
      <c r="AP371" s="84">
        <v>0.0</v>
      </c>
      <c r="AQ371" s="84">
        <v>0.0</v>
      </c>
      <c r="AR371" s="84">
        <v>0.0</v>
      </c>
      <c r="AS371" s="84">
        <v>0.0</v>
      </c>
      <c r="AT371" s="84">
        <v>0.0</v>
      </c>
      <c r="AU371" s="84">
        <v>0.0</v>
      </c>
      <c r="AV371" s="84">
        <v>0.0</v>
      </c>
      <c r="AW371" s="84">
        <v>0.0</v>
      </c>
      <c r="AX371" s="84">
        <v>0.0</v>
      </c>
      <c r="AY371" s="84">
        <v>1.0</v>
      </c>
      <c r="AZ371" s="84">
        <v>38.0</v>
      </c>
      <c r="BH371" s="84">
        <v>388.0</v>
      </c>
      <c r="BI371" s="84" t="s">
        <v>5674</v>
      </c>
    </row>
    <row r="372" ht="12.75" customHeight="1">
      <c r="A372" s="84">
        <v>370.0</v>
      </c>
      <c r="B372" s="84" t="s">
        <v>3483</v>
      </c>
      <c r="C372" s="84">
        <v>1.0</v>
      </c>
      <c r="D372" s="84" t="s">
        <v>4935</v>
      </c>
      <c r="E372" s="84">
        <v>7.0</v>
      </c>
      <c r="F372" s="84" t="s">
        <v>5135</v>
      </c>
      <c r="G372" s="84">
        <v>120.0</v>
      </c>
      <c r="H372" s="84">
        <v>100.0</v>
      </c>
      <c r="I372" s="84">
        <v>5.0</v>
      </c>
      <c r="N372" s="84">
        <v>0.0</v>
      </c>
      <c r="O372" s="84">
        <v>0.0</v>
      </c>
      <c r="P372" s="84">
        <v>0.0</v>
      </c>
      <c r="U372" s="84">
        <v>229.0</v>
      </c>
      <c r="X372" s="84">
        <v>0.0</v>
      </c>
      <c r="Y372" s="84" t="s">
        <v>21</v>
      </c>
      <c r="Z372" s="84">
        <v>-1.0</v>
      </c>
      <c r="AA372" s="84">
        <v>100.0</v>
      </c>
      <c r="AB372" s="84" t="s">
        <v>23</v>
      </c>
      <c r="AC372" s="84">
        <v>-1.0</v>
      </c>
      <c r="AD372" s="84">
        <v>100.0</v>
      </c>
      <c r="AH372" s="84">
        <v>1.0</v>
      </c>
      <c r="AI372" s="84">
        <v>0.0</v>
      </c>
      <c r="AJ372" s="84">
        <v>0.0</v>
      </c>
      <c r="AK372" s="84">
        <v>1.0</v>
      </c>
      <c r="AL372" s="84">
        <v>0.0</v>
      </c>
      <c r="AM372" s="84">
        <v>0.0</v>
      </c>
      <c r="AN372" s="84">
        <v>1.0</v>
      </c>
      <c r="AO372" s="84">
        <v>0.0</v>
      </c>
      <c r="AP372" s="84">
        <v>0.0</v>
      </c>
      <c r="AQ372" s="84">
        <v>0.0</v>
      </c>
      <c r="AR372" s="84">
        <v>0.0</v>
      </c>
      <c r="AS372" s="84">
        <v>0.0</v>
      </c>
      <c r="AT372" s="84">
        <v>0.0</v>
      </c>
      <c r="AU372" s="84">
        <v>0.0</v>
      </c>
      <c r="AV372" s="84">
        <v>0.0</v>
      </c>
      <c r="AW372" s="84">
        <v>0.0</v>
      </c>
      <c r="AX372" s="84">
        <v>0.0</v>
      </c>
      <c r="AY372" s="84">
        <v>1.0</v>
      </c>
      <c r="AZ372" s="84">
        <v>43.0</v>
      </c>
      <c r="BH372" s="84">
        <v>389.0</v>
      </c>
      <c r="BI372" s="84" t="s">
        <v>5675</v>
      </c>
    </row>
    <row r="373" ht="12.75" customHeight="1">
      <c r="A373" s="84">
        <v>371.0</v>
      </c>
      <c r="B373" s="84" t="s">
        <v>3057</v>
      </c>
      <c r="C373" s="84">
        <v>1.0</v>
      </c>
      <c r="D373" s="84" t="s">
        <v>4972</v>
      </c>
      <c r="E373" s="84">
        <v>0.0</v>
      </c>
      <c r="F373" s="84" t="s">
        <v>5135</v>
      </c>
      <c r="G373" s="84">
        <v>50.0</v>
      </c>
      <c r="H373" s="84">
        <v>100.0</v>
      </c>
      <c r="I373" s="84">
        <v>10.0</v>
      </c>
      <c r="N373" s="84">
        <v>0.0</v>
      </c>
      <c r="O373" s="84">
        <v>0.0</v>
      </c>
      <c r="P373" s="84">
        <v>0.0</v>
      </c>
      <c r="U373" s="84">
        <v>230.0</v>
      </c>
      <c r="X373" s="84">
        <v>0.0</v>
      </c>
      <c r="AH373" s="84">
        <v>1.0</v>
      </c>
      <c r="AI373" s="84">
        <v>0.0</v>
      </c>
      <c r="AJ373" s="84">
        <v>0.0</v>
      </c>
      <c r="AK373" s="84">
        <v>1.0</v>
      </c>
      <c r="AL373" s="84">
        <v>0.0</v>
      </c>
      <c r="AM373" s="84">
        <v>0.0</v>
      </c>
      <c r="AN373" s="84">
        <v>1.0</v>
      </c>
      <c r="AO373" s="84">
        <v>0.0</v>
      </c>
      <c r="AP373" s="84">
        <v>0.0</v>
      </c>
      <c r="AQ373" s="84">
        <v>0.0</v>
      </c>
      <c r="AR373" s="84">
        <v>0.0</v>
      </c>
      <c r="AS373" s="84">
        <v>0.0</v>
      </c>
      <c r="AT373" s="84">
        <v>0.0</v>
      </c>
      <c r="AU373" s="84">
        <v>0.0</v>
      </c>
      <c r="AV373" s="84">
        <v>0.0</v>
      </c>
      <c r="AW373" s="84">
        <v>0.0</v>
      </c>
      <c r="AX373" s="84">
        <v>0.0</v>
      </c>
      <c r="AY373" s="84">
        <v>1.0</v>
      </c>
      <c r="AZ373" s="84">
        <v>38.0</v>
      </c>
      <c r="BH373" s="84">
        <v>390.0</v>
      </c>
      <c r="BI373" s="84" t="s">
        <v>5676</v>
      </c>
    </row>
    <row r="374" ht="12.75" customHeight="1">
      <c r="A374" s="84">
        <v>372.0</v>
      </c>
      <c r="B374" s="84" t="s">
        <v>5677</v>
      </c>
      <c r="C374" s="84">
        <v>1.0</v>
      </c>
      <c r="D374" s="84" t="s">
        <v>4972</v>
      </c>
      <c r="E374" s="84">
        <v>0.0</v>
      </c>
      <c r="F374" s="84" t="s">
        <v>5135</v>
      </c>
      <c r="G374" s="84">
        <v>60.0</v>
      </c>
      <c r="H374" s="84">
        <v>100.0</v>
      </c>
      <c r="I374" s="84">
        <v>10.0</v>
      </c>
      <c r="N374" s="84">
        <v>0.0</v>
      </c>
      <c r="O374" s="84">
        <v>0.0</v>
      </c>
      <c r="P374" s="84">
        <v>0.0</v>
      </c>
      <c r="U374" s="84">
        <v>231.0</v>
      </c>
      <c r="X374" s="84">
        <v>0.0</v>
      </c>
      <c r="AH374" s="84">
        <v>1.0</v>
      </c>
      <c r="AI374" s="84">
        <v>0.0</v>
      </c>
      <c r="AJ374" s="84">
        <v>0.0</v>
      </c>
      <c r="AK374" s="84">
        <v>1.0</v>
      </c>
      <c r="AL374" s="84">
        <v>0.0</v>
      </c>
      <c r="AM374" s="84">
        <v>0.0</v>
      </c>
      <c r="AN374" s="84">
        <v>1.0</v>
      </c>
      <c r="AO374" s="84">
        <v>0.0</v>
      </c>
      <c r="AP374" s="84">
        <v>0.0</v>
      </c>
      <c r="AQ374" s="84">
        <v>0.0</v>
      </c>
      <c r="AR374" s="84">
        <v>0.0</v>
      </c>
      <c r="AS374" s="84">
        <v>0.0</v>
      </c>
      <c r="AT374" s="84">
        <v>0.0</v>
      </c>
      <c r="AU374" s="84">
        <v>0.0</v>
      </c>
      <c r="AV374" s="84">
        <v>0.0</v>
      </c>
      <c r="AW374" s="84">
        <v>0.0</v>
      </c>
      <c r="AX374" s="84">
        <v>0.0</v>
      </c>
      <c r="AY374" s="84">
        <v>1.0</v>
      </c>
      <c r="AZ374" s="84">
        <v>37.0</v>
      </c>
      <c r="BH374" s="84">
        <v>391.0</v>
      </c>
      <c r="BI374" s="84" t="s">
        <v>5678</v>
      </c>
    </row>
    <row r="375" ht="12.75" customHeight="1">
      <c r="A375" s="84">
        <v>373.0</v>
      </c>
      <c r="B375" s="84" t="s">
        <v>5679</v>
      </c>
      <c r="C375" s="84">
        <v>0.0</v>
      </c>
      <c r="D375" s="84" t="s">
        <v>4972</v>
      </c>
      <c r="E375" s="84">
        <v>1.0</v>
      </c>
      <c r="F375" s="84" t="s">
        <v>5131</v>
      </c>
      <c r="G375" s="84">
        <v>0.0</v>
      </c>
      <c r="H375" s="84">
        <v>100.0</v>
      </c>
      <c r="I375" s="84">
        <v>15.0</v>
      </c>
      <c r="J375" s="84"/>
      <c r="K375" s="84"/>
      <c r="L375" s="84"/>
      <c r="M375" s="84" t="s">
        <v>5679</v>
      </c>
      <c r="N375" s="84">
        <v>19.0</v>
      </c>
      <c r="O375" s="84">
        <v>0.0</v>
      </c>
      <c r="P375" s="84">
        <v>2.0</v>
      </c>
      <c r="Q375" s="84">
        <v>5.0</v>
      </c>
      <c r="R375" s="84">
        <v>5.0</v>
      </c>
      <c r="S375" s="84"/>
      <c r="T375" s="84"/>
      <c r="U375" s="84">
        <v>232.0</v>
      </c>
      <c r="V375" s="84"/>
      <c r="W375" s="84"/>
      <c r="X375" s="84">
        <v>0.0</v>
      </c>
      <c r="Y375" s="84"/>
      <c r="Z375" s="84"/>
      <c r="AA375" s="84"/>
      <c r="AB375" s="84"/>
      <c r="AC375" s="84"/>
      <c r="AD375" s="84"/>
      <c r="AE375" s="84"/>
      <c r="AF375" s="84"/>
      <c r="AG375" s="84"/>
      <c r="AH375" s="84">
        <v>0.0</v>
      </c>
      <c r="AI375" s="84">
        <v>0.0</v>
      </c>
      <c r="AJ375" s="84">
        <v>0.0</v>
      </c>
      <c r="AK375" s="84">
        <v>1.0</v>
      </c>
      <c r="AL375" s="84">
        <v>1.0</v>
      </c>
      <c r="AM375" s="84">
        <v>0.0</v>
      </c>
      <c r="AN375" s="84">
        <v>1.0</v>
      </c>
      <c r="AO375" s="84">
        <v>0.0</v>
      </c>
      <c r="AP375" s="84">
        <v>0.0</v>
      </c>
      <c r="AQ375" s="84">
        <v>0.0</v>
      </c>
      <c r="AR375" s="84">
        <v>0.0</v>
      </c>
      <c r="AS375" s="84">
        <v>0.0</v>
      </c>
      <c r="AT375" s="84">
        <v>0.0</v>
      </c>
      <c r="AU375" s="84">
        <v>0.0</v>
      </c>
      <c r="AV375" s="84">
        <v>0.0</v>
      </c>
      <c r="AW375" s="84">
        <v>0.0</v>
      </c>
      <c r="AX375" s="84">
        <v>0.0</v>
      </c>
      <c r="AY375" s="84">
        <v>1.0</v>
      </c>
      <c r="AZ375" s="84">
        <v>0.0</v>
      </c>
      <c r="BH375" s="84">
        <v>392.0</v>
      </c>
      <c r="BI375" s="84" t="s">
        <v>5680</v>
      </c>
    </row>
    <row r="376" ht="12.75" customHeight="1">
      <c r="A376" s="84">
        <v>374.0</v>
      </c>
      <c r="B376" s="84" t="s">
        <v>3777</v>
      </c>
      <c r="C376" s="84">
        <v>1.0</v>
      </c>
      <c r="D376" s="84" t="s">
        <v>4972</v>
      </c>
      <c r="E376" s="84">
        <v>0.0</v>
      </c>
      <c r="F376" s="84" t="s">
        <v>5135</v>
      </c>
      <c r="G376" s="84">
        <v>1.0</v>
      </c>
      <c r="H376" s="84">
        <v>100.0</v>
      </c>
      <c r="I376" s="84">
        <v>10.0</v>
      </c>
      <c r="N376" s="84">
        <v>0.0</v>
      </c>
      <c r="O376" s="84">
        <v>0.0</v>
      </c>
      <c r="P376" s="84">
        <v>0.0</v>
      </c>
      <c r="U376" s="84">
        <v>233.0</v>
      </c>
      <c r="X376" s="84">
        <v>0.0</v>
      </c>
      <c r="AH376" s="84">
        <v>0.0</v>
      </c>
      <c r="AI376" s="84">
        <v>0.0</v>
      </c>
      <c r="AJ376" s="84">
        <v>0.0</v>
      </c>
      <c r="AK376" s="84">
        <v>1.0</v>
      </c>
      <c r="AL376" s="84">
        <v>0.0</v>
      </c>
      <c r="AM376" s="84">
        <v>0.0</v>
      </c>
      <c r="AN376" s="84">
        <v>1.0</v>
      </c>
      <c r="AO376" s="84">
        <v>0.0</v>
      </c>
      <c r="AP376" s="84">
        <v>0.0</v>
      </c>
      <c r="AQ376" s="84">
        <v>0.0</v>
      </c>
      <c r="AR376" s="84">
        <v>0.0</v>
      </c>
      <c r="AS376" s="84">
        <v>0.0</v>
      </c>
      <c r="AT376" s="84">
        <v>0.0</v>
      </c>
      <c r="AU376" s="84">
        <v>0.0</v>
      </c>
      <c r="AV376" s="84">
        <v>0.0</v>
      </c>
      <c r="AW376" s="84">
        <v>1.0</v>
      </c>
      <c r="AX376" s="84">
        <v>0.0</v>
      </c>
      <c r="AY376" s="84">
        <v>1.0</v>
      </c>
      <c r="AZ376" s="84">
        <v>48.0</v>
      </c>
      <c r="BH376" s="84">
        <v>393.0</v>
      </c>
      <c r="BI376" s="84" t="s">
        <v>5681</v>
      </c>
    </row>
    <row r="377" ht="12.75" customHeight="1">
      <c r="A377" s="84">
        <v>375.0</v>
      </c>
      <c r="B377" s="84" t="s">
        <v>5682</v>
      </c>
      <c r="C377" s="84">
        <v>1.0</v>
      </c>
      <c r="D377" s="84" t="s">
        <v>2659</v>
      </c>
      <c r="E377" s="84">
        <v>13.0</v>
      </c>
      <c r="F377" s="84" t="s">
        <v>5131</v>
      </c>
      <c r="G377" s="84">
        <v>0.0</v>
      </c>
      <c r="H377" s="84">
        <v>100.0</v>
      </c>
      <c r="I377" s="84">
        <v>10.0</v>
      </c>
      <c r="N377" s="84">
        <v>0.0</v>
      </c>
      <c r="O377" s="84">
        <v>0.0</v>
      </c>
      <c r="P377" s="84">
        <v>0.0</v>
      </c>
      <c r="U377" s="84">
        <v>234.0</v>
      </c>
      <c r="X377" s="84">
        <v>0.0</v>
      </c>
      <c r="AH377" s="84">
        <v>0.0</v>
      </c>
      <c r="AI377" s="84">
        <v>0.0</v>
      </c>
      <c r="AJ377" s="84">
        <v>0.0</v>
      </c>
      <c r="AK377" s="84">
        <v>1.0</v>
      </c>
      <c r="AL377" s="84">
        <v>0.0</v>
      </c>
      <c r="AM377" s="84">
        <v>0.0</v>
      </c>
      <c r="AN377" s="84">
        <v>1.0</v>
      </c>
      <c r="AO377" s="84">
        <v>0.0</v>
      </c>
      <c r="AP377" s="84">
        <v>0.0</v>
      </c>
      <c r="AQ377" s="84">
        <v>0.0</v>
      </c>
      <c r="AR377" s="84">
        <v>0.0</v>
      </c>
      <c r="AS377" s="84">
        <v>0.0</v>
      </c>
      <c r="AT377" s="84">
        <v>0.0</v>
      </c>
      <c r="AU377" s="84">
        <v>0.0</v>
      </c>
      <c r="AV377" s="84">
        <v>0.0</v>
      </c>
      <c r="AW377" s="84">
        <v>0.0</v>
      </c>
      <c r="AX377" s="84">
        <v>0.0</v>
      </c>
      <c r="AY377" s="84">
        <v>1.0</v>
      </c>
      <c r="AZ377" s="84">
        <v>16.0</v>
      </c>
      <c r="BH377" s="84">
        <v>394.0</v>
      </c>
      <c r="BI377" s="84" t="s">
        <v>5683</v>
      </c>
    </row>
    <row r="378" ht="12.75" customHeight="1">
      <c r="A378" s="84">
        <v>376.0</v>
      </c>
      <c r="B378" s="84" t="s">
        <v>5684</v>
      </c>
      <c r="C378" s="84">
        <v>0.0</v>
      </c>
      <c r="D378" s="84" t="s">
        <v>4916</v>
      </c>
      <c r="E378" s="84">
        <v>0.0</v>
      </c>
      <c r="F378" s="84" t="s">
        <v>5172</v>
      </c>
      <c r="G378" s="84">
        <v>1.0</v>
      </c>
      <c r="H378" s="84">
        <v>101.0</v>
      </c>
      <c r="I378" s="84">
        <v>5.0</v>
      </c>
      <c r="J378" s="84"/>
      <c r="K378" s="84"/>
      <c r="L378" s="84"/>
      <c r="M378" s="84"/>
      <c r="N378" s="84">
        <v>0.0</v>
      </c>
      <c r="O378" s="84">
        <v>0.0</v>
      </c>
      <c r="P378" s="84">
        <v>0.0</v>
      </c>
      <c r="Q378" s="84"/>
      <c r="R378" s="84"/>
      <c r="S378" s="84"/>
      <c r="T378" s="84"/>
      <c r="U378" s="84">
        <v>235.0</v>
      </c>
      <c r="V378" s="84"/>
      <c r="W378" s="84"/>
      <c r="X378" s="84">
        <v>0.0</v>
      </c>
      <c r="Y378" s="84"/>
      <c r="Z378" s="84"/>
      <c r="AA378" s="84"/>
      <c r="AB378" s="84"/>
      <c r="AC378" s="84"/>
      <c r="AD378" s="84"/>
      <c r="AE378" s="84"/>
      <c r="AF378" s="84"/>
      <c r="AG378" s="84"/>
      <c r="AH378" s="84">
        <v>1.0</v>
      </c>
      <c r="AI378" s="84">
        <v>0.0</v>
      </c>
      <c r="AJ378" s="84">
        <v>0.0</v>
      </c>
      <c r="AK378" s="84">
        <v>1.0</v>
      </c>
      <c r="AL378" s="84">
        <v>0.0</v>
      </c>
      <c r="AM378" s="84">
        <v>0.0</v>
      </c>
      <c r="AN378" s="84">
        <v>1.0</v>
      </c>
      <c r="AO378" s="84">
        <v>0.0</v>
      </c>
      <c r="AP378" s="84">
        <v>0.0</v>
      </c>
      <c r="AQ378" s="84">
        <v>0.0</v>
      </c>
      <c r="AR378" s="84">
        <v>0.0</v>
      </c>
      <c r="AS378" s="84">
        <v>0.0</v>
      </c>
      <c r="AT378" s="84">
        <v>0.0</v>
      </c>
      <c r="AU378" s="84">
        <v>0.0</v>
      </c>
      <c r="AV378" s="84">
        <v>0.0</v>
      </c>
      <c r="AW378" s="84">
        <v>0.0</v>
      </c>
      <c r="AX378" s="84">
        <v>0.0</v>
      </c>
      <c r="AY378" s="84">
        <v>1.0</v>
      </c>
      <c r="AZ378" s="84">
        <v>0.0</v>
      </c>
      <c r="BH378" s="84">
        <v>395.0</v>
      </c>
      <c r="BI378" s="84" t="s">
        <v>5180</v>
      </c>
    </row>
    <row r="379" ht="12.75" customHeight="1">
      <c r="A379" s="84">
        <v>377.0</v>
      </c>
      <c r="B379" s="84" t="s">
        <v>5685</v>
      </c>
      <c r="C379" s="84">
        <v>0.0</v>
      </c>
      <c r="D379" s="84" t="s">
        <v>2659</v>
      </c>
      <c r="E379" s="84">
        <v>1.0</v>
      </c>
      <c r="F379" s="84" t="s">
        <v>5131</v>
      </c>
      <c r="G379" s="84">
        <v>0.0</v>
      </c>
      <c r="H379" s="84">
        <v>100.0</v>
      </c>
      <c r="I379" s="84">
        <v>15.0</v>
      </c>
      <c r="J379" s="84"/>
      <c r="K379" s="84"/>
      <c r="L379" s="84"/>
      <c r="M379" s="84" t="s">
        <v>5686</v>
      </c>
      <c r="N379" s="84">
        <v>15.0</v>
      </c>
      <c r="O379" s="84">
        <v>0.0</v>
      </c>
      <c r="P379" s="84">
        <v>2.0</v>
      </c>
      <c r="Q379" s="84">
        <v>5.0</v>
      </c>
      <c r="R379" s="84">
        <v>5.0</v>
      </c>
      <c r="S379" s="84"/>
      <c r="T379" s="84"/>
      <c r="U379" s="84">
        <v>236.0</v>
      </c>
      <c r="V379" s="84"/>
      <c r="W379" s="84"/>
      <c r="X379" s="84">
        <v>5.0</v>
      </c>
      <c r="Y379" s="84"/>
      <c r="Z379" s="84"/>
      <c r="AA379" s="84"/>
      <c r="AB379" s="84"/>
      <c r="AC379" s="84"/>
      <c r="AD379" s="84"/>
      <c r="AE379" s="84"/>
      <c r="AF379" s="84"/>
      <c r="AG379" s="84"/>
      <c r="AH379" s="84">
        <v>0.0</v>
      </c>
      <c r="AI379" s="84">
        <v>0.0</v>
      </c>
      <c r="AJ379" s="84">
        <v>0.0</v>
      </c>
      <c r="AK379" s="84">
        <v>1.0</v>
      </c>
      <c r="AL379" s="84">
        <v>1.0</v>
      </c>
      <c r="AM379" s="84">
        <v>0.0</v>
      </c>
      <c r="AN379" s="84">
        <v>1.0</v>
      </c>
      <c r="AO379" s="84">
        <v>0.0</v>
      </c>
      <c r="AP379" s="84">
        <v>0.0</v>
      </c>
      <c r="AQ379" s="84">
        <v>0.0</v>
      </c>
      <c r="AR379" s="84">
        <v>0.0</v>
      </c>
      <c r="AS379" s="84">
        <v>0.0</v>
      </c>
      <c r="AT379" s="84">
        <v>0.0</v>
      </c>
      <c r="AU379" s="84">
        <v>0.0</v>
      </c>
      <c r="AV379" s="84">
        <v>0.0</v>
      </c>
      <c r="AW379" s="84">
        <v>0.0</v>
      </c>
      <c r="AX379" s="84">
        <v>0.0</v>
      </c>
      <c r="AY379" s="84">
        <v>1.0</v>
      </c>
      <c r="AZ379" s="84">
        <v>0.0</v>
      </c>
      <c r="BH379" s="84">
        <v>396.0</v>
      </c>
      <c r="BI379" s="84" t="s">
        <v>5687</v>
      </c>
    </row>
    <row r="380" ht="12.75" customHeight="1">
      <c r="A380" s="84">
        <v>378.0</v>
      </c>
      <c r="B380" s="84" t="s">
        <v>5688</v>
      </c>
      <c r="C380" s="84">
        <v>0.0</v>
      </c>
      <c r="D380" s="84" t="s">
        <v>4916</v>
      </c>
      <c r="E380" s="84">
        <v>0.0</v>
      </c>
      <c r="F380" s="84" t="s">
        <v>5172</v>
      </c>
      <c r="G380" s="84">
        <v>1.0</v>
      </c>
      <c r="H380" s="84">
        <v>100.0</v>
      </c>
      <c r="I380" s="84">
        <v>5.0</v>
      </c>
      <c r="J380" s="84"/>
      <c r="K380" s="84"/>
      <c r="L380" s="84"/>
      <c r="M380" s="84"/>
      <c r="N380" s="84">
        <v>0.0</v>
      </c>
      <c r="O380" s="84">
        <v>0.0</v>
      </c>
      <c r="P380" s="84">
        <v>0.0</v>
      </c>
      <c r="Q380" s="84"/>
      <c r="R380" s="84"/>
      <c r="S380" s="84"/>
      <c r="T380" s="84"/>
      <c r="U380" s="84">
        <v>237.0</v>
      </c>
      <c r="V380" s="84"/>
      <c r="W380" s="84"/>
      <c r="X380" s="84">
        <v>0.0</v>
      </c>
      <c r="Y380" s="84"/>
      <c r="Z380" s="84"/>
      <c r="AA380" s="84"/>
      <c r="AB380" s="84"/>
      <c r="AC380" s="84"/>
      <c r="AD380" s="84"/>
      <c r="AE380" s="84"/>
      <c r="AF380" s="84"/>
      <c r="AG380" s="84"/>
      <c r="AH380" s="84">
        <v>1.0</v>
      </c>
      <c r="AI380" s="84">
        <v>0.0</v>
      </c>
      <c r="AJ380" s="84">
        <v>0.0</v>
      </c>
      <c r="AK380" s="84">
        <v>1.0</v>
      </c>
      <c r="AL380" s="84">
        <v>0.0</v>
      </c>
      <c r="AM380" s="84">
        <v>0.0</v>
      </c>
      <c r="AN380" s="84">
        <v>1.0</v>
      </c>
      <c r="AO380" s="84">
        <v>0.0</v>
      </c>
      <c r="AP380" s="84">
        <v>0.0</v>
      </c>
      <c r="AQ380" s="84">
        <v>0.0</v>
      </c>
      <c r="AR380" s="84">
        <v>0.0</v>
      </c>
      <c r="AS380" s="84">
        <v>0.0</v>
      </c>
      <c r="AT380" s="84">
        <v>0.0</v>
      </c>
      <c r="AU380" s="84">
        <v>0.0</v>
      </c>
      <c r="AV380" s="84">
        <v>0.0</v>
      </c>
      <c r="AW380" s="84">
        <v>0.0</v>
      </c>
      <c r="AX380" s="84">
        <v>0.0</v>
      </c>
      <c r="AY380" s="84">
        <v>1.0</v>
      </c>
      <c r="AZ380" s="84">
        <v>0.0</v>
      </c>
      <c r="BH380" s="84">
        <v>397.0</v>
      </c>
      <c r="BI380" s="84" t="s">
        <v>5689</v>
      </c>
    </row>
    <row r="381" ht="12.75" customHeight="1">
      <c r="A381" s="84">
        <v>379.0</v>
      </c>
      <c r="B381" s="84" t="s">
        <v>4060</v>
      </c>
      <c r="C381" s="84">
        <v>1.0</v>
      </c>
      <c r="D381" s="84" t="s">
        <v>2659</v>
      </c>
      <c r="E381" s="84">
        <v>13.0</v>
      </c>
      <c r="F381" s="84" t="s">
        <v>5131</v>
      </c>
      <c r="G381" s="84">
        <v>0.0</v>
      </c>
      <c r="H381" s="84">
        <v>101.0</v>
      </c>
      <c r="I381" s="84">
        <v>10.0</v>
      </c>
      <c r="N381" s="84">
        <v>0.0</v>
      </c>
      <c r="O381" s="84">
        <v>0.0</v>
      </c>
      <c r="P381" s="84">
        <v>0.0</v>
      </c>
      <c r="U381" s="84">
        <v>238.0</v>
      </c>
      <c r="X381" s="84">
        <v>7.0</v>
      </c>
      <c r="AH381" s="84">
        <v>0.0</v>
      </c>
      <c r="AI381" s="84">
        <v>0.0</v>
      </c>
      <c r="AJ381" s="84">
        <v>0.0</v>
      </c>
      <c r="AK381" s="84">
        <v>0.0</v>
      </c>
      <c r="AL381" s="84">
        <v>0.0</v>
      </c>
      <c r="AM381" s="84">
        <v>1.0</v>
      </c>
      <c r="AN381" s="84">
        <v>0.0</v>
      </c>
      <c r="AO381" s="84">
        <v>0.0</v>
      </c>
      <c r="AP381" s="84">
        <v>0.0</v>
      </c>
      <c r="AQ381" s="84">
        <v>0.0</v>
      </c>
      <c r="AR381" s="84">
        <v>0.0</v>
      </c>
      <c r="AS381" s="84">
        <v>0.0</v>
      </c>
      <c r="AT381" s="84">
        <v>0.0</v>
      </c>
      <c r="AU381" s="84">
        <v>0.0</v>
      </c>
      <c r="AV381" s="84">
        <v>0.0</v>
      </c>
      <c r="AW381" s="84">
        <v>0.0</v>
      </c>
      <c r="AX381" s="84">
        <v>0.0</v>
      </c>
      <c r="AY381" s="84">
        <v>1.0</v>
      </c>
      <c r="AZ381" s="84">
        <v>2.0</v>
      </c>
      <c r="BH381" s="84">
        <v>398.0</v>
      </c>
      <c r="BI381" s="84" t="s">
        <v>5690</v>
      </c>
    </row>
    <row r="382" ht="12.75" customHeight="1">
      <c r="A382" s="84">
        <v>380.0</v>
      </c>
      <c r="B382" s="84" t="s">
        <v>5691</v>
      </c>
      <c r="C382" s="84">
        <v>1.0</v>
      </c>
      <c r="D382" s="84" t="s">
        <v>4905</v>
      </c>
      <c r="E382" s="84">
        <v>13.0</v>
      </c>
      <c r="F382" s="84" t="s">
        <v>5131</v>
      </c>
      <c r="G382" s="84">
        <v>0.0</v>
      </c>
      <c r="H382" s="84">
        <v>100.0</v>
      </c>
      <c r="I382" s="84">
        <v>10.0</v>
      </c>
      <c r="N382" s="84">
        <v>0.0</v>
      </c>
      <c r="O382" s="84">
        <v>0.0</v>
      </c>
      <c r="P382" s="84">
        <v>0.0</v>
      </c>
      <c r="U382" s="84">
        <v>239.0</v>
      </c>
      <c r="X382" s="84">
        <v>0.0</v>
      </c>
      <c r="AH382" s="84">
        <v>0.0</v>
      </c>
      <c r="AI382" s="84">
        <v>0.0</v>
      </c>
      <c r="AJ382" s="84">
        <v>0.0</v>
      </c>
      <c r="AK382" s="84">
        <v>1.0</v>
      </c>
      <c r="AL382" s="84">
        <v>1.0</v>
      </c>
      <c r="AM382" s="84">
        <v>0.0</v>
      </c>
      <c r="AN382" s="84">
        <v>1.0</v>
      </c>
      <c r="AO382" s="84">
        <v>0.0</v>
      </c>
      <c r="AP382" s="84">
        <v>0.0</v>
      </c>
      <c r="AQ382" s="84">
        <v>0.0</v>
      </c>
      <c r="AR382" s="84">
        <v>0.0</v>
      </c>
      <c r="AS382" s="84">
        <v>0.0</v>
      </c>
      <c r="AT382" s="84">
        <v>0.0</v>
      </c>
      <c r="AU382" s="84">
        <v>0.0</v>
      </c>
      <c r="AV382" s="84">
        <v>0.0</v>
      </c>
      <c r="AW382" s="84">
        <v>1.0</v>
      </c>
      <c r="AX382" s="84">
        <v>0.0</v>
      </c>
      <c r="AY382" s="84">
        <v>1.0</v>
      </c>
      <c r="AZ382" s="84">
        <v>1.0</v>
      </c>
      <c r="BH382" s="84">
        <v>399.0</v>
      </c>
      <c r="BI382" s="84" t="s">
        <v>5692</v>
      </c>
    </row>
    <row r="383" ht="12.75" customHeight="1">
      <c r="A383" s="84">
        <v>381.0</v>
      </c>
      <c r="B383" s="84" t="s">
        <v>5693</v>
      </c>
      <c r="C383" s="84">
        <v>0.0</v>
      </c>
      <c r="D383" s="84" t="s">
        <v>4916</v>
      </c>
      <c r="E383" s="84">
        <v>11.0</v>
      </c>
      <c r="F383" s="84" t="s">
        <v>5131</v>
      </c>
      <c r="G383" s="84">
        <v>0.0</v>
      </c>
      <c r="H383" s="84">
        <v>101.0</v>
      </c>
      <c r="I383" s="84">
        <v>30.0</v>
      </c>
      <c r="J383" s="84"/>
      <c r="K383" s="84"/>
      <c r="L383" s="84"/>
      <c r="M383" s="84"/>
      <c r="N383" s="84">
        <v>0.0</v>
      </c>
      <c r="O383" s="84">
        <v>0.0</v>
      </c>
      <c r="P383" s="84">
        <v>0.0</v>
      </c>
      <c r="Q383" s="84"/>
      <c r="R383" s="84"/>
      <c r="S383" s="84"/>
      <c r="T383" s="84"/>
      <c r="U383" s="84">
        <v>240.0</v>
      </c>
      <c r="V383" s="84"/>
      <c r="W383" s="84"/>
      <c r="X383" s="84">
        <v>12.0</v>
      </c>
      <c r="Y383" s="84"/>
      <c r="Z383" s="84"/>
      <c r="AA383" s="84"/>
      <c r="AB383" s="84"/>
      <c r="AC383" s="84"/>
      <c r="AD383" s="84"/>
      <c r="AE383" s="84"/>
      <c r="AF383" s="84"/>
      <c r="AG383" s="84"/>
      <c r="AH383" s="84">
        <v>0.0</v>
      </c>
      <c r="AI383" s="84">
        <v>0.0</v>
      </c>
      <c r="AJ383" s="84">
        <v>0.0</v>
      </c>
      <c r="AK383" s="84">
        <v>0.0</v>
      </c>
      <c r="AL383" s="84">
        <v>0.0</v>
      </c>
      <c r="AM383" s="84">
        <v>1.0</v>
      </c>
      <c r="AN383" s="84">
        <v>0.0</v>
      </c>
      <c r="AO383" s="84">
        <v>0.0</v>
      </c>
      <c r="AP383" s="84">
        <v>0.0</v>
      </c>
      <c r="AQ383" s="84">
        <v>0.0</v>
      </c>
      <c r="AR383" s="84">
        <v>0.0</v>
      </c>
      <c r="AS383" s="84">
        <v>0.0</v>
      </c>
      <c r="AT383" s="84">
        <v>0.0</v>
      </c>
      <c r="AU383" s="84">
        <v>0.0</v>
      </c>
      <c r="AV383" s="84">
        <v>0.0</v>
      </c>
      <c r="AW383" s="84">
        <v>0.0</v>
      </c>
      <c r="AX383" s="84">
        <v>0.0</v>
      </c>
      <c r="AY383" s="84">
        <v>1.0</v>
      </c>
      <c r="AZ383" s="84">
        <v>0.0</v>
      </c>
      <c r="BH383" s="84">
        <v>400.0</v>
      </c>
      <c r="BI383" s="84" t="s">
        <v>5694</v>
      </c>
    </row>
    <row r="384" ht="12.75" customHeight="1">
      <c r="A384" s="84">
        <v>382.0</v>
      </c>
      <c r="B384" s="84" t="s">
        <v>5695</v>
      </c>
      <c r="C384" s="84">
        <v>0.0</v>
      </c>
      <c r="D384" s="84" t="s">
        <v>4916</v>
      </c>
      <c r="E384" s="84">
        <v>0.0</v>
      </c>
      <c r="F384" s="84" t="s">
        <v>5131</v>
      </c>
      <c r="G384" s="84">
        <v>1.0</v>
      </c>
      <c r="H384" s="84">
        <v>101.0</v>
      </c>
      <c r="I384" s="84">
        <v>20.0</v>
      </c>
      <c r="J384" s="84"/>
      <c r="K384" s="84"/>
      <c r="L384" s="84"/>
      <c r="M384" s="84"/>
      <c r="N384" s="84">
        <v>0.0</v>
      </c>
      <c r="O384" s="84">
        <v>0.0</v>
      </c>
      <c r="P384" s="84">
        <v>0.0</v>
      </c>
      <c r="Q384" s="84"/>
      <c r="R384" s="84"/>
      <c r="S384" s="84"/>
      <c r="T384" s="84"/>
      <c r="U384" s="84">
        <v>241.0</v>
      </c>
      <c r="V384" s="84"/>
      <c r="W384" s="84"/>
      <c r="X384" s="84">
        <v>3.0</v>
      </c>
      <c r="Y384" s="84"/>
      <c r="Z384" s="84"/>
      <c r="AA384" s="84"/>
      <c r="AB384" s="84"/>
      <c r="AC384" s="84"/>
      <c r="AD384" s="84"/>
      <c r="AE384" s="84"/>
      <c r="AF384" s="84"/>
      <c r="AG384" s="84"/>
      <c r="AH384" s="84">
        <v>0.0</v>
      </c>
      <c r="AI384" s="84">
        <v>0.0</v>
      </c>
      <c r="AJ384" s="84">
        <v>0.0</v>
      </c>
      <c r="AK384" s="84">
        <v>1.0</v>
      </c>
      <c r="AL384" s="84">
        <v>0.0</v>
      </c>
      <c r="AM384" s="84">
        <v>0.0</v>
      </c>
      <c r="AN384" s="84">
        <v>0.0</v>
      </c>
      <c r="AO384" s="84">
        <v>0.0</v>
      </c>
      <c r="AP384" s="84">
        <v>0.0</v>
      </c>
      <c r="AQ384" s="84">
        <v>0.0</v>
      </c>
      <c r="AR384" s="84">
        <v>0.0</v>
      </c>
      <c r="AS384" s="84">
        <v>0.0</v>
      </c>
      <c r="AT384" s="84">
        <v>0.0</v>
      </c>
      <c r="AU384" s="84">
        <v>1.0</v>
      </c>
      <c r="AV384" s="84">
        <v>0.0</v>
      </c>
      <c r="AW384" s="84">
        <v>0.0</v>
      </c>
      <c r="AX384" s="84">
        <v>0.0</v>
      </c>
      <c r="AY384" s="84">
        <v>0.0</v>
      </c>
      <c r="AZ384" s="84">
        <v>0.0</v>
      </c>
      <c r="BH384" s="84">
        <v>401.0</v>
      </c>
      <c r="BI384" s="84" t="s">
        <v>5696</v>
      </c>
    </row>
    <row r="385" ht="12.75" customHeight="1">
      <c r="A385" s="84">
        <v>383.0</v>
      </c>
      <c r="B385" s="84" t="s">
        <v>2719</v>
      </c>
      <c r="C385" s="84">
        <v>1.0</v>
      </c>
      <c r="D385" s="84" t="s">
        <v>4916</v>
      </c>
      <c r="E385" s="84">
        <v>13.0</v>
      </c>
      <c r="F385" s="84" t="s">
        <v>5131</v>
      </c>
      <c r="G385" s="84">
        <v>0.0</v>
      </c>
      <c r="H385" s="84">
        <v>101.0</v>
      </c>
      <c r="I385" s="84">
        <v>20.0</v>
      </c>
      <c r="N385" s="84">
        <v>0.0</v>
      </c>
      <c r="O385" s="84">
        <v>0.0</v>
      </c>
      <c r="P385" s="84">
        <v>0.0</v>
      </c>
      <c r="U385" s="84">
        <v>242.0</v>
      </c>
      <c r="X385" s="84">
        <v>7.0</v>
      </c>
      <c r="AH385" s="84">
        <v>0.0</v>
      </c>
      <c r="AI385" s="84">
        <v>0.0</v>
      </c>
      <c r="AJ385" s="84">
        <v>0.0</v>
      </c>
      <c r="AK385" s="84">
        <v>0.0</v>
      </c>
      <c r="AL385" s="84">
        <v>0.0</v>
      </c>
      <c r="AM385" s="84">
        <v>0.0</v>
      </c>
      <c r="AN385" s="84">
        <v>0.0</v>
      </c>
      <c r="AO385" s="84">
        <v>0.0</v>
      </c>
      <c r="AP385" s="84">
        <v>0.0</v>
      </c>
      <c r="AQ385" s="84">
        <v>0.0</v>
      </c>
      <c r="AR385" s="84">
        <v>0.0</v>
      </c>
      <c r="AS385" s="84">
        <v>0.0</v>
      </c>
      <c r="AT385" s="84">
        <v>0.0</v>
      </c>
      <c r="AU385" s="84">
        <v>0.0</v>
      </c>
      <c r="AV385" s="84">
        <v>0.0</v>
      </c>
      <c r="AW385" s="84">
        <v>0.0</v>
      </c>
      <c r="AX385" s="84">
        <v>0.0</v>
      </c>
      <c r="AY385" s="84">
        <v>0.0</v>
      </c>
      <c r="AZ385" s="84">
        <v>1.0</v>
      </c>
      <c r="BH385" s="84">
        <v>402.0</v>
      </c>
      <c r="BI385" s="84" t="s">
        <v>5697</v>
      </c>
    </row>
    <row r="386" ht="12.75" customHeight="1">
      <c r="A386" s="84">
        <v>384.0</v>
      </c>
      <c r="B386" s="84" t="s">
        <v>5698</v>
      </c>
      <c r="C386" s="84">
        <v>1.0</v>
      </c>
      <c r="D386" s="84" t="s">
        <v>2659</v>
      </c>
      <c r="E386" s="84">
        <v>13.0</v>
      </c>
      <c r="F386" s="84" t="s">
        <v>5131</v>
      </c>
      <c r="G386" s="84">
        <v>0.0</v>
      </c>
      <c r="H386" s="84">
        <v>101.0</v>
      </c>
      <c r="I386" s="84">
        <v>10.0</v>
      </c>
      <c r="N386" s="84">
        <v>0.0</v>
      </c>
      <c r="O386" s="84">
        <v>0.0</v>
      </c>
      <c r="P386" s="84">
        <v>0.0</v>
      </c>
      <c r="U386" s="84">
        <v>243.0</v>
      </c>
      <c r="X386" s="84">
        <v>0.0</v>
      </c>
      <c r="AH386" s="84">
        <v>0.0</v>
      </c>
      <c r="AI386" s="84">
        <v>0.0</v>
      </c>
      <c r="AJ386" s="84">
        <v>0.0</v>
      </c>
      <c r="AK386" s="84">
        <v>1.0</v>
      </c>
      <c r="AL386" s="84">
        <v>0.0</v>
      </c>
      <c r="AM386" s="84">
        <v>0.0</v>
      </c>
      <c r="AN386" s="84">
        <v>1.0</v>
      </c>
      <c r="AO386" s="84">
        <v>0.0</v>
      </c>
      <c r="AP386" s="84">
        <v>0.0</v>
      </c>
      <c r="AQ386" s="84">
        <v>0.0</v>
      </c>
      <c r="AR386" s="84">
        <v>0.0</v>
      </c>
      <c r="AS386" s="84">
        <v>0.0</v>
      </c>
      <c r="AT386" s="84">
        <v>0.0</v>
      </c>
      <c r="AU386" s="84">
        <v>1.0</v>
      </c>
      <c r="AV386" s="84">
        <v>0.0</v>
      </c>
      <c r="AW386" s="84">
        <v>1.0</v>
      </c>
      <c r="AX386" s="84">
        <v>0.0</v>
      </c>
      <c r="AY386" s="84">
        <v>1.0</v>
      </c>
      <c r="AZ386" s="84">
        <v>2.0</v>
      </c>
      <c r="BH386" s="84">
        <v>403.0</v>
      </c>
      <c r="BI386" s="84" t="s">
        <v>5699</v>
      </c>
    </row>
    <row r="387" ht="12.75" customHeight="1">
      <c r="A387" s="84">
        <v>385.0</v>
      </c>
      <c r="B387" s="84" t="s">
        <v>5700</v>
      </c>
      <c r="C387" s="84">
        <v>1.0</v>
      </c>
      <c r="D387" s="84" t="s">
        <v>2659</v>
      </c>
      <c r="E387" s="84">
        <v>13.0</v>
      </c>
      <c r="F387" s="84" t="s">
        <v>5131</v>
      </c>
      <c r="G387" s="84">
        <v>0.0</v>
      </c>
      <c r="H387" s="84">
        <v>101.0</v>
      </c>
      <c r="I387" s="84">
        <v>10.0</v>
      </c>
      <c r="N387" s="84">
        <v>0.0</v>
      </c>
      <c r="O387" s="84">
        <v>0.0</v>
      </c>
      <c r="P387" s="84">
        <v>0.0</v>
      </c>
      <c r="U387" s="84">
        <v>244.0</v>
      </c>
      <c r="X387" s="84">
        <v>0.0</v>
      </c>
      <c r="AH387" s="84">
        <v>0.0</v>
      </c>
      <c r="AI387" s="84">
        <v>0.0</v>
      </c>
      <c r="AJ387" s="84">
        <v>0.0</v>
      </c>
      <c r="AK387" s="84">
        <v>1.0</v>
      </c>
      <c r="AL387" s="84">
        <v>0.0</v>
      </c>
      <c r="AM387" s="84">
        <v>0.0</v>
      </c>
      <c r="AN387" s="84">
        <v>1.0</v>
      </c>
      <c r="AO387" s="84">
        <v>0.0</v>
      </c>
      <c r="AP387" s="84">
        <v>0.0</v>
      </c>
      <c r="AQ387" s="84">
        <v>0.0</v>
      </c>
      <c r="AR387" s="84">
        <v>0.0</v>
      </c>
      <c r="AS387" s="84">
        <v>0.0</v>
      </c>
      <c r="AT387" s="84">
        <v>0.0</v>
      </c>
      <c r="AU387" s="84">
        <v>1.0</v>
      </c>
      <c r="AV387" s="84">
        <v>0.0</v>
      </c>
      <c r="AW387" s="84">
        <v>1.0</v>
      </c>
      <c r="AX387" s="84">
        <v>0.0</v>
      </c>
      <c r="AY387" s="84">
        <v>1.0</v>
      </c>
      <c r="AZ387" s="84">
        <v>2.0</v>
      </c>
      <c r="BH387" s="84">
        <v>404.0</v>
      </c>
      <c r="BI387" s="84" t="s">
        <v>5701</v>
      </c>
    </row>
    <row r="388" ht="12.75" customHeight="1">
      <c r="A388" s="84">
        <v>386.0</v>
      </c>
      <c r="B388" s="84" t="s">
        <v>5702</v>
      </c>
      <c r="C388" s="84">
        <v>0.0</v>
      </c>
      <c r="D388" s="84" t="s">
        <v>4972</v>
      </c>
      <c r="E388" s="84">
        <v>0.0</v>
      </c>
      <c r="F388" s="84" t="s">
        <v>5135</v>
      </c>
      <c r="G388" s="84">
        <v>1.0</v>
      </c>
      <c r="H388" s="84">
        <v>100.0</v>
      </c>
      <c r="I388" s="84">
        <v>5.0</v>
      </c>
      <c r="J388" s="84"/>
      <c r="K388" s="84"/>
      <c r="L388" s="84"/>
      <c r="M388" s="84"/>
      <c r="N388" s="84">
        <v>0.0</v>
      </c>
      <c r="O388" s="84">
        <v>0.0</v>
      </c>
      <c r="P388" s="84">
        <v>0.0</v>
      </c>
      <c r="Q388" s="84"/>
      <c r="R388" s="84"/>
      <c r="S388" s="84"/>
      <c r="T388" s="84"/>
      <c r="U388" s="84">
        <v>245.0</v>
      </c>
      <c r="V388" s="84"/>
      <c r="W388" s="84"/>
      <c r="X388" s="84">
        <v>0.0</v>
      </c>
      <c r="Y388" s="84"/>
      <c r="Z388" s="84"/>
      <c r="AA388" s="84"/>
      <c r="AB388" s="84"/>
      <c r="AC388" s="84"/>
      <c r="AD388" s="84"/>
      <c r="AE388" s="84"/>
      <c r="AF388" s="84"/>
      <c r="AG388" s="84"/>
      <c r="AH388" s="84">
        <v>1.0</v>
      </c>
      <c r="AI388" s="84">
        <v>0.0</v>
      </c>
      <c r="AJ388" s="84">
        <v>0.0</v>
      </c>
      <c r="AK388" s="84">
        <v>1.0</v>
      </c>
      <c r="AL388" s="84">
        <v>0.0</v>
      </c>
      <c r="AM388" s="84">
        <v>0.0</v>
      </c>
      <c r="AN388" s="84">
        <v>1.0</v>
      </c>
      <c r="AO388" s="84">
        <v>0.0</v>
      </c>
      <c r="AP388" s="84">
        <v>0.0</v>
      </c>
      <c r="AQ388" s="84">
        <v>0.0</v>
      </c>
      <c r="AR388" s="84">
        <v>0.0</v>
      </c>
      <c r="AS388" s="84">
        <v>0.0</v>
      </c>
      <c r="AT388" s="84">
        <v>0.0</v>
      </c>
      <c r="AU388" s="84">
        <v>0.0</v>
      </c>
      <c r="AV388" s="84">
        <v>0.0</v>
      </c>
      <c r="AW388" s="84">
        <v>0.0</v>
      </c>
      <c r="AX388" s="84">
        <v>0.0</v>
      </c>
      <c r="AY388" s="84">
        <v>1.0</v>
      </c>
      <c r="AZ388" s="84">
        <v>0.0</v>
      </c>
      <c r="BH388" s="84">
        <v>405.0</v>
      </c>
      <c r="BI388" s="84" t="s">
        <v>5703</v>
      </c>
    </row>
    <row r="389" ht="12.75" customHeight="1">
      <c r="A389" s="84">
        <v>387.0</v>
      </c>
      <c r="B389" s="84" t="s">
        <v>3874</v>
      </c>
      <c r="C389" s="84">
        <v>1.0</v>
      </c>
      <c r="D389" s="84" t="s">
        <v>4916</v>
      </c>
      <c r="E389" s="84">
        <v>0.0</v>
      </c>
      <c r="F389" s="84" t="s">
        <v>5135</v>
      </c>
      <c r="G389" s="84">
        <v>140.0</v>
      </c>
      <c r="H389" s="84">
        <v>100.0</v>
      </c>
      <c r="I389" s="84">
        <v>5.0</v>
      </c>
      <c r="N389" s="84">
        <v>0.0</v>
      </c>
      <c r="O389" s="84">
        <v>0.0</v>
      </c>
      <c r="P389" s="84">
        <v>0.0</v>
      </c>
      <c r="U389" s="84">
        <v>246.0</v>
      </c>
      <c r="X389" s="84">
        <v>0.0</v>
      </c>
      <c r="AH389" s="84">
        <v>1.0</v>
      </c>
      <c r="AI389" s="84">
        <v>0.0</v>
      </c>
      <c r="AJ389" s="84">
        <v>0.0</v>
      </c>
      <c r="AK389" s="84">
        <v>1.0</v>
      </c>
      <c r="AL389" s="84">
        <v>0.0</v>
      </c>
      <c r="AM389" s="84">
        <v>0.0</v>
      </c>
      <c r="AN389" s="84">
        <v>1.0</v>
      </c>
      <c r="AO389" s="84">
        <v>0.0</v>
      </c>
      <c r="AP389" s="84">
        <v>0.0</v>
      </c>
      <c r="AQ389" s="84">
        <v>0.0</v>
      </c>
      <c r="AR389" s="84">
        <v>0.0</v>
      </c>
      <c r="AS389" s="84">
        <v>0.0</v>
      </c>
      <c r="AT389" s="84">
        <v>0.0</v>
      </c>
      <c r="AU389" s="84">
        <v>0.0</v>
      </c>
      <c r="AV389" s="84">
        <v>0.0</v>
      </c>
      <c r="AW389" s="84">
        <v>0.0</v>
      </c>
      <c r="AX389" s="84">
        <v>0.0</v>
      </c>
      <c r="AY389" s="84">
        <v>1.0</v>
      </c>
      <c r="AZ389" s="84">
        <v>43.0</v>
      </c>
      <c r="BH389" s="84">
        <v>406.0</v>
      </c>
      <c r="BI389" s="84" t="s">
        <v>5704</v>
      </c>
    </row>
    <row r="390" ht="12.75" customHeight="1">
      <c r="A390" s="84">
        <v>388.0</v>
      </c>
      <c r="B390" s="84" t="s">
        <v>2706</v>
      </c>
      <c r="C390" s="84">
        <v>1.0</v>
      </c>
      <c r="D390" s="84" t="s">
        <v>4904</v>
      </c>
      <c r="E390" s="84">
        <v>13.0</v>
      </c>
      <c r="F390" s="84" t="s">
        <v>5131</v>
      </c>
      <c r="G390" s="84">
        <v>0.0</v>
      </c>
      <c r="H390" s="84">
        <v>100.0</v>
      </c>
      <c r="I390" s="84">
        <v>10.0</v>
      </c>
      <c r="N390" s="84">
        <v>0.0</v>
      </c>
      <c r="O390" s="84">
        <v>0.0</v>
      </c>
      <c r="P390" s="84">
        <v>0.0</v>
      </c>
      <c r="U390" s="84">
        <v>247.0</v>
      </c>
      <c r="X390" s="84">
        <v>0.0</v>
      </c>
      <c r="AH390" s="84">
        <v>0.0</v>
      </c>
      <c r="AI390" s="84">
        <v>0.0</v>
      </c>
      <c r="AJ390" s="84">
        <v>0.0</v>
      </c>
      <c r="AK390" s="84">
        <v>1.0</v>
      </c>
      <c r="AL390" s="84">
        <v>1.0</v>
      </c>
      <c r="AM390" s="84">
        <v>0.0</v>
      </c>
      <c r="AN390" s="84">
        <v>1.0</v>
      </c>
      <c r="AO390" s="84">
        <v>0.0</v>
      </c>
      <c r="AP390" s="84">
        <v>0.0</v>
      </c>
      <c r="AQ390" s="84">
        <v>0.0</v>
      </c>
      <c r="AR390" s="84">
        <v>0.0</v>
      </c>
      <c r="AS390" s="84">
        <v>0.0</v>
      </c>
      <c r="AT390" s="84">
        <v>0.0</v>
      </c>
      <c r="AU390" s="84">
        <v>0.0</v>
      </c>
      <c r="AV390" s="84">
        <v>0.0</v>
      </c>
      <c r="AW390" s="84">
        <v>1.0</v>
      </c>
      <c r="AX390" s="84">
        <v>0.0</v>
      </c>
      <c r="AY390" s="84">
        <v>1.0</v>
      </c>
      <c r="AZ390" s="84">
        <v>1.0</v>
      </c>
      <c r="BH390" s="84">
        <v>407.0</v>
      </c>
      <c r="BI390" s="84" t="s">
        <v>5705</v>
      </c>
    </row>
    <row r="391" ht="12.75" customHeight="1">
      <c r="A391" s="84">
        <v>389.0</v>
      </c>
      <c r="B391" s="84" t="s">
        <v>3554</v>
      </c>
      <c r="C391" s="84">
        <v>1.0</v>
      </c>
      <c r="D391" s="84" t="s">
        <v>4972</v>
      </c>
      <c r="E391" s="84">
        <v>0.0</v>
      </c>
      <c r="F391" s="84" t="s">
        <v>5135</v>
      </c>
      <c r="G391" s="84">
        <v>70.0</v>
      </c>
      <c r="H391" s="84">
        <v>100.0</v>
      </c>
      <c r="I391" s="84">
        <v>5.0</v>
      </c>
      <c r="J391" s="84">
        <v>1.0</v>
      </c>
      <c r="N391" s="84">
        <v>0.0</v>
      </c>
      <c r="O391" s="84">
        <v>0.0</v>
      </c>
      <c r="P391" s="84">
        <v>0.0</v>
      </c>
      <c r="U391" s="84">
        <v>248.0</v>
      </c>
      <c r="X391" s="84">
        <v>0.0</v>
      </c>
      <c r="AH391" s="84">
        <v>1.0</v>
      </c>
      <c r="AI391" s="84">
        <v>0.0</v>
      </c>
      <c r="AJ391" s="84">
        <v>0.0</v>
      </c>
      <c r="AK391" s="84">
        <v>1.0</v>
      </c>
      <c r="AL391" s="84">
        <v>0.0</v>
      </c>
      <c r="AM391" s="84">
        <v>0.0</v>
      </c>
      <c r="AN391" s="84">
        <v>1.0</v>
      </c>
      <c r="AO391" s="84">
        <v>0.0</v>
      </c>
      <c r="AP391" s="84">
        <v>0.0</v>
      </c>
      <c r="AQ391" s="84">
        <v>0.0</v>
      </c>
      <c r="AR391" s="84">
        <v>0.0</v>
      </c>
      <c r="AS391" s="84">
        <v>0.0</v>
      </c>
      <c r="AT391" s="84">
        <v>0.0</v>
      </c>
      <c r="AU391" s="84">
        <v>0.0</v>
      </c>
      <c r="AV391" s="84">
        <v>0.0</v>
      </c>
      <c r="AW391" s="84">
        <v>0.0</v>
      </c>
      <c r="AX391" s="84">
        <v>0.0</v>
      </c>
      <c r="AY391" s="84">
        <v>1.0</v>
      </c>
      <c r="AZ391" s="84">
        <v>38.0</v>
      </c>
      <c r="BH391" s="84">
        <v>408.0</v>
      </c>
      <c r="BI391" s="84" t="s">
        <v>5706</v>
      </c>
    </row>
    <row r="392" ht="12.75" customHeight="1">
      <c r="A392" s="84">
        <v>390.0</v>
      </c>
      <c r="B392" s="84" t="s">
        <v>3039</v>
      </c>
      <c r="C392" s="84">
        <v>1.0</v>
      </c>
      <c r="D392" s="84" t="s">
        <v>4905</v>
      </c>
      <c r="E392" s="84">
        <v>11.0</v>
      </c>
      <c r="F392" s="84" t="s">
        <v>5131</v>
      </c>
      <c r="G392" s="84">
        <v>0.0</v>
      </c>
      <c r="H392" s="84">
        <v>101.0</v>
      </c>
      <c r="I392" s="84">
        <v>20.0</v>
      </c>
      <c r="N392" s="84">
        <v>0.0</v>
      </c>
      <c r="O392" s="84">
        <v>0.0</v>
      </c>
      <c r="P392" s="84">
        <v>0.0</v>
      </c>
      <c r="U392" s="84">
        <v>249.0</v>
      </c>
      <c r="X392" s="84">
        <v>11.0</v>
      </c>
      <c r="AH392" s="84">
        <v>0.0</v>
      </c>
      <c r="AI392" s="84">
        <v>0.0</v>
      </c>
      <c r="AJ392" s="84">
        <v>0.0</v>
      </c>
      <c r="AK392" s="84">
        <v>0.0</v>
      </c>
      <c r="AL392" s="84">
        <v>1.0</v>
      </c>
      <c r="AM392" s="84">
        <v>0.0</v>
      </c>
      <c r="AN392" s="84">
        <v>0.0</v>
      </c>
      <c r="AO392" s="84">
        <v>0.0</v>
      </c>
      <c r="AP392" s="84">
        <v>0.0</v>
      </c>
      <c r="AQ392" s="84">
        <v>0.0</v>
      </c>
      <c r="AR392" s="84">
        <v>0.0</v>
      </c>
      <c r="AS392" s="84">
        <v>0.0</v>
      </c>
      <c r="AT392" s="84">
        <v>0.0</v>
      </c>
      <c r="AU392" s="84">
        <v>0.0</v>
      </c>
      <c r="AV392" s="84">
        <v>1.0</v>
      </c>
      <c r="AW392" s="84">
        <v>0.0</v>
      </c>
      <c r="AX392" s="84">
        <v>0.0</v>
      </c>
      <c r="AY392" s="84">
        <v>1.0</v>
      </c>
      <c r="AZ392" s="84">
        <v>14.0</v>
      </c>
      <c r="BH392" s="84">
        <v>409.0</v>
      </c>
      <c r="BI392" s="84" t="s">
        <v>5707</v>
      </c>
    </row>
    <row r="393" ht="12.75" customHeight="1">
      <c r="A393" s="84">
        <v>391.0</v>
      </c>
      <c r="B393" s="84" t="s">
        <v>5708</v>
      </c>
      <c r="C393" s="84">
        <v>1.0</v>
      </c>
      <c r="D393" s="84" t="s">
        <v>2659</v>
      </c>
      <c r="E393" s="84">
        <v>13.0</v>
      </c>
      <c r="F393" s="84" t="s">
        <v>5131</v>
      </c>
      <c r="G393" s="84">
        <v>0.0</v>
      </c>
      <c r="H393" s="84">
        <v>101.0</v>
      </c>
      <c r="I393" s="84">
        <v>10.0</v>
      </c>
      <c r="N393" s="84">
        <v>0.0</v>
      </c>
      <c r="O393" s="84">
        <v>0.0</v>
      </c>
      <c r="P393" s="84">
        <v>0.0</v>
      </c>
      <c r="U393" s="84">
        <v>250.0</v>
      </c>
      <c r="X393" s="84">
        <v>0.0</v>
      </c>
      <c r="AH393" s="84">
        <v>0.0</v>
      </c>
      <c r="AI393" s="84">
        <v>0.0</v>
      </c>
      <c r="AJ393" s="84">
        <v>0.0</v>
      </c>
      <c r="AK393" s="84">
        <v>1.0</v>
      </c>
      <c r="AL393" s="84">
        <v>0.0</v>
      </c>
      <c r="AM393" s="84">
        <v>0.0</v>
      </c>
      <c r="AN393" s="84">
        <v>1.0</v>
      </c>
      <c r="AO393" s="84">
        <v>0.0</v>
      </c>
      <c r="AP393" s="84">
        <v>0.0</v>
      </c>
      <c r="AQ393" s="84">
        <v>0.0</v>
      </c>
      <c r="AR393" s="84">
        <v>0.0</v>
      </c>
      <c r="AS393" s="84">
        <v>0.0</v>
      </c>
      <c r="AT393" s="84">
        <v>0.0</v>
      </c>
      <c r="AU393" s="84">
        <v>1.0</v>
      </c>
      <c r="AV393" s="84">
        <v>0.0</v>
      </c>
      <c r="AW393" s="84">
        <v>1.0</v>
      </c>
      <c r="AX393" s="84">
        <v>0.0</v>
      </c>
      <c r="AY393" s="84">
        <v>1.0</v>
      </c>
      <c r="AZ393" s="84">
        <v>11.0</v>
      </c>
      <c r="BH393" s="84">
        <v>410.0</v>
      </c>
      <c r="BI393" s="84" t="s">
        <v>5709</v>
      </c>
    </row>
    <row r="394" ht="12.75" customHeight="1">
      <c r="A394" s="84">
        <v>392.0</v>
      </c>
      <c r="B394" s="84" t="s">
        <v>3043</v>
      </c>
      <c r="C394" s="84">
        <v>1.0</v>
      </c>
      <c r="D394" s="84" t="s">
        <v>4908</v>
      </c>
      <c r="E394" s="84">
        <v>13.0</v>
      </c>
      <c r="F394" s="84" t="s">
        <v>5131</v>
      </c>
      <c r="G394" s="84">
        <v>0.0</v>
      </c>
      <c r="H394" s="84">
        <v>101.0</v>
      </c>
      <c r="I394" s="84">
        <v>20.0</v>
      </c>
      <c r="N394" s="84">
        <v>0.0</v>
      </c>
      <c r="O394" s="84">
        <v>0.0</v>
      </c>
      <c r="P394" s="84">
        <v>0.0</v>
      </c>
      <c r="U394" s="84">
        <v>251.0</v>
      </c>
      <c r="X394" s="84">
        <v>7.0</v>
      </c>
      <c r="AH394" s="84">
        <v>0.0</v>
      </c>
      <c r="AI394" s="84">
        <v>0.0</v>
      </c>
      <c r="AJ394" s="84">
        <v>0.0</v>
      </c>
      <c r="AK394" s="84">
        <v>0.0</v>
      </c>
      <c r="AL394" s="84">
        <v>0.0</v>
      </c>
      <c r="AM394" s="84">
        <v>1.0</v>
      </c>
      <c r="AN394" s="84">
        <v>0.0</v>
      </c>
      <c r="AO394" s="84">
        <v>0.0</v>
      </c>
      <c r="AP394" s="84">
        <v>0.0</v>
      </c>
      <c r="AQ394" s="84">
        <v>0.0</v>
      </c>
      <c r="AR394" s="84">
        <v>0.0</v>
      </c>
      <c r="AS394" s="84">
        <v>0.0</v>
      </c>
      <c r="AT394" s="84">
        <v>0.0</v>
      </c>
      <c r="AU394" s="84">
        <v>0.0</v>
      </c>
      <c r="AV394" s="84">
        <v>0.0</v>
      </c>
      <c r="AW394" s="84">
        <v>0.0</v>
      </c>
      <c r="AX394" s="84">
        <v>0.0</v>
      </c>
      <c r="AY394" s="84">
        <v>1.0</v>
      </c>
      <c r="AZ394" s="84">
        <v>15.0</v>
      </c>
      <c r="BH394" s="84">
        <v>411.0</v>
      </c>
      <c r="BI394" s="84" t="s">
        <v>5710</v>
      </c>
    </row>
    <row r="395" ht="12.75" customHeight="1">
      <c r="A395" s="84">
        <v>393.0</v>
      </c>
      <c r="B395" s="84" t="s">
        <v>3839</v>
      </c>
      <c r="C395" s="84">
        <v>1.0</v>
      </c>
      <c r="D395" s="84" t="s">
        <v>4921</v>
      </c>
      <c r="E395" s="84">
        <v>13.0</v>
      </c>
      <c r="F395" s="84" t="s">
        <v>5131</v>
      </c>
      <c r="G395" s="84">
        <v>0.0</v>
      </c>
      <c r="H395" s="84">
        <v>101.0</v>
      </c>
      <c r="I395" s="84">
        <v>10.0</v>
      </c>
      <c r="N395" s="84">
        <v>0.0</v>
      </c>
      <c r="O395" s="84">
        <v>0.0</v>
      </c>
      <c r="P395" s="84">
        <v>0.0</v>
      </c>
      <c r="U395" s="84">
        <v>252.0</v>
      </c>
      <c r="X395" s="84">
        <v>7.0</v>
      </c>
      <c r="AH395" s="84">
        <v>0.0</v>
      </c>
      <c r="AI395" s="84">
        <v>0.0</v>
      </c>
      <c r="AJ395" s="84">
        <v>0.0</v>
      </c>
      <c r="AK395" s="84">
        <v>0.0</v>
      </c>
      <c r="AL395" s="84">
        <v>0.0</v>
      </c>
      <c r="AM395" s="84">
        <v>1.0</v>
      </c>
      <c r="AN395" s="84">
        <v>0.0</v>
      </c>
      <c r="AO395" s="84">
        <v>0.0</v>
      </c>
      <c r="AP395" s="84">
        <v>0.0</v>
      </c>
      <c r="AQ395" s="84">
        <v>1.0</v>
      </c>
      <c r="AR395" s="84">
        <v>0.0</v>
      </c>
      <c r="AS395" s="84">
        <v>0.0</v>
      </c>
      <c r="AT395" s="84">
        <v>0.0</v>
      </c>
      <c r="AU395" s="84">
        <v>0.0</v>
      </c>
      <c r="AV395" s="84">
        <v>0.0</v>
      </c>
      <c r="AW395" s="84">
        <v>0.0</v>
      </c>
      <c r="AX395" s="84">
        <v>0.0</v>
      </c>
      <c r="AY395" s="84">
        <v>1.0</v>
      </c>
      <c r="AZ395" s="84">
        <v>1.0</v>
      </c>
      <c r="BH395" s="84">
        <v>412.0</v>
      </c>
      <c r="BI395" s="84" t="s">
        <v>5711</v>
      </c>
    </row>
    <row r="396" ht="12.75" customHeight="1">
      <c r="A396" s="84">
        <v>394.0</v>
      </c>
      <c r="B396" s="84" t="s">
        <v>3608</v>
      </c>
      <c r="C396" s="84">
        <v>1.0</v>
      </c>
      <c r="D396" s="84" t="s">
        <v>4906</v>
      </c>
      <c r="E396" s="84">
        <v>4.0</v>
      </c>
      <c r="F396" s="84" t="s">
        <v>5135</v>
      </c>
      <c r="G396" s="84">
        <v>120.0</v>
      </c>
      <c r="H396" s="84">
        <v>100.0</v>
      </c>
      <c r="I396" s="84">
        <v>15.0</v>
      </c>
      <c r="M396" s="84" t="s">
        <v>5152</v>
      </c>
      <c r="N396" s="84">
        <v>4.0</v>
      </c>
      <c r="O396" s="84">
        <v>10.0</v>
      </c>
      <c r="P396" s="84">
        <v>1.0</v>
      </c>
      <c r="U396" s="84">
        <v>253.0</v>
      </c>
      <c r="V396" s="84">
        <v>-33.0</v>
      </c>
      <c r="X396" s="84">
        <v>0.0</v>
      </c>
      <c r="AH396" s="84">
        <v>1.0</v>
      </c>
      <c r="AI396" s="84">
        <v>0.0</v>
      </c>
      <c r="AJ396" s="84">
        <v>0.0</v>
      </c>
      <c r="AK396" s="84">
        <v>1.0</v>
      </c>
      <c r="AL396" s="84">
        <v>0.0</v>
      </c>
      <c r="AM396" s="84">
        <v>0.0</v>
      </c>
      <c r="AN396" s="84">
        <v>1.0</v>
      </c>
      <c r="AO396" s="84">
        <v>0.0</v>
      </c>
      <c r="AP396" s="84">
        <v>0.0</v>
      </c>
      <c r="AQ396" s="84">
        <v>0.0</v>
      </c>
      <c r="AR396" s="84">
        <v>1.0</v>
      </c>
      <c r="AS396" s="84">
        <v>0.0</v>
      </c>
      <c r="AT396" s="84">
        <v>0.0</v>
      </c>
      <c r="AU396" s="84">
        <v>0.0</v>
      </c>
      <c r="AV396" s="84">
        <v>0.0</v>
      </c>
      <c r="AW396" s="84">
        <v>0.0</v>
      </c>
      <c r="AX396" s="84">
        <v>0.0</v>
      </c>
      <c r="AY396" s="84">
        <v>1.0</v>
      </c>
      <c r="AZ396" s="84">
        <v>43.0</v>
      </c>
      <c r="BH396" s="84">
        <v>413.0</v>
      </c>
      <c r="BI396" s="84" t="s">
        <v>5712</v>
      </c>
    </row>
    <row r="397" ht="12.75" customHeight="1">
      <c r="A397" s="84">
        <v>395.0</v>
      </c>
      <c r="B397" s="84" t="s">
        <v>2717</v>
      </c>
      <c r="C397" s="84">
        <v>1.0</v>
      </c>
      <c r="D397" s="84" t="s">
        <v>4935</v>
      </c>
      <c r="E397" s="84">
        <v>4.0</v>
      </c>
      <c r="F397" s="84" t="s">
        <v>5135</v>
      </c>
      <c r="G397" s="84">
        <v>60.0</v>
      </c>
      <c r="H397" s="84">
        <v>100.0</v>
      </c>
      <c r="I397" s="84">
        <v>10.0</v>
      </c>
      <c r="M397" s="84" t="s">
        <v>5222</v>
      </c>
      <c r="N397" s="84">
        <v>1.0</v>
      </c>
      <c r="O397" s="84">
        <v>30.0</v>
      </c>
      <c r="P397" s="84">
        <v>1.0</v>
      </c>
      <c r="U397" s="84">
        <v>6.0</v>
      </c>
      <c r="X397" s="84">
        <v>0.0</v>
      </c>
      <c r="AH397" s="84">
        <v>1.0</v>
      </c>
      <c r="AI397" s="84">
        <v>0.0</v>
      </c>
      <c r="AJ397" s="84">
        <v>0.0</v>
      </c>
      <c r="AK397" s="84">
        <v>1.0</v>
      </c>
      <c r="AL397" s="84">
        <v>0.0</v>
      </c>
      <c r="AM397" s="84">
        <v>0.0</v>
      </c>
      <c r="AN397" s="84">
        <v>1.0</v>
      </c>
      <c r="AO397" s="84">
        <v>0.0</v>
      </c>
      <c r="AP397" s="84">
        <v>0.0</v>
      </c>
      <c r="AQ397" s="84">
        <v>0.0</v>
      </c>
      <c r="AR397" s="84">
        <v>0.0</v>
      </c>
      <c r="AS397" s="84">
        <v>0.0</v>
      </c>
      <c r="AT397" s="84">
        <v>0.0</v>
      </c>
      <c r="AU397" s="84">
        <v>0.0</v>
      </c>
      <c r="AV397" s="84">
        <v>0.0</v>
      </c>
      <c r="AW397" s="84">
        <v>0.0</v>
      </c>
      <c r="AX397" s="84">
        <v>0.0</v>
      </c>
      <c r="AY397" s="84">
        <v>1.0</v>
      </c>
      <c r="AZ397" s="84">
        <v>37.0</v>
      </c>
      <c r="BH397" s="84">
        <v>414.0</v>
      </c>
      <c r="BI397" s="84" t="s">
        <v>5713</v>
      </c>
    </row>
    <row r="398" ht="12.75" customHeight="1">
      <c r="A398" s="84">
        <v>396.0</v>
      </c>
      <c r="B398" s="84" t="s">
        <v>3877</v>
      </c>
      <c r="C398" s="84">
        <v>1.0</v>
      </c>
      <c r="D398" s="84" t="s">
        <v>4935</v>
      </c>
      <c r="E398" s="84">
        <v>0.0</v>
      </c>
      <c r="F398" s="84" t="s">
        <v>5172</v>
      </c>
      <c r="G398" s="84">
        <v>80.0</v>
      </c>
      <c r="H398" s="84">
        <v>101.0</v>
      </c>
      <c r="I398" s="84">
        <v>20.0</v>
      </c>
      <c r="N398" s="84">
        <v>0.0</v>
      </c>
      <c r="O398" s="84">
        <v>0.0</v>
      </c>
      <c r="P398" s="84">
        <v>0.0</v>
      </c>
      <c r="U398" s="84">
        <v>17.0</v>
      </c>
      <c r="X398" s="84">
        <v>0.0</v>
      </c>
      <c r="AH398" s="84">
        <v>0.0</v>
      </c>
      <c r="AI398" s="84">
        <v>0.0</v>
      </c>
      <c r="AJ398" s="84">
        <v>0.0</v>
      </c>
      <c r="AK398" s="84">
        <v>1.0</v>
      </c>
      <c r="AL398" s="84">
        <v>0.0</v>
      </c>
      <c r="AM398" s="84">
        <v>0.0</v>
      </c>
      <c r="AN398" s="84">
        <v>1.0</v>
      </c>
      <c r="AO398" s="84">
        <v>0.0</v>
      </c>
      <c r="AP398" s="84">
        <v>0.0</v>
      </c>
      <c r="AQ398" s="84">
        <v>0.0</v>
      </c>
      <c r="AR398" s="84">
        <v>0.0</v>
      </c>
      <c r="AS398" s="84">
        <v>1.0</v>
      </c>
      <c r="AT398" s="84">
        <v>0.0</v>
      </c>
      <c r="AU398" s="84">
        <v>0.0</v>
      </c>
      <c r="AV398" s="84">
        <v>0.0</v>
      </c>
      <c r="AW398" s="84">
        <v>0.0</v>
      </c>
      <c r="AX398" s="84">
        <v>0.0</v>
      </c>
      <c r="AY398" s="84">
        <v>1.0</v>
      </c>
      <c r="AZ398" s="84">
        <v>41.0</v>
      </c>
      <c r="BH398" s="84">
        <v>415.0</v>
      </c>
      <c r="BI398" s="84" t="s">
        <v>5714</v>
      </c>
    </row>
    <row r="399" ht="12.75" customHeight="1">
      <c r="A399" s="84">
        <v>397.0</v>
      </c>
      <c r="B399" s="84" t="s">
        <v>3800</v>
      </c>
      <c r="C399" s="84">
        <v>1.0</v>
      </c>
      <c r="D399" s="84" t="s">
        <v>4940</v>
      </c>
      <c r="E399" s="84">
        <v>2.0</v>
      </c>
      <c r="F399" s="84" t="s">
        <v>5131</v>
      </c>
      <c r="G399" s="84">
        <v>0.0</v>
      </c>
      <c r="H399" s="84">
        <v>101.0</v>
      </c>
      <c r="I399" s="84">
        <v>20.0</v>
      </c>
      <c r="N399" s="84">
        <v>0.0</v>
      </c>
      <c r="O399" s="84">
        <v>0.0</v>
      </c>
      <c r="P399" s="84">
        <v>0.0</v>
      </c>
      <c r="U399" s="84">
        <v>52.0</v>
      </c>
      <c r="X399" s="84">
        <v>7.0</v>
      </c>
      <c r="Y399" s="84" t="s">
        <v>5073</v>
      </c>
      <c r="Z399" s="84">
        <v>2.0</v>
      </c>
      <c r="AH399" s="84">
        <v>0.0</v>
      </c>
      <c r="AI399" s="84">
        <v>0.0</v>
      </c>
      <c r="AJ399" s="84">
        <v>0.0</v>
      </c>
      <c r="AK399" s="84">
        <v>0.0</v>
      </c>
      <c r="AL399" s="84">
        <v>0.0</v>
      </c>
      <c r="AM399" s="84">
        <v>1.0</v>
      </c>
      <c r="AN399" s="84">
        <v>0.0</v>
      </c>
      <c r="AO399" s="84">
        <v>0.0</v>
      </c>
      <c r="AP399" s="84">
        <v>0.0</v>
      </c>
      <c r="AQ399" s="84">
        <v>0.0</v>
      </c>
      <c r="AR399" s="84">
        <v>0.0</v>
      </c>
      <c r="AS399" s="84">
        <v>0.0</v>
      </c>
      <c r="AT399" s="84">
        <v>0.0</v>
      </c>
      <c r="AU399" s="84">
        <v>0.0</v>
      </c>
      <c r="AV399" s="84">
        <v>0.0</v>
      </c>
      <c r="AW399" s="84">
        <v>0.0</v>
      </c>
      <c r="AX399" s="84">
        <v>0.0</v>
      </c>
      <c r="AY399" s="84">
        <v>1.0</v>
      </c>
      <c r="AZ399" s="84">
        <v>9.0</v>
      </c>
      <c r="BH399" s="84">
        <v>416.0</v>
      </c>
      <c r="BI399" s="84" t="s">
        <v>5715</v>
      </c>
    </row>
    <row r="400" ht="12.75" customHeight="1">
      <c r="A400" s="84">
        <v>398.0</v>
      </c>
      <c r="B400" s="84" t="s">
        <v>2807</v>
      </c>
      <c r="C400" s="84">
        <v>1.0</v>
      </c>
      <c r="D400" s="84" t="s">
        <v>4905</v>
      </c>
      <c r="E400" s="84">
        <v>4.0</v>
      </c>
      <c r="F400" s="84" t="s">
        <v>5135</v>
      </c>
      <c r="G400" s="84">
        <v>80.0</v>
      </c>
      <c r="H400" s="84">
        <v>100.0</v>
      </c>
      <c r="I400" s="84">
        <v>20.0</v>
      </c>
      <c r="M400" s="84" t="s">
        <v>5235</v>
      </c>
      <c r="N400" s="84">
        <v>5.0</v>
      </c>
      <c r="O400" s="84">
        <v>30.0</v>
      </c>
      <c r="P400" s="84">
        <v>1.0</v>
      </c>
      <c r="U400" s="84">
        <v>2.0</v>
      </c>
      <c r="X400" s="84">
        <v>0.0</v>
      </c>
      <c r="AH400" s="84">
        <v>1.0</v>
      </c>
      <c r="AI400" s="84">
        <v>0.0</v>
      </c>
      <c r="AJ400" s="84">
        <v>0.0</v>
      </c>
      <c r="AK400" s="84">
        <v>1.0</v>
      </c>
      <c r="AL400" s="84">
        <v>0.0</v>
      </c>
      <c r="AM400" s="84">
        <v>0.0</v>
      </c>
      <c r="AN400" s="84">
        <v>1.0</v>
      </c>
      <c r="AO400" s="84">
        <v>0.0</v>
      </c>
      <c r="AP400" s="84">
        <v>0.0</v>
      </c>
      <c r="AQ400" s="84">
        <v>0.0</v>
      </c>
      <c r="AR400" s="84">
        <v>0.0</v>
      </c>
      <c r="AS400" s="84">
        <v>0.0</v>
      </c>
      <c r="AT400" s="84">
        <v>0.0</v>
      </c>
      <c r="AU400" s="84">
        <v>0.0</v>
      </c>
      <c r="AV400" s="84">
        <v>0.0</v>
      </c>
      <c r="AW400" s="84">
        <v>0.0</v>
      </c>
      <c r="AX400" s="84">
        <v>0.0</v>
      </c>
      <c r="AY400" s="84">
        <v>1.0</v>
      </c>
      <c r="AZ400" s="84">
        <v>38.0</v>
      </c>
      <c r="BH400" s="84">
        <v>417.0</v>
      </c>
      <c r="BI400" s="84" t="s">
        <v>5716</v>
      </c>
    </row>
    <row r="401" ht="12.75" customHeight="1">
      <c r="A401" s="84">
        <v>399.0</v>
      </c>
      <c r="B401" s="84" t="s">
        <v>3264</v>
      </c>
      <c r="C401" s="84">
        <v>1.0</v>
      </c>
      <c r="D401" s="84" t="s">
        <v>4972</v>
      </c>
      <c r="E401" s="84">
        <v>0.0</v>
      </c>
      <c r="F401" s="84" t="s">
        <v>5172</v>
      </c>
      <c r="G401" s="84">
        <v>80.0</v>
      </c>
      <c r="H401" s="84">
        <v>100.0</v>
      </c>
      <c r="I401" s="84">
        <v>15.0</v>
      </c>
      <c r="N401" s="84">
        <v>0.0</v>
      </c>
      <c r="O401" s="84">
        <v>0.0</v>
      </c>
      <c r="P401" s="84">
        <v>0.0</v>
      </c>
      <c r="T401" s="84">
        <v>20.0</v>
      </c>
      <c r="U401" s="84">
        <v>31.0</v>
      </c>
      <c r="X401" s="84">
        <v>0.0</v>
      </c>
      <c r="AH401" s="84">
        <v>0.0</v>
      </c>
      <c r="AI401" s="84">
        <v>0.0</v>
      </c>
      <c r="AJ401" s="84">
        <v>0.0</v>
      </c>
      <c r="AK401" s="84">
        <v>1.0</v>
      </c>
      <c r="AL401" s="84">
        <v>0.0</v>
      </c>
      <c r="AM401" s="84">
        <v>0.0</v>
      </c>
      <c r="AN401" s="84">
        <v>1.0</v>
      </c>
      <c r="AO401" s="84">
        <v>0.0</v>
      </c>
      <c r="AP401" s="84">
        <v>0.0</v>
      </c>
      <c r="AQ401" s="84">
        <v>0.0</v>
      </c>
      <c r="AR401" s="84">
        <v>0.0</v>
      </c>
      <c r="AS401" s="84">
        <v>1.0</v>
      </c>
      <c r="AT401" s="84">
        <v>0.0</v>
      </c>
      <c r="AU401" s="84">
        <v>0.0</v>
      </c>
      <c r="AV401" s="84">
        <v>0.0</v>
      </c>
      <c r="AW401" s="84">
        <v>0.0</v>
      </c>
      <c r="AX401" s="84">
        <v>0.0</v>
      </c>
      <c r="AY401" s="84">
        <v>1.0</v>
      </c>
      <c r="AZ401" s="84">
        <v>41.0</v>
      </c>
      <c r="BH401" s="84">
        <v>418.0</v>
      </c>
      <c r="BI401" s="84" t="s">
        <v>5717</v>
      </c>
    </row>
    <row r="402" ht="12.75" customHeight="1">
      <c r="A402" s="84">
        <v>400.0</v>
      </c>
      <c r="B402" s="84" t="s">
        <v>3578</v>
      </c>
      <c r="C402" s="84">
        <v>1.0</v>
      </c>
      <c r="D402" s="84" t="s">
        <v>4972</v>
      </c>
      <c r="E402" s="84">
        <v>0.0</v>
      </c>
      <c r="F402" s="84" t="s">
        <v>5135</v>
      </c>
      <c r="G402" s="84">
        <v>70.0</v>
      </c>
      <c r="H402" s="84">
        <v>100.0</v>
      </c>
      <c r="I402" s="84">
        <v>15.0</v>
      </c>
      <c r="N402" s="84">
        <v>0.0</v>
      </c>
      <c r="O402" s="84">
        <v>0.0</v>
      </c>
      <c r="P402" s="84">
        <v>0.0</v>
      </c>
      <c r="S402" s="84">
        <v>1.0</v>
      </c>
      <c r="U402" s="84">
        <v>43.0</v>
      </c>
      <c r="X402" s="84">
        <v>0.0</v>
      </c>
      <c r="AH402" s="84">
        <v>1.0</v>
      </c>
      <c r="AI402" s="84">
        <v>0.0</v>
      </c>
      <c r="AJ402" s="84">
        <v>0.0</v>
      </c>
      <c r="AK402" s="84">
        <v>1.0</v>
      </c>
      <c r="AL402" s="84">
        <v>0.0</v>
      </c>
      <c r="AM402" s="84">
        <v>0.0</v>
      </c>
      <c r="AN402" s="84">
        <v>1.0</v>
      </c>
      <c r="AO402" s="84">
        <v>0.0</v>
      </c>
      <c r="AP402" s="84">
        <v>0.0</v>
      </c>
      <c r="AQ402" s="84">
        <v>0.0</v>
      </c>
      <c r="AR402" s="84">
        <v>0.0</v>
      </c>
      <c r="AS402" s="84">
        <v>0.0</v>
      </c>
      <c r="AT402" s="84">
        <v>0.0</v>
      </c>
      <c r="AU402" s="84">
        <v>0.0</v>
      </c>
      <c r="AV402" s="84">
        <v>0.0</v>
      </c>
      <c r="AW402" s="84">
        <v>0.0</v>
      </c>
      <c r="AX402" s="84">
        <v>0.0</v>
      </c>
      <c r="AY402" s="84">
        <v>1.0</v>
      </c>
      <c r="AZ402" s="84">
        <v>37.0</v>
      </c>
      <c r="BH402" s="84">
        <v>419.0</v>
      </c>
      <c r="BI402" s="84" t="s">
        <v>5718</v>
      </c>
    </row>
    <row r="403" ht="12.75" customHeight="1">
      <c r="A403" s="84">
        <v>401.0</v>
      </c>
      <c r="B403" s="84" t="s">
        <v>2587</v>
      </c>
      <c r="C403" s="84">
        <v>1.0</v>
      </c>
      <c r="D403" s="84" t="s">
        <v>4908</v>
      </c>
      <c r="E403" s="84">
        <v>0.0</v>
      </c>
      <c r="F403" s="84" t="s">
        <v>5135</v>
      </c>
      <c r="G403" s="84">
        <v>90.0</v>
      </c>
      <c r="H403" s="84">
        <v>90.0</v>
      </c>
      <c r="I403" s="84">
        <v>10.0</v>
      </c>
      <c r="N403" s="84">
        <v>0.0</v>
      </c>
      <c r="O403" s="84">
        <v>0.0</v>
      </c>
      <c r="P403" s="84">
        <v>0.0</v>
      </c>
      <c r="U403" s="84">
        <v>0.0</v>
      </c>
      <c r="X403" s="84">
        <v>0.0</v>
      </c>
      <c r="AH403" s="84">
        <v>1.0</v>
      </c>
      <c r="AI403" s="84">
        <v>0.0</v>
      </c>
      <c r="AJ403" s="84">
        <v>0.0</v>
      </c>
      <c r="AK403" s="84">
        <v>1.0</v>
      </c>
      <c r="AL403" s="84">
        <v>0.0</v>
      </c>
      <c r="AM403" s="84">
        <v>0.0</v>
      </c>
      <c r="AN403" s="84">
        <v>1.0</v>
      </c>
      <c r="AO403" s="84">
        <v>0.0</v>
      </c>
      <c r="AP403" s="84">
        <v>0.0</v>
      </c>
      <c r="AQ403" s="84">
        <v>0.0</v>
      </c>
      <c r="AR403" s="84">
        <v>0.0</v>
      </c>
      <c r="AS403" s="84">
        <v>0.0</v>
      </c>
      <c r="AT403" s="84">
        <v>0.0</v>
      </c>
      <c r="AU403" s="84">
        <v>0.0</v>
      </c>
      <c r="AV403" s="84">
        <v>0.0</v>
      </c>
      <c r="AW403" s="84">
        <v>0.0</v>
      </c>
      <c r="AX403" s="84">
        <v>0.0</v>
      </c>
      <c r="AY403" s="84">
        <v>1.0</v>
      </c>
      <c r="AZ403" s="84">
        <v>42.0</v>
      </c>
    </row>
    <row r="404" ht="12.75" customHeight="1">
      <c r="A404" s="84">
        <v>402.0</v>
      </c>
      <c r="B404" s="84" t="s">
        <v>3553</v>
      </c>
      <c r="C404" s="84">
        <v>1.0</v>
      </c>
      <c r="D404" s="84" t="s">
        <v>4904</v>
      </c>
      <c r="E404" s="84">
        <v>0.0</v>
      </c>
      <c r="F404" s="84" t="s">
        <v>5135</v>
      </c>
      <c r="G404" s="84">
        <v>80.0</v>
      </c>
      <c r="H404" s="84">
        <v>100.0</v>
      </c>
      <c r="I404" s="84">
        <v>15.0</v>
      </c>
      <c r="N404" s="84">
        <v>0.0</v>
      </c>
      <c r="O404" s="84">
        <v>0.0</v>
      </c>
      <c r="P404" s="84">
        <v>0.0</v>
      </c>
      <c r="U404" s="84">
        <v>0.0</v>
      </c>
      <c r="X404" s="84">
        <v>0.0</v>
      </c>
      <c r="AH404" s="84">
        <v>0.0</v>
      </c>
      <c r="AI404" s="84">
        <v>0.0</v>
      </c>
      <c r="AJ404" s="84">
        <v>0.0</v>
      </c>
      <c r="AK404" s="84">
        <v>1.0</v>
      </c>
      <c r="AL404" s="84">
        <v>0.0</v>
      </c>
      <c r="AM404" s="84">
        <v>0.0</v>
      </c>
      <c r="AN404" s="84">
        <v>1.0</v>
      </c>
      <c r="AO404" s="84">
        <v>0.0</v>
      </c>
      <c r="AP404" s="84">
        <v>0.0</v>
      </c>
      <c r="AQ404" s="84">
        <v>0.0</v>
      </c>
      <c r="AR404" s="84">
        <v>0.0</v>
      </c>
      <c r="AS404" s="84">
        <v>0.0</v>
      </c>
      <c r="AT404" s="84">
        <v>0.0</v>
      </c>
      <c r="AU404" s="84">
        <v>0.0</v>
      </c>
      <c r="AV404" s="84">
        <v>0.0</v>
      </c>
      <c r="AW404" s="84">
        <v>0.0</v>
      </c>
      <c r="AX404" s="84">
        <v>0.0</v>
      </c>
      <c r="AY404" s="84">
        <v>1.0</v>
      </c>
      <c r="AZ404" s="84">
        <v>37.0</v>
      </c>
    </row>
    <row r="405" ht="12.75" customHeight="1">
      <c r="A405" s="84">
        <v>403.0</v>
      </c>
      <c r="B405" s="84" t="s">
        <v>3091</v>
      </c>
      <c r="C405" s="84">
        <v>1.0</v>
      </c>
      <c r="D405" s="84" t="s">
        <v>4907</v>
      </c>
      <c r="E405" s="84">
        <v>0.0</v>
      </c>
      <c r="F405" s="84" t="s">
        <v>5172</v>
      </c>
      <c r="G405" s="84">
        <v>75.0</v>
      </c>
      <c r="H405" s="84">
        <v>95.0</v>
      </c>
      <c r="I405" s="84">
        <v>15.0</v>
      </c>
      <c r="N405" s="84">
        <v>0.0</v>
      </c>
      <c r="O405" s="84">
        <v>0.0</v>
      </c>
      <c r="P405" s="84">
        <v>0.0</v>
      </c>
      <c r="T405" s="84">
        <v>30.0</v>
      </c>
      <c r="U405" s="84">
        <v>31.0</v>
      </c>
      <c r="X405" s="84">
        <v>0.0</v>
      </c>
      <c r="AH405" s="84">
        <v>0.0</v>
      </c>
      <c r="AI405" s="84">
        <v>0.0</v>
      </c>
      <c r="AJ405" s="84">
        <v>0.0</v>
      </c>
      <c r="AK405" s="84">
        <v>1.0</v>
      </c>
      <c r="AL405" s="84">
        <v>0.0</v>
      </c>
      <c r="AM405" s="84">
        <v>0.0</v>
      </c>
      <c r="AN405" s="84">
        <v>1.0</v>
      </c>
      <c r="AO405" s="84">
        <v>0.0</v>
      </c>
      <c r="AP405" s="84">
        <v>0.0</v>
      </c>
      <c r="AQ405" s="84">
        <v>0.0</v>
      </c>
      <c r="AR405" s="84">
        <v>0.0</v>
      </c>
      <c r="AS405" s="84">
        <v>1.0</v>
      </c>
      <c r="AT405" s="84">
        <v>0.0</v>
      </c>
      <c r="AU405" s="84">
        <v>0.0</v>
      </c>
      <c r="AV405" s="84">
        <v>0.0</v>
      </c>
      <c r="AW405" s="84">
        <v>0.0</v>
      </c>
      <c r="AX405" s="84">
        <v>0.0</v>
      </c>
      <c r="AY405" s="84">
        <v>1.0</v>
      </c>
      <c r="AZ405" s="84">
        <v>41.0</v>
      </c>
    </row>
    <row r="406" ht="12.75" customHeight="1">
      <c r="A406" s="84">
        <v>404.0</v>
      </c>
      <c r="B406" s="84" t="s">
        <v>2671</v>
      </c>
      <c r="C406" s="84">
        <v>1.0</v>
      </c>
      <c r="D406" s="84" t="s">
        <v>4910</v>
      </c>
      <c r="E406" s="84">
        <v>0.0</v>
      </c>
      <c r="F406" s="84" t="s">
        <v>5135</v>
      </c>
      <c r="G406" s="84">
        <v>80.0</v>
      </c>
      <c r="H406" s="84">
        <v>100.0</v>
      </c>
      <c r="I406" s="84">
        <v>15.0</v>
      </c>
      <c r="N406" s="84">
        <v>0.0</v>
      </c>
      <c r="O406" s="84">
        <v>0.0</v>
      </c>
      <c r="P406" s="84">
        <v>0.0</v>
      </c>
      <c r="U406" s="84">
        <v>0.0</v>
      </c>
      <c r="X406" s="84">
        <v>0.0</v>
      </c>
      <c r="AH406" s="84">
        <v>1.0</v>
      </c>
      <c r="AI406" s="84">
        <v>0.0</v>
      </c>
      <c r="AJ406" s="84">
        <v>0.0</v>
      </c>
      <c r="AK406" s="84">
        <v>1.0</v>
      </c>
      <c r="AL406" s="84">
        <v>0.0</v>
      </c>
      <c r="AM406" s="84">
        <v>0.0</v>
      </c>
      <c r="AN406" s="84">
        <v>1.0</v>
      </c>
      <c r="AO406" s="84">
        <v>0.0</v>
      </c>
      <c r="AP406" s="84">
        <v>0.0</v>
      </c>
      <c r="AQ406" s="84">
        <v>0.0</v>
      </c>
      <c r="AR406" s="84">
        <v>0.0</v>
      </c>
      <c r="AS406" s="84">
        <v>0.0</v>
      </c>
      <c r="AT406" s="84">
        <v>0.0</v>
      </c>
      <c r="AU406" s="84">
        <v>0.0</v>
      </c>
      <c r="AV406" s="84">
        <v>0.0</v>
      </c>
      <c r="AW406" s="84">
        <v>0.0</v>
      </c>
      <c r="AX406" s="84">
        <v>0.0</v>
      </c>
      <c r="AY406" s="84">
        <v>1.0</v>
      </c>
      <c r="AZ406" s="84">
        <v>38.0</v>
      </c>
    </row>
    <row r="407" ht="12.75" customHeight="1">
      <c r="A407" s="84">
        <v>405.0</v>
      </c>
      <c r="B407" s="84" t="s">
        <v>3186</v>
      </c>
      <c r="C407" s="84">
        <v>1.0</v>
      </c>
      <c r="D407" s="84" t="s">
        <v>4910</v>
      </c>
      <c r="E407" s="84">
        <v>6.0</v>
      </c>
      <c r="F407" s="84" t="s">
        <v>5172</v>
      </c>
      <c r="G407" s="84">
        <v>90.0</v>
      </c>
      <c r="H407" s="84">
        <v>100.0</v>
      </c>
      <c r="I407" s="84">
        <v>10.0</v>
      </c>
      <c r="N407" s="84">
        <v>0.0</v>
      </c>
      <c r="O407" s="84">
        <v>0.0</v>
      </c>
      <c r="P407" s="84">
        <v>0.0</v>
      </c>
      <c r="U407" s="84">
        <v>72.0</v>
      </c>
      <c r="X407" s="84">
        <v>0.0</v>
      </c>
      <c r="Y407" s="84" t="s">
        <v>23</v>
      </c>
      <c r="Z407" s="84">
        <v>-1.0</v>
      </c>
      <c r="AA407" s="84">
        <v>10.0</v>
      </c>
      <c r="AH407" s="84">
        <v>0.0</v>
      </c>
      <c r="AI407" s="84">
        <v>0.0</v>
      </c>
      <c r="AJ407" s="84">
        <v>0.0</v>
      </c>
      <c r="AK407" s="84">
        <v>1.0</v>
      </c>
      <c r="AL407" s="84">
        <v>0.0</v>
      </c>
      <c r="AM407" s="84">
        <v>0.0</v>
      </c>
      <c r="AN407" s="84">
        <v>1.0</v>
      </c>
      <c r="AO407" s="84">
        <v>0.0</v>
      </c>
      <c r="AP407" s="84">
        <v>1.0</v>
      </c>
      <c r="AQ407" s="84">
        <v>0.0</v>
      </c>
      <c r="AR407" s="84">
        <v>0.0</v>
      </c>
      <c r="AS407" s="84">
        <v>0.0</v>
      </c>
      <c r="AT407" s="84">
        <v>0.0</v>
      </c>
      <c r="AU407" s="84">
        <v>1.0</v>
      </c>
      <c r="AV407" s="84">
        <v>0.0</v>
      </c>
      <c r="AW407" s="84">
        <v>0.0</v>
      </c>
      <c r="AX407" s="84">
        <v>0.0</v>
      </c>
      <c r="AY407" s="84">
        <v>1.0</v>
      </c>
      <c r="AZ407" s="84">
        <v>41.0</v>
      </c>
    </row>
    <row r="408" ht="12.75" customHeight="1">
      <c r="A408" s="84">
        <v>406.0</v>
      </c>
      <c r="B408" s="84" t="s">
        <v>3427</v>
      </c>
      <c r="C408" s="84">
        <v>1.0</v>
      </c>
      <c r="D408" s="84" t="s">
        <v>4956</v>
      </c>
      <c r="E408" s="84">
        <v>0.0</v>
      </c>
      <c r="F408" s="84" t="s">
        <v>5172</v>
      </c>
      <c r="G408" s="84">
        <v>85.0</v>
      </c>
      <c r="H408" s="84">
        <v>100.0</v>
      </c>
      <c r="I408" s="84">
        <v>10.0</v>
      </c>
      <c r="N408" s="84">
        <v>0.0</v>
      </c>
      <c r="O408" s="84">
        <v>0.0</v>
      </c>
      <c r="P408" s="84">
        <v>0.0</v>
      </c>
      <c r="U408" s="84">
        <v>0.0</v>
      </c>
      <c r="X408" s="84">
        <v>0.0</v>
      </c>
      <c r="AH408" s="84">
        <v>0.0</v>
      </c>
      <c r="AI408" s="84">
        <v>0.0</v>
      </c>
      <c r="AJ408" s="84">
        <v>0.0</v>
      </c>
      <c r="AK408" s="84">
        <v>1.0</v>
      </c>
      <c r="AL408" s="84">
        <v>0.0</v>
      </c>
      <c r="AM408" s="84">
        <v>0.0</v>
      </c>
      <c r="AN408" s="84">
        <v>1.0</v>
      </c>
      <c r="AO408" s="84">
        <v>0.0</v>
      </c>
      <c r="AP408" s="84">
        <v>0.0</v>
      </c>
      <c r="AQ408" s="84">
        <v>0.0</v>
      </c>
      <c r="AR408" s="84">
        <v>0.0</v>
      </c>
      <c r="AS408" s="84">
        <v>1.0</v>
      </c>
      <c r="AT408" s="84">
        <v>0.0</v>
      </c>
      <c r="AU408" s="84">
        <v>0.0</v>
      </c>
      <c r="AV408" s="84">
        <v>0.0</v>
      </c>
      <c r="AW408" s="84">
        <v>0.0</v>
      </c>
      <c r="AX408" s="84">
        <v>0.0</v>
      </c>
      <c r="AY408" s="84">
        <v>1.0</v>
      </c>
      <c r="AZ408" s="84">
        <v>41.0</v>
      </c>
    </row>
    <row r="409" ht="12.75" customHeight="1">
      <c r="A409" s="84">
        <v>407.0</v>
      </c>
      <c r="B409" s="84" t="s">
        <v>3440</v>
      </c>
      <c r="C409" s="84">
        <v>1.0</v>
      </c>
      <c r="D409" s="84" t="s">
        <v>4956</v>
      </c>
      <c r="E409" s="84">
        <v>0.0</v>
      </c>
      <c r="F409" s="84" t="s">
        <v>5135</v>
      </c>
      <c r="G409" s="84">
        <v>100.0</v>
      </c>
      <c r="H409" s="84">
        <v>75.0</v>
      </c>
      <c r="I409" s="84">
        <v>10.0</v>
      </c>
      <c r="N409" s="84">
        <v>0.0</v>
      </c>
      <c r="O409" s="84">
        <v>0.0</v>
      </c>
      <c r="P409" s="84">
        <v>0.0</v>
      </c>
      <c r="T409" s="84">
        <v>20.0</v>
      </c>
      <c r="U409" s="84">
        <v>31.0</v>
      </c>
      <c r="X409" s="84">
        <v>0.0</v>
      </c>
      <c r="AH409" s="84">
        <v>1.0</v>
      </c>
      <c r="AI409" s="84">
        <v>0.0</v>
      </c>
      <c r="AJ409" s="84">
        <v>0.0</v>
      </c>
      <c r="AK409" s="84">
        <v>1.0</v>
      </c>
      <c r="AL409" s="84">
        <v>0.0</v>
      </c>
      <c r="AM409" s="84">
        <v>0.0</v>
      </c>
      <c r="AN409" s="84">
        <v>1.0</v>
      </c>
      <c r="AO409" s="84">
        <v>0.0</v>
      </c>
      <c r="AP409" s="84">
        <v>0.0</v>
      </c>
      <c r="AQ409" s="84">
        <v>0.0</v>
      </c>
      <c r="AR409" s="84">
        <v>0.0</v>
      </c>
      <c r="AS409" s="84">
        <v>0.0</v>
      </c>
      <c r="AT409" s="84">
        <v>0.0</v>
      </c>
      <c r="AU409" s="84">
        <v>0.0</v>
      </c>
      <c r="AV409" s="84">
        <v>0.0</v>
      </c>
      <c r="AW409" s="84">
        <v>0.0</v>
      </c>
      <c r="AX409" s="84">
        <v>0.0</v>
      </c>
      <c r="AY409" s="84">
        <v>1.0</v>
      </c>
      <c r="AZ409" s="84">
        <v>43.0</v>
      </c>
    </row>
    <row r="410" ht="12.75" customHeight="1">
      <c r="A410" s="84">
        <v>408.0</v>
      </c>
      <c r="B410" s="84" t="s">
        <v>4153</v>
      </c>
      <c r="C410" s="84">
        <v>1.0</v>
      </c>
      <c r="D410" s="84" t="s">
        <v>4940</v>
      </c>
      <c r="E410" s="84">
        <v>0.0</v>
      </c>
      <c r="F410" s="84" t="s">
        <v>5172</v>
      </c>
      <c r="G410" s="84">
        <v>80.0</v>
      </c>
      <c r="H410" s="84">
        <v>100.0</v>
      </c>
      <c r="I410" s="84">
        <v>20.0</v>
      </c>
      <c r="N410" s="84">
        <v>0.0</v>
      </c>
      <c r="O410" s="84">
        <v>0.0</v>
      </c>
      <c r="P410" s="84">
        <v>0.0</v>
      </c>
      <c r="U410" s="84">
        <v>0.0</v>
      </c>
      <c r="X410" s="84">
        <v>0.0</v>
      </c>
      <c r="AH410" s="84">
        <v>0.0</v>
      </c>
      <c r="AI410" s="84">
        <v>0.0</v>
      </c>
      <c r="AJ410" s="84">
        <v>0.0</v>
      </c>
      <c r="AK410" s="84">
        <v>1.0</v>
      </c>
      <c r="AL410" s="84">
        <v>0.0</v>
      </c>
      <c r="AM410" s="84">
        <v>0.0</v>
      </c>
      <c r="AN410" s="84">
        <v>1.0</v>
      </c>
      <c r="AO410" s="84">
        <v>0.0</v>
      </c>
      <c r="AP410" s="84">
        <v>0.0</v>
      </c>
      <c r="AQ410" s="84">
        <v>0.0</v>
      </c>
      <c r="AR410" s="84">
        <v>0.0</v>
      </c>
      <c r="AS410" s="84">
        <v>0.0</v>
      </c>
      <c r="AT410" s="84">
        <v>0.0</v>
      </c>
      <c r="AU410" s="84">
        <v>0.0</v>
      </c>
      <c r="AV410" s="84">
        <v>0.0</v>
      </c>
      <c r="AW410" s="84">
        <v>0.0</v>
      </c>
      <c r="AX410" s="84">
        <v>0.0</v>
      </c>
      <c r="AY410" s="84">
        <v>1.0</v>
      </c>
      <c r="AZ410" s="84">
        <v>40.0</v>
      </c>
    </row>
    <row r="411" ht="12.75" customHeight="1">
      <c r="A411" s="84">
        <v>409.0</v>
      </c>
      <c r="B411" s="84" t="s">
        <v>3692</v>
      </c>
      <c r="C411" s="84">
        <v>1.0</v>
      </c>
      <c r="D411" s="84" t="s">
        <v>4935</v>
      </c>
      <c r="E411" s="84">
        <v>8.0</v>
      </c>
      <c r="F411" s="84" t="s">
        <v>5135</v>
      </c>
      <c r="G411" s="84">
        <v>75.0</v>
      </c>
      <c r="H411" s="84">
        <v>100.0</v>
      </c>
      <c r="I411" s="84">
        <v>10.0</v>
      </c>
      <c r="N411" s="84">
        <v>0.0</v>
      </c>
      <c r="O411" s="84">
        <v>0.0</v>
      </c>
      <c r="P411" s="84">
        <v>0.0</v>
      </c>
      <c r="U411" s="84">
        <v>3.0</v>
      </c>
      <c r="V411" s="84">
        <v>50.0</v>
      </c>
      <c r="X411" s="84">
        <v>0.0</v>
      </c>
      <c r="AH411" s="84">
        <v>1.0</v>
      </c>
      <c r="AI411" s="84">
        <v>0.0</v>
      </c>
      <c r="AJ411" s="84">
        <v>0.0</v>
      </c>
      <c r="AK411" s="84">
        <v>1.0</v>
      </c>
      <c r="AL411" s="84">
        <v>0.0</v>
      </c>
      <c r="AM411" s="84">
        <v>0.0</v>
      </c>
      <c r="AN411" s="84">
        <v>1.0</v>
      </c>
      <c r="AO411" s="84">
        <v>1.0</v>
      </c>
      <c r="AP411" s="84">
        <v>0.0</v>
      </c>
      <c r="AQ411" s="84">
        <v>0.0</v>
      </c>
      <c r="AR411" s="84">
        <v>0.0</v>
      </c>
      <c r="AS411" s="84">
        <v>0.0</v>
      </c>
      <c r="AT411" s="84">
        <v>1.0</v>
      </c>
      <c r="AU411" s="84">
        <v>0.0</v>
      </c>
      <c r="AV411" s="84">
        <v>0.0</v>
      </c>
      <c r="AW411" s="84">
        <v>0.0</v>
      </c>
      <c r="AX411" s="84">
        <v>0.0</v>
      </c>
      <c r="AY411" s="84">
        <v>1.0</v>
      </c>
      <c r="AZ411" s="84">
        <v>38.0</v>
      </c>
    </row>
    <row r="412" ht="12.75" customHeight="1">
      <c r="A412" s="84">
        <v>410.0</v>
      </c>
      <c r="B412" s="84" t="s">
        <v>4091</v>
      </c>
      <c r="C412" s="84">
        <v>1.0</v>
      </c>
      <c r="D412" s="84" t="s">
        <v>4935</v>
      </c>
      <c r="E412" s="84">
        <v>0.0</v>
      </c>
      <c r="F412" s="84" t="s">
        <v>5172</v>
      </c>
      <c r="G412" s="84">
        <v>40.0</v>
      </c>
      <c r="H412" s="84">
        <v>100.0</v>
      </c>
      <c r="I412" s="84">
        <v>30.0</v>
      </c>
      <c r="J412" s="84">
        <v>1.0</v>
      </c>
      <c r="N412" s="84">
        <v>0.0</v>
      </c>
      <c r="O412" s="84">
        <v>0.0</v>
      </c>
      <c r="P412" s="84">
        <v>0.0</v>
      </c>
      <c r="U412" s="84">
        <v>103.0</v>
      </c>
      <c r="X412" s="84">
        <v>0.0</v>
      </c>
      <c r="AH412" s="84">
        <v>0.0</v>
      </c>
      <c r="AI412" s="84">
        <v>0.0</v>
      </c>
      <c r="AJ412" s="84">
        <v>0.0</v>
      </c>
      <c r="AK412" s="84">
        <v>1.0</v>
      </c>
      <c r="AL412" s="84">
        <v>0.0</v>
      </c>
      <c r="AM412" s="84">
        <v>0.0</v>
      </c>
      <c r="AN412" s="84">
        <v>1.0</v>
      </c>
      <c r="AO412" s="84">
        <v>0.0</v>
      </c>
      <c r="AP412" s="84">
        <v>0.0</v>
      </c>
      <c r="AQ412" s="84">
        <v>0.0</v>
      </c>
      <c r="AR412" s="84">
        <v>0.0</v>
      </c>
      <c r="AS412" s="84">
        <v>0.0</v>
      </c>
      <c r="AT412" s="84">
        <v>0.0</v>
      </c>
      <c r="AU412" s="84">
        <v>0.0</v>
      </c>
      <c r="AV412" s="84">
        <v>0.0</v>
      </c>
      <c r="AW412" s="84">
        <v>0.0</v>
      </c>
      <c r="AX412" s="84">
        <v>0.0</v>
      </c>
      <c r="AY412" s="84">
        <v>1.0</v>
      </c>
      <c r="AZ412" s="84">
        <v>35.0</v>
      </c>
    </row>
    <row r="413" ht="12.75" customHeight="1">
      <c r="A413" s="84">
        <v>411.0</v>
      </c>
      <c r="B413" s="84" t="s">
        <v>3590</v>
      </c>
      <c r="C413" s="84">
        <v>1.0</v>
      </c>
      <c r="D413" s="84" t="s">
        <v>4935</v>
      </c>
      <c r="E413" s="84">
        <v>6.0</v>
      </c>
      <c r="F413" s="84" t="s">
        <v>5172</v>
      </c>
      <c r="G413" s="84">
        <v>120.0</v>
      </c>
      <c r="H413" s="84">
        <v>70.0</v>
      </c>
      <c r="I413" s="84">
        <v>5.0</v>
      </c>
      <c r="N413" s="84">
        <v>0.0</v>
      </c>
      <c r="O413" s="84">
        <v>0.0</v>
      </c>
      <c r="P413" s="84">
        <v>0.0</v>
      </c>
      <c r="U413" s="84">
        <v>72.0</v>
      </c>
      <c r="X413" s="84">
        <v>0.0</v>
      </c>
      <c r="Y413" s="84" t="s">
        <v>23</v>
      </c>
      <c r="Z413" s="84">
        <v>-1.0</v>
      </c>
      <c r="AA413" s="84">
        <v>10.0</v>
      </c>
      <c r="AH413" s="84">
        <v>0.0</v>
      </c>
      <c r="AI413" s="84">
        <v>0.0</v>
      </c>
      <c r="AJ413" s="84">
        <v>0.0</v>
      </c>
      <c r="AK413" s="84">
        <v>1.0</v>
      </c>
      <c r="AL413" s="84">
        <v>0.0</v>
      </c>
      <c r="AM413" s="84">
        <v>0.0</v>
      </c>
      <c r="AN413" s="84">
        <v>1.0</v>
      </c>
      <c r="AO413" s="84">
        <v>0.0</v>
      </c>
      <c r="AP413" s="84">
        <v>0.0</v>
      </c>
      <c r="AQ413" s="84">
        <v>0.0</v>
      </c>
      <c r="AR413" s="84">
        <v>0.0</v>
      </c>
      <c r="AS413" s="84">
        <v>0.0</v>
      </c>
      <c r="AT413" s="84">
        <v>0.0</v>
      </c>
      <c r="AU413" s="84">
        <v>0.0</v>
      </c>
      <c r="AV413" s="84">
        <v>0.0</v>
      </c>
      <c r="AW413" s="84">
        <v>0.0</v>
      </c>
      <c r="AX413" s="84">
        <v>0.0</v>
      </c>
      <c r="AY413" s="84">
        <v>1.0</v>
      </c>
      <c r="AZ413" s="84">
        <v>46.0</v>
      </c>
    </row>
    <row r="414" ht="12.75" customHeight="1">
      <c r="A414" s="84">
        <v>412.0</v>
      </c>
      <c r="B414" s="84" t="s">
        <v>3730</v>
      </c>
      <c r="C414" s="84">
        <v>1.0</v>
      </c>
      <c r="D414" s="84" t="s">
        <v>4904</v>
      </c>
      <c r="E414" s="84">
        <v>6.0</v>
      </c>
      <c r="F414" s="84" t="s">
        <v>5172</v>
      </c>
      <c r="G414" s="84">
        <v>90.0</v>
      </c>
      <c r="H414" s="84">
        <v>100.0</v>
      </c>
      <c r="I414" s="84">
        <v>10.0</v>
      </c>
      <c r="N414" s="84">
        <v>0.0</v>
      </c>
      <c r="O414" s="84">
        <v>0.0</v>
      </c>
      <c r="P414" s="84">
        <v>0.0</v>
      </c>
      <c r="U414" s="84">
        <v>72.0</v>
      </c>
      <c r="X414" s="84">
        <v>0.0</v>
      </c>
      <c r="Y414" s="84" t="s">
        <v>23</v>
      </c>
      <c r="Z414" s="84">
        <v>-1.0</v>
      </c>
      <c r="AA414" s="84">
        <v>10.0</v>
      </c>
      <c r="AH414" s="84">
        <v>0.0</v>
      </c>
      <c r="AI414" s="84">
        <v>0.0</v>
      </c>
      <c r="AJ414" s="84">
        <v>0.0</v>
      </c>
      <c r="AK414" s="84">
        <v>1.0</v>
      </c>
      <c r="AL414" s="84">
        <v>0.0</v>
      </c>
      <c r="AM414" s="84">
        <v>0.0</v>
      </c>
      <c r="AN414" s="84">
        <v>1.0</v>
      </c>
      <c r="AO414" s="84">
        <v>0.0</v>
      </c>
      <c r="AP414" s="84">
        <v>0.0</v>
      </c>
      <c r="AQ414" s="84">
        <v>0.0</v>
      </c>
      <c r="AR414" s="84">
        <v>0.0</v>
      </c>
      <c r="AS414" s="84">
        <v>0.0</v>
      </c>
      <c r="AT414" s="84">
        <v>0.0</v>
      </c>
      <c r="AU414" s="84">
        <v>0.0</v>
      </c>
      <c r="AV414" s="84">
        <v>0.0</v>
      </c>
      <c r="AW414" s="84">
        <v>0.0</v>
      </c>
      <c r="AX414" s="84">
        <v>0.0</v>
      </c>
      <c r="AY414" s="84">
        <v>1.0</v>
      </c>
      <c r="AZ414" s="84">
        <v>41.0</v>
      </c>
    </row>
    <row r="415" ht="12.75" customHeight="1">
      <c r="A415" s="84">
        <v>413.0</v>
      </c>
      <c r="B415" s="84" t="s">
        <v>3538</v>
      </c>
      <c r="C415" s="84">
        <v>1.0</v>
      </c>
      <c r="D415" s="84" t="s">
        <v>4907</v>
      </c>
      <c r="E415" s="84">
        <v>0.0</v>
      </c>
      <c r="F415" s="84" t="s">
        <v>5135</v>
      </c>
      <c r="G415" s="84">
        <v>120.0</v>
      </c>
      <c r="H415" s="84">
        <v>100.0</v>
      </c>
      <c r="I415" s="84">
        <v>15.0</v>
      </c>
      <c r="N415" s="84">
        <v>0.0</v>
      </c>
      <c r="O415" s="84">
        <v>0.0</v>
      </c>
      <c r="P415" s="84">
        <v>0.0</v>
      </c>
      <c r="U415" s="84">
        <v>198.0</v>
      </c>
      <c r="V415" s="84">
        <v>-33.0</v>
      </c>
      <c r="X415" s="84">
        <v>0.0</v>
      </c>
      <c r="AH415" s="84">
        <v>1.0</v>
      </c>
      <c r="AI415" s="84">
        <v>0.0</v>
      </c>
      <c r="AJ415" s="84">
        <v>0.0</v>
      </c>
      <c r="AK415" s="84">
        <v>1.0</v>
      </c>
      <c r="AL415" s="84">
        <v>0.0</v>
      </c>
      <c r="AM415" s="84">
        <v>0.0</v>
      </c>
      <c r="AN415" s="84">
        <v>1.0</v>
      </c>
      <c r="AO415" s="84">
        <v>0.0</v>
      </c>
      <c r="AP415" s="84">
        <v>0.0</v>
      </c>
      <c r="AQ415" s="84">
        <v>0.0</v>
      </c>
      <c r="AR415" s="84">
        <v>0.0</v>
      </c>
      <c r="AS415" s="84">
        <v>1.0</v>
      </c>
      <c r="AT415" s="84">
        <v>0.0</v>
      </c>
      <c r="AU415" s="84">
        <v>0.0</v>
      </c>
      <c r="AV415" s="84">
        <v>0.0</v>
      </c>
      <c r="AW415" s="84">
        <v>0.0</v>
      </c>
      <c r="AX415" s="84">
        <v>0.0</v>
      </c>
      <c r="AY415" s="84">
        <v>1.0</v>
      </c>
      <c r="AZ415" s="84">
        <v>43.0</v>
      </c>
    </row>
    <row r="416" ht="12.75" customHeight="1">
      <c r="A416" s="84">
        <v>414.0</v>
      </c>
      <c r="B416" s="84" t="s">
        <v>2832</v>
      </c>
      <c r="C416" s="84">
        <v>1.0</v>
      </c>
      <c r="D416" s="84" t="s">
        <v>4922</v>
      </c>
      <c r="E416" s="84">
        <v>6.0</v>
      </c>
      <c r="F416" s="84" t="s">
        <v>5172</v>
      </c>
      <c r="G416" s="84">
        <v>90.0</v>
      </c>
      <c r="H416" s="84">
        <v>100.0</v>
      </c>
      <c r="I416" s="84">
        <v>10.0</v>
      </c>
      <c r="N416" s="84">
        <v>0.0</v>
      </c>
      <c r="O416" s="84">
        <v>0.0</v>
      </c>
      <c r="P416" s="84">
        <v>0.0</v>
      </c>
      <c r="U416" s="84">
        <v>72.0</v>
      </c>
      <c r="X416" s="84">
        <v>0.0</v>
      </c>
      <c r="Y416" s="84" t="s">
        <v>23</v>
      </c>
      <c r="Z416" s="84">
        <v>-1.0</v>
      </c>
      <c r="AA416" s="84">
        <v>10.0</v>
      </c>
      <c r="AH416" s="84">
        <v>0.0</v>
      </c>
      <c r="AI416" s="84">
        <v>0.0</v>
      </c>
      <c r="AJ416" s="84">
        <v>0.0</v>
      </c>
      <c r="AK416" s="84">
        <v>1.0</v>
      </c>
      <c r="AL416" s="84">
        <v>0.0</v>
      </c>
      <c r="AM416" s="84">
        <v>0.0</v>
      </c>
      <c r="AN416" s="84">
        <v>1.0</v>
      </c>
      <c r="AO416" s="84">
        <v>0.0</v>
      </c>
      <c r="AP416" s="84">
        <v>0.0</v>
      </c>
      <c r="AQ416" s="84">
        <v>0.0</v>
      </c>
      <c r="AR416" s="84">
        <v>0.0</v>
      </c>
      <c r="AS416" s="84">
        <v>0.0</v>
      </c>
      <c r="AT416" s="84">
        <v>0.0</v>
      </c>
      <c r="AU416" s="84">
        <v>0.0</v>
      </c>
      <c r="AV416" s="84">
        <v>1.0</v>
      </c>
      <c r="AW416" s="84">
        <v>0.0</v>
      </c>
      <c r="AX416" s="84">
        <v>0.0</v>
      </c>
      <c r="AY416" s="84">
        <v>1.0</v>
      </c>
      <c r="AZ416" s="84">
        <v>41.0</v>
      </c>
    </row>
    <row r="417" ht="12.75" customHeight="1">
      <c r="A417" s="84">
        <v>415.0</v>
      </c>
      <c r="B417" s="84" t="s">
        <v>5719</v>
      </c>
      <c r="C417" s="84">
        <v>1.0</v>
      </c>
      <c r="D417" s="84" t="s">
        <v>4972</v>
      </c>
      <c r="E417" s="84">
        <v>13.0</v>
      </c>
      <c r="F417" s="84" t="s">
        <v>5131</v>
      </c>
      <c r="G417" s="84">
        <v>0.0</v>
      </c>
      <c r="H417" s="84">
        <v>100.0</v>
      </c>
      <c r="I417" s="84">
        <v>10.0</v>
      </c>
      <c r="N417" s="84">
        <v>0.0</v>
      </c>
      <c r="O417" s="84">
        <v>0.0</v>
      </c>
      <c r="P417" s="84">
        <v>0.0</v>
      </c>
      <c r="U417" s="84">
        <v>177.0</v>
      </c>
      <c r="X417" s="84">
        <v>0.0</v>
      </c>
      <c r="AH417" s="84">
        <v>0.0</v>
      </c>
      <c r="AI417" s="84">
        <v>0.0</v>
      </c>
      <c r="AJ417" s="84">
        <v>0.0</v>
      </c>
      <c r="AK417" s="84">
        <v>1.0</v>
      </c>
      <c r="AL417" s="84">
        <v>0.0</v>
      </c>
      <c r="AM417" s="84">
        <v>0.0</v>
      </c>
      <c r="AN417" s="84">
        <v>1.0</v>
      </c>
      <c r="AO417" s="84">
        <v>0.0</v>
      </c>
      <c r="AP417" s="84">
        <v>0.0</v>
      </c>
      <c r="AQ417" s="84">
        <v>0.0</v>
      </c>
      <c r="AR417" s="84">
        <v>0.0</v>
      </c>
      <c r="AS417" s="84">
        <v>0.0</v>
      </c>
      <c r="AT417" s="84">
        <v>0.0</v>
      </c>
      <c r="AU417" s="84">
        <v>0.0</v>
      </c>
      <c r="AV417" s="84">
        <v>0.0</v>
      </c>
      <c r="AW417" s="84">
        <v>1.0</v>
      </c>
      <c r="AX417" s="84">
        <v>0.0</v>
      </c>
      <c r="AY417" s="84">
        <v>0.0</v>
      </c>
      <c r="AZ417" s="84">
        <v>0.0</v>
      </c>
    </row>
    <row r="418" ht="12.75" customHeight="1">
      <c r="A418" s="84">
        <v>416.0</v>
      </c>
      <c r="B418" s="84" t="s">
        <v>3636</v>
      </c>
      <c r="C418" s="84">
        <v>1.0</v>
      </c>
      <c r="D418" s="84" t="s">
        <v>4916</v>
      </c>
      <c r="E418" s="84">
        <v>0.0</v>
      </c>
      <c r="F418" s="84" t="s">
        <v>5135</v>
      </c>
      <c r="G418" s="84">
        <v>150.0</v>
      </c>
      <c r="H418" s="84">
        <v>90.0</v>
      </c>
      <c r="I418" s="84">
        <v>5.0</v>
      </c>
      <c r="N418" s="84">
        <v>0.0</v>
      </c>
      <c r="O418" s="84">
        <v>0.0</v>
      </c>
      <c r="P418" s="84">
        <v>0.0</v>
      </c>
      <c r="U418" s="84">
        <v>80.0</v>
      </c>
      <c r="X418" s="84">
        <v>0.0</v>
      </c>
      <c r="AH418" s="84">
        <v>1.0</v>
      </c>
      <c r="AI418" s="84">
        <v>0.0</v>
      </c>
      <c r="AJ418" s="84">
        <v>1.0</v>
      </c>
      <c r="AK418" s="84">
        <v>1.0</v>
      </c>
      <c r="AL418" s="84">
        <v>0.0</v>
      </c>
      <c r="AM418" s="84">
        <v>0.0</v>
      </c>
      <c r="AN418" s="84">
        <v>1.0</v>
      </c>
      <c r="AO418" s="84">
        <v>0.0</v>
      </c>
      <c r="AP418" s="84">
        <v>0.0</v>
      </c>
      <c r="AQ418" s="84">
        <v>0.0</v>
      </c>
      <c r="AR418" s="84">
        <v>0.0</v>
      </c>
      <c r="AS418" s="84">
        <v>0.0</v>
      </c>
      <c r="AT418" s="84">
        <v>0.0</v>
      </c>
      <c r="AU418" s="84">
        <v>0.0</v>
      </c>
      <c r="AV418" s="84">
        <v>0.0</v>
      </c>
      <c r="AW418" s="84">
        <v>0.0</v>
      </c>
      <c r="AX418" s="84">
        <v>0.0</v>
      </c>
      <c r="AY418" s="84">
        <v>1.0</v>
      </c>
      <c r="AZ418" s="84">
        <v>44.0</v>
      </c>
    </row>
    <row r="419" ht="12.75" customHeight="1">
      <c r="A419" s="84">
        <v>417.0</v>
      </c>
      <c r="B419" s="84" t="s">
        <v>2638</v>
      </c>
      <c r="C419" s="84">
        <v>1.0</v>
      </c>
      <c r="D419" s="84" t="s">
        <v>4972</v>
      </c>
      <c r="E419" s="84">
        <v>2.0</v>
      </c>
      <c r="F419" s="84" t="s">
        <v>5131</v>
      </c>
      <c r="G419" s="84">
        <v>0.0</v>
      </c>
      <c r="H419" s="84">
        <v>101.0</v>
      </c>
      <c r="I419" s="84">
        <v>20.0</v>
      </c>
      <c r="N419" s="84">
        <v>0.0</v>
      </c>
      <c r="O419" s="84">
        <v>0.0</v>
      </c>
      <c r="P419" s="84">
        <v>0.0</v>
      </c>
      <c r="U419" s="84">
        <v>53.0</v>
      </c>
      <c r="X419" s="84">
        <v>7.0</v>
      </c>
      <c r="Y419" s="84" t="s">
        <v>22</v>
      </c>
      <c r="Z419" s="84">
        <v>2.0</v>
      </c>
      <c r="AH419" s="84">
        <v>0.0</v>
      </c>
      <c r="AI419" s="84">
        <v>0.0</v>
      </c>
      <c r="AJ419" s="84">
        <v>0.0</v>
      </c>
      <c r="AK419" s="84">
        <v>0.0</v>
      </c>
      <c r="AL419" s="84">
        <v>0.0</v>
      </c>
      <c r="AM419" s="84">
        <v>1.0</v>
      </c>
      <c r="AN419" s="84">
        <v>0.0</v>
      </c>
      <c r="AO419" s="84">
        <v>0.0</v>
      </c>
      <c r="AP419" s="84">
        <v>0.0</v>
      </c>
      <c r="AQ419" s="84">
        <v>0.0</v>
      </c>
      <c r="AR419" s="84">
        <v>0.0</v>
      </c>
      <c r="AS419" s="84">
        <v>0.0</v>
      </c>
      <c r="AT419" s="84">
        <v>0.0</v>
      </c>
      <c r="AU419" s="84">
        <v>0.0</v>
      </c>
      <c r="AV419" s="84">
        <v>0.0</v>
      </c>
      <c r="AW419" s="84">
        <v>0.0</v>
      </c>
      <c r="AX419" s="84">
        <v>0.0</v>
      </c>
      <c r="AY419" s="84">
        <v>1.0</v>
      </c>
      <c r="AZ419" s="84">
        <v>9.0</v>
      </c>
    </row>
    <row r="420" ht="12.75" customHeight="1">
      <c r="A420" s="84">
        <v>418.0</v>
      </c>
      <c r="B420" s="84" t="s">
        <v>3784</v>
      </c>
      <c r="C420" s="84">
        <v>1.0</v>
      </c>
      <c r="D420" s="84" t="s">
        <v>4975</v>
      </c>
      <c r="E420" s="84">
        <v>0.0</v>
      </c>
      <c r="F420" s="84" t="s">
        <v>5135</v>
      </c>
      <c r="G420" s="84">
        <v>40.0</v>
      </c>
      <c r="H420" s="84">
        <v>100.0</v>
      </c>
      <c r="I420" s="84">
        <v>30.0</v>
      </c>
      <c r="J420" s="84">
        <v>1.0</v>
      </c>
      <c r="N420" s="84">
        <v>0.0</v>
      </c>
      <c r="O420" s="84">
        <v>0.0</v>
      </c>
      <c r="P420" s="84">
        <v>0.0</v>
      </c>
      <c r="U420" s="84">
        <v>103.0</v>
      </c>
      <c r="X420" s="84">
        <v>0.0</v>
      </c>
      <c r="AH420" s="84">
        <v>1.0</v>
      </c>
      <c r="AI420" s="84">
        <v>0.0</v>
      </c>
      <c r="AJ420" s="84">
        <v>0.0</v>
      </c>
      <c r="AK420" s="84">
        <v>1.0</v>
      </c>
      <c r="AL420" s="84">
        <v>0.0</v>
      </c>
      <c r="AM420" s="84">
        <v>0.0</v>
      </c>
      <c r="AN420" s="84">
        <v>1.0</v>
      </c>
      <c r="AO420" s="84">
        <v>1.0</v>
      </c>
      <c r="AP420" s="84">
        <v>0.0</v>
      </c>
      <c r="AQ420" s="84">
        <v>0.0</v>
      </c>
      <c r="AR420" s="84">
        <v>0.0</v>
      </c>
      <c r="AS420" s="84">
        <v>0.0</v>
      </c>
      <c r="AT420" s="84">
        <v>0.0</v>
      </c>
      <c r="AU420" s="84">
        <v>0.0</v>
      </c>
      <c r="AV420" s="84">
        <v>0.0</v>
      </c>
      <c r="AW420" s="84">
        <v>0.0</v>
      </c>
      <c r="AX420" s="84">
        <v>0.0</v>
      </c>
      <c r="AY420" s="84">
        <v>1.0</v>
      </c>
      <c r="AZ420" s="84">
        <v>32.0</v>
      </c>
    </row>
    <row r="421" ht="12.75" customHeight="1">
      <c r="A421" s="84">
        <v>419.0</v>
      </c>
      <c r="B421" s="84" t="s">
        <v>2874</v>
      </c>
      <c r="C421" s="84">
        <v>1.0</v>
      </c>
      <c r="D421" s="84" t="s">
        <v>4942</v>
      </c>
      <c r="E421" s="84">
        <v>0.0</v>
      </c>
      <c r="F421" s="84" t="s">
        <v>5135</v>
      </c>
      <c r="G421" s="84">
        <v>60.0</v>
      </c>
      <c r="H421" s="84">
        <v>100.0</v>
      </c>
      <c r="I421" s="84">
        <v>10.0</v>
      </c>
      <c r="J421" s="84">
        <v>-4.0</v>
      </c>
      <c r="N421" s="84">
        <v>0.0</v>
      </c>
      <c r="O421" s="84">
        <v>0.0</v>
      </c>
      <c r="P421" s="84">
        <v>0.0</v>
      </c>
      <c r="U421" s="84">
        <v>185.0</v>
      </c>
      <c r="X421" s="84">
        <v>0.0</v>
      </c>
      <c r="AH421" s="84">
        <v>1.0</v>
      </c>
      <c r="AI421" s="84">
        <v>0.0</v>
      </c>
      <c r="AJ421" s="84">
        <v>0.0</v>
      </c>
      <c r="AK421" s="84">
        <v>1.0</v>
      </c>
      <c r="AL421" s="84">
        <v>0.0</v>
      </c>
      <c r="AM421" s="84">
        <v>0.0</v>
      </c>
      <c r="AN421" s="84">
        <v>1.0</v>
      </c>
      <c r="AO421" s="84">
        <v>0.0</v>
      </c>
      <c r="AP421" s="84">
        <v>0.0</v>
      </c>
      <c r="AQ421" s="84">
        <v>0.0</v>
      </c>
      <c r="AR421" s="84">
        <v>0.0</v>
      </c>
      <c r="AS421" s="84">
        <v>0.0</v>
      </c>
      <c r="AT421" s="84">
        <v>0.0</v>
      </c>
      <c r="AU421" s="84">
        <v>0.0</v>
      </c>
      <c r="AV421" s="84">
        <v>0.0</v>
      </c>
      <c r="AW421" s="84">
        <v>0.0</v>
      </c>
      <c r="AX421" s="84">
        <v>0.0</v>
      </c>
      <c r="AY421" s="84">
        <v>1.0</v>
      </c>
      <c r="AZ421" s="84">
        <v>37.0</v>
      </c>
    </row>
    <row r="422" ht="12.75" customHeight="1">
      <c r="A422" s="84">
        <v>420.0</v>
      </c>
      <c r="B422" s="84" t="s">
        <v>3048</v>
      </c>
      <c r="C422" s="84">
        <v>1.0</v>
      </c>
      <c r="D422" s="84" t="s">
        <v>4942</v>
      </c>
      <c r="E422" s="84">
        <v>0.0</v>
      </c>
      <c r="F422" s="84" t="s">
        <v>5135</v>
      </c>
      <c r="G422" s="84">
        <v>40.0</v>
      </c>
      <c r="H422" s="84">
        <v>100.0</v>
      </c>
      <c r="I422" s="84">
        <v>30.0</v>
      </c>
      <c r="J422" s="84">
        <v>1.0</v>
      </c>
      <c r="N422" s="84">
        <v>0.0</v>
      </c>
      <c r="O422" s="84">
        <v>0.0</v>
      </c>
      <c r="P422" s="84">
        <v>0.0</v>
      </c>
      <c r="U422" s="84">
        <v>103.0</v>
      </c>
      <c r="X422" s="84">
        <v>0.0</v>
      </c>
      <c r="AH422" s="84">
        <v>0.0</v>
      </c>
      <c r="AI422" s="84">
        <v>0.0</v>
      </c>
      <c r="AJ422" s="84">
        <v>0.0</v>
      </c>
      <c r="AK422" s="84">
        <v>1.0</v>
      </c>
      <c r="AL422" s="84">
        <v>0.0</v>
      </c>
      <c r="AM422" s="84">
        <v>0.0</v>
      </c>
      <c r="AN422" s="84">
        <v>1.0</v>
      </c>
      <c r="AO422" s="84">
        <v>0.0</v>
      </c>
      <c r="AP422" s="84">
        <v>0.0</v>
      </c>
      <c r="AQ422" s="84">
        <v>0.0</v>
      </c>
      <c r="AR422" s="84">
        <v>0.0</v>
      </c>
      <c r="AS422" s="84">
        <v>0.0</v>
      </c>
      <c r="AT422" s="84">
        <v>0.0</v>
      </c>
      <c r="AU422" s="84">
        <v>0.0</v>
      </c>
      <c r="AV422" s="84">
        <v>0.0</v>
      </c>
      <c r="AW422" s="84">
        <v>0.0</v>
      </c>
      <c r="AX422" s="84">
        <v>0.0</v>
      </c>
      <c r="AY422" s="84">
        <v>1.0</v>
      </c>
      <c r="AZ422" s="84">
        <v>32.0</v>
      </c>
    </row>
    <row r="423" ht="12.75" customHeight="1">
      <c r="A423" s="84">
        <v>421.0</v>
      </c>
      <c r="B423" s="84" t="s">
        <v>2886</v>
      </c>
      <c r="C423" s="84">
        <v>1.0</v>
      </c>
      <c r="D423" s="84" t="s">
        <v>4945</v>
      </c>
      <c r="E423" s="84">
        <v>0.0</v>
      </c>
      <c r="F423" s="84" t="s">
        <v>5135</v>
      </c>
      <c r="G423" s="84">
        <v>70.0</v>
      </c>
      <c r="H423" s="84">
        <v>100.0</v>
      </c>
      <c r="I423" s="84">
        <v>15.0</v>
      </c>
      <c r="N423" s="84">
        <v>0.0</v>
      </c>
      <c r="O423" s="84">
        <v>0.0</v>
      </c>
      <c r="P423" s="84">
        <v>0.0</v>
      </c>
      <c r="S423" s="84">
        <v>1.0</v>
      </c>
      <c r="U423" s="84">
        <v>43.0</v>
      </c>
      <c r="X423" s="84">
        <v>0.0</v>
      </c>
      <c r="AH423" s="84">
        <v>1.0</v>
      </c>
      <c r="AI423" s="84">
        <v>0.0</v>
      </c>
      <c r="AJ423" s="84">
        <v>0.0</v>
      </c>
      <c r="AK423" s="84">
        <v>1.0</v>
      </c>
      <c r="AL423" s="84">
        <v>0.0</v>
      </c>
      <c r="AM423" s="84">
        <v>0.0</v>
      </c>
      <c r="AN423" s="84">
        <v>1.0</v>
      </c>
      <c r="AO423" s="84">
        <v>0.0</v>
      </c>
      <c r="AP423" s="84">
        <v>0.0</v>
      </c>
      <c r="AQ423" s="84">
        <v>0.0</v>
      </c>
      <c r="AR423" s="84">
        <v>0.0</v>
      </c>
      <c r="AS423" s="84">
        <v>0.0</v>
      </c>
      <c r="AT423" s="84">
        <v>0.0</v>
      </c>
      <c r="AU423" s="84">
        <v>0.0</v>
      </c>
      <c r="AV423" s="84">
        <v>0.0</v>
      </c>
      <c r="AW423" s="84">
        <v>0.0</v>
      </c>
      <c r="AX423" s="84">
        <v>0.0</v>
      </c>
      <c r="AY423" s="84">
        <v>1.0</v>
      </c>
      <c r="AZ423" s="84">
        <v>38.0</v>
      </c>
    </row>
    <row r="424" ht="12.75" customHeight="1">
      <c r="A424" s="84">
        <v>422.0</v>
      </c>
      <c r="B424" s="84" t="s">
        <v>3793</v>
      </c>
      <c r="C424" s="84">
        <v>1.0</v>
      </c>
      <c r="D424" s="84" t="s">
        <v>4921</v>
      </c>
      <c r="E424" s="84">
        <v>4.0</v>
      </c>
      <c r="F424" s="84" t="s">
        <v>5135</v>
      </c>
      <c r="G424" s="84">
        <v>65.0</v>
      </c>
      <c r="H424" s="84">
        <v>95.0</v>
      </c>
      <c r="I424" s="84">
        <v>15.0</v>
      </c>
      <c r="M424" s="84" t="s">
        <v>5158</v>
      </c>
      <c r="N424" s="84">
        <v>1.0</v>
      </c>
      <c r="O424" s="84">
        <v>10.0</v>
      </c>
      <c r="P424" s="84">
        <v>1.0</v>
      </c>
      <c r="T424" s="84">
        <v>10.0</v>
      </c>
      <c r="U424" s="84">
        <v>275.0</v>
      </c>
      <c r="X424" s="84">
        <v>0.0</v>
      </c>
      <c r="AH424" s="84">
        <v>1.0</v>
      </c>
      <c r="AI424" s="84">
        <v>0.0</v>
      </c>
      <c r="AJ424" s="84">
        <v>0.0</v>
      </c>
      <c r="AK424" s="84">
        <v>1.0</v>
      </c>
      <c r="AL424" s="84">
        <v>0.0</v>
      </c>
      <c r="AM424" s="84">
        <v>0.0</v>
      </c>
      <c r="AN424" s="84">
        <v>1.0</v>
      </c>
      <c r="AO424" s="84">
        <v>0.0</v>
      </c>
      <c r="AP424" s="84">
        <v>0.0</v>
      </c>
      <c r="AQ424" s="84">
        <v>0.0</v>
      </c>
      <c r="AR424" s="84">
        <v>0.0</v>
      </c>
      <c r="AS424" s="84">
        <v>0.0</v>
      </c>
      <c r="AT424" s="84">
        <v>0.0</v>
      </c>
      <c r="AU424" s="84">
        <v>0.0</v>
      </c>
      <c r="AV424" s="84">
        <v>0.0</v>
      </c>
      <c r="AW424" s="84">
        <v>0.0</v>
      </c>
      <c r="AX424" s="84">
        <v>0.0</v>
      </c>
      <c r="AY424" s="84">
        <v>1.0</v>
      </c>
      <c r="AZ424" s="84">
        <v>38.0</v>
      </c>
    </row>
    <row r="425" ht="12.75" customHeight="1">
      <c r="A425" s="84">
        <v>423.0</v>
      </c>
      <c r="B425" s="84" t="s">
        <v>3603</v>
      </c>
      <c r="C425" s="84">
        <v>1.0</v>
      </c>
      <c r="D425" s="84" t="s">
        <v>4942</v>
      </c>
      <c r="E425" s="84">
        <v>4.0</v>
      </c>
      <c r="F425" s="84" t="s">
        <v>5135</v>
      </c>
      <c r="G425" s="84">
        <v>65.0</v>
      </c>
      <c r="H425" s="84">
        <v>95.0</v>
      </c>
      <c r="I425" s="84">
        <v>15.0</v>
      </c>
      <c r="M425" s="84" t="s">
        <v>5155</v>
      </c>
      <c r="N425" s="84">
        <v>3.0</v>
      </c>
      <c r="O425" s="84">
        <v>10.0</v>
      </c>
      <c r="P425" s="84">
        <v>1.0</v>
      </c>
      <c r="T425" s="84">
        <v>10.0</v>
      </c>
      <c r="U425" s="84">
        <v>274.0</v>
      </c>
      <c r="X425" s="84">
        <v>0.0</v>
      </c>
      <c r="AH425" s="84">
        <v>1.0</v>
      </c>
      <c r="AI425" s="84">
        <v>0.0</v>
      </c>
      <c r="AJ425" s="84">
        <v>0.0</v>
      </c>
      <c r="AK425" s="84">
        <v>1.0</v>
      </c>
      <c r="AL425" s="84">
        <v>0.0</v>
      </c>
      <c r="AM425" s="84">
        <v>0.0</v>
      </c>
      <c r="AN425" s="84">
        <v>1.0</v>
      </c>
      <c r="AO425" s="84">
        <v>0.0</v>
      </c>
      <c r="AP425" s="84">
        <v>0.0</v>
      </c>
      <c r="AQ425" s="84">
        <v>0.0</v>
      </c>
      <c r="AR425" s="84">
        <v>0.0</v>
      </c>
      <c r="AS425" s="84">
        <v>0.0</v>
      </c>
      <c r="AT425" s="84">
        <v>0.0</v>
      </c>
      <c r="AU425" s="84">
        <v>0.0</v>
      </c>
      <c r="AV425" s="84">
        <v>0.0</v>
      </c>
      <c r="AW425" s="84">
        <v>0.0</v>
      </c>
      <c r="AX425" s="84">
        <v>0.0</v>
      </c>
      <c r="AY425" s="84">
        <v>1.0</v>
      </c>
      <c r="AZ425" s="84">
        <v>38.0</v>
      </c>
    </row>
    <row r="426" ht="12.75" customHeight="1">
      <c r="A426" s="84">
        <v>424.0</v>
      </c>
      <c r="B426" s="84" t="s">
        <v>2580</v>
      </c>
      <c r="C426" s="84">
        <v>1.0</v>
      </c>
      <c r="D426" s="84" t="s">
        <v>4906</v>
      </c>
      <c r="E426" s="84">
        <v>4.0</v>
      </c>
      <c r="F426" s="84" t="s">
        <v>5135</v>
      </c>
      <c r="G426" s="84">
        <v>65.0</v>
      </c>
      <c r="H426" s="84">
        <v>95.0</v>
      </c>
      <c r="I426" s="84">
        <v>15.0</v>
      </c>
      <c r="M426" s="84" t="s">
        <v>5152</v>
      </c>
      <c r="N426" s="84">
        <v>4.0</v>
      </c>
      <c r="O426" s="84">
        <v>10.0</v>
      </c>
      <c r="P426" s="84">
        <v>1.0</v>
      </c>
      <c r="T426" s="84">
        <v>10.0</v>
      </c>
      <c r="U426" s="84">
        <v>273.0</v>
      </c>
      <c r="X426" s="84">
        <v>0.0</v>
      </c>
      <c r="AH426" s="84">
        <v>1.0</v>
      </c>
      <c r="AI426" s="84">
        <v>0.0</v>
      </c>
      <c r="AJ426" s="84">
        <v>0.0</v>
      </c>
      <c r="AK426" s="84">
        <v>1.0</v>
      </c>
      <c r="AL426" s="84">
        <v>0.0</v>
      </c>
      <c r="AM426" s="84">
        <v>0.0</v>
      </c>
      <c r="AN426" s="84">
        <v>1.0</v>
      </c>
      <c r="AO426" s="84">
        <v>0.0</v>
      </c>
      <c r="AP426" s="84">
        <v>0.0</v>
      </c>
      <c r="AQ426" s="84">
        <v>0.0</v>
      </c>
      <c r="AR426" s="84">
        <v>0.0</v>
      </c>
      <c r="AS426" s="84">
        <v>0.0</v>
      </c>
      <c r="AT426" s="84">
        <v>0.0</v>
      </c>
      <c r="AU426" s="84">
        <v>0.0</v>
      </c>
      <c r="AV426" s="84">
        <v>0.0</v>
      </c>
      <c r="AW426" s="84">
        <v>0.0</v>
      </c>
      <c r="AX426" s="84">
        <v>0.0</v>
      </c>
      <c r="AY426" s="84">
        <v>1.0</v>
      </c>
      <c r="AZ426" s="84">
        <v>38.0</v>
      </c>
    </row>
    <row r="427" ht="12.75" customHeight="1">
      <c r="A427" s="84">
        <v>425.0</v>
      </c>
      <c r="B427" s="84" t="s">
        <v>2670</v>
      </c>
      <c r="C427" s="84">
        <v>1.0</v>
      </c>
      <c r="D427" s="84" t="s">
        <v>4945</v>
      </c>
      <c r="E427" s="84">
        <v>0.0</v>
      </c>
      <c r="F427" s="84" t="s">
        <v>5135</v>
      </c>
      <c r="G427" s="84">
        <v>40.0</v>
      </c>
      <c r="H427" s="84">
        <v>100.0</v>
      </c>
      <c r="I427" s="84">
        <v>30.0</v>
      </c>
      <c r="J427" s="84">
        <v>1.0</v>
      </c>
      <c r="N427" s="84">
        <v>0.0</v>
      </c>
      <c r="O427" s="84">
        <v>0.0</v>
      </c>
      <c r="P427" s="84">
        <v>0.0</v>
      </c>
      <c r="U427" s="84">
        <v>103.0</v>
      </c>
      <c r="X427" s="84">
        <v>0.0</v>
      </c>
      <c r="AH427" s="84">
        <v>1.0</v>
      </c>
      <c r="AI427" s="84">
        <v>0.0</v>
      </c>
      <c r="AJ427" s="84">
        <v>0.0</v>
      </c>
      <c r="AK427" s="84">
        <v>1.0</v>
      </c>
      <c r="AL427" s="84">
        <v>0.0</v>
      </c>
      <c r="AM427" s="84">
        <v>0.0</v>
      </c>
      <c r="AN427" s="84">
        <v>1.0</v>
      </c>
      <c r="AO427" s="84">
        <v>0.0</v>
      </c>
      <c r="AP427" s="84">
        <v>0.0</v>
      </c>
      <c r="AQ427" s="84">
        <v>0.0</v>
      </c>
      <c r="AR427" s="84">
        <v>0.0</v>
      </c>
      <c r="AS427" s="84">
        <v>0.0</v>
      </c>
      <c r="AT427" s="84">
        <v>0.0</v>
      </c>
      <c r="AU427" s="84">
        <v>0.0</v>
      </c>
      <c r="AV427" s="84">
        <v>0.0</v>
      </c>
      <c r="AW427" s="84">
        <v>0.0</v>
      </c>
      <c r="AX427" s="84">
        <v>0.0</v>
      </c>
      <c r="AY427" s="84">
        <v>1.0</v>
      </c>
      <c r="AZ427" s="84">
        <v>32.0</v>
      </c>
    </row>
    <row r="428" ht="12.75" customHeight="1">
      <c r="A428" s="84">
        <v>426.0</v>
      </c>
      <c r="B428" s="84" t="s">
        <v>5720</v>
      </c>
      <c r="C428" s="84">
        <v>0.0</v>
      </c>
      <c r="D428" s="84" t="s">
        <v>4922</v>
      </c>
      <c r="E428" s="84">
        <v>6.0</v>
      </c>
      <c r="F428" s="84" t="s">
        <v>5172</v>
      </c>
      <c r="G428" s="84">
        <v>65.0</v>
      </c>
      <c r="H428" s="84">
        <v>85.0</v>
      </c>
      <c r="I428" s="84">
        <v>10.0</v>
      </c>
      <c r="J428" s="84"/>
      <c r="K428" s="84"/>
      <c r="L428" s="84"/>
      <c r="M428" s="84"/>
      <c r="N428" s="84">
        <v>0.0</v>
      </c>
      <c r="O428" s="84">
        <v>0.0</v>
      </c>
      <c r="P428" s="84">
        <v>0.0</v>
      </c>
      <c r="Q428" s="84"/>
      <c r="R428" s="84"/>
      <c r="S428" s="84"/>
      <c r="T428" s="84"/>
      <c r="U428" s="84">
        <v>73.0</v>
      </c>
      <c r="V428" s="84"/>
      <c r="W428" s="84"/>
      <c r="X428" s="84">
        <v>0.0</v>
      </c>
      <c r="Y428" s="84" t="s">
        <v>5092</v>
      </c>
      <c r="Z428" s="84">
        <v>-1.0</v>
      </c>
      <c r="AA428" s="84">
        <v>30.0</v>
      </c>
      <c r="AB428" s="84"/>
      <c r="AC428" s="84"/>
      <c r="AD428" s="84"/>
      <c r="AE428" s="84"/>
      <c r="AF428" s="84"/>
      <c r="AG428" s="84"/>
      <c r="AH428" s="84">
        <v>0.0</v>
      </c>
      <c r="AI428" s="84">
        <v>0.0</v>
      </c>
      <c r="AJ428" s="84">
        <v>0.0</v>
      </c>
      <c r="AK428" s="84">
        <v>1.0</v>
      </c>
      <c r="AL428" s="84">
        <v>0.0</v>
      </c>
      <c r="AM428" s="84">
        <v>0.0</v>
      </c>
      <c r="AN428" s="84">
        <v>1.0</v>
      </c>
      <c r="AO428" s="84">
        <v>0.0</v>
      </c>
      <c r="AP428" s="84">
        <v>0.0</v>
      </c>
      <c r="AQ428" s="84">
        <v>0.0</v>
      </c>
      <c r="AR428" s="84">
        <v>0.0</v>
      </c>
      <c r="AS428" s="84">
        <v>0.0</v>
      </c>
      <c r="AT428" s="84">
        <v>0.0</v>
      </c>
      <c r="AU428" s="84">
        <v>0.0</v>
      </c>
      <c r="AV428" s="84">
        <v>0.0</v>
      </c>
      <c r="AW428" s="84">
        <v>0.0</v>
      </c>
      <c r="AX428" s="84">
        <v>0.0</v>
      </c>
      <c r="AY428" s="84">
        <v>1.0</v>
      </c>
      <c r="AZ428" s="84">
        <v>0.0</v>
      </c>
    </row>
    <row r="429" ht="12.75" customHeight="1">
      <c r="A429" s="84">
        <v>427.0</v>
      </c>
      <c r="B429" s="84" t="s">
        <v>3852</v>
      </c>
      <c r="C429" s="84">
        <v>1.0</v>
      </c>
      <c r="D429" s="84" t="s">
        <v>2659</v>
      </c>
      <c r="E429" s="84">
        <v>0.0</v>
      </c>
      <c r="F429" s="84" t="s">
        <v>5135</v>
      </c>
      <c r="G429" s="84">
        <v>70.0</v>
      </c>
      <c r="H429" s="84">
        <v>100.0</v>
      </c>
      <c r="I429" s="84">
        <v>20.0</v>
      </c>
      <c r="N429" s="84">
        <v>0.0</v>
      </c>
      <c r="O429" s="84">
        <v>0.0</v>
      </c>
      <c r="P429" s="84">
        <v>0.0</v>
      </c>
      <c r="S429" s="84">
        <v>1.0</v>
      </c>
      <c r="U429" s="84">
        <v>43.0</v>
      </c>
      <c r="X429" s="84">
        <v>0.0</v>
      </c>
      <c r="AH429" s="84">
        <v>0.0</v>
      </c>
      <c r="AI429" s="84">
        <v>0.0</v>
      </c>
      <c r="AJ429" s="84">
        <v>0.0</v>
      </c>
      <c r="AK429" s="84">
        <v>1.0</v>
      </c>
      <c r="AL429" s="84">
        <v>0.0</v>
      </c>
      <c r="AM429" s="84">
        <v>0.0</v>
      </c>
      <c r="AN429" s="84">
        <v>1.0</v>
      </c>
      <c r="AO429" s="84">
        <v>0.0</v>
      </c>
      <c r="AP429" s="84">
        <v>0.0</v>
      </c>
      <c r="AQ429" s="84">
        <v>0.0</v>
      </c>
      <c r="AR429" s="84">
        <v>0.0</v>
      </c>
      <c r="AS429" s="84">
        <v>0.0</v>
      </c>
      <c r="AT429" s="84">
        <v>0.0</v>
      </c>
      <c r="AU429" s="84">
        <v>0.0</v>
      </c>
      <c r="AV429" s="84">
        <v>0.0</v>
      </c>
      <c r="AW429" s="84">
        <v>0.0</v>
      </c>
      <c r="AX429" s="84">
        <v>0.0</v>
      </c>
      <c r="AY429" s="84">
        <v>1.0</v>
      </c>
      <c r="AZ429" s="84">
        <v>37.0</v>
      </c>
    </row>
    <row r="430" ht="12.75" customHeight="1">
      <c r="A430" s="84">
        <v>428.0</v>
      </c>
      <c r="B430" s="84" t="s">
        <v>3710</v>
      </c>
      <c r="C430" s="84">
        <v>1.0</v>
      </c>
      <c r="D430" s="84" t="s">
        <v>2659</v>
      </c>
      <c r="E430" s="84">
        <v>0.0</v>
      </c>
      <c r="F430" s="84" t="s">
        <v>5135</v>
      </c>
      <c r="G430" s="84">
        <v>80.0</v>
      </c>
      <c r="H430" s="84">
        <v>90.0</v>
      </c>
      <c r="I430" s="84">
        <v>15.0</v>
      </c>
      <c r="N430" s="84">
        <v>0.0</v>
      </c>
      <c r="O430" s="84">
        <v>0.0</v>
      </c>
      <c r="P430" s="84">
        <v>0.0</v>
      </c>
      <c r="T430" s="84">
        <v>20.0</v>
      </c>
      <c r="U430" s="84">
        <v>31.0</v>
      </c>
      <c r="X430" s="84">
        <v>0.0</v>
      </c>
      <c r="AH430" s="84">
        <v>1.0</v>
      </c>
      <c r="AI430" s="84">
        <v>0.0</v>
      </c>
      <c r="AJ430" s="84">
        <v>0.0</v>
      </c>
      <c r="AK430" s="84">
        <v>1.0</v>
      </c>
      <c r="AL430" s="84">
        <v>0.0</v>
      </c>
      <c r="AM430" s="84">
        <v>0.0</v>
      </c>
      <c r="AN430" s="84">
        <v>1.0</v>
      </c>
      <c r="AO430" s="84">
        <v>0.0</v>
      </c>
      <c r="AP430" s="84">
        <v>0.0</v>
      </c>
      <c r="AQ430" s="84">
        <v>0.0</v>
      </c>
      <c r="AR430" s="84">
        <v>0.0</v>
      </c>
      <c r="AS430" s="84">
        <v>0.0</v>
      </c>
      <c r="AT430" s="84">
        <v>0.0</v>
      </c>
      <c r="AU430" s="84">
        <v>0.0</v>
      </c>
      <c r="AV430" s="84">
        <v>0.0</v>
      </c>
      <c r="AW430" s="84">
        <v>0.0</v>
      </c>
      <c r="AX430" s="84">
        <v>0.0</v>
      </c>
      <c r="AY430" s="84">
        <v>1.0</v>
      </c>
      <c r="AZ430" s="84">
        <v>38.0</v>
      </c>
    </row>
    <row r="431" ht="12.75" customHeight="1">
      <c r="A431" s="84">
        <v>429.0</v>
      </c>
      <c r="B431" s="84" t="s">
        <v>5721</v>
      </c>
      <c r="C431" s="84">
        <v>0.0</v>
      </c>
      <c r="D431" s="84" t="s">
        <v>4975</v>
      </c>
      <c r="E431" s="84">
        <v>6.0</v>
      </c>
      <c r="F431" s="84" t="s">
        <v>5172</v>
      </c>
      <c r="G431" s="84">
        <v>65.0</v>
      </c>
      <c r="H431" s="84">
        <v>85.0</v>
      </c>
      <c r="I431" s="84">
        <v>10.0</v>
      </c>
      <c r="J431" s="84"/>
      <c r="K431" s="84"/>
      <c r="L431" s="84"/>
      <c r="M431" s="84"/>
      <c r="N431" s="84">
        <v>0.0</v>
      </c>
      <c r="O431" s="84">
        <v>0.0</v>
      </c>
      <c r="P431" s="84">
        <v>0.0</v>
      </c>
      <c r="Q431" s="84"/>
      <c r="R431" s="84"/>
      <c r="S431" s="84"/>
      <c r="T431" s="84"/>
      <c r="U431" s="84">
        <v>73.0</v>
      </c>
      <c r="V431" s="84"/>
      <c r="W431" s="84"/>
      <c r="X431" s="84">
        <v>0.0</v>
      </c>
      <c r="Y431" s="84" t="s">
        <v>5092</v>
      </c>
      <c r="Z431" s="84">
        <v>-1.0</v>
      </c>
      <c r="AA431" s="84">
        <v>30.0</v>
      </c>
      <c r="AB431" s="84"/>
      <c r="AC431" s="84"/>
      <c r="AD431" s="84"/>
      <c r="AE431" s="84"/>
      <c r="AF431" s="84"/>
      <c r="AG431" s="84"/>
      <c r="AH431" s="84">
        <v>0.0</v>
      </c>
      <c r="AI431" s="84">
        <v>0.0</v>
      </c>
      <c r="AJ431" s="84">
        <v>0.0</v>
      </c>
      <c r="AK431" s="84">
        <v>1.0</v>
      </c>
      <c r="AL431" s="84">
        <v>0.0</v>
      </c>
      <c r="AM431" s="84">
        <v>0.0</v>
      </c>
      <c r="AN431" s="84">
        <v>1.0</v>
      </c>
      <c r="AO431" s="84">
        <v>0.0</v>
      </c>
      <c r="AP431" s="84">
        <v>0.0</v>
      </c>
      <c r="AQ431" s="84">
        <v>0.0</v>
      </c>
      <c r="AR431" s="84">
        <v>0.0</v>
      </c>
      <c r="AS431" s="84">
        <v>0.0</v>
      </c>
      <c r="AT431" s="84">
        <v>0.0</v>
      </c>
      <c r="AU431" s="84">
        <v>0.0</v>
      </c>
      <c r="AV431" s="84">
        <v>0.0</v>
      </c>
      <c r="AW431" s="84">
        <v>0.0</v>
      </c>
      <c r="AX431" s="84">
        <v>0.0</v>
      </c>
      <c r="AY431" s="84">
        <v>1.0</v>
      </c>
      <c r="AZ431" s="84">
        <v>0.0</v>
      </c>
    </row>
    <row r="432" ht="12.75" customHeight="1">
      <c r="A432" s="84">
        <v>430.0</v>
      </c>
      <c r="B432" s="84" t="s">
        <v>3524</v>
      </c>
      <c r="C432" s="84">
        <v>1.0</v>
      </c>
      <c r="D432" s="84" t="s">
        <v>4975</v>
      </c>
      <c r="E432" s="84">
        <v>6.0</v>
      </c>
      <c r="F432" s="84" t="s">
        <v>5172</v>
      </c>
      <c r="G432" s="84">
        <v>80.0</v>
      </c>
      <c r="H432" s="84">
        <v>100.0</v>
      </c>
      <c r="I432" s="84">
        <v>10.0</v>
      </c>
      <c r="N432" s="84">
        <v>0.0</v>
      </c>
      <c r="O432" s="84">
        <v>0.0</v>
      </c>
      <c r="P432" s="84">
        <v>0.0</v>
      </c>
      <c r="U432" s="84">
        <v>72.0</v>
      </c>
      <c r="X432" s="84">
        <v>0.0</v>
      </c>
      <c r="Y432" s="84" t="s">
        <v>23</v>
      </c>
      <c r="Z432" s="84">
        <v>-1.0</v>
      </c>
      <c r="AA432" s="84">
        <v>10.0</v>
      </c>
      <c r="AH432" s="84">
        <v>0.0</v>
      </c>
      <c r="AI432" s="84">
        <v>0.0</v>
      </c>
      <c r="AJ432" s="84">
        <v>0.0</v>
      </c>
      <c r="AK432" s="84">
        <v>1.0</v>
      </c>
      <c r="AL432" s="84">
        <v>0.0</v>
      </c>
      <c r="AM432" s="84">
        <v>0.0</v>
      </c>
      <c r="AN432" s="84">
        <v>1.0</v>
      </c>
      <c r="AO432" s="84">
        <v>0.0</v>
      </c>
      <c r="AP432" s="84">
        <v>0.0</v>
      </c>
      <c r="AQ432" s="84">
        <v>0.0</v>
      </c>
      <c r="AR432" s="84">
        <v>0.0</v>
      </c>
      <c r="AS432" s="84">
        <v>0.0</v>
      </c>
      <c r="AT432" s="84">
        <v>0.0</v>
      </c>
      <c r="AU432" s="84">
        <v>0.0</v>
      </c>
      <c r="AV432" s="84">
        <v>0.0</v>
      </c>
      <c r="AW432" s="84">
        <v>0.0</v>
      </c>
      <c r="AX432" s="84">
        <v>0.0</v>
      </c>
      <c r="AY432" s="84">
        <v>1.0</v>
      </c>
      <c r="AZ432" s="84">
        <v>41.0</v>
      </c>
    </row>
    <row r="433" ht="12.75" customHeight="1">
      <c r="A433" s="84">
        <v>431.0</v>
      </c>
      <c r="B433" s="84" t="s">
        <v>5722</v>
      </c>
      <c r="C433" s="84">
        <v>1.0</v>
      </c>
      <c r="D433" s="84" t="s">
        <v>4916</v>
      </c>
      <c r="E433" s="84">
        <v>4.0</v>
      </c>
      <c r="F433" s="84" t="s">
        <v>5135</v>
      </c>
      <c r="G433" s="84">
        <v>90.0</v>
      </c>
      <c r="H433" s="84">
        <v>85.0</v>
      </c>
      <c r="I433" s="84">
        <v>20.0</v>
      </c>
      <c r="M433" s="84" t="s">
        <v>5395</v>
      </c>
      <c r="N433" s="84">
        <v>6.0</v>
      </c>
      <c r="O433" s="84">
        <v>20.0</v>
      </c>
      <c r="P433" s="84">
        <v>2.0</v>
      </c>
      <c r="Q433" s="84">
        <v>2.0</v>
      </c>
      <c r="R433" s="84">
        <v>5.0</v>
      </c>
      <c r="U433" s="84">
        <v>76.0</v>
      </c>
      <c r="X433" s="84">
        <v>0.0</v>
      </c>
      <c r="AH433" s="84">
        <v>1.0</v>
      </c>
      <c r="AI433" s="84">
        <v>0.0</v>
      </c>
      <c r="AJ433" s="84">
        <v>0.0</v>
      </c>
      <c r="AK433" s="84">
        <v>1.0</v>
      </c>
      <c r="AL433" s="84">
        <v>0.0</v>
      </c>
      <c r="AM433" s="84">
        <v>0.0</v>
      </c>
      <c r="AN433" s="84">
        <v>1.0</v>
      </c>
      <c r="AO433" s="84">
        <v>0.0</v>
      </c>
      <c r="AP433" s="84">
        <v>0.0</v>
      </c>
      <c r="AQ433" s="84">
        <v>0.0</v>
      </c>
      <c r="AR433" s="84">
        <v>0.0</v>
      </c>
      <c r="AS433" s="84">
        <v>0.0</v>
      </c>
      <c r="AT433" s="84">
        <v>0.0</v>
      </c>
      <c r="AU433" s="84">
        <v>0.0</v>
      </c>
      <c r="AV433" s="84">
        <v>0.0</v>
      </c>
      <c r="AW433" s="84">
        <v>0.0</v>
      </c>
      <c r="AX433" s="84">
        <v>0.0</v>
      </c>
      <c r="AY433" s="84">
        <v>1.0</v>
      </c>
      <c r="AZ433" s="84">
        <v>43.0</v>
      </c>
    </row>
    <row r="434" ht="12.75" customHeight="1">
      <c r="A434" s="84">
        <v>432.0</v>
      </c>
      <c r="B434" s="84" t="s">
        <v>5723</v>
      </c>
      <c r="C434" s="84">
        <v>1.0</v>
      </c>
      <c r="D434" s="84" t="s">
        <v>4907</v>
      </c>
      <c r="E434" s="84">
        <v>13.0</v>
      </c>
      <c r="F434" s="84" t="s">
        <v>5131</v>
      </c>
      <c r="G434" s="84">
        <v>0.0</v>
      </c>
      <c r="H434" s="84">
        <v>101.0</v>
      </c>
      <c r="I434" s="84">
        <v>15.0</v>
      </c>
      <c r="N434" s="84">
        <v>0.0</v>
      </c>
      <c r="O434" s="84">
        <v>0.0</v>
      </c>
      <c r="P434" s="84">
        <v>0.0</v>
      </c>
      <c r="U434" s="84">
        <v>258.0</v>
      </c>
      <c r="X434" s="84">
        <v>0.0</v>
      </c>
      <c r="AH434" s="84">
        <v>0.0</v>
      </c>
      <c r="AI434" s="84">
        <v>0.0</v>
      </c>
      <c r="AJ434" s="84">
        <v>0.0</v>
      </c>
      <c r="AK434" s="84">
        <v>1.0</v>
      </c>
      <c r="AL434" s="84">
        <v>1.0</v>
      </c>
      <c r="AM434" s="84">
        <v>0.0</v>
      </c>
      <c r="AN434" s="84">
        <v>1.0</v>
      </c>
      <c r="AO434" s="84">
        <v>0.0</v>
      </c>
      <c r="AP434" s="84">
        <v>0.0</v>
      </c>
      <c r="AQ434" s="84">
        <v>0.0</v>
      </c>
      <c r="AR434" s="84">
        <v>0.0</v>
      </c>
      <c r="AS434" s="84">
        <v>0.0</v>
      </c>
      <c r="AT434" s="84">
        <v>0.0</v>
      </c>
      <c r="AU434" s="84">
        <v>1.0</v>
      </c>
      <c r="AV434" s="84">
        <v>0.0</v>
      </c>
      <c r="AW434" s="84">
        <v>0.0</v>
      </c>
      <c r="AX434" s="84">
        <v>0.0</v>
      </c>
      <c r="AY434" s="84">
        <v>1.0</v>
      </c>
      <c r="AZ434" s="84">
        <v>5.0</v>
      </c>
    </row>
    <row r="435" ht="12.75" customHeight="1">
      <c r="A435" s="84">
        <v>433.0</v>
      </c>
      <c r="B435" s="84" t="s">
        <v>3733</v>
      </c>
      <c r="C435" s="84">
        <v>1.0</v>
      </c>
      <c r="D435" s="84" t="s">
        <v>2659</v>
      </c>
      <c r="E435" s="84">
        <v>10.0</v>
      </c>
      <c r="F435" s="84" t="s">
        <v>5131</v>
      </c>
      <c r="G435" s="84">
        <v>0.0</v>
      </c>
      <c r="H435" s="84">
        <v>101.0</v>
      </c>
      <c r="I435" s="84">
        <v>5.0</v>
      </c>
      <c r="J435" s="84">
        <v>-7.0</v>
      </c>
      <c r="N435" s="84">
        <v>0.0</v>
      </c>
      <c r="O435" s="84">
        <v>0.0</v>
      </c>
      <c r="P435" s="84">
        <v>0.0</v>
      </c>
      <c r="U435" s="84">
        <v>259.0</v>
      </c>
      <c r="X435" s="84">
        <v>10.0</v>
      </c>
      <c r="AH435" s="84">
        <v>0.0</v>
      </c>
      <c r="AI435" s="84">
        <v>0.0</v>
      </c>
      <c r="AJ435" s="84">
        <v>0.0</v>
      </c>
      <c r="AK435" s="84">
        <v>0.0</v>
      </c>
      <c r="AL435" s="84">
        <v>0.0</v>
      </c>
      <c r="AM435" s="84">
        <v>0.0</v>
      </c>
      <c r="AN435" s="84">
        <v>1.0</v>
      </c>
      <c r="AO435" s="84">
        <v>0.0</v>
      </c>
      <c r="AP435" s="84">
        <v>0.0</v>
      </c>
      <c r="AQ435" s="84">
        <v>0.0</v>
      </c>
      <c r="AR435" s="84">
        <v>0.0</v>
      </c>
      <c r="AS435" s="84">
        <v>0.0</v>
      </c>
      <c r="AT435" s="84">
        <v>0.0</v>
      </c>
      <c r="AU435" s="84">
        <v>0.0</v>
      </c>
      <c r="AV435" s="84">
        <v>0.0</v>
      </c>
      <c r="AW435" s="84">
        <v>0.0</v>
      </c>
      <c r="AX435" s="84">
        <v>0.0</v>
      </c>
      <c r="AY435" s="84">
        <v>1.0</v>
      </c>
      <c r="AZ435" s="84">
        <v>23.0</v>
      </c>
    </row>
    <row r="436" ht="12.75" customHeight="1">
      <c r="A436" s="84">
        <v>434.0</v>
      </c>
      <c r="B436" s="84" t="s">
        <v>4016</v>
      </c>
      <c r="C436" s="84">
        <v>1.0</v>
      </c>
      <c r="D436" s="84" t="s">
        <v>4956</v>
      </c>
      <c r="E436" s="84">
        <v>7.0</v>
      </c>
      <c r="F436" s="84" t="s">
        <v>5172</v>
      </c>
      <c r="G436" s="84">
        <v>130.0</v>
      </c>
      <c r="H436" s="84">
        <v>90.0</v>
      </c>
      <c r="I436" s="84">
        <v>5.0</v>
      </c>
      <c r="N436" s="84">
        <v>0.0</v>
      </c>
      <c r="O436" s="84">
        <v>0.0</v>
      </c>
      <c r="P436" s="84">
        <v>0.0</v>
      </c>
      <c r="U436" s="84">
        <v>204.0</v>
      </c>
      <c r="X436" s="84">
        <v>0.0</v>
      </c>
      <c r="Y436" s="84" t="s">
        <v>22</v>
      </c>
      <c r="Z436" s="84">
        <v>-2.0</v>
      </c>
      <c r="AA436" s="84">
        <v>100.0</v>
      </c>
      <c r="AH436" s="84">
        <v>0.0</v>
      </c>
      <c r="AI436" s="84">
        <v>0.0</v>
      </c>
      <c r="AJ436" s="84">
        <v>0.0</v>
      </c>
      <c r="AK436" s="84">
        <v>1.0</v>
      </c>
      <c r="AL436" s="84">
        <v>0.0</v>
      </c>
      <c r="AM436" s="84">
        <v>0.0</v>
      </c>
      <c r="AN436" s="84">
        <v>1.0</v>
      </c>
      <c r="AO436" s="84">
        <v>0.0</v>
      </c>
      <c r="AP436" s="84">
        <v>0.0</v>
      </c>
      <c r="AQ436" s="84">
        <v>0.0</v>
      </c>
      <c r="AR436" s="84">
        <v>0.0</v>
      </c>
      <c r="AS436" s="84">
        <v>0.0</v>
      </c>
      <c r="AT436" s="84">
        <v>0.0</v>
      </c>
      <c r="AU436" s="84">
        <v>0.0</v>
      </c>
      <c r="AV436" s="84">
        <v>0.0</v>
      </c>
      <c r="AW436" s="84">
        <v>0.0</v>
      </c>
      <c r="AX436" s="84">
        <v>0.0</v>
      </c>
      <c r="AY436" s="84">
        <v>1.0</v>
      </c>
      <c r="AZ436" s="84">
        <v>46.0</v>
      </c>
    </row>
    <row r="437" ht="12.75" customHeight="1">
      <c r="A437" s="84">
        <v>435.0</v>
      </c>
      <c r="B437" s="84" t="s">
        <v>3278</v>
      </c>
      <c r="C437" s="84">
        <v>1.0</v>
      </c>
      <c r="D437" s="84" t="s">
        <v>4921</v>
      </c>
      <c r="E437" s="84">
        <v>4.0</v>
      </c>
      <c r="F437" s="84" t="s">
        <v>5172</v>
      </c>
      <c r="G437" s="84">
        <v>80.0</v>
      </c>
      <c r="H437" s="84">
        <v>100.0</v>
      </c>
      <c r="I437" s="84">
        <v>15.0</v>
      </c>
      <c r="M437" s="84" t="s">
        <v>5222</v>
      </c>
      <c r="N437" s="84">
        <v>1.0</v>
      </c>
      <c r="O437" s="84">
        <v>30.0</v>
      </c>
      <c r="P437" s="84">
        <v>1.0</v>
      </c>
      <c r="U437" s="84">
        <v>6.0</v>
      </c>
      <c r="X437" s="84">
        <v>4.0</v>
      </c>
      <c r="AH437" s="84">
        <v>0.0</v>
      </c>
      <c r="AI437" s="84">
        <v>0.0</v>
      </c>
      <c r="AJ437" s="84">
        <v>0.0</v>
      </c>
      <c r="AK437" s="84">
        <v>1.0</v>
      </c>
      <c r="AL437" s="84">
        <v>0.0</v>
      </c>
      <c r="AM437" s="84">
        <v>0.0</v>
      </c>
      <c r="AN437" s="84">
        <v>1.0</v>
      </c>
      <c r="AO437" s="84">
        <v>0.0</v>
      </c>
      <c r="AP437" s="84">
        <v>0.0</v>
      </c>
      <c r="AQ437" s="84">
        <v>0.0</v>
      </c>
      <c r="AR437" s="84">
        <v>0.0</v>
      </c>
      <c r="AS437" s="84">
        <v>0.0</v>
      </c>
      <c r="AT437" s="84">
        <v>0.0</v>
      </c>
      <c r="AU437" s="84">
        <v>0.0</v>
      </c>
      <c r="AV437" s="84">
        <v>0.0</v>
      </c>
      <c r="AW437" s="84">
        <v>0.0</v>
      </c>
      <c r="AX437" s="84">
        <v>0.0</v>
      </c>
      <c r="AY437" s="84">
        <v>1.0</v>
      </c>
      <c r="AZ437" s="84">
        <v>41.0</v>
      </c>
    </row>
    <row r="438" ht="12.75" customHeight="1">
      <c r="A438" s="84">
        <v>436.0</v>
      </c>
      <c r="B438" s="84" t="s">
        <v>2866</v>
      </c>
      <c r="C438" s="84">
        <v>1.0</v>
      </c>
      <c r="D438" s="84" t="s">
        <v>4906</v>
      </c>
      <c r="E438" s="84">
        <v>4.0</v>
      </c>
      <c r="F438" s="84" t="s">
        <v>5172</v>
      </c>
      <c r="G438" s="84">
        <v>80.0</v>
      </c>
      <c r="H438" s="84">
        <v>100.0</v>
      </c>
      <c r="I438" s="84">
        <v>15.0</v>
      </c>
      <c r="M438" s="84" t="s">
        <v>5724</v>
      </c>
      <c r="N438" s="84">
        <v>4.0</v>
      </c>
      <c r="O438" s="84">
        <v>30.0</v>
      </c>
      <c r="P438" s="84">
        <v>1.0</v>
      </c>
      <c r="U438" s="84">
        <v>4.0</v>
      </c>
      <c r="X438" s="84">
        <v>4.0</v>
      </c>
      <c r="AH438" s="84">
        <v>0.0</v>
      </c>
      <c r="AI438" s="84">
        <v>0.0</v>
      </c>
      <c r="AJ438" s="84">
        <v>0.0</v>
      </c>
      <c r="AK438" s="84">
        <v>1.0</v>
      </c>
      <c r="AL438" s="84">
        <v>0.0</v>
      </c>
      <c r="AM438" s="84">
        <v>0.0</v>
      </c>
      <c r="AN438" s="84">
        <v>1.0</v>
      </c>
      <c r="AO438" s="84">
        <v>0.0</v>
      </c>
      <c r="AP438" s="84">
        <v>0.0</v>
      </c>
      <c r="AQ438" s="84">
        <v>0.0</v>
      </c>
      <c r="AR438" s="84">
        <v>0.0</v>
      </c>
      <c r="AS438" s="84">
        <v>0.0</v>
      </c>
      <c r="AT438" s="84">
        <v>0.0</v>
      </c>
      <c r="AU438" s="84">
        <v>0.0</v>
      </c>
      <c r="AV438" s="84">
        <v>0.0</v>
      </c>
      <c r="AW438" s="84">
        <v>0.0</v>
      </c>
      <c r="AX438" s="84">
        <v>0.0</v>
      </c>
      <c r="AY438" s="84">
        <v>1.0</v>
      </c>
      <c r="AZ438" s="84">
        <v>41.0</v>
      </c>
    </row>
    <row r="439" ht="12.75" customHeight="1">
      <c r="A439" s="84">
        <v>437.0</v>
      </c>
      <c r="B439" s="84" t="s">
        <v>3952</v>
      </c>
      <c r="C439" s="84">
        <v>1.0</v>
      </c>
      <c r="D439" s="84" t="s">
        <v>4904</v>
      </c>
      <c r="E439" s="84">
        <v>7.0</v>
      </c>
      <c r="F439" s="84" t="s">
        <v>5172</v>
      </c>
      <c r="G439" s="84">
        <v>130.0</v>
      </c>
      <c r="H439" s="84">
        <v>90.0</v>
      </c>
      <c r="I439" s="84">
        <v>5.0</v>
      </c>
      <c r="N439" s="84">
        <v>0.0</v>
      </c>
      <c r="O439" s="84">
        <v>0.0</v>
      </c>
      <c r="P439" s="84">
        <v>0.0</v>
      </c>
      <c r="U439" s="84">
        <v>204.0</v>
      </c>
      <c r="X439" s="84">
        <v>0.0</v>
      </c>
      <c r="Y439" s="84" t="s">
        <v>22</v>
      </c>
      <c r="Z439" s="84">
        <v>-2.0</v>
      </c>
      <c r="AA439" s="84">
        <v>100.0</v>
      </c>
      <c r="AH439" s="84">
        <v>0.0</v>
      </c>
      <c r="AI439" s="84">
        <v>0.0</v>
      </c>
      <c r="AJ439" s="84">
        <v>0.0</v>
      </c>
      <c r="AK439" s="84">
        <v>1.0</v>
      </c>
      <c r="AL439" s="84">
        <v>0.0</v>
      </c>
      <c r="AM439" s="84">
        <v>0.0</v>
      </c>
      <c r="AN439" s="84">
        <v>1.0</v>
      </c>
      <c r="AO439" s="84">
        <v>0.0</v>
      </c>
      <c r="AP439" s="84">
        <v>0.0</v>
      </c>
      <c r="AQ439" s="84">
        <v>0.0</v>
      </c>
      <c r="AR439" s="84">
        <v>0.0</v>
      </c>
      <c r="AS439" s="84">
        <v>0.0</v>
      </c>
      <c r="AT439" s="84">
        <v>0.0</v>
      </c>
      <c r="AU439" s="84">
        <v>0.0</v>
      </c>
      <c r="AV439" s="84">
        <v>0.0</v>
      </c>
      <c r="AW439" s="84">
        <v>0.0</v>
      </c>
      <c r="AX439" s="84">
        <v>0.0</v>
      </c>
      <c r="AY439" s="84">
        <v>1.0</v>
      </c>
      <c r="AZ439" s="84">
        <v>46.0</v>
      </c>
    </row>
    <row r="440" ht="12.75" customHeight="1">
      <c r="A440" s="84">
        <v>438.0</v>
      </c>
      <c r="B440" s="84" t="s">
        <v>3472</v>
      </c>
      <c r="C440" s="84">
        <v>1.0</v>
      </c>
      <c r="D440" s="84" t="s">
        <v>4904</v>
      </c>
      <c r="E440" s="84">
        <v>0.0</v>
      </c>
      <c r="F440" s="84" t="s">
        <v>5135</v>
      </c>
      <c r="G440" s="84">
        <v>120.0</v>
      </c>
      <c r="H440" s="84">
        <v>85.0</v>
      </c>
      <c r="I440" s="84">
        <v>10.0</v>
      </c>
      <c r="N440" s="84">
        <v>0.0</v>
      </c>
      <c r="O440" s="84">
        <v>0.0</v>
      </c>
      <c r="P440" s="84">
        <v>0.0</v>
      </c>
      <c r="U440" s="84">
        <v>0.0</v>
      </c>
      <c r="X440" s="84">
        <v>0.0</v>
      </c>
      <c r="AH440" s="84">
        <v>1.0</v>
      </c>
      <c r="AI440" s="84">
        <v>0.0</v>
      </c>
      <c r="AJ440" s="84">
        <v>0.0</v>
      </c>
      <c r="AK440" s="84">
        <v>1.0</v>
      </c>
      <c r="AL440" s="84">
        <v>0.0</v>
      </c>
      <c r="AM440" s="84">
        <v>0.0</v>
      </c>
      <c r="AN440" s="84">
        <v>1.0</v>
      </c>
      <c r="AO440" s="84">
        <v>0.0</v>
      </c>
      <c r="AP440" s="84">
        <v>0.0</v>
      </c>
      <c r="AQ440" s="84">
        <v>0.0</v>
      </c>
      <c r="AR440" s="84">
        <v>0.0</v>
      </c>
      <c r="AS440" s="84">
        <v>0.0</v>
      </c>
      <c r="AT440" s="84">
        <v>0.0</v>
      </c>
      <c r="AU440" s="84">
        <v>0.0</v>
      </c>
      <c r="AV440" s="84">
        <v>0.0</v>
      </c>
      <c r="AW440" s="84">
        <v>0.0</v>
      </c>
      <c r="AX440" s="84">
        <v>0.0</v>
      </c>
      <c r="AY440" s="84">
        <v>1.0</v>
      </c>
      <c r="AZ440" s="84">
        <v>43.0</v>
      </c>
    </row>
    <row r="441" ht="12.75" customHeight="1">
      <c r="A441" s="84">
        <v>439.0</v>
      </c>
      <c r="B441" s="84" t="s">
        <v>3434</v>
      </c>
      <c r="C441" s="84">
        <v>1.0</v>
      </c>
      <c r="D441" s="84" t="s">
        <v>4940</v>
      </c>
      <c r="E441" s="84">
        <v>0.0</v>
      </c>
      <c r="F441" s="84" t="s">
        <v>5135</v>
      </c>
      <c r="G441" s="84">
        <v>150.0</v>
      </c>
      <c r="H441" s="84">
        <v>90.0</v>
      </c>
      <c r="I441" s="84">
        <v>5.0</v>
      </c>
      <c r="N441" s="84">
        <v>0.0</v>
      </c>
      <c r="O441" s="84">
        <v>0.0</v>
      </c>
      <c r="P441" s="84">
        <v>0.0</v>
      </c>
      <c r="U441" s="84">
        <v>80.0</v>
      </c>
      <c r="X441" s="84">
        <v>0.0</v>
      </c>
      <c r="AH441" s="84">
        <v>0.0</v>
      </c>
      <c r="AI441" s="84">
        <v>0.0</v>
      </c>
      <c r="AJ441" s="84">
        <v>1.0</v>
      </c>
      <c r="AK441" s="84">
        <v>1.0</v>
      </c>
      <c r="AL441" s="84">
        <v>0.0</v>
      </c>
      <c r="AM441" s="84">
        <v>0.0</v>
      </c>
      <c r="AN441" s="84">
        <v>1.0</v>
      </c>
      <c r="AO441" s="84">
        <v>0.0</v>
      </c>
      <c r="AP441" s="84">
        <v>0.0</v>
      </c>
      <c r="AQ441" s="84">
        <v>0.0</v>
      </c>
      <c r="AR441" s="84">
        <v>0.0</v>
      </c>
      <c r="AS441" s="84">
        <v>0.0</v>
      </c>
      <c r="AT441" s="84">
        <v>0.0</v>
      </c>
      <c r="AU441" s="84">
        <v>0.0</v>
      </c>
      <c r="AV441" s="84">
        <v>0.0</v>
      </c>
      <c r="AW441" s="84">
        <v>0.0</v>
      </c>
      <c r="AX441" s="84">
        <v>0.0</v>
      </c>
      <c r="AY441" s="84">
        <v>1.0</v>
      </c>
      <c r="AZ441" s="84">
        <v>44.0</v>
      </c>
    </row>
    <row r="442" ht="12.75" customHeight="1">
      <c r="A442" s="84">
        <v>440.0</v>
      </c>
      <c r="B442" s="84" t="s">
        <v>3809</v>
      </c>
      <c r="C442" s="84">
        <v>1.0</v>
      </c>
      <c r="D442" s="84" t="s">
        <v>4905</v>
      </c>
      <c r="E442" s="84">
        <v>4.0</v>
      </c>
      <c r="F442" s="84" t="s">
        <v>5135</v>
      </c>
      <c r="G442" s="84">
        <v>70.0</v>
      </c>
      <c r="H442" s="84">
        <v>100.0</v>
      </c>
      <c r="I442" s="84">
        <v>20.0</v>
      </c>
      <c r="M442" s="84" t="s">
        <v>5638</v>
      </c>
      <c r="N442" s="84">
        <v>5.0</v>
      </c>
      <c r="O442" s="84">
        <v>10.0</v>
      </c>
      <c r="P442" s="84">
        <v>1.0</v>
      </c>
      <c r="S442" s="84">
        <v>1.0</v>
      </c>
      <c r="U442" s="84">
        <v>209.0</v>
      </c>
      <c r="X442" s="84">
        <v>0.0</v>
      </c>
      <c r="AH442" s="84">
        <v>1.0</v>
      </c>
      <c r="AI442" s="84">
        <v>0.0</v>
      </c>
      <c r="AJ442" s="84">
        <v>0.0</v>
      </c>
      <c r="AK442" s="84">
        <v>1.0</v>
      </c>
      <c r="AL442" s="84">
        <v>0.0</v>
      </c>
      <c r="AM442" s="84">
        <v>0.0</v>
      </c>
      <c r="AN442" s="84">
        <v>1.0</v>
      </c>
      <c r="AO442" s="84">
        <v>0.0</v>
      </c>
      <c r="AP442" s="84">
        <v>0.0</v>
      </c>
      <c r="AQ442" s="84">
        <v>0.0</v>
      </c>
      <c r="AR442" s="84">
        <v>0.0</v>
      </c>
      <c r="AS442" s="84">
        <v>0.0</v>
      </c>
      <c r="AT442" s="84">
        <v>0.0</v>
      </c>
      <c r="AU442" s="84">
        <v>0.0</v>
      </c>
      <c r="AV442" s="84">
        <v>0.0</v>
      </c>
      <c r="AW442" s="84">
        <v>0.0</v>
      </c>
      <c r="AX442" s="84">
        <v>0.0</v>
      </c>
      <c r="AY442" s="84">
        <v>1.0</v>
      </c>
      <c r="AZ442" s="84">
        <v>38.0</v>
      </c>
    </row>
    <row r="443" ht="12.75" customHeight="1">
      <c r="A443" s="84">
        <v>441.0</v>
      </c>
      <c r="B443" s="84" t="s">
        <v>4038</v>
      </c>
      <c r="C443" s="84">
        <v>1.0</v>
      </c>
      <c r="D443" s="84" t="s">
        <v>4905</v>
      </c>
      <c r="E443" s="84">
        <v>4.0</v>
      </c>
      <c r="F443" s="84" t="s">
        <v>5135</v>
      </c>
      <c r="G443" s="84">
        <v>120.0</v>
      </c>
      <c r="H443" s="84">
        <v>80.0</v>
      </c>
      <c r="I443" s="84">
        <v>5.0</v>
      </c>
      <c r="M443" s="84" t="s">
        <v>5235</v>
      </c>
      <c r="N443" s="84">
        <v>5.0</v>
      </c>
      <c r="O443" s="84">
        <v>30.0</v>
      </c>
      <c r="P443" s="84">
        <v>1.0</v>
      </c>
      <c r="U443" s="84">
        <v>2.0</v>
      </c>
      <c r="X443" s="84">
        <v>0.0</v>
      </c>
      <c r="AH443" s="84">
        <v>0.0</v>
      </c>
      <c r="AI443" s="84">
        <v>0.0</v>
      </c>
      <c r="AJ443" s="84">
        <v>0.0</v>
      </c>
      <c r="AK443" s="84">
        <v>1.0</v>
      </c>
      <c r="AL443" s="84">
        <v>0.0</v>
      </c>
      <c r="AM443" s="84">
        <v>0.0</v>
      </c>
      <c r="AN443" s="84">
        <v>1.0</v>
      </c>
      <c r="AO443" s="84">
        <v>0.0</v>
      </c>
      <c r="AP443" s="84">
        <v>0.0</v>
      </c>
      <c r="AQ443" s="84">
        <v>0.0</v>
      </c>
      <c r="AR443" s="84">
        <v>0.0</v>
      </c>
      <c r="AS443" s="84">
        <v>0.0</v>
      </c>
      <c r="AT443" s="84">
        <v>0.0</v>
      </c>
      <c r="AU443" s="84">
        <v>0.0</v>
      </c>
      <c r="AV443" s="84">
        <v>0.0</v>
      </c>
      <c r="AW443" s="84">
        <v>0.0</v>
      </c>
      <c r="AX443" s="84">
        <v>0.0</v>
      </c>
      <c r="AY443" s="84">
        <v>1.0</v>
      </c>
      <c r="AZ443" s="84">
        <v>43.0</v>
      </c>
    </row>
    <row r="444" ht="12.75" customHeight="1">
      <c r="A444" s="84">
        <v>442.0</v>
      </c>
      <c r="B444" s="84" t="s">
        <v>3626</v>
      </c>
      <c r="C444" s="84">
        <v>1.0</v>
      </c>
      <c r="D444" s="84" t="s">
        <v>4975</v>
      </c>
      <c r="E444" s="84">
        <v>0.0</v>
      </c>
      <c r="F444" s="84" t="s">
        <v>5135</v>
      </c>
      <c r="G444" s="84">
        <v>80.0</v>
      </c>
      <c r="H444" s="84">
        <v>100.0</v>
      </c>
      <c r="I444" s="84">
        <v>15.0</v>
      </c>
      <c r="N444" s="84">
        <v>0.0</v>
      </c>
      <c r="O444" s="84">
        <v>0.0</v>
      </c>
      <c r="P444" s="84">
        <v>0.0</v>
      </c>
      <c r="T444" s="84">
        <v>30.0</v>
      </c>
      <c r="U444" s="84">
        <v>31.0</v>
      </c>
      <c r="X444" s="84">
        <v>0.0</v>
      </c>
      <c r="AH444" s="84">
        <v>1.0</v>
      </c>
      <c r="AI444" s="84">
        <v>0.0</v>
      </c>
      <c r="AJ444" s="84">
        <v>0.0</v>
      </c>
      <c r="AK444" s="84">
        <v>1.0</v>
      </c>
      <c r="AL444" s="84">
        <v>0.0</v>
      </c>
      <c r="AM444" s="84">
        <v>0.0</v>
      </c>
      <c r="AN444" s="84">
        <v>1.0</v>
      </c>
      <c r="AO444" s="84">
        <v>0.0</v>
      </c>
      <c r="AP444" s="84">
        <v>0.0</v>
      </c>
      <c r="AQ444" s="84">
        <v>0.0</v>
      </c>
      <c r="AR444" s="84">
        <v>0.0</v>
      </c>
      <c r="AS444" s="84">
        <v>0.0</v>
      </c>
      <c r="AT444" s="84">
        <v>0.0</v>
      </c>
      <c r="AU444" s="84">
        <v>0.0</v>
      </c>
      <c r="AV444" s="84">
        <v>0.0</v>
      </c>
      <c r="AW444" s="84">
        <v>0.0</v>
      </c>
      <c r="AX444" s="84">
        <v>0.0</v>
      </c>
      <c r="AY444" s="84">
        <v>1.0</v>
      </c>
      <c r="AZ444" s="84">
        <v>38.0</v>
      </c>
    </row>
    <row r="445" ht="12.75" customHeight="1">
      <c r="A445" s="84">
        <v>443.0</v>
      </c>
      <c r="B445" s="84" t="s">
        <v>5725</v>
      </c>
      <c r="C445" s="84">
        <v>0.0</v>
      </c>
      <c r="D445" s="84" t="s">
        <v>4975</v>
      </c>
      <c r="E445" s="84">
        <v>0.0</v>
      </c>
      <c r="F445" s="84" t="s">
        <v>5135</v>
      </c>
      <c r="G445" s="84">
        <v>60.0</v>
      </c>
      <c r="H445" s="84">
        <v>101.0</v>
      </c>
      <c r="I445" s="84">
        <v>20.0</v>
      </c>
      <c r="J445" s="84"/>
      <c r="K445" s="84"/>
      <c r="L445" s="84"/>
      <c r="M445" s="84"/>
      <c r="N445" s="84">
        <v>0.0</v>
      </c>
      <c r="O445" s="84">
        <v>0.0</v>
      </c>
      <c r="P445" s="84">
        <v>0.0</v>
      </c>
      <c r="Q445" s="84"/>
      <c r="R445" s="84"/>
      <c r="S445" s="84"/>
      <c r="T445" s="84"/>
      <c r="U445" s="84">
        <v>17.0</v>
      </c>
      <c r="V445" s="84"/>
      <c r="W445" s="84"/>
      <c r="X445" s="84">
        <v>0.0</v>
      </c>
      <c r="Y445" s="84"/>
      <c r="Z445" s="84"/>
      <c r="AA445" s="84"/>
      <c r="AB445" s="84"/>
      <c r="AC445" s="84"/>
      <c r="AD445" s="84"/>
      <c r="AE445" s="84"/>
      <c r="AF445" s="84"/>
      <c r="AG445" s="84"/>
      <c r="AH445" s="84">
        <v>0.0</v>
      </c>
      <c r="AI445" s="84">
        <v>0.0</v>
      </c>
      <c r="AJ445" s="84">
        <v>0.0</v>
      </c>
      <c r="AK445" s="84">
        <v>1.0</v>
      </c>
      <c r="AL445" s="84">
        <v>0.0</v>
      </c>
      <c r="AM445" s="84">
        <v>0.0</v>
      </c>
      <c r="AN445" s="84">
        <v>1.0</v>
      </c>
      <c r="AO445" s="84">
        <v>0.0</v>
      </c>
      <c r="AP445" s="84">
        <v>0.0</v>
      </c>
      <c r="AQ445" s="84">
        <v>0.0</v>
      </c>
      <c r="AR445" s="84">
        <v>0.0</v>
      </c>
      <c r="AS445" s="84">
        <v>0.0</v>
      </c>
      <c r="AT445" s="84">
        <v>0.0</v>
      </c>
      <c r="AU445" s="84">
        <v>0.0</v>
      </c>
      <c r="AV445" s="84">
        <v>0.0</v>
      </c>
      <c r="AW445" s="84">
        <v>0.0</v>
      </c>
      <c r="AX445" s="84">
        <v>0.0</v>
      </c>
      <c r="AY445" s="84">
        <v>1.0</v>
      </c>
      <c r="AZ445" s="84">
        <v>0.0</v>
      </c>
    </row>
    <row r="446" ht="12.75" customHeight="1">
      <c r="A446" s="84">
        <v>444.0</v>
      </c>
      <c r="B446" s="84" t="s">
        <v>3441</v>
      </c>
      <c r="C446" s="84">
        <v>1.0</v>
      </c>
      <c r="D446" s="84" t="s">
        <v>4940</v>
      </c>
      <c r="E446" s="84">
        <v>0.0</v>
      </c>
      <c r="F446" s="84" t="s">
        <v>5135</v>
      </c>
      <c r="G446" s="84">
        <v>100.0</v>
      </c>
      <c r="H446" s="84">
        <v>80.0</v>
      </c>
      <c r="I446" s="84">
        <v>5.0</v>
      </c>
      <c r="N446" s="84">
        <v>0.0</v>
      </c>
      <c r="O446" s="84">
        <v>0.0</v>
      </c>
      <c r="P446" s="84">
        <v>0.0</v>
      </c>
      <c r="S446" s="84">
        <v>1.0</v>
      </c>
      <c r="U446" s="84">
        <v>43.0</v>
      </c>
      <c r="X446" s="84">
        <v>0.0</v>
      </c>
      <c r="AH446" s="84">
        <v>0.0</v>
      </c>
      <c r="AI446" s="84">
        <v>0.0</v>
      </c>
      <c r="AJ446" s="84">
        <v>0.0</v>
      </c>
      <c r="AK446" s="84">
        <v>1.0</v>
      </c>
      <c r="AL446" s="84">
        <v>0.0</v>
      </c>
      <c r="AM446" s="84">
        <v>0.0</v>
      </c>
      <c r="AN446" s="84">
        <v>1.0</v>
      </c>
      <c r="AO446" s="84">
        <v>0.0</v>
      </c>
      <c r="AP446" s="84">
        <v>0.0</v>
      </c>
      <c r="AQ446" s="84">
        <v>0.0</v>
      </c>
      <c r="AR446" s="84">
        <v>0.0</v>
      </c>
      <c r="AS446" s="84">
        <v>0.0</v>
      </c>
      <c r="AT446" s="84">
        <v>0.0</v>
      </c>
      <c r="AU446" s="84">
        <v>0.0</v>
      </c>
      <c r="AV446" s="84">
        <v>0.0</v>
      </c>
      <c r="AW446" s="84">
        <v>0.0</v>
      </c>
      <c r="AX446" s="84">
        <v>0.0</v>
      </c>
      <c r="AY446" s="84">
        <v>1.0</v>
      </c>
      <c r="AZ446" s="84">
        <v>43.0</v>
      </c>
    </row>
    <row r="447" ht="12.75" customHeight="1">
      <c r="A447" s="84">
        <v>445.0</v>
      </c>
      <c r="B447" s="84" t="s">
        <v>5726</v>
      </c>
      <c r="C447" s="84">
        <v>0.0</v>
      </c>
      <c r="D447" s="84" t="s">
        <v>4916</v>
      </c>
      <c r="E447" s="84">
        <v>2.0</v>
      </c>
      <c r="F447" s="84" t="s">
        <v>5131</v>
      </c>
      <c r="G447" s="84">
        <v>0.0</v>
      </c>
      <c r="H447" s="84">
        <v>100.0</v>
      </c>
      <c r="I447" s="84">
        <v>20.0</v>
      </c>
      <c r="J447" s="84"/>
      <c r="K447" s="84"/>
      <c r="L447" s="84"/>
      <c r="M447" s="84"/>
      <c r="N447" s="84">
        <v>0.0</v>
      </c>
      <c r="O447" s="84">
        <v>0.0</v>
      </c>
      <c r="P447" s="84">
        <v>0.0</v>
      </c>
      <c r="Q447" s="84"/>
      <c r="R447" s="84"/>
      <c r="S447" s="84"/>
      <c r="T447" s="84"/>
      <c r="U447" s="84">
        <v>265.0</v>
      </c>
      <c r="V447" s="84"/>
      <c r="W447" s="84"/>
      <c r="X447" s="84">
        <v>5.0</v>
      </c>
      <c r="Y447" s="84" t="s">
        <v>22</v>
      </c>
      <c r="Z447" s="84">
        <v>-2.0</v>
      </c>
      <c r="AA447" s="84"/>
      <c r="AB447" s="84"/>
      <c r="AC447" s="84"/>
      <c r="AD447" s="84"/>
      <c r="AE447" s="84"/>
      <c r="AF447" s="84"/>
      <c r="AG447" s="84"/>
      <c r="AH447" s="84">
        <v>0.0</v>
      </c>
      <c r="AI447" s="84">
        <v>0.0</v>
      </c>
      <c r="AJ447" s="84">
        <v>0.0</v>
      </c>
      <c r="AK447" s="84">
        <v>1.0</v>
      </c>
      <c r="AL447" s="84">
        <v>1.0</v>
      </c>
      <c r="AM447" s="84">
        <v>0.0</v>
      </c>
      <c r="AN447" s="84">
        <v>1.0</v>
      </c>
      <c r="AO447" s="84">
        <v>0.0</v>
      </c>
      <c r="AP447" s="84">
        <v>0.0</v>
      </c>
      <c r="AQ447" s="84">
        <v>0.0</v>
      </c>
      <c r="AR447" s="84">
        <v>0.0</v>
      </c>
      <c r="AS447" s="84">
        <v>0.0</v>
      </c>
      <c r="AT447" s="84">
        <v>0.0</v>
      </c>
      <c r="AU447" s="84">
        <v>0.0</v>
      </c>
      <c r="AV447" s="84">
        <v>0.0</v>
      </c>
      <c r="AW447" s="84">
        <v>0.0</v>
      </c>
      <c r="AX447" s="84">
        <v>0.0</v>
      </c>
      <c r="AY447" s="84">
        <v>1.0</v>
      </c>
      <c r="AZ447" s="84">
        <v>0.0</v>
      </c>
    </row>
    <row r="448" ht="12.75" customHeight="1">
      <c r="A448" s="84">
        <v>446.0</v>
      </c>
      <c r="B448" s="84" t="s">
        <v>3543</v>
      </c>
      <c r="C448" s="84">
        <v>1.0</v>
      </c>
      <c r="D448" s="84" t="s">
        <v>4940</v>
      </c>
      <c r="E448" s="84">
        <v>11.0</v>
      </c>
      <c r="F448" s="84" t="s">
        <v>5131</v>
      </c>
      <c r="G448" s="84">
        <v>0.0</v>
      </c>
      <c r="H448" s="84">
        <v>101.0</v>
      </c>
      <c r="I448" s="84">
        <v>20.0</v>
      </c>
      <c r="N448" s="84">
        <v>0.0</v>
      </c>
      <c r="O448" s="84">
        <v>0.0</v>
      </c>
      <c r="P448" s="84">
        <v>0.0</v>
      </c>
      <c r="U448" s="84">
        <v>266.0</v>
      </c>
      <c r="X448" s="84">
        <v>11.0</v>
      </c>
      <c r="AH448" s="84">
        <v>0.0</v>
      </c>
      <c r="AI448" s="84">
        <v>0.0</v>
      </c>
      <c r="AJ448" s="84">
        <v>0.0</v>
      </c>
      <c r="AK448" s="84">
        <v>0.0</v>
      </c>
      <c r="AL448" s="84">
        <v>1.0</v>
      </c>
      <c r="AM448" s="84">
        <v>0.0</v>
      </c>
      <c r="AN448" s="84">
        <v>0.0</v>
      </c>
      <c r="AO448" s="84">
        <v>0.0</v>
      </c>
      <c r="AP448" s="84">
        <v>0.0</v>
      </c>
      <c r="AQ448" s="84">
        <v>0.0</v>
      </c>
      <c r="AR448" s="84">
        <v>0.0</v>
      </c>
      <c r="AS448" s="84">
        <v>0.0</v>
      </c>
      <c r="AT448" s="84">
        <v>0.0</v>
      </c>
      <c r="AU448" s="84">
        <v>0.0</v>
      </c>
      <c r="AV448" s="84">
        <v>0.0</v>
      </c>
      <c r="AW448" s="84">
        <v>0.0</v>
      </c>
      <c r="AX448" s="84">
        <v>0.0</v>
      </c>
      <c r="AY448" s="84">
        <v>1.0</v>
      </c>
      <c r="AZ448" s="84">
        <v>14.0</v>
      </c>
    </row>
    <row r="449" ht="12.75" customHeight="1">
      <c r="A449" s="84">
        <v>447.0</v>
      </c>
      <c r="B449" s="84" t="s">
        <v>2631</v>
      </c>
      <c r="C449" s="84">
        <v>1.0</v>
      </c>
      <c r="D449" s="84" t="s">
        <v>4904</v>
      </c>
      <c r="E449" s="84">
        <v>0.0</v>
      </c>
      <c r="F449" s="84" t="s">
        <v>5172</v>
      </c>
      <c r="G449" s="84">
        <v>1.0</v>
      </c>
      <c r="H449" s="84">
        <v>100.0</v>
      </c>
      <c r="I449" s="84">
        <v>20.0</v>
      </c>
      <c r="N449" s="84">
        <v>0.0</v>
      </c>
      <c r="O449" s="84">
        <v>0.0</v>
      </c>
      <c r="P449" s="84">
        <v>0.0</v>
      </c>
      <c r="U449" s="84">
        <v>196.0</v>
      </c>
      <c r="X449" s="84">
        <v>0.0</v>
      </c>
      <c r="AH449" s="84">
        <v>1.0</v>
      </c>
      <c r="AI449" s="84">
        <v>0.0</v>
      </c>
      <c r="AJ449" s="84">
        <v>0.0</v>
      </c>
      <c r="AK449" s="84">
        <v>1.0</v>
      </c>
      <c r="AL449" s="84">
        <v>0.0</v>
      </c>
      <c r="AM449" s="84">
        <v>0.0</v>
      </c>
      <c r="AN449" s="84">
        <v>1.0</v>
      </c>
      <c r="AO449" s="84">
        <v>0.0</v>
      </c>
      <c r="AP449" s="84">
        <v>0.0</v>
      </c>
      <c r="AQ449" s="84">
        <v>0.0</v>
      </c>
      <c r="AR449" s="84">
        <v>0.0</v>
      </c>
      <c r="AS449" s="84">
        <v>0.0</v>
      </c>
      <c r="AT449" s="84">
        <v>0.0</v>
      </c>
      <c r="AU449" s="84">
        <v>0.0</v>
      </c>
      <c r="AV449" s="84">
        <v>1.0</v>
      </c>
      <c r="AW449" s="84">
        <v>0.0</v>
      </c>
      <c r="AX449" s="84">
        <v>0.0</v>
      </c>
      <c r="AY449" s="84">
        <v>1.0</v>
      </c>
      <c r="AZ449" s="84">
        <v>48.0</v>
      </c>
    </row>
    <row r="450" ht="12.75" customHeight="1">
      <c r="A450" s="84">
        <v>448.0</v>
      </c>
      <c r="B450" s="84" t="s">
        <v>3335</v>
      </c>
      <c r="C450" s="84">
        <v>1.0</v>
      </c>
      <c r="D450" s="84" t="s">
        <v>4907</v>
      </c>
      <c r="E450" s="84">
        <v>4.0</v>
      </c>
      <c r="F450" s="84" t="s">
        <v>5172</v>
      </c>
      <c r="G450" s="84">
        <v>65.0</v>
      </c>
      <c r="H450" s="84">
        <v>100.0</v>
      </c>
      <c r="I450" s="84">
        <v>20.0</v>
      </c>
      <c r="M450" s="84" t="s">
        <v>5490</v>
      </c>
      <c r="N450" s="84">
        <v>6.0</v>
      </c>
      <c r="O450" s="84">
        <v>100.0</v>
      </c>
      <c r="P450" s="84">
        <v>2.0</v>
      </c>
      <c r="Q450" s="84">
        <v>2.0</v>
      </c>
      <c r="R450" s="84">
        <v>5.0</v>
      </c>
      <c r="U450" s="84">
        <v>267.0</v>
      </c>
      <c r="X450" s="84">
        <v>0.0</v>
      </c>
      <c r="AH450" s="84">
        <v>0.0</v>
      </c>
      <c r="AI450" s="84">
        <v>0.0</v>
      </c>
      <c r="AJ450" s="84">
        <v>0.0</v>
      </c>
      <c r="AK450" s="84">
        <v>1.0</v>
      </c>
      <c r="AL450" s="84">
        <v>0.0</v>
      </c>
      <c r="AM450" s="84">
        <v>0.0</v>
      </c>
      <c r="AN450" s="84">
        <v>1.0</v>
      </c>
      <c r="AO450" s="84">
        <v>0.0</v>
      </c>
      <c r="AP450" s="84">
        <v>1.0</v>
      </c>
      <c r="AQ450" s="84">
        <v>0.0</v>
      </c>
      <c r="AR450" s="84">
        <v>0.0</v>
      </c>
      <c r="AS450" s="84">
        <v>1.0</v>
      </c>
      <c r="AT450" s="84">
        <v>0.0</v>
      </c>
      <c r="AU450" s="84">
        <v>1.0</v>
      </c>
      <c r="AV450" s="84">
        <v>0.0</v>
      </c>
      <c r="AW450" s="84">
        <v>0.0</v>
      </c>
      <c r="AX450" s="84">
        <v>0.0</v>
      </c>
      <c r="AY450" s="84">
        <v>0.0</v>
      </c>
      <c r="AZ450" s="84">
        <v>41.0</v>
      </c>
    </row>
    <row r="451" ht="12.75" customHeight="1">
      <c r="A451" s="84">
        <v>449.0</v>
      </c>
      <c r="B451" s="84" t="s">
        <v>5727</v>
      </c>
      <c r="C451" s="84">
        <v>1.0</v>
      </c>
      <c r="D451" s="84" t="s">
        <v>4916</v>
      </c>
      <c r="E451" s="84">
        <v>0.0</v>
      </c>
      <c r="F451" s="84" t="s">
        <v>5172</v>
      </c>
      <c r="G451" s="84">
        <v>100.0</v>
      </c>
      <c r="H451" s="84">
        <v>100.0</v>
      </c>
      <c r="I451" s="84">
        <v>10.0</v>
      </c>
      <c r="N451" s="84">
        <v>0.0</v>
      </c>
      <c r="O451" s="84">
        <v>0.0</v>
      </c>
      <c r="P451" s="84">
        <v>0.0</v>
      </c>
      <c r="U451" s="84">
        <v>268.0</v>
      </c>
      <c r="X451" s="84">
        <v>0.0</v>
      </c>
      <c r="AH451" s="84">
        <v>0.0</v>
      </c>
      <c r="AI451" s="84">
        <v>0.0</v>
      </c>
      <c r="AJ451" s="84">
        <v>0.0</v>
      </c>
      <c r="AK451" s="84">
        <v>1.0</v>
      </c>
      <c r="AL451" s="84">
        <v>0.0</v>
      </c>
      <c r="AM451" s="84">
        <v>0.0</v>
      </c>
      <c r="AN451" s="84">
        <v>1.0</v>
      </c>
      <c r="AO451" s="84">
        <v>0.0</v>
      </c>
      <c r="AP451" s="84">
        <v>0.0</v>
      </c>
      <c r="AQ451" s="84">
        <v>0.0</v>
      </c>
      <c r="AR451" s="84">
        <v>0.0</v>
      </c>
      <c r="AS451" s="84">
        <v>0.0</v>
      </c>
      <c r="AT451" s="84">
        <v>0.0</v>
      </c>
      <c r="AU451" s="84">
        <v>0.0</v>
      </c>
      <c r="AV451" s="84">
        <v>0.0</v>
      </c>
      <c r="AW451" s="84">
        <v>0.0</v>
      </c>
      <c r="AX451" s="84">
        <v>0.0</v>
      </c>
      <c r="AY451" s="84">
        <v>1.0</v>
      </c>
      <c r="AZ451" s="84">
        <v>47.0</v>
      </c>
    </row>
    <row r="452" ht="12.75" customHeight="1">
      <c r="A452" s="84">
        <v>450.0</v>
      </c>
      <c r="B452" s="84" t="s">
        <v>2651</v>
      </c>
      <c r="C452" s="84">
        <v>1.0</v>
      </c>
      <c r="D452" s="84" t="s">
        <v>4910</v>
      </c>
      <c r="E452" s="84">
        <v>0.0</v>
      </c>
      <c r="F452" s="84" t="s">
        <v>5135</v>
      </c>
      <c r="G452" s="84">
        <v>60.0</v>
      </c>
      <c r="H452" s="84">
        <v>100.0</v>
      </c>
      <c r="I452" s="84">
        <v>20.0</v>
      </c>
      <c r="N452" s="84">
        <v>0.0</v>
      </c>
      <c r="O452" s="84">
        <v>0.0</v>
      </c>
      <c r="P452" s="84">
        <v>0.0</v>
      </c>
      <c r="U452" s="84">
        <v>224.0</v>
      </c>
      <c r="X452" s="84">
        <v>0.0</v>
      </c>
      <c r="AH452" s="84">
        <v>1.0</v>
      </c>
      <c r="AI452" s="84">
        <v>0.0</v>
      </c>
      <c r="AJ452" s="84">
        <v>0.0</v>
      </c>
      <c r="AK452" s="84">
        <v>1.0</v>
      </c>
      <c r="AL452" s="84">
        <v>0.0</v>
      </c>
      <c r="AM452" s="84">
        <v>0.0</v>
      </c>
      <c r="AN452" s="84">
        <v>1.0</v>
      </c>
      <c r="AO452" s="84">
        <v>0.0</v>
      </c>
      <c r="AP452" s="84">
        <v>0.0</v>
      </c>
      <c r="AQ452" s="84">
        <v>0.0</v>
      </c>
      <c r="AR452" s="84">
        <v>0.0</v>
      </c>
      <c r="AS452" s="84">
        <v>0.0</v>
      </c>
      <c r="AT452" s="84">
        <v>0.0</v>
      </c>
      <c r="AU452" s="84">
        <v>0.0</v>
      </c>
      <c r="AV452" s="84">
        <v>0.0</v>
      </c>
      <c r="AW452" s="84">
        <v>0.0</v>
      </c>
      <c r="AX452" s="84">
        <v>0.0</v>
      </c>
      <c r="AY452" s="84">
        <v>1.0</v>
      </c>
      <c r="AZ452" s="84">
        <v>37.0</v>
      </c>
    </row>
    <row r="453" ht="12.75" customHeight="1">
      <c r="A453" s="84">
        <v>451.0</v>
      </c>
      <c r="B453" s="84" t="s">
        <v>3762</v>
      </c>
      <c r="C453" s="84">
        <v>1.0</v>
      </c>
      <c r="D453" s="84" t="s">
        <v>4921</v>
      </c>
      <c r="E453" s="84">
        <v>7.0</v>
      </c>
      <c r="F453" s="84" t="s">
        <v>5172</v>
      </c>
      <c r="G453" s="84">
        <v>50.0</v>
      </c>
      <c r="H453" s="84">
        <v>90.0</v>
      </c>
      <c r="I453" s="84">
        <v>10.0</v>
      </c>
      <c r="N453" s="84">
        <v>0.0</v>
      </c>
      <c r="O453" s="84">
        <v>0.0</v>
      </c>
      <c r="P453" s="84">
        <v>0.0</v>
      </c>
      <c r="U453" s="84">
        <v>276.0</v>
      </c>
      <c r="X453" s="84">
        <v>0.0</v>
      </c>
      <c r="Y453" s="84" t="s">
        <v>22</v>
      </c>
      <c r="Z453" s="84">
        <v>1.0</v>
      </c>
      <c r="AA453" s="84">
        <v>70.0</v>
      </c>
      <c r="AH453" s="84">
        <v>0.0</v>
      </c>
      <c r="AI453" s="84">
        <v>0.0</v>
      </c>
      <c r="AJ453" s="84">
        <v>0.0</v>
      </c>
      <c r="AK453" s="84">
        <v>1.0</v>
      </c>
      <c r="AL453" s="84">
        <v>0.0</v>
      </c>
      <c r="AM453" s="84">
        <v>0.0</v>
      </c>
      <c r="AN453" s="84">
        <v>1.0</v>
      </c>
      <c r="AO453" s="84">
        <v>0.0</v>
      </c>
      <c r="AP453" s="84">
        <v>0.0</v>
      </c>
      <c r="AQ453" s="84">
        <v>0.0</v>
      </c>
      <c r="AR453" s="84">
        <v>0.0</v>
      </c>
      <c r="AS453" s="84">
        <v>0.0</v>
      </c>
      <c r="AT453" s="84">
        <v>0.0</v>
      </c>
      <c r="AU453" s="84">
        <v>0.0</v>
      </c>
      <c r="AV453" s="84">
        <v>0.0</v>
      </c>
      <c r="AW453" s="84">
        <v>0.0</v>
      </c>
      <c r="AX453" s="84">
        <v>0.0</v>
      </c>
      <c r="AY453" s="84">
        <v>1.0</v>
      </c>
      <c r="AZ453" s="84">
        <v>35.0</v>
      </c>
    </row>
    <row r="454" ht="12.75" customHeight="1">
      <c r="A454" s="84">
        <v>452.0</v>
      </c>
      <c r="B454" s="84" t="s">
        <v>4019</v>
      </c>
      <c r="C454" s="84">
        <v>1.0</v>
      </c>
      <c r="D454" s="84" t="s">
        <v>4904</v>
      </c>
      <c r="E454" s="84">
        <v>0.0</v>
      </c>
      <c r="F454" s="84" t="s">
        <v>5135</v>
      </c>
      <c r="G454" s="84">
        <v>120.0</v>
      </c>
      <c r="H454" s="84">
        <v>100.0</v>
      </c>
      <c r="I454" s="84">
        <v>15.0</v>
      </c>
      <c r="N454" s="84">
        <v>0.0</v>
      </c>
      <c r="O454" s="84">
        <v>0.0</v>
      </c>
      <c r="P454" s="84">
        <v>0.0</v>
      </c>
      <c r="U454" s="84">
        <v>198.0</v>
      </c>
      <c r="V454" s="84">
        <v>-33.0</v>
      </c>
      <c r="X454" s="84">
        <v>0.0</v>
      </c>
      <c r="AH454" s="84">
        <v>1.0</v>
      </c>
      <c r="AI454" s="84">
        <v>0.0</v>
      </c>
      <c r="AJ454" s="84">
        <v>0.0</v>
      </c>
      <c r="AK454" s="84">
        <v>1.0</v>
      </c>
      <c r="AL454" s="84">
        <v>0.0</v>
      </c>
      <c r="AM454" s="84">
        <v>0.0</v>
      </c>
      <c r="AN454" s="84">
        <v>1.0</v>
      </c>
      <c r="AO454" s="84">
        <v>0.0</v>
      </c>
      <c r="AP454" s="84">
        <v>0.0</v>
      </c>
      <c r="AQ454" s="84">
        <v>0.0</v>
      </c>
      <c r="AR454" s="84">
        <v>0.0</v>
      </c>
      <c r="AS454" s="84">
        <v>0.0</v>
      </c>
      <c r="AT454" s="84">
        <v>0.0</v>
      </c>
      <c r="AU454" s="84">
        <v>0.0</v>
      </c>
      <c r="AV454" s="84">
        <v>0.0</v>
      </c>
      <c r="AW454" s="84">
        <v>0.0</v>
      </c>
      <c r="AX454" s="84">
        <v>0.0</v>
      </c>
      <c r="AY454" s="84">
        <v>1.0</v>
      </c>
      <c r="AZ454" s="84">
        <v>43.0</v>
      </c>
    </row>
    <row r="455" ht="12.75" customHeight="1">
      <c r="A455" s="84">
        <v>453.0</v>
      </c>
      <c r="B455" s="84" t="s">
        <v>3031</v>
      </c>
      <c r="C455" s="84">
        <v>1.0</v>
      </c>
      <c r="D455" s="84" t="s">
        <v>4908</v>
      </c>
      <c r="E455" s="84">
        <v>0.0</v>
      </c>
      <c r="F455" s="84" t="s">
        <v>5135</v>
      </c>
      <c r="G455" s="84">
        <v>40.0</v>
      </c>
      <c r="H455" s="84">
        <v>100.0</v>
      </c>
      <c r="I455" s="84">
        <v>20.0</v>
      </c>
      <c r="J455" s="84">
        <v>1.0</v>
      </c>
      <c r="N455" s="84">
        <v>0.0</v>
      </c>
      <c r="O455" s="84">
        <v>0.0</v>
      </c>
      <c r="P455" s="84">
        <v>0.0</v>
      </c>
      <c r="U455" s="84">
        <v>103.0</v>
      </c>
      <c r="X455" s="84">
        <v>0.0</v>
      </c>
      <c r="AH455" s="84">
        <v>1.0</v>
      </c>
      <c r="AI455" s="84">
        <v>0.0</v>
      </c>
      <c r="AJ455" s="84">
        <v>0.0</v>
      </c>
      <c r="AK455" s="84">
        <v>1.0</v>
      </c>
      <c r="AL455" s="84">
        <v>0.0</v>
      </c>
      <c r="AM455" s="84">
        <v>0.0</v>
      </c>
      <c r="AN455" s="84">
        <v>1.0</v>
      </c>
      <c r="AO455" s="84">
        <v>0.0</v>
      </c>
      <c r="AP455" s="84">
        <v>0.0</v>
      </c>
      <c r="AQ455" s="84">
        <v>0.0</v>
      </c>
      <c r="AR455" s="84">
        <v>0.0</v>
      </c>
      <c r="AS455" s="84">
        <v>0.0</v>
      </c>
      <c r="AT455" s="84">
        <v>0.0</v>
      </c>
      <c r="AU455" s="84">
        <v>0.0</v>
      </c>
      <c r="AV455" s="84">
        <v>0.0</v>
      </c>
      <c r="AW455" s="84">
        <v>0.0</v>
      </c>
      <c r="AX455" s="84">
        <v>0.0</v>
      </c>
      <c r="AY455" s="84">
        <v>1.0</v>
      </c>
      <c r="AZ455" s="84">
        <v>32.0</v>
      </c>
    </row>
    <row r="456" ht="12.75" customHeight="1">
      <c r="A456" s="84">
        <v>454.0</v>
      </c>
      <c r="B456" s="84" t="s">
        <v>3667</v>
      </c>
      <c r="C456" s="84">
        <v>1.0</v>
      </c>
      <c r="D456" s="84" t="s">
        <v>4910</v>
      </c>
      <c r="E456" s="84">
        <v>0.0</v>
      </c>
      <c r="F456" s="84" t="s">
        <v>5135</v>
      </c>
      <c r="G456" s="84">
        <v>90.0</v>
      </c>
      <c r="H456" s="84">
        <v>100.0</v>
      </c>
      <c r="I456" s="84">
        <v>15.0</v>
      </c>
      <c r="N456" s="84">
        <v>0.0</v>
      </c>
      <c r="O456" s="84">
        <v>0.0</v>
      </c>
      <c r="P456" s="84">
        <v>0.0</v>
      </c>
      <c r="S456" s="84">
        <v>1.0</v>
      </c>
      <c r="U456" s="84">
        <v>43.0</v>
      </c>
      <c r="X456" s="84">
        <v>0.0</v>
      </c>
      <c r="AH456" s="84">
        <v>0.0</v>
      </c>
      <c r="AI456" s="84">
        <v>0.0</v>
      </c>
      <c r="AJ456" s="84">
        <v>0.0</v>
      </c>
      <c r="AK456" s="84">
        <v>1.0</v>
      </c>
      <c r="AL456" s="84">
        <v>0.0</v>
      </c>
      <c r="AM456" s="84">
        <v>0.0</v>
      </c>
      <c r="AN456" s="84">
        <v>1.0</v>
      </c>
      <c r="AO456" s="84">
        <v>0.0</v>
      </c>
      <c r="AP456" s="84">
        <v>0.0</v>
      </c>
      <c r="AQ456" s="84">
        <v>0.0</v>
      </c>
      <c r="AR456" s="84">
        <v>0.0</v>
      </c>
      <c r="AS456" s="84">
        <v>0.0</v>
      </c>
      <c r="AT456" s="84">
        <v>0.0</v>
      </c>
      <c r="AU456" s="84">
        <v>0.0</v>
      </c>
      <c r="AV456" s="84">
        <v>0.0</v>
      </c>
      <c r="AW456" s="84">
        <v>0.0</v>
      </c>
      <c r="AX456" s="84">
        <v>0.0</v>
      </c>
      <c r="AY456" s="84">
        <v>1.0</v>
      </c>
      <c r="AZ456" s="84">
        <v>42.0</v>
      </c>
    </row>
    <row r="457" ht="12.75" customHeight="1">
      <c r="A457" s="84">
        <v>455.0</v>
      </c>
      <c r="B457" s="84" t="s">
        <v>3668</v>
      </c>
      <c r="C457" s="84">
        <v>1.0</v>
      </c>
      <c r="D457" s="84" t="s">
        <v>4910</v>
      </c>
      <c r="E457" s="84">
        <v>2.0</v>
      </c>
      <c r="F457" s="84" t="s">
        <v>5131</v>
      </c>
      <c r="G457" s="84">
        <v>0.0</v>
      </c>
      <c r="H457" s="84">
        <v>101.0</v>
      </c>
      <c r="I457" s="84">
        <v>10.0</v>
      </c>
      <c r="N457" s="84">
        <v>0.0</v>
      </c>
      <c r="O457" s="84">
        <v>0.0</v>
      </c>
      <c r="P457" s="84">
        <v>0.0</v>
      </c>
      <c r="U457" s="84">
        <v>206.0</v>
      </c>
      <c r="X457" s="84">
        <v>7.0</v>
      </c>
      <c r="Y457" s="84" t="s">
        <v>21</v>
      </c>
      <c r="Z457" s="84">
        <v>1.0</v>
      </c>
      <c r="AB457" s="84" t="s">
        <v>23</v>
      </c>
      <c r="AC457" s="84">
        <v>1.0</v>
      </c>
      <c r="AH457" s="84">
        <v>0.0</v>
      </c>
      <c r="AI457" s="84">
        <v>0.0</v>
      </c>
      <c r="AJ457" s="84">
        <v>0.0</v>
      </c>
      <c r="AK457" s="84">
        <v>0.0</v>
      </c>
      <c r="AL457" s="84">
        <v>0.0</v>
      </c>
      <c r="AM457" s="84">
        <v>1.0</v>
      </c>
      <c r="AN457" s="84">
        <v>0.0</v>
      </c>
      <c r="AO457" s="84">
        <v>0.0</v>
      </c>
      <c r="AP457" s="84">
        <v>0.0</v>
      </c>
      <c r="AQ457" s="84">
        <v>0.0</v>
      </c>
      <c r="AR457" s="84">
        <v>0.0</v>
      </c>
      <c r="AS457" s="84">
        <v>0.0</v>
      </c>
      <c r="AT457" s="84">
        <v>0.0</v>
      </c>
      <c r="AU457" s="84">
        <v>0.0</v>
      </c>
      <c r="AV457" s="84">
        <v>0.0</v>
      </c>
      <c r="AW457" s="84">
        <v>0.0</v>
      </c>
      <c r="AX457" s="84">
        <v>0.0</v>
      </c>
      <c r="AY457" s="84">
        <v>1.0</v>
      </c>
      <c r="AZ457" s="84">
        <v>11.0</v>
      </c>
    </row>
    <row r="458" ht="12.75" customHeight="1">
      <c r="A458" s="84">
        <v>456.0</v>
      </c>
      <c r="B458" s="84" t="s">
        <v>5728</v>
      </c>
      <c r="C458" s="84">
        <v>0.0</v>
      </c>
      <c r="D458" s="84" t="s">
        <v>4910</v>
      </c>
      <c r="E458" s="84">
        <v>3.0</v>
      </c>
      <c r="F458" s="84" t="s">
        <v>5131</v>
      </c>
      <c r="G458" s="84">
        <v>0.0</v>
      </c>
      <c r="H458" s="84">
        <v>101.0</v>
      </c>
      <c r="I458" s="84">
        <v>10.0</v>
      </c>
      <c r="J458" s="84"/>
      <c r="K458" s="84"/>
      <c r="L458" s="84"/>
      <c r="M458" s="84"/>
      <c r="N458" s="84">
        <v>0.0</v>
      </c>
      <c r="O458" s="84">
        <v>0.0</v>
      </c>
      <c r="P458" s="84">
        <v>0.0</v>
      </c>
      <c r="Q458" s="84"/>
      <c r="R458" s="84"/>
      <c r="S458" s="84"/>
      <c r="T458" s="84"/>
      <c r="U458" s="84">
        <v>32.0</v>
      </c>
      <c r="V458" s="84"/>
      <c r="W458" s="84">
        <v>50.0</v>
      </c>
      <c r="X458" s="84">
        <v>7.0</v>
      </c>
      <c r="Y458" s="84"/>
      <c r="Z458" s="84"/>
      <c r="AA458" s="84"/>
      <c r="AB458" s="84"/>
      <c r="AC458" s="84"/>
      <c r="AD458" s="84"/>
      <c r="AE458" s="84"/>
      <c r="AF458" s="84"/>
      <c r="AG458" s="84"/>
      <c r="AH458" s="84">
        <v>0.0</v>
      </c>
      <c r="AI458" s="84">
        <v>0.0</v>
      </c>
      <c r="AJ458" s="84">
        <v>0.0</v>
      </c>
      <c r="AK458" s="84">
        <v>0.0</v>
      </c>
      <c r="AL458" s="84">
        <v>0.0</v>
      </c>
      <c r="AM458" s="84">
        <v>1.0</v>
      </c>
      <c r="AN458" s="84">
        <v>0.0</v>
      </c>
      <c r="AO458" s="84">
        <v>0.0</v>
      </c>
      <c r="AP458" s="84">
        <v>0.0</v>
      </c>
      <c r="AQ458" s="84">
        <v>0.0</v>
      </c>
      <c r="AR458" s="84">
        <v>0.0</v>
      </c>
      <c r="AS458" s="84">
        <v>0.0</v>
      </c>
      <c r="AT458" s="84">
        <v>1.0</v>
      </c>
      <c r="AU458" s="84">
        <v>0.0</v>
      </c>
      <c r="AV458" s="84">
        <v>0.0</v>
      </c>
      <c r="AW458" s="84">
        <v>0.0</v>
      </c>
      <c r="AX458" s="84">
        <v>0.0</v>
      </c>
      <c r="AY458" s="84">
        <v>1.0</v>
      </c>
      <c r="AZ458" s="84">
        <v>0.0</v>
      </c>
    </row>
    <row r="459" ht="12.75" customHeight="1">
      <c r="A459" s="84">
        <v>457.0</v>
      </c>
      <c r="B459" s="84" t="s">
        <v>3803</v>
      </c>
      <c r="C459" s="84">
        <v>1.0</v>
      </c>
      <c r="D459" s="84" t="s">
        <v>4940</v>
      </c>
      <c r="E459" s="84">
        <v>0.0</v>
      </c>
      <c r="F459" s="84" t="s">
        <v>5135</v>
      </c>
      <c r="G459" s="84">
        <v>150.0</v>
      </c>
      <c r="H459" s="84">
        <v>80.0</v>
      </c>
      <c r="I459" s="84">
        <v>5.0</v>
      </c>
      <c r="N459" s="84">
        <v>0.0</v>
      </c>
      <c r="O459" s="84">
        <v>0.0</v>
      </c>
      <c r="P459" s="84">
        <v>0.0</v>
      </c>
      <c r="U459" s="84">
        <v>269.0</v>
      </c>
      <c r="V459" s="84">
        <v>-50.0</v>
      </c>
      <c r="X459" s="84">
        <v>0.0</v>
      </c>
      <c r="AH459" s="84">
        <v>1.0</v>
      </c>
      <c r="AI459" s="84">
        <v>0.0</v>
      </c>
      <c r="AJ459" s="84">
        <v>0.0</v>
      </c>
      <c r="AK459" s="84">
        <v>1.0</v>
      </c>
      <c r="AL459" s="84">
        <v>0.0</v>
      </c>
      <c r="AM459" s="84">
        <v>0.0</v>
      </c>
      <c r="AN459" s="84">
        <v>1.0</v>
      </c>
      <c r="AO459" s="84">
        <v>0.0</v>
      </c>
      <c r="AP459" s="84">
        <v>0.0</v>
      </c>
      <c r="AQ459" s="84">
        <v>0.0</v>
      </c>
      <c r="AR459" s="84">
        <v>0.0</v>
      </c>
      <c r="AS459" s="84">
        <v>0.0</v>
      </c>
      <c r="AT459" s="84">
        <v>0.0</v>
      </c>
      <c r="AU459" s="84">
        <v>0.0</v>
      </c>
      <c r="AV459" s="84">
        <v>0.0</v>
      </c>
      <c r="AW459" s="84">
        <v>0.0</v>
      </c>
      <c r="AX459" s="84">
        <v>0.0</v>
      </c>
      <c r="AY459" s="84">
        <v>1.0</v>
      </c>
      <c r="AZ459" s="84">
        <v>44.0</v>
      </c>
    </row>
    <row r="460" ht="12.75" customHeight="1">
      <c r="A460" s="84">
        <v>458.0</v>
      </c>
      <c r="B460" s="84" t="s">
        <v>3707</v>
      </c>
      <c r="C460" s="84">
        <v>1.0</v>
      </c>
      <c r="D460" s="84" t="s">
        <v>4916</v>
      </c>
      <c r="E460" s="84">
        <v>0.0</v>
      </c>
      <c r="F460" s="84" t="s">
        <v>5135</v>
      </c>
      <c r="G460" s="84">
        <v>35.0</v>
      </c>
      <c r="H460" s="84">
        <v>90.0</v>
      </c>
      <c r="I460" s="84">
        <v>10.0</v>
      </c>
      <c r="K460" s="84">
        <v>2.0</v>
      </c>
      <c r="L460" s="84">
        <v>2.0</v>
      </c>
      <c r="N460" s="84">
        <v>0.0</v>
      </c>
      <c r="O460" s="84">
        <v>0.0</v>
      </c>
      <c r="P460" s="84">
        <v>0.0</v>
      </c>
      <c r="U460" s="84">
        <v>44.0</v>
      </c>
      <c r="X460" s="84">
        <v>0.0</v>
      </c>
      <c r="AH460" s="84">
        <v>1.0</v>
      </c>
      <c r="AI460" s="84">
        <v>0.0</v>
      </c>
      <c r="AJ460" s="84">
        <v>0.0</v>
      </c>
      <c r="AK460" s="84">
        <v>1.0</v>
      </c>
      <c r="AL460" s="84">
        <v>0.0</v>
      </c>
      <c r="AM460" s="84">
        <v>0.0</v>
      </c>
      <c r="AN460" s="84">
        <v>1.0</v>
      </c>
      <c r="AO460" s="84">
        <v>0.0</v>
      </c>
      <c r="AP460" s="84">
        <v>0.0</v>
      </c>
      <c r="AQ460" s="84">
        <v>0.0</v>
      </c>
      <c r="AR460" s="84">
        <v>0.0</v>
      </c>
      <c r="AS460" s="84">
        <v>0.0</v>
      </c>
      <c r="AT460" s="84">
        <v>0.0</v>
      </c>
      <c r="AU460" s="84">
        <v>0.0</v>
      </c>
      <c r="AV460" s="84">
        <v>0.0</v>
      </c>
      <c r="AW460" s="84">
        <v>0.0</v>
      </c>
      <c r="AX460" s="84">
        <v>0.0</v>
      </c>
      <c r="AY460" s="84">
        <v>1.0</v>
      </c>
      <c r="AZ460" s="84">
        <v>24.0</v>
      </c>
    </row>
    <row r="461" ht="12.75" customHeight="1">
      <c r="A461" s="84">
        <v>459.0</v>
      </c>
      <c r="B461" s="84" t="s">
        <v>5729</v>
      </c>
      <c r="C461" s="84">
        <v>1.0</v>
      </c>
      <c r="D461" s="84" t="s">
        <v>4956</v>
      </c>
      <c r="E461" s="84">
        <v>0.0</v>
      </c>
      <c r="F461" s="84" t="s">
        <v>5172</v>
      </c>
      <c r="G461" s="84">
        <v>150.0</v>
      </c>
      <c r="H461" s="84">
        <v>90.0</v>
      </c>
      <c r="I461" s="84">
        <v>5.0</v>
      </c>
      <c r="N461" s="84">
        <v>0.0</v>
      </c>
      <c r="O461" s="84">
        <v>0.0</v>
      </c>
      <c r="P461" s="84">
        <v>0.0</v>
      </c>
      <c r="U461" s="84">
        <v>80.0</v>
      </c>
      <c r="X461" s="84">
        <v>0.0</v>
      </c>
      <c r="AH461" s="84">
        <v>0.0</v>
      </c>
      <c r="AI461" s="84">
        <v>0.0</v>
      </c>
      <c r="AJ461" s="84">
        <v>1.0</v>
      </c>
      <c r="AK461" s="84">
        <v>1.0</v>
      </c>
      <c r="AL461" s="84">
        <v>0.0</v>
      </c>
      <c r="AM461" s="84">
        <v>0.0</v>
      </c>
      <c r="AN461" s="84">
        <v>1.0</v>
      </c>
      <c r="AO461" s="84">
        <v>0.0</v>
      </c>
      <c r="AP461" s="84">
        <v>0.0</v>
      </c>
      <c r="AQ461" s="84">
        <v>0.0</v>
      </c>
      <c r="AR461" s="84">
        <v>0.0</v>
      </c>
      <c r="AS461" s="84">
        <v>0.0</v>
      </c>
      <c r="AT461" s="84">
        <v>0.0</v>
      </c>
      <c r="AU461" s="84">
        <v>0.0</v>
      </c>
      <c r="AV461" s="84">
        <v>0.0</v>
      </c>
      <c r="AW461" s="84">
        <v>0.0</v>
      </c>
      <c r="AX461" s="84">
        <v>0.0</v>
      </c>
      <c r="AY461" s="84">
        <v>1.0</v>
      </c>
      <c r="AZ461" s="84">
        <v>47.0</v>
      </c>
    </row>
    <row r="462" ht="12.75" customHeight="1">
      <c r="A462" s="84">
        <v>460.0</v>
      </c>
      <c r="B462" s="84" t="s">
        <v>5730</v>
      </c>
      <c r="C462" s="84">
        <v>1.0</v>
      </c>
      <c r="D462" s="84" t="s">
        <v>4956</v>
      </c>
      <c r="E462" s="84">
        <v>0.0</v>
      </c>
      <c r="F462" s="84" t="s">
        <v>5172</v>
      </c>
      <c r="G462" s="84">
        <v>100.0</v>
      </c>
      <c r="H462" s="84">
        <v>95.0</v>
      </c>
      <c r="I462" s="84">
        <v>5.0</v>
      </c>
      <c r="N462" s="84">
        <v>0.0</v>
      </c>
      <c r="O462" s="84">
        <v>0.0</v>
      </c>
      <c r="P462" s="84">
        <v>0.0</v>
      </c>
      <c r="S462" s="84">
        <v>1.0</v>
      </c>
      <c r="U462" s="84">
        <v>43.0</v>
      </c>
      <c r="X462" s="84">
        <v>0.0</v>
      </c>
      <c r="AH462" s="84">
        <v>0.0</v>
      </c>
      <c r="AI462" s="84">
        <v>0.0</v>
      </c>
      <c r="AJ462" s="84">
        <v>0.0</v>
      </c>
      <c r="AK462" s="84">
        <v>1.0</v>
      </c>
      <c r="AL462" s="84">
        <v>0.0</v>
      </c>
      <c r="AM462" s="84">
        <v>0.0</v>
      </c>
      <c r="AN462" s="84">
        <v>1.0</v>
      </c>
      <c r="AO462" s="84">
        <v>0.0</v>
      </c>
      <c r="AP462" s="84">
        <v>0.0</v>
      </c>
      <c r="AQ462" s="84">
        <v>0.0</v>
      </c>
      <c r="AR462" s="84">
        <v>0.0</v>
      </c>
      <c r="AS462" s="84">
        <v>0.0</v>
      </c>
      <c r="AT462" s="84">
        <v>0.0</v>
      </c>
      <c r="AU462" s="84">
        <v>0.0</v>
      </c>
      <c r="AV462" s="84">
        <v>0.0</v>
      </c>
      <c r="AW462" s="84">
        <v>0.0</v>
      </c>
      <c r="AX462" s="84">
        <v>0.0</v>
      </c>
      <c r="AY462" s="84">
        <v>1.0</v>
      </c>
      <c r="AZ462" s="84">
        <v>47.0</v>
      </c>
    </row>
    <row r="463" ht="12.75" customHeight="1">
      <c r="A463" s="84">
        <v>461.0</v>
      </c>
      <c r="B463" s="84" t="s">
        <v>4235</v>
      </c>
      <c r="C463" s="84">
        <v>1.0</v>
      </c>
      <c r="D463" s="84" t="s">
        <v>2659</v>
      </c>
      <c r="E463" s="84">
        <v>13.0</v>
      </c>
      <c r="F463" s="84" t="s">
        <v>5131</v>
      </c>
      <c r="G463" s="84">
        <v>0.0</v>
      </c>
      <c r="H463" s="84">
        <v>101.0</v>
      </c>
      <c r="I463" s="84">
        <v>10.0</v>
      </c>
      <c r="N463" s="84">
        <v>0.0</v>
      </c>
      <c r="O463" s="84">
        <v>0.0</v>
      </c>
      <c r="P463" s="84">
        <v>0.0</v>
      </c>
      <c r="U463" s="84">
        <v>270.0</v>
      </c>
      <c r="X463" s="84">
        <v>7.0</v>
      </c>
      <c r="AH463" s="84">
        <v>0.0</v>
      </c>
      <c r="AI463" s="84">
        <v>0.0</v>
      </c>
      <c r="AJ463" s="84">
        <v>0.0</v>
      </c>
      <c r="AK463" s="84">
        <v>0.0</v>
      </c>
      <c r="AL463" s="84">
        <v>0.0</v>
      </c>
      <c r="AM463" s="84">
        <v>1.0</v>
      </c>
      <c r="AN463" s="84">
        <v>0.0</v>
      </c>
      <c r="AO463" s="84">
        <v>0.0</v>
      </c>
      <c r="AP463" s="84">
        <v>0.0</v>
      </c>
      <c r="AQ463" s="84">
        <v>0.0</v>
      </c>
      <c r="AR463" s="84">
        <v>0.0</v>
      </c>
      <c r="AS463" s="84">
        <v>0.0</v>
      </c>
      <c r="AT463" s="84">
        <v>1.0</v>
      </c>
      <c r="AU463" s="84">
        <v>0.0</v>
      </c>
      <c r="AV463" s="84">
        <v>0.0</v>
      </c>
      <c r="AW463" s="84">
        <v>0.0</v>
      </c>
      <c r="AX463" s="84">
        <v>1.0</v>
      </c>
      <c r="AY463" s="84">
        <v>1.0</v>
      </c>
      <c r="AZ463" s="84">
        <v>11.0</v>
      </c>
    </row>
    <row r="464" ht="12.75" customHeight="1">
      <c r="A464" s="84">
        <v>462.0</v>
      </c>
      <c r="B464" s="84" t="s">
        <v>3967</v>
      </c>
      <c r="C464" s="84">
        <v>1.0</v>
      </c>
      <c r="D464" s="84" t="s">
        <v>4916</v>
      </c>
      <c r="E464" s="84">
        <v>0.0</v>
      </c>
      <c r="F464" s="84" t="s">
        <v>5135</v>
      </c>
      <c r="G464" s="84">
        <v>1.0</v>
      </c>
      <c r="H464" s="84">
        <v>100.0</v>
      </c>
      <c r="I464" s="84">
        <v>5.0</v>
      </c>
      <c r="N464" s="84">
        <v>0.0</v>
      </c>
      <c r="O464" s="84">
        <v>0.0</v>
      </c>
      <c r="P464" s="84">
        <v>0.0</v>
      </c>
      <c r="U464" s="84">
        <v>237.0</v>
      </c>
      <c r="X464" s="84">
        <v>0.0</v>
      </c>
      <c r="AH464" s="84">
        <v>1.0</v>
      </c>
      <c r="AI464" s="84">
        <v>0.0</v>
      </c>
      <c r="AJ464" s="84">
        <v>0.0</v>
      </c>
      <c r="AK464" s="84">
        <v>1.0</v>
      </c>
      <c r="AL464" s="84">
        <v>0.0</v>
      </c>
      <c r="AM464" s="84">
        <v>0.0</v>
      </c>
      <c r="AN464" s="84">
        <v>1.0</v>
      </c>
      <c r="AO464" s="84">
        <v>0.0</v>
      </c>
      <c r="AP464" s="84">
        <v>0.0</v>
      </c>
      <c r="AQ464" s="84">
        <v>0.0</v>
      </c>
      <c r="AR464" s="84">
        <v>0.0</v>
      </c>
      <c r="AS464" s="84">
        <v>0.0</v>
      </c>
      <c r="AT464" s="84">
        <v>0.0</v>
      </c>
      <c r="AU464" s="84">
        <v>0.0</v>
      </c>
      <c r="AV464" s="84">
        <v>0.0</v>
      </c>
      <c r="AW464" s="84">
        <v>0.0</v>
      </c>
      <c r="AX464" s="84">
        <v>0.0</v>
      </c>
      <c r="AY464" s="84">
        <v>1.0</v>
      </c>
      <c r="AZ464" s="84">
        <v>44.0</v>
      </c>
    </row>
    <row r="465" ht="12.75" customHeight="1">
      <c r="A465" s="84">
        <v>463.0</v>
      </c>
      <c r="B465" s="84" t="s">
        <v>3959</v>
      </c>
      <c r="C465" s="84">
        <v>1.0</v>
      </c>
      <c r="D465" s="84" t="s">
        <v>4906</v>
      </c>
      <c r="E465" s="84">
        <v>4.0</v>
      </c>
      <c r="F465" s="84" t="s">
        <v>5172</v>
      </c>
      <c r="G465" s="84">
        <v>100.0</v>
      </c>
      <c r="H465" s="84">
        <v>75.0</v>
      </c>
      <c r="I465" s="84">
        <v>5.0</v>
      </c>
      <c r="M465" s="84" t="s">
        <v>5190</v>
      </c>
      <c r="N465" s="84">
        <v>8.0</v>
      </c>
      <c r="O465" s="84">
        <v>100.0</v>
      </c>
      <c r="P465" s="84">
        <v>4.0</v>
      </c>
      <c r="Q465" s="84">
        <v>5.0</v>
      </c>
      <c r="R465" s="84">
        <v>6.0</v>
      </c>
      <c r="U465" s="84">
        <v>42.0</v>
      </c>
      <c r="X465" s="84">
        <v>0.0</v>
      </c>
      <c r="AH465" s="84">
        <v>0.0</v>
      </c>
      <c r="AI465" s="84">
        <v>0.0</v>
      </c>
      <c r="AJ465" s="84">
        <v>0.0</v>
      </c>
      <c r="AK465" s="84">
        <v>1.0</v>
      </c>
      <c r="AL465" s="84">
        <v>0.0</v>
      </c>
      <c r="AM465" s="84">
        <v>0.0</v>
      </c>
      <c r="AN465" s="84">
        <v>1.0</v>
      </c>
      <c r="AO465" s="84">
        <v>0.0</v>
      </c>
      <c r="AP465" s="84">
        <v>0.0</v>
      </c>
      <c r="AQ465" s="84">
        <v>0.0</v>
      </c>
      <c r="AR465" s="84">
        <v>0.0</v>
      </c>
      <c r="AS465" s="84">
        <v>0.0</v>
      </c>
      <c r="AT465" s="84">
        <v>0.0</v>
      </c>
      <c r="AU465" s="84">
        <v>0.0</v>
      </c>
      <c r="AV465" s="84">
        <v>0.0</v>
      </c>
      <c r="AW465" s="84">
        <v>0.0</v>
      </c>
      <c r="AX465" s="84">
        <v>0.0</v>
      </c>
      <c r="AY465" s="84">
        <v>1.0</v>
      </c>
      <c r="AZ465" s="84">
        <v>29.0</v>
      </c>
    </row>
    <row r="466" ht="12.75" customHeight="1">
      <c r="A466" s="84">
        <v>464.0</v>
      </c>
      <c r="B466" s="84" t="s">
        <v>5731</v>
      </c>
      <c r="C466" s="84">
        <v>1.0</v>
      </c>
      <c r="D466" s="84" t="s">
        <v>4972</v>
      </c>
      <c r="E466" s="84">
        <v>1.0</v>
      </c>
      <c r="F466" s="84" t="s">
        <v>5131</v>
      </c>
      <c r="G466" s="84">
        <v>0.0</v>
      </c>
      <c r="H466" s="84">
        <v>50.0</v>
      </c>
      <c r="I466" s="84">
        <v>10.0</v>
      </c>
      <c r="M466" s="84" t="s">
        <v>5252</v>
      </c>
      <c r="N466" s="84">
        <v>2.0</v>
      </c>
      <c r="O466" s="84">
        <v>0.0</v>
      </c>
      <c r="P466" s="84">
        <v>2.0</v>
      </c>
      <c r="Q466" s="84">
        <v>2.0</v>
      </c>
      <c r="R466" s="84">
        <v>4.0</v>
      </c>
      <c r="U466" s="84">
        <v>1.0</v>
      </c>
      <c r="X466" s="84">
        <v>5.0</v>
      </c>
      <c r="AH466" s="84">
        <v>0.0</v>
      </c>
      <c r="AI466" s="84">
        <v>0.0</v>
      </c>
      <c r="AJ466" s="84">
        <v>0.0</v>
      </c>
      <c r="AK466" s="84">
        <v>1.0</v>
      </c>
      <c r="AL466" s="84">
        <v>1.0</v>
      </c>
      <c r="AM466" s="84">
        <v>0.0</v>
      </c>
      <c r="AN466" s="84">
        <v>1.0</v>
      </c>
      <c r="AO466" s="84">
        <v>0.0</v>
      </c>
      <c r="AP466" s="84">
        <v>0.0</v>
      </c>
      <c r="AQ466" s="84">
        <v>0.0</v>
      </c>
      <c r="AR466" s="84">
        <v>0.0</v>
      </c>
      <c r="AS466" s="84">
        <v>0.0</v>
      </c>
      <c r="AT466" s="84">
        <v>0.0</v>
      </c>
      <c r="AU466" s="84">
        <v>0.0</v>
      </c>
      <c r="AV466" s="84">
        <v>0.0</v>
      </c>
      <c r="AW466" s="84">
        <v>0.0</v>
      </c>
      <c r="AX466" s="84">
        <v>0.0</v>
      </c>
      <c r="AY466" s="84">
        <v>1.0</v>
      </c>
      <c r="AZ466" s="84">
        <v>20.0</v>
      </c>
    </row>
    <row r="467" ht="12.75" customHeight="1">
      <c r="A467" s="84">
        <v>465.0</v>
      </c>
      <c r="B467" s="84" t="s">
        <v>5732</v>
      </c>
      <c r="C467" s="84">
        <v>1.0</v>
      </c>
      <c r="D467" s="84" t="s">
        <v>4904</v>
      </c>
      <c r="E467" s="84">
        <v>6.0</v>
      </c>
      <c r="F467" s="84" t="s">
        <v>5172</v>
      </c>
      <c r="G467" s="84">
        <v>120.0</v>
      </c>
      <c r="H467" s="84">
        <v>85.0</v>
      </c>
      <c r="I467" s="84">
        <v>5.0</v>
      </c>
      <c r="N467" s="84">
        <v>0.0</v>
      </c>
      <c r="O467" s="84">
        <v>0.0</v>
      </c>
      <c r="P467" s="84">
        <v>0.0</v>
      </c>
      <c r="U467" s="84">
        <v>271.0</v>
      </c>
      <c r="X467" s="84">
        <v>0.0</v>
      </c>
      <c r="Y467" s="84" t="s">
        <v>23</v>
      </c>
      <c r="Z467" s="84">
        <v>-2.0</v>
      </c>
      <c r="AA467" s="84">
        <v>40.0</v>
      </c>
      <c r="AH467" s="84">
        <v>0.0</v>
      </c>
      <c r="AI467" s="84">
        <v>0.0</v>
      </c>
      <c r="AJ467" s="84">
        <v>0.0</v>
      </c>
      <c r="AK467" s="84">
        <v>1.0</v>
      </c>
      <c r="AL467" s="84">
        <v>0.0</v>
      </c>
      <c r="AM467" s="84">
        <v>0.0</v>
      </c>
      <c r="AN467" s="84">
        <v>1.0</v>
      </c>
      <c r="AO467" s="84">
        <v>0.0</v>
      </c>
      <c r="AP467" s="84">
        <v>0.0</v>
      </c>
      <c r="AQ467" s="84">
        <v>0.0</v>
      </c>
      <c r="AR467" s="84">
        <v>0.0</v>
      </c>
      <c r="AS467" s="84">
        <v>0.0</v>
      </c>
      <c r="AT467" s="84">
        <v>0.0</v>
      </c>
      <c r="AU467" s="84">
        <v>0.0</v>
      </c>
      <c r="AV467" s="84">
        <v>0.0</v>
      </c>
      <c r="AW467" s="84">
        <v>0.0</v>
      </c>
      <c r="AX467" s="84">
        <v>0.0</v>
      </c>
      <c r="AY467" s="84">
        <v>1.0</v>
      </c>
      <c r="AZ467" s="84">
        <v>47.0</v>
      </c>
    </row>
    <row r="468" ht="12.75" customHeight="1">
      <c r="A468" s="84">
        <v>466.0</v>
      </c>
      <c r="B468" s="84" t="s">
        <v>5733</v>
      </c>
      <c r="C468" s="84">
        <v>0.0</v>
      </c>
      <c r="D468" s="84" t="s">
        <v>4945</v>
      </c>
      <c r="E468" s="84">
        <v>7.0</v>
      </c>
      <c r="F468" s="84" t="s">
        <v>5172</v>
      </c>
      <c r="G468" s="84">
        <v>60.0</v>
      </c>
      <c r="H468" s="84">
        <v>100.0</v>
      </c>
      <c r="I468" s="84">
        <v>5.0</v>
      </c>
      <c r="J468" s="84"/>
      <c r="K468" s="84"/>
      <c r="L468" s="84"/>
      <c r="M468" s="84"/>
      <c r="N468" s="84">
        <v>0.0</v>
      </c>
      <c r="O468" s="84">
        <v>10.0</v>
      </c>
      <c r="P468" s="84">
        <v>0.0</v>
      </c>
      <c r="Q468" s="84"/>
      <c r="R468" s="84"/>
      <c r="S468" s="84"/>
      <c r="T468" s="84"/>
      <c r="U468" s="84">
        <v>140.0</v>
      </c>
      <c r="V468" s="84"/>
      <c r="W468" s="84"/>
      <c r="X468" s="84">
        <v>0.0</v>
      </c>
      <c r="Y468" s="84" t="s">
        <v>5159</v>
      </c>
      <c r="Z468" s="84">
        <v>1.0</v>
      </c>
      <c r="AA468" s="84">
        <v>10.0</v>
      </c>
      <c r="AB468" s="84"/>
      <c r="AC468" s="84"/>
      <c r="AD468" s="84"/>
      <c r="AE468" s="84"/>
      <c r="AF468" s="84"/>
      <c r="AG468" s="84"/>
      <c r="AH468" s="84">
        <v>0.0</v>
      </c>
      <c r="AI468" s="84">
        <v>0.0</v>
      </c>
      <c r="AJ468" s="84">
        <v>0.0</v>
      </c>
      <c r="AK468" s="84">
        <v>1.0</v>
      </c>
      <c r="AL468" s="84">
        <v>0.0</v>
      </c>
      <c r="AM468" s="84">
        <v>0.0</v>
      </c>
      <c r="AN468" s="84">
        <v>1.0</v>
      </c>
      <c r="AO468" s="84">
        <v>0.0</v>
      </c>
      <c r="AP468" s="84">
        <v>0.0</v>
      </c>
      <c r="AQ468" s="84">
        <v>0.0</v>
      </c>
      <c r="AR468" s="84">
        <v>0.0</v>
      </c>
      <c r="AS468" s="84">
        <v>0.0</v>
      </c>
      <c r="AT468" s="84">
        <v>0.0</v>
      </c>
      <c r="AU468" s="84">
        <v>0.0</v>
      </c>
      <c r="AV468" s="84">
        <v>0.0</v>
      </c>
      <c r="AW468" s="84">
        <v>0.0</v>
      </c>
      <c r="AX468" s="84">
        <v>0.0</v>
      </c>
      <c r="AY468" s="84">
        <v>1.0</v>
      </c>
      <c r="AZ468" s="84">
        <v>0.0</v>
      </c>
    </row>
    <row r="469" ht="12.75" customHeight="1">
      <c r="A469" s="84">
        <v>467.0</v>
      </c>
      <c r="B469" s="84" t="s">
        <v>5734</v>
      </c>
      <c r="C469" s="84">
        <v>1.0</v>
      </c>
      <c r="D469" s="84" t="s">
        <v>4945</v>
      </c>
      <c r="E469" s="84">
        <v>0.0</v>
      </c>
      <c r="F469" s="84" t="s">
        <v>5135</v>
      </c>
      <c r="G469" s="84">
        <v>120.0</v>
      </c>
      <c r="H469" s="84">
        <v>100.0</v>
      </c>
      <c r="I469" s="84">
        <v>5.0</v>
      </c>
      <c r="N469" s="84">
        <v>0.0</v>
      </c>
      <c r="O469" s="84">
        <v>0.0</v>
      </c>
      <c r="P469" s="84">
        <v>0.0</v>
      </c>
      <c r="U469" s="84">
        <v>272.0</v>
      </c>
      <c r="X469" s="84">
        <v>0.0</v>
      </c>
      <c r="AH469" s="84">
        <v>1.0</v>
      </c>
      <c r="AI469" s="84">
        <v>1.0</v>
      </c>
      <c r="AJ469" s="84">
        <v>0.0</v>
      </c>
      <c r="AK469" s="84">
        <v>0.0</v>
      </c>
      <c r="AL469" s="84">
        <v>0.0</v>
      </c>
      <c r="AM469" s="84">
        <v>0.0</v>
      </c>
      <c r="AN469" s="84">
        <v>1.0</v>
      </c>
      <c r="AO469" s="84">
        <v>0.0</v>
      </c>
      <c r="AP469" s="84">
        <v>0.0</v>
      </c>
      <c r="AQ469" s="84">
        <v>0.0</v>
      </c>
      <c r="AR469" s="84">
        <v>0.0</v>
      </c>
      <c r="AS469" s="84">
        <v>0.0</v>
      </c>
      <c r="AT469" s="84">
        <v>0.0</v>
      </c>
      <c r="AU469" s="84">
        <v>0.0</v>
      </c>
      <c r="AV469" s="84">
        <v>0.0</v>
      </c>
      <c r="AW469" s="84">
        <v>0.0</v>
      </c>
      <c r="AX469" s="84">
        <v>0.0</v>
      </c>
      <c r="AY469" s="84">
        <v>1.0</v>
      </c>
      <c r="AZ469" s="84">
        <v>29.0</v>
      </c>
    </row>
    <row r="470" ht="12.75" customHeight="1">
      <c r="A470" s="84">
        <v>468.0</v>
      </c>
      <c r="B470" s="84" t="s">
        <v>5735</v>
      </c>
      <c r="C470" s="84">
        <v>1.0</v>
      </c>
      <c r="D470" s="84" t="s">
        <v>4972</v>
      </c>
      <c r="E470" s="84">
        <v>2.0</v>
      </c>
      <c r="F470" s="84" t="s">
        <v>5131</v>
      </c>
      <c r="G470" s="84">
        <v>0.0</v>
      </c>
      <c r="H470" s="84">
        <v>101.0</v>
      </c>
      <c r="I470" s="84">
        <v>15.0</v>
      </c>
      <c r="N470" s="84">
        <v>0.0</v>
      </c>
      <c r="O470" s="84">
        <v>0.0</v>
      </c>
      <c r="P470" s="84">
        <v>0.0</v>
      </c>
      <c r="U470" s="84">
        <v>277.0</v>
      </c>
      <c r="X470" s="84">
        <v>7.0</v>
      </c>
      <c r="Y470" s="84" t="s">
        <v>20</v>
      </c>
      <c r="Z470" s="84">
        <v>1.0</v>
      </c>
      <c r="AB470" s="84" t="s">
        <v>5092</v>
      </c>
      <c r="AC470" s="84">
        <v>1.0</v>
      </c>
      <c r="AH470" s="84">
        <v>0.0</v>
      </c>
      <c r="AI470" s="84">
        <v>0.0</v>
      </c>
      <c r="AJ470" s="84">
        <v>0.0</v>
      </c>
      <c r="AK470" s="84">
        <v>0.0</v>
      </c>
      <c r="AL470" s="84">
        <v>0.0</v>
      </c>
      <c r="AM470" s="84">
        <v>1.0</v>
      </c>
      <c r="AN470" s="84">
        <v>0.0</v>
      </c>
      <c r="AO470" s="84">
        <v>0.0</v>
      </c>
      <c r="AP470" s="84">
        <v>0.0</v>
      </c>
      <c r="AQ470" s="84">
        <v>0.0</v>
      </c>
      <c r="AR470" s="84">
        <v>0.0</v>
      </c>
      <c r="AS470" s="84">
        <v>0.0</v>
      </c>
      <c r="AT470" s="84">
        <v>0.0</v>
      </c>
      <c r="AU470" s="84">
        <v>0.0</v>
      </c>
      <c r="AV470" s="84">
        <v>0.0</v>
      </c>
      <c r="AW470" s="84">
        <v>0.0</v>
      </c>
      <c r="AX470" s="84">
        <v>0.0</v>
      </c>
      <c r="AY470" s="84">
        <v>1.0</v>
      </c>
      <c r="AZ470" s="84">
        <v>8.0</v>
      </c>
    </row>
    <row r="471" ht="12.75" customHeight="1">
      <c r="A471" s="84">
        <v>469.0</v>
      </c>
      <c r="B471" s="84" t="s">
        <v>4334</v>
      </c>
      <c r="C471" s="84">
        <v>1.0</v>
      </c>
      <c r="D471" s="84" t="s">
        <v>4940</v>
      </c>
      <c r="E471" s="84">
        <v>11.0</v>
      </c>
      <c r="F471" s="84" t="s">
        <v>5131</v>
      </c>
      <c r="G471" s="84">
        <v>0.0</v>
      </c>
      <c r="H471" s="84">
        <v>101.0</v>
      </c>
      <c r="I471" s="84">
        <v>10.0</v>
      </c>
      <c r="J471" s="84">
        <v>3.0</v>
      </c>
      <c r="N471" s="84">
        <v>0.0</v>
      </c>
      <c r="O471" s="84">
        <v>0.0</v>
      </c>
      <c r="P471" s="84">
        <v>0.0</v>
      </c>
      <c r="U471" s="84">
        <v>278.0</v>
      </c>
      <c r="X471" s="84">
        <v>12.0</v>
      </c>
      <c r="AH471" s="84">
        <v>0.0</v>
      </c>
      <c r="AI471" s="84">
        <v>0.0</v>
      </c>
      <c r="AJ471" s="84">
        <v>0.0</v>
      </c>
      <c r="AK471" s="84">
        <v>0.0</v>
      </c>
      <c r="AL471" s="84">
        <v>0.0</v>
      </c>
      <c r="AM471" s="84">
        <v>1.0</v>
      </c>
      <c r="AN471" s="84">
        <v>0.0</v>
      </c>
      <c r="AO471" s="84">
        <v>0.0</v>
      </c>
      <c r="AP471" s="84">
        <v>0.0</v>
      </c>
      <c r="AQ471" s="84">
        <v>0.0</v>
      </c>
      <c r="AR471" s="84">
        <v>0.0</v>
      </c>
      <c r="AS471" s="84">
        <v>0.0</v>
      </c>
      <c r="AT471" s="84">
        <v>0.0</v>
      </c>
      <c r="AU471" s="84">
        <v>0.0</v>
      </c>
      <c r="AV471" s="84">
        <v>0.0</v>
      </c>
      <c r="AW471" s="84">
        <v>0.0</v>
      </c>
      <c r="AX471" s="84">
        <v>0.0</v>
      </c>
      <c r="AY471" s="84">
        <v>0.0</v>
      </c>
      <c r="AZ471" s="84">
        <v>17.0</v>
      </c>
    </row>
    <row r="472" ht="12.75" customHeight="1">
      <c r="A472" s="84">
        <v>470.0</v>
      </c>
      <c r="B472" s="84" t="s">
        <v>5736</v>
      </c>
      <c r="C472" s="84">
        <v>1.0</v>
      </c>
      <c r="D472" s="84" t="s">
        <v>2659</v>
      </c>
      <c r="E472" s="84">
        <v>13.0</v>
      </c>
      <c r="F472" s="84" t="s">
        <v>5131</v>
      </c>
      <c r="G472" s="84">
        <v>0.0</v>
      </c>
      <c r="H472" s="84">
        <v>101.0</v>
      </c>
      <c r="I472" s="84">
        <v>10.0</v>
      </c>
      <c r="N472" s="84">
        <v>0.0</v>
      </c>
      <c r="O472" s="84">
        <v>0.0</v>
      </c>
      <c r="P472" s="84">
        <v>0.0</v>
      </c>
      <c r="U472" s="84">
        <v>279.0</v>
      </c>
      <c r="X472" s="84">
        <v>0.0</v>
      </c>
      <c r="AH472" s="84">
        <v>0.0</v>
      </c>
      <c r="AI472" s="84">
        <v>0.0</v>
      </c>
      <c r="AJ472" s="84">
        <v>0.0</v>
      </c>
      <c r="AK472" s="84">
        <v>1.0</v>
      </c>
      <c r="AL472" s="84">
        <v>0.0</v>
      </c>
      <c r="AM472" s="84">
        <v>0.0</v>
      </c>
      <c r="AN472" s="84">
        <v>0.0</v>
      </c>
      <c r="AO472" s="84">
        <v>0.0</v>
      </c>
      <c r="AP472" s="84">
        <v>0.0</v>
      </c>
      <c r="AQ472" s="84">
        <v>0.0</v>
      </c>
      <c r="AR472" s="84">
        <v>0.0</v>
      </c>
      <c r="AS472" s="84">
        <v>0.0</v>
      </c>
      <c r="AT472" s="84">
        <v>0.0</v>
      </c>
      <c r="AU472" s="84">
        <v>0.0</v>
      </c>
      <c r="AV472" s="84">
        <v>0.0</v>
      </c>
      <c r="AW472" s="84">
        <v>1.0</v>
      </c>
      <c r="AX472" s="84">
        <v>0.0</v>
      </c>
      <c r="AY472" s="84">
        <v>1.0</v>
      </c>
      <c r="AZ472" s="84">
        <v>0.0</v>
      </c>
    </row>
    <row r="473" ht="12.75" customHeight="1">
      <c r="A473" s="84">
        <v>471.0</v>
      </c>
      <c r="B473" s="84" t="s">
        <v>3820</v>
      </c>
      <c r="C473" s="84">
        <v>1.0</v>
      </c>
      <c r="D473" s="84" t="s">
        <v>2659</v>
      </c>
      <c r="E473" s="84">
        <v>13.0</v>
      </c>
      <c r="F473" s="84" t="s">
        <v>5131</v>
      </c>
      <c r="G473" s="84">
        <v>0.0</v>
      </c>
      <c r="H473" s="84">
        <v>101.0</v>
      </c>
      <c r="I473" s="84">
        <v>10.0</v>
      </c>
      <c r="N473" s="84">
        <v>0.0</v>
      </c>
      <c r="O473" s="84">
        <v>0.0</v>
      </c>
      <c r="P473" s="84">
        <v>0.0</v>
      </c>
      <c r="U473" s="84">
        <v>280.0</v>
      </c>
      <c r="X473" s="84">
        <v>0.0</v>
      </c>
      <c r="AH473" s="84">
        <v>0.0</v>
      </c>
      <c r="AI473" s="84">
        <v>0.0</v>
      </c>
      <c r="AJ473" s="84">
        <v>0.0</v>
      </c>
      <c r="AK473" s="84">
        <v>1.0</v>
      </c>
      <c r="AL473" s="84">
        <v>0.0</v>
      </c>
      <c r="AM473" s="84">
        <v>0.0</v>
      </c>
      <c r="AN473" s="84">
        <v>0.0</v>
      </c>
      <c r="AO473" s="84">
        <v>0.0</v>
      </c>
      <c r="AP473" s="84">
        <v>0.0</v>
      </c>
      <c r="AQ473" s="84">
        <v>0.0</v>
      </c>
      <c r="AR473" s="84">
        <v>0.0</v>
      </c>
      <c r="AS473" s="84">
        <v>0.0</v>
      </c>
      <c r="AT473" s="84">
        <v>0.0</v>
      </c>
      <c r="AU473" s="84">
        <v>0.0</v>
      </c>
      <c r="AV473" s="84">
        <v>0.0</v>
      </c>
      <c r="AW473" s="84">
        <v>1.0</v>
      </c>
      <c r="AX473" s="84">
        <v>0.0</v>
      </c>
      <c r="AY473" s="84">
        <v>1.0</v>
      </c>
      <c r="AZ473" s="84">
        <v>0.0</v>
      </c>
    </row>
    <row r="474" ht="12.75" customHeight="1">
      <c r="A474" s="84">
        <v>472.0</v>
      </c>
      <c r="B474" s="84" t="s">
        <v>5737</v>
      </c>
      <c r="C474" s="84">
        <v>1.0</v>
      </c>
      <c r="D474" s="84" t="s">
        <v>2659</v>
      </c>
      <c r="E474" s="84">
        <v>10.0</v>
      </c>
      <c r="F474" s="84" t="s">
        <v>5131</v>
      </c>
      <c r="G474" s="84">
        <v>0.0</v>
      </c>
      <c r="H474" s="84">
        <v>101.0</v>
      </c>
      <c r="I474" s="84">
        <v>10.0</v>
      </c>
      <c r="N474" s="84">
        <v>0.0</v>
      </c>
      <c r="O474" s="84">
        <v>0.0</v>
      </c>
      <c r="P474" s="84">
        <v>0.0</v>
      </c>
      <c r="U474" s="84">
        <v>281.0</v>
      </c>
      <c r="X474" s="84">
        <v>10.0</v>
      </c>
      <c r="AH474" s="84">
        <v>0.0</v>
      </c>
      <c r="AI474" s="84">
        <v>0.0</v>
      </c>
      <c r="AJ474" s="84">
        <v>0.0</v>
      </c>
      <c r="AK474" s="84">
        <v>0.0</v>
      </c>
      <c r="AL474" s="84">
        <v>0.0</v>
      </c>
      <c r="AM474" s="84">
        <v>0.0</v>
      </c>
      <c r="AN474" s="84">
        <v>1.0</v>
      </c>
      <c r="AO474" s="84">
        <v>0.0</v>
      </c>
      <c r="AP474" s="84">
        <v>0.0</v>
      </c>
      <c r="AQ474" s="84">
        <v>0.0</v>
      </c>
      <c r="AR474" s="84">
        <v>0.0</v>
      </c>
      <c r="AS474" s="84">
        <v>0.0</v>
      </c>
      <c r="AT474" s="84">
        <v>0.0</v>
      </c>
      <c r="AU474" s="84">
        <v>0.0</v>
      </c>
      <c r="AV474" s="84">
        <v>0.0</v>
      </c>
      <c r="AW474" s="84">
        <v>0.0</v>
      </c>
      <c r="AX474" s="84">
        <v>0.0</v>
      </c>
      <c r="AY474" s="84">
        <v>1.0</v>
      </c>
      <c r="AZ474" s="84">
        <v>23.0</v>
      </c>
    </row>
    <row r="475" ht="12.75" customHeight="1">
      <c r="A475" s="84">
        <v>473.0</v>
      </c>
      <c r="B475" s="84" t="s">
        <v>3729</v>
      </c>
      <c r="C475" s="84">
        <v>1.0</v>
      </c>
      <c r="D475" s="84" t="s">
        <v>2659</v>
      </c>
      <c r="E475" s="84">
        <v>0.0</v>
      </c>
      <c r="F475" s="84" t="s">
        <v>5172</v>
      </c>
      <c r="G475" s="84">
        <v>80.0</v>
      </c>
      <c r="H475" s="84">
        <v>100.0</v>
      </c>
      <c r="I475" s="84">
        <v>10.0</v>
      </c>
      <c r="N475" s="84">
        <v>0.0</v>
      </c>
      <c r="O475" s="84">
        <v>0.0</v>
      </c>
      <c r="P475" s="84">
        <v>0.0</v>
      </c>
      <c r="U475" s="84">
        <v>282.0</v>
      </c>
      <c r="X475" s="84">
        <v>0.0</v>
      </c>
      <c r="AH475" s="84">
        <v>0.0</v>
      </c>
      <c r="AI475" s="84">
        <v>0.0</v>
      </c>
      <c r="AJ475" s="84">
        <v>0.0</v>
      </c>
      <c r="AK475" s="84">
        <v>1.0</v>
      </c>
      <c r="AL475" s="84">
        <v>0.0</v>
      </c>
      <c r="AM475" s="84">
        <v>0.0</v>
      </c>
      <c r="AN475" s="84">
        <v>1.0</v>
      </c>
      <c r="AO475" s="84">
        <v>0.0</v>
      </c>
      <c r="AP475" s="84">
        <v>0.0</v>
      </c>
      <c r="AQ475" s="84">
        <v>0.0</v>
      </c>
      <c r="AR475" s="84">
        <v>0.0</v>
      </c>
      <c r="AS475" s="84">
        <v>0.0</v>
      </c>
      <c r="AT475" s="84">
        <v>0.0</v>
      </c>
      <c r="AU475" s="84">
        <v>0.0</v>
      </c>
      <c r="AV475" s="84">
        <v>0.0</v>
      </c>
      <c r="AW475" s="84">
        <v>0.0</v>
      </c>
      <c r="AX475" s="84">
        <v>0.0</v>
      </c>
      <c r="AY475" s="84">
        <v>1.0</v>
      </c>
      <c r="AZ475" s="84">
        <v>40.0</v>
      </c>
    </row>
    <row r="476" ht="12.75" customHeight="1">
      <c r="A476" s="84">
        <v>474.0</v>
      </c>
      <c r="B476" s="84" t="s">
        <v>5738</v>
      </c>
      <c r="C476" s="84">
        <v>1.0</v>
      </c>
      <c r="D476" s="84" t="s">
        <v>4905</v>
      </c>
      <c r="E476" s="84">
        <v>0.0</v>
      </c>
      <c r="F476" s="84" t="s">
        <v>5172</v>
      </c>
      <c r="G476" s="84">
        <v>65.0</v>
      </c>
      <c r="H476" s="84">
        <v>100.0</v>
      </c>
      <c r="I476" s="84">
        <v>10.0</v>
      </c>
      <c r="N476" s="84">
        <v>0.0</v>
      </c>
      <c r="O476" s="84">
        <v>0.0</v>
      </c>
      <c r="P476" s="84">
        <v>0.0</v>
      </c>
      <c r="U476" s="84">
        <v>283.0</v>
      </c>
      <c r="X476" s="84">
        <v>0.0</v>
      </c>
      <c r="AH476" s="84">
        <v>0.0</v>
      </c>
      <c r="AI476" s="84">
        <v>0.0</v>
      </c>
      <c r="AJ476" s="84">
        <v>0.0</v>
      </c>
      <c r="AK476" s="84">
        <v>1.0</v>
      </c>
      <c r="AL476" s="84">
        <v>0.0</v>
      </c>
      <c r="AM476" s="84">
        <v>0.0</v>
      </c>
      <c r="AN476" s="84">
        <v>1.0</v>
      </c>
      <c r="AO476" s="84">
        <v>0.0</v>
      </c>
      <c r="AP476" s="84">
        <v>0.0</v>
      </c>
      <c r="AQ476" s="84">
        <v>0.0</v>
      </c>
      <c r="AR476" s="84">
        <v>0.0</v>
      </c>
      <c r="AS476" s="84">
        <v>0.0</v>
      </c>
      <c r="AT476" s="84">
        <v>0.0</v>
      </c>
      <c r="AU476" s="84">
        <v>0.0</v>
      </c>
      <c r="AV476" s="84">
        <v>0.0</v>
      </c>
      <c r="AW476" s="84">
        <v>0.0</v>
      </c>
      <c r="AX476" s="84">
        <v>0.0</v>
      </c>
      <c r="AY476" s="84">
        <v>1.0</v>
      </c>
      <c r="AZ476" s="84">
        <v>39.0</v>
      </c>
    </row>
    <row r="477" ht="12.75" customHeight="1">
      <c r="A477" s="84">
        <v>475.0</v>
      </c>
      <c r="B477" s="84" t="s">
        <v>5739</v>
      </c>
      <c r="C477" s="84">
        <v>1.0</v>
      </c>
      <c r="D477" s="84" t="s">
        <v>4975</v>
      </c>
      <c r="E477" s="84">
        <v>2.0</v>
      </c>
      <c r="F477" s="84" t="s">
        <v>5131</v>
      </c>
      <c r="G477" s="84">
        <v>0.0</v>
      </c>
      <c r="H477" s="84">
        <v>101.0</v>
      </c>
      <c r="I477" s="84">
        <v>15.0</v>
      </c>
      <c r="N477" s="84">
        <v>0.0</v>
      </c>
      <c r="O477" s="84">
        <v>0.0</v>
      </c>
      <c r="P477" s="84">
        <v>0.0</v>
      </c>
      <c r="U477" s="84">
        <v>284.0</v>
      </c>
      <c r="X477" s="84">
        <v>7.0</v>
      </c>
      <c r="Y477" s="84" t="s">
        <v>5073</v>
      </c>
      <c r="Z477" s="84">
        <v>2.0</v>
      </c>
      <c r="AH477" s="84">
        <v>0.0</v>
      </c>
      <c r="AI477" s="84">
        <v>0.0</v>
      </c>
      <c r="AJ477" s="84">
        <v>0.0</v>
      </c>
      <c r="AK477" s="84">
        <v>0.0</v>
      </c>
      <c r="AL477" s="84">
        <v>0.0</v>
      </c>
      <c r="AM477" s="84">
        <v>1.0</v>
      </c>
      <c r="AN477" s="84">
        <v>0.0</v>
      </c>
      <c r="AO477" s="84">
        <v>0.0</v>
      </c>
      <c r="AP477" s="84">
        <v>0.0</v>
      </c>
      <c r="AQ477" s="84">
        <v>0.0</v>
      </c>
      <c r="AR477" s="84">
        <v>0.0</v>
      </c>
      <c r="AS477" s="84">
        <v>0.0</v>
      </c>
      <c r="AT477" s="84">
        <v>0.0</v>
      </c>
      <c r="AU477" s="84">
        <v>0.0</v>
      </c>
      <c r="AV477" s="84">
        <v>0.0</v>
      </c>
      <c r="AW477" s="84">
        <v>0.0</v>
      </c>
      <c r="AX477" s="84">
        <v>0.0</v>
      </c>
      <c r="AY477" s="84">
        <v>1.0</v>
      </c>
      <c r="AZ477" s="84">
        <v>7.0</v>
      </c>
    </row>
    <row r="478" ht="12.75" customHeight="1">
      <c r="A478" s="84">
        <v>476.0</v>
      </c>
      <c r="B478" s="84" t="s">
        <v>5740</v>
      </c>
      <c r="C478" s="84">
        <v>1.0</v>
      </c>
      <c r="D478" s="84" t="s">
        <v>4910</v>
      </c>
      <c r="E478" s="84">
        <v>13.0</v>
      </c>
      <c r="F478" s="84" t="s">
        <v>5131</v>
      </c>
      <c r="G478" s="84">
        <v>0.0</v>
      </c>
      <c r="H478" s="84">
        <v>101.0</v>
      </c>
      <c r="I478" s="84">
        <v>20.0</v>
      </c>
      <c r="J478" s="84">
        <v>2.0</v>
      </c>
      <c r="N478" s="84">
        <v>0.0</v>
      </c>
      <c r="O478" s="84">
        <v>0.0</v>
      </c>
      <c r="P478" s="84">
        <v>0.0</v>
      </c>
      <c r="U478" s="84">
        <v>172.0</v>
      </c>
      <c r="X478" s="84">
        <v>7.0</v>
      </c>
      <c r="AH478" s="84">
        <v>0.0</v>
      </c>
      <c r="AI478" s="84">
        <v>0.0</v>
      </c>
      <c r="AJ478" s="84">
        <v>0.0</v>
      </c>
      <c r="AK478" s="84">
        <v>0.0</v>
      </c>
      <c r="AL478" s="84">
        <v>0.0</v>
      </c>
      <c r="AM478" s="84">
        <v>0.0</v>
      </c>
      <c r="AN478" s="84">
        <v>0.0</v>
      </c>
      <c r="AO478" s="84">
        <v>0.0</v>
      </c>
      <c r="AP478" s="84">
        <v>0.0</v>
      </c>
      <c r="AQ478" s="84">
        <v>0.0</v>
      </c>
      <c r="AR478" s="84">
        <v>0.0</v>
      </c>
      <c r="AS478" s="84">
        <v>0.0</v>
      </c>
      <c r="AT478" s="84">
        <v>0.0</v>
      </c>
      <c r="AU478" s="84">
        <v>0.0</v>
      </c>
      <c r="AV478" s="84">
        <v>0.0</v>
      </c>
      <c r="AW478" s="84">
        <v>0.0</v>
      </c>
      <c r="AX478" s="84">
        <v>0.0</v>
      </c>
      <c r="AY478" s="84">
        <v>0.0</v>
      </c>
      <c r="AZ478" s="84">
        <v>1.0</v>
      </c>
    </row>
    <row r="479" ht="12.75" customHeight="1">
      <c r="A479" s="84">
        <v>477.0</v>
      </c>
      <c r="B479" s="84" t="s">
        <v>5741</v>
      </c>
      <c r="C479" s="84">
        <v>0.0</v>
      </c>
      <c r="D479" s="84" t="s">
        <v>2659</v>
      </c>
      <c r="E479" s="84">
        <v>1.0</v>
      </c>
      <c r="F479" s="84" t="s">
        <v>5131</v>
      </c>
      <c r="G479" s="84">
        <v>0.0</v>
      </c>
      <c r="H479" s="84">
        <v>101.0</v>
      </c>
      <c r="I479" s="84">
        <v>15.0</v>
      </c>
      <c r="J479" s="84"/>
      <c r="K479" s="84"/>
      <c r="L479" s="84"/>
      <c r="M479" s="84" t="s">
        <v>5172</v>
      </c>
      <c r="N479" s="84">
        <v>65535.0</v>
      </c>
      <c r="O479" s="84">
        <v>0.0</v>
      </c>
      <c r="P479" s="84">
        <v>2.0</v>
      </c>
      <c r="Q479" s="84">
        <v>3.0</v>
      </c>
      <c r="R479" s="84">
        <v>3.0</v>
      </c>
      <c r="S479" s="84"/>
      <c r="T479" s="84"/>
      <c r="U479" s="84">
        <v>285.0</v>
      </c>
      <c r="V479" s="84"/>
      <c r="W479" s="84"/>
      <c r="X479" s="84">
        <v>0.0</v>
      </c>
      <c r="Y479" s="84"/>
      <c r="Z479" s="84"/>
      <c r="AA479" s="84"/>
      <c r="AB479" s="84"/>
      <c r="AC479" s="84"/>
      <c r="AD479" s="84"/>
      <c r="AE479" s="84"/>
      <c r="AF479" s="84"/>
      <c r="AG479" s="84"/>
      <c r="AH479" s="84">
        <v>0.0</v>
      </c>
      <c r="AI479" s="84">
        <v>0.0</v>
      </c>
      <c r="AJ479" s="84">
        <v>0.0</v>
      </c>
      <c r="AK479" s="84">
        <v>1.0</v>
      </c>
      <c r="AL479" s="84">
        <v>1.0</v>
      </c>
      <c r="AM479" s="84">
        <v>0.0</v>
      </c>
      <c r="AN479" s="84">
        <v>1.0</v>
      </c>
      <c r="AO479" s="84">
        <v>0.0</v>
      </c>
      <c r="AP479" s="84">
        <v>0.0</v>
      </c>
      <c r="AQ479" s="84">
        <v>1.0</v>
      </c>
      <c r="AR479" s="84">
        <v>0.0</v>
      </c>
      <c r="AS479" s="84">
        <v>0.0</v>
      </c>
      <c r="AT479" s="84">
        <v>0.0</v>
      </c>
      <c r="AU479" s="84">
        <v>0.0</v>
      </c>
      <c r="AV479" s="84">
        <v>0.0</v>
      </c>
      <c r="AW479" s="84">
        <v>1.0</v>
      </c>
      <c r="AX479" s="84">
        <v>0.0</v>
      </c>
      <c r="AY479" s="84">
        <v>1.0</v>
      </c>
      <c r="AZ479" s="84">
        <v>0.0</v>
      </c>
    </row>
    <row r="480" ht="12.75" customHeight="1">
      <c r="A480" s="84">
        <v>478.0</v>
      </c>
      <c r="B480" s="84" t="s">
        <v>5742</v>
      </c>
      <c r="C480" s="84">
        <v>1.0</v>
      </c>
      <c r="D480" s="84" t="s">
        <v>2659</v>
      </c>
      <c r="E480" s="84">
        <v>10.0</v>
      </c>
      <c r="F480" s="84" t="s">
        <v>5131</v>
      </c>
      <c r="G480" s="84">
        <v>0.0</v>
      </c>
      <c r="H480" s="84">
        <v>101.0</v>
      </c>
      <c r="I480" s="84">
        <v>10.0</v>
      </c>
      <c r="N480" s="84">
        <v>0.0</v>
      </c>
      <c r="O480" s="84">
        <v>0.0</v>
      </c>
      <c r="P480" s="84">
        <v>0.0</v>
      </c>
      <c r="U480" s="84">
        <v>286.0</v>
      </c>
      <c r="X480" s="84">
        <v>10.0</v>
      </c>
      <c r="AH480" s="84">
        <v>0.0</v>
      </c>
      <c r="AI480" s="84">
        <v>0.0</v>
      </c>
      <c r="AJ480" s="84">
        <v>0.0</v>
      </c>
      <c r="AK480" s="84">
        <v>0.0</v>
      </c>
      <c r="AL480" s="84">
        <v>0.0</v>
      </c>
      <c r="AM480" s="84">
        <v>0.0</v>
      </c>
      <c r="AN480" s="84">
        <v>1.0</v>
      </c>
      <c r="AO480" s="84">
        <v>0.0</v>
      </c>
      <c r="AP480" s="84">
        <v>0.0</v>
      </c>
      <c r="AQ480" s="84">
        <v>0.0</v>
      </c>
      <c r="AR480" s="84">
        <v>0.0</v>
      </c>
      <c r="AS480" s="84">
        <v>0.0</v>
      </c>
      <c r="AT480" s="84">
        <v>0.0</v>
      </c>
      <c r="AU480" s="84">
        <v>0.0</v>
      </c>
      <c r="AV480" s="84">
        <v>0.0</v>
      </c>
      <c r="AW480" s="84">
        <v>0.0</v>
      </c>
      <c r="AX480" s="84">
        <v>0.0</v>
      </c>
      <c r="AY480" s="84">
        <v>1.0</v>
      </c>
      <c r="AZ480" s="84">
        <v>23.0</v>
      </c>
    </row>
    <row r="481" ht="12.75" customHeight="1">
      <c r="A481" s="84">
        <v>479.0</v>
      </c>
      <c r="B481" s="84" t="s">
        <v>5743</v>
      </c>
      <c r="C481" s="84">
        <v>1.0</v>
      </c>
      <c r="D481" s="84" t="s">
        <v>4940</v>
      </c>
      <c r="E481" s="84">
        <v>0.0</v>
      </c>
      <c r="F481" s="84" t="s">
        <v>5135</v>
      </c>
      <c r="G481" s="84">
        <v>50.0</v>
      </c>
      <c r="H481" s="84">
        <v>100.0</v>
      </c>
      <c r="I481" s="84">
        <v>15.0</v>
      </c>
      <c r="M481" s="84" t="s">
        <v>5744</v>
      </c>
      <c r="N481" s="84">
        <v>65535.0</v>
      </c>
      <c r="O481" s="84">
        <v>100.0</v>
      </c>
      <c r="P481" s="84">
        <v>1.0</v>
      </c>
      <c r="U481" s="84">
        <v>287.0</v>
      </c>
      <c r="X481" s="84">
        <v>0.0</v>
      </c>
      <c r="AH481" s="84">
        <v>0.0</v>
      </c>
      <c r="AI481" s="84">
        <v>0.0</v>
      </c>
      <c r="AJ481" s="84">
        <v>0.0</v>
      </c>
      <c r="AK481" s="84">
        <v>1.0</v>
      </c>
      <c r="AL481" s="84">
        <v>0.0</v>
      </c>
      <c r="AM481" s="84">
        <v>0.0</v>
      </c>
      <c r="AN481" s="84">
        <v>1.0</v>
      </c>
      <c r="AO481" s="84">
        <v>0.0</v>
      </c>
      <c r="AP481" s="84">
        <v>0.0</v>
      </c>
      <c r="AQ481" s="84">
        <v>0.0</v>
      </c>
      <c r="AR481" s="84">
        <v>0.0</v>
      </c>
      <c r="AS481" s="84">
        <v>0.0</v>
      </c>
      <c r="AT481" s="84">
        <v>0.0</v>
      </c>
      <c r="AU481" s="84">
        <v>0.0</v>
      </c>
      <c r="AV481" s="84">
        <v>1.0</v>
      </c>
      <c r="AW481" s="84">
        <v>0.0</v>
      </c>
      <c r="AX481" s="84">
        <v>0.0</v>
      </c>
      <c r="AY481" s="84">
        <v>1.0</v>
      </c>
      <c r="AZ481" s="84">
        <v>37.0</v>
      </c>
    </row>
    <row r="482" ht="12.75" customHeight="1">
      <c r="A482" s="84">
        <v>480.0</v>
      </c>
      <c r="B482" s="84" t="s">
        <v>5745</v>
      </c>
      <c r="C482" s="84">
        <v>1.0</v>
      </c>
      <c r="D482" s="84" t="s">
        <v>4935</v>
      </c>
      <c r="E482" s="84">
        <v>0.0</v>
      </c>
      <c r="F482" s="84" t="s">
        <v>5135</v>
      </c>
      <c r="G482" s="84">
        <v>60.0</v>
      </c>
      <c r="H482" s="84">
        <v>100.0</v>
      </c>
      <c r="I482" s="84">
        <v>10.0</v>
      </c>
      <c r="N482" s="84">
        <v>0.0</v>
      </c>
      <c r="O482" s="84">
        <v>0.0</v>
      </c>
      <c r="P482" s="84">
        <v>0.0</v>
      </c>
      <c r="S482" s="84">
        <v>6.0</v>
      </c>
      <c r="U482" s="84">
        <v>288.0</v>
      </c>
      <c r="X482" s="84">
        <v>0.0</v>
      </c>
      <c r="AH482" s="84">
        <v>1.0</v>
      </c>
      <c r="AI482" s="84">
        <v>0.0</v>
      </c>
      <c r="AJ482" s="84">
        <v>0.0</v>
      </c>
      <c r="AK482" s="84">
        <v>1.0</v>
      </c>
      <c r="AL482" s="84">
        <v>0.0</v>
      </c>
      <c r="AM482" s="84">
        <v>0.0</v>
      </c>
      <c r="AN482" s="84">
        <v>1.0</v>
      </c>
      <c r="AO482" s="84">
        <v>0.0</v>
      </c>
      <c r="AP482" s="84">
        <v>0.0</v>
      </c>
      <c r="AQ482" s="84">
        <v>0.0</v>
      </c>
      <c r="AR482" s="84">
        <v>0.0</v>
      </c>
      <c r="AS482" s="84">
        <v>0.0</v>
      </c>
      <c r="AT482" s="84">
        <v>0.0</v>
      </c>
      <c r="AU482" s="84">
        <v>0.0</v>
      </c>
      <c r="AV482" s="84">
        <v>0.0</v>
      </c>
      <c r="AW482" s="84">
        <v>0.0</v>
      </c>
      <c r="AX482" s="84">
        <v>0.0</v>
      </c>
      <c r="AY482" s="84">
        <v>1.0</v>
      </c>
      <c r="AZ482" s="84">
        <v>37.0</v>
      </c>
    </row>
    <row r="483" ht="12.75" customHeight="1">
      <c r="A483" s="84">
        <v>481.0</v>
      </c>
      <c r="B483" s="84" t="s">
        <v>5746</v>
      </c>
      <c r="C483" s="84">
        <v>0.0</v>
      </c>
      <c r="D483" s="84" t="s">
        <v>4906</v>
      </c>
      <c r="E483" s="84">
        <v>0.0</v>
      </c>
      <c r="F483" s="84" t="s">
        <v>5172</v>
      </c>
      <c r="G483" s="84">
        <v>70.0</v>
      </c>
      <c r="H483" s="84">
        <v>100.0</v>
      </c>
      <c r="I483" s="84">
        <v>15.0</v>
      </c>
      <c r="J483" s="84"/>
      <c r="K483" s="84"/>
      <c r="L483" s="84"/>
      <c r="M483" s="84"/>
      <c r="N483" s="84">
        <v>0.0</v>
      </c>
      <c r="O483" s="84">
        <v>0.0</v>
      </c>
      <c r="P483" s="84">
        <v>0.0</v>
      </c>
      <c r="Q483" s="84"/>
      <c r="R483" s="84"/>
      <c r="S483" s="84"/>
      <c r="T483" s="84"/>
      <c r="U483" s="84">
        <v>289.0</v>
      </c>
      <c r="V483" s="84"/>
      <c r="W483" s="84"/>
      <c r="X483" s="84">
        <v>0.0</v>
      </c>
      <c r="Y483" s="84"/>
      <c r="Z483" s="84"/>
      <c r="AA483" s="84"/>
      <c r="AB483" s="84"/>
      <c r="AC483" s="84"/>
      <c r="AD483" s="84"/>
      <c r="AE483" s="84"/>
      <c r="AF483" s="84"/>
      <c r="AG483" s="84"/>
      <c r="AH483" s="84">
        <v>0.0</v>
      </c>
      <c r="AI483" s="84">
        <v>0.0</v>
      </c>
      <c r="AJ483" s="84">
        <v>0.0</v>
      </c>
      <c r="AK483" s="84">
        <v>1.0</v>
      </c>
      <c r="AL483" s="84">
        <v>0.0</v>
      </c>
      <c r="AM483" s="84">
        <v>0.0</v>
      </c>
      <c r="AN483" s="84">
        <v>1.0</v>
      </c>
      <c r="AO483" s="84">
        <v>0.0</v>
      </c>
      <c r="AP483" s="84">
        <v>0.0</v>
      </c>
      <c r="AQ483" s="84">
        <v>0.0</v>
      </c>
      <c r="AR483" s="84">
        <v>0.0</v>
      </c>
      <c r="AS483" s="84">
        <v>0.0</v>
      </c>
      <c r="AT483" s="84">
        <v>0.0</v>
      </c>
      <c r="AU483" s="84">
        <v>0.0</v>
      </c>
      <c r="AV483" s="84">
        <v>0.0</v>
      </c>
      <c r="AW483" s="84">
        <v>0.0</v>
      </c>
      <c r="AX483" s="84">
        <v>0.0</v>
      </c>
      <c r="AY483" s="84">
        <v>1.0</v>
      </c>
      <c r="AZ483" s="84">
        <v>0.0</v>
      </c>
    </row>
    <row r="484" ht="12.75" customHeight="1">
      <c r="A484" s="84">
        <v>482.0</v>
      </c>
      <c r="B484" s="84" t="s">
        <v>4296</v>
      </c>
      <c r="C484" s="84">
        <v>1.0</v>
      </c>
      <c r="D484" s="84" t="s">
        <v>4905</v>
      </c>
      <c r="E484" s="84">
        <v>4.0</v>
      </c>
      <c r="F484" s="84" t="s">
        <v>5172</v>
      </c>
      <c r="G484" s="84">
        <v>95.0</v>
      </c>
      <c r="H484" s="84">
        <v>100.0</v>
      </c>
      <c r="I484" s="84">
        <v>10.0</v>
      </c>
      <c r="M484" s="84" t="s">
        <v>5638</v>
      </c>
      <c r="N484" s="84">
        <v>5.0</v>
      </c>
      <c r="O484" s="84">
        <v>10.0</v>
      </c>
      <c r="P484" s="84">
        <v>1.0</v>
      </c>
      <c r="U484" s="84">
        <v>2.0</v>
      </c>
      <c r="X484" s="84">
        <v>4.0</v>
      </c>
      <c r="AH484" s="84">
        <v>0.0</v>
      </c>
      <c r="AI484" s="84">
        <v>0.0</v>
      </c>
      <c r="AJ484" s="84">
        <v>0.0</v>
      </c>
      <c r="AK484" s="84">
        <v>1.0</v>
      </c>
      <c r="AL484" s="84">
        <v>0.0</v>
      </c>
      <c r="AM484" s="84">
        <v>0.0</v>
      </c>
      <c r="AN484" s="84">
        <v>1.0</v>
      </c>
      <c r="AO484" s="84">
        <v>0.0</v>
      </c>
      <c r="AP484" s="84">
        <v>0.0</v>
      </c>
      <c r="AQ484" s="84">
        <v>0.0</v>
      </c>
      <c r="AR484" s="84">
        <v>0.0</v>
      </c>
      <c r="AS484" s="84">
        <v>0.0</v>
      </c>
      <c r="AT484" s="84">
        <v>0.0</v>
      </c>
      <c r="AU484" s="84">
        <v>0.0</v>
      </c>
      <c r="AV484" s="84">
        <v>0.0</v>
      </c>
      <c r="AW484" s="84">
        <v>0.0</v>
      </c>
      <c r="AX484" s="84">
        <v>0.0</v>
      </c>
      <c r="AY484" s="84">
        <v>1.0</v>
      </c>
      <c r="AZ484" s="84">
        <v>41.0</v>
      </c>
    </row>
    <row r="485" ht="12.75" customHeight="1">
      <c r="A485" s="84">
        <v>483.0</v>
      </c>
      <c r="B485" s="84" t="s">
        <v>3184</v>
      </c>
      <c r="C485" s="84">
        <v>1.0</v>
      </c>
      <c r="D485" s="84" t="s">
        <v>4910</v>
      </c>
      <c r="E485" s="84">
        <v>2.0</v>
      </c>
      <c r="F485" s="84" t="s">
        <v>5131</v>
      </c>
      <c r="G485" s="84">
        <v>0.0</v>
      </c>
      <c r="H485" s="84">
        <v>101.0</v>
      </c>
      <c r="I485" s="84">
        <v>20.0</v>
      </c>
      <c r="N485" s="84">
        <v>0.0</v>
      </c>
      <c r="O485" s="84">
        <v>0.0</v>
      </c>
      <c r="P485" s="84">
        <v>0.0</v>
      </c>
      <c r="U485" s="84">
        <v>290.0</v>
      </c>
      <c r="X485" s="84">
        <v>7.0</v>
      </c>
      <c r="Y485" s="84" t="s">
        <v>22</v>
      </c>
      <c r="Z485" s="84">
        <v>1.0</v>
      </c>
      <c r="AB485" s="84" t="s">
        <v>23</v>
      </c>
      <c r="AC485" s="84">
        <v>1.0</v>
      </c>
      <c r="AE485" s="84" t="s">
        <v>5073</v>
      </c>
      <c r="AF485" s="84">
        <v>1.0</v>
      </c>
      <c r="AH485" s="84">
        <v>0.0</v>
      </c>
      <c r="AI485" s="84">
        <v>0.0</v>
      </c>
      <c r="AJ485" s="84">
        <v>0.0</v>
      </c>
      <c r="AK485" s="84">
        <v>0.0</v>
      </c>
      <c r="AL485" s="84">
        <v>0.0</v>
      </c>
      <c r="AM485" s="84">
        <v>1.0</v>
      </c>
      <c r="AN485" s="84">
        <v>0.0</v>
      </c>
      <c r="AO485" s="84">
        <v>0.0</v>
      </c>
      <c r="AP485" s="84">
        <v>0.0</v>
      </c>
      <c r="AQ485" s="84">
        <v>0.0</v>
      </c>
      <c r="AR485" s="84">
        <v>0.0</v>
      </c>
      <c r="AS485" s="84">
        <v>0.0</v>
      </c>
      <c r="AT485" s="84">
        <v>0.0</v>
      </c>
      <c r="AU485" s="84">
        <v>0.0</v>
      </c>
      <c r="AV485" s="84">
        <v>0.0</v>
      </c>
      <c r="AW485" s="84">
        <v>0.0</v>
      </c>
      <c r="AX485" s="84">
        <v>1.0</v>
      </c>
      <c r="AY485" s="84">
        <v>1.0</v>
      </c>
      <c r="AZ485" s="84">
        <v>10.0</v>
      </c>
    </row>
    <row r="486" ht="12.75" customHeight="1">
      <c r="A486" s="84">
        <v>484.0</v>
      </c>
      <c r="B486" s="84" t="s">
        <v>4107</v>
      </c>
      <c r="C486" s="84">
        <v>1.0</v>
      </c>
      <c r="D486" s="84" t="s">
        <v>4975</v>
      </c>
      <c r="E486" s="84">
        <v>0.0</v>
      </c>
      <c r="F486" s="84" t="s">
        <v>5135</v>
      </c>
      <c r="G486" s="84">
        <v>1.0</v>
      </c>
      <c r="H486" s="84">
        <v>100.0</v>
      </c>
      <c r="I486" s="84">
        <v>10.0</v>
      </c>
      <c r="N486" s="84">
        <v>0.0</v>
      </c>
      <c r="O486" s="84">
        <v>0.0</v>
      </c>
      <c r="P486" s="84">
        <v>0.0</v>
      </c>
      <c r="U486" s="84">
        <v>291.0</v>
      </c>
      <c r="X486" s="84">
        <v>0.0</v>
      </c>
      <c r="AH486" s="84">
        <v>1.0</v>
      </c>
      <c r="AI486" s="84">
        <v>0.0</v>
      </c>
      <c r="AJ486" s="84">
        <v>0.0</v>
      </c>
      <c r="AK486" s="84">
        <v>1.0</v>
      </c>
      <c r="AL486" s="84">
        <v>0.0</v>
      </c>
      <c r="AM486" s="84">
        <v>0.0</v>
      </c>
      <c r="AN486" s="84">
        <v>1.0</v>
      </c>
      <c r="AO486" s="84">
        <v>0.0</v>
      </c>
      <c r="AP486" s="84">
        <v>0.0</v>
      </c>
      <c r="AQ486" s="84">
        <v>0.0</v>
      </c>
      <c r="AR486" s="84">
        <v>0.0</v>
      </c>
      <c r="AS486" s="84">
        <v>0.0</v>
      </c>
      <c r="AT486" s="84">
        <v>0.0</v>
      </c>
      <c r="AU486" s="84">
        <v>0.0</v>
      </c>
      <c r="AV486" s="84">
        <v>1.0</v>
      </c>
      <c r="AW486" s="84">
        <v>0.0</v>
      </c>
      <c r="AX486" s="84">
        <v>0.0</v>
      </c>
      <c r="AY486" s="84">
        <v>1.0</v>
      </c>
      <c r="AZ486" s="84">
        <v>48.0</v>
      </c>
    </row>
    <row r="487" ht="12.75" customHeight="1">
      <c r="A487" s="84">
        <v>485.0</v>
      </c>
      <c r="B487" s="84" t="s">
        <v>5747</v>
      </c>
      <c r="C487" s="84">
        <v>0.0</v>
      </c>
      <c r="D487" s="84" t="s">
        <v>2659</v>
      </c>
      <c r="E487" s="84">
        <v>0.0</v>
      </c>
      <c r="F487" s="84" t="s">
        <v>5172</v>
      </c>
      <c r="G487" s="84">
        <v>120.0</v>
      </c>
      <c r="H487" s="84">
        <v>100.0</v>
      </c>
      <c r="I487" s="84">
        <v>10.0</v>
      </c>
      <c r="J487" s="84"/>
      <c r="K487" s="84"/>
      <c r="L487" s="84"/>
      <c r="M487" s="84"/>
      <c r="N487" s="84">
        <v>0.0</v>
      </c>
      <c r="O487" s="84">
        <v>0.0</v>
      </c>
      <c r="P487" s="84">
        <v>0.0</v>
      </c>
      <c r="Q487" s="84"/>
      <c r="R487" s="84"/>
      <c r="S487" s="84"/>
      <c r="T487" s="84"/>
      <c r="U487" s="84">
        <v>292.0</v>
      </c>
      <c r="V487" s="84"/>
      <c r="W487" s="84"/>
      <c r="X487" s="84">
        <v>4.0</v>
      </c>
      <c r="Y487" s="84"/>
      <c r="Z487" s="84"/>
      <c r="AA487" s="84"/>
      <c r="AB487" s="84"/>
      <c r="AC487" s="84"/>
      <c r="AD487" s="84"/>
      <c r="AE487" s="84"/>
      <c r="AF487" s="84"/>
      <c r="AG487" s="84"/>
      <c r="AH487" s="84">
        <v>0.0</v>
      </c>
      <c r="AI487" s="84">
        <v>0.0</v>
      </c>
      <c r="AJ487" s="84">
        <v>0.0</v>
      </c>
      <c r="AK487" s="84">
        <v>1.0</v>
      </c>
      <c r="AL487" s="84">
        <v>0.0</v>
      </c>
      <c r="AM487" s="84">
        <v>0.0</v>
      </c>
      <c r="AN487" s="84">
        <v>1.0</v>
      </c>
      <c r="AO487" s="84">
        <v>0.0</v>
      </c>
      <c r="AP487" s="84">
        <v>0.0</v>
      </c>
      <c r="AQ487" s="84">
        <v>0.0</v>
      </c>
      <c r="AR487" s="84">
        <v>0.0</v>
      </c>
      <c r="AS487" s="84">
        <v>0.0</v>
      </c>
      <c r="AT487" s="84">
        <v>0.0</v>
      </c>
      <c r="AU487" s="84">
        <v>0.0</v>
      </c>
      <c r="AV487" s="84">
        <v>0.0</v>
      </c>
      <c r="AW487" s="84">
        <v>0.0</v>
      </c>
      <c r="AX487" s="84">
        <v>0.0</v>
      </c>
      <c r="AY487" s="84">
        <v>1.0</v>
      </c>
      <c r="AZ487" s="84">
        <v>0.0</v>
      </c>
    </row>
    <row r="488" ht="12.75" customHeight="1">
      <c r="A488" s="84">
        <v>486.0</v>
      </c>
      <c r="B488" s="84" t="s">
        <v>5748</v>
      </c>
      <c r="C488" s="84">
        <v>1.0</v>
      </c>
      <c r="D488" s="84" t="s">
        <v>4921</v>
      </c>
      <c r="E488" s="84">
        <v>0.0</v>
      </c>
      <c r="F488" s="84" t="s">
        <v>5172</v>
      </c>
      <c r="G488" s="84">
        <v>1.0</v>
      </c>
      <c r="H488" s="84">
        <v>100.0</v>
      </c>
      <c r="I488" s="84">
        <v>10.0</v>
      </c>
      <c r="N488" s="84">
        <v>0.0</v>
      </c>
      <c r="O488" s="84">
        <v>0.0</v>
      </c>
      <c r="P488" s="84">
        <v>0.0</v>
      </c>
      <c r="U488" s="84">
        <v>293.0</v>
      </c>
      <c r="X488" s="84">
        <v>0.0</v>
      </c>
      <c r="AH488" s="84">
        <v>0.0</v>
      </c>
      <c r="AI488" s="84">
        <v>0.0</v>
      </c>
      <c r="AJ488" s="84">
        <v>0.0</v>
      </c>
      <c r="AK488" s="84">
        <v>1.0</v>
      </c>
      <c r="AL488" s="84">
        <v>0.0</v>
      </c>
      <c r="AM488" s="84">
        <v>0.0</v>
      </c>
      <c r="AN488" s="84">
        <v>1.0</v>
      </c>
      <c r="AO488" s="84">
        <v>0.0</v>
      </c>
      <c r="AP488" s="84">
        <v>0.0</v>
      </c>
      <c r="AQ488" s="84">
        <v>0.0</v>
      </c>
      <c r="AR488" s="84">
        <v>0.0</v>
      </c>
      <c r="AS488" s="84">
        <v>0.0</v>
      </c>
      <c r="AT488" s="84">
        <v>0.0</v>
      </c>
      <c r="AU488" s="84">
        <v>0.0</v>
      </c>
      <c r="AV488" s="84">
        <v>0.0</v>
      </c>
      <c r="AW488" s="84">
        <v>0.0</v>
      </c>
      <c r="AX488" s="84">
        <v>0.0</v>
      </c>
      <c r="AY488" s="84">
        <v>1.0</v>
      </c>
      <c r="AZ488" s="84">
        <v>48.0</v>
      </c>
    </row>
    <row r="489" ht="12.75" customHeight="1">
      <c r="A489" s="84">
        <v>487.0</v>
      </c>
      <c r="B489" s="84" t="s">
        <v>5749</v>
      </c>
      <c r="C489" s="84">
        <v>1.0</v>
      </c>
      <c r="D489" s="84" t="s">
        <v>4908</v>
      </c>
      <c r="E489" s="84">
        <v>13.0</v>
      </c>
      <c r="F489" s="84" t="s">
        <v>5131</v>
      </c>
      <c r="G489" s="84">
        <v>0.0</v>
      </c>
      <c r="H489" s="84">
        <v>100.0</v>
      </c>
      <c r="I489" s="84">
        <v>20.0</v>
      </c>
      <c r="N489" s="84">
        <v>0.0</v>
      </c>
      <c r="O489" s="84">
        <v>0.0</v>
      </c>
      <c r="P489" s="84">
        <v>0.0</v>
      </c>
      <c r="U489" s="84">
        <v>294.0</v>
      </c>
      <c r="X489" s="84">
        <v>0.0</v>
      </c>
      <c r="AH489" s="84">
        <v>0.0</v>
      </c>
      <c r="AI489" s="84">
        <v>0.0</v>
      </c>
      <c r="AJ489" s="84">
        <v>0.0</v>
      </c>
      <c r="AK489" s="84">
        <v>1.0</v>
      </c>
      <c r="AL489" s="84">
        <v>1.0</v>
      </c>
      <c r="AM489" s="84">
        <v>0.0</v>
      </c>
      <c r="AN489" s="84">
        <v>1.0</v>
      </c>
      <c r="AO489" s="84">
        <v>0.0</v>
      </c>
      <c r="AP489" s="84">
        <v>0.0</v>
      </c>
      <c r="AQ489" s="84">
        <v>0.0</v>
      </c>
      <c r="AR489" s="84">
        <v>0.0</v>
      </c>
      <c r="AS489" s="84">
        <v>0.0</v>
      </c>
      <c r="AT489" s="84">
        <v>0.0</v>
      </c>
      <c r="AU489" s="84">
        <v>0.0</v>
      </c>
      <c r="AV489" s="84">
        <v>0.0</v>
      </c>
      <c r="AW489" s="84">
        <v>1.0</v>
      </c>
      <c r="AX489" s="84">
        <v>0.0</v>
      </c>
      <c r="AY489" s="84">
        <v>1.0</v>
      </c>
      <c r="AZ489" s="84">
        <v>1.0</v>
      </c>
    </row>
    <row r="490" ht="12.75" customHeight="1">
      <c r="A490" s="84">
        <v>488.0</v>
      </c>
      <c r="B490" s="84" t="s">
        <v>2619</v>
      </c>
      <c r="C490" s="84">
        <v>1.0</v>
      </c>
      <c r="D490" s="84" t="s">
        <v>4906</v>
      </c>
      <c r="E490" s="84">
        <v>7.0</v>
      </c>
      <c r="F490" s="84" t="s">
        <v>5135</v>
      </c>
      <c r="G490" s="84">
        <v>50.0</v>
      </c>
      <c r="H490" s="84">
        <v>100.0</v>
      </c>
      <c r="I490" s="84">
        <v>20.0</v>
      </c>
      <c r="N490" s="84">
        <v>0.0</v>
      </c>
      <c r="O490" s="84">
        <v>0.0</v>
      </c>
      <c r="P490" s="84">
        <v>0.0</v>
      </c>
      <c r="U490" s="84">
        <v>295.0</v>
      </c>
      <c r="X490" s="84">
        <v>0.0</v>
      </c>
      <c r="Y490" s="84" t="s">
        <v>5073</v>
      </c>
      <c r="Z490" s="84">
        <v>1.0</v>
      </c>
      <c r="AA490" s="84">
        <v>100.0</v>
      </c>
      <c r="AH490" s="84">
        <v>1.0</v>
      </c>
      <c r="AI490" s="84">
        <v>0.0</v>
      </c>
      <c r="AJ490" s="84">
        <v>0.0</v>
      </c>
      <c r="AK490" s="84">
        <v>1.0</v>
      </c>
      <c r="AL490" s="84">
        <v>0.0</v>
      </c>
      <c r="AM490" s="84">
        <v>0.0</v>
      </c>
      <c r="AN490" s="84">
        <v>1.0</v>
      </c>
      <c r="AO490" s="84">
        <v>0.0</v>
      </c>
      <c r="AP490" s="84">
        <v>0.0</v>
      </c>
      <c r="AQ490" s="84">
        <v>0.0</v>
      </c>
      <c r="AR490" s="84">
        <v>0.0</v>
      </c>
      <c r="AS490" s="84">
        <v>0.0</v>
      </c>
      <c r="AT490" s="84">
        <v>0.0</v>
      </c>
      <c r="AU490" s="84">
        <v>0.0</v>
      </c>
      <c r="AV490" s="84">
        <v>0.0</v>
      </c>
      <c r="AW490" s="84">
        <v>0.0</v>
      </c>
      <c r="AX490" s="84">
        <v>0.0</v>
      </c>
      <c r="AY490" s="84">
        <v>1.0</v>
      </c>
      <c r="AZ490" s="84">
        <v>37.0</v>
      </c>
    </row>
    <row r="491" ht="12.75" customHeight="1">
      <c r="A491" s="84">
        <v>489.0</v>
      </c>
      <c r="B491" s="84" t="s">
        <v>5750</v>
      </c>
      <c r="C491" s="84">
        <v>1.0</v>
      </c>
      <c r="D491" s="84" t="s">
        <v>4905</v>
      </c>
      <c r="E491" s="84">
        <v>2.0</v>
      </c>
      <c r="F491" s="84" t="s">
        <v>5131</v>
      </c>
      <c r="G491" s="84">
        <v>0.0</v>
      </c>
      <c r="H491" s="84">
        <v>101.0</v>
      </c>
      <c r="I491" s="84">
        <v>20.0</v>
      </c>
      <c r="N491" s="84">
        <v>0.0</v>
      </c>
      <c r="O491" s="84">
        <v>0.0</v>
      </c>
      <c r="P491" s="84">
        <v>0.0</v>
      </c>
      <c r="U491" s="84">
        <v>322.0</v>
      </c>
      <c r="X491" s="84">
        <v>7.0</v>
      </c>
      <c r="Y491" s="84" t="s">
        <v>20</v>
      </c>
      <c r="Z491" s="84">
        <v>1.0</v>
      </c>
      <c r="AB491" s="84" t="s">
        <v>21</v>
      </c>
      <c r="AC491" s="84">
        <v>1.0</v>
      </c>
      <c r="AE491" s="84" t="s">
        <v>5092</v>
      </c>
      <c r="AF491" s="84">
        <v>1.0</v>
      </c>
      <c r="AH491" s="84">
        <v>0.0</v>
      </c>
      <c r="AI491" s="84">
        <v>0.0</v>
      </c>
      <c r="AJ491" s="84">
        <v>0.0</v>
      </c>
      <c r="AK491" s="84">
        <v>0.0</v>
      </c>
      <c r="AL491" s="84">
        <v>0.0</v>
      </c>
      <c r="AM491" s="84">
        <v>1.0</v>
      </c>
      <c r="AN491" s="84">
        <v>0.0</v>
      </c>
      <c r="AO491" s="84">
        <v>0.0</v>
      </c>
      <c r="AP491" s="84">
        <v>0.0</v>
      </c>
      <c r="AQ491" s="84">
        <v>0.0</v>
      </c>
      <c r="AR491" s="84">
        <v>0.0</v>
      </c>
      <c r="AS491" s="84">
        <v>0.0</v>
      </c>
      <c r="AT491" s="84">
        <v>0.0</v>
      </c>
      <c r="AU491" s="84">
        <v>0.0</v>
      </c>
      <c r="AV491" s="84">
        <v>0.0</v>
      </c>
      <c r="AW491" s="84">
        <v>0.0</v>
      </c>
      <c r="AX491" s="84">
        <v>0.0</v>
      </c>
      <c r="AY491" s="84">
        <v>1.0</v>
      </c>
      <c r="AZ491" s="84">
        <v>10.0</v>
      </c>
    </row>
    <row r="492" ht="12.75" customHeight="1">
      <c r="A492" s="84">
        <v>490.0</v>
      </c>
      <c r="B492" s="84" t="s">
        <v>3652</v>
      </c>
      <c r="C492" s="84">
        <v>1.0</v>
      </c>
      <c r="D492" s="84" t="s">
        <v>4935</v>
      </c>
      <c r="E492" s="84">
        <v>6.0</v>
      </c>
      <c r="F492" s="84" t="s">
        <v>5135</v>
      </c>
      <c r="G492" s="84">
        <v>65.0</v>
      </c>
      <c r="H492" s="84">
        <v>100.0</v>
      </c>
      <c r="I492" s="84">
        <v>20.0</v>
      </c>
      <c r="N492" s="84">
        <v>0.0</v>
      </c>
      <c r="O492" s="84">
        <v>0.0</v>
      </c>
      <c r="P492" s="84">
        <v>0.0</v>
      </c>
      <c r="U492" s="84">
        <v>20.0</v>
      </c>
      <c r="X492" s="84">
        <v>0.0</v>
      </c>
      <c r="Y492" s="84" t="s">
        <v>5073</v>
      </c>
      <c r="Z492" s="84">
        <v>-1.0</v>
      </c>
      <c r="AA492" s="84">
        <v>100.0</v>
      </c>
      <c r="AH492" s="84">
        <v>1.0</v>
      </c>
      <c r="AI492" s="84">
        <v>0.0</v>
      </c>
      <c r="AJ492" s="84">
        <v>0.0</v>
      </c>
      <c r="AK492" s="84">
        <v>1.0</v>
      </c>
      <c r="AL492" s="84">
        <v>0.0</v>
      </c>
      <c r="AM492" s="84">
        <v>0.0</v>
      </c>
      <c r="AN492" s="84">
        <v>1.0</v>
      </c>
      <c r="AO492" s="84">
        <v>0.0</v>
      </c>
      <c r="AP492" s="84">
        <v>0.0</v>
      </c>
      <c r="AQ492" s="84">
        <v>0.0</v>
      </c>
      <c r="AR492" s="84">
        <v>0.0</v>
      </c>
      <c r="AS492" s="84">
        <v>0.0</v>
      </c>
      <c r="AT492" s="84">
        <v>0.0</v>
      </c>
      <c r="AU492" s="84">
        <v>0.0</v>
      </c>
      <c r="AV492" s="84">
        <v>0.0</v>
      </c>
      <c r="AW492" s="84">
        <v>0.0</v>
      </c>
      <c r="AX492" s="84">
        <v>0.0</v>
      </c>
      <c r="AY492" s="84">
        <v>1.0</v>
      </c>
      <c r="AZ492" s="84">
        <v>38.0</v>
      </c>
    </row>
    <row r="493" ht="12.75" customHeight="1">
      <c r="A493" s="84">
        <v>491.0</v>
      </c>
      <c r="B493" s="84" t="s">
        <v>5751</v>
      </c>
      <c r="C493" s="84">
        <v>1.0</v>
      </c>
      <c r="D493" s="84" t="s">
        <v>4905</v>
      </c>
      <c r="E493" s="84">
        <v>6.0</v>
      </c>
      <c r="F493" s="84" t="s">
        <v>5172</v>
      </c>
      <c r="G493" s="84">
        <v>40.0</v>
      </c>
      <c r="H493" s="84">
        <v>100.0</v>
      </c>
      <c r="I493" s="84">
        <v>20.0</v>
      </c>
      <c r="N493" s="84">
        <v>0.0</v>
      </c>
      <c r="O493" s="84">
        <v>0.0</v>
      </c>
      <c r="P493" s="84">
        <v>0.0</v>
      </c>
      <c r="U493" s="84">
        <v>296.0</v>
      </c>
      <c r="X493" s="84">
        <v>0.0</v>
      </c>
      <c r="Y493" s="84" t="s">
        <v>23</v>
      </c>
      <c r="Z493" s="84">
        <v>-2.0</v>
      </c>
      <c r="AA493" s="84">
        <v>100.0</v>
      </c>
      <c r="AH493" s="84">
        <v>0.0</v>
      </c>
      <c r="AI493" s="84">
        <v>0.0</v>
      </c>
      <c r="AJ493" s="84">
        <v>0.0</v>
      </c>
      <c r="AK493" s="84">
        <v>1.0</v>
      </c>
      <c r="AL493" s="84">
        <v>0.0</v>
      </c>
      <c r="AM493" s="84">
        <v>0.0</v>
      </c>
      <c r="AN493" s="84">
        <v>1.0</v>
      </c>
      <c r="AO493" s="84">
        <v>0.0</v>
      </c>
      <c r="AP493" s="84">
        <v>0.0</v>
      </c>
      <c r="AQ493" s="84">
        <v>0.0</v>
      </c>
      <c r="AR493" s="84">
        <v>0.0</v>
      </c>
      <c r="AS493" s="84">
        <v>0.0</v>
      </c>
      <c r="AT493" s="84">
        <v>0.0</v>
      </c>
      <c r="AU493" s="84">
        <v>0.0</v>
      </c>
      <c r="AV493" s="84">
        <v>0.0</v>
      </c>
      <c r="AW493" s="84">
        <v>0.0</v>
      </c>
      <c r="AX493" s="84">
        <v>0.0</v>
      </c>
      <c r="AY493" s="84">
        <v>1.0</v>
      </c>
      <c r="AZ493" s="84">
        <v>34.0</v>
      </c>
    </row>
    <row r="494" ht="12.75" customHeight="1">
      <c r="A494" s="84">
        <v>492.0</v>
      </c>
      <c r="B494" s="84" t="s">
        <v>4085</v>
      </c>
      <c r="C494" s="84">
        <v>1.0</v>
      </c>
      <c r="D494" s="84" t="s">
        <v>4972</v>
      </c>
      <c r="E494" s="84">
        <v>0.0</v>
      </c>
      <c r="F494" s="84" t="s">
        <v>5135</v>
      </c>
      <c r="G494" s="84">
        <v>95.0</v>
      </c>
      <c r="H494" s="84">
        <v>100.0</v>
      </c>
      <c r="I494" s="84">
        <v>15.0</v>
      </c>
      <c r="N494" s="84">
        <v>0.0</v>
      </c>
      <c r="O494" s="84">
        <v>0.0</v>
      </c>
      <c r="P494" s="84">
        <v>0.0</v>
      </c>
      <c r="U494" s="84">
        <v>297.0</v>
      </c>
      <c r="X494" s="84">
        <v>0.0</v>
      </c>
      <c r="AH494" s="84">
        <v>1.0</v>
      </c>
      <c r="AI494" s="84">
        <v>0.0</v>
      </c>
      <c r="AJ494" s="84">
        <v>0.0</v>
      </c>
      <c r="AK494" s="84">
        <v>1.0</v>
      </c>
      <c r="AL494" s="84">
        <v>0.0</v>
      </c>
      <c r="AM494" s="84">
        <v>0.0</v>
      </c>
      <c r="AN494" s="84">
        <v>1.0</v>
      </c>
      <c r="AO494" s="84">
        <v>0.0</v>
      </c>
      <c r="AP494" s="84">
        <v>0.0</v>
      </c>
      <c r="AQ494" s="84">
        <v>0.0</v>
      </c>
      <c r="AR494" s="84">
        <v>0.0</v>
      </c>
      <c r="AS494" s="84">
        <v>0.0</v>
      </c>
      <c r="AT494" s="84">
        <v>0.0</v>
      </c>
      <c r="AU494" s="84">
        <v>0.0</v>
      </c>
      <c r="AV494" s="84">
        <v>0.0</v>
      </c>
      <c r="AW494" s="84">
        <v>0.0</v>
      </c>
      <c r="AX494" s="84">
        <v>0.0</v>
      </c>
      <c r="AY494" s="84">
        <v>1.0</v>
      </c>
      <c r="AZ494" s="84">
        <v>42.0</v>
      </c>
    </row>
    <row r="495" ht="12.75" customHeight="1">
      <c r="A495" s="84">
        <v>493.0</v>
      </c>
      <c r="B495" s="84" t="s">
        <v>5752</v>
      </c>
      <c r="C495" s="84">
        <v>1.0</v>
      </c>
      <c r="D495" s="84" t="s">
        <v>4916</v>
      </c>
      <c r="E495" s="84">
        <v>13.0</v>
      </c>
      <c r="F495" s="84" t="s">
        <v>5131</v>
      </c>
      <c r="G495" s="84">
        <v>0.0</v>
      </c>
      <c r="H495" s="84">
        <v>100.0</v>
      </c>
      <c r="I495" s="84">
        <v>15.0</v>
      </c>
      <c r="N495" s="84">
        <v>0.0</v>
      </c>
      <c r="O495" s="84">
        <v>0.0</v>
      </c>
      <c r="P495" s="84">
        <v>0.0</v>
      </c>
      <c r="U495" s="84">
        <v>298.0</v>
      </c>
      <c r="X495" s="84">
        <v>0.0</v>
      </c>
      <c r="AH495" s="84">
        <v>0.0</v>
      </c>
      <c r="AI495" s="84">
        <v>0.0</v>
      </c>
      <c r="AJ495" s="84">
        <v>0.0</v>
      </c>
      <c r="AK495" s="84">
        <v>1.0</v>
      </c>
      <c r="AL495" s="84">
        <v>1.0</v>
      </c>
      <c r="AM495" s="84">
        <v>0.0</v>
      </c>
      <c r="AN495" s="84">
        <v>1.0</v>
      </c>
      <c r="AO495" s="84">
        <v>0.0</v>
      </c>
      <c r="AP495" s="84">
        <v>0.0</v>
      </c>
      <c r="AQ495" s="84">
        <v>0.0</v>
      </c>
      <c r="AR495" s="84">
        <v>0.0</v>
      </c>
      <c r="AS495" s="84">
        <v>0.0</v>
      </c>
      <c r="AT495" s="84">
        <v>0.0</v>
      </c>
      <c r="AU495" s="84">
        <v>0.0</v>
      </c>
      <c r="AV495" s="84">
        <v>0.0</v>
      </c>
      <c r="AW495" s="84">
        <v>1.0</v>
      </c>
      <c r="AX495" s="84">
        <v>0.0</v>
      </c>
      <c r="AY495" s="84">
        <v>1.0</v>
      </c>
      <c r="AZ495" s="84">
        <v>1.0</v>
      </c>
    </row>
    <row r="496" ht="12.75" customHeight="1">
      <c r="A496" s="84">
        <v>494.0</v>
      </c>
      <c r="B496" s="84" t="s">
        <v>5753</v>
      </c>
      <c r="C496" s="84">
        <v>1.0</v>
      </c>
      <c r="D496" s="84" t="s">
        <v>4916</v>
      </c>
      <c r="E496" s="84">
        <v>13.0</v>
      </c>
      <c r="F496" s="84" t="s">
        <v>5131</v>
      </c>
      <c r="G496" s="84">
        <v>0.0</v>
      </c>
      <c r="H496" s="84">
        <v>100.0</v>
      </c>
      <c r="I496" s="84">
        <v>15.0</v>
      </c>
      <c r="N496" s="84">
        <v>0.0</v>
      </c>
      <c r="O496" s="84">
        <v>0.0</v>
      </c>
      <c r="P496" s="84">
        <v>0.0</v>
      </c>
      <c r="U496" s="84">
        <v>299.0</v>
      </c>
      <c r="X496" s="84">
        <v>0.0</v>
      </c>
      <c r="AH496" s="84">
        <v>0.0</v>
      </c>
      <c r="AI496" s="84">
        <v>0.0</v>
      </c>
      <c r="AJ496" s="84">
        <v>0.0</v>
      </c>
      <c r="AK496" s="84">
        <v>1.0</v>
      </c>
      <c r="AL496" s="84">
        <v>1.0</v>
      </c>
      <c r="AM496" s="84">
        <v>0.0</v>
      </c>
      <c r="AN496" s="84">
        <v>1.0</v>
      </c>
      <c r="AO496" s="84">
        <v>0.0</v>
      </c>
      <c r="AP496" s="84">
        <v>0.0</v>
      </c>
      <c r="AQ496" s="84">
        <v>0.0</v>
      </c>
      <c r="AR496" s="84">
        <v>0.0</v>
      </c>
      <c r="AS496" s="84">
        <v>0.0</v>
      </c>
      <c r="AT496" s="84">
        <v>0.0</v>
      </c>
      <c r="AU496" s="84">
        <v>0.0</v>
      </c>
      <c r="AV496" s="84">
        <v>0.0</v>
      </c>
      <c r="AW496" s="84">
        <v>1.0</v>
      </c>
      <c r="AX496" s="84">
        <v>0.0</v>
      </c>
      <c r="AY496" s="84">
        <v>1.0</v>
      </c>
      <c r="AZ496" s="84">
        <v>1.0</v>
      </c>
    </row>
    <row r="497" ht="12.75" customHeight="1">
      <c r="A497" s="84">
        <v>495.0</v>
      </c>
      <c r="B497" s="84" t="s">
        <v>4345</v>
      </c>
      <c r="C497" s="84">
        <v>1.0</v>
      </c>
      <c r="D497" s="84" t="s">
        <v>4916</v>
      </c>
      <c r="E497" s="84">
        <v>13.0</v>
      </c>
      <c r="F497" s="84" t="s">
        <v>5131</v>
      </c>
      <c r="G497" s="84">
        <v>0.0</v>
      </c>
      <c r="H497" s="84">
        <v>101.0</v>
      </c>
      <c r="I497" s="84">
        <v>15.0</v>
      </c>
      <c r="N497" s="84">
        <v>0.0</v>
      </c>
      <c r="O497" s="84">
        <v>0.0</v>
      </c>
      <c r="P497" s="84">
        <v>0.0</v>
      </c>
      <c r="U497" s="84">
        <v>300.0</v>
      </c>
      <c r="X497" s="84">
        <v>0.0</v>
      </c>
      <c r="AH497" s="84">
        <v>0.0</v>
      </c>
      <c r="AI497" s="84">
        <v>0.0</v>
      </c>
      <c r="AJ497" s="84">
        <v>0.0</v>
      </c>
      <c r="AK497" s="84">
        <v>0.0</v>
      </c>
      <c r="AL497" s="84">
        <v>0.0</v>
      </c>
      <c r="AM497" s="84">
        <v>0.0</v>
      </c>
      <c r="AN497" s="84">
        <v>0.0</v>
      </c>
      <c r="AO497" s="84">
        <v>0.0</v>
      </c>
      <c r="AP497" s="84">
        <v>0.0</v>
      </c>
      <c r="AQ497" s="84">
        <v>0.0</v>
      </c>
      <c r="AR497" s="84">
        <v>0.0</v>
      </c>
      <c r="AS497" s="84">
        <v>0.0</v>
      </c>
      <c r="AT497" s="84">
        <v>0.0</v>
      </c>
      <c r="AU497" s="84">
        <v>1.0</v>
      </c>
      <c r="AV497" s="84">
        <v>0.0</v>
      </c>
      <c r="AW497" s="84">
        <v>1.0</v>
      </c>
      <c r="AX497" s="84">
        <v>0.0</v>
      </c>
      <c r="AY497" s="84">
        <v>0.0</v>
      </c>
      <c r="AZ497" s="84">
        <v>18.0</v>
      </c>
    </row>
    <row r="498" ht="12.75" customHeight="1">
      <c r="A498" s="84">
        <v>496.0</v>
      </c>
      <c r="B498" s="84" t="s">
        <v>5754</v>
      </c>
      <c r="C498" s="84">
        <v>1.0</v>
      </c>
      <c r="D498" s="84" t="s">
        <v>4916</v>
      </c>
      <c r="E498" s="84">
        <v>0.0</v>
      </c>
      <c r="F498" s="84" t="s">
        <v>5172</v>
      </c>
      <c r="G498" s="84">
        <v>60.0</v>
      </c>
      <c r="H498" s="84">
        <v>100.0</v>
      </c>
      <c r="I498" s="84">
        <v>15.0</v>
      </c>
      <c r="N498" s="84">
        <v>0.0</v>
      </c>
      <c r="O498" s="84">
        <v>0.0</v>
      </c>
      <c r="P498" s="84">
        <v>0.0</v>
      </c>
      <c r="U498" s="84">
        <v>301.0</v>
      </c>
      <c r="X498" s="84">
        <v>0.0</v>
      </c>
      <c r="AH498" s="84">
        <v>0.0</v>
      </c>
      <c r="AI498" s="84">
        <v>0.0</v>
      </c>
      <c r="AJ498" s="84">
        <v>0.0</v>
      </c>
      <c r="AK498" s="84">
        <v>1.0</v>
      </c>
      <c r="AL498" s="84">
        <v>0.0</v>
      </c>
      <c r="AM498" s="84">
        <v>0.0</v>
      </c>
      <c r="AN498" s="84">
        <v>1.0</v>
      </c>
      <c r="AO498" s="84">
        <v>0.0</v>
      </c>
      <c r="AP498" s="84">
        <v>1.0</v>
      </c>
      <c r="AQ498" s="84">
        <v>0.0</v>
      </c>
      <c r="AR498" s="84">
        <v>0.0</v>
      </c>
      <c r="AS498" s="84">
        <v>0.0</v>
      </c>
      <c r="AT498" s="84">
        <v>0.0</v>
      </c>
      <c r="AU498" s="84">
        <v>1.0</v>
      </c>
      <c r="AV498" s="84">
        <v>0.0</v>
      </c>
      <c r="AW498" s="84">
        <v>0.0</v>
      </c>
      <c r="AX498" s="84">
        <v>0.0</v>
      </c>
      <c r="AY498" s="84">
        <v>1.0</v>
      </c>
      <c r="AZ498" s="84">
        <v>39.0</v>
      </c>
    </row>
    <row r="499" ht="12.75" customHeight="1">
      <c r="A499" s="84">
        <v>497.0</v>
      </c>
      <c r="B499" s="84" t="s">
        <v>5755</v>
      </c>
      <c r="C499" s="84">
        <v>1.0</v>
      </c>
      <c r="D499" s="84" t="s">
        <v>4916</v>
      </c>
      <c r="E499" s="84">
        <v>0.0</v>
      </c>
      <c r="F499" s="84" t="s">
        <v>5172</v>
      </c>
      <c r="G499" s="84">
        <v>40.0</v>
      </c>
      <c r="H499" s="84">
        <v>100.0</v>
      </c>
      <c r="I499" s="84">
        <v>15.0</v>
      </c>
      <c r="N499" s="84">
        <v>0.0</v>
      </c>
      <c r="O499" s="84">
        <v>0.0</v>
      </c>
      <c r="P499" s="84">
        <v>0.0</v>
      </c>
      <c r="U499" s="84">
        <v>302.0</v>
      </c>
      <c r="X499" s="84">
        <v>0.0</v>
      </c>
      <c r="AH499" s="84">
        <v>0.0</v>
      </c>
      <c r="AI499" s="84">
        <v>0.0</v>
      </c>
      <c r="AJ499" s="84">
        <v>0.0</v>
      </c>
      <c r="AK499" s="84">
        <v>1.0</v>
      </c>
      <c r="AL499" s="84">
        <v>0.0</v>
      </c>
      <c r="AM499" s="84">
        <v>0.0</v>
      </c>
      <c r="AN499" s="84">
        <v>1.0</v>
      </c>
      <c r="AO499" s="84">
        <v>0.0</v>
      </c>
      <c r="AP499" s="84">
        <v>1.0</v>
      </c>
      <c r="AQ499" s="84">
        <v>0.0</v>
      </c>
      <c r="AR499" s="84">
        <v>0.0</v>
      </c>
      <c r="AS499" s="84">
        <v>0.0</v>
      </c>
      <c r="AT499" s="84">
        <v>0.0</v>
      </c>
      <c r="AU499" s="84">
        <v>1.0</v>
      </c>
      <c r="AV499" s="84">
        <v>0.0</v>
      </c>
      <c r="AW499" s="84">
        <v>0.0</v>
      </c>
      <c r="AX499" s="84">
        <v>0.0</v>
      </c>
      <c r="AY499" s="84">
        <v>1.0</v>
      </c>
      <c r="AZ499" s="84">
        <v>2.0</v>
      </c>
    </row>
    <row r="500" ht="12.75" customHeight="1">
      <c r="A500" s="84">
        <v>498.0</v>
      </c>
      <c r="B500" s="84" t="s">
        <v>5756</v>
      </c>
      <c r="C500" s="84">
        <v>0.0</v>
      </c>
      <c r="D500" s="84" t="s">
        <v>4916</v>
      </c>
      <c r="E500" s="84">
        <v>0.0</v>
      </c>
      <c r="F500" s="84" t="s">
        <v>5135</v>
      </c>
      <c r="G500" s="84">
        <v>70.0</v>
      </c>
      <c r="H500" s="84">
        <v>100.0</v>
      </c>
      <c r="I500" s="84">
        <v>20.0</v>
      </c>
      <c r="J500" s="84"/>
      <c r="K500" s="84"/>
      <c r="L500" s="84"/>
      <c r="M500" s="84"/>
      <c r="N500" s="84">
        <v>0.0</v>
      </c>
      <c r="O500" s="84">
        <v>0.0</v>
      </c>
      <c r="P500" s="84">
        <v>0.0</v>
      </c>
      <c r="Q500" s="84"/>
      <c r="R500" s="84"/>
      <c r="S500" s="84"/>
      <c r="T500" s="84"/>
      <c r="U500" s="84">
        <v>303.0</v>
      </c>
      <c r="V500" s="84"/>
      <c r="W500" s="84"/>
      <c r="X500" s="84">
        <v>0.0</v>
      </c>
      <c r="Y500" s="84"/>
      <c r="Z500" s="84"/>
      <c r="AA500" s="84"/>
      <c r="AB500" s="84"/>
      <c r="AC500" s="84"/>
      <c r="AD500" s="84"/>
      <c r="AE500" s="84"/>
      <c r="AF500" s="84"/>
      <c r="AG500" s="84"/>
      <c r="AH500" s="84">
        <v>1.0</v>
      </c>
      <c r="AI500" s="84">
        <v>0.0</v>
      </c>
      <c r="AJ500" s="84">
        <v>0.0</v>
      </c>
      <c r="AK500" s="84">
        <v>1.0</v>
      </c>
      <c r="AL500" s="84">
        <v>0.0</v>
      </c>
      <c r="AM500" s="84">
        <v>0.0</v>
      </c>
      <c r="AN500" s="84">
        <v>1.0</v>
      </c>
      <c r="AO500" s="84">
        <v>0.0</v>
      </c>
      <c r="AP500" s="84">
        <v>0.0</v>
      </c>
      <c r="AQ500" s="84">
        <v>0.0</v>
      </c>
      <c r="AR500" s="84">
        <v>0.0</v>
      </c>
      <c r="AS500" s="84">
        <v>0.0</v>
      </c>
      <c r="AT500" s="84">
        <v>0.0</v>
      </c>
      <c r="AU500" s="84">
        <v>0.0</v>
      </c>
      <c r="AV500" s="84">
        <v>0.0</v>
      </c>
      <c r="AW500" s="84">
        <v>0.0</v>
      </c>
      <c r="AX500" s="84">
        <v>0.0</v>
      </c>
      <c r="AY500" s="84">
        <v>1.0</v>
      </c>
      <c r="AZ500" s="84">
        <v>0.0</v>
      </c>
    </row>
    <row r="501" ht="12.75" customHeight="1">
      <c r="A501" s="84">
        <v>499.0</v>
      </c>
      <c r="B501" s="84" t="s">
        <v>5757</v>
      </c>
      <c r="C501" s="84">
        <v>1.0</v>
      </c>
      <c r="D501" s="84" t="s">
        <v>4905</v>
      </c>
      <c r="E501" s="84">
        <v>0.0</v>
      </c>
      <c r="F501" s="84" t="s">
        <v>5172</v>
      </c>
      <c r="G501" s="84">
        <v>50.0</v>
      </c>
      <c r="H501" s="84">
        <v>101.0</v>
      </c>
      <c r="I501" s="84">
        <v>15.0</v>
      </c>
      <c r="N501" s="84">
        <v>0.0</v>
      </c>
      <c r="O501" s="84">
        <v>0.0</v>
      </c>
      <c r="P501" s="84">
        <v>0.0</v>
      </c>
      <c r="U501" s="84">
        <v>304.0</v>
      </c>
      <c r="X501" s="84">
        <v>0.0</v>
      </c>
      <c r="AH501" s="84">
        <v>0.0</v>
      </c>
      <c r="AI501" s="84">
        <v>0.0</v>
      </c>
      <c r="AJ501" s="84">
        <v>0.0</v>
      </c>
      <c r="AK501" s="84">
        <v>1.0</v>
      </c>
      <c r="AL501" s="84">
        <v>0.0</v>
      </c>
      <c r="AM501" s="84">
        <v>0.0</v>
      </c>
      <c r="AN501" s="84">
        <v>1.0</v>
      </c>
      <c r="AO501" s="84">
        <v>0.0</v>
      </c>
      <c r="AP501" s="84">
        <v>0.0</v>
      </c>
      <c r="AQ501" s="84">
        <v>0.0</v>
      </c>
      <c r="AR501" s="84">
        <v>0.0</v>
      </c>
      <c r="AS501" s="84">
        <v>0.0</v>
      </c>
      <c r="AT501" s="84">
        <v>0.0</v>
      </c>
      <c r="AU501" s="84">
        <v>0.0</v>
      </c>
      <c r="AV501" s="84">
        <v>0.0</v>
      </c>
      <c r="AW501" s="84">
        <v>0.0</v>
      </c>
      <c r="AX501" s="84">
        <v>0.0</v>
      </c>
      <c r="AY501" s="84">
        <v>1.0</v>
      </c>
      <c r="AZ501" s="84">
        <v>34.0</v>
      </c>
    </row>
    <row r="502" ht="12.75" customHeight="1">
      <c r="A502" s="84">
        <v>500.0</v>
      </c>
      <c r="B502" s="84" t="s">
        <v>3963</v>
      </c>
      <c r="C502" s="84">
        <v>1.0</v>
      </c>
      <c r="D502" s="84" t="s">
        <v>2659</v>
      </c>
      <c r="E502" s="84">
        <v>0.0</v>
      </c>
      <c r="F502" s="84" t="s">
        <v>5172</v>
      </c>
      <c r="G502" s="84">
        <v>20.0</v>
      </c>
      <c r="H502" s="84">
        <v>100.0</v>
      </c>
      <c r="I502" s="84">
        <v>10.0</v>
      </c>
      <c r="N502" s="84">
        <v>0.0</v>
      </c>
      <c r="O502" s="84">
        <v>0.0</v>
      </c>
      <c r="P502" s="84">
        <v>0.0</v>
      </c>
      <c r="U502" s="84">
        <v>305.0</v>
      </c>
      <c r="X502" s="84">
        <v>0.0</v>
      </c>
      <c r="AH502" s="84">
        <v>0.0</v>
      </c>
      <c r="AI502" s="84">
        <v>0.0</v>
      </c>
      <c r="AJ502" s="84">
        <v>0.0</v>
      </c>
      <c r="AK502" s="84">
        <v>1.0</v>
      </c>
      <c r="AL502" s="84">
        <v>0.0</v>
      </c>
      <c r="AM502" s="84">
        <v>0.0</v>
      </c>
      <c r="AN502" s="84">
        <v>1.0</v>
      </c>
      <c r="AO502" s="84">
        <v>0.0</v>
      </c>
      <c r="AP502" s="84">
        <v>0.0</v>
      </c>
      <c r="AQ502" s="84">
        <v>0.0</v>
      </c>
      <c r="AR502" s="84">
        <v>0.0</v>
      </c>
      <c r="AS502" s="84">
        <v>0.0</v>
      </c>
      <c r="AT502" s="84">
        <v>0.0</v>
      </c>
      <c r="AU502" s="84">
        <v>0.0</v>
      </c>
      <c r="AV502" s="84">
        <v>0.0</v>
      </c>
      <c r="AW502" s="84">
        <v>0.0</v>
      </c>
      <c r="AX502" s="84">
        <v>0.0</v>
      </c>
      <c r="AY502" s="84">
        <v>1.0</v>
      </c>
      <c r="AZ502" s="84">
        <v>33.0</v>
      </c>
    </row>
    <row r="503" ht="12.75" customHeight="1">
      <c r="A503" s="84">
        <v>501.0</v>
      </c>
      <c r="B503" s="84" t="s">
        <v>4335</v>
      </c>
      <c r="C503" s="84">
        <v>1.0</v>
      </c>
      <c r="D503" s="84" t="s">
        <v>4935</v>
      </c>
      <c r="E503" s="84">
        <v>11.0</v>
      </c>
      <c r="F503" s="84" t="s">
        <v>5131</v>
      </c>
      <c r="G503" s="84">
        <v>0.0</v>
      </c>
      <c r="H503" s="84">
        <v>101.0</v>
      </c>
      <c r="I503" s="84">
        <v>15.0</v>
      </c>
      <c r="J503" s="84">
        <v>3.0</v>
      </c>
      <c r="N503" s="84">
        <v>0.0</v>
      </c>
      <c r="O503" s="84">
        <v>0.0</v>
      </c>
      <c r="P503" s="84">
        <v>0.0</v>
      </c>
      <c r="U503" s="84">
        <v>306.0</v>
      </c>
      <c r="X503" s="84">
        <v>12.0</v>
      </c>
      <c r="AH503" s="84">
        <v>0.0</v>
      </c>
      <c r="AI503" s="84">
        <v>0.0</v>
      </c>
      <c r="AJ503" s="84">
        <v>0.0</v>
      </c>
      <c r="AK503" s="84">
        <v>0.0</v>
      </c>
      <c r="AL503" s="84">
        <v>0.0</v>
      </c>
      <c r="AM503" s="84">
        <v>1.0</v>
      </c>
      <c r="AN503" s="84">
        <v>0.0</v>
      </c>
      <c r="AO503" s="84">
        <v>0.0</v>
      </c>
      <c r="AP503" s="84">
        <v>0.0</v>
      </c>
      <c r="AQ503" s="84">
        <v>0.0</v>
      </c>
      <c r="AR503" s="84">
        <v>0.0</v>
      </c>
      <c r="AS503" s="84">
        <v>0.0</v>
      </c>
      <c r="AT503" s="84">
        <v>0.0</v>
      </c>
      <c r="AU503" s="84">
        <v>0.0</v>
      </c>
      <c r="AV503" s="84">
        <v>0.0</v>
      </c>
      <c r="AW503" s="84">
        <v>0.0</v>
      </c>
      <c r="AX503" s="84">
        <v>0.0</v>
      </c>
      <c r="AY503" s="84">
        <v>0.0</v>
      </c>
      <c r="AZ503" s="84">
        <v>17.0</v>
      </c>
    </row>
    <row r="504" ht="12.75" customHeight="1">
      <c r="A504" s="84">
        <v>502.0</v>
      </c>
      <c r="B504" s="84" t="s">
        <v>5758</v>
      </c>
      <c r="C504" s="84">
        <v>1.0</v>
      </c>
      <c r="D504" s="84" t="s">
        <v>2659</v>
      </c>
      <c r="E504" s="84">
        <v>13.0</v>
      </c>
      <c r="F504" s="84" t="s">
        <v>5131</v>
      </c>
      <c r="G504" s="84">
        <v>0.0</v>
      </c>
      <c r="H504" s="84">
        <v>101.0</v>
      </c>
      <c r="I504" s="84">
        <v>15.0</v>
      </c>
      <c r="J504" s="84">
        <v>2.0</v>
      </c>
      <c r="N504" s="84">
        <v>0.0</v>
      </c>
      <c r="O504" s="84">
        <v>0.0</v>
      </c>
      <c r="P504" s="84">
        <v>0.0</v>
      </c>
      <c r="U504" s="84">
        <v>307.0</v>
      </c>
      <c r="X504" s="84">
        <v>7.0</v>
      </c>
      <c r="AH504" s="84">
        <v>0.0</v>
      </c>
      <c r="AI504" s="84">
        <v>0.0</v>
      </c>
      <c r="AJ504" s="84">
        <v>0.0</v>
      </c>
      <c r="AK504" s="84">
        <v>0.0</v>
      </c>
      <c r="AL504" s="84">
        <v>0.0</v>
      </c>
      <c r="AM504" s="84">
        <v>0.0</v>
      </c>
      <c r="AN504" s="84">
        <v>0.0</v>
      </c>
      <c r="AO504" s="84">
        <v>0.0</v>
      </c>
      <c r="AP504" s="84">
        <v>0.0</v>
      </c>
      <c r="AQ504" s="84">
        <v>0.0</v>
      </c>
      <c r="AR504" s="84">
        <v>0.0</v>
      </c>
      <c r="AS504" s="84">
        <v>0.0</v>
      </c>
      <c r="AT504" s="84">
        <v>0.0</v>
      </c>
      <c r="AU504" s="84">
        <v>0.0</v>
      </c>
      <c r="AV504" s="84">
        <v>0.0</v>
      </c>
      <c r="AW504" s="84">
        <v>0.0</v>
      </c>
      <c r="AX504" s="84">
        <v>0.0</v>
      </c>
      <c r="AY504" s="84">
        <v>1.0</v>
      </c>
      <c r="AZ504" s="84">
        <v>0.0</v>
      </c>
    </row>
    <row r="505" ht="12.75" customHeight="1">
      <c r="A505" s="84">
        <v>503.0</v>
      </c>
      <c r="B505" s="84" t="s">
        <v>2880</v>
      </c>
      <c r="C505" s="84">
        <v>1.0</v>
      </c>
      <c r="D505" s="84" t="s">
        <v>4908</v>
      </c>
      <c r="E505" s="84">
        <v>4.0</v>
      </c>
      <c r="F505" s="84" t="s">
        <v>5172</v>
      </c>
      <c r="G505" s="84">
        <v>80.0</v>
      </c>
      <c r="H505" s="84">
        <v>100.0</v>
      </c>
      <c r="I505" s="84">
        <v>15.0</v>
      </c>
      <c r="M505" s="84" t="s">
        <v>5724</v>
      </c>
      <c r="N505" s="84">
        <v>4.0</v>
      </c>
      <c r="O505" s="84">
        <v>30.0</v>
      </c>
      <c r="P505" s="84">
        <v>1.0</v>
      </c>
      <c r="U505" s="84">
        <v>4.0</v>
      </c>
      <c r="X505" s="84">
        <v>0.0</v>
      </c>
      <c r="AH505" s="84">
        <v>0.0</v>
      </c>
      <c r="AI505" s="84">
        <v>0.0</v>
      </c>
      <c r="AJ505" s="84">
        <v>0.0</v>
      </c>
      <c r="AK505" s="84">
        <v>1.0</v>
      </c>
      <c r="AL505" s="84">
        <v>0.0</v>
      </c>
      <c r="AM505" s="84">
        <v>0.0</v>
      </c>
      <c r="AN505" s="84">
        <v>1.0</v>
      </c>
      <c r="AO505" s="84">
        <v>0.0</v>
      </c>
      <c r="AP505" s="84">
        <v>0.0</v>
      </c>
      <c r="AQ505" s="84">
        <v>0.0</v>
      </c>
      <c r="AR505" s="84">
        <v>1.0</v>
      </c>
      <c r="AS505" s="84">
        <v>0.0</v>
      </c>
      <c r="AT505" s="84">
        <v>0.0</v>
      </c>
      <c r="AU505" s="84">
        <v>0.0</v>
      </c>
      <c r="AV505" s="84">
        <v>0.0</v>
      </c>
      <c r="AW505" s="84">
        <v>0.0</v>
      </c>
      <c r="AX505" s="84">
        <v>0.0</v>
      </c>
      <c r="AY505" s="84">
        <v>1.0</v>
      </c>
      <c r="AZ505" s="84">
        <v>41.0</v>
      </c>
    </row>
    <row r="506" ht="12.75" customHeight="1">
      <c r="A506" s="84">
        <v>504.0</v>
      </c>
      <c r="B506" s="84" t="s">
        <v>3566</v>
      </c>
      <c r="C506" s="84">
        <v>1.0</v>
      </c>
      <c r="D506" s="84" t="s">
        <v>4916</v>
      </c>
      <c r="E506" s="84">
        <v>13.0</v>
      </c>
      <c r="F506" s="84" t="s">
        <v>5131</v>
      </c>
      <c r="G506" s="84">
        <v>0.0</v>
      </c>
      <c r="H506" s="84">
        <v>101.0</v>
      </c>
      <c r="I506" s="84">
        <v>15.0</v>
      </c>
      <c r="N506" s="84">
        <v>0.0</v>
      </c>
      <c r="O506" s="84">
        <v>0.0</v>
      </c>
      <c r="P506" s="84">
        <v>0.0</v>
      </c>
      <c r="U506" s="84">
        <v>308.0</v>
      </c>
      <c r="X506" s="84">
        <v>7.0</v>
      </c>
      <c r="AH506" s="84">
        <v>0.0</v>
      </c>
      <c r="AI506" s="84">
        <v>0.0</v>
      </c>
      <c r="AJ506" s="84">
        <v>0.0</v>
      </c>
      <c r="AK506" s="84">
        <v>0.0</v>
      </c>
      <c r="AL506" s="84">
        <v>0.0</v>
      </c>
      <c r="AM506" s="84">
        <v>1.0</v>
      </c>
      <c r="AN506" s="84">
        <v>0.0</v>
      </c>
      <c r="AO506" s="84">
        <v>0.0</v>
      </c>
      <c r="AP506" s="84">
        <v>0.0</v>
      </c>
      <c r="AQ506" s="84">
        <v>0.0</v>
      </c>
      <c r="AR506" s="84">
        <v>0.0</v>
      </c>
      <c r="AS506" s="84">
        <v>0.0</v>
      </c>
      <c r="AT506" s="84">
        <v>0.0</v>
      </c>
      <c r="AU506" s="84">
        <v>0.0</v>
      </c>
      <c r="AV506" s="84">
        <v>0.0</v>
      </c>
      <c r="AW506" s="84">
        <v>0.0</v>
      </c>
      <c r="AX506" s="84">
        <v>0.0</v>
      </c>
      <c r="AY506" s="84">
        <v>1.0</v>
      </c>
      <c r="AZ506" s="84">
        <v>9.0</v>
      </c>
    </row>
    <row r="507" ht="12.75" customHeight="1">
      <c r="A507" s="84">
        <v>505.0</v>
      </c>
      <c r="B507" s="84" t="s">
        <v>5759</v>
      </c>
      <c r="C507" s="84">
        <v>1.0</v>
      </c>
      <c r="D507" s="84" t="s">
        <v>2659</v>
      </c>
      <c r="E507" s="84">
        <v>3.0</v>
      </c>
      <c r="F507" s="84" t="s">
        <v>5131</v>
      </c>
      <c r="G507" s="84">
        <v>0.0</v>
      </c>
      <c r="H507" s="84">
        <v>101.0</v>
      </c>
      <c r="I507" s="84">
        <v>10.0</v>
      </c>
      <c r="N507" s="84">
        <v>0.0</v>
      </c>
      <c r="O507" s="84">
        <v>0.0</v>
      </c>
      <c r="P507" s="84">
        <v>0.0</v>
      </c>
      <c r="U507" s="84">
        <v>309.0</v>
      </c>
      <c r="W507" s="84">
        <v>50.0</v>
      </c>
      <c r="X507" s="84">
        <v>0.0</v>
      </c>
      <c r="AH507" s="84">
        <v>0.0</v>
      </c>
      <c r="AI507" s="84">
        <v>0.0</v>
      </c>
      <c r="AJ507" s="84">
        <v>0.0</v>
      </c>
      <c r="AK507" s="84">
        <v>1.0</v>
      </c>
      <c r="AL507" s="84">
        <v>1.0</v>
      </c>
      <c r="AM507" s="84">
        <v>0.0</v>
      </c>
      <c r="AN507" s="84">
        <v>0.0</v>
      </c>
      <c r="AO507" s="84">
        <v>0.0</v>
      </c>
      <c r="AP507" s="84">
        <v>0.0</v>
      </c>
      <c r="AQ507" s="84">
        <v>0.0</v>
      </c>
      <c r="AR507" s="84">
        <v>0.0</v>
      </c>
      <c r="AS507" s="84">
        <v>1.0</v>
      </c>
      <c r="AT507" s="84">
        <v>1.0</v>
      </c>
      <c r="AU507" s="84">
        <v>0.0</v>
      </c>
      <c r="AV507" s="84">
        <v>0.0</v>
      </c>
      <c r="AW507" s="84">
        <v>1.0</v>
      </c>
      <c r="AX507" s="84">
        <v>0.0</v>
      </c>
      <c r="AY507" s="84">
        <v>1.0</v>
      </c>
      <c r="AZ507" s="84">
        <v>16.0</v>
      </c>
    </row>
    <row r="508" ht="12.75" customHeight="1">
      <c r="A508" s="84">
        <v>506.0</v>
      </c>
      <c r="B508" s="84" t="s">
        <v>4301</v>
      </c>
      <c r="C508" s="84">
        <v>1.0</v>
      </c>
      <c r="D508" s="84" t="s">
        <v>4945</v>
      </c>
      <c r="E508" s="84">
        <v>0.0</v>
      </c>
      <c r="F508" s="84" t="s">
        <v>5172</v>
      </c>
      <c r="G508" s="84">
        <v>65.0</v>
      </c>
      <c r="H508" s="84">
        <v>100.0</v>
      </c>
      <c r="I508" s="84">
        <v>10.0</v>
      </c>
      <c r="N508" s="84">
        <v>0.0</v>
      </c>
      <c r="O508" s="84">
        <v>0.0</v>
      </c>
      <c r="P508" s="84">
        <v>0.0</v>
      </c>
      <c r="U508" s="84">
        <v>310.0</v>
      </c>
      <c r="X508" s="84">
        <v>0.0</v>
      </c>
      <c r="AH508" s="84">
        <v>0.0</v>
      </c>
      <c r="AI508" s="84">
        <v>0.0</v>
      </c>
      <c r="AJ508" s="84">
        <v>0.0</v>
      </c>
      <c r="AK508" s="84">
        <v>1.0</v>
      </c>
      <c r="AL508" s="84">
        <v>0.0</v>
      </c>
      <c r="AM508" s="84">
        <v>0.0</v>
      </c>
      <c r="AN508" s="84">
        <v>1.0</v>
      </c>
      <c r="AO508" s="84">
        <v>0.0</v>
      </c>
      <c r="AP508" s="84">
        <v>0.0</v>
      </c>
      <c r="AQ508" s="84">
        <v>0.0</v>
      </c>
      <c r="AR508" s="84">
        <v>0.0</v>
      </c>
      <c r="AS508" s="84">
        <v>0.0</v>
      </c>
      <c r="AT508" s="84">
        <v>0.0</v>
      </c>
      <c r="AU508" s="84">
        <v>0.0</v>
      </c>
      <c r="AV508" s="84">
        <v>0.0</v>
      </c>
      <c r="AW508" s="84">
        <v>0.0</v>
      </c>
      <c r="AX508" s="84">
        <v>0.0</v>
      </c>
      <c r="AY508" s="84">
        <v>1.0</v>
      </c>
      <c r="AZ508" s="84">
        <v>39.0</v>
      </c>
    </row>
    <row r="509" ht="12.75" customHeight="1">
      <c r="A509" s="84">
        <v>507.0</v>
      </c>
      <c r="B509" s="84" t="s">
        <v>5760</v>
      </c>
      <c r="C509" s="84">
        <v>0.0</v>
      </c>
      <c r="D509" s="84" t="s">
        <v>4907</v>
      </c>
      <c r="E509" s="84">
        <v>0.0</v>
      </c>
      <c r="F509" s="84" t="s">
        <v>5135</v>
      </c>
      <c r="G509" s="84">
        <v>60.0</v>
      </c>
      <c r="H509" s="84">
        <v>100.0</v>
      </c>
      <c r="I509" s="84">
        <v>10.0</v>
      </c>
      <c r="J509" s="84"/>
      <c r="K509" s="84"/>
      <c r="L509" s="84"/>
      <c r="M509" s="84"/>
      <c r="N509" s="84">
        <v>0.0</v>
      </c>
      <c r="O509" s="84">
        <v>0.0</v>
      </c>
      <c r="P509" s="84">
        <v>0.0</v>
      </c>
      <c r="Q509" s="84"/>
      <c r="R509" s="84"/>
      <c r="S509" s="84"/>
      <c r="T509" s="84"/>
      <c r="U509" s="84">
        <v>311.0</v>
      </c>
      <c r="V509" s="84"/>
      <c r="W509" s="84"/>
      <c r="X509" s="84">
        <v>0.0</v>
      </c>
      <c r="Y509" s="84"/>
      <c r="Z509" s="84"/>
      <c r="AA509" s="84"/>
      <c r="AB509" s="84"/>
      <c r="AC509" s="84"/>
      <c r="AD509" s="84"/>
      <c r="AE509" s="84"/>
      <c r="AF509" s="84"/>
      <c r="AG509" s="84"/>
      <c r="AH509" s="84">
        <v>1.0</v>
      </c>
      <c r="AI509" s="84">
        <v>1.0</v>
      </c>
      <c r="AJ509" s="84">
        <v>0.0</v>
      </c>
      <c r="AK509" s="84">
        <v>1.0</v>
      </c>
      <c r="AL509" s="84">
        <v>0.0</v>
      </c>
      <c r="AM509" s="84">
        <v>0.0</v>
      </c>
      <c r="AN509" s="84">
        <v>1.0</v>
      </c>
      <c r="AO509" s="84">
        <v>0.0</v>
      </c>
      <c r="AP509" s="84">
        <v>0.0</v>
      </c>
      <c r="AQ509" s="84">
        <v>1.0</v>
      </c>
      <c r="AR509" s="84">
        <v>0.0</v>
      </c>
      <c r="AS509" s="84">
        <v>1.0</v>
      </c>
      <c r="AT509" s="84">
        <v>0.0</v>
      </c>
      <c r="AU509" s="84">
        <v>0.0</v>
      </c>
      <c r="AV509" s="84">
        <v>0.0</v>
      </c>
      <c r="AW509" s="84">
        <v>0.0</v>
      </c>
      <c r="AX509" s="84">
        <v>0.0</v>
      </c>
      <c r="AY509" s="84">
        <v>1.0</v>
      </c>
      <c r="AZ509" s="84">
        <v>0.0</v>
      </c>
    </row>
    <row r="510" ht="12.75" customHeight="1">
      <c r="A510" s="84">
        <v>508.0</v>
      </c>
      <c r="B510" s="84" t="s">
        <v>5761</v>
      </c>
      <c r="C510" s="84">
        <v>0.0</v>
      </c>
      <c r="D510" s="84" t="s">
        <v>4975</v>
      </c>
      <c r="E510" s="84">
        <v>2.0</v>
      </c>
      <c r="F510" s="84" t="s">
        <v>5131</v>
      </c>
      <c r="G510" s="84">
        <v>0.0</v>
      </c>
      <c r="H510" s="84">
        <v>101.0</v>
      </c>
      <c r="I510" s="84">
        <v>10.0</v>
      </c>
      <c r="J510" s="84"/>
      <c r="K510" s="84"/>
      <c r="L510" s="84"/>
      <c r="M510" s="84"/>
      <c r="N510" s="84">
        <v>0.0</v>
      </c>
      <c r="O510" s="84">
        <v>0.0</v>
      </c>
      <c r="P510" s="84">
        <v>0.0</v>
      </c>
      <c r="Q510" s="84"/>
      <c r="R510" s="84"/>
      <c r="S510" s="84"/>
      <c r="T510" s="84"/>
      <c r="U510" s="84">
        <v>312.0</v>
      </c>
      <c r="V510" s="84"/>
      <c r="W510" s="84"/>
      <c r="X510" s="84">
        <v>7.0</v>
      </c>
      <c r="Y510" s="84" t="s">
        <v>5073</v>
      </c>
      <c r="Z510" s="84">
        <v>2.0</v>
      </c>
      <c r="AA510" s="84"/>
      <c r="AB510" s="84" t="s">
        <v>20</v>
      </c>
      <c r="AC510" s="84">
        <v>1.0</v>
      </c>
      <c r="AD510" s="84"/>
      <c r="AE510" s="84"/>
      <c r="AF510" s="84"/>
      <c r="AG510" s="84"/>
      <c r="AH510" s="84">
        <v>0.0</v>
      </c>
      <c r="AI510" s="84">
        <v>0.0</v>
      </c>
      <c r="AJ510" s="84">
        <v>0.0</v>
      </c>
      <c r="AK510" s="84">
        <v>0.0</v>
      </c>
      <c r="AL510" s="84">
        <v>0.0</v>
      </c>
      <c r="AM510" s="84">
        <v>1.0</v>
      </c>
      <c r="AN510" s="84">
        <v>0.0</v>
      </c>
      <c r="AO510" s="84">
        <v>0.0</v>
      </c>
      <c r="AP510" s="84">
        <v>0.0</v>
      </c>
      <c r="AQ510" s="84">
        <v>0.0</v>
      </c>
      <c r="AR510" s="84">
        <v>0.0</v>
      </c>
      <c r="AS510" s="84">
        <v>0.0</v>
      </c>
      <c r="AT510" s="84">
        <v>0.0</v>
      </c>
      <c r="AU510" s="84">
        <v>0.0</v>
      </c>
      <c r="AV510" s="84">
        <v>0.0</v>
      </c>
      <c r="AW510" s="84">
        <v>0.0</v>
      </c>
      <c r="AX510" s="84">
        <v>0.0</v>
      </c>
      <c r="AY510" s="84">
        <v>1.0</v>
      </c>
      <c r="AZ510" s="84">
        <v>0.0</v>
      </c>
    </row>
    <row r="511" ht="12.75" customHeight="1">
      <c r="A511" s="84">
        <v>509.0</v>
      </c>
      <c r="B511" s="84" t="s">
        <v>5762</v>
      </c>
      <c r="C511" s="84">
        <v>1.0</v>
      </c>
      <c r="D511" s="84" t="s">
        <v>4935</v>
      </c>
      <c r="E511" s="84">
        <v>0.0</v>
      </c>
      <c r="F511" s="84" t="s">
        <v>5135</v>
      </c>
      <c r="G511" s="84">
        <v>60.0</v>
      </c>
      <c r="H511" s="84">
        <v>90.0</v>
      </c>
      <c r="I511" s="84">
        <v>10.0</v>
      </c>
      <c r="J511" s="84">
        <v>-6.0</v>
      </c>
      <c r="N511" s="84">
        <v>0.0</v>
      </c>
      <c r="O511" s="84">
        <v>0.0</v>
      </c>
      <c r="P511" s="84">
        <v>0.0</v>
      </c>
      <c r="U511" s="84">
        <v>313.0</v>
      </c>
      <c r="X511" s="84">
        <v>0.0</v>
      </c>
      <c r="AH511" s="84">
        <v>1.0</v>
      </c>
      <c r="AI511" s="84">
        <v>0.0</v>
      </c>
      <c r="AJ511" s="84">
        <v>0.0</v>
      </c>
      <c r="AK511" s="84">
        <v>1.0</v>
      </c>
      <c r="AL511" s="84">
        <v>0.0</v>
      </c>
      <c r="AM511" s="84">
        <v>0.0</v>
      </c>
      <c r="AN511" s="84">
        <v>1.0</v>
      </c>
      <c r="AO511" s="84">
        <v>0.0</v>
      </c>
      <c r="AP511" s="84">
        <v>0.0</v>
      </c>
      <c r="AQ511" s="84">
        <v>0.0</v>
      </c>
      <c r="AR511" s="84">
        <v>0.0</v>
      </c>
      <c r="AS511" s="84">
        <v>0.0</v>
      </c>
      <c r="AT511" s="84">
        <v>0.0</v>
      </c>
      <c r="AU511" s="84">
        <v>0.0</v>
      </c>
      <c r="AV511" s="84">
        <v>0.0</v>
      </c>
      <c r="AW511" s="84">
        <v>0.0</v>
      </c>
      <c r="AX511" s="84">
        <v>0.0</v>
      </c>
      <c r="AY511" s="84">
        <v>1.0</v>
      </c>
      <c r="AZ511" s="84">
        <v>37.0</v>
      </c>
    </row>
    <row r="512" ht="12.75" customHeight="1">
      <c r="A512" s="84">
        <v>510.0</v>
      </c>
      <c r="B512" s="84" t="s">
        <v>5763</v>
      </c>
      <c r="C512" s="84">
        <v>1.0</v>
      </c>
      <c r="D512" s="84" t="s">
        <v>4906</v>
      </c>
      <c r="E512" s="84">
        <v>0.0</v>
      </c>
      <c r="F512" s="84" t="s">
        <v>5172</v>
      </c>
      <c r="G512" s="84">
        <v>60.0</v>
      </c>
      <c r="H512" s="84">
        <v>100.0</v>
      </c>
      <c r="I512" s="84">
        <v>15.0</v>
      </c>
      <c r="N512" s="84">
        <v>0.0</v>
      </c>
      <c r="O512" s="84">
        <v>0.0</v>
      </c>
      <c r="P512" s="84">
        <v>0.0</v>
      </c>
      <c r="U512" s="84">
        <v>314.0</v>
      </c>
      <c r="X512" s="84">
        <v>5.0</v>
      </c>
      <c r="AH512" s="84">
        <v>0.0</v>
      </c>
      <c r="AI512" s="84">
        <v>0.0</v>
      </c>
      <c r="AJ512" s="84">
        <v>0.0</v>
      </c>
      <c r="AK512" s="84">
        <v>1.0</v>
      </c>
      <c r="AL512" s="84">
        <v>0.0</v>
      </c>
      <c r="AM512" s="84">
        <v>0.0</v>
      </c>
      <c r="AN512" s="84">
        <v>1.0</v>
      </c>
      <c r="AO512" s="84">
        <v>0.0</v>
      </c>
      <c r="AP512" s="84">
        <v>0.0</v>
      </c>
      <c r="AQ512" s="84">
        <v>0.0</v>
      </c>
      <c r="AR512" s="84">
        <v>0.0</v>
      </c>
      <c r="AS512" s="84">
        <v>0.0</v>
      </c>
      <c r="AT512" s="84">
        <v>0.0</v>
      </c>
      <c r="AU512" s="84">
        <v>0.0</v>
      </c>
      <c r="AV512" s="84">
        <v>0.0</v>
      </c>
      <c r="AW512" s="84">
        <v>0.0</v>
      </c>
      <c r="AX512" s="84">
        <v>0.0</v>
      </c>
      <c r="AY512" s="84">
        <v>1.0</v>
      </c>
      <c r="AZ512" s="84">
        <v>40.0</v>
      </c>
    </row>
    <row r="513" ht="12.75" customHeight="1">
      <c r="A513" s="84">
        <v>511.0</v>
      </c>
      <c r="B513" s="84" t="s">
        <v>5764</v>
      </c>
      <c r="C513" s="84">
        <v>1.0</v>
      </c>
      <c r="D513" s="84" t="s">
        <v>4972</v>
      </c>
      <c r="E513" s="84">
        <v>13.0</v>
      </c>
      <c r="F513" s="84" t="s">
        <v>5131</v>
      </c>
      <c r="G513" s="84">
        <v>0.0</v>
      </c>
      <c r="H513" s="84">
        <v>100.0</v>
      </c>
      <c r="I513" s="84">
        <v>15.0</v>
      </c>
      <c r="N513" s="84">
        <v>0.0</v>
      </c>
      <c r="O513" s="84">
        <v>0.0</v>
      </c>
      <c r="P513" s="84">
        <v>0.0</v>
      </c>
      <c r="U513" s="84">
        <v>315.0</v>
      </c>
      <c r="X513" s="84">
        <v>0.0</v>
      </c>
      <c r="AH513" s="84">
        <v>0.0</v>
      </c>
      <c r="AI513" s="84">
        <v>0.0</v>
      </c>
      <c r="AJ513" s="84">
        <v>0.0</v>
      </c>
      <c r="AK513" s="84">
        <v>1.0</v>
      </c>
      <c r="AL513" s="84">
        <v>0.0</v>
      </c>
      <c r="AM513" s="84">
        <v>0.0</v>
      </c>
      <c r="AN513" s="84">
        <v>1.0</v>
      </c>
      <c r="AO513" s="84">
        <v>0.0</v>
      </c>
      <c r="AP513" s="84">
        <v>0.0</v>
      </c>
      <c r="AQ513" s="84">
        <v>0.0</v>
      </c>
      <c r="AR513" s="84">
        <v>0.0</v>
      </c>
      <c r="AS513" s="84">
        <v>0.0</v>
      </c>
      <c r="AT513" s="84">
        <v>0.0</v>
      </c>
      <c r="AU513" s="84">
        <v>0.0</v>
      </c>
      <c r="AV513" s="84">
        <v>0.0</v>
      </c>
      <c r="AW513" s="84">
        <v>0.0</v>
      </c>
      <c r="AX513" s="84">
        <v>0.0</v>
      </c>
      <c r="AY513" s="84">
        <v>0.0</v>
      </c>
      <c r="AZ513" s="84">
        <v>18.0</v>
      </c>
    </row>
    <row r="514" ht="12.75" customHeight="1">
      <c r="A514" s="84">
        <v>512.0</v>
      </c>
      <c r="B514" s="84" t="s">
        <v>2877</v>
      </c>
      <c r="C514" s="84">
        <v>1.0</v>
      </c>
      <c r="D514" s="84" t="s">
        <v>4907</v>
      </c>
      <c r="E514" s="84">
        <v>0.0</v>
      </c>
      <c r="F514" s="84" t="s">
        <v>5135</v>
      </c>
      <c r="G514" s="84">
        <v>55.0</v>
      </c>
      <c r="H514" s="84">
        <v>100.0</v>
      </c>
      <c r="I514" s="84">
        <v>15.0</v>
      </c>
      <c r="N514" s="84">
        <v>0.0</v>
      </c>
      <c r="O514" s="84">
        <v>0.0</v>
      </c>
      <c r="P514" s="84">
        <v>0.0</v>
      </c>
      <c r="U514" s="84">
        <v>317.0</v>
      </c>
      <c r="X514" s="84">
        <v>0.0</v>
      </c>
      <c r="AH514" s="84">
        <v>1.0</v>
      </c>
      <c r="AI514" s="84">
        <v>0.0</v>
      </c>
      <c r="AJ514" s="84">
        <v>0.0</v>
      </c>
      <c r="AK514" s="84">
        <v>1.0</v>
      </c>
      <c r="AL514" s="84">
        <v>0.0</v>
      </c>
      <c r="AM514" s="84">
        <v>0.0</v>
      </c>
      <c r="AN514" s="84">
        <v>1.0</v>
      </c>
      <c r="AO514" s="84">
        <v>0.0</v>
      </c>
      <c r="AP514" s="84">
        <v>0.0</v>
      </c>
      <c r="AQ514" s="84">
        <v>0.0</v>
      </c>
      <c r="AR514" s="84">
        <v>0.0</v>
      </c>
      <c r="AS514" s="84">
        <v>1.0</v>
      </c>
      <c r="AT514" s="84">
        <v>0.0</v>
      </c>
      <c r="AU514" s="84">
        <v>0.0</v>
      </c>
      <c r="AV514" s="84">
        <v>0.0</v>
      </c>
      <c r="AW514" s="84">
        <v>0.0</v>
      </c>
      <c r="AX514" s="84">
        <v>0.0</v>
      </c>
      <c r="AY514" s="84">
        <v>1.0</v>
      </c>
      <c r="AZ514" s="84">
        <v>27.0</v>
      </c>
    </row>
    <row r="515" ht="12.75" customHeight="1">
      <c r="A515" s="84">
        <v>513.0</v>
      </c>
      <c r="B515" s="84" t="s">
        <v>5765</v>
      </c>
      <c r="C515" s="84">
        <v>1.0</v>
      </c>
      <c r="D515" s="84" t="s">
        <v>4916</v>
      </c>
      <c r="E515" s="84">
        <v>13.0</v>
      </c>
      <c r="F515" s="84" t="s">
        <v>5131</v>
      </c>
      <c r="G515" s="84">
        <v>0.0</v>
      </c>
      <c r="H515" s="84">
        <v>101.0</v>
      </c>
      <c r="I515" s="84">
        <v>15.0</v>
      </c>
      <c r="N515" s="84">
        <v>0.0</v>
      </c>
      <c r="O515" s="84">
        <v>0.0</v>
      </c>
      <c r="P515" s="84">
        <v>0.0</v>
      </c>
      <c r="U515" s="84">
        <v>318.0</v>
      </c>
      <c r="X515" s="84">
        <v>0.0</v>
      </c>
      <c r="AH515" s="84">
        <v>0.0</v>
      </c>
      <c r="AI515" s="84">
        <v>0.0</v>
      </c>
      <c r="AJ515" s="84">
        <v>0.0</v>
      </c>
      <c r="AK515" s="84">
        <v>1.0</v>
      </c>
      <c r="AL515" s="84">
        <v>0.0</v>
      </c>
      <c r="AM515" s="84">
        <v>0.0</v>
      </c>
      <c r="AN515" s="84">
        <v>0.0</v>
      </c>
      <c r="AO515" s="84">
        <v>0.0</v>
      </c>
      <c r="AP515" s="84">
        <v>0.0</v>
      </c>
      <c r="AQ515" s="84">
        <v>0.0</v>
      </c>
      <c r="AR515" s="84">
        <v>0.0</v>
      </c>
      <c r="AS515" s="84">
        <v>0.0</v>
      </c>
      <c r="AT515" s="84">
        <v>0.0</v>
      </c>
      <c r="AU515" s="84">
        <v>1.0</v>
      </c>
      <c r="AV515" s="84">
        <v>0.0</v>
      </c>
      <c r="AW515" s="84">
        <v>1.0</v>
      </c>
      <c r="AX515" s="84">
        <v>0.0</v>
      </c>
      <c r="AY515" s="84">
        <v>1.0</v>
      </c>
      <c r="AZ515" s="84">
        <v>1.0</v>
      </c>
    </row>
    <row r="516" ht="12.75" customHeight="1">
      <c r="A516" s="84">
        <v>514.0</v>
      </c>
      <c r="B516" s="84" t="s">
        <v>5766</v>
      </c>
      <c r="C516" s="84">
        <v>1.0</v>
      </c>
      <c r="D516" s="84" t="s">
        <v>4916</v>
      </c>
      <c r="E516" s="84">
        <v>0.0</v>
      </c>
      <c r="F516" s="84" t="s">
        <v>5135</v>
      </c>
      <c r="G516" s="84">
        <v>70.0</v>
      </c>
      <c r="H516" s="84">
        <v>100.0</v>
      </c>
      <c r="I516" s="84">
        <v>5.0</v>
      </c>
      <c r="N516" s="84">
        <v>0.0</v>
      </c>
      <c r="O516" s="84">
        <v>0.0</v>
      </c>
      <c r="P516" s="84">
        <v>0.0</v>
      </c>
      <c r="U516" s="84">
        <v>319.0</v>
      </c>
      <c r="X516" s="84">
        <v>0.0</v>
      </c>
      <c r="AH516" s="84">
        <v>1.0</v>
      </c>
      <c r="AI516" s="84">
        <v>0.0</v>
      </c>
      <c r="AJ516" s="84">
        <v>0.0</v>
      </c>
      <c r="AK516" s="84">
        <v>1.0</v>
      </c>
      <c r="AL516" s="84">
        <v>0.0</v>
      </c>
      <c r="AM516" s="84">
        <v>0.0</v>
      </c>
      <c r="AN516" s="84">
        <v>1.0</v>
      </c>
      <c r="AO516" s="84">
        <v>0.0</v>
      </c>
      <c r="AP516" s="84">
        <v>0.0</v>
      </c>
      <c r="AQ516" s="84">
        <v>0.0</v>
      </c>
      <c r="AR516" s="84">
        <v>0.0</v>
      </c>
      <c r="AS516" s="84">
        <v>0.0</v>
      </c>
      <c r="AT516" s="84">
        <v>0.0</v>
      </c>
      <c r="AU516" s="84">
        <v>0.0</v>
      </c>
      <c r="AV516" s="84">
        <v>0.0</v>
      </c>
      <c r="AW516" s="84">
        <v>0.0</v>
      </c>
      <c r="AX516" s="84">
        <v>0.0</v>
      </c>
      <c r="AY516" s="84">
        <v>1.0</v>
      </c>
      <c r="AZ516" s="84">
        <v>38.0</v>
      </c>
    </row>
    <row r="517" ht="12.75" customHeight="1">
      <c r="A517" s="84">
        <v>515.0</v>
      </c>
      <c r="B517" s="84" t="s">
        <v>4410</v>
      </c>
      <c r="C517" s="84">
        <v>1.0</v>
      </c>
      <c r="D517" s="84" t="s">
        <v>4935</v>
      </c>
      <c r="E517" s="84">
        <v>0.0</v>
      </c>
      <c r="F517" s="84" t="s">
        <v>5172</v>
      </c>
      <c r="G517" s="84">
        <v>1.0</v>
      </c>
      <c r="H517" s="84">
        <v>100.0</v>
      </c>
      <c r="I517" s="84">
        <v>5.0</v>
      </c>
      <c r="N517" s="84">
        <v>0.0</v>
      </c>
      <c r="O517" s="84">
        <v>0.0</v>
      </c>
      <c r="P517" s="84">
        <v>0.0</v>
      </c>
      <c r="U517" s="84">
        <v>320.0</v>
      </c>
      <c r="X517" s="84">
        <v>0.0</v>
      </c>
      <c r="AH517" s="84">
        <v>0.0</v>
      </c>
      <c r="AI517" s="84">
        <v>0.0</v>
      </c>
      <c r="AJ517" s="84">
        <v>0.0</v>
      </c>
      <c r="AK517" s="84">
        <v>1.0</v>
      </c>
      <c r="AL517" s="84">
        <v>0.0</v>
      </c>
      <c r="AM517" s="84">
        <v>0.0</v>
      </c>
      <c r="AN517" s="84">
        <v>0.0</v>
      </c>
      <c r="AO517" s="84">
        <v>0.0</v>
      </c>
      <c r="AP517" s="84">
        <v>0.0</v>
      </c>
      <c r="AQ517" s="84">
        <v>0.0</v>
      </c>
      <c r="AR517" s="84">
        <v>0.0</v>
      </c>
      <c r="AS517" s="84">
        <v>0.0</v>
      </c>
      <c r="AT517" s="84">
        <v>0.0</v>
      </c>
      <c r="AU517" s="84">
        <v>0.0</v>
      </c>
      <c r="AV517" s="84">
        <v>0.0</v>
      </c>
      <c r="AW517" s="84">
        <v>0.0</v>
      </c>
      <c r="AX517" s="84">
        <v>0.0</v>
      </c>
      <c r="AY517" s="84">
        <v>1.0</v>
      </c>
      <c r="AZ517" s="84">
        <v>48.0</v>
      </c>
    </row>
    <row r="518" ht="12.75" customHeight="1">
      <c r="A518" s="84">
        <v>516.0</v>
      </c>
      <c r="B518" s="84" t="s">
        <v>5767</v>
      </c>
      <c r="C518" s="84">
        <v>0.0</v>
      </c>
      <c r="D518" s="84" t="s">
        <v>4916</v>
      </c>
      <c r="E518" s="84">
        <v>13.0</v>
      </c>
      <c r="F518" s="84" t="s">
        <v>5131</v>
      </c>
      <c r="G518" s="84">
        <v>0.0</v>
      </c>
      <c r="H518" s="84">
        <v>101.0</v>
      </c>
      <c r="I518" s="84">
        <v>15.0</v>
      </c>
      <c r="J518" s="84"/>
      <c r="K518" s="84"/>
      <c r="L518" s="84"/>
      <c r="M518" s="84"/>
      <c r="N518" s="84">
        <v>0.0</v>
      </c>
      <c r="O518" s="84">
        <v>0.0</v>
      </c>
      <c r="P518" s="84">
        <v>0.0</v>
      </c>
      <c r="Q518" s="84"/>
      <c r="R518" s="84"/>
      <c r="S518" s="84"/>
      <c r="T518" s="84"/>
      <c r="U518" s="84">
        <v>323.0</v>
      </c>
      <c r="V518" s="84"/>
      <c r="W518" s="84"/>
      <c r="X518" s="84">
        <v>0.0</v>
      </c>
      <c r="Y518" s="84"/>
      <c r="Z518" s="84"/>
      <c r="AA518" s="84"/>
      <c r="AB518" s="84"/>
      <c r="AC518" s="84"/>
      <c r="AD518" s="84"/>
      <c r="AE518" s="84"/>
      <c r="AF518" s="84"/>
      <c r="AG518" s="84"/>
      <c r="AH518" s="84">
        <v>0.0</v>
      </c>
      <c r="AI518" s="84">
        <v>0.0</v>
      </c>
      <c r="AJ518" s="84">
        <v>0.0</v>
      </c>
      <c r="AK518" s="84">
        <v>0.0</v>
      </c>
      <c r="AL518" s="84">
        <v>0.0</v>
      </c>
      <c r="AM518" s="84">
        <v>0.0</v>
      </c>
      <c r="AN518" s="84">
        <v>1.0</v>
      </c>
      <c r="AO518" s="84">
        <v>0.0</v>
      </c>
      <c r="AP518" s="84">
        <v>0.0</v>
      </c>
      <c r="AQ518" s="84">
        <v>0.0</v>
      </c>
      <c r="AR518" s="84">
        <v>0.0</v>
      </c>
      <c r="AS518" s="84">
        <v>0.0</v>
      </c>
      <c r="AT518" s="84">
        <v>0.0</v>
      </c>
      <c r="AU518" s="84">
        <v>1.0</v>
      </c>
      <c r="AV518" s="84">
        <v>0.0</v>
      </c>
      <c r="AW518" s="84">
        <v>1.0</v>
      </c>
      <c r="AX518" s="84">
        <v>0.0</v>
      </c>
      <c r="AY518" s="84">
        <v>0.0</v>
      </c>
      <c r="AZ518" s="84">
        <v>0.0</v>
      </c>
    </row>
    <row r="519" ht="12.75" customHeight="1">
      <c r="A519" s="84">
        <v>517.0</v>
      </c>
      <c r="B519" s="84" t="s">
        <v>2858</v>
      </c>
      <c r="C519" s="84">
        <v>1.0</v>
      </c>
      <c r="D519" s="84" t="s">
        <v>4906</v>
      </c>
      <c r="E519" s="84">
        <v>4.0</v>
      </c>
      <c r="F519" s="84" t="s">
        <v>5172</v>
      </c>
      <c r="G519" s="84">
        <v>100.0</v>
      </c>
      <c r="H519" s="84">
        <v>50.0</v>
      </c>
      <c r="I519" s="84">
        <v>5.0</v>
      </c>
      <c r="M519" s="84" t="s">
        <v>5768</v>
      </c>
      <c r="N519" s="84">
        <v>4.0</v>
      </c>
      <c r="O519" s="84">
        <v>100.0</v>
      </c>
      <c r="P519" s="84">
        <v>1.0</v>
      </c>
      <c r="U519" s="84">
        <v>4.0</v>
      </c>
      <c r="X519" s="84">
        <v>0.0</v>
      </c>
      <c r="AH519" s="84">
        <v>0.0</v>
      </c>
      <c r="AI519" s="84">
        <v>0.0</v>
      </c>
      <c r="AJ519" s="84">
        <v>0.0</v>
      </c>
      <c r="AK519" s="84">
        <v>1.0</v>
      </c>
      <c r="AL519" s="84">
        <v>0.0</v>
      </c>
      <c r="AM519" s="84">
        <v>0.0</v>
      </c>
      <c r="AN519" s="84">
        <v>1.0</v>
      </c>
      <c r="AO519" s="84">
        <v>0.0</v>
      </c>
      <c r="AP519" s="84">
        <v>0.0</v>
      </c>
      <c r="AQ519" s="84">
        <v>0.0</v>
      </c>
      <c r="AR519" s="84">
        <v>0.0</v>
      </c>
      <c r="AS519" s="84">
        <v>0.0</v>
      </c>
      <c r="AT519" s="84">
        <v>0.0</v>
      </c>
      <c r="AU519" s="84">
        <v>0.0</v>
      </c>
      <c r="AV519" s="84">
        <v>0.0</v>
      </c>
      <c r="AW519" s="84">
        <v>0.0</v>
      </c>
      <c r="AX519" s="84">
        <v>0.0</v>
      </c>
      <c r="AY519" s="84">
        <v>1.0</v>
      </c>
      <c r="AZ519" s="84">
        <v>46.0</v>
      </c>
    </row>
    <row r="520" ht="12.75" customHeight="1">
      <c r="A520" s="84">
        <v>518.0</v>
      </c>
      <c r="B520" s="84" t="s">
        <v>5769</v>
      </c>
      <c r="C520" s="84">
        <v>0.0</v>
      </c>
      <c r="D520" s="84" t="s">
        <v>4908</v>
      </c>
      <c r="E520" s="84">
        <v>0.0</v>
      </c>
      <c r="F520" s="84" t="s">
        <v>5172</v>
      </c>
      <c r="G520" s="84">
        <v>80.0</v>
      </c>
      <c r="H520" s="84">
        <v>100.0</v>
      </c>
      <c r="I520" s="84">
        <v>10.0</v>
      </c>
      <c r="J520" s="84"/>
      <c r="K520" s="84"/>
      <c r="L520" s="84"/>
      <c r="M520" s="84"/>
      <c r="N520" s="84">
        <v>0.0</v>
      </c>
      <c r="O520" s="84">
        <v>0.0</v>
      </c>
      <c r="P520" s="84">
        <v>0.0</v>
      </c>
      <c r="Q520" s="84"/>
      <c r="R520" s="84"/>
      <c r="S520" s="84"/>
      <c r="T520" s="84"/>
      <c r="U520" s="84">
        <v>324.0</v>
      </c>
      <c r="V520" s="84"/>
      <c r="W520" s="84"/>
      <c r="X520" s="84">
        <v>0.0</v>
      </c>
      <c r="Y520" s="84"/>
      <c r="Z520" s="84"/>
      <c r="AA520" s="84"/>
      <c r="AB520" s="84"/>
      <c r="AC520" s="84"/>
      <c r="AD520" s="84"/>
      <c r="AE520" s="84"/>
      <c r="AF520" s="84"/>
      <c r="AG520" s="84"/>
      <c r="AH520" s="84">
        <v>0.0</v>
      </c>
      <c r="AI520" s="84">
        <v>0.0</v>
      </c>
      <c r="AJ520" s="84">
        <v>0.0</v>
      </c>
      <c r="AK520" s="84">
        <v>1.0</v>
      </c>
      <c r="AL520" s="84">
        <v>0.0</v>
      </c>
      <c r="AM520" s="84">
        <v>0.0</v>
      </c>
      <c r="AN520" s="84">
        <v>1.0</v>
      </c>
      <c r="AO520" s="84">
        <v>0.0</v>
      </c>
      <c r="AP520" s="84">
        <v>0.0</v>
      </c>
      <c r="AQ520" s="84">
        <v>0.0</v>
      </c>
      <c r="AR520" s="84">
        <v>0.0</v>
      </c>
      <c r="AS520" s="84">
        <v>0.0</v>
      </c>
      <c r="AT520" s="84">
        <v>0.0</v>
      </c>
      <c r="AU520" s="84">
        <v>0.0</v>
      </c>
      <c r="AV520" s="84">
        <v>1.0</v>
      </c>
      <c r="AW520" s="84">
        <v>0.0</v>
      </c>
      <c r="AX520" s="84">
        <v>0.0</v>
      </c>
      <c r="AY520" s="84">
        <v>1.0</v>
      </c>
      <c r="AZ520" s="84">
        <v>0.0</v>
      </c>
    </row>
    <row r="521" ht="12.75" customHeight="1">
      <c r="A521" s="84">
        <v>519.0</v>
      </c>
      <c r="B521" s="84" t="s">
        <v>5770</v>
      </c>
      <c r="C521" s="84">
        <v>0.0</v>
      </c>
      <c r="D521" s="84" t="s">
        <v>4906</v>
      </c>
      <c r="E521" s="84">
        <v>0.0</v>
      </c>
      <c r="F521" s="84" t="s">
        <v>5172</v>
      </c>
      <c r="G521" s="84">
        <v>80.0</v>
      </c>
      <c r="H521" s="84">
        <v>100.0</v>
      </c>
      <c r="I521" s="84">
        <v>10.0</v>
      </c>
      <c r="J521" s="84"/>
      <c r="K521" s="84"/>
      <c r="L521" s="84"/>
      <c r="M521" s="84"/>
      <c r="N521" s="84">
        <v>0.0</v>
      </c>
      <c r="O521" s="84">
        <v>0.0</v>
      </c>
      <c r="P521" s="84">
        <v>0.0</v>
      </c>
      <c r="Q521" s="84"/>
      <c r="R521" s="84"/>
      <c r="S521" s="84"/>
      <c r="T521" s="84"/>
      <c r="U521" s="84">
        <v>325.0</v>
      </c>
      <c r="V521" s="84"/>
      <c r="W521" s="84"/>
      <c r="X521" s="84">
        <v>0.0</v>
      </c>
      <c r="Y521" s="84"/>
      <c r="Z521" s="84"/>
      <c r="AA521" s="84"/>
      <c r="AB521" s="84"/>
      <c r="AC521" s="84"/>
      <c r="AD521" s="84"/>
      <c r="AE521" s="84"/>
      <c r="AF521" s="84"/>
      <c r="AG521" s="84"/>
      <c r="AH521" s="84">
        <v>0.0</v>
      </c>
      <c r="AI521" s="84">
        <v>0.0</v>
      </c>
      <c r="AJ521" s="84">
        <v>0.0</v>
      </c>
      <c r="AK521" s="84">
        <v>1.0</v>
      </c>
      <c r="AL521" s="84">
        <v>0.0</v>
      </c>
      <c r="AM521" s="84">
        <v>0.0</v>
      </c>
      <c r="AN521" s="84">
        <v>1.0</v>
      </c>
      <c r="AO521" s="84">
        <v>0.0</v>
      </c>
      <c r="AP521" s="84">
        <v>0.0</v>
      </c>
      <c r="AQ521" s="84">
        <v>0.0</v>
      </c>
      <c r="AR521" s="84">
        <v>0.0</v>
      </c>
      <c r="AS521" s="84">
        <v>0.0</v>
      </c>
      <c r="AT521" s="84">
        <v>0.0</v>
      </c>
      <c r="AU521" s="84">
        <v>0.0</v>
      </c>
      <c r="AV521" s="84">
        <v>1.0</v>
      </c>
      <c r="AW521" s="84">
        <v>0.0</v>
      </c>
      <c r="AX521" s="84">
        <v>0.0</v>
      </c>
      <c r="AY521" s="84">
        <v>1.0</v>
      </c>
      <c r="AZ521" s="84">
        <v>0.0</v>
      </c>
    </row>
    <row r="522" ht="12.75" customHeight="1">
      <c r="A522" s="84">
        <v>520.0</v>
      </c>
      <c r="B522" s="84" t="s">
        <v>5771</v>
      </c>
      <c r="C522" s="84">
        <v>0.0</v>
      </c>
      <c r="D522" s="84" t="s">
        <v>4904</v>
      </c>
      <c r="E522" s="84">
        <v>0.0</v>
      </c>
      <c r="F522" s="84" t="s">
        <v>5172</v>
      </c>
      <c r="G522" s="84">
        <v>80.0</v>
      </c>
      <c r="H522" s="84">
        <v>100.0</v>
      </c>
      <c r="I522" s="84">
        <v>10.0</v>
      </c>
      <c r="J522" s="84"/>
      <c r="K522" s="84"/>
      <c r="L522" s="84"/>
      <c r="M522" s="84"/>
      <c r="N522" s="84">
        <v>0.0</v>
      </c>
      <c r="O522" s="84">
        <v>0.0</v>
      </c>
      <c r="P522" s="84">
        <v>0.0</v>
      </c>
      <c r="Q522" s="84"/>
      <c r="R522" s="84"/>
      <c r="S522" s="84"/>
      <c r="T522" s="84"/>
      <c r="U522" s="84">
        <v>326.0</v>
      </c>
      <c r="V522" s="84"/>
      <c r="W522" s="84"/>
      <c r="X522" s="84">
        <v>0.0</v>
      </c>
      <c r="Y522" s="84"/>
      <c r="Z522" s="84"/>
      <c r="AA522" s="84"/>
      <c r="AB522" s="84"/>
      <c r="AC522" s="84"/>
      <c r="AD522" s="84"/>
      <c r="AE522" s="84"/>
      <c r="AF522" s="84"/>
      <c r="AG522" s="84"/>
      <c r="AH522" s="84">
        <v>0.0</v>
      </c>
      <c r="AI522" s="84">
        <v>0.0</v>
      </c>
      <c r="AJ522" s="84">
        <v>0.0</v>
      </c>
      <c r="AK522" s="84">
        <v>1.0</v>
      </c>
      <c r="AL522" s="84">
        <v>0.0</v>
      </c>
      <c r="AM522" s="84">
        <v>0.0</v>
      </c>
      <c r="AN522" s="84">
        <v>1.0</v>
      </c>
      <c r="AO522" s="84">
        <v>0.0</v>
      </c>
      <c r="AP522" s="84">
        <v>0.0</v>
      </c>
      <c r="AQ522" s="84">
        <v>0.0</v>
      </c>
      <c r="AR522" s="84">
        <v>0.0</v>
      </c>
      <c r="AS522" s="84">
        <v>0.0</v>
      </c>
      <c r="AT522" s="84">
        <v>0.0</v>
      </c>
      <c r="AU522" s="84">
        <v>0.0</v>
      </c>
      <c r="AV522" s="84">
        <v>1.0</v>
      </c>
      <c r="AW522" s="84">
        <v>0.0</v>
      </c>
      <c r="AX522" s="84">
        <v>0.0</v>
      </c>
      <c r="AY522" s="84">
        <v>1.0</v>
      </c>
      <c r="AZ522" s="84">
        <v>0.0</v>
      </c>
    </row>
    <row r="523" ht="12.75" customHeight="1">
      <c r="A523" s="84">
        <v>521.0</v>
      </c>
      <c r="B523" s="84" t="s">
        <v>3523</v>
      </c>
      <c r="C523" s="84">
        <v>1.0</v>
      </c>
      <c r="D523" s="84" t="s">
        <v>4921</v>
      </c>
      <c r="E523" s="84">
        <v>0.0</v>
      </c>
      <c r="F523" s="84" t="s">
        <v>5172</v>
      </c>
      <c r="G523" s="84">
        <v>70.0</v>
      </c>
      <c r="H523" s="84">
        <v>100.0</v>
      </c>
      <c r="I523" s="84">
        <v>20.0</v>
      </c>
      <c r="N523" s="84">
        <v>0.0</v>
      </c>
      <c r="O523" s="84">
        <v>0.0</v>
      </c>
      <c r="P523" s="84">
        <v>0.0</v>
      </c>
      <c r="U523" s="84">
        <v>228.0</v>
      </c>
      <c r="X523" s="84">
        <v>0.0</v>
      </c>
      <c r="AH523" s="84">
        <v>0.0</v>
      </c>
      <c r="AI523" s="84">
        <v>0.0</v>
      </c>
      <c r="AJ523" s="84">
        <v>0.0</v>
      </c>
      <c r="AK523" s="84">
        <v>1.0</v>
      </c>
      <c r="AL523" s="84">
        <v>0.0</v>
      </c>
      <c r="AM523" s="84">
        <v>0.0</v>
      </c>
      <c r="AN523" s="84">
        <v>1.0</v>
      </c>
      <c r="AO523" s="84">
        <v>0.0</v>
      </c>
      <c r="AP523" s="84">
        <v>0.0</v>
      </c>
      <c r="AQ523" s="84">
        <v>0.0</v>
      </c>
      <c r="AR523" s="84">
        <v>0.0</v>
      </c>
      <c r="AS523" s="84">
        <v>0.0</v>
      </c>
      <c r="AT523" s="84">
        <v>0.0</v>
      </c>
      <c r="AU523" s="84">
        <v>0.0</v>
      </c>
      <c r="AV523" s="84">
        <v>0.0</v>
      </c>
      <c r="AW523" s="84">
        <v>0.0</v>
      </c>
      <c r="AX523" s="84">
        <v>0.0</v>
      </c>
      <c r="AY523" s="84">
        <v>1.0</v>
      </c>
      <c r="AZ523" s="84">
        <v>41.0</v>
      </c>
    </row>
    <row r="524" ht="12.75" customHeight="1">
      <c r="A524" s="84">
        <v>522.0</v>
      </c>
      <c r="B524" s="84" t="s">
        <v>2650</v>
      </c>
      <c r="C524" s="84">
        <v>1.0</v>
      </c>
      <c r="D524" s="84" t="s">
        <v>4910</v>
      </c>
      <c r="E524" s="84">
        <v>6.0</v>
      </c>
      <c r="F524" s="84" t="s">
        <v>5172</v>
      </c>
      <c r="G524" s="84">
        <v>50.0</v>
      </c>
      <c r="H524" s="84">
        <v>100.0</v>
      </c>
      <c r="I524" s="84">
        <v>20.0</v>
      </c>
      <c r="N524" s="84">
        <v>0.0</v>
      </c>
      <c r="O524" s="84">
        <v>0.0</v>
      </c>
      <c r="P524" s="84">
        <v>0.0</v>
      </c>
      <c r="U524" s="84">
        <v>71.0</v>
      </c>
      <c r="X524" s="84">
        <v>5.0</v>
      </c>
      <c r="Y524" s="84" t="s">
        <v>22</v>
      </c>
      <c r="Z524" s="84">
        <v>-1.0</v>
      </c>
      <c r="AA524" s="84">
        <v>100.0</v>
      </c>
      <c r="AH524" s="84">
        <v>0.0</v>
      </c>
      <c r="AI524" s="84">
        <v>0.0</v>
      </c>
      <c r="AJ524" s="84">
        <v>0.0</v>
      </c>
      <c r="AK524" s="84">
        <v>1.0</v>
      </c>
      <c r="AL524" s="84">
        <v>0.0</v>
      </c>
      <c r="AM524" s="84">
        <v>0.0</v>
      </c>
      <c r="AN524" s="84">
        <v>1.0</v>
      </c>
      <c r="AO524" s="84">
        <v>0.0</v>
      </c>
      <c r="AP524" s="84">
        <v>0.0</v>
      </c>
      <c r="AQ524" s="84">
        <v>0.0</v>
      </c>
      <c r="AR524" s="84">
        <v>0.0</v>
      </c>
      <c r="AS524" s="84">
        <v>0.0</v>
      </c>
      <c r="AT524" s="84">
        <v>0.0</v>
      </c>
      <c r="AU524" s="84">
        <v>0.0</v>
      </c>
      <c r="AV524" s="84">
        <v>0.0</v>
      </c>
      <c r="AW524" s="84">
        <v>0.0</v>
      </c>
      <c r="AX524" s="84">
        <v>0.0</v>
      </c>
      <c r="AY524" s="84">
        <v>1.0</v>
      </c>
      <c r="AZ524" s="84">
        <v>34.0</v>
      </c>
    </row>
    <row r="525" ht="12.75" customHeight="1">
      <c r="A525" s="84">
        <v>523.0</v>
      </c>
      <c r="B525" s="84" t="s">
        <v>2756</v>
      </c>
      <c r="C525" s="84">
        <v>1.0</v>
      </c>
      <c r="D525" s="84" t="s">
        <v>4922</v>
      </c>
      <c r="E525" s="84">
        <v>6.0</v>
      </c>
      <c r="F525" s="84" t="s">
        <v>5135</v>
      </c>
      <c r="G525" s="84">
        <v>60.0</v>
      </c>
      <c r="H525" s="84">
        <v>100.0</v>
      </c>
      <c r="I525" s="84">
        <v>20.0</v>
      </c>
      <c r="N525" s="84">
        <v>0.0</v>
      </c>
      <c r="O525" s="84">
        <v>0.0</v>
      </c>
      <c r="P525" s="84">
        <v>0.0</v>
      </c>
      <c r="U525" s="84">
        <v>70.0</v>
      </c>
      <c r="X525" s="84">
        <v>4.0</v>
      </c>
      <c r="Y525" s="84" t="s">
        <v>5073</v>
      </c>
      <c r="Z525" s="84">
        <v>-1.0</v>
      </c>
      <c r="AA525" s="84">
        <v>100.0</v>
      </c>
      <c r="AH525" s="84">
        <v>0.0</v>
      </c>
      <c r="AI525" s="84">
        <v>0.0</v>
      </c>
      <c r="AJ525" s="84">
        <v>0.0</v>
      </c>
      <c r="AK525" s="84">
        <v>1.0</v>
      </c>
      <c r="AL525" s="84">
        <v>0.0</v>
      </c>
      <c r="AM525" s="84">
        <v>0.0</v>
      </c>
      <c r="AN525" s="84">
        <v>1.0</v>
      </c>
      <c r="AO525" s="84">
        <v>0.0</v>
      </c>
      <c r="AP525" s="84">
        <v>0.0</v>
      </c>
      <c r="AQ525" s="84">
        <v>0.0</v>
      </c>
      <c r="AR525" s="84">
        <v>0.0</v>
      </c>
      <c r="AS525" s="84">
        <v>0.0</v>
      </c>
      <c r="AT525" s="84">
        <v>0.0</v>
      </c>
      <c r="AU525" s="84">
        <v>0.0</v>
      </c>
      <c r="AV525" s="84">
        <v>1.0</v>
      </c>
      <c r="AW525" s="84">
        <v>0.0</v>
      </c>
      <c r="AX525" s="84">
        <v>0.0</v>
      </c>
      <c r="AY525" s="84">
        <v>1.0</v>
      </c>
      <c r="AZ525" s="84">
        <v>38.0</v>
      </c>
    </row>
    <row r="526" ht="12.75" customHeight="1">
      <c r="A526" s="84">
        <v>524.0</v>
      </c>
      <c r="B526" s="84" t="s">
        <v>3700</v>
      </c>
      <c r="C526" s="84">
        <v>1.0</v>
      </c>
      <c r="D526" s="84" t="s">
        <v>4942</v>
      </c>
      <c r="E526" s="84">
        <v>0.0</v>
      </c>
      <c r="F526" s="84" t="s">
        <v>5172</v>
      </c>
      <c r="G526" s="84">
        <v>60.0</v>
      </c>
      <c r="H526" s="84">
        <v>90.0</v>
      </c>
      <c r="I526" s="84">
        <v>10.0</v>
      </c>
      <c r="N526" s="84">
        <v>0.0</v>
      </c>
      <c r="O526" s="84">
        <v>100.0</v>
      </c>
      <c r="P526" s="84">
        <v>0.0</v>
      </c>
      <c r="S526" s="84">
        <v>6.0</v>
      </c>
      <c r="U526" s="84">
        <v>288.0</v>
      </c>
      <c r="X526" s="84">
        <v>0.0</v>
      </c>
      <c r="AH526" s="84">
        <v>0.0</v>
      </c>
      <c r="AI526" s="84">
        <v>0.0</v>
      </c>
      <c r="AJ526" s="84">
        <v>0.0</v>
      </c>
      <c r="AK526" s="84">
        <v>1.0</v>
      </c>
      <c r="AL526" s="84">
        <v>0.0</v>
      </c>
      <c r="AM526" s="84">
        <v>0.0</v>
      </c>
      <c r="AN526" s="84">
        <v>1.0</v>
      </c>
      <c r="AO526" s="84">
        <v>0.0</v>
      </c>
      <c r="AP526" s="84">
        <v>0.0</v>
      </c>
      <c r="AQ526" s="84">
        <v>0.0</v>
      </c>
      <c r="AR526" s="84">
        <v>0.0</v>
      </c>
      <c r="AS526" s="84">
        <v>0.0</v>
      </c>
      <c r="AT526" s="84">
        <v>0.0</v>
      </c>
      <c r="AU526" s="84">
        <v>0.0</v>
      </c>
      <c r="AV526" s="84">
        <v>0.0</v>
      </c>
      <c r="AW526" s="84">
        <v>0.0</v>
      </c>
      <c r="AX526" s="84">
        <v>0.0</v>
      </c>
      <c r="AY526" s="84">
        <v>1.0</v>
      </c>
      <c r="AZ526" s="84">
        <v>40.0</v>
      </c>
    </row>
    <row r="527" ht="12.75" customHeight="1">
      <c r="A527" s="84">
        <v>525.0</v>
      </c>
      <c r="B527" s="84" t="s">
        <v>5772</v>
      </c>
      <c r="C527" s="84">
        <v>1.0</v>
      </c>
      <c r="D527" s="84" t="s">
        <v>4956</v>
      </c>
      <c r="E527" s="84">
        <v>0.0</v>
      </c>
      <c r="F527" s="84" t="s">
        <v>5135</v>
      </c>
      <c r="G527" s="84">
        <v>60.0</v>
      </c>
      <c r="H527" s="84">
        <v>90.0</v>
      </c>
      <c r="I527" s="84">
        <v>10.0</v>
      </c>
      <c r="J527" s="84">
        <v>-6.0</v>
      </c>
      <c r="N527" s="84">
        <v>0.0</v>
      </c>
      <c r="O527" s="84">
        <v>0.0</v>
      </c>
      <c r="P527" s="84">
        <v>0.0</v>
      </c>
      <c r="U527" s="84">
        <v>313.0</v>
      </c>
      <c r="X527" s="84">
        <v>0.0</v>
      </c>
      <c r="AH527" s="84">
        <v>1.0</v>
      </c>
      <c r="AI527" s="84">
        <v>0.0</v>
      </c>
      <c r="AJ527" s="84">
        <v>0.0</v>
      </c>
      <c r="AK527" s="84">
        <v>1.0</v>
      </c>
      <c r="AL527" s="84">
        <v>0.0</v>
      </c>
      <c r="AM527" s="84">
        <v>0.0</v>
      </c>
      <c r="AN527" s="84">
        <v>1.0</v>
      </c>
      <c r="AO527" s="84">
        <v>0.0</v>
      </c>
      <c r="AP527" s="84">
        <v>0.0</v>
      </c>
      <c r="AQ527" s="84">
        <v>0.0</v>
      </c>
      <c r="AR527" s="84">
        <v>0.0</v>
      </c>
      <c r="AS527" s="84">
        <v>0.0</v>
      </c>
      <c r="AT527" s="84">
        <v>0.0</v>
      </c>
      <c r="AU527" s="84">
        <v>0.0</v>
      </c>
      <c r="AV527" s="84">
        <v>0.0</v>
      </c>
      <c r="AW527" s="84">
        <v>0.0</v>
      </c>
      <c r="AX527" s="84">
        <v>0.0</v>
      </c>
      <c r="AY527" s="84">
        <v>1.0</v>
      </c>
      <c r="AZ527" s="84">
        <v>37.0</v>
      </c>
    </row>
    <row r="528" ht="12.75" customHeight="1">
      <c r="A528" s="84">
        <v>526.0</v>
      </c>
      <c r="B528" s="84" t="s">
        <v>5773</v>
      </c>
      <c r="C528" s="84">
        <v>1.0</v>
      </c>
      <c r="D528" s="84" t="s">
        <v>4916</v>
      </c>
      <c r="E528" s="84">
        <v>2.0</v>
      </c>
      <c r="F528" s="84" t="s">
        <v>5131</v>
      </c>
      <c r="G528" s="84">
        <v>0.0</v>
      </c>
      <c r="H528" s="84">
        <v>101.0</v>
      </c>
      <c r="I528" s="84">
        <v>30.0</v>
      </c>
      <c r="N528" s="84">
        <v>0.0</v>
      </c>
      <c r="O528" s="84">
        <v>0.0</v>
      </c>
      <c r="P528" s="84">
        <v>0.0</v>
      </c>
      <c r="U528" s="84">
        <v>327.0</v>
      </c>
      <c r="X528" s="84">
        <v>7.0</v>
      </c>
      <c r="Y528" s="84" t="s">
        <v>20</v>
      </c>
      <c r="Z528" s="84">
        <v>1.0</v>
      </c>
      <c r="AB528" s="84" t="s">
        <v>22</v>
      </c>
      <c r="AC528" s="84">
        <v>1.0</v>
      </c>
      <c r="AH528" s="84">
        <v>0.0</v>
      </c>
      <c r="AI528" s="84">
        <v>0.0</v>
      </c>
      <c r="AJ528" s="84">
        <v>0.0</v>
      </c>
      <c r="AK528" s="84">
        <v>0.0</v>
      </c>
      <c r="AL528" s="84">
        <v>0.0</v>
      </c>
      <c r="AM528" s="84">
        <v>1.0</v>
      </c>
      <c r="AN528" s="84">
        <v>0.0</v>
      </c>
      <c r="AO528" s="84">
        <v>0.0</v>
      </c>
      <c r="AP528" s="84">
        <v>0.0</v>
      </c>
      <c r="AQ528" s="84">
        <v>0.0</v>
      </c>
      <c r="AR528" s="84">
        <v>0.0</v>
      </c>
      <c r="AS528" s="84">
        <v>0.0</v>
      </c>
      <c r="AT528" s="84">
        <v>0.0</v>
      </c>
      <c r="AU528" s="84">
        <v>0.0</v>
      </c>
      <c r="AV528" s="84">
        <v>0.0</v>
      </c>
      <c r="AW528" s="84">
        <v>0.0</v>
      </c>
      <c r="AX528" s="84">
        <v>0.0</v>
      </c>
      <c r="AY528" s="84">
        <v>1.0</v>
      </c>
      <c r="AZ528" s="84">
        <v>9.0</v>
      </c>
    </row>
    <row r="529" ht="12.75" customHeight="1">
      <c r="A529" s="84">
        <v>527.0</v>
      </c>
      <c r="B529" s="84" t="s">
        <v>5774</v>
      </c>
      <c r="C529" s="84">
        <v>0.0</v>
      </c>
      <c r="D529" s="84" t="s">
        <v>4921</v>
      </c>
      <c r="E529" s="84">
        <v>6.0</v>
      </c>
      <c r="F529" s="84" t="s">
        <v>5172</v>
      </c>
      <c r="G529" s="84">
        <v>55.0</v>
      </c>
      <c r="H529" s="84">
        <v>95.0</v>
      </c>
      <c r="I529" s="84">
        <v>15.0</v>
      </c>
      <c r="J529" s="84"/>
      <c r="K529" s="84"/>
      <c r="L529" s="84"/>
      <c r="M529" s="84"/>
      <c r="N529" s="84">
        <v>0.0</v>
      </c>
      <c r="O529" s="84">
        <v>0.0</v>
      </c>
      <c r="P529" s="84">
        <v>0.0</v>
      </c>
      <c r="Q529" s="84"/>
      <c r="R529" s="84"/>
      <c r="S529" s="84"/>
      <c r="T529" s="84"/>
      <c r="U529" s="84">
        <v>20.0</v>
      </c>
      <c r="V529" s="84"/>
      <c r="W529" s="84"/>
      <c r="X529" s="84">
        <v>5.0</v>
      </c>
      <c r="Y529" s="84" t="s">
        <v>5073</v>
      </c>
      <c r="Z529" s="84">
        <v>-1.0</v>
      </c>
      <c r="AA529" s="84">
        <v>100.0</v>
      </c>
      <c r="AB529" s="84"/>
      <c r="AC529" s="84"/>
      <c r="AD529" s="84"/>
      <c r="AE529" s="84"/>
      <c r="AF529" s="84"/>
      <c r="AG529" s="84"/>
      <c r="AH529" s="84">
        <v>0.0</v>
      </c>
      <c r="AI529" s="84">
        <v>0.0</v>
      </c>
      <c r="AJ529" s="84">
        <v>0.0</v>
      </c>
      <c r="AK529" s="84">
        <v>1.0</v>
      </c>
      <c r="AL529" s="84">
        <v>0.0</v>
      </c>
      <c r="AM529" s="84">
        <v>0.0</v>
      </c>
      <c r="AN529" s="84">
        <v>1.0</v>
      </c>
      <c r="AO529" s="84">
        <v>0.0</v>
      </c>
      <c r="AP529" s="84">
        <v>0.0</v>
      </c>
      <c r="AQ529" s="84">
        <v>0.0</v>
      </c>
      <c r="AR529" s="84">
        <v>0.0</v>
      </c>
      <c r="AS529" s="84">
        <v>0.0</v>
      </c>
      <c r="AT529" s="84">
        <v>0.0</v>
      </c>
      <c r="AU529" s="84">
        <v>0.0</v>
      </c>
      <c r="AV529" s="84">
        <v>0.0</v>
      </c>
      <c r="AW529" s="84">
        <v>0.0</v>
      </c>
      <c r="AX529" s="84">
        <v>0.0</v>
      </c>
      <c r="AY529" s="84">
        <v>1.0</v>
      </c>
      <c r="AZ529" s="84">
        <v>0.0</v>
      </c>
    </row>
    <row r="530" ht="12.75" customHeight="1">
      <c r="A530" s="84">
        <v>528.0</v>
      </c>
      <c r="B530" s="84" t="s">
        <v>4056</v>
      </c>
      <c r="C530" s="84">
        <v>1.0</v>
      </c>
      <c r="D530" s="84" t="s">
        <v>4921</v>
      </c>
      <c r="E530" s="84">
        <v>0.0</v>
      </c>
      <c r="F530" s="84" t="s">
        <v>5135</v>
      </c>
      <c r="G530" s="84">
        <v>90.0</v>
      </c>
      <c r="H530" s="84">
        <v>100.0</v>
      </c>
      <c r="I530" s="84">
        <v>15.0</v>
      </c>
      <c r="N530" s="84">
        <v>0.0</v>
      </c>
      <c r="O530" s="84">
        <v>0.0</v>
      </c>
      <c r="P530" s="84">
        <v>0.0</v>
      </c>
      <c r="U530" s="84">
        <v>48.0</v>
      </c>
      <c r="V530" s="84">
        <v>-25.0</v>
      </c>
      <c r="X530" s="84">
        <v>0.0</v>
      </c>
      <c r="AH530" s="84">
        <v>1.0</v>
      </c>
      <c r="AI530" s="84">
        <v>0.0</v>
      </c>
      <c r="AJ530" s="84">
        <v>0.0</v>
      </c>
      <c r="AK530" s="84">
        <v>1.0</v>
      </c>
      <c r="AL530" s="84">
        <v>0.0</v>
      </c>
      <c r="AM530" s="84">
        <v>0.0</v>
      </c>
      <c r="AN530" s="84">
        <v>1.0</v>
      </c>
      <c r="AO530" s="84">
        <v>0.0</v>
      </c>
      <c r="AP530" s="84">
        <v>0.0</v>
      </c>
      <c r="AQ530" s="84">
        <v>0.0</v>
      </c>
      <c r="AR530" s="84">
        <v>0.0</v>
      </c>
      <c r="AS530" s="84">
        <v>0.0</v>
      </c>
      <c r="AT530" s="84">
        <v>0.0</v>
      </c>
      <c r="AU530" s="84">
        <v>0.0</v>
      </c>
      <c r="AV530" s="84">
        <v>0.0</v>
      </c>
      <c r="AW530" s="84">
        <v>0.0</v>
      </c>
      <c r="AX530" s="84">
        <v>0.0</v>
      </c>
      <c r="AY530" s="84">
        <v>1.0</v>
      </c>
      <c r="AZ530" s="84">
        <v>42.0</v>
      </c>
    </row>
    <row r="531" ht="12.75" customHeight="1">
      <c r="A531" s="84">
        <v>529.0</v>
      </c>
      <c r="B531" s="84" t="s">
        <v>5775</v>
      </c>
      <c r="C531" s="84">
        <v>1.0</v>
      </c>
      <c r="D531" s="84" t="s">
        <v>4922</v>
      </c>
      <c r="E531" s="84">
        <v>0.0</v>
      </c>
      <c r="F531" s="84" t="s">
        <v>5135</v>
      </c>
      <c r="G531" s="84">
        <v>80.0</v>
      </c>
      <c r="H531" s="84">
        <v>95.0</v>
      </c>
      <c r="I531" s="84">
        <v>10.0</v>
      </c>
      <c r="N531" s="84">
        <v>0.0</v>
      </c>
      <c r="O531" s="84">
        <v>0.0</v>
      </c>
      <c r="P531" s="84">
        <v>0.0</v>
      </c>
      <c r="S531" s="84">
        <v>1.0</v>
      </c>
      <c r="U531" s="84">
        <v>43.0</v>
      </c>
      <c r="X531" s="84">
        <v>0.0</v>
      </c>
      <c r="AH531" s="84">
        <v>1.0</v>
      </c>
      <c r="AI531" s="84">
        <v>0.0</v>
      </c>
      <c r="AJ531" s="84">
        <v>0.0</v>
      </c>
      <c r="AK531" s="84">
        <v>1.0</v>
      </c>
      <c r="AL531" s="84">
        <v>0.0</v>
      </c>
      <c r="AM531" s="84">
        <v>0.0</v>
      </c>
      <c r="AN531" s="84">
        <v>1.0</v>
      </c>
      <c r="AO531" s="84">
        <v>0.0</v>
      </c>
      <c r="AP531" s="84">
        <v>0.0</v>
      </c>
      <c r="AQ531" s="84">
        <v>0.0</v>
      </c>
      <c r="AR531" s="84">
        <v>0.0</v>
      </c>
      <c r="AS531" s="84">
        <v>0.0</v>
      </c>
      <c r="AT531" s="84">
        <v>0.0</v>
      </c>
      <c r="AU531" s="84">
        <v>0.0</v>
      </c>
      <c r="AV531" s="84">
        <v>0.0</v>
      </c>
      <c r="AW531" s="84">
        <v>0.0</v>
      </c>
      <c r="AX531" s="84">
        <v>0.0</v>
      </c>
      <c r="AY531" s="84">
        <v>1.0</v>
      </c>
      <c r="AZ531" s="84">
        <v>37.0</v>
      </c>
    </row>
    <row r="532" ht="12.75" customHeight="1">
      <c r="A532" s="84">
        <v>530.0</v>
      </c>
      <c r="B532" s="84" t="s">
        <v>4172</v>
      </c>
      <c r="C532" s="84">
        <v>1.0</v>
      </c>
      <c r="D532" s="84" t="s">
        <v>4956</v>
      </c>
      <c r="E532" s="84">
        <v>0.0</v>
      </c>
      <c r="F532" s="84" t="s">
        <v>5135</v>
      </c>
      <c r="G532" s="84">
        <v>40.0</v>
      </c>
      <c r="H532" s="84">
        <v>90.0</v>
      </c>
      <c r="I532" s="84">
        <v>15.0</v>
      </c>
      <c r="K532" s="84">
        <v>2.0</v>
      </c>
      <c r="L532" s="84">
        <v>2.0</v>
      </c>
      <c r="N532" s="84">
        <v>0.0</v>
      </c>
      <c r="O532" s="84">
        <v>0.0</v>
      </c>
      <c r="P532" s="84">
        <v>0.0</v>
      </c>
      <c r="U532" s="84">
        <v>44.0</v>
      </c>
      <c r="X532" s="84">
        <v>0.0</v>
      </c>
      <c r="AH532" s="84">
        <v>1.0</v>
      </c>
      <c r="AI532" s="84">
        <v>0.0</v>
      </c>
      <c r="AJ532" s="84">
        <v>0.0</v>
      </c>
      <c r="AK532" s="84">
        <v>1.0</v>
      </c>
      <c r="AL532" s="84">
        <v>0.0</v>
      </c>
      <c r="AM532" s="84">
        <v>0.0</v>
      </c>
      <c r="AN532" s="84">
        <v>1.0</v>
      </c>
      <c r="AO532" s="84">
        <v>0.0</v>
      </c>
      <c r="AP532" s="84">
        <v>0.0</v>
      </c>
      <c r="AQ532" s="84">
        <v>0.0</v>
      </c>
      <c r="AR532" s="84">
        <v>0.0</v>
      </c>
      <c r="AS532" s="84">
        <v>0.0</v>
      </c>
      <c r="AT532" s="84">
        <v>0.0</v>
      </c>
      <c r="AU532" s="84">
        <v>0.0</v>
      </c>
      <c r="AV532" s="84">
        <v>0.0</v>
      </c>
      <c r="AW532" s="84">
        <v>0.0</v>
      </c>
      <c r="AX532" s="84">
        <v>0.0</v>
      </c>
      <c r="AY532" s="84">
        <v>1.0</v>
      </c>
      <c r="AZ532" s="84">
        <v>24.0</v>
      </c>
    </row>
    <row r="533" ht="12.75" customHeight="1">
      <c r="A533" s="84">
        <v>531.0</v>
      </c>
      <c r="B533" s="84" t="s">
        <v>5776</v>
      </c>
      <c r="C533" s="84">
        <v>0.0</v>
      </c>
      <c r="D533" s="84" t="s">
        <v>2659</v>
      </c>
      <c r="E533" s="84">
        <v>0.0</v>
      </c>
      <c r="F533" s="84" t="s">
        <v>5135</v>
      </c>
      <c r="G533" s="84">
        <v>60.0</v>
      </c>
      <c r="H533" s="84">
        <v>100.0</v>
      </c>
      <c r="I533" s="84">
        <v>25.0</v>
      </c>
      <c r="J533" s="84"/>
      <c r="K533" s="84"/>
      <c r="L533" s="84"/>
      <c r="M533" s="84"/>
      <c r="N533" s="84">
        <v>0.0</v>
      </c>
      <c r="O533" s="84">
        <v>0.0</v>
      </c>
      <c r="P533" s="84">
        <v>0.0</v>
      </c>
      <c r="Q533" s="84"/>
      <c r="R533" s="84"/>
      <c r="S533" s="84"/>
      <c r="T533" s="84">
        <v>30.0</v>
      </c>
      <c r="U533" s="84">
        <v>31.0</v>
      </c>
      <c r="V533" s="84"/>
      <c r="W533" s="84"/>
      <c r="X533" s="84">
        <v>0.0</v>
      </c>
      <c r="Y533" s="84"/>
      <c r="Z533" s="84"/>
      <c r="AA533" s="84"/>
      <c r="AB533" s="84"/>
      <c r="AC533" s="84"/>
      <c r="AD533" s="84"/>
      <c r="AE533" s="84"/>
      <c r="AF533" s="84"/>
      <c r="AG533" s="84"/>
      <c r="AH533" s="84">
        <v>1.0</v>
      </c>
      <c r="AI533" s="84">
        <v>0.0</v>
      </c>
      <c r="AJ533" s="84">
        <v>0.0</v>
      </c>
      <c r="AK533" s="84">
        <v>1.0</v>
      </c>
      <c r="AL533" s="84">
        <v>0.0</v>
      </c>
      <c r="AM533" s="84">
        <v>0.0</v>
      </c>
      <c r="AN533" s="84">
        <v>1.0</v>
      </c>
      <c r="AO533" s="84">
        <v>0.0</v>
      </c>
      <c r="AP533" s="84">
        <v>0.0</v>
      </c>
      <c r="AQ533" s="84">
        <v>0.0</v>
      </c>
      <c r="AR533" s="84">
        <v>0.0</v>
      </c>
      <c r="AS533" s="84">
        <v>0.0</v>
      </c>
      <c r="AT533" s="84">
        <v>0.0</v>
      </c>
      <c r="AU533" s="84">
        <v>0.0</v>
      </c>
      <c r="AV533" s="84">
        <v>0.0</v>
      </c>
      <c r="AW533" s="84">
        <v>0.0</v>
      </c>
      <c r="AX533" s="84">
        <v>0.0</v>
      </c>
      <c r="AY533" s="84">
        <v>1.0</v>
      </c>
      <c r="AZ533" s="84">
        <v>0.0</v>
      </c>
    </row>
    <row r="534" ht="12.75" customHeight="1">
      <c r="A534" s="84">
        <v>532.0</v>
      </c>
      <c r="B534" s="84" t="s">
        <v>5777</v>
      </c>
      <c r="C534" s="84">
        <v>0.0</v>
      </c>
      <c r="D534" s="84" t="s">
        <v>4904</v>
      </c>
      <c r="E534" s="84">
        <v>8.0</v>
      </c>
      <c r="F534" s="84" t="s">
        <v>5135</v>
      </c>
      <c r="G534" s="84">
        <v>75.0</v>
      </c>
      <c r="H534" s="84">
        <v>100.0</v>
      </c>
      <c r="I534" s="84">
        <v>10.0</v>
      </c>
      <c r="J534" s="84"/>
      <c r="K534" s="84"/>
      <c r="L534" s="84"/>
      <c r="M534" s="84"/>
      <c r="N534" s="84">
        <v>0.0</v>
      </c>
      <c r="O534" s="84">
        <v>0.0</v>
      </c>
      <c r="P534" s="84">
        <v>0.0</v>
      </c>
      <c r="Q534" s="84"/>
      <c r="R534" s="84"/>
      <c r="S534" s="84"/>
      <c r="T534" s="84"/>
      <c r="U534" s="84">
        <v>3.0</v>
      </c>
      <c r="V534" s="84">
        <v>50.0</v>
      </c>
      <c r="W534" s="84"/>
      <c r="X534" s="84">
        <v>0.0</v>
      </c>
      <c r="Y534" s="84"/>
      <c r="Z534" s="84"/>
      <c r="AA534" s="84"/>
      <c r="AB534" s="84"/>
      <c r="AC534" s="84"/>
      <c r="AD534" s="84"/>
      <c r="AE534" s="84"/>
      <c r="AF534" s="84"/>
      <c r="AG534" s="84"/>
      <c r="AH534" s="84">
        <v>1.0</v>
      </c>
      <c r="AI534" s="84">
        <v>0.0</v>
      </c>
      <c r="AJ534" s="84">
        <v>0.0</v>
      </c>
      <c r="AK534" s="84">
        <v>1.0</v>
      </c>
      <c r="AL534" s="84">
        <v>0.0</v>
      </c>
      <c r="AM534" s="84">
        <v>0.0</v>
      </c>
      <c r="AN534" s="84">
        <v>1.0</v>
      </c>
      <c r="AO534" s="84">
        <v>0.0</v>
      </c>
      <c r="AP534" s="84">
        <v>0.0</v>
      </c>
      <c r="AQ534" s="84">
        <v>0.0</v>
      </c>
      <c r="AR534" s="84">
        <v>0.0</v>
      </c>
      <c r="AS534" s="84">
        <v>0.0</v>
      </c>
      <c r="AT534" s="84">
        <v>1.0</v>
      </c>
      <c r="AU534" s="84">
        <v>0.0</v>
      </c>
      <c r="AV534" s="84">
        <v>0.0</v>
      </c>
      <c r="AW534" s="84">
        <v>0.0</v>
      </c>
      <c r="AX534" s="84">
        <v>0.0</v>
      </c>
      <c r="AY534" s="84">
        <v>1.0</v>
      </c>
      <c r="AZ534" s="84">
        <v>0.0</v>
      </c>
    </row>
    <row r="535" ht="12.75" customHeight="1">
      <c r="A535" s="84">
        <v>533.0</v>
      </c>
      <c r="B535" s="84" t="s">
        <v>5778</v>
      </c>
      <c r="C535" s="84">
        <v>0.0</v>
      </c>
      <c r="D535" s="84" t="s">
        <v>4935</v>
      </c>
      <c r="E535" s="84">
        <v>0.0</v>
      </c>
      <c r="F535" s="84" t="s">
        <v>5135</v>
      </c>
      <c r="G535" s="84">
        <v>90.0</v>
      </c>
      <c r="H535" s="84">
        <v>100.0</v>
      </c>
      <c r="I535" s="84">
        <v>15.0</v>
      </c>
      <c r="J535" s="84"/>
      <c r="K535" s="84"/>
      <c r="L535" s="84"/>
      <c r="M535" s="84"/>
      <c r="N535" s="84">
        <v>0.0</v>
      </c>
      <c r="O535" s="84">
        <v>0.0</v>
      </c>
      <c r="P535" s="84">
        <v>0.0</v>
      </c>
      <c r="Q535" s="84"/>
      <c r="R535" s="84"/>
      <c r="S535" s="84"/>
      <c r="T535" s="84"/>
      <c r="U535" s="84">
        <v>303.0</v>
      </c>
      <c r="V535" s="84"/>
      <c r="W535" s="84"/>
      <c r="X535" s="84">
        <v>0.0</v>
      </c>
      <c r="Y535" s="84"/>
      <c r="Z535" s="84"/>
      <c r="AA535" s="84"/>
      <c r="AB535" s="84"/>
      <c r="AC535" s="84"/>
      <c r="AD535" s="84"/>
      <c r="AE535" s="84"/>
      <c r="AF535" s="84"/>
      <c r="AG535" s="84"/>
      <c r="AH535" s="84">
        <v>1.0</v>
      </c>
      <c r="AI535" s="84">
        <v>0.0</v>
      </c>
      <c r="AJ535" s="84">
        <v>0.0</v>
      </c>
      <c r="AK535" s="84">
        <v>1.0</v>
      </c>
      <c r="AL535" s="84">
        <v>0.0</v>
      </c>
      <c r="AM535" s="84">
        <v>0.0</v>
      </c>
      <c r="AN535" s="84">
        <v>1.0</v>
      </c>
      <c r="AO535" s="84">
        <v>0.0</v>
      </c>
      <c r="AP535" s="84">
        <v>0.0</v>
      </c>
      <c r="AQ535" s="84">
        <v>0.0</v>
      </c>
      <c r="AR535" s="84">
        <v>0.0</v>
      </c>
      <c r="AS535" s="84">
        <v>0.0</v>
      </c>
      <c r="AT535" s="84">
        <v>0.0</v>
      </c>
      <c r="AU535" s="84">
        <v>0.0</v>
      </c>
      <c r="AV535" s="84">
        <v>0.0</v>
      </c>
      <c r="AW535" s="84">
        <v>0.0</v>
      </c>
      <c r="AX535" s="84">
        <v>0.0</v>
      </c>
      <c r="AY535" s="84">
        <v>1.0</v>
      </c>
      <c r="AZ535" s="84">
        <v>0.0</v>
      </c>
    </row>
    <row r="536" ht="12.75" customHeight="1">
      <c r="A536" s="84">
        <v>534.0</v>
      </c>
      <c r="B536" s="84" t="s">
        <v>3584</v>
      </c>
      <c r="C536" s="84">
        <v>1.0</v>
      </c>
      <c r="D536" s="84" t="s">
        <v>4908</v>
      </c>
      <c r="E536" s="84">
        <v>6.0</v>
      </c>
      <c r="F536" s="84" t="s">
        <v>5135</v>
      </c>
      <c r="G536" s="84">
        <v>75.0</v>
      </c>
      <c r="H536" s="84">
        <v>95.0</v>
      </c>
      <c r="I536" s="84">
        <v>10.0</v>
      </c>
      <c r="N536" s="84">
        <v>0.0</v>
      </c>
      <c r="O536" s="84">
        <v>0.0</v>
      </c>
      <c r="P536" s="84">
        <v>0.0</v>
      </c>
      <c r="U536" s="84">
        <v>69.0</v>
      </c>
      <c r="X536" s="84">
        <v>0.0</v>
      </c>
      <c r="Y536" s="84" t="s">
        <v>21</v>
      </c>
      <c r="Z536" s="84">
        <v>-1.0</v>
      </c>
      <c r="AA536" s="84">
        <v>50.0</v>
      </c>
      <c r="AH536" s="84">
        <v>1.0</v>
      </c>
      <c r="AI536" s="84">
        <v>0.0</v>
      </c>
      <c r="AJ536" s="84">
        <v>0.0</v>
      </c>
      <c r="AK536" s="84">
        <v>1.0</v>
      </c>
      <c r="AL536" s="84">
        <v>0.0</v>
      </c>
      <c r="AM536" s="84">
        <v>0.0</v>
      </c>
      <c r="AN536" s="84">
        <v>1.0</v>
      </c>
      <c r="AO536" s="84">
        <v>0.0</v>
      </c>
      <c r="AP536" s="84">
        <v>0.0</v>
      </c>
      <c r="AQ536" s="84">
        <v>0.0</v>
      </c>
      <c r="AR536" s="84">
        <v>0.0</v>
      </c>
      <c r="AS536" s="84">
        <v>0.0</v>
      </c>
      <c r="AT536" s="84">
        <v>0.0</v>
      </c>
      <c r="AU536" s="84">
        <v>0.0</v>
      </c>
      <c r="AV536" s="84">
        <v>0.0</v>
      </c>
      <c r="AW536" s="84">
        <v>0.0</v>
      </c>
      <c r="AX536" s="84">
        <v>0.0</v>
      </c>
      <c r="AY536" s="84">
        <v>1.0</v>
      </c>
      <c r="AZ536" s="84">
        <v>38.0</v>
      </c>
    </row>
    <row r="537" ht="12.75" customHeight="1">
      <c r="A537" s="84">
        <v>535.0</v>
      </c>
      <c r="B537" s="84" t="s">
        <v>5779</v>
      </c>
      <c r="C537" s="84">
        <v>0.0</v>
      </c>
      <c r="D537" s="84" t="s">
        <v>4906</v>
      </c>
      <c r="E537" s="84">
        <v>0.0</v>
      </c>
      <c r="F537" s="84" t="s">
        <v>5135</v>
      </c>
      <c r="G537" s="84">
        <v>1.0</v>
      </c>
      <c r="H537" s="84">
        <v>100.0</v>
      </c>
      <c r="I537" s="84">
        <v>10.0</v>
      </c>
      <c r="J537" s="84"/>
      <c r="K537" s="84"/>
      <c r="L537" s="84"/>
      <c r="M537" s="84"/>
      <c r="N537" s="84">
        <v>0.0</v>
      </c>
      <c r="O537" s="84">
        <v>0.0</v>
      </c>
      <c r="P537" s="84">
        <v>0.0</v>
      </c>
      <c r="Q537" s="84"/>
      <c r="R537" s="84"/>
      <c r="S537" s="84"/>
      <c r="T537" s="84"/>
      <c r="U537" s="84">
        <v>291.0</v>
      </c>
      <c r="V537" s="84"/>
      <c r="W537" s="84"/>
      <c r="X537" s="84">
        <v>0.0</v>
      </c>
      <c r="Y537" s="84"/>
      <c r="Z537" s="84"/>
      <c r="AA537" s="84"/>
      <c r="AB537" s="84"/>
      <c r="AC537" s="84"/>
      <c r="AD537" s="84"/>
      <c r="AE537" s="84"/>
      <c r="AF537" s="84"/>
      <c r="AG537" s="84"/>
      <c r="AH537" s="84">
        <v>1.0</v>
      </c>
      <c r="AI537" s="84">
        <v>0.0</v>
      </c>
      <c r="AJ537" s="84">
        <v>0.0</v>
      </c>
      <c r="AK537" s="84">
        <v>1.0</v>
      </c>
      <c r="AL537" s="84">
        <v>0.0</v>
      </c>
      <c r="AM537" s="84">
        <v>0.0</v>
      </c>
      <c r="AN537" s="84">
        <v>1.0</v>
      </c>
      <c r="AO537" s="84">
        <v>0.0</v>
      </c>
      <c r="AP537" s="84">
        <v>0.0</v>
      </c>
      <c r="AQ537" s="84">
        <v>0.0</v>
      </c>
      <c r="AR537" s="84">
        <v>0.0</v>
      </c>
      <c r="AS537" s="84">
        <v>0.0</v>
      </c>
      <c r="AT537" s="84">
        <v>0.0</v>
      </c>
      <c r="AU537" s="84">
        <v>0.0</v>
      </c>
      <c r="AV537" s="84">
        <v>1.0</v>
      </c>
      <c r="AW537" s="84">
        <v>0.0</v>
      </c>
      <c r="AX537" s="84">
        <v>0.0</v>
      </c>
      <c r="AY537" s="84">
        <v>1.0</v>
      </c>
      <c r="AZ537" s="84">
        <v>0.0</v>
      </c>
    </row>
    <row r="538" ht="12.75" customHeight="1">
      <c r="A538" s="84">
        <v>536.0</v>
      </c>
      <c r="B538" s="84" t="s">
        <v>5780</v>
      </c>
      <c r="C538" s="84">
        <v>1.0</v>
      </c>
      <c r="D538" s="84" t="s">
        <v>4904</v>
      </c>
      <c r="E538" s="84">
        <v>6.0</v>
      </c>
      <c r="F538" s="84" t="s">
        <v>5172</v>
      </c>
      <c r="G538" s="84">
        <v>65.0</v>
      </c>
      <c r="H538" s="84">
        <v>90.0</v>
      </c>
      <c r="I538" s="84">
        <v>10.0</v>
      </c>
      <c r="N538" s="84">
        <v>0.0</v>
      </c>
      <c r="O538" s="84">
        <v>0.0</v>
      </c>
      <c r="P538" s="84">
        <v>0.0</v>
      </c>
      <c r="U538" s="84">
        <v>73.0</v>
      </c>
      <c r="X538" s="84">
        <v>0.0</v>
      </c>
      <c r="Y538" s="84" t="s">
        <v>5092</v>
      </c>
      <c r="Z538" s="84">
        <v>-1.0</v>
      </c>
      <c r="AA538" s="84">
        <v>50.0</v>
      </c>
      <c r="AH538" s="84">
        <v>0.0</v>
      </c>
      <c r="AI538" s="84">
        <v>0.0</v>
      </c>
      <c r="AJ538" s="84">
        <v>0.0</v>
      </c>
      <c r="AK538" s="84">
        <v>1.0</v>
      </c>
      <c r="AL538" s="84">
        <v>0.0</v>
      </c>
      <c r="AM538" s="84">
        <v>0.0</v>
      </c>
      <c r="AN538" s="84">
        <v>1.0</v>
      </c>
      <c r="AO538" s="84">
        <v>0.0</v>
      </c>
      <c r="AP538" s="84">
        <v>0.0</v>
      </c>
      <c r="AQ538" s="84">
        <v>0.0</v>
      </c>
      <c r="AR538" s="84">
        <v>0.0</v>
      </c>
      <c r="AS538" s="84">
        <v>0.0</v>
      </c>
      <c r="AT538" s="84">
        <v>0.0</v>
      </c>
      <c r="AU538" s="84">
        <v>0.0</v>
      </c>
      <c r="AV538" s="84">
        <v>0.0</v>
      </c>
      <c r="AW538" s="84">
        <v>0.0</v>
      </c>
      <c r="AX538" s="84">
        <v>0.0</v>
      </c>
      <c r="AY538" s="84">
        <v>1.0</v>
      </c>
      <c r="AZ538" s="84">
        <v>40.0</v>
      </c>
    </row>
    <row r="539" ht="12.75" customHeight="1">
      <c r="A539" s="84">
        <v>537.0</v>
      </c>
      <c r="B539" s="84" t="s">
        <v>5781</v>
      </c>
      <c r="C539" s="84">
        <v>0.0</v>
      </c>
      <c r="D539" s="84" t="s">
        <v>4910</v>
      </c>
      <c r="E539" s="84">
        <v>0.0</v>
      </c>
      <c r="F539" s="84" t="s">
        <v>5135</v>
      </c>
      <c r="G539" s="84">
        <v>65.0</v>
      </c>
      <c r="H539" s="84">
        <v>100.0</v>
      </c>
      <c r="I539" s="84">
        <v>20.0</v>
      </c>
      <c r="J539" s="84"/>
      <c r="K539" s="84"/>
      <c r="L539" s="84"/>
      <c r="M539" s="84"/>
      <c r="N539" s="84">
        <v>0.0</v>
      </c>
      <c r="O539" s="84">
        <v>0.0</v>
      </c>
      <c r="P539" s="84">
        <v>0.0</v>
      </c>
      <c r="Q539" s="84"/>
      <c r="R539" s="84"/>
      <c r="S539" s="84"/>
      <c r="T539" s="84">
        <v>30.0</v>
      </c>
      <c r="U539" s="84">
        <v>150.0</v>
      </c>
      <c r="V539" s="84"/>
      <c r="W539" s="84"/>
      <c r="X539" s="84">
        <v>0.0</v>
      </c>
      <c r="Y539" s="84"/>
      <c r="Z539" s="84"/>
      <c r="AA539" s="84"/>
      <c r="AB539" s="84"/>
      <c r="AC539" s="84"/>
      <c r="AD539" s="84"/>
      <c r="AE539" s="84"/>
      <c r="AF539" s="84"/>
      <c r="AG539" s="84"/>
      <c r="AH539" s="84">
        <v>1.0</v>
      </c>
      <c r="AI539" s="84">
        <v>0.0</v>
      </c>
      <c r="AJ539" s="84">
        <v>0.0</v>
      </c>
      <c r="AK539" s="84">
        <v>1.0</v>
      </c>
      <c r="AL539" s="84">
        <v>0.0</v>
      </c>
      <c r="AM539" s="84">
        <v>0.0</v>
      </c>
      <c r="AN539" s="84">
        <v>1.0</v>
      </c>
      <c r="AO539" s="84">
        <v>0.0</v>
      </c>
      <c r="AP539" s="84">
        <v>0.0</v>
      </c>
      <c r="AQ539" s="84">
        <v>0.0</v>
      </c>
      <c r="AR539" s="84">
        <v>0.0</v>
      </c>
      <c r="AS539" s="84">
        <v>0.0</v>
      </c>
      <c r="AT539" s="84">
        <v>0.0</v>
      </c>
      <c r="AU539" s="84">
        <v>0.0</v>
      </c>
      <c r="AV539" s="84">
        <v>0.0</v>
      </c>
      <c r="AW539" s="84">
        <v>0.0</v>
      </c>
      <c r="AX539" s="84">
        <v>0.0</v>
      </c>
      <c r="AY539" s="84">
        <v>1.0</v>
      </c>
      <c r="AZ539" s="84">
        <v>0.0</v>
      </c>
    </row>
    <row r="540" ht="12.75" customHeight="1">
      <c r="A540" s="84">
        <v>538.0</v>
      </c>
      <c r="B540" s="84" t="s">
        <v>5782</v>
      </c>
      <c r="C540" s="84">
        <v>1.0</v>
      </c>
      <c r="D540" s="84" t="s">
        <v>4904</v>
      </c>
      <c r="E540" s="84">
        <v>2.0</v>
      </c>
      <c r="F540" s="84" t="s">
        <v>5131</v>
      </c>
      <c r="G540" s="84">
        <v>0.0</v>
      </c>
      <c r="H540" s="84">
        <v>101.0</v>
      </c>
      <c r="I540" s="84">
        <v>10.0</v>
      </c>
      <c r="N540" s="84">
        <v>0.0</v>
      </c>
      <c r="O540" s="84">
        <v>0.0</v>
      </c>
      <c r="P540" s="84">
        <v>0.0</v>
      </c>
      <c r="U540" s="84">
        <v>328.0</v>
      </c>
      <c r="X540" s="84">
        <v>7.0</v>
      </c>
      <c r="Y540" s="84" t="s">
        <v>21</v>
      </c>
      <c r="Z540" s="84">
        <v>3.0</v>
      </c>
      <c r="AH540" s="84">
        <v>0.0</v>
      </c>
      <c r="AI540" s="84">
        <v>0.0</v>
      </c>
      <c r="AJ540" s="84">
        <v>0.0</v>
      </c>
      <c r="AK540" s="84">
        <v>0.0</v>
      </c>
      <c r="AL540" s="84">
        <v>0.0</v>
      </c>
      <c r="AM540" s="84">
        <v>1.0</v>
      </c>
      <c r="AN540" s="84">
        <v>0.0</v>
      </c>
      <c r="AO540" s="84">
        <v>0.0</v>
      </c>
      <c r="AP540" s="84">
        <v>0.0</v>
      </c>
      <c r="AQ540" s="84">
        <v>0.0</v>
      </c>
      <c r="AR540" s="84">
        <v>0.0</v>
      </c>
      <c r="AS540" s="84">
        <v>0.0</v>
      </c>
      <c r="AT540" s="84">
        <v>0.0</v>
      </c>
      <c r="AU540" s="84">
        <v>0.0</v>
      </c>
      <c r="AV540" s="84">
        <v>0.0</v>
      </c>
      <c r="AW540" s="84">
        <v>0.0</v>
      </c>
      <c r="AX540" s="84">
        <v>0.0</v>
      </c>
      <c r="AY540" s="84">
        <v>1.0</v>
      </c>
      <c r="AZ540" s="84">
        <v>10.0</v>
      </c>
    </row>
    <row r="541" ht="12.75" customHeight="1">
      <c r="A541" s="84">
        <v>539.0</v>
      </c>
      <c r="B541" s="84" t="s">
        <v>5783</v>
      </c>
      <c r="C541" s="84">
        <v>0.0</v>
      </c>
      <c r="D541" s="84" t="s">
        <v>4972</v>
      </c>
      <c r="E541" s="84">
        <v>6.0</v>
      </c>
      <c r="F541" s="84" t="s">
        <v>5172</v>
      </c>
      <c r="G541" s="84">
        <v>85.0</v>
      </c>
      <c r="H541" s="84">
        <v>95.0</v>
      </c>
      <c r="I541" s="84">
        <v>10.0</v>
      </c>
      <c r="J541" s="84"/>
      <c r="K541" s="84"/>
      <c r="L541" s="84"/>
      <c r="M541" s="84"/>
      <c r="N541" s="84">
        <v>0.0</v>
      </c>
      <c r="O541" s="84">
        <v>0.0</v>
      </c>
      <c r="P541" s="84">
        <v>0.0</v>
      </c>
      <c r="Q541" s="84"/>
      <c r="R541" s="84"/>
      <c r="S541" s="84"/>
      <c r="T541" s="84"/>
      <c r="U541" s="84">
        <v>73.0</v>
      </c>
      <c r="V541" s="84"/>
      <c r="W541" s="84"/>
      <c r="X541" s="84">
        <v>0.0</v>
      </c>
      <c r="Y541" s="84" t="s">
        <v>5092</v>
      </c>
      <c r="Z541" s="84">
        <v>-1.0</v>
      </c>
      <c r="AA541" s="84">
        <v>40.0</v>
      </c>
      <c r="AB541" s="84"/>
      <c r="AC541" s="84"/>
      <c r="AD541" s="84"/>
      <c r="AE541" s="84"/>
      <c r="AF541" s="84"/>
      <c r="AG541" s="84"/>
      <c r="AH541" s="84">
        <v>0.0</v>
      </c>
      <c r="AI541" s="84">
        <v>0.0</v>
      </c>
      <c r="AJ541" s="84">
        <v>0.0</v>
      </c>
      <c r="AK541" s="84">
        <v>1.0</v>
      </c>
      <c r="AL541" s="84">
        <v>0.0</v>
      </c>
      <c r="AM541" s="84">
        <v>0.0</v>
      </c>
      <c r="AN541" s="84">
        <v>1.0</v>
      </c>
      <c r="AO541" s="84">
        <v>0.0</v>
      </c>
      <c r="AP541" s="84">
        <v>0.0</v>
      </c>
      <c r="AQ541" s="84">
        <v>0.0</v>
      </c>
      <c r="AR541" s="84">
        <v>0.0</v>
      </c>
      <c r="AS541" s="84">
        <v>0.0</v>
      </c>
      <c r="AT541" s="84">
        <v>0.0</v>
      </c>
      <c r="AU541" s="84">
        <v>0.0</v>
      </c>
      <c r="AV541" s="84">
        <v>0.0</v>
      </c>
      <c r="AW541" s="84">
        <v>0.0</v>
      </c>
      <c r="AX541" s="84">
        <v>0.0</v>
      </c>
      <c r="AY541" s="84">
        <v>1.0</v>
      </c>
      <c r="AZ541" s="84">
        <v>0.0</v>
      </c>
    </row>
    <row r="542" ht="12.75" customHeight="1">
      <c r="A542" s="84">
        <v>540.0</v>
      </c>
      <c r="B542" s="84" t="s">
        <v>5784</v>
      </c>
      <c r="C542" s="84">
        <v>1.0</v>
      </c>
      <c r="D542" s="84" t="s">
        <v>2659</v>
      </c>
      <c r="E542" s="84">
        <v>0.0</v>
      </c>
      <c r="F542" s="84" t="s">
        <v>5172</v>
      </c>
      <c r="G542" s="84">
        <v>100.0</v>
      </c>
      <c r="H542" s="84">
        <v>100.0</v>
      </c>
      <c r="I542" s="84">
        <v>10.0</v>
      </c>
      <c r="N542" s="84">
        <v>0.0</v>
      </c>
      <c r="O542" s="84">
        <v>0.0</v>
      </c>
      <c r="P542" s="84">
        <v>0.0</v>
      </c>
      <c r="U542" s="84">
        <v>282.0</v>
      </c>
      <c r="X542" s="84">
        <v>0.0</v>
      </c>
      <c r="AH542" s="84">
        <v>0.0</v>
      </c>
      <c r="AI542" s="84">
        <v>0.0</v>
      </c>
      <c r="AJ542" s="84">
        <v>0.0</v>
      </c>
      <c r="AK542" s="84">
        <v>1.0</v>
      </c>
      <c r="AL542" s="84">
        <v>0.0</v>
      </c>
      <c r="AM542" s="84">
        <v>0.0</v>
      </c>
      <c r="AN542" s="84">
        <v>1.0</v>
      </c>
      <c r="AO542" s="84">
        <v>0.0</v>
      </c>
      <c r="AP542" s="84">
        <v>0.0</v>
      </c>
      <c r="AQ542" s="84">
        <v>0.0</v>
      </c>
      <c r="AR542" s="84">
        <v>0.0</v>
      </c>
      <c r="AS542" s="84">
        <v>0.0</v>
      </c>
      <c r="AT542" s="84">
        <v>0.0</v>
      </c>
      <c r="AU542" s="84">
        <v>0.0</v>
      </c>
      <c r="AV542" s="84">
        <v>0.0</v>
      </c>
      <c r="AW542" s="84">
        <v>0.0</v>
      </c>
      <c r="AX542" s="84">
        <v>0.0</v>
      </c>
      <c r="AY542" s="84">
        <v>1.0</v>
      </c>
      <c r="AZ542" s="84">
        <v>47.0</v>
      </c>
    </row>
    <row r="543" ht="12.75" customHeight="1">
      <c r="A543" s="84">
        <v>541.0</v>
      </c>
      <c r="B543" s="84" t="s">
        <v>5785</v>
      </c>
      <c r="C543" s="84">
        <v>0.0</v>
      </c>
      <c r="D543" s="84" t="s">
        <v>4916</v>
      </c>
      <c r="E543" s="84">
        <v>0.0</v>
      </c>
      <c r="F543" s="84" t="s">
        <v>5135</v>
      </c>
      <c r="G543" s="84">
        <v>25.0</v>
      </c>
      <c r="H543" s="84">
        <v>85.0</v>
      </c>
      <c r="I543" s="84">
        <v>10.0</v>
      </c>
      <c r="J543" s="84"/>
      <c r="K543" s="84">
        <v>2.0</v>
      </c>
      <c r="L543" s="84">
        <v>5.0</v>
      </c>
      <c r="M543" s="84"/>
      <c r="N543" s="84">
        <v>0.0</v>
      </c>
      <c r="O543" s="84">
        <v>0.0</v>
      </c>
      <c r="P543" s="84">
        <v>0.0</v>
      </c>
      <c r="Q543" s="84"/>
      <c r="R543" s="84"/>
      <c r="S543" s="84"/>
      <c r="T543" s="84"/>
      <c r="U543" s="84">
        <v>29.0</v>
      </c>
      <c r="V543" s="84"/>
      <c r="W543" s="84"/>
      <c r="X543" s="84">
        <v>0.0</v>
      </c>
      <c r="Y543" s="84"/>
      <c r="Z543" s="84"/>
      <c r="AA543" s="84"/>
      <c r="AB543" s="84"/>
      <c r="AC543" s="84"/>
      <c r="AD543" s="84"/>
      <c r="AE543" s="84"/>
      <c r="AF543" s="84"/>
      <c r="AG543" s="84"/>
      <c r="AH543" s="84">
        <v>1.0</v>
      </c>
      <c r="AI543" s="84">
        <v>0.0</v>
      </c>
      <c r="AJ543" s="84">
        <v>0.0</v>
      </c>
      <c r="AK543" s="84">
        <v>1.0</v>
      </c>
      <c r="AL543" s="84">
        <v>0.0</v>
      </c>
      <c r="AM543" s="84">
        <v>0.0</v>
      </c>
      <c r="AN543" s="84">
        <v>1.0</v>
      </c>
      <c r="AO543" s="84">
        <v>0.0</v>
      </c>
      <c r="AP543" s="84">
        <v>0.0</v>
      </c>
      <c r="AQ543" s="84">
        <v>0.0</v>
      </c>
      <c r="AR543" s="84">
        <v>0.0</v>
      </c>
      <c r="AS543" s="84">
        <v>0.0</v>
      </c>
      <c r="AT543" s="84">
        <v>0.0</v>
      </c>
      <c r="AU543" s="84">
        <v>0.0</v>
      </c>
      <c r="AV543" s="84">
        <v>0.0</v>
      </c>
      <c r="AW543" s="84">
        <v>0.0</v>
      </c>
      <c r="AX543" s="84">
        <v>0.0</v>
      </c>
      <c r="AY543" s="84">
        <v>1.0</v>
      </c>
      <c r="AZ543" s="84">
        <v>0.0</v>
      </c>
    </row>
    <row r="544" ht="12.75" customHeight="1">
      <c r="A544" s="84">
        <v>542.0</v>
      </c>
      <c r="B544" s="84" t="s">
        <v>4109</v>
      </c>
      <c r="C544" s="84">
        <v>1.0</v>
      </c>
      <c r="D544" s="84" t="s">
        <v>4907</v>
      </c>
      <c r="E544" s="84">
        <v>4.0</v>
      </c>
      <c r="F544" s="84" t="s">
        <v>5172</v>
      </c>
      <c r="G544" s="84">
        <v>110.0</v>
      </c>
      <c r="H544" s="84">
        <v>70.0</v>
      </c>
      <c r="I544" s="84">
        <v>10.0</v>
      </c>
      <c r="M544" s="84" t="s">
        <v>5786</v>
      </c>
      <c r="N544" s="84">
        <v>6.0</v>
      </c>
      <c r="O544" s="84">
        <v>30.0</v>
      </c>
      <c r="P544" s="84">
        <v>2.0</v>
      </c>
      <c r="Q544" s="84">
        <v>2.0</v>
      </c>
      <c r="R544" s="84">
        <v>5.0</v>
      </c>
      <c r="U544" s="84">
        <v>333.0</v>
      </c>
      <c r="X544" s="84">
        <v>0.0</v>
      </c>
      <c r="AH544" s="84">
        <v>0.0</v>
      </c>
      <c r="AI544" s="84">
        <v>0.0</v>
      </c>
      <c r="AJ544" s="84">
        <v>0.0</v>
      </c>
      <c r="AK544" s="84">
        <v>1.0</v>
      </c>
      <c r="AL544" s="84">
        <v>0.0</v>
      </c>
      <c r="AM544" s="84">
        <v>0.0</v>
      </c>
      <c r="AN544" s="84">
        <v>1.0</v>
      </c>
      <c r="AO544" s="84">
        <v>0.0</v>
      </c>
      <c r="AP544" s="84">
        <v>0.0</v>
      </c>
      <c r="AQ544" s="84">
        <v>0.0</v>
      </c>
      <c r="AR544" s="84">
        <v>0.0</v>
      </c>
      <c r="AS544" s="84">
        <v>1.0</v>
      </c>
      <c r="AT544" s="84">
        <v>0.0</v>
      </c>
      <c r="AU544" s="84">
        <v>0.0</v>
      </c>
      <c r="AV544" s="84">
        <v>0.0</v>
      </c>
      <c r="AW544" s="84">
        <v>0.0</v>
      </c>
      <c r="AX544" s="84">
        <v>0.0</v>
      </c>
      <c r="AY544" s="84">
        <v>1.0</v>
      </c>
      <c r="AZ544" s="84">
        <v>46.0</v>
      </c>
    </row>
    <row r="545" ht="12.75" customHeight="1">
      <c r="A545" s="84">
        <v>543.0</v>
      </c>
      <c r="B545" s="84" t="s">
        <v>5787</v>
      </c>
      <c r="C545" s="84">
        <v>0.0</v>
      </c>
      <c r="D545" s="84" t="s">
        <v>4916</v>
      </c>
      <c r="E545" s="84">
        <v>0.0</v>
      </c>
      <c r="F545" s="84" t="s">
        <v>5135</v>
      </c>
      <c r="G545" s="84">
        <v>120.0</v>
      </c>
      <c r="H545" s="84">
        <v>100.0</v>
      </c>
      <c r="I545" s="84">
        <v>15.0</v>
      </c>
      <c r="J545" s="84"/>
      <c r="K545" s="84"/>
      <c r="L545" s="84"/>
      <c r="M545" s="84"/>
      <c r="N545" s="84">
        <v>0.0</v>
      </c>
      <c r="O545" s="84">
        <v>0.0</v>
      </c>
      <c r="P545" s="84">
        <v>0.0</v>
      </c>
      <c r="Q545" s="84"/>
      <c r="R545" s="84"/>
      <c r="S545" s="84"/>
      <c r="T545" s="84"/>
      <c r="U545" s="84">
        <v>48.0</v>
      </c>
      <c r="V545" s="84">
        <v>-25.0</v>
      </c>
      <c r="W545" s="84"/>
      <c r="X545" s="84">
        <v>0.0</v>
      </c>
      <c r="Y545" s="84"/>
      <c r="Z545" s="84"/>
      <c r="AA545" s="84"/>
      <c r="AB545" s="84"/>
      <c r="AC545" s="84"/>
      <c r="AD545" s="84"/>
      <c r="AE545" s="84"/>
      <c r="AF545" s="84"/>
      <c r="AG545" s="84"/>
      <c r="AH545" s="84">
        <v>1.0</v>
      </c>
      <c r="AI545" s="84">
        <v>0.0</v>
      </c>
      <c r="AJ545" s="84">
        <v>0.0</v>
      </c>
      <c r="AK545" s="84">
        <v>1.0</v>
      </c>
      <c r="AL545" s="84">
        <v>0.0</v>
      </c>
      <c r="AM545" s="84">
        <v>0.0</v>
      </c>
      <c r="AN545" s="84">
        <v>1.0</v>
      </c>
      <c r="AO545" s="84">
        <v>0.0</v>
      </c>
      <c r="AP545" s="84">
        <v>0.0</v>
      </c>
      <c r="AQ545" s="84">
        <v>0.0</v>
      </c>
      <c r="AR545" s="84">
        <v>0.0</v>
      </c>
      <c r="AS545" s="84">
        <v>0.0</v>
      </c>
      <c r="AT545" s="84">
        <v>0.0</v>
      </c>
      <c r="AU545" s="84">
        <v>0.0</v>
      </c>
      <c r="AV545" s="84">
        <v>0.0</v>
      </c>
      <c r="AW545" s="84">
        <v>0.0</v>
      </c>
      <c r="AX545" s="84">
        <v>0.0</v>
      </c>
      <c r="AY545" s="84">
        <v>1.0</v>
      </c>
      <c r="AZ545" s="84">
        <v>0.0</v>
      </c>
    </row>
    <row r="546" ht="12.75" customHeight="1">
      <c r="A546" s="84">
        <v>544.0</v>
      </c>
      <c r="B546" s="84" t="s">
        <v>5788</v>
      </c>
      <c r="C546" s="84">
        <v>0.0</v>
      </c>
      <c r="D546" s="84" t="s">
        <v>4975</v>
      </c>
      <c r="E546" s="84">
        <v>0.0</v>
      </c>
      <c r="F546" s="84" t="s">
        <v>5135</v>
      </c>
      <c r="G546" s="84">
        <v>50.0</v>
      </c>
      <c r="H546" s="84">
        <v>85.0</v>
      </c>
      <c r="I546" s="84">
        <v>15.0</v>
      </c>
      <c r="J546" s="84"/>
      <c r="K546" s="84">
        <v>2.0</v>
      </c>
      <c r="L546" s="84">
        <v>2.0</v>
      </c>
      <c r="M546" s="84"/>
      <c r="N546" s="84">
        <v>0.0</v>
      </c>
      <c r="O546" s="84">
        <v>0.0</v>
      </c>
      <c r="P546" s="84">
        <v>0.0</v>
      </c>
      <c r="Q546" s="84"/>
      <c r="R546" s="84"/>
      <c r="S546" s="84"/>
      <c r="T546" s="84"/>
      <c r="U546" s="84">
        <v>44.0</v>
      </c>
      <c r="V546" s="84"/>
      <c r="W546" s="84"/>
      <c r="X546" s="84">
        <v>0.0</v>
      </c>
      <c r="Y546" s="84"/>
      <c r="Z546" s="84"/>
      <c r="AA546" s="84"/>
      <c r="AB546" s="84"/>
      <c r="AC546" s="84"/>
      <c r="AD546" s="84"/>
      <c r="AE546" s="84"/>
      <c r="AF546" s="84"/>
      <c r="AG546" s="84"/>
      <c r="AH546" s="84">
        <v>1.0</v>
      </c>
      <c r="AI546" s="84">
        <v>0.0</v>
      </c>
      <c r="AJ546" s="84">
        <v>0.0</v>
      </c>
      <c r="AK546" s="84">
        <v>1.0</v>
      </c>
      <c r="AL546" s="84">
        <v>0.0</v>
      </c>
      <c r="AM546" s="84">
        <v>0.0</v>
      </c>
      <c r="AN546" s="84">
        <v>1.0</v>
      </c>
      <c r="AO546" s="84">
        <v>0.0</v>
      </c>
      <c r="AP546" s="84">
        <v>0.0</v>
      </c>
      <c r="AQ546" s="84">
        <v>0.0</v>
      </c>
      <c r="AR546" s="84">
        <v>0.0</v>
      </c>
      <c r="AS546" s="84">
        <v>0.0</v>
      </c>
      <c r="AT546" s="84">
        <v>0.0</v>
      </c>
      <c r="AU546" s="84">
        <v>0.0</v>
      </c>
      <c r="AV546" s="84">
        <v>0.0</v>
      </c>
      <c r="AW546" s="84">
        <v>0.0</v>
      </c>
      <c r="AX546" s="84">
        <v>0.0</v>
      </c>
      <c r="AY546" s="84">
        <v>1.0</v>
      </c>
      <c r="AZ546" s="84">
        <v>0.0</v>
      </c>
    </row>
    <row r="547" ht="12.75" customHeight="1">
      <c r="A547" s="84">
        <v>545.0</v>
      </c>
      <c r="B547" s="84" t="s">
        <v>5789</v>
      </c>
      <c r="C547" s="84">
        <v>0.0</v>
      </c>
      <c r="D547" s="84" t="s">
        <v>4906</v>
      </c>
      <c r="E547" s="84">
        <v>4.0</v>
      </c>
      <c r="F547" s="84" t="s">
        <v>5172</v>
      </c>
      <c r="G547" s="84">
        <v>100.0</v>
      </c>
      <c r="H547" s="84">
        <v>100.0</v>
      </c>
      <c r="I547" s="84">
        <v>5.0</v>
      </c>
      <c r="J547" s="84"/>
      <c r="K547" s="84"/>
      <c r="L547" s="84"/>
      <c r="M547" s="84" t="s">
        <v>5724</v>
      </c>
      <c r="N547" s="84">
        <v>4.0</v>
      </c>
      <c r="O547" s="84">
        <v>30.0</v>
      </c>
      <c r="P547" s="84">
        <v>1.0</v>
      </c>
      <c r="Q547" s="84"/>
      <c r="R547" s="84"/>
      <c r="S547" s="84"/>
      <c r="T547" s="84"/>
      <c r="U547" s="84">
        <v>4.0</v>
      </c>
      <c r="V547" s="84"/>
      <c r="W547" s="84"/>
      <c r="X547" s="84">
        <v>4.0</v>
      </c>
      <c r="Y547" s="84"/>
      <c r="Z547" s="84"/>
      <c r="AA547" s="84"/>
      <c r="AB547" s="84"/>
      <c r="AC547" s="84"/>
      <c r="AD547" s="84"/>
      <c r="AE547" s="84"/>
      <c r="AF547" s="84"/>
      <c r="AG547" s="84"/>
      <c r="AH547" s="84">
        <v>0.0</v>
      </c>
      <c r="AI547" s="84">
        <v>0.0</v>
      </c>
      <c r="AJ547" s="84">
        <v>0.0</v>
      </c>
      <c r="AK547" s="84">
        <v>1.0</v>
      </c>
      <c r="AL547" s="84">
        <v>0.0</v>
      </c>
      <c r="AM547" s="84">
        <v>0.0</v>
      </c>
      <c r="AN547" s="84">
        <v>1.0</v>
      </c>
      <c r="AO547" s="84">
        <v>0.0</v>
      </c>
      <c r="AP547" s="84">
        <v>0.0</v>
      </c>
      <c r="AQ547" s="84">
        <v>0.0</v>
      </c>
      <c r="AR547" s="84">
        <v>0.0</v>
      </c>
      <c r="AS547" s="84">
        <v>0.0</v>
      </c>
      <c r="AT547" s="84">
        <v>0.0</v>
      </c>
      <c r="AU547" s="84">
        <v>0.0</v>
      </c>
      <c r="AV547" s="84">
        <v>0.0</v>
      </c>
      <c r="AW547" s="84">
        <v>0.0</v>
      </c>
      <c r="AX547" s="84">
        <v>0.0</v>
      </c>
      <c r="AY547" s="84">
        <v>1.0</v>
      </c>
      <c r="AZ547" s="84">
        <v>0.0</v>
      </c>
    </row>
    <row r="548" ht="12.75" customHeight="1">
      <c r="A548" s="84">
        <v>546.0</v>
      </c>
      <c r="B548" s="84" t="s">
        <v>5790</v>
      </c>
      <c r="C548" s="84">
        <v>0.0</v>
      </c>
      <c r="D548" s="84" t="s">
        <v>4916</v>
      </c>
      <c r="E548" s="84">
        <v>0.0</v>
      </c>
      <c r="F548" s="84" t="s">
        <v>5172</v>
      </c>
      <c r="G548" s="84">
        <v>120.0</v>
      </c>
      <c r="H548" s="84">
        <v>100.0</v>
      </c>
      <c r="I548" s="84">
        <v>5.0</v>
      </c>
      <c r="J548" s="84"/>
      <c r="K548" s="84"/>
      <c r="L548" s="84"/>
      <c r="M548" s="84"/>
      <c r="N548" s="84">
        <v>0.0</v>
      </c>
      <c r="O548" s="84">
        <v>0.0</v>
      </c>
      <c r="P548" s="84">
        <v>0.0</v>
      </c>
      <c r="Q548" s="84"/>
      <c r="R548" s="84"/>
      <c r="S548" s="84"/>
      <c r="T548" s="84"/>
      <c r="U548" s="84">
        <v>268.0</v>
      </c>
      <c r="V548" s="84"/>
      <c r="W548" s="84"/>
      <c r="X548" s="84">
        <v>0.0</v>
      </c>
      <c r="Y548" s="84"/>
      <c r="Z548" s="84"/>
      <c r="AA548" s="84"/>
      <c r="AB548" s="84"/>
      <c r="AC548" s="84"/>
      <c r="AD548" s="84"/>
      <c r="AE548" s="84"/>
      <c r="AF548" s="84"/>
      <c r="AG548" s="84"/>
      <c r="AH548" s="84">
        <v>0.0</v>
      </c>
      <c r="AI548" s="84">
        <v>0.0</v>
      </c>
      <c r="AJ548" s="84">
        <v>0.0</v>
      </c>
      <c r="AK548" s="84">
        <v>1.0</v>
      </c>
      <c r="AL548" s="84">
        <v>0.0</v>
      </c>
      <c r="AM548" s="84">
        <v>0.0</v>
      </c>
      <c r="AN548" s="84">
        <v>1.0</v>
      </c>
      <c r="AO548" s="84">
        <v>0.0</v>
      </c>
      <c r="AP548" s="84">
        <v>0.0</v>
      </c>
      <c r="AQ548" s="84">
        <v>0.0</v>
      </c>
      <c r="AR548" s="84">
        <v>0.0</v>
      </c>
      <c r="AS548" s="84">
        <v>0.0</v>
      </c>
      <c r="AT548" s="84">
        <v>0.0</v>
      </c>
      <c r="AU548" s="84">
        <v>0.0</v>
      </c>
      <c r="AV548" s="84">
        <v>0.0</v>
      </c>
      <c r="AW548" s="84">
        <v>0.0</v>
      </c>
      <c r="AX548" s="84">
        <v>0.0</v>
      </c>
      <c r="AY548" s="84">
        <v>0.0</v>
      </c>
      <c r="AZ548" s="84">
        <v>0.0</v>
      </c>
    </row>
    <row r="549" ht="12.75" customHeight="1">
      <c r="A549" s="84">
        <v>547.0</v>
      </c>
      <c r="B549" s="84" t="s">
        <v>5791</v>
      </c>
      <c r="C549" s="84">
        <v>0.0</v>
      </c>
      <c r="D549" s="84" t="s">
        <v>4916</v>
      </c>
      <c r="E549" s="84">
        <v>4.0</v>
      </c>
      <c r="F549" s="84" t="s">
        <v>5172</v>
      </c>
      <c r="G549" s="84">
        <v>75.0</v>
      </c>
      <c r="H549" s="84">
        <v>100.0</v>
      </c>
      <c r="I549" s="84">
        <v>10.0</v>
      </c>
      <c r="J549" s="84"/>
      <c r="K549" s="84"/>
      <c r="L549" s="84"/>
      <c r="M549" s="84" t="s">
        <v>5792</v>
      </c>
      <c r="N549" s="84">
        <v>2.0</v>
      </c>
      <c r="O549" s="84">
        <v>10.0</v>
      </c>
      <c r="P549" s="84">
        <v>2.0</v>
      </c>
      <c r="Q549" s="84">
        <v>2.0</v>
      </c>
      <c r="R549" s="84">
        <v>4.0</v>
      </c>
      <c r="S549" s="84"/>
      <c r="T549" s="84"/>
      <c r="U549" s="84">
        <v>329.0</v>
      </c>
      <c r="V549" s="84"/>
      <c r="W549" s="84"/>
      <c r="X549" s="84">
        <v>5.0</v>
      </c>
      <c r="Y549" s="84"/>
      <c r="Z549" s="84"/>
      <c r="AA549" s="84"/>
      <c r="AB549" s="84"/>
      <c r="AC549" s="84"/>
      <c r="AD549" s="84"/>
      <c r="AE549" s="84"/>
      <c r="AF549" s="84"/>
      <c r="AG549" s="84"/>
      <c r="AH549" s="84">
        <v>0.0</v>
      </c>
      <c r="AI549" s="84">
        <v>0.0</v>
      </c>
      <c r="AJ549" s="84">
        <v>0.0</v>
      </c>
      <c r="AK549" s="84">
        <v>1.0</v>
      </c>
      <c r="AL549" s="84">
        <v>0.0</v>
      </c>
      <c r="AM549" s="84">
        <v>0.0</v>
      </c>
      <c r="AN549" s="84">
        <v>1.0</v>
      </c>
      <c r="AO549" s="84">
        <v>0.0</v>
      </c>
      <c r="AP549" s="84">
        <v>1.0</v>
      </c>
      <c r="AQ549" s="84">
        <v>0.0</v>
      </c>
      <c r="AR549" s="84">
        <v>0.0</v>
      </c>
      <c r="AS549" s="84">
        <v>0.0</v>
      </c>
      <c r="AT549" s="84">
        <v>0.0</v>
      </c>
      <c r="AU549" s="84">
        <v>1.0</v>
      </c>
      <c r="AV549" s="84">
        <v>0.0</v>
      </c>
      <c r="AW549" s="84">
        <v>0.0</v>
      </c>
      <c r="AX549" s="84">
        <v>0.0</v>
      </c>
      <c r="AY549" s="84">
        <v>0.0</v>
      </c>
      <c r="AZ549" s="84">
        <v>0.0</v>
      </c>
    </row>
    <row r="550" ht="12.75" customHeight="1">
      <c r="A550" s="84">
        <v>548.0</v>
      </c>
      <c r="B550" s="84" t="s">
        <v>5793</v>
      </c>
      <c r="C550" s="84">
        <v>0.0</v>
      </c>
      <c r="D550" s="84" t="s">
        <v>4935</v>
      </c>
      <c r="E550" s="84">
        <v>0.0</v>
      </c>
      <c r="F550" s="84" t="s">
        <v>5172</v>
      </c>
      <c r="G550" s="84">
        <v>85.0</v>
      </c>
      <c r="H550" s="84">
        <v>100.0</v>
      </c>
      <c r="I550" s="84">
        <v>10.0</v>
      </c>
      <c r="J550" s="84"/>
      <c r="K550" s="84"/>
      <c r="L550" s="84"/>
      <c r="M550" s="84"/>
      <c r="N550" s="84">
        <v>0.0</v>
      </c>
      <c r="O550" s="84">
        <v>0.0</v>
      </c>
      <c r="P550" s="84">
        <v>0.0</v>
      </c>
      <c r="Q550" s="84"/>
      <c r="R550" s="84"/>
      <c r="S550" s="84"/>
      <c r="T550" s="84"/>
      <c r="U550" s="84">
        <v>282.0</v>
      </c>
      <c r="V550" s="84"/>
      <c r="W550" s="84"/>
      <c r="X550" s="84">
        <v>0.0</v>
      </c>
      <c r="Y550" s="84"/>
      <c r="Z550" s="84"/>
      <c r="AA550" s="84"/>
      <c r="AB550" s="84"/>
      <c r="AC550" s="84"/>
      <c r="AD550" s="84"/>
      <c r="AE550" s="84"/>
      <c r="AF550" s="84"/>
      <c r="AG550" s="84"/>
      <c r="AH550" s="84">
        <v>0.0</v>
      </c>
      <c r="AI550" s="84">
        <v>0.0</v>
      </c>
      <c r="AJ550" s="84">
        <v>0.0</v>
      </c>
      <c r="AK550" s="84">
        <v>1.0</v>
      </c>
      <c r="AL550" s="84">
        <v>0.0</v>
      </c>
      <c r="AM550" s="84">
        <v>0.0</v>
      </c>
      <c r="AN550" s="84">
        <v>1.0</v>
      </c>
      <c r="AO550" s="84">
        <v>0.0</v>
      </c>
      <c r="AP550" s="84">
        <v>0.0</v>
      </c>
      <c r="AQ550" s="84">
        <v>0.0</v>
      </c>
      <c r="AR550" s="84">
        <v>0.0</v>
      </c>
      <c r="AS550" s="84">
        <v>0.0</v>
      </c>
      <c r="AT550" s="84">
        <v>0.0</v>
      </c>
      <c r="AU550" s="84">
        <v>0.0</v>
      </c>
      <c r="AV550" s="84">
        <v>0.0</v>
      </c>
      <c r="AW550" s="84">
        <v>0.0</v>
      </c>
      <c r="AX550" s="84">
        <v>0.0</v>
      </c>
      <c r="AY550" s="84">
        <v>0.0</v>
      </c>
      <c r="AZ550" s="84">
        <v>0.0</v>
      </c>
    </row>
    <row r="551" ht="12.75" customHeight="1">
      <c r="A551" s="84">
        <v>549.0</v>
      </c>
      <c r="B551" s="84" t="s">
        <v>5794</v>
      </c>
      <c r="C551" s="84">
        <v>0.0</v>
      </c>
      <c r="D551" s="84" t="s">
        <v>4942</v>
      </c>
      <c r="E551" s="84">
        <v>6.0</v>
      </c>
      <c r="F551" s="84" t="s">
        <v>5172</v>
      </c>
      <c r="G551" s="84">
        <v>65.0</v>
      </c>
      <c r="H551" s="84">
        <v>95.0</v>
      </c>
      <c r="I551" s="84">
        <v>10.0</v>
      </c>
      <c r="J551" s="84"/>
      <c r="K551" s="84"/>
      <c r="L551" s="84"/>
      <c r="M551" s="84"/>
      <c r="N551" s="84">
        <v>0.0</v>
      </c>
      <c r="O551" s="84">
        <v>0.0</v>
      </c>
      <c r="P551" s="84">
        <v>0.0</v>
      </c>
      <c r="Q551" s="84"/>
      <c r="R551" s="84"/>
      <c r="S551" s="84"/>
      <c r="T551" s="84"/>
      <c r="U551" s="84">
        <v>330.0</v>
      </c>
      <c r="V551" s="84"/>
      <c r="W551" s="84"/>
      <c r="X551" s="84">
        <v>5.0</v>
      </c>
      <c r="Y551" s="84" t="s">
        <v>5073</v>
      </c>
      <c r="Z551" s="84">
        <v>-1.0</v>
      </c>
      <c r="AA551" s="84">
        <v>100.0</v>
      </c>
      <c r="AB551" s="84"/>
      <c r="AC551" s="84"/>
      <c r="AD551" s="84"/>
      <c r="AE551" s="84"/>
      <c r="AF551" s="84"/>
      <c r="AG551" s="84"/>
      <c r="AH551" s="84">
        <v>0.0</v>
      </c>
      <c r="AI551" s="84">
        <v>0.0</v>
      </c>
      <c r="AJ551" s="84">
        <v>0.0</v>
      </c>
      <c r="AK551" s="84">
        <v>1.0</v>
      </c>
      <c r="AL551" s="84">
        <v>0.0</v>
      </c>
      <c r="AM551" s="84">
        <v>0.0</v>
      </c>
      <c r="AN551" s="84">
        <v>1.0</v>
      </c>
      <c r="AO551" s="84">
        <v>0.0</v>
      </c>
      <c r="AP551" s="84">
        <v>0.0</v>
      </c>
      <c r="AQ551" s="84">
        <v>0.0</v>
      </c>
      <c r="AR551" s="84">
        <v>0.0</v>
      </c>
      <c r="AS551" s="84">
        <v>0.0</v>
      </c>
      <c r="AT551" s="84">
        <v>0.0</v>
      </c>
      <c r="AU551" s="84">
        <v>0.0</v>
      </c>
      <c r="AV551" s="84">
        <v>0.0</v>
      </c>
      <c r="AW551" s="84">
        <v>0.0</v>
      </c>
      <c r="AX551" s="84">
        <v>0.0</v>
      </c>
      <c r="AY551" s="84">
        <v>1.0</v>
      </c>
      <c r="AZ551" s="84">
        <v>0.0</v>
      </c>
    </row>
    <row r="552" ht="12.75" customHeight="1">
      <c r="A552" s="84">
        <v>550.0</v>
      </c>
      <c r="B552" s="84" t="s">
        <v>5795</v>
      </c>
      <c r="C552" s="84">
        <v>0.0</v>
      </c>
      <c r="D552" s="84" t="s">
        <v>4921</v>
      </c>
      <c r="E552" s="84">
        <v>4.0</v>
      </c>
      <c r="F552" s="84" t="s">
        <v>5135</v>
      </c>
      <c r="G552" s="84">
        <v>130.0</v>
      </c>
      <c r="H552" s="84">
        <v>85.0</v>
      </c>
      <c r="I552" s="84">
        <v>5.0</v>
      </c>
      <c r="J552" s="84"/>
      <c r="K552" s="84"/>
      <c r="L552" s="84"/>
      <c r="M552" s="84" t="s">
        <v>5796</v>
      </c>
      <c r="N552" s="84">
        <v>1.0</v>
      </c>
      <c r="O552" s="84">
        <v>20.0</v>
      </c>
      <c r="P552" s="84">
        <v>1.0</v>
      </c>
      <c r="Q552" s="84"/>
      <c r="R552" s="84"/>
      <c r="S552" s="84"/>
      <c r="T552" s="84"/>
      <c r="U552" s="84">
        <v>6.0</v>
      </c>
      <c r="V552" s="84"/>
      <c r="W552" s="84"/>
      <c r="X552" s="84">
        <v>0.0</v>
      </c>
      <c r="Y552" s="84"/>
      <c r="Z552" s="84"/>
      <c r="AA552" s="84"/>
      <c r="AB552" s="84"/>
      <c r="AC552" s="84"/>
      <c r="AD552" s="84"/>
      <c r="AE552" s="84"/>
      <c r="AF552" s="84"/>
      <c r="AG552" s="84"/>
      <c r="AH552" s="84">
        <v>1.0</v>
      </c>
      <c r="AI552" s="84">
        <v>0.0</v>
      </c>
      <c r="AJ552" s="84">
        <v>0.0</v>
      </c>
      <c r="AK552" s="84">
        <v>1.0</v>
      </c>
      <c r="AL552" s="84">
        <v>0.0</v>
      </c>
      <c r="AM552" s="84">
        <v>0.0</v>
      </c>
      <c r="AN552" s="84">
        <v>1.0</v>
      </c>
      <c r="AO552" s="84">
        <v>0.0</v>
      </c>
      <c r="AP552" s="84">
        <v>0.0</v>
      </c>
      <c r="AQ552" s="84">
        <v>0.0</v>
      </c>
      <c r="AR552" s="84">
        <v>0.0</v>
      </c>
      <c r="AS552" s="84">
        <v>0.0</v>
      </c>
      <c r="AT552" s="84">
        <v>0.0</v>
      </c>
      <c r="AU552" s="84">
        <v>0.0</v>
      </c>
      <c r="AV552" s="84">
        <v>0.0</v>
      </c>
      <c r="AW552" s="84">
        <v>0.0</v>
      </c>
      <c r="AX552" s="84">
        <v>0.0</v>
      </c>
      <c r="AY552" s="84">
        <v>1.0</v>
      </c>
      <c r="AZ552" s="84">
        <v>0.0</v>
      </c>
    </row>
    <row r="553" ht="12.75" customHeight="1">
      <c r="A553" s="84">
        <v>551.0</v>
      </c>
      <c r="B553" s="84" t="s">
        <v>5797</v>
      </c>
      <c r="C553" s="84">
        <v>0.0</v>
      </c>
      <c r="D553" s="84" t="s">
        <v>4906</v>
      </c>
      <c r="E553" s="84">
        <v>4.0</v>
      </c>
      <c r="F553" s="84" t="s">
        <v>5172</v>
      </c>
      <c r="G553" s="84">
        <v>130.0</v>
      </c>
      <c r="H553" s="84">
        <v>85.0</v>
      </c>
      <c r="I553" s="84">
        <v>5.0</v>
      </c>
      <c r="J553" s="84"/>
      <c r="K553" s="84"/>
      <c r="L553" s="84"/>
      <c r="M553" s="84" t="s">
        <v>5798</v>
      </c>
      <c r="N553" s="84">
        <v>4.0</v>
      </c>
      <c r="O553" s="84">
        <v>20.0</v>
      </c>
      <c r="P553" s="84">
        <v>1.0</v>
      </c>
      <c r="Q553" s="84"/>
      <c r="R553" s="84"/>
      <c r="S553" s="84"/>
      <c r="T553" s="84"/>
      <c r="U553" s="84">
        <v>4.0</v>
      </c>
      <c r="V553" s="84"/>
      <c r="W553" s="84"/>
      <c r="X553" s="84">
        <v>0.0</v>
      </c>
      <c r="Y553" s="84"/>
      <c r="Z553" s="84"/>
      <c r="AA553" s="84"/>
      <c r="AB553" s="84"/>
      <c r="AC553" s="84"/>
      <c r="AD553" s="84"/>
      <c r="AE553" s="84"/>
      <c r="AF553" s="84"/>
      <c r="AG553" s="84"/>
      <c r="AH553" s="84">
        <v>0.0</v>
      </c>
      <c r="AI553" s="84">
        <v>0.0</v>
      </c>
      <c r="AJ553" s="84">
        <v>0.0</v>
      </c>
      <c r="AK553" s="84">
        <v>1.0</v>
      </c>
      <c r="AL553" s="84">
        <v>0.0</v>
      </c>
      <c r="AM553" s="84">
        <v>0.0</v>
      </c>
      <c r="AN553" s="84">
        <v>1.0</v>
      </c>
      <c r="AO553" s="84">
        <v>0.0</v>
      </c>
      <c r="AP553" s="84">
        <v>0.0</v>
      </c>
      <c r="AQ553" s="84">
        <v>0.0</v>
      </c>
      <c r="AR553" s="84">
        <v>0.0</v>
      </c>
      <c r="AS553" s="84">
        <v>0.0</v>
      </c>
      <c r="AT553" s="84">
        <v>0.0</v>
      </c>
      <c r="AU553" s="84">
        <v>0.0</v>
      </c>
      <c r="AV553" s="84">
        <v>0.0</v>
      </c>
      <c r="AW553" s="84">
        <v>0.0</v>
      </c>
      <c r="AX553" s="84">
        <v>0.0</v>
      </c>
      <c r="AY553" s="84">
        <v>1.0</v>
      </c>
      <c r="AZ553" s="84">
        <v>0.0</v>
      </c>
    </row>
    <row r="554" ht="12.75" customHeight="1">
      <c r="A554" s="84">
        <v>552.0</v>
      </c>
      <c r="B554" s="84" t="s">
        <v>5799</v>
      </c>
      <c r="C554" s="84">
        <v>0.0</v>
      </c>
      <c r="D554" s="84" t="s">
        <v>4906</v>
      </c>
      <c r="E554" s="84">
        <v>7.0</v>
      </c>
      <c r="F554" s="84" t="s">
        <v>5172</v>
      </c>
      <c r="G554" s="84">
        <v>80.0</v>
      </c>
      <c r="H554" s="84">
        <v>100.0</v>
      </c>
      <c r="I554" s="84">
        <v>10.0</v>
      </c>
      <c r="J554" s="84"/>
      <c r="K554" s="84"/>
      <c r="L554" s="84"/>
      <c r="M554" s="84"/>
      <c r="N554" s="84">
        <v>0.0</v>
      </c>
      <c r="O554" s="84">
        <v>0.0</v>
      </c>
      <c r="P554" s="84">
        <v>0.0</v>
      </c>
      <c r="Q554" s="84"/>
      <c r="R554" s="84"/>
      <c r="S554" s="84"/>
      <c r="T554" s="84"/>
      <c r="U554" s="84">
        <v>276.0</v>
      </c>
      <c r="V554" s="84"/>
      <c r="W554" s="84"/>
      <c r="X554" s="84">
        <v>0.0</v>
      </c>
      <c r="Y554" s="84" t="s">
        <v>22</v>
      </c>
      <c r="Z554" s="84">
        <v>1.0</v>
      </c>
      <c r="AA554" s="84">
        <v>50.0</v>
      </c>
      <c r="AB554" s="84"/>
      <c r="AC554" s="84"/>
      <c r="AD554" s="84"/>
      <c r="AE554" s="84"/>
      <c r="AF554" s="84"/>
      <c r="AG554" s="84"/>
      <c r="AH554" s="84">
        <v>0.0</v>
      </c>
      <c r="AI554" s="84">
        <v>0.0</v>
      </c>
      <c r="AJ554" s="84">
        <v>0.0</v>
      </c>
      <c r="AK554" s="84">
        <v>1.0</v>
      </c>
      <c r="AL554" s="84">
        <v>0.0</v>
      </c>
      <c r="AM554" s="84">
        <v>0.0</v>
      </c>
      <c r="AN554" s="84">
        <v>1.0</v>
      </c>
      <c r="AO554" s="84">
        <v>0.0</v>
      </c>
      <c r="AP554" s="84">
        <v>0.0</v>
      </c>
      <c r="AQ554" s="84">
        <v>0.0</v>
      </c>
      <c r="AR554" s="84">
        <v>0.0</v>
      </c>
      <c r="AS554" s="84">
        <v>0.0</v>
      </c>
      <c r="AT554" s="84">
        <v>0.0</v>
      </c>
      <c r="AU554" s="84">
        <v>0.0</v>
      </c>
      <c r="AV554" s="84">
        <v>0.0</v>
      </c>
      <c r="AW554" s="84">
        <v>0.0</v>
      </c>
      <c r="AX554" s="84">
        <v>1.0</v>
      </c>
      <c r="AY554" s="84">
        <v>1.0</v>
      </c>
      <c r="AZ554" s="84">
        <v>0.0</v>
      </c>
    </row>
    <row r="555" ht="12.75" customHeight="1">
      <c r="A555" s="84">
        <v>553.0</v>
      </c>
      <c r="B555" s="84" t="s">
        <v>5800</v>
      </c>
      <c r="C555" s="84">
        <v>0.0</v>
      </c>
      <c r="D555" s="84" t="s">
        <v>4942</v>
      </c>
      <c r="E555" s="84">
        <v>4.0</v>
      </c>
      <c r="F555" s="84" t="s">
        <v>5135</v>
      </c>
      <c r="G555" s="84">
        <v>140.0</v>
      </c>
      <c r="H555" s="84">
        <v>90.0</v>
      </c>
      <c r="I555" s="84">
        <v>5.0</v>
      </c>
      <c r="J555" s="84"/>
      <c r="K555" s="84"/>
      <c r="L555" s="84"/>
      <c r="M555" s="84" t="s">
        <v>5222</v>
      </c>
      <c r="N555" s="84">
        <v>1.0</v>
      </c>
      <c r="O555" s="84">
        <v>30.0</v>
      </c>
      <c r="P555" s="84">
        <v>1.0</v>
      </c>
      <c r="Q555" s="84"/>
      <c r="R555" s="84"/>
      <c r="S555" s="84"/>
      <c r="T555" s="84"/>
      <c r="U555" s="84">
        <v>331.0</v>
      </c>
      <c r="V555" s="84"/>
      <c r="W555" s="84"/>
      <c r="X555" s="84">
        <v>0.0</v>
      </c>
      <c r="Y555" s="84"/>
      <c r="Z555" s="84"/>
      <c r="AA555" s="84"/>
      <c r="AB555" s="84"/>
      <c r="AC555" s="84"/>
      <c r="AD555" s="84"/>
      <c r="AE555" s="84"/>
      <c r="AF555" s="84"/>
      <c r="AG555" s="84"/>
      <c r="AH555" s="84">
        <v>0.0</v>
      </c>
      <c r="AI555" s="84">
        <v>1.0</v>
      </c>
      <c r="AJ555" s="84">
        <v>0.0</v>
      </c>
      <c r="AK555" s="84">
        <v>1.0</v>
      </c>
      <c r="AL555" s="84">
        <v>0.0</v>
      </c>
      <c r="AM555" s="84">
        <v>0.0</v>
      </c>
      <c r="AN555" s="84">
        <v>1.0</v>
      </c>
      <c r="AO555" s="84">
        <v>0.0</v>
      </c>
      <c r="AP555" s="84">
        <v>0.0</v>
      </c>
      <c r="AQ555" s="84">
        <v>0.0</v>
      </c>
      <c r="AR555" s="84">
        <v>0.0</v>
      </c>
      <c r="AS555" s="84">
        <v>0.0</v>
      </c>
      <c r="AT555" s="84">
        <v>0.0</v>
      </c>
      <c r="AU555" s="84">
        <v>0.0</v>
      </c>
      <c r="AV555" s="84">
        <v>0.0</v>
      </c>
      <c r="AW555" s="84">
        <v>0.0</v>
      </c>
      <c r="AX555" s="84">
        <v>0.0</v>
      </c>
      <c r="AY555" s="84">
        <v>0.0</v>
      </c>
      <c r="AZ555" s="84">
        <v>0.0</v>
      </c>
    </row>
    <row r="556" ht="12.75" customHeight="1">
      <c r="A556" s="84">
        <v>554.0</v>
      </c>
      <c r="B556" s="84" t="s">
        <v>5801</v>
      </c>
      <c r="C556" s="84">
        <v>0.0</v>
      </c>
      <c r="D556" s="84" t="s">
        <v>4942</v>
      </c>
      <c r="E556" s="84">
        <v>4.0</v>
      </c>
      <c r="F556" s="84" t="s">
        <v>5172</v>
      </c>
      <c r="G556" s="84">
        <v>140.0</v>
      </c>
      <c r="H556" s="84">
        <v>90.0</v>
      </c>
      <c r="I556" s="84">
        <v>5.0</v>
      </c>
      <c r="J556" s="84"/>
      <c r="K556" s="84"/>
      <c r="L556" s="84"/>
      <c r="M556" s="84" t="s">
        <v>5724</v>
      </c>
      <c r="N556" s="84">
        <v>4.0</v>
      </c>
      <c r="O556" s="84">
        <v>30.0</v>
      </c>
      <c r="P556" s="84">
        <v>1.0</v>
      </c>
      <c r="Q556" s="84"/>
      <c r="R556" s="84"/>
      <c r="S556" s="84"/>
      <c r="T556" s="84"/>
      <c r="U556" s="84">
        <v>332.0</v>
      </c>
      <c r="V556" s="84"/>
      <c r="W556" s="84"/>
      <c r="X556" s="84">
        <v>0.0</v>
      </c>
      <c r="Y556" s="84"/>
      <c r="Z556" s="84"/>
      <c r="AA556" s="84"/>
      <c r="AB556" s="84"/>
      <c r="AC556" s="84"/>
      <c r="AD556" s="84"/>
      <c r="AE556" s="84"/>
      <c r="AF556" s="84"/>
      <c r="AG556" s="84"/>
      <c r="AH556" s="84">
        <v>0.0</v>
      </c>
      <c r="AI556" s="84">
        <v>1.0</v>
      </c>
      <c r="AJ556" s="84">
        <v>0.0</v>
      </c>
      <c r="AK556" s="84">
        <v>1.0</v>
      </c>
      <c r="AL556" s="84">
        <v>0.0</v>
      </c>
      <c r="AM556" s="84">
        <v>0.0</v>
      </c>
      <c r="AN556" s="84">
        <v>1.0</v>
      </c>
      <c r="AO556" s="84">
        <v>0.0</v>
      </c>
      <c r="AP556" s="84">
        <v>0.0</v>
      </c>
      <c r="AQ556" s="84">
        <v>0.0</v>
      </c>
      <c r="AR556" s="84">
        <v>0.0</v>
      </c>
      <c r="AS556" s="84">
        <v>0.0</v>
      </c>
      <c r="AT556" s="84">
        <v>0.0</v>
      </c>
      <c r="AU556" s="84">
        <v>0.0</v>
      </c>
      <c r="AV556" s="84">
        <v>0.0</v>
      </c>
      <c r="AW556" s="84">
        <v>0.0</v>
      </c>
      <c r="AX556" s="84">
        <v>0.0</v>
      </c>
      <c r="AY556" s="84">
        <v>0.0</v>
      </c>
      <c r="AZ556" s="84">
        <v>0.0</v>
      </c>
    </row>
    <row r="557" ht="12.75" customHeight="1">
      <c r="A557" s="84">
        <v>555.0</v>
      </c>
      <c r="B557" s="84" t="s">
        <v>4220</v>
      </c>
      <c r="C557" s="84">
        <v>1.0</v>
      </c>
      <c r="D557" s="84" t="s">
        <v>4972</v>
      </c>
      <c r="E557" s="84">
        <v>6.0</v>
      </c>
      <c r="F557" s="84" t="s">
        <v>5172</v>
      </c>
      <c r="G557" s="84">
        <v>55.0</v>
      </c>
      <c r="H557" s="84">
        <v>95.0</v>
      </c>
      <c r="I557" s="84">
        <v>15.0</v>
      </c>
      <c r="N557" s="84">
        <v>0.0</v>
      </c>
      <c r="O557" s="84">
        <v>0.0</v>
      </c>
      <c r="P557" s="84">
        <v>0.0</v>
      </c>
      <c r="U557" s="84">
        <v>71.0</v>
      </c>
      <c r="X557" s="84">
        <v>5.0</v>
      </c>
      <c r="Y557" s="84" t="s">
        <v>22</v>
      </c>
      <c r="Z557" s="84">
        <v>-1.0</v>
      </c>
      <c r="AA557" s="84">
        <v>100.0</v>
      </c>
      <c r="AH557" s="84">
        <v>0.0</v>
      </c>
      <c r="AI557" s="84">
        <v>0.0</v>
      </c>
      <c r="AJ557" s="84">
        <v>0.0</v>
      </c>
      <c r="AK557" s="84">
        <v>1.0</v>
      </c>
      <c r="AL557" s="84">
        <v>0.0</v>
      </c>
      <c r="AM557" s="84">
        <v>0.0</v>
      </c>
      <c r="AN557" s="84">
        <v>1.0</v>
      </c>
      <c r="AO557" s="84">
        <v>0.0</v>
      </c>
      <c r="AP557" s="84">
        <v>1.0</v>
      </c>
      <c r="AQ557" s="84">
        <v>0.0</v>
      </c>
      <c r="AR557" s="84">
        <v>0.0</v>
      </c>
      <c r="AS557" s="84">
        <v>0.0</v>
      </c>
      <c r="AT557" s="84">
        <v>0.0</v>
      </c>
      <c r="AU557" s="84">
        <v>1.0</v>
      </c>
      <c r="AV557" s="84">
        <v>0.0</v>
      </c>
      <c r="AW557" s="84">
        <v>0.0</v>
      </c>
      <c r="AX557" s="84">
        <v>0.0</v>
      </c>
      <c r="AY557" s="84">
        <v>0.0</v>
      </c>
      <c r="AZ557" s="84">
        <v>41.0</v>
      </c>
    </row>
    <row r="558" ht="12.75" customHeight="1">
      <c r="A558" s="84">
        <v>556.0</v>
      </c>
      <c r="B558" s="84" t="s">
        <v>5802</v>
      </c>
      <c r="C558" s="84">
        <v>1.0</v>
      </c>
      <c r="D558" s="84" t="s">
        <v>4942</v>
      </c>
      <c r="E558" s="84">
        <v>0.0</v>
      </c>
      <c r="F558" s="84" t="s">
        <v>5135</v>
      </c>
      <c r="G558" s="84">
        <v>85.0</v>
      </c>
      <c r="H558" s="84">
        <v>90.0</v>
      </c>
      <c r="I558" s="84">
        <v>10.0</v>
      </c>
      <c r="N558" s="84">
        <v>0.0</v>
      </c>
      <c r="O558" s="84">
        <v>0.0</v>
      </c>
      <c r="P558" s="84">
        <v>0.0</v>
      </c>
      <c r="T558" s="84">
        <v>30.0</v>
      </c>
      <c r="U558" s="84">
        <v>31.0</v>
      </c>
      <c r="X558" s="84">
        <v>0.0</v>
      </c>
      <c r="AH558" s="84">
        <v>0.0</v>
      </c>
      <c r="AI558" s="84">
        <v>0.0</v>
      </c>
      <c r="AJ558" s="84">
        <v>0.0</v>
      </c>
      <c r="AK558" s="84">
        <v>1.0</v>
      </c>
      <c r="AL558" s="84">
        <v>0.0</v>
      </c>
      <c r="AM558" s="84">
        <v>0.0</v>
      </c>
      <c r="AN558" s="84">
        <v>1.0</v>
      </c>
      <c r="AO558" s="84">
        <v>0.0</v>
      </c>
      <c r="AP558" s="84">
        <v>0.0</v>
      </c>
      <c r="AQ558" s="84">
        <v>0.0</v>
      </c>
      <c r="AR558" s="84">
        <v>0.0</v>
      </c>
      <c r="AS558" s="84">
        <v>0.0</v>
      </c>
      <c r="AT558" s="84">
        <v>0.0</v>
      </c>
      <c r="AU558" s="84">
        <v>0.0</v>
      </c>
      <c r="AV558" s="84">
        <v>0.0</v>
      </c>
      <c r="AW558" s="84">
        <v>0.0</v>
      </c>
      <c r="AX558" s="84">
        <v>0.0</v>
      </c>
      <c r="AY558" s="84">
        <v>1.0</v>
      </c>
      <c r="AZ558" s="84">
        <v>43.0</v>
      </c>
    </row>
    <row r="559" ht="12.75" customHeight="1">
      <c r="A559" s="84">
        <v>557.0</v>
      </c>
      <c r="B559" s="84" t="s">
        <v>5803</v>
      </c>
      <c r="C559" s="84">
        <v>0.0</v>
      </c>
      <c r="D559" s="84" t="s">
        <v>4906</v>
      </c>
      <c r="E559" s="84">
        <v>7.0</v>
      </c>
      <c r="F559" s="84" t="s">
        <v>5135</v>
      </c>
      <c r="G559" s="84">
        <v>180.0</v>
      </c>
      <c r="H559" s="84">
        <v>95.0</v>
      </c>
      <c r="I559" s="84">
        <v>5.0</v>
      </c>
      <c r="J559" s="84"/>
      <c r="K559" s="84"/>
      <c r="L559" s="84"/>
      <c r="M559" s="84"/>
      <c r="N559" s="84">
        <v>0.0</v>
      </c>
      <c r="O559" s="84">
        <v>0.0</v>
      </c>
      <c r="P559" s="84">
        <v>0.0</v>
      </c>
      <c r="Q559" s="84"/>
      <c r="R559" s="84"/>
      <c r="S559" s="84"/>
      <c r="T559" s="84"/>
      <c r="U559" s="84">
        <v>334.0</v>
      </c>
      <c r="V559" s="84"/>
      <c r="W559" s="84"/>
      <c r="X559" s="84">
        <v>0.0</v>
      </c>
      <c r="Y559" s="84" t="s">
        <v>5073</v>
      </c>
      <c r="Z559" s="84">
        <v>-1.0</v>
      </c>
      <c r="AA559" s="84">
        <v>100.0</v>
      </c>
      <c r="AB559" s="84" t="s">
        <v>21</v>
      </c>
      <c r="AC559" s="84">
        <v>-1.0</v>
      </c>
      <c r="AD559" s="84">
        <v>100.0</v>
      </c>
      <c r="AE559" s="84" t="s">
        <v>23</v>
      </c>
      <c r="AF559" s="84">
        <v>-1.0</v>
      </c>
      <c r="AG559" s="84">
        <v>100.0</v>
      </c>
      <c r="AH559" s="84">
        <v>1.0</v>
      </c>
      <c r="AI559" s="84">
        <v>0.0</v>
      </c>
      <c r="AJ559" s="84">
        <v>0.0</v>
      </c>
      <c r="AK559" s="84">
        <v>1.0</v>
      </c>
      <c r="AL559" s="84">
        <v>0.0</v>
      </c>
      <c r="AM559" s="84">
        <v>0.0</v>
      </c>
      <c r="AN559" s="84">
        <v>1.0</v>
      </c>
      <c r="AO559" s="84">
        <v>0.0</v>
      </c>
      <c r="AP559" s="84">
        <v>0.0</v>
      </c>
      <c r="AQ559" s="84">
        <v>0.0</v>
      </c>
      <c r="AR559" s="84">
        <v>0.0</v>
      </c>
      <c r="AS559" s="84">
        <v>0.0</v>
      </c>
      <c r="AT559" s="84">
        <v>0.0</v>
      </c>
      <c r="AU559" s="84">
        <v>0.0</v>
      </c>
      <c r="AV559" s="84">
        <v>0.0</v>
      </c>
      <c r="AW559" s="84">
        <v>0.0</v>
      </c>
      <c r="AX559" s="84">
        <v>0.0</v>
      </c>
      <c r="AY559" s="84">
        <v>0.0</v>
      </c>
      <c r="AZ559" s="84">
        <v>0.0</v>
      </c>
    </row>
    <row r="560" ht="12.75" customHeight="1">
      <c r="A560" s="84">
        <v>558.0</v>
      </c>
      <c r="B560" s="84" t="s">
        <v>5804</v>
      </c>
      <c r="C560" s="84">
        <v>0.0</v>
      </c>
      <c r="D560" s="84" t="s">
        <v>4906</v>
      </c>
      <c r="E560" s="84">
        <v>0.0</v>
      </c>
      <c r="F560" s="84" t="s">
        <v>5172</v>
      </c>
      <c r="G560" s="84">
        <v>100.0</v>
      </c>
      <c r="H560" s="84">
        <v>100.0</v>
      </c>
      <c r="I560" s="84">
        <v>5.0</v>
      </c>
      <c r="J560" s="84"/>
      <c r="K560" s="84"/>
      <c r="L560" s="84"/>
      <c r="M560" s="84"/>
      <c r="N560" s="84">
        <v>0.0</v>
      </c>
      <c r="O560" s="84">
        <v>0.0</v>
      </c>
      <c r="P560" s="84">
        <v>0.0</v>
      </c>
      <c r="Q560" s="84"/>
      <c r="R560" s="84"/>
      <c r="S560" s="84"/>
      <c r="T560" s="84"/>
      <c r="U560" s="84">
        <v>335.0</v>
      </c>
      <c r="V560" s="84"/>
      <c r="W560" s="84"/>
      <c r="X560" s="84">
        <v>0.0</v>
      </c>
      <c r="Y560" s="84"/>
      <c r="Z560" s="84"/>
      <c r="AA560" s="84"/>
      <c r="AB560" s="84"/>
      <c r="AC560" s="84"/>
      <c r="AD560" s="84"/>
      <c r="AE560" s="84"/>
      <c r="AF560" s="84"/>
      <c r="AG560" s="84"/>
      <c r="AH560" s="84">
        <v>0.0</v>
      </c>
      <c r="AI560" s="84">
        <v>0.0</v>
      </c>
      <c r="AJ560" s="84">
        <v>0.0</v>
      </c>
      <c r="AK560" s="84">
        <v>1.0</v>
      </c>
      <c r="AL560" s="84">
        <v>0.0</v>
      </c>
      <c r="AM560" s="84">
        <v>0.0</v>
      </c>
      <c r="AN560" s="84">
        <v>1.0</v>
      </c>
      <c r="AO560" s="84">
        <v>0.0</v>
      </c>
      <c r="AP560" s="84">
        <v>0.0</v>
      </c>
      <c r="AQ560" s="84">
        <v>0.0</v>
      </c>
      <c r="AR560" s="84">
        <v>1.0</v>
      </c>
      <c r="AS560" s="84">
        <v>0.0</v>
      </c>
      <c r="AT560" s="84">
        <v>0.0</v>
      </c>
      <c r="AU560" s="84">
        <v>0.0</v>
      </c>
      <c r="AV560" s="84">
        <v>0.0</v>
      </c>
      <c r="AW560" s="84">
        <v>0.0</v>
      </c>
      <c r="AX560" s="84">
        <v>0.0</v>
      </c>
      <c r="AY560" s="84">
        <v>1.0</v>
      </c>
      <c r="AZ560" s="84">
        <v>0.0</v>
      </c>
    </row>
    <row r="561" ht="12.75" customHeight="1">
      <c r="A561" s="84">
        <v>559.0</v>
      </c>
      <c r="B561" s="84" t="s">
        <v>5805</v>
      </c>
      <c r="C561" s="84">
        <v>0.0</v>
      </c>
      <c r="D561" s="84" t="s">
        <v>4921</v>
      </c>
      <c r="E561" s="84">
        <v>0.0</v>
      </c>
      <c r="F561" s="84" t="s">
        <v>5135</v>
      </c>
      <c r="G561" s="84">
        <v>100.0</v>
      </c>
      <c r="H561" s="84">
        <v>100.0</v>
      </c>
      <c r="I561" s="84">
        <v>5.0</v>
      </c>
      <c r="J561" s="84"/>
      <c r="K561" s="84"/>
      <c r="L561" s="84"/>
      <c r="M561" s="84"/>
      <c r="N561" s="84">
        <v>0.0</v>
      </c>
      <c r="O561" s="84">
        <v>0.0</v>
      </c>
      <c r="P561" s="84">
        <v>0.0</v>
      </c>
      <c r="Q561" s="84"/>
      <c r="R561" s="84"/>
      <c r="S561" s="84"/>
      <c r="T561" s="84"/>
      <c r="U561" s="84">
        <v>336.0</v>
      </c>
      <c r="V561" s="84"/>
      <c r="W561" s="84"/>
      <c r="X561" s="84">
        <v>0.0</v>
      </c>
      <c r="Y561" s="84"/>
      <c r="Z561" s="84"/>
      <c r="AA561" s="84"/>
      <c r="AB561" s="84"/>
      <c r="AC561" s="84"/>
      <c r="AD561" s="84"/>
      <c r="AE561" s="84"/>
      <c r="AF561" s="84"/>
      <c r="AG561" s="84"/>
      <c r="AH561" s="84">
        <v>0.0</v>
      </c>
      <c r="AI561" s="84">
        <v>0.0</v>
      </c>
      <c r="AJ561" s="84">
        <v>0.0</v>
      </c>
      <c r="AK561" s="84">
        <v>1.0</v>
      </c>
      <c r="AL561" s="84">
        <v>0.0</v>
      </c>
      <c r="AM561" s="84">
        <v>0.0</v>
      </c>
      <c r="AN561" s="84">
        <v>1.0</v>
      </c>
      <c r="AO561" s="84">
        <v>0.0</v>
      </c>
      <c r="AP561" s="84">
        <v>0.0</v>
      </c>
      <c r="AQ561" s="84">
        <v>0.0</v>
      </c>
      <c r="AR561" s="84">
        <v>0.0</v>
      </c>
      <c r="AS561" s="84">
        <v>0.0</v>
      </c>
      <c r="AT561" s="84">
        <v>0.0</v>
      </c>
      <c r="AU561" s="84">
        <v>0.0</v>
      </c>
      <c r="AV561" s="84">
        <v>0.0</v>
      </c>
      <c r="AW561" s="84">
        <v>0.0</v>
      </c>
      <c r="AX561" s="84">
        <v>0.0</v>
      </c>
      <c r="AY561" s="84">
        <v>1.0</v>
      </c>
      <c r="AZ561" s="84">
        <v>0.0</v>
      </c>
    </row>
    <row r="562" ht="12.75" customHeight="1">
      <c r="A562" s="84">
        <v>560.0</v>
      </c>
      <c r="B562" s="84" t="s">
        <v>5806</v>
      </c>
      <c r="C562" s="84">
        <v>0.0</v>
      </c>
      <c r="D562" s="84" t="s">
        <v>4935</v>
      </c>
      <c r="E562" s="84">
        <v>0.0</v>
      </c>
      <c r="F562" s="84" t="s">
        <v>5135</v>
      </c>
      <c r="G562" s="84">
        <v>100.0</v>
      </c>
      <c r="H562" s="84">
        <v>95.0</v>
      </c>
      <c r="I562" s="84">
        <v>10.0</v>
      </c>
      <c r="J562" s="84"/>
      <c r="K562" s="84"/>
      <c r="L562" s="84"/>
      <c r="M562" s="84"/>
      <c r="N562" s="84">
        <v>0.0</v>
      </c>
      <c r="O562" s="84">
        <v>0.0</v>
      </c>
      <c r="P562" s="84">
        <v>0.0</v>
      </c>
      <c r="Q562" s="84"/>
      <c r="R562" s="84"/>
      <c r="S562" s="84"/>
      <c r="T562" s="84"/>
      <c r="U562" s="84">
        <v>337.0</v>
      </c>
      <c r="V562" s="84"/>
      <c r="W562" s="84"/>
      <c r="X562" s="84">
        <v>0.0</v>
      </c>
      <c r="Y562" s="84"/>
      <c r="Z562" s="84"/>
      <c r="AA562" s="84"/>
      <c r="AB562" s="84"/>
      <c r="AC562" s="84"/>
      <c r="AD562" s="84"/>
      <c r="AE562" s="84"/>
      <c r="AF562" s="84"/>
      <c r="AG562" s="84"/>
      <c r="AH562" s="84">
        <v>1.0</v>
      </c>
      <c r="AI562" s="84">
        <v>0.0</v>
      </c>
      <c r="AJ562" s="84">
        <v>0.0</v>
      </c>
      <c r="AK562" s="84">
        <v>1.0</v>
      </c>
      <c r="AL562" s="84">
        <v>0.0</v>
      </c>
      <c r="AM562" s="84">
        <v>0.0</v>
      </c>
      <c r="AN562" s="84">
        <v>1.0</v>
      </c>
      <c r="AO562" s="84">
        <v>0.0</v>
      </c>
      <c r="AP562" s="84">
        <v>0.0</v>
      </c>
      <c r="AQ562" s="84">
        <v>1.0</v>
      </c>
      <c r="AR562" s="84">
        <v>0.0</v>
      </c>
      <c r="AS562" s="84">
        <v>1.0</v>
      </c>
      <c r="AT562" s="84">
        <v>0.0</v>
      </c>
      <c r="AU562" s="84">
        <v>0.0</v>
      </c>
      <c r="AV562" s="84">
        <v>1.0</v>
      </c>
      <c r="AW562" s="84">
        <v>0.0</v>
      </c>
      <c r="AX562" s="84">
        <v>0.0</v>
      </c>
      <c r="AY562" s="84">
        <v>1.0</v>
      </c>
      <c r="AZ562" s="84">
        <v>0.0</v>
      </c>
    </row>
    <row r="563" ht="12.75" customHeight="1">
      <c r="A563" s="84">
        <v>561.0</v>
      </c>
      <c r="B563" s="84" t="s">
        <v>2535</v>
      </c>
      <c r="C563" s="84">
        <v>0.0</v>
      </c>
      <c r="D563" s="84" t="s">
        <v>4935</v>
      </c>
      <c r="E563" s="84">
        <v>11.0</v>
      </c>
      <c r="F563" s="84" t="s">
        <v>5131</v>
      </c>
      <c r="G563" s="84">
        <v>0.0</v>
      </c>
      <c r="H563" s="84">
        <v>101.0</v>
      </c>
      <c r="I563" s="84">
        <v>10.0</v>
      </c>
      <c r="J563" s="84"/>
      <c r="K563" s="84"/>
      <c r="L563" s="84"/>
      <c r="M563" s="84"/>
      <c r="N563" s="84">
        <v>0.0</v>
      </c>
      <c r="O563" s="84">
        <v>0.0</v>
      </c>
      <c r="P563" s="84">
        <v>0.0</v>
      </c>
      <c r="Q563" s="84"/>
      <c r="R563" s="84"/>
      <c r="S563" s="84"/>
      <c r="T563" s="84"/>
      <c r="U563" s="84">
        <v>376.0</v>
      </c>
      <c r="V563" s="84"/>
      <c r="W563" s="84"/>
      <c r="X563" s="84">
        <v>12.0</v>
      </c>
      <c r="Y563" s="84"/>
      <c r="Z563" s="84"/>
      <c r="AA563" s="84"/>
      <c r="AB563" s="84"/>
      <c r="AC563" s="84"/>
      <c r="AD563" s="84"/>
      <c r="AE563" s="84"/>
      <c r="AF563" s="84"/>
      <c r="AG563" s="84"/>
      <c r="AH563" s="84">
        <v>0.0</v>
      </c>
      <c r="AI563" s="84">
        <v>0.0</v>
      </c>
      <c r="AJ563" s="84">
        <v>0.0</v>
      </c>
      <c r="AK563" s="84">
        <v>0.0</v>
      </c>
      <c r="AL563" s="84">
        <v>0.0</v>
      </c>
      <c r="AM563" s="84">
        <v>1.0</v>
      </c>
      <c r="AN563" s="84">
        <v>0.0</v>
      </c>
      <c r="AO563" s="84">
        <v>0.0</v>
      </c>
      <c r="AP563" s="84">
        <v>0.0</v>
      </c>
      <c r="AQ563" s="84">
        <v>0.0</v>
      </c>
      <c r="AR563" s="84">
        <v>0.0</v>
      </c>
      <c r="AS563" s="84">
        <v>0.0</v>
      </c>
      <c r="AT563" s="84">
        <v>0.0</v>
      </c>
      <c r="AU563" s="84">
        <v>0.0</v>
      </c>
      <c r="AV563" s="84">
        <v>1.0</v>
      </c>
      <c r="AW563" s="84">
        <v>0.0</v>
      </c>
      <c r="AX563" s="84">
        <v>0.0</v>
      </c>
      <c r="AY563" s="84">
        <v>0.0</v>
      </c>
      <c r="AZ563" s="84">
        <v>0.0</v>
      </c>
    </row>
    <row r="564" ht="12.75" customHeight="1">
      <c r="A564" s="84">
        <v>562.0</v>
      </c>
      <c r="B564" s="84" t="s">
        <v>3921</v>
      </c>
      <c r="C564" s="84">
        <v>1.0</v>
      </c>
      <c r="D564" s="84" t="s">
        <v>4905</v>
      </c>
      <c r="E564" s="84">
        <v>0.0</v>
      </c>
      <c r="F564" s="84" t="s">
        <v>5172</v>
      </c>
      <c r="G564" s="84">
        <v>120.0</v>
      </c>
      <c r="H564" s="84">
        <v>90.0</v>
      </c>
      <c r="I564" s="84">
        <v>10.0</v>
      </c>
      <c r="N564" s="84">
        <v>0.0</v>
      </c>
      <c r="O564" s="84">
        <v>0.0</v>
      </c>
      <c r="P564" s="84">
        <v>0.0</v>
      </c>
      <c r="U564" s="84">
        <v>338.0</v>
      </c>
      <c r="X564" s="84">
        <v>0.0</v>
      </c>
      <c r="AH564" s="84">
        <v>0.0</v>
      </c>
      <c r="AI564" s="84">
        <v>0.0</v>
      </c>
      <c r="AJ564" s="84">
        <v>0.0</v>
      </c>
      <c r="AK564" s="84">
        <v>1.0</v>
      </c>
      <c r="AL564" s="84">
        <v>0.0</v>
      </c>
      <c r="AM564" s="84">
        <v>0.0</v>
      </c>
      <c r="AN564" s="84">
        <v>0.0</v>
      </c>
      <c r="AO564" s="84">
        <v>0.0</v>
      </c>
      <c r="AP564" s="84">
        <v>0.0</v>
      </c>
      <c r="AQ564" s="84">
        <v>0.0</v>
      </c>
      <c r="AR564" s="84">
        <v>0.0</v>
      </c>
      <c r="AS564" s="84">
        <v>0.0</v>
      </c>
      <c r="AT564" s="84">
        <v>0.0</v>
      </c>
      <c r="AU564" s="84">
        <v>0.0</v>
      </c>
      <c r="AV564" s="84">
        <v>0.0</v>
      </c>
      <c r="AW564" s="84">
        <v>0.0</v>
      </c>
      <c r="AX564" s="84">
        <v>0.0</v>
      </c>
      <c r="AY564" s="84">
        <v>0.0</v>
      </c>
      <c r="AZ564" s="84">
        <v>46.0</v>
      </c>
    </row>
    <row r="565" ht="12.75" customHeight="1">
      <c r="A565" s="84">
        <v>563.0</v>
      </c>
      <c r="B565" s="84" t="s">
        <v>5807</v>
      </c>
      <c r="C565" s="84">
        <v>0.0</v>
      </c>
      <c r="D565" s="84" t="s">
        <v>4922</v>
      </c>
      <c r="E565" s="84">
        <v>2.0</v>
      </c>
      <c r="F565" s="84" t="s">
        <v>5131</v>
      </c>
      <c r="G565" s="84">
        <v>0.0</v>
      </c>
      <c r="H565" s="84">
        <v>101.0</v>
      </c>
      <c r="I565" s="84">
        <v>10.0</v>
      </c>
      <c r="J565" s="84"/>
      <c r="K565" s="84"/>
      <c r="L565" s="84"/>
      <c r="M565" s="84"/>
      <c r="N565" s="84">
        <v>0.0</v>
      </c>
      <c r="O565" s="84">
        <v>0.0</v>
      </c>
      <c r="P565" s="84">
        <v>0.0</v>
      </c>
      <c r="Q565" s="84"/>
      <c r="R565" s="84"/>
      <c r="S565" s="84"/>
      <c r="T565" s="84"/>
      <c r="U565" s="84">
        <v>339.0</v>
      </c>
      <c r="V565" s="84"/>
      <c r="W565" s="84"/>
      <c r="X565" s="84">
        <v>8.0</v>
      </c>
      <c r="Y565" s="84" t="s">
        <v>20</v>
      </c>
      <c r="Z565" s="84">
        <v>1.0</v>
      </c>
      <c r="AA565" s="84">
        <v>100.0</v>
      </c>
      <c r="AB565" s="84" t="s">
        <v>22</v>
      </c>
      <c r="AC565" s="84">
        <v>1.0</v>
      </c>
      <c r="AD565" s="84">
        <v>100.0</v>
      </c>
      <c r="AE565" s="84"/>
      <c r="AF565" s="84"/>
      <c r="AG565" s="84"/>
      <c r="AH565" s="84">
        <v>0.0</v>
      </c>
      <c r="AI565" s="84">
        <v>0.0</v>
      </c>
      <c r="AJ565" s="84">
        <v>0.0</v>
      </c>
      <c r="AK565" s="84">
        <v>0.0</v>
      </c>
      <c r="AL565" s="84">
        <v>0.0</v>
      </c>
      <c r="AM565" s="84">
        <v>0.0</v>
      </c>
      <c r="AN565" s="84">
        <v>0.0</v>
      </c>
      <c r="AO565" s="84">
        <v>0.0</v>
      </c>
      <c r="AP565" s="84">
        <v>0.0</v>
      </c>
      <c r="AQ565" s="84">
        <v>0.0</v>
      </c>
      <c r="AR565" s="84">
        <v>0.0</v>
      </c>
      <c r="AS565" s="84">
        <v>1.0</v>
      </c>
      <c r="AT565" s="84">
        <v>0.0</v>
      </c>
      <c r="AU565" s="84">
        <v>0.0</v>
      </c>
      <c r="AV565" s="84">
        <v>1.0</v>
      </c>
      <c r="AW565" s="84">
        <v>0.0</v>
      </c>
      <c r="AX565" s="84">
        <v>0.0</v>
      </c>
      <c r="AY565" s="84">
        <v>1.0</v>
      </c>
      <c r="AZ565" s="84">
        <v>0.0</v>
      </c>
    </row>
    <row r="566" ht="12.75" customHeight="1">
      <c r="A566" s="84">
        <v>564.0</v>
      </c>
      <c r="B566" s="84" t="s">
        <v>3180</v>
      </c>
      <c r="C566" s="84">
        <v>1.0</v>
      </c>
      <c r="D566" s="84" t="s">
        <v>4910</v>
      </c>
      <c r="E566" s="84">
        <v>11.0</v>
      </c>
      <c r="F566" s="84" t="s">
        <v>5131</v>
      </c>
      <c r="G566" s="84">
        <v>0.0</v>
      </c>
      <c r="H566" s="84">
        <v>101.0</v>
      </c>
      <c r="I566" s="84">
        <v>20.0</v>
      </c>
      <c r="N566" s="84">
        <v>0.0</v>
      </c>
      <c r="O566" s="84">
        <v>0.0</v>
      </c>
      <c r="P566" s="84">
        <v>0.0</v>
      </c>
      <c r="U566" s="84">
        <v>340.0</v>
      </c>
      <c r="X566" s="84">
        <v>11.0</v>
      </c>
      <c r="AH566" s="84">
        <v>0.0</v>
      </c>
      <c r="AI566" s="84">
        <v>0.0</v>
      </c>
      <c r="AJ566" s="84">
        <v>0.0</v>
      </c>
      <c r="AK566" s="84">
        <v>0.0</v>
      </c>
      <c r="AL566" s="84">
        <v>1.0</v>
      </c>
      <c r="AM566" s="84">
        <v>0.0</v>
      </c>
      <c r="AN566" s="84">
        <v>0.0</v>
      </c>
      <c r="AO566" s="84">
        <v>0.0</v>
      </c>
      <c r="AP566" s="84">
        <v>0.0</v>
      </c>
      <c r="AQ566" s="84">
        <v>0.0</v>
      </c>
      <c r="AR566" s="84">
        <v>0.0</v>
      </c>
      <c r="AS566" s="84">
        <v>0.0</v>
      </c>
      <c r="AT566" s="84">
        <v>0.0</v>
      </c>
      <c r="AU566" s="84">
        <v>0.0</v>
      </c>
      <c r="AV566" s="84">
        <v>0.0</v>
      </c>
      <c r="AW566" s="84">
        <v>0.0</v>
      </c>
      <c r="AX566" s="84">
        <v>0.0</v>
      </c>
      <c r="AY566" s="84">
        <v>1.0</v>
      </c>
      <c r="AZ566" s="84">
        <v>14.0</v>
      </c>
    </row>
    <row r="567" ht="12.75" customHeight="1">
      <c r="A567" s="84">
        <v>565.0</v>
      </c>
      <c r="B567" s="84" t="s">
        <v>3189</v>
      </c>
      <c r="C567" s="84">
        <v>1.0</v>
      </c>
      <c r="D567" s="84" t="s">
        <v>4910</v>
      </c>
      <c r="E567" s="84">
        <v>0.0</v>
      </c>
      <c r="F567" s="84" t="s">
        <v>5135</v>
      </c>
      <c r="G567" s="84">
        <v>50.0</v>
      </c>
      <c r="H567" s="84">
        <v>100.0</v>
      </c>
      <c r="I567" s="84">
        <v>25.0</v>
      </c>
      <c r="N567" s="84">
        <v>0.0</v>
      </c>
      <c r="O567" s="84">
        <v>0.0</v>
      </c>
      <c r="P567" s="84">
        <v>0.0</v>
      </c>
      <c r="U567" s="84">
        <v>341.0</v>
      </c>
      <c r="X567" s="84">
        <v>0.0</v>
      </c>
      <c r="AH567" s="84">
        <v>1.0</v>
      </c>
      <c r="AI567" s="84">
        <v>0.0</v>
      </c>
      <c r="AJ567" s="84">
        <v>0.0</v>
      </c>
      <c r="AK567" s="84">
        <v>1.0</v>
      </c>
      <c r="AL567" s="84">
        <v>0.0</v>
      </c>
      <c r="AM567" s="84">
        <v>0.0</v>
      </c>
      <c r="AN567" s="84">
        <v>1.0</v>
      </c>
      <c r="AO567" s="84">
        <v>0.0</v>
      </c>
      <c r="AP567" s="84">
        <v>0.0</v>
      </c>
      <c r="AQ567" s="84">
        <v>0.0</v>
      </c>
      <c r="AR567" s="84">
        <v>0.0</v>
      </c>
      <c r="AS567" s="84">
        <v>0.0</v>
      </c>
      <c r="AT567" s="84">
        <v>0.0</v>
      </c>
      <c r="AU567" s="84">
        <v>0.0</v>
      </c>
      <c r="AV567" s="84">
        <v>0.0</v>
      </c>
      <c r="AW567" s="84">
        <v>0.0</v>
      </c>
      <c r="AX567" s="84">
        <v>0.0</v>
      </c>
      <c r="AY567" s="84">
        <v>1.0</v>
      </c>
      <c r="AZ567" s="84">
        <v>37.0</v>
      </c>
    </row>
    <row r="568" ht="12.75" customHeight="1">
      <c r="A568" s="84">
        <v>566.0</v>
      </c>
      <c r="B568" s="84" t="s">
        <v>4031</v>
      </c>
      <c r="C568" s="84">
        <v>1.0</v>
      </c>
      <c r="D568" s="84" t="s">
        <v>4945</v>
      </c>
      <c r="E568" s="84">
        <v>0.0</v>
      </c>
      <c r="F568" s="84" t="s">
        <v>5135</v>
      </c>
      <c r="G568" s="84">
        <v>90.0</v>
      </c>
      <c r="H568" s="84">
        <v>100.0</v>
      </c>
      <c r="I568" s="84">
        <v>10.0</v>
      </c>
      <c r="N568" s="84">
        <v>0.0</v>
      </c>
      <c r="O568" s="84">
        <v>0.0</v>
      </c>
      <c r="P568" s="84">
        <v>0.0</v>
      </c>
      <c r="U568" s="84">
        <v>272.0</v>
      </c>
      <c r="X568" s="84">
        <v>0.0</v>
      </c>
      <c r="AH568" s="84">
        <v>1.0</v>
      </c>
      <c r="AI568" s="84">
        <v>1.0</v>
      </c>
      <c r="AJ568" s="84">
        <v>0.0</v>
      </c>
      <c r="AK568" s="84">
        <v>0.0</v>
      </c>
      <c r="AL568" s="84">
        <v>0.0</v>
      </c>
      <c r="AM568" s="84">
        <v>0.0</v>
      </c>
      <c r="AN568" s="84">
        <v>1.0</v>
      </c>
      <c r="AO568" s="84">
        <v>0.0</v>
      </c>
      <c r="AP568" s="84">
        <v>0.0</v>
      </c>
      <c r="AQ568" s="84">
        <v>0.0</v>
      </c>
      <c r="AR568" s="84">
        <v>0.0</v>
      </c>
      <c r="AS568" s="84">
        <v>0.0</v>
      </c>
      <c r="AT568" s="84">
        <v>0.0</v>
      </c>
      <c r="AU568" s="84">
        <v>0.0</v>
      </c>
      <c r="AV568" s="84">
        <v>0.0</v>
      </c>
      <c r="AW568" s="84">
        <v>0.0</v>
      </c>
      <c r="AX568" s="84">
        <v>0.0</v>
      </c>
      <c r="AY568" s="84">
        <v>1.0</v>
      </c>
      <c r="AZ568" s="84">
        <v>26.0</v>
      </c>
    </row>
    <row r="569" ht="12.75" customHeight="1">
      <c r="A569" s="84">
        <v>567.0</v>
      </c>
      <c r="B569" s="84" t="s">
        <v>5808</v>
      </c>
      <c r="C569" s="84">
        <v>0.0</v>
      </c>
      <c r="D569" s="84" t="s">
        <v>4945</v>
      </c>
      <c r="E569" s="84">
        <v>13.0</v>
      </c>
      <c r="F569" s="84" t="s">
        <v>5131</v>
      </c>
      <c r="G569" s="84">
        <v>0.0</v>
      </c>
      <c r="H569" s="84">
        <v>100.0</v>
      </c>
      <c r="I569" s="84">
        <v>20.0</v>
      </c>
      <c r="J569" s="84"/>
      <c r="K569" s="84"/>
      <c r="L569" s="84"/>
      <c r="M569" s="84"/>
      <c r="N569" s="84">
        <v>0.0</v>
      </c>
      <c r="O569" s="84">
        <v>0.0</v>
      </c>
      <c r="P569" s="84">
        <v>0.0</v>
      </c>
      <c r="Q569" s="84"/>
      <c r="R569" s="84"/>
      <c r="S569" s="84"/>
      <c r="T569" s="84"/>
      <c r="U569" s="84">
        <v>342.0</v>
      </c>
      <c r="V569" s="84"/>
      <c r="W569" s="84"/>
      <c r="X569" s="84">
        <v>0.0</v>
      </c>
      <c r="Y569" s="84"/>
      <c r="Z569" s="84"/>
      <c r="AA569" s="84"/>
      <c r="AB569" s="84"/>
      <c r="AC569" s="84"/>
      <c r="AD569" s="84"/>
      <c r="AE569" s="84"/>
      <c r="AF569" s="84"/>
      <c r="AG569" s="84"/>
      <c r="AH569" s="84">
        <v>0.0</v>
      </c>
      <c r="AI569" s="84">
        <v>0.0</v>
      </c>
      <c r="AJ569" s="84">
        <v>0.0</v>
      </c>
      <c r="AK569" s="84">
        <v>1.0</v>
      </c>
      <c r="AL569" s="84">
        <v>1.0</v>
      </c>
      <c r="AM569" s="84">
        <v>0.0</v>
      </c>
      <c r="AN569" s="84">
        <v>1.0</v>
      </c>
      <c r="AO569" s="84">
        <v>0.0</v>
      </c>
      <c r="AP569" s="84">
        <v>0.0</v>
      </c>
      <c r="AQ569" s="84">
        <v>0.0</v>
      </c>
      <c r="AR569" s="84">
        <v>0.0</v>
      </c>
      <c r="AS569" s="84">
        <v>0.0</v>
      </c>
      <c r="AT569" s="84">
        <v>0.0</v>
      </c>
      <c r="AU569" s="84">
        <v>0.0</v>
      </c>
      <c r="AV569" s="84">
        <v>0.0</v>
      </c>
      <c r="AW569" s="84">
        <v>1.0</v>
      </c>
      <c r="AX569" s="84">
        <v>0.0</v>
      </c>
      <c r="AY569" s="84">
        <v>1.0</v>
      </c>
      <c r="AZ569" s="84">
        <v>0.0</v>
      </c>
    </row>
    <row r="570" ht="12.75" customHeight="1">
      <c r="A570" s="84">
        <v>568.0</v>
      </c>
      <c r="B570" s="84" t="s">
        <v>5809</v>
      </c>
      <c r="C570" s="84">
        <v>1.0</v>
      </c>
      <c r="D570" s="84" t="s">
        <v>4916</v>
      </c>
      <c r="E570" s="84">
        <v>2.0</v>
      </c>
      <c r="F570" s="84" t="s">
        <v>5131</v>
      </c>
      <c r="G570" s="84">
        <v>0.0</v>
      </c>
      <c r="H570" s="84">
        <v>100.0</v>
      </c>
      <c r="I570" s="84">
        <v>30.0</v>
      </c>
      <c r="N570" s="84">
        <v>0.0</v>
      </c>
      <c r="O570" s="84">
        <v>0.0</v>
      </c>
      <c r="P570" s="84">
        <v>0.0</v>
      </c>
      <c r="U570" s="84">
        <v>343.0</v>
      </c>
      <c r="X570" s="84">
        <v>0.0</v>
      </c>
      <c r="Y570" s="84" t="s">
        <v>20</v>
      </c>
      <c r="Z570" s="84">
        <v>-1.0</v>
      </c>
      <c r="AA570" s="84">
        <v>100.0</v>
      </c>
      <c r="AB570" s="84" t="s">
        <v>22</v>
      </c>
      <c r="AC570" s="84">
        <v>-1.0</v>
      </c>
      <c r="AD570" s="84">
        <v>100.0</v>
      </c>
      <c r="AH570" s="84">
        <v>0.0</v>
      </c>
      <c r="AI570" s="84">
        <v>0.0</v>
      </c>
      <c r="AJ570" s="84">
        <v>0.0</v>
      </c>
      <c r="AK570" s="84">
        <v>1.0</v>
      </c>
      <c r="AL570" s="84">
        <v>1.0</v>
      </c>
      <c r="AM570" s="84">
        <v>0.0</v>
      </c>
      <c r="AN570" s="84">
        <v>1.0</v>
      </c>
      <c r="AO570" s="84">
        <v>0.0</v>
      </c>
      <c r="AP570" s="84">
        <v>1.0</v>
      </c>
      <c r="AQ570" s="84">
        <v>0.0</v>
      </c>
      <c r="AR570" s="84">
        <v>0.0</v>
      </c>
      <c r="AS570" s="84">
        <v>0.0</v>
      </c>
      <c r="AT570" s="84">
        <v>0.0</v>
      </c>
      <c r="AU570" s="84">
        <v>1.0</v>
      </c>
      <c r="AV570" s="84">
        <v>0.0</v>
      </c>
      <c r="AW570" s="84">
        <v>0.0</v>
      </c>
      <c r="AX570" s="84">
        <v>0.0</v>
      </c>
      <c r="AY570" s="84">
        <v>1.0</v>
      </c>
      <c r="AZ570" s="84">
        <v>8.0</v>
      </c>
    </row>
    <row r="571" ht="12.75" customHeight="1">
      <c r="A571" s="84">
        <v>569.0</v>
      </c>
      <c r="B571" s="84" t="s">
        <v>5810</v>
      </c>
      <c r="C571" s="84">
        <v>0.0</v>
      </c>
      <c r="D571" s="84" t="s">
        <v>4921</v>
      </c>
      <c r="E571" s="84">
        <v>10.0</v>
      </c>
      <c r="F571" s="84" t="s">
        <v>5131</v>
      </c>
      <c r="G571" s="84">
        <v>0.0</v>
      </c>
      <c r="H571" s="84">
        <v>101.0</v>
      </c>
      <c r="I571" s="84">
        <v>25.0</v>
      </c>
      <c r="J571" s="84">
        <v>1.0</v>
      </c>
      <c r="K571" s="84"/>
      <c r="L571" s="84"/>
      <c r="M571" s="84"/>
      <c r="N571" s="84">
        <v>0.0</v>
      </c>
      <c r="O571" s="84">
        <v>0.0</v>
      </c>
      <c r="P571" s="84">
        <v>0.0</v>
      </c>
      <c r="Q571" s="84"/>
      <c r="R571" s="84"/>
      <c r="S571" s="84"/>
      <c r="T571" s="84"/>
      <c r="U571" s="84">
        <v>344.0</v>
      </c>
      <c r="V571" s="84"/>
      <c r="W571" s="84"/>
      <c r="X571" s="84">
        <v>10.0</v>
      </c>
      <c r="Y571" s="84"/>
      <c r="Z571" s="84"/>
      <c r="AA571" s="84"/>
      <c r="AB571" s="84"/>
      <c r="AC571" s="84"/>
      <c r="AD571" s="84"/>
      <c r="AE571" s="84"/>
      <c r="AF571" s="84"/>
      <c r="AG571" s="84"/>
      <c r="AH571" s="84">
        <v>0.0</v>
      </c>
      <c r="AI571" s="84">
        <v>0.0</v>
      </c>
      <c r="AJ571" s="84">
        <v>0.0</v>
      </c>
      <c r="AK571" s="84">
        <v>0.0</v>
      </c>
      <c r="AL571" s="84">
        <v>0.0</v>
      </c>
      <c r="AM571" s="84">
        <v>0.0</v>
      </c>
      <c r="AN571" s="84">
        <v>0.0</v>
      </c>
      <c r="AO571" s="84">
        <v>0.0</v>
      </c>
      <c r="AP571" s="84">
        <v>0.0</v>
      </c>
      <c r="AQ571" s="84">
        <v>0.0</v>
      </c>
      <c r="AR571" s="84">
        <v>0.0</v>
      </c>
      <c r="AS571" s="84">
        <v>0.0</v>
      </c>
      <c r="AT571" s="84">
        <v>0.0</v>
      </c>
      <c r="AU571" s="84">
        <v>0.0</v>
      </c>
      <c r="AV571" s="84">
        <v>0.0</v>
      </c>
      <c r="AW571" s="84">
        <v>0.0</v>
      </c>
      <c r="AX571" s="84">
        <v>0.0</v>
      </c>
      <c r="AY571" s="84">
        <v>1.0</v>
      </c>
      <c r="AZ571" s="84">
        <v>0.0</v>
      </c>
    </row>
    <row r="572" ht="12.75" customHeight="1">
      <c r="A572" s="84">
        <v>570.0</v>
      </c>
      <c r="B572" s="84" t="s">
        <v>5811</v>
      </c>
      <c r="C572" s="84">
        <v>0.0</v>
      </c>
      <c r="D572" s="84" t="s">
        <v>4921</v>
      </c>
      <c r="E572" s="84">
        <v>8.0</v>
      </c>
      <c r="F572" s="84" t="s">
        <v>5172</v>
      </c>
      <c r="G572" s="84">
        <v>65.0</v>
      </c>
      <c r="H572" s="84">
        <v>100.0</v>
      </c>
      <c r="I572" s="84">
        <v>20.0</v>
      </c>
      <c r="J572" s="84"/>
      <c r="K572" s="84"/>
      <c r="L572" s="84"/>
      <c r="M572" s="84"/>
      <c r="N572" s="84">
        <v>0.0</v>
      </c>
      <c r="O572" s="84">
        <v>0.0</v>
      </c>
      <c r="P572" s="84">
        <v>0.0</v>
      </c>
      <c r="Q572" s="84"/>
      <c r="R572" s="84"/>
      <c r="S572" s="84"/>
      <c r="T572" s="84"/>
      <c r="U572" s="84">
        <v>345.0</v>
      </c>
      <c r="V572" s="84">
        <v>50.0</v>
      </c>
      <c r="W572" s="84"/>
      <c r="X572" s="84">
        <v>4.0</v>
      </c>
      <c r="Y572" s="84"/>
      <c r="Z572" s="84"/>
      <c r="AA572" s="84"/>
      <c r="AB572" s="84"/>
      <c r="AC572" s="84"/>
      <c r="AD572" s="84"/>
      <c r="AE572" s="84"/>
      <c r="AF572" s="84"/>
      <c r="AG572" s="84"/>
      <c r="AH572" s="84">
        <v>0.0</v>
      </c>
      <c r="AI572" s="84">
        <v>0.0</v>
      </c>
      <c r="AJ572" s="84">
        <v>0.0</v>
      </c>
      <c r="AK572" s="84">
        <v>1.0</v>
      </c>
      <c r="AL572" s="84">
        <v>0.0</v>
      </c>
      <c r="AM572" s="84">
        <v>0.0</v>
      </c>
      <c r="AN572" s="84">
        <v>1.0</v>
      </c>
      <c r="AO572" s="84">
        <v>0.0</v>
      </c>
      <c r="AP572" s="84">
        <v>0.0</v>
      </c>
      <c r="AQ572" s="84">
        <v>0.0</v>
      </c>
      <c r="AR572" s="84">
        <v>0.0</v>
      </c>
      <c r="AS572" s="84">
        <v>0.0</v>
      </c>
      <c r="AT572" s="84">
        <v>1.0</v>
      </c>
      <c r="AU572" s="84">
        <v>0.0</v>
      </c>
      <c r="AV572" s="84">
        <v>0.0</v>
      </c>
      <c r="AW572" s="84">
        <v>0.0</v>
      </c>
      <c r="AX572" s="84">
        <v>0.0</v>
      </c>
      <c r="AY572" s="84">
        <v>1.0</v>
      </c>
      <c r="AZ572" s="84">
        <v>0.0</v>
      </c>
    </row>
    <row r="573" ht="12.75" customHeight="1">
      <c r="A573" s="84">
        <v>571.0</v>
      </c>
      <c r="B573" s="84" t="s">
        <v>5812</v>
      </c>
      <c r="C573" s="84">
        <v>0.0</v>
      </c>
      <c r="D573" s="84" t="s">
        <v>4904</v>
      </c>
      <c r="E573" s="84">
        <v>13.0</v>
      </c>
      <c r="F573" s="84" t="s">
        <v>5131</v>
      </c>
      <c r="G573" s="84">
        <v>0.0</v>
      </c>
      <c r="H573" s="84">
        <v>100.0</v>
      </c>
      <c r="I573" s="84">
        <v>20.0</v>
      </c>
      <c r="J573" s="84"/>
      <c r="K573" s="84"/>
      <c r="L573" s="84"/>
      <c r="M573" s="84"/>
      <c r="N573" s="84">
        <v>0.0</v>
      </c>
      <c r="O573" s="84">
        <v>0.0</v>
      </c>
      <c r="P573" s="84">
        <v>0.0</v>
      </c>
      <c r="Q573" s="84"/>
      <c r="R573" s="84"/>
      <c r="S573" s="84"/>
      <c r="T573" s="84"/>
      <c r="U573" s="84">
        <v>375.0</v>
      </c>
      <c r="V573" s="84"/>
      <c r="W573" s="84"/>
      <c r="X573" s="84">
        <v>0.0</v>
      </c>
      <c r="Y573" s="84"/>
      <c r="Z573" s="84"/>
      <c r="AA573" s="84"/>
      <c r="AB573" s="84"/>
      <c r="AC573" s="84"/>
      <c r="AD573" s="84"/>
      <c r="AE573" s="84"/>
      <c r="AF573" s="84"/>
      <c r="AG573" s="84"/>
      <c r="AH573" s="84">
        <v>0.0</v>
      </c>
      <c r="AI573" s="84">
        <v>0.0</v>
      </c>
      <c r="AJ573" s="84">
        <v>0.0</v>
      </c>
      <c r="AK573" s="84">
        <v>1.0</v>
      </c>
      <c r="AL573" s="84">
        <v>1.0</v>
      </c>
      <c r="AM573" s="84">
        <v>0.0</v>
      </c>
      <c r="AN573" s="84">
        <v>1.0</v>
      </c>
      <c r="AO573" s="84">
        <v>0.0</v>
      </c>
      <c r="AP573" s="84">
        <v>0.0</v>
      </c>
      <c r="AQ573" s="84">
        <v>0.0</v>
      </c>
      <c r="AR573" s="84">
        <v>0.0</v>
      </c>
      <c r="AS573" s="84">
        <v>0.0</v>
      </c>
      <c r="AT573" s="84">
        <v>0.0</v>
      </c>
      <c r="AU573" s="84">
        <v>0.0</v>
      </c>
      <c r="AV573" s="84">
        <v>0.0</v>
      </c>
      <c r="AW573" s="84">
        <v>1.0</v>
      </c>
      <c r="AX573" s="84">
        <v>0.0</v>
      </c>
      <c r="AY573" s="84">
        <v>1.0</v>
      </c>
      <c r="AZ573" s="84">
        <v>0.0</v>
      </c>
    </row>
    <row r="574" ht="12.75" customHeight="1">
      <c r="A574" s="84">
        <v>572.0</v>
      </c>
      <c r="B574" s="84" t="s">
        <v>4124</v>
      </c>
      <c r="C574" s="84">
        <v>1.0</v>
      </c>
      <c r="D574" s="84" t="s">
        <v>4904</v>
      </c>
      <c r="E574" s="84">
        <v>0.0</v>
      </c>
      <c r="F574" s="84" t="s">
        <v>5135</v>
      </c>
      <c r="G574" s="84">
        <v>90.0</v>
      </c>
      <c r="H574" s="84">
        <v>100.0</v>
      </c>
      <c r="I574" s="84">
        <v>15.0</v>
      </c>
      <c r="N574" s="84">
        <v>0.0</v>
      </c>
      <c r="O574" s="84">
        <v>0.0</v>
      </c>
      <c r="P574" s="84">
        <v>0.0</v>
      </c>
      <c r="U574" s="84">
        <v>378.0</v>
      </c>
      <c r="X574" s="84">
        <v>4.0</v>
      </c>
      <c r="AH574" s="84">
        <v>0.0</v>
      </c>
      <c r="AI574" s="84">
        <v>0.0</v>
      </c>
      <c r="AJ574" s="84">
        <v>0.0</v>
      </c>
      <c r="AK574" s="84">
        <v>1.0</v>
      </c>
      <c r="AL574" s="84">
        <v>0.0</v>
      </c>
      <c r="AM574" s="84">
        <v>0.0</v>
      </c>
      <c r="AN574" s="84">
        <v>1.0</v>
      </c>
      <c r="AO574" s="84">
        <v>0.0</v>
      </c>
      <c r="AP574" s="84">
        <v>0.0</v>
      </c>
      <c r="AQ574" s="84">
        <v>0.0</v>
      </c>
      <c r="AR574" s="84">
        <v>0.0</v>
      </c>
      <c r="AS574" s="84">
        <v>0.0</v>
      </c>
      <c r="AT574" s="84">
        <v>0.0</v>
      </c>
      <c r="AU574" s="84">
        <v>0.0</v>
      </c>
      <c r="AV574" s="84">
        <v>0.0</v>
      </c>
      <c r="AW574" s="84">
        <v>0.0</v>
      </c>
      <c r="AX574" s="84">
        <v>0.0</v>
      </c>
      <c r="AY574" s="84">
        <v>1.0</v>
      </c>
      <c r="AZ574" s="84">
        <v>42.0</v>
      </c>
    </row>
    <row r="575" ht="12.75" customHeight="1">
      <c r="A575" s="84">
        <v>573.0</v>
      </c>
      <c r="B575" s="84" t="s">
        <v>4089</v>
      </c>
      <c r="C575" s="84">
        <v>1.0</v>
      </c>
      <c r="D575" s="84" t="s">
        <v>4942</v>
      </c>
      <c r="E575" s="84">
        <v>4.0</v>
      </c>
      <c r="F575" s="84" t="s">
        <v>5172</v>
      </c>
      <c r="G575" s="84">
        <v>70.0</v>
      </c>
      <c r="H575" s="84">
        <v>100.0</v>
      </c>
      <c r="I575" s="84">
        <v>20.0</v>
      </c>
      <c r="M575" s="84" t="s">
        <v>5155</v>
      </c>
      <c r="N575" s="84">
        <v>3.0</v>
      </c>
      <c r="O575" s="84">
        <v>10.0</v>
      </c>
      <c r="P575" s="84">
        <v>1.0</v>
      </c>
      <c r="U575" s="84">
        <v>379.0</v>
      </c>
      <c r="X575" s="84">
        <v>0.0</v>
      </c>
      <c r="AH575" s="84">
        <v>0.0</v>
      </c>
      <c r="AI575" s="84">
        <v>0.0</v>
      </c>
      <c r="AJ575" s="84">
        <v>0.0</v>
      </c>
      <c r="AK575" s="84">
        <v>1.0</v>
      </c>
      <c r="AL575" s="84">
        <v>0.0</v>
      </c>
      <c r="AM575" s="84">
        <v>0.0</v>
      </c>
      <c r="AN575" s="84">
        <v>1.0</v>
      </c>
      <c r="AO575" s="84">
        <v>0.0</v>
      </c>
      <c r="AP575" s="84">
        <v>0.0</v>
      </c>
      <c r="AQ575" s="84">
        <v>0.0</v>
      </c>
      <c r="AR575" s="84">
        <v>0.0</v>
      </c>
      <c r="AS575" s="84">
        <v>0.0</v>
      </c>
      <c r="AT575" s="84">
        <v>0.0</v>
      </c>
      <c r="AU575" s="84">
        <v>0.0</v>
      </c>
      <c r="AV575" s="84">
        <v>0.0</v>
      </c>
      <c r="AW575" s="84">
        <v>0.0</v>
      </c>
      <c r="AX575" s="84">
        <v>0.0</v>
      </c>
      <c r="AY575" s="84">
        <v>1.0</v>
      </c>
      <c r="AZ575" s="84">
        <v>41.0</v>
      </c>
    </row>
    <row r="576" ht="12.75" customHeight="1">
      <c r="A576" s="84">
        <v>574.0</v>
      </c>
      <c r="B576" s="84" t="s">
        <v>5813</v>
      </c>
      <c r="C576" s="84">
        <v>1.0</v>
      </c>
      <c r="D576" s="84" t="s">
        <v>5072</v>
      </c>
      <c r="E576" s="84">
        <v>0.0</v>
      </c>
      <c r="F576" s="84" t="s">
        <v>5172</v>
      </c>
      <c r="G576" s="84">
        <v>40.0</v>
      </c>
      <c r="H576" s="84">
        <v>101.0</v>
      </c>
      <c r="I576" s="84">
        <v>15.0</v>
      </c>
      <c r="N576" s="84">
        <v>0.0</v>
      </c>
      <c r="O576" s="84">
        <v>0.0</v>
      </c>
      <c r="P576" s="84">
        <v>0.0</v>
      </c>
      <c r="U576" s="84">
        <v>380.0</v>
      </c>
      <c r="X576" s="84">
        <v>5.0</v>
      </c>
      <c r="AH576" s="84">
        <v>0.0</v>
      </c>
      <c r="AI576" s="84">
        <v>0.0</v>
      </c>
      <c r="AJ576" s="84">
        <v>0.0</v>
      </c>
      <c r="AK576" s="84">
        <v>1.0</v>
      </c>
      <c r="AL576" s="84">
        <v>0.0</v>
      </c>
      <c r="AM576" s="84">
        <v>0.0</v>
      </c>
      <c r="AN576" s="84">
        <v>1.0</v>
      </c>
      <c r="AO576" s="84">
        <v>0.0</v>
      </c>
      <c r="AP576" s="84">
        <v>1.0</v>
      </c>
      <c r="AQ576" s="84">
        <v>0.0</v>
      </c>
      <c r="AR576" s="84">
        <v>0.0</v>
      </c>
      <c r="AS576" s="84">
        <v>0.0</v>
      </c>
      <c r="AT576" s="84">
        <v>0.0</v>
      </c>
      <c r="AU576" s="84">
        <v>1.0</v>
      </c>
      <c r="AV576" s="84">
        <v>0.0</v>
      </c>
      <c r="AW576" s="84">
        <v>0.0</v>
      </c>
      <c r="AX576" s="84">
        <v>0.0</v>
      </c>
      <c r="AY576" s="84">
        <v>1.0</v>
      </c>
      <c r="AZ576" s="84">
        <v>33.0</v>
      </c>
    </row>
    <row r="577" ht="12.75" customHeight="1">
      <c r="A577" s="84">
        <v>575.0</v>
      </c>
      <c r="B577" s="84" t="s">
        <v>5814</v>
      </c>
      <c r="C577" s="84">
        <v>1.0</v>
      </c>
      <c r="D577" s="84" t="s">
        <v>4972</v>
      </c>
      <c r="E577" s="84">
        <v>2.0</v>
      </c>
      <c r="F577" s="84" t="s">
        <v>5131</v>
      </c>
      <c r="G577" s="84">
        <v>0.0</v>
      </c>
      <c r="H577" s="84">
        <v>100.0</v>
      </c>
      <c r="I577" s="84">
        <v>20.0</v>
      </c>
      <c r="N577" s="84">
        <v>0.0</v>
      </c>
      <c r="O577" s="84">
        <v>0.0</v>
      </c>
      <c r="P577" s="84">
        <v>0.0</v>
      </c>
      <c r="U577" s="84">
        <v>346.0</v>
      </c>
      <c r="X577" s="84">
        <v>0.0</v>
      </c>
      <c r="Y577" s="84" t="s">
        <v>20</v>
      </c>
      <c r="Z577" s="84">
        <v>-1.0</v>
      </c>
      <c r="AA577" s="84">
        <v>100.0</v>
      </c>
      <c r="AB577" s="84" t="s">
        <v>22</v>
      </c>
      <c r="AC577" s="84">
        <v>-1.0</v>
      </c>
      <c r="AD577" s="84">
        <v>100.0</v>
      </c>
      <c r="AH577" s="84">
        <v>0.0</v>
      </c>
      <c r="AI577" s="84">
        <v>0.0</v>
      </c>
      <c r="AJ577" s="84">
        <v>0.0</v>
      </c>
      <c r="AK577" s="84">
        <v>1.0</v>
      </c>
      <c r="AL577" s="84">
        <v>1.0</v>
      </c>
      <c r="AM577" s="84">
        <v>0.0</v>
      </c>
      <c r="AN577" s="84">
        <v>1.0</v>
      </c>
      <c r="AO577" s="84">
        <v>0.0</v>
      </c>
      <c r="AP577" s="84">
        <v>1.0</v>
      </c>
      <c r="AQ577" s="84">
        <v>0.0</v>
      </c>
      <c r="AR577" s="84">
        <v>0.0</v>
      </c>
      <c r="AS577" s="84">
        <v>0.0</v>
      </c>
      <c r="AT577" s="84">
        <v>0.0</v>
      </c>
      <c r="AU577" s="84">
        <v>1.0</v>
      </c>
      <c r="AV577" s="84">
        <v>0.0</v>
      </c>
      <c r="AW577" s="84">
        <v>0.0</v>
      </c>
      <c r="AX577" s="84">
        <v>0.0</v>
      </c>
      <c r="AY577" s="84">
        <v>1.0</v>
      </c>
      <c r="AZ577" s="84">
        <v>4.0</v>
      </c>
    </row>
    <row r="578" ht="12.75" customHeight="1">
      <c r="A578" s="84">
        <v>576.0</v>
      </c>
      <c r="B578" s="84" t="s">
        <v>5815</v>
      </c>
      <c r="C578" s="84">
        <v>0.0</v>
      </c>
      <c r="D578" s="84" t="s">
        <v>4972</v>
      </c>
      <c r="E578" s="84">
        <v>13.0</v>
      </c>
      <c r="F578" s="84" t="s">
        <v>5131</v>
      </c>
      <c r="G578" s="84">
        <v>0.0</v>
      </c>
      <c r="H578" s="84">
        <v>101.0</v>
      </c>
      <c r="I578" s="84">
        <v>20.0</v>
      </c>
      <c r="J578" s="84"/>
      <c r="K578" s="84"/>
      <c r="L578" s="84"/>
      <c r="M578" s="84"/>
      <c r="N578" s="84">
        <v>0.0</v>
      </c>
      <c r="O578" s="84">
        <v>0.0</v>
      </c>
      <c r="P578" s="84">
        <v>0.0</v>
      </c>
      <c r="Q578" s="84"/>
      <c r="R578" s="84"/>
      <c r="S578" s="84"/>
      <c r="T578" s="84"/>
      <c r="U578" s="84">
        <v>347.0</v>
      </c>
      <c r="V578" s="84"/>
      <c r="W578" s="84"/>
      <c r="X578" s="84">
        <v>0.0</v>
      </c>
      <c r="Y578" s="84"/>
      <c r="Z578" s="84"/>
      <c r="AA578" s="84"/>
      <c r="AB578" s="84"/>
      <c r="AC578" s="84"/>
      <c r="AD578" s="84"/>
      <c r="AE578" s="84"/>
      <c r="AF578" s="84"/>
      <c r="AG578" s="84"/>
      <c r="AH578" s="84">
        <v>0.0</v>
      </c>
      <c r="AI578" s="84">
        <v>0.0</v>
      </c>
      <c r="AJ578" s="84">
        <v>0.0</v>
      </c>
      <c r="AK578" s="84">
        <v>1.0</v>
      </c>
      <c r="AL578" s="84">
        <v>1.0</v>
      </c>
      <c r="AM578" s="84">
        <v>0.0</v>
      </c>
      <c r="AN578" s="84">
        <v>1.0</v>
      </c>
      <c r="AO578" s="84">
        <v>0.0</v>
      </c>
      <c r="AP578" s="84">
        <v>0.0</v>
      </c>
      <c r="AQ578" s="84">
        <v>0.0</v>
      </c>
      <c r="AR578" s="84">
        <v>0.0</v>
      </c>
      <c r="AS578" s="84">
        <v>0.0</v>
      </c>
      <c r="AT578" s="84">
        <v>0.0</v>
      </c>
      <c r="AU578" s="84">
        <v>0.0</v>
      </c>
      <c r="AV578" s="84">
        <v>0.0</v>
      </c>
      <c r="AW578" s="84">
        <v>1.0</v>
      </c>
      <c r="AX578" s="84">
        <v>0.0</v>
      </c>
      <c r="AY578" s="84">
        <v>1.0</v>
      </c>
      <c r="AZ578" s="84">
        <v>0.0</v>
      </c>
    </row>
    <row r="579" ht="12.75" customHeight="1">
      <c r="A579" s="84">
        <v>577.0</v>
      </c>
      <c r="B579" s="84" t="s">
        <v>5816</v>
      </c>
      <c r="C579" s="84">
        <v>1.0</v>
      </c>
      <c r="D579" s="84" t="s">
        <v>5072</v>
      </c>
      <c r="E579" s="84">
        <v>8.0</v>
      </c>
      <c r="F579" s="84" t="s">
        <v>5172</v>
      </c>
      <c r="G579" s="84">
        <v>50.0</v>
      </c>
      <c r="H579" s="84">
        <v>100.0</v>
      </c>
      <c r="I579" s="84">
        <v>10.0</v>
      </c>
      <c r="N579" s="84">
        <v>0.0</v>
      </c>
      <c r="O579" s="84">
        <v>0.0</v>
      </c>
      <c r="P579" s="84">
        <v>0.0</v>
      </c>
      <c r="U579" s="84">
        <v>348.0</v>
      </c>
      <c r="V579" s="84">
        <v>75.0</v>
      </c>
      <c r="X579" s="84">
        <v>0.0</v>
      </c>
      <c r="AH579" s="84">
        <v>1.0</v>
      </c>
      <c r="AI579" s="84">
        <v>0.0</v>
      </c>
      <c r="AJ579" s="84">
        <v>0.0</v>
      </c>
      <c r="AK579" s="84">
        <v>1.0</v>
      </c>
      <c r="AL579" s="84">
        <v>0.0</v>
      </c>
      <c r="AM579" s="84">
        <v>0.0</v>
      </c>
      <c r="AN579" s="84">
        <v>1.0</v>
      </c>
      <c r="AO579" s="84">
        <v>0.0</v>
      </c>
      <c r="AP579" s="84">
        <v>0.0</v>
      </c>
      <c r="AQ579" s="84">
        <v>0.0</v>
      </c>
      <c r="AR579" s="84">
        <v>0.0</v>
      </c>
      <c r="AS579" s="84">
        <v>0.0</v>
      </c>
      <c r="AT579" s="84">
        <v>1.0</v>
      </c>
      <c r="AU579" s="84">
        <v>0.0</v>
      </c>
      <c r="AV579" s="84">
        <v>0.0</v>
      </c>
      <c r="AW579" s="84">
        <v>0.0</v>
      </c>
      <c r="AX579" s="84">
        <v>0.0</v>
      </c>
      <c r="AY579" s="84">
        <v>1.0</v>
      </c>
      <c r="AZ579" s="84">
        <v>34.0</v>
      </c>
    </row>
    <row r="580" ht="12.75" customHeight="1">
      <c r="A580" s="84">
        <v>578.0</v>
      </c>
      <c r="B580" s="84" t="s">
        <v>5817</v>
      </c>
      <c r="C580" s="84">
        <v>0.0</v>
      </c>
      <c r="D580" s="84" t="s">
        <v>5072</v>
      </c>
      <c r="E580" s="84">
        <v>11.0</v>
      </c>
      <c r="F580" s="84" t="s">
        <v>5131</v>
      </c>
      <c r="G580" s="84">
        <v>0.0</v>
      </c>
      <c r="H580" s="84">
        <v>101.0</v>
      </c>
      <c r="I580" s="84">
        <v>10.0</v>
      </c>
      <c r="J580" s="84">
        <v>3.0</v>
      </c>
      <c r="K580" s="84"/>
      <c r="L580" s="84"/>
      <c r="M580" s="84"/>
      <c r="N580" s="84">
        <v>0.0</v>
      </c>
      <c r="O580" s="84">
        <v>0.0</v>
      </c>
      <c r="P580" s="84">
        <v>0.0</v>
      </c>
      <c r="Q580" s="84"/>
      <c r="R580" s="84"/>
      <c r="S580" s="84"/>
      <c r="T580" s="84"/>
      <c r="U580" s="84">
        <v>349.0</v>
      </c>
      <c r="V580" s="84"/>
      <c r="W580" s="84"/>
      <c r="X580" s="84">
        <v>12.0</v>
      </c>
      <c r="Y580" s="84"/>
      <c r="Z580" s="84"/>
      <c r="AA580" s="84"/>
      <c r="AB580" s="84"/>
      <c r="AC580" s="84"/>
      <c r="AD580" s="84"/>
      <c r="AE580" s="84"/>
      <c r="AF580" s="84"/>
      <c r="AG580" s="84"/>
      <c r="AH580" s="84">
        <v>0.0</v>
      </c>
      <c r="AI580" s="84">
        <v>0.0</v>
      </c>
      <c r="AJ580" s="84">
        <v>0.0</v>
      </c>
      <c r="AK580" s="84">
        <v>0.0</v>
      </c>
      <c r="AL580" s="84">
        <v>0.0</v>
      </c>
      <c r="AM580" s="84">
        <v>0.0</v>
      </c>
      <c r="AN580" s="84">
        <v>0.0</v>
      </c>
      <c r="AO580" s="84">
        <v>0.0</v>
      </c>
      <c r="AP580" s="84">
        <v>0.0</v>
      </c>
      <c r="AQ580" s="84">
        <v>0.0</v>
      </c>
      <c r="AR580" s="84">
        <v>0.0</v>
      </c>
      <c r="AS580" s="84">
        <v>0.0</v>
      </c>
      <c r="AT580" s="84">
        <v>0.0</v>
      </c>
      <c r="AU580" s="84">
        <v>0.0</v>
      </c>
      <c r="AV580" s="84">
        <v>0.0</v>
      </c>
      <c r="AW580" s="84">
        <v>0.0</v>
      </c>
      <c r="AX580" s="84">
        <v>0.0</v>
      </c>
      <c r="AY580" s="84">
        <v>0.0</v>
      </c>
      <c r="AZ580" s="84">
        <v>0.0</v>
      </c>
    </row>
    <row r="581" ht="12.75" customHeight="1">
      <c r="A581" s="84">
        <v>579.0</v>
      </c>
      <c r="B581" s="84" t="s">
        <v>5818</v>
      </c>
      <c r="C581" s="84">
        <v>1.0</v>
      </c>
      <c r="D581" s="84" t="s">
        <v>5072</v>
      </c>
      <c r="E581" s="84">
        <v>13.0</v>
      </c>
      <c r="F581" s="84" t="s">
        <v>5131</v>
      </c>
      <c r="G581" s="84">
        <v>0.0</v>
      </c>
      <c r="H581" s="84">
        <v>101.0</v>
      </c>
      <c r="I581" s="84">
        <v>10.0</v>
      </c>
      <c r="N581" s="84">
        <v>0.0</v>
      </c>
      <c r="O581" s="84">
        <v>0.0</v>
      </c>
      <c r="P581" s="84">
        <v>0.0</v>
      </c>
      <c r="U581" s="84">
        <v>350.0</v>
      </c>
      <c r="X581" s="84">
        <v>8.0</v>
      </c>
      <c r="Y581" s="84" t="s">
        <v>21</v>
      </c>
      <c r="Z581" s="84">
        <v>1.0</v>
      </c>
      <c r="AA581" s="84">
        <v>100.0</v>
      </c>
      <c r="AH581" s="84">
        <v>0.0</v>
      </c>
      <c r="AI581" s="84">
        <v>0.0</v>
      </c>
      <c r="AJ581" s="84">
        <v>0.0</v>
      </c>
      <c r="AK581" s="84">
        <v>0.0</v>
      </c>
      <c r="AL581" s="84">
        <v>0.0</v>
      </c>
      <c r="AM581" s="84">
        <v>0.0</v>
      </c>
      <c r="AN581" s="84">
        <v>0.0</v>
      </c>
      <c r="AO581" s="84">
        <v>0.0</v>
      </c>
      <c r="AP581" s="84">
        <v>0.0</v>
      </c>
      <c r="AQ581" s="84">
        <v>0.0</v>
      </c>
      <c r="AR581" s="84">
        <v>0.0</v>
      </c>
      <c r="AS581" s="84">
        <v>1.0</v>
      </c>
      <c r="AT581" s="84">
        <v>0.0</v>
      </c>
      <c r="AU581" s="84">
        <v>0.0</v>
      </c>
      <c r="AV581" s="84">
        <v>0.0</v>
      </c>
      <c r="AW581" s="84">
        <v>0.0</v>
      </c>
      <c r="AX581" s="84">
        <v>0.0</v>
      </c>
      <c r="AY581" s="84">
        <v>1.0</v>
      </c>
      <c r="AZ581" s="84">
        <v>9.0</v>
      </c>
    </row>
    <row r="582" ht="12.75" customHeight="1">
      <c r="A582" s="84">
        <v>580.0</v>
      </c>
      <c r="B582" s="84" t="s">
        <v>5819</v>
      </c>
      <c r="C582" s="84">
        <v>1.0</v>
      </c>
      <c r="D582" s="84" t="s">
        <v>4904</v>
      </c>
      <c r="E582" s="84">
        <v>10.0</v>
      </c>
      <c r="F582" s="84" t="s">
        <v>5131</v>
      </c>
      <c r="G582" s="84">
        <v>0.0</v>
      </c>
      <c r="H582" s="84">
        <v>101.0</v>
      </c>
      <c r="I582" s="84">
        <v>10.0</v>
      </c>
      <c r="N582" s="84">
        <v>0.0</v>
      </c>
      <c r="O582" s="84">
        <v>0.0</v>
      </c>
      <c r="P582" s="84">
        <v>0.0</v>
      </c>
      <c r="U582" s="84">
        <v>351.0</v>
      </c>
      <c r="X582" s="84">
        <v>10.0</v>
      </c>
      <c r="AH582" s="84">
        <v>0.0</v>
      </c>
      <c r="AI582" s="84">
        <v>0.0</v>
      </c>
      <c r="AJ582" s="84">
        <v>0.0</v>
      </c>
      <c r="AK582" s="84">
        <v>0.0</v>
      </c>
      <c r="AL582" s="84">
        <v>0.0</v>
      </c>
      <c r="AM582" s="84">
        <v>0.0</v>
      </c>
      <c r="AN582" s="84">
        <v>0.0</v>
      </c>
      <c r="AO582" s="84">
        <v>0.0</v>
      </c>
      <c r="AP582" s="84">
        <v>0.0</v>
      </c>
      <c r="AQ582" s="84">
        <v>0.0</v>
      </c>
      <c r="AR582" s="84">
        <v>0.0</v>
      </c>
      <c r="AS582" s="84">
        <v>0.0</v>
      </c>
      <c r="AT582" s="84">
        <v>0.0</v>
      </c>
      <c r="AU582" s="84">
        <v>0.0</v>
      </c>
      <c r="AV582" s="84">
        <v>1.0</v>
      </c>
      <c r="AW582" s="84">
        <v>0.0</v>
      </c>
      <c r="AX582" s="84">
        <v>0.0</v>
      </c>
      <c r="AY582" s="84">
        <v>1.0</v>
      </c>
      <c r="AZ582" s="84">
        <v>23.0</v>
      </c>
    </row>
    <row r="583" ht="12.75" customHeight="1">
      <c r="A583" s="84">
        <v>581.0</v>
      </c>
      <c r="B583" s="84" t="s">
        <v>5820</v>
      </c>
      <c r="C583" s="84">
        <v>1.0</v>
      </c>
      <c r="D583" s="84" t="s">
        <v>5072</v>
      </c>
      <c r="E583" s="84">
        <v>10.0</v>
      </c>
      <c r="F583" s="84" t="s">
        <v>5131</v>
      </c>
      <c r="G583" s="84">
        <v>0.0</v>
      </c>
      <c r="H583" s="84">
        <v>101.0</v>
      </c>
      <c r="I583" s="84">
        <v>10.0</v>
      </c>
      <c r="N583" s="84">
        <v>0.0</v>
      </c>
      <c r="O583" s="84">
        <v>0.0</v>
      </c>
      <c r="P583" s="84">
        <v>0.0</v>
      </c>
      <c r="U583" s="84">
        <v>352.0</v>
      </c>
      <c r="X583" s="84">
        <v>10.0</v>
      </c>
      <c r="AH583" s="84">
        <v>0.0</v>
      </c>
      <c r="AI583" s="84">
        <v>0.0</v>
      </c>
      <c r="AJ583" s="84">
        <v>0.0</v>
      </c>
      <c r="AK583" s="84">
        <v>0.0</v>
      </c>
      <c r="AL583" s="84">
        <v>0.0</v>
      </c>
      <c r="AM583" s="84">
        <v>0.0</v>
      </c>
      <c r="AN583" s="84">
        <v>0.0</v>
      </c>
      <c r="AO583" s="84">
        <v>0.0</v>
      </c>
      <c r="AP583" s="84">
        <v>0.0</v>
      </c>
      <c r="AQ583" s="84">
        <v>0.0</v>
      </c>
      <c r="AR583" s="84">
        <v>0.0</v>
      </c>
      <c r="AS583" s="84">
        <v>0.0</v>
      </c>
      <c r="AT583" s="84">
        <v>0.0</v>
      </c>
      <c r="AU583" s="84">
        <v>0.0</v>
      </c>
      <c r="AV583" s="84">
        <v>1.0</v>
      </c>
      <c r="AW583" s="84">
        <v>0.0</v>
      </c>
      <c r="AX583" s="84">
        <v>0.0</v>
      </c>
      <c r="AY583" s="84">
        <v>1.0</v>
      </c>
      <c r="AZ583" s="84">
        <v>23.0</v>
      </c>
    </row>
    <row r="584" ht="12.75" customHeight="1">
      <c r="A584" s="84">
        <v>582.0</v>
      </c>
      <c r="B584" s="84" t="s">
        <v>5821</v>
      </c>
      <c r="C584" s="84">
        <v>0.0</v>
      </c>
      <c r="D584" s="84" t="s">
        <v>4921</v>
      </c>
      <c r="E584" s="84">
        <v>13.0</v>
      </c>
      <c r="F584" s="84" t="s">
        <v>5131</v>
      </c>
      <c r="G584" s="84">
        <v>0.0</v>
      </c>
      <c r="H584" s="84">
        <v>101.0</v>
      </c>
      <c r="I584" s="84">
        <v>20.0</v>
      </c>
      <c r="J584" s="84"/>
      <c r="K584" s="84"/>
      <c r="L584" s="84"/>
      <c r="M584" s="84"/>
      <c r="N584" s="84">
        <v>0.0</v>
      </c>
      <c r="O584" s="84">
        <v>0.0</v>
      </c>
      <c r="P584" s="84">
        <v>0.0</v>
      </c>
      <c r="Q584" s="84"/>
      <c r="R584" s="84"/>
      <c r="S584" s="84"/>
      <c r="T584" s="84"/>
      <c r="U584" s="84">
        <v>353.0</v>
      </c>
      <c r="V584" s="84"/>
      <c r="W584" s="84"/>
      <c r="X584" s="84">
        <v>0.0</v>
      </c>
      <c r="Y584" s="84"/>
      <c r="Z584" s="84"/>
      <c r="AA584" s="84"/>
      <c r="AB584" s="84"/>
      <c r="AC584" s="84"/>
      <c r="AD584" s="84"/>
      <c r="AE584" s="84"/>
      <c r="AF584" s="84"/>
      <c r="AG584" s="84"/>
      <c r="AH584" s="84">
        <v>0.0</v>
      </c>
      <c r="AI584" s="84">
        <v>0.0</v>
      </c>
      <c r="AJ584" s="84">
        <v>0.0</v>
      </c>
      <c r="AK584" s="84">
        <v>1.0</v>
      </c>
      <c r="AL584" s="84">
        <v>0.0</v>
      </c>
      <c r="AM584" s="84">
        <v>0.0</v>
      </c>
      <c r="AN584" s="84">
        <v>1.0</v>
      </c>
      <c r="AO584" s="84">
        <v>0.0</v>
      </c>
      <c r="AP584" s="84">
        <v>0.0</v>
      </c>
      <c r="AQ584" s="84">
        <v>0.0</v>
      </c>
      <c r="AR584" s="84">
        <v>0.0</v>
      </c>
      <c r="AS584" s="84">
        <v>0.0</v>
      </c>
      <c r="AT584" s="84">
        <v>0.0</v>
      </c>
      <c r="AU584" s="84">
        <v>0.0</v>
      </c>
      <c r="AV584" s="84">
        <v>0.0</v>
      </c>
      <c r="AW584" s="84">
        <v>1.0</v>
      </c>
      <c r="AX584" s="84">
        <v>0.0</v>
      </c>
      <c r="AY584" s="84">
        <v>1.0</v>
      </c>
      <c r="AZ584" s="84">
        <v>0.0</v>
      </c>
    </row>
    <row r="585" ht="12.75" customHeight="1">
      <c r="A585" s="84">
        <v>583.0</v>
      </c>
      <c r="B585" s="84" t="s">
        <v>3285</v>
      </c>
      <c r="C585" s="84">
        <v>1.0</v>
      </c>
      <c r="D585" s="84" t="s">
        <v>5072</v>
      </c>
      <c r="E585" s="84">
        <v>6.0</v>
      </c>
      <c r="F585" s="84" t="s">
        <v>5135</v>
      </c>
      <c r="G585" s="84">
        <v>90.0</v>
      </c>
      <c r="H585" s="84">
        <v>90.0</v>
      </c>
      <c r="I585" s="84">
        <v>10.0</v>
      </c>
      <c r="N585" s="84">
        <v>0.0</v>
      </c>
      <c r="O585" s="84">
        <v>0.0</v>
      </c>
      <c r="P585" s="84">
        <v>0.0</v>
      </c>
      <c r="U585" s="84">
        <v>68.0</v>
      </c>
      <c r="X585" s="84">
        <v>0.0</v>
      </c>
      <c r="Y585" s="84" t="s">
        <v>20</v>
      </c>
      <c r="Z585" s="84">
        <v>-1.0</v>
      </c>
      <c r="AA585" s="84">
        <v>10.0</v>
      </c>
      <c r="AH585" s="84">
        <v>1.0</v>
      </c>
      <c r="AI585" s="84">
        <v>0.0</v>
      </c>
      <c r="AJ585" s="84">
        <v>0.0</v>
      </c>
      <c r="AK585" s="84">
        <v>1.0</v>
      </c>
      <c r="AL585" s="84">
        <v>0.0</v>
      </c>
      <c r="AM585" s="84">
        <v>0.0</v>
      </c>
      <c r="AN585" s="84">
        <v>1.0</v>
      </c>
      <c r="AO585" s="84">
        <v>0.0</v>
      </c>
      <c r="AP585" s="84">
        <v>0.0</v>
      </c>
      <c r="AQ585" s="84">
        <v>0.0</v>
      </c>
      <c r="AR585" s="84">
        <v>0.0</v>
      </c>
      <c r="AS585" s="84">
        <v>0.0</v>
      </c>
      <c r="AT585" s="84">
        <v>0.0</v>
      </c>
      <c r="AU585" s="84">
        <v>0.0</v>
      </c>
      <c r="AV585" s="84">
        <v>0.0</v>
      </c>
      <c r="AW585" s="84">
        <v>0.0</v>
      </c>
      <c r="AX585" s="84">
        <v>0.0</v>
      </c>
      <c r="AY585" s="84">
        <v>1.0</v>
      </c>
      <c r="AZ585" s="84">
        <v>43.0</v>
      </c>
    </row>
    <row r="586" ht="12.75" customHeight="1">
      <c r="A586" s="84">
        <v>584.0</v>
      </c>
      <c r="B586" s="84" t="s">
        <v>5822</v>
      </c>
      <c r="C586" s="84">
        <v>1.0</v>
      </c>
      <c r="D586" s="84" t="s">
        <v>5072</v>
      </c>
      <c r="E586" s="84">
        <v>0.0</v>
      </c>
      <c r="F586" s="84" t="s">
        <v>5172</v>
      </c>
      <c r="G586" s="84">
        <v>40.0</v>
      </c>
      <c r="H586" s="84">
        <v>100.0</v>
      </c>
      <c r="I586" s="84">
        <v>30.0</v>
      </c>
      <c r="N586" s="84">
        <v>0.0</v>
      </c>
      <c r="O586" s="84">
        <v>0.0</v>
      </c>
      <c r="P586" s="84">
        <v>0.0</v>
      </c>
      <c r="U586" s="84">
        <v>0.0</v>
      </c>
      <c r="X586" s="84">
        <v>0.0</v>
      </c>
      <c r="AH586" s="84">
        <v>0.0</v>
      </c>
      <c r="AI586" s="84">
        <v>0.0</v>
      </c>
      <c r="AJ586" s="84">
        <v>0.0</v>
      </c>
      <c r="AK586" s="84">
        <v>1.0</v>
      </c>
      <c r="AL586" s="84">
        <v>0.0</v>
      </c>
      <c r="AM586" s="84">
        <v>0.0</v>
      </c>
      <c r="AN586" s="84">
        <v>1.0</v>
      </c>
      <c r="AO586" s="84">
        <v>0.0</v>
      </c>
      <c r="AP586" s="84">
        <v>0.0</v>
      </c>
      <c r="AQ586" s="84">
        <v>0.0</v>
      </c>
      <c r="AR586" s="84">
        <v>0.0</v>
      </c>
      <c r="AS586" s="84">
        <v>0.0</v>
      </c>
      <c r="AT586" s="84">
        <v>0.0</v>
      </c>
      <c r="AU586" s="84">
        <v>0.0</v>
      </c>
      <c r="AV586" s="84">
        <v>0.0</v>
      </c>
      <c r="AW586" s="84">
        <v>0.0</v>
      </c>
      <c r="AX586" s="84">
        <v>0.0</v>
      </c>
      <c r="AY586" s="84">
        <v>1.0</v>
      </c>
      <c r="AZ586" s="84">
        <v>33.0</v>
      </c>
    </row>
    <row r="587" ht="12.75" customHeight="1">
      <c r="A587" s="84">
        <v>585.0</v>
      </c>
      <c r="B587" s="84" t="s">
        <v>2956</v>
      </c>
      <c r="C587" s="84">
        <v>1.0</v>
      </c>
      <c r="D587" s="84" t="s">
        <v>5072</v>
      </c>
      <c r="E587" s="84">
        <v>6.0</v>
      </c>
      <c r="F587" s="84" t="s">
        <v>5172</v>
      </c>
      <c r="G587" s="84">
        <v>95.0</v>
      </c>
      <c r="H587" s="84">
        <v>100.0</v>
      </c>
      <c r="I587" s="84">
        <v>15.0</v>
      </c>
      <c r="N587" s="84">
        <v>0.0</v>
      </c>
      <c r="O587" s="84">
        <v>0.0</v>
      </c>
      <c r="P587" s="84">
        <v>0.0</v>
      </c>
      <c r="U587" s="84">
        <v>71.0</v>
      </c>
      <c r="X587" s="84">
        <v>0.0</v>
      </c>
      <c r="Y587" s="84" t="s">
        <v>22</v>
      </c>
      <c r="Z587" s="84">
        <v>-1.0</v>
      </c>
      <c r="AA587" s="84">
        <v>30.0</v>
      </c>
      <c r="AH587" s="84">
        <v>0.0</v>
      </c>
      <c r="AI587" s="84">
        <v>0.0</v>
      </c>
      <c r="AJ587" s="84">
        <v>0.0</v>
      </c>
      <c r="AK587" s="84">
        <v>1.0</v>
      </c>
      <c r="AL587" s="84">
        <v>0.0</v>
      </c>
      <c r="AM587" s="84">
        <v>0.0</v>
      </c>
      <c r="AN587" s="84">
        <v>1.0</v>
      </c>
      <c r="AO587" s="84">
        <v>0.0</v>
      </c>
      <c r="AP587" s="84">
        <v>0.0</v>
      </c>
      <c r="AQ587" s="84">
        <v>0.0</v>
      </c>
      <c r="AR587" s="84">
        <v>0.0</v>
      </c>
      <c r="AS587" s="84">
        <v>0.0</v>
      </c>
      <c r="AT587" s="84">
        <v>0.0</v>
      </c>
      <c r="AU587" s="84">
        <v>0.0</v>
      </c>
      <c r="AV587" s="84">
        <v>0.0</v>
      </c>
      <c r="AW587" s="84">
        <v>0.0</v>
      </c>
      <c r="AX587" s="84">
        <v>0.0</v>
      </c>
      <c r="AY587" s="84">
        <v>1.0</v>
      </c>
      <c r="AZ587" s="84">
        <v>41.0</v>
      </c>
    </row>
    <row r="588" ht="12.75" customHeight="1">
      <c r="A588" s="84">
        <v>586.0</v>
      </c>
      <c r="B588" s="84" t="s">
        <v>3697</v>
      </c>
      <c r="C588" s="84">
        <v>1.0</v>
      </c>
      <c r="D588" s="84" t="s">
        <v>4916</v>
      </c>
      <c r="E588" s="84">
        <v>0.0</v>
      </c>
      <c r="F588" s="84" t="s">
        <v>5172</v>
      </c>
      <c r="G588" s="84">
        <v>140.0</v>
      </c>
      <c r="H588" s="84">
        <v>100.0</v>
      </c>
      <c r="I588" s="84">
        <v>10.0</v>
      </c>
      <c r="N588" s="84">
        <v>0.0</v>
      </c>
      <c r="O588" s="84">
        <v>0.0</v>
      </c>
      <c r="P588" s="84">
        <v>0.0</v>
      </c>
      <c r="U588" s="84">
        <v>378.0</v>
      </c>
      <c r="X588" s="84">
        <v>4.0</v>
      </c>
      <c r="AH588" s="84">
        <v>0.0</v>
      </c>
      <c r="AI588" s="84">
        <v>0.0</v>
      </c>
      <c r="AJ588" s="84">
        <v>0.0</v>
      </c>
      <c r="AK588" s="84">
        <v>1.0</v>
      </c>
      <c r="AL588" s="84">
        <v>0.0</v>
      </c>
      <c r="AM588" s="84">
        <v>0.0</v>
      </c>
      <c r="AN588" s="84">
        <v>1.0</v>
      </c>
      <c r="AO588" s="84">
        <v>0.0</v>
      </c>
      <c r="AP588" s="84">
        <v>1.0</v>
      </c>
      <c r="AQ588" s="84">
        <v>0.0</v>
      </c>
      <c r="AR588" s="84">
        <v>0.0</v>
      </c>
      <c r="AS588" s="84">
        <v>0.0</v>
      </c>
      <c r="AT588" s="84">
        <v>0.0</v>
      </c>
      <c r="AU588" s="84">
        <v>1.0</v>
      </c>
      <c r="AV588" s="84">
        <v>0.0</v>
      </c>
      <c r="AW588" s="84">
        <v>0.0</v>
      </c>
      <c r="AX588" s="84">
        <v>0.0</v>
      </c>
      <c r="AY588" s="84">
        <v>1.0</v>
      </c>
      <c r="AZ588" s="84">
        <v>46.0</v>
      </c>
    </row>
    <row r="589" ht="12.75" customHeight="1">
      <c r="A589" s="84">
        <v>587.0</v>
      </c>
      <c r="B589" s="84" t="s">
        <v>5823</v>
      </c>
      <c r="C589" s="84">
        <v>0.0</v>
      </c>
      <c r="D589" s="84" t="s">
        <v>5072</v>
      </c>
      <c r="E589" s="84">
        <v>10.0</v>
      </c>
      <c r="F589" s="84" t="s">
        <v>5131</v>
      </c>
      <c r="G589" s="84">
        <v>0.0</v>
      </c>
      <c r="H589" s="84">
        <v>101.0</v>
      </c>
      <c r="I589" s="84">
        <v>10.0</v>
      </c>
      <c r="J589" s="84"/>
      <c r="K589" s="84"/>
      <c r="L589" s="84"/>
      <c r="M589" s="84"/>
      <c r="N589" s="84">
        <v>0.0</v>
      </c>
      <c r="O589" s="84">
        <v>0.0</v>
      </c>
      <c r="P589" s="84">
        <v>0.0</v>
      </c>
      <c r="Q589" s="84"/>
      <c r="R589" s="84"/>
      <c r="S589" s="84"/>
      <c r="T589" s="84"/>
      <c r="U589" s="84">
        <v>354.0</v>
      </c>
      <c r="V589" s="84"/>
      <c r="W589" s="84"/>
      <c r="X589" s="84">
        <v>10.0</v>
      </c>
      <c r="Y589" s="84"/>
      <c r="Z589" s="84"/>
      <c r="AA589" s="84"/>
      <c r="AB589" s="84"/>
      <c r="AC589" s="84"/>
      <c r="AD589" s="84"/>
      <c r="AE589" s="84"/>
      <c r="AF589" s="84"/>
      <c r="AG589" s="84"/>
      <c r="AH589" s="84">
        <v>0.0</v>
      </c>
      <c r="AI589" s="84">
        <v>0.0</v>
      </c>
      <c r="AJ589" s="84">
        <v>0.0</v>
      </c>
      <c r="AK589" s="84">
        <v>0.0</v>
      </c>
      <c r="AL589" s="84">
        <v>0.0</v>
      </c>
      <c r="AM589" s="84">
        <v>0.0</v>
      </c>
      <c r="AN589" s="84">
        <v>1.0</v>
      </c>
      <c r="AO589" s="84">
        <v>0.0</v>
      </c>
      <c r="AP589" s="84">
        <v>0.0</v>
      </c>
      <c r="AQ589" s="84">
        <v>0.0</v>
      </c>
      <c r="AR589" s="84">
        <v>0.0</v>
      </c>
      <c r="AS589" s="84">
        <v>0.0</v>
      </c>
      <c r="AT589" s="84">
        <v>0.0</v>
      </c>
      <c r="AU589" s="84">
        <v>1.0</v>
      </c>
      <c r="AV589" s="84">
        <v>0.0</v>
      </c>
      <c r="AW589" s="84">
        <v>0.0</v>
      </c>
      <c r="AX589" s="84">
        <v>0.0</v>
      </c>
      <c r="AY589" s="84">
        <v>1.0</v>
      </c>
      <c r="AZ589" s="84">
        <v>0.0</v>
      </c>
    </row>
    <row r="590" ht="12.75" customHeight="1">
      <c r="A590" s="84">
        <v>588.0</v>
      </c>
      <c r="B590" s="84" t="s">
        <v>5824</v>
      </c>
      <c r="C590" s="84">
        <v>0.0</v>
      </c>
      <c r="D590" s="84" t="s">
        <v>4975</v>
      </c>
      <c r="E590" s="84">
        <v>13.0</v>
      </c>
      <c r="F590" s="84" t="s">
        <v>5131</v>
      </c>
      <c r="G590" s="84">
        <v>0.0</v>
      </c>
      <c r="H590" s="84">
        <v>101.0</v>
      </c>
      <c r="I590" s="84">
        <v>10.0</v>
      </c>
      <c r="J590" s="84">
        <v>4.0</v>
      </c>
      <c r="K590" s="84"/>
      <c r="L590" s="84"/>
      <c r="M590" s="84"/>
      <c r="N590" s="84">
        <v>0.0</v>
      </c>
      <c r="O590" s="84">
        <v>0.0</v>
      </c>
      <c r="P590" s="84">
        <v>0.0</v>
      </c>
      <c r="Q590" s="84"/>
      <c r="R590" s="84"/>
      <c r="S590" s="84"/>
      <c r="T590" s="84"/>
      <c r="U590" s="84">
        <v>355.0</v>
      </c>
      <c r="V590" s="84"/>
      <c r="W590" s="84"/>
      <c r="X590" s="84">
        <v>7.0</v>
      </c>
      <c r="Y590" s="84"/>
      <c r="Z590" s="84"/>
      <c r="AA590" s="84"/>
      <c r="AB590" s="84"/>
      <c r="AC590" s="84"/>
      <c r="AD590" s="84"/>
      <c r="AE590" s="84"/>
      <c r="AF590" s="84"/>
      <c r="AG590" s="84"/>
      <c r="AH590" s="84">
        <v>0.0</v>
      </c>
      <c r="AI590" s="84">
        <v>0.0</v>
      </c>
      <c r="AJ590" s="84">
        <v>0.0</v>
      </c>
      <c r="AK590" s="84">
        <v>0.0</v>
      </c>
      <c r="AL590" s="84">
        <v>0.0</v>
      </c>
      <c r="AM590" s="84">
        <v>0.0</v>
      </c>
      <c r="AN590" s="84">
        <v>0.0</v>
      </c>
      <c r="AO590" s="84">
        <v>0.0</v>
      </c>
      <c r="AP590" s="84">
        <v>0.0</v>
      </c>
      <c r="AQ590" s="84">
        <v>0.0</v>
      </c>
      <c r="AR590" s="84">
        <v>0.0</v>
      </c>
      <c r="AS590" s="84">
        <v>0.0</v>
      </c>
      <c r="AT590" s="84">
        <v>0.0</v>
      </c>
      <c r="AU590" s="84">
        <v>0.0</v>
      </c>
      <c r="AV590" s="84">
        <v>0.0</v>
      </c>
      <c r="AW590" s="84">
        <v>0.0</v>
      </c>
      <c r="AX590" s="84">
        <v>0.0</v>
      </c>
      <c r="AY590" s="84">
        <v>0.0</v>
      </c>
      <c r="AZ590" s="84">
        <v>0.0</v>
      </c>
    </row>
    <row r="591" ht="12.75" customHeight="1">
      <c r="A591" s="84">
        <v>589.0</v>
      </c>
      <c r="B591" s="84" t="s">
        <v>5825</v>
      </c>
      <c r="C591" s="84">
        <v>1.0</v>
      </c>
      <c r="D591" s="84" t="s">
        <v>4916</v>
      </c>
      <c r="E591" s="84">
        <v>2.0</v>
      </c>
      <c r="F591" s="84" t="s">
        <v>5131</v>
      </c>
      <c r="G591" s="84">
        <v>0.0</v>
      </c>
      <c r="H591" s="84">
        <v>101.0</v>
      </c>
      <c r="I591" s="84">
        <v>20.0</v>
      </c>
      <c r="N591" s="84">
        <v>0.0</v>
      </c>
      <c r="O591" s="84">
        <v>0.0</v>
      </c>
      <c r="P591" s="84">
        <v>0.0</v>
      </c>
      <c r="U591" s="84">
        <v>356.0</v>
      </c>
      <c r="X591" s="84">
        <v>0.0</v>
      </c>
      <c r="Y591" s="84" t="s">
        <v>20</v>
      </c>
      <c r="Z591" s="84">
        <v>-1.0</v>
      </c>
      <c r="AA591" s="84">
        <v>100.0</v>
      </c>
      <c r="AH591" s="84">
        <v>0.0</v>
      </c>
      <c r="AI591" s="84">
        <v>0.0</v>
      </c>
      <c r="AJ591" s="84">
        <v>0.0</v>
      </c>
      <c r="AK591" s="84">
        <v>0.0</v>
      </c>
      <c r="AL591" s="84">
        <v>1.0</v>
      </c>
      <c r="AM591" s="84">
        <v>0.0</v>
      </c>
      <c r="AN591" s="84">
        <v>1.0</v>
      </c>
      <c r="AO591" s="84">
        <v>0.0</v>
      </c>
      <c r="AP591" s="84">
        <v>0.0</v>
      </c>
      <c r="AQ591" s="84">
        <v>0.0</v>
      </c>
      <c r="AR591" s="84">
        <v>0.0</v>
      </c>
      <c r="AS591" s="84">
        <v>0.0</v>
      </c>
      <c r="AT591" s="84">
        <v>0.0</v>
      </c>
      <c r="AU591" s="84">
        <v>1.0</v>
      </c>
      <c r="AV591" s="84">
        <v>0.0</v>
      </c>
      <c r="AW591" s="84">
        <v>0.0</v>
      </c>
      <c r="AX591" s="84">
        <v>0.0</v>
      </c>
      <c r="AY591" s="84">
        <v>1.0</v>
      </c>
      <c r="AZ591" s="84">
        <v>4.0</v>
      </c>
    </row>
    <row r="592" ht="12.75" customHeight="1">
      <c r="A592" s="84">
        <v>590.0</v>
      </c>
      <c r="B592" s="84" t="s">
        <v>5826</v>
      </c>
      <c r="C592" s="84">
        <v>1.0</v>
      </c>
      <c r="D592" s="84" t="s">
        <v>4916</v>
      </c>
      <c r="E592" s="84">
        <v>2.0</v>
      </c>
      <c r="F592" s="84" t="s">
        <v>5131</v>
      </c>
      <c r="G592" s="84">
        <v>0.0</v>
      </c>
      <c r="H592" s="84">
        <v>101.0</v>
      </c>
      <c r="I592" s="84">
        <v>20.0</v>
      </c>
      <c r="N592" s="84">
        <v>0.0</v>
      </c>
      <c r="O592" s="84">
        <v>0.0</v>
      </c>
      <c r="P592" s="84">
        <v>0.0</v>
      </c>
      <c r="U592" s="84">
        <v>357.0</v>
      </c>
      <c r="X592" s="84">
        <v>0.0</v>
      </c>
      <c r="Y592" s="84" t="s">
        <v>22</v>
      </c>
      <c r="Z592" s="84">
        <v>-1.0</v>
      </c>
      <c r="AA592" s="84">
        <v>100.0</v>
      </c>
      <c r="AH592" s="84">
        <v>0.0</v>
      </c>
      <c r="AI592" s="84">
        <v>0.0</v>
      </c>
      <c r="AJ592" s="84">
        <v>0.0</v>
      </c>
      <c r="AK592" s="84">
        <v>0.0</v>
      </c>
      <c r="AL592" s="84">
        <v>1.0</v>
      </c>
      <c r="AM592" s="84">
        <v>0.0</v>
      </c>
      <c r="AN592" s="84">
        <v>1.0</v>
      </c>
      <c r="AO592" s="84">
        <v>0.0</v>
      </c>
      <c r="AP592" s="84">
        <v>1.0</v>
      </c>
      <c r="AQ592" s="84">
        <v>0.0</v>
      </c>
      <c r="AR592" s="84">
        <v>0.0</v>
      </c>
      <c r="AS592" s="84">
        <v>0.0</v>
      </c>
      <c r="AT592" s="84">
        <v>0.0</v>
      </c>
      <c r="AU592" s="84">
        <v>1.0</v>
      </c>
      <c r="AV592" s="84">
        <v>0.0</v>
      </c>
      <c r="AW592" s="84">
        <v>0.0</v>
      </c>
      <c r="AX592" s="84">
        <v>0.0</v>
      </c>
      <c r="AY592" s="84">
        <v>1.0</v>
      </c>
      <c r="AZ592" s="84">
        <v>4.0</v>
      </c>
    </row>
    <row r="593" ht="12.75" customHeight="1">
      <c r="A593" s="84">
        <v>591.0</v>
      </c>
      <c r="B593" s="84" t="s">
        <v>5827</v>
      </c>
      <c r="C593" s="84">
        <v>0.0</v>
      </c>
      <c r="D593" s="84" t="s">
        <v>4940</v>
      </c>
      <c r="E593" s="84">
        <v>7.0</v>
      </c>
      <c r="F593" s="84" t="s">
        <v>5135</v>
      </c>
      <c r="G593" s="84">
        <v>100.0</v>
      </c>
      <c r="H593" s="84">
        <v>95.0</v>
      </c>
      <c r="I593" s="84">
        <v>5.0</v>
      </c>
      <c r="J593" s="84"/>
      <c r="K593" s="84"/>
      <c r="L593" s="84"/>
      <c r="M593" s="84"/>
      <c r="N593" s="84">
        <v>0.0</v>
      </c>
      <c r="O593" s="84">
        <v>0.0</v>
      </c>
      <c r="P593" s="84">
        <v>0.0</v>
      </c>
      <c r="Q593" s="84"/>
      <c r="R593" s="84"/>
      <c r="S593" s="84"/>
      <c r="T593" s="84"/>
      <c r="U593" s="84">
        <v>358.0</v>
      </c>
      <c r="V593" s="84"/>
      <c r="W593" s="84"/>
      <c r="X593" s="84">
        <v>5.0</v>
      </c>
      <c r="Y593" s="84" t="s">
        <v>21</v>
      </c>
      <c r="Z593" s="84">
        <v>2.0</v>
      </c>
      <c r="AA593" s="84">
        <v>50.0</v>
      </c>
      <c r="AB593" s="84"/>
      <c r="AC593" s="84"/>
      <c r="AD593" s="84"/>
      <c r="AE593" s="84"/>
      <c r="AF593" s="84"/>
      <c r="AG593" s="84"/>
      <c r="AH593" s="84">
        <v>0.0</v>
      </c>
      <c r="AI593" s="84">
        <v>0.0</v>
      </c>
      <c r="AJ593" s="84">
        <v>0.0</v>
      </c>
      <c r="AK593" s="84">
        <v>1.0</v>
      </c>
      <c r="AL593" s="84">
        <v>0.0</v>
      </c>
      <c r="AM593" s="84">
        <v>0.0</v>
      </c>
      <c r="AN593" s="84">
        <v>1.0</v>
      </c>
      <c r="AO593" s="84">
        <v>0.0</v>
      </c>
      <c r="AP593" s="84">
        <v>0.0</v>
      </c>
      <c r="AQ593" s="84">
        <v>0.0</v>
      </c>
      <c r="AR593" s="84">
        <v>0.0</v>
      </c>
      <c r="AS593" s="84">
        <v>0.0</v>
      </c>
      <c r="AT593" s="84">
        <v>0.0</v>
      </c>
      <c r="AU593" s="84">
        <v>0.0</v>
      </c>
      <c r="AV593" s="84">
        <v>0.0</v>
      </c>
      <c r="AW593" s="84">
        <v>0.0</v>
      </c>
      <c r="AX593" s="84">
        <v>0.0</v>
      </c>
      <c r="AY593" s="84">
        <v>0.0</v>
      </c>
      <c r="AZ593" s="84">
        <v>0.0</v>
      </c>
    </row>
    <row r="594" ht="12.75" customHeight="1">
      <c r="A594" s="84">
        <v>592.0</v>
      </c>
      <c r="B594" s="84" t="s">
        <v>5828</v>
      </c>
      <c r="C594" s="84">
        <v>0.0</v>
      </c>
      <c r="D594" s="84" t="s">
        <v>4908</v>
      </c>
      <c r="E594" s="84">
        <v>4.0</v>
      </c>
      <c r="F594" s="84" t="s">
        <v>5172</v>
      </c>
      <c r="G594" s="84">
        <v>110.0</v>
      </c>
      <c r="H594" s="84">
        <v>95.0</v>
      </c>
      <c r="I594" s="84">
        <v>5.0</v>
      </c>
      <c r="J594" s="84"/>
      <c r="K594" s="84"/>
      <c r="L594" s="84"/>
      <c r="M594" s="84" t="s">
        <v>5724</v>
      </c>
      <c r="N594" s="84">
        <v>4.0</v>
      </c>
      <c r="O594" s="84">
        <v>30.0</v>
      </c>
      <c r="P594" s="84">
        <v>1.0</v>
      </c>
      <c r="Q594" s="84"/>
      <c r="R594" s="84"/>
      <c r="S594" s="84"/>
      <c r="T594" s="84"/>
      <c r="U594" s="84">
        <v>4.0</v>
      </c>
      <c r="V594" s="84"/>
      <c r="W594" s="84"/>
      <c r="X594" s="84">
        <v>0.0</v>
      </c>
      <c r="Y594" s="84"/>
      <c r="Z594" s="84"/>
      <c r="AA594" s="84"/>
      <c r="AB594" s="84"/>
      <c r="AC594" s="84"/>
      <c r="AD594" s="84"/>
      <c r="AE594" s="84"/>
      <c r="AF594" s="84"/>
      <c r="AG594" s="84"/>
      <c r="AH594" s="84">
        <v>0.0</v>
      </c>
      <c r="AI594" s="84">
        <v>0.0</v>
      </c>
      <c r="AJ594" s="84">
        <v>0.0</v>
      </c>
      <c r="AK594" s="84">
        <v>1.0</v>
      </c>
      <c r="AL594" s="84">
        <v>0.0</v>
      </c>
      <c r="AM594" s="84">
        <v>0.0</v>
      </c>
      <c r="AN594" s="84">
        <v>1.0</v>
      </c>
      <c r="AO594" s="84">
        <v>0.0</v>
      </c>
      <c r="AP594" s="84">
        <v>0.0</v>
      </c>
      <c r="AQ594" s="84">
        <v>0.0</v>
      </c>
      <c r="AR594" s="84">
        <v>1.0</v>
      </c>
      <c r="AS594" s="84">
        <v>0.0</v>
      </c>
      <c r="AT594" s="84">
        <v>0.0</v>
      </c>
      <c r="AU594" s="84">
        <v>0.0</v>
      </c>
      <c r="AV594" s="84">
        <v>0.0</v>
      </c>
      <c r="AW594" s="84">
        <v>0.0</v>
      </c>
      <c r="AX594" s="84">
        <v>0.0</v>
      </c>
      <c r="AY594" s="84">
        <v>0.0</v>
      </c>
      <c r="AZ594" s="84">
        <v>0.0</v>
      </c>
    </row>
    <row r="595" ht="12.75" customHeight="1">
      <c r="A595" s="84">
        <v>593.0</v>
      </c>
      <c r="B595" s="84" t="s">
        <v>5829</v>
      </c>
      <c r="C595" s="84">
        <v>0.0</v>
      </c>
      <c r="D595" s="84" t="s">
        <v>2659</v>
      </c>
      <c r="E595" s="84">
        <v>0.0</v>
      </c>
      <c r="F595" s="84" t="s">
        <v>5172</v>
      </c>
      <c r="G595" s="84">
        <v>80.0</v>
      </c>
      <c r="H595" s="84">
        <v>101.0</v>
      </c>
      <c r="I595" s="84">
        <v>5.0</v>
      </c>
      <c r="J595" s="84"/>
      <c r="K595" s="84"/>
      <c r="L595" s="84"/>
      <c r="M595" s="84"/>
      <c r="N595" s="84">
        <v>0.0</v>
      </c>
      <c r="O595" s="84">
        <v>0.0</v>
      </c>
      <c r="P595" s="84">
        <v>0.0</v>
      </c>
      <c r="Q595" s="84"/>
      <c r="R595" s="84"/>
      <c r="S595" s="84"/>
      <c r="T595" s="84"/>
      <c r="U595" s="84">
        <v>359.0</v>
      </c>
      <c r="V595" s="84"/>
      <c r="W595" s="84"/>
      <c r="X595" s="84">
        <v>0.0</v>
      </c>
      <c r="Y595" s="84"/>
      <c r="Z595" s="84"/>
      <c r="AA595" s="84"/>
      <c r="AB595" s="84"/>
      <c r="AC595" s="84"/>
      <c r="AD595" s="84"/>
      <c r="AE595" s="84"/>
      <c r="AF595" s="84"/>
      <c r="AG595" s="84"/>
      <c r="AH595" s="84">
        <v>0.0</v>
      </c>
      <c r="AI595" s="84">
        <v>0.0</v>
      </c>
      <c r="AJ595" s="84">
        <v>0.0</v>
      </c>
      <c r="AK595" s="84">
        <v>0.0</v>
      </c>
      <c r="AL595" s="84">
        <v>0.0</v>
      </c>
      <c r="AM595" s="84">
        <v>0.0</v>
      </c>
      <c r="AN595" s="84">
        <v>1.0</v>
      </c>
      <c r="AO595" s="84">
        <v>0.0</v>
      </c>
      <c r="AP595" s="84">
        <v>0.0</v>
      </c>
      <c r="AQ595" s="84">
        <v>0.0</v>
      </c>
      <c r="AR595" s="84">
        <v>0.0</v>
      </c>
      <c r="AS595" s="84">
        <v>0.0</v>
      </c>
      <c r="AT595" s="84">
        <v>0.0</v>
      </c>
      <c r="AU595" s="84">
        <v>1.0</v>
      </c>
      <c r="AV595" s="84">
        <v>0.0</v>
      </c>
      <c r="AW595" s="84">
        <v>0.0</v>
      </c>
      <c r="AX595" s="84">
        <v>0.0</v>
      </c>
      <c r="AY595" s="84">
        <v>0.0</v>
      </c>
      <c r="AZ595" s="84">
        <v>0.0</v>
      </c>
    </row>
    <row r="596" ht="12.75" customHeight="1">
      <c r="A596" s="84">
        <v>594.0</v>
      </c>
      <c r="B596" s="84" t="s">
        <v>5830</v>
      </c>
      <c r="C596" s="84">
        <v>0.0</v>
      </c>
      <c r="D596" s="84" t="s">
        <v>4908</v>
      </c>
      <c r="E596" s="84">
        <v>0.0</v>
      </c>
      <c r="F596" s="84" t="s">
        <v>5172</v>
      </c>
      <c r="G596" s="84">
        <v>15.0</v>
      </c>
      <c r="H596" s="84">
        <v>100.0</v>
      </c>
      <c r="I596" s="84">
        <v>20.0</v>
      </c>
      <c r="J596" s="84">
        <v>1.0</v>
      </c>
      <c r="K596" s="84">
        <v>2.0</v>
      </c>
      <c r="L596" s="84">
        <v>5.0</v>
      </c>
      <c r="M596" s="84"/>
      <c r="N596" s="84">
        <v>0.0</v>
      </c>
      <c r="O596" s="84">
        <v>0.0</v>
      </c>
      <c r="P596" s="84">
        <v>0.0</v>
      </c>
      <c r="Q596" s="84"/>
      <c r="R596" s="84"/>
      <c r="S596" s="84"/>
      <c r="T596" s="84"/>
      <c r="U596" s="84">
        <v>360.0</v>
      </c>
      <c r="V596" s="84"/>
      <c r="W596" s="84"/>
      <c r="X596" s="84">
        <v>0.0</v>
      </c>
      <c r="Y596" s="84"/>
      <c r="Z596" s="84"/>
      <c r="AA596" s="84"/>
      <c r="AB596" s="84"/>
      <c r="AC596" s="84"/>
      <c r="AD596" s="84"/>
      <c r="AE596" s="84"/>
      <c r="AF596" s="84"/>
      <c r="AG596" s="84"/>
      <c r="AH596" s="84">
        <v>0.0</v>
      </c>
      <c r="AI596" s="84">
        <v>0.0</v>
      </c>
      <c r="AJ596" s="84">
        <v>0.0</v>
      </c>
      <c r="AK596" s="84">
        <v>1.0</v>
      </c>
      <c r="AL596" s="84">
        <v>0.0</v>
      </c>
      <c r="AM596" s="84">
        <v>0.0</v>
      </c>
      <c r="AN596" s="84">
        <v>1.0</v>
      </c>
      <c r="AO596" s="84">
        <v>0.0</v>
      </c>
      <c r="AP596" s="84">
        <v>0.0</v>
      </c>
      <c r="AQ596" s="84">
        <v>0.0</v>
      </c>
      <c r="AR596" s="84">
        <v>0.0</v>
      </c>
      <c r="AS596" s="84">
        <v>0.0</v>
      </c>
      <c r="AT596" s="84">
        <v>0.0</v>
      </c>
      <c r="AU596" s="84">
        <v>0.0</v>
      </c>
      <c r="AV596" s="84">
        <v>0.0</v>
      </c>
      <c r="AW596" s="84">
        <v>0.0</v>
      </c>
      <c r="AX596" s="84">
        <v>0.0</v>
      </c>
      <c r="AY596" s="84">
        <v>1.0</v>
      </c>
      <c r="AZ596" s="84">
        <v>0.0</v>
      </c>
    </row>
    <row r="597" ht="12.75" customHeight="1">
      <c r="A597" s="84">
        <v>595.0</v>
      </c>
      <c r="B597" s="84" t="s">
        <v>4072</v>
      </c>
      <c r="C597" s="84">
        <v>1.0</v>
      </c>
      <c r="D597" s="84" t="s">
        <v>4906</v>
      </c>
      <c r="E597" s="84">
        <v>6.0</v>
      </c>
      <c r="F597" s="84" t="s">
        <v>5172</v>
      </c>
      <c r="G597" s="84">
        <v>75.0</v>
      </c>
      <c r="H597" s="84">
        <v>100.0</v>
      </c>
      <c r="I597" s="84">
        <v>10.0</v>
      </c>
      <c r="N597" s="84">
        <v>0.0</v>
      </c>
      <c r="O597" s="84">
        <v>0.0</v>
      </c>
      <c r="P597" s="84">
        <v>0.0</v>
      </c>
      <c r="U597" s="84">
        <v>71.0</v>
      </c>
      <c r="X597" s="84">
        <v>0.0</v>
      </c>
      <c r="Y597" s="84" t="s">
        <v>22</v>
      </c>
      <c r="Z597" s="84">
        <v>-1.0</v>
      </c>
      <c r="AA597" s="84">
        <v>100.0</v>
      </c>
      <c r="AH597" s="84">
        <v>0.0</v>
      </c>
      <c r="AI597" s="84">
        <v>0.0</v>
      </c>
      <c r="AJ597" s="84">
        <v>0.0</v>
      </c>
      <c r="AK597" s="84">
        <v>1.0</v>
      </c>
      <c r="AL597" s="84">
        <v>0.0</v>
      </c>
      <c r="AM597" s="84">
        <v>0.0</v>
      </c>
      <c r="AN597" s="84">
        <v>1.0</v>
      </c>
      <c r="AO597" s="84">
        <v>0.0</v>
      </c>
      <c r="AP597" s="84">
        <v>0.0</v>
      </c>
      <c r="AQ597" s="84">
        <v>0.0</v>
      </c>
      <c r="AR597" s="84">
        <v>0.0</v>
      </c>
      <c r="AS597" s="84">
        <v>0.0</v>
      </c>
      <c r="AT597" s="84">
        <v>0.0</v>
      </c>
      <c r="AU597" s="84">
        <v>0.0</v>
      </c>
      <c r="AV597" s="84">
        <v>0.0</v>
      </c>
      <c r="AW597" s="84">
        <v>0.0</v>
      </c>
      <c r="AX597" s="84">
        <v>0.0</v>
      </c>
      <c r="AY597" s="84">
        <v>1.0</v>
      </c>
      <c r="AZ597" s="84">
        <v>41.0</v>
      </c>
    </row>
    <row r="598" ht="12.75" customHeight="1">
      <c r="A598" s="84">
        <v>596.0</v>
      </c>
      <c r="B598" s="84" t="s">
        <v>2531</v>
      </c>
      <c r="C598" s="84">
        <v>1.0</v>
      </c>
      <c r="D598" s="84" t="s">
        <v>4904</v>
      </c>
      <c r="E598" s="84">
        <v>13.0</v>
      </c>
      <c r="F598" s="84" t="s">
        <v>5131</v>
      </c>
      <c r="G598" s="84">
        <v>0.0</v>
      </c>
      <c r="H598" s="84">
        <v>101.0</v>
      </c>
      <c r="I598" s="84">
        <v>10.0</v>
      </c>
      <c r="J598" s="84">
        <v>4.0</v>
      </c>
      <c r="N598" s="84">
        <v>0.0</v>
      </c>
      <c r="O598" s="84">
        <v>0.0</v>
      </c>
      <c r="P598" s="84">
        <v>0.0</v>
      </c>
      <c r="U598" s="84">
        <v>361.0</v>
      </c>
      <c r="X598" s="84">
        <v>7.0</v>
      </c>
      <c r="AH598" s="84">
        <v>0.0</v>
      </c>
      <c r="AI598" s="84">
        <v>0.0</v>
      </c>
      <c r="AJ598" s="84">
        <v>0.0</v>
      </c>
      <c r="AK598" s="84">
        <v>0.0</v>
      </c>
      <c r="AL598" s="84">
        <v>0.0</v>
      </c>
      <c r="AM598" s="84">
        <v>0.0</v>
      </c>
      <c r="AN598" s="84">
        <v>0.0</v>
      </c>
      <c r="AO598" s="84">
        <v>0.0</v>
      </c>
      <c r="AP598" s="84">
        <v>0.0</v>
      </c>
      <c r="AQ598" s="84">
        <v>0.0</v>
      </c>
      <c r="AR598" s="84">
        <v>0.0</v>
      </c>
      <c r="AS598" s="84">
        <v>0.0</v>
      </c>
      <c r="AT598" s="84">
        <v>0.0</v>
      </c>
      <c r="AU598" s="84">
        <v>0.0</v>
      </c>
      <c r="AV598" s="84">
        <v>0.0</v>
      </c>
      <c r="AW598" s="84">
        <v>0.0</v>
      </c>
      <c r="AX598" s="84">
        <v>0.0</v>
      </c>
      <c r="AY598" s="84">
        <v>0.0</v>
      </c>
      <c r="AZ598" s="84">
        <v>17.0</v>
      </c>
    </row>
    <row r="599" ht="12.75" customHeight="1">
      <c r="A599" s="84">
        <v>597.0</v>
      </c>
      <c r="B599" s="84" t="s">
        <v>5831</v>
      </c>
      <c r="C599" s="84">
        <v>1.0</v>
      </c>
      <c r="D599" s="84" t="s">
        <v>5072</v>
      </c>
      <c r="E599" s="84">
        <v>2.0</v>
      </c>
      <c r="F599" s="84" t="s">
        <v>5131</v>
      </c>
      <c r="G599" s="84">
        <v>0.0</v>
      </c>
      <c r="H599" s="84">
        <v>101.0</v>
      </c>
      <c r="I599" s="84">
        <v>20.0</v>
      </c>
      <c r="N599" s="84">
        <v>0.0</v>
      </c>
      <c r="O599" s="84">
        <v>0.0</v>
      </c>
      <c r="P599" s="84">
        <v>0.0</v>
      </c>
      <c r="U599" s="84">
        <v>362.0</v>
      </c>
      <c r="X599" s="84">
        <v>2.0</v>
      </c>
      <c r="Y599" s="84" t="s">
        <v>23</v>
      </c>
      <c r="Z599" s="84">
        <v>1.0</v>
      </c>
      <c r="AH599" s="84">
        <v>0.0</v>
      </c>
      <c r="AI599" s="84">
        <v>0.0</v>
      </c>
      <c r="AJ599" s="84">
        <v>0.0</v>
      </c>
      <c r="AK599" s="84">
        <v>0.0</v>
      </c>
      <c r="AL599" s="84">
        <v>0.0</v>
      </c>
      <c r="AM599" s="84">
        <v>0.0</v>
      </c>
      <c r="AN599" s="84">
        <v>0.0</v>
      </c>
      <c r="AO599" s="84">
        <v>0.0</v>
      </c>
      <c r="AP599" s="84">
        <v>0.0</v>
      </c>
      <c r="AQ599" s="84">
        <v>0.0</v>
      </c>
      <c r="AR599" s="84">
        <v>0.0</v>
      </c>
      <c r="AS599" s="84">
        <v>0.0</v>
      </c>
      <c r="AT599" s="84">
        <v>0.0</v>
      </c>
      <c r="AU599" s="84">
        <v>1.0</v>
      </c>
      <c r="AV599" s="84">
        <v>0.0</v>
      </c>
      <c r="AW599" s="84">
        <v>0.0</v>
      </c>
      <c r="AX599" s="84">
        <v>0.0</v>
      </c>
      <c r="AY599" s="84">
        <v>1.0</v>
      </c>
      <c r="AZ599" s="84">
        <v>6.0</v>
      </c>
    </row>
    <row r="600" ht="12.75" customHeight="1">
      <c r="A600" s="84">
        <v>598.0</v>
      </c>
      <c r="B600" s="84" t="s">
        <v>5832</v>
      </c>
      <c r="C600" s="84">
        <v>1.0</v>
      </c>
      <c r="D600" s="84" t="s">
        <v>4921</v>
      </c>
      <c r="E600" s="84">
        <v>2.0</v>
      </c>
      <c r="F600" s="84" t="s">
        <v>5131</v>
      </c>
      <c r="G600" s="84">
        <v>0.0</v>
      </c>
      <c r="H600" s="84">
        <v>100.0</v>
      </c>
      <c r="I600" s="84">
        <v>15.0</v>
      </c>
      <c r="N600" s="84">
        <v>0.0</v>
      </c>
      <c r="O600" s="84">
        <v>0.0</v>
      </c>
      <c r="P600" s="84">
        <v>0.0</v>
      </c>
      <c r="U600" s="84">
        <v>61.0</v>
      </c>
      <c r="X600" s="84">
        <v>0.0</v>
      </c>
      <c r="Y600" s="84" t="s">
        <v>22</v>
      </c>
      <c r="Z600" s="84">
        <v>-2.0</v>
      </c>
      <c r="AH600" s="84">
        <v>0.0</v>
      </c>
      <c r="AI600" s="84">
        <v>0.0</v>
      </c>
      <c r="AJ600" s="84">
        <v>0.0</v>
      </c>
      <c r="AK600" s="84">
        <v>1.0</v>
      </c>
      <c r="AL600" s="84">
        <v>1.0</v>
      </c>
      <c r="AM600" s="84">
        <v>0.0</v>
      </c>
      <c r="AN600" s="84">
        <v>1.0</v>
      </c>
      <c r="AO600" s="84">
        <v>0.0</v>
      </c>
      <c r="AP600" s="84">
        <v>0.0</v>
      </c>
      <c r="AQ600" s="84">
        <v>0.0</v>
      </c>
      <c r="AR600" s="84">
        <v>0.0</v>
      </c>
      <c r="AS600" s="84">
        <v>0.0</v>
      </c>
      <c r="AT600" s="84">
        <v>0.0</v>
      </c>
      <c r="AU600" s="84">
        <v>0.0</v>
      </c>
      <c r="AV600" s="84">
        <v>0.0</v>
      </c>
      <c r="AW600" s="84">
        <v>0.0</v>
      </c>
      <c r="AX600" s="84">
        <v>0.0</v>
      </c>
      <c r="AY600" s="84">
        <v>1.0</v>
      </c>
      <c r="AZ600" s="84">
        <v>5.0</v>
      </c>
    </row>
    <row r="601" ht="12.75" customHeight="1">
      <c r="A601" s="84">
        <v>599.0</v>
      </c>
      <c r="B601" s="84" t="s">
        <v>5833</v>
      </c>
      <c r="C601" s="84">
        <v>1.0</v>
      </c>
      <c r="D601" s="84" t="s">
        <v>4905</v>
      </c>
      <c r="E601" s="84">
        <v>2.0</v>
      </c>
      <c r="F601" s="84" t="s">
        <v>5131</v>
      </c>
      <c r="G601" s="84">
        <v>0.0</v>
      </c>
      <c r="H601" s="84">
        <v>100.0</v>
      </c>
      <c r="I601" s="84">
        <v>20.0</v>
      </c>
      <c r="N601" s="84">
        <v>0.0</v>
      </c>
      <c r="O601" s="84">
        <v>0.0</v>
      </c>
      <c r="P601" s="84">
        <v>0.0</v>
      </c>
      <c r="U601" s="84">
        <v>363.0</v>
      </c>
      <c r="X601" s="84">
        <v>5.0</v>
      </c>
      <c r="Y601" s="84" t="s">
        <v>20</v>
      </c>
      <c r="Z601" s="84">
        <v>-1.0</v>
      </c>
      <c r="AA601" s="84">
        <v>100.0</v>
      </c>
      <c r="AB601" s="84" t="s">
        <v>22</v>
      </c>
      <c r="AC601" s="84">
        <v>-1.0</v>
      </c>
      <c r="AD601" s="84">
        <v>100.0</v>
      </c>
      <c r="AE601" s="84" t="s">
        <v>5073</v>
      </c>
      <c r="AF601" s="84">
        <v>-1.0</v>
      </c>
      <c r="AG601" s="84">
        <v>100.0</v>
      </c>
      <c r="AH601" s="84">
        <v>0.0</v>
      </c>
      <c r="AI601" s="84">
        <v>0.0</v>
      </c>
      <c r="AJ601" s="84">
        <v>0.0</v>
      </c>
      <c r="AK601" s="84">
        <v>1.0</v>
      </c>
      <c r="AL601" s="84">
        <v>1.0</v>
      </c>
      <c r="AM601" s="84">
        <v>0.0</v>
      </c>
      <c r="AN601" s="84">
        <v>1.0</v>
      </c>
      <c r="AO601" s="84">
        <v>0.0</v>
      </c>
      <c r="AP601" s="84">
        <v>0.0</v>
      </c>
      <c r="AQ601" s="84">
        <v>0.0</v>
      </c>
      <c r="AR601" s="84">
        <v>0.0</v>
      </c>
      <c r="AS601" s="84">
        <v>0.0</v>
      </c>
      <c r="AT601" s="84">
        <v>0.0</v>
      </c>
      <c r="AU601" s="84">
        <v>0.0</v>
      </c>
      <c r="AV601" s="84">
        <v>0.0</v>
      </c>
      <c r="AW601" s="84">
        <v>0.0</v>
      </c>
      <c r="AX601" s="84">
        <v>0.0</v>
      </c>
      <c r="AY601" s="84">
        <v>1.0</v>
      </c>
      <c r="AZ601" s="84">
        <v>5.0</v>
      </c>
    </row>
    <row r="602" ht="12.75" customHeight="1">
      <c r="A602" s="84">
        <v>600.0</v>
      </c>
      <c r="B602" s="84" t="s">
        <v>5834</v>
      </c>
      <c r="C602" s="84">
        <v>0.0</v>
      </c>
      <c r="D602" s="84" t="s">
        <v>4910</v>
      </c>
      <c r="E602" s="84">
        <v>13.0</v>
      </c>
      <c r="F602" s="84" t="s">
        <v>5131</v>
      </c>
      <c r="G602" s="84">
        <v>0.0</v>
      </c>
      <c r="H602" s="84">
        <v>100.0</v>
      </c>
      <c r="I602" s="84">
        <v>20.0</v>
      </c>
      <c r="J602" s="84">
        <v>1.0</v>
      </c>
      <c r="K602" s="84"/>
      <c r="L602" s="84"/>
      <c r="M602" s="84"/>
      <c r="N602" s="84">
        <v>0.0</v>
      </c>
      <c r="O602" s="84">
        <v>0.0</v>
      </c>
      <c r="P602" s="84">
        <v>0.0</v>
      </c>
      <c r="Q602" s="84"/>
      <c r="R602" s="84"/>
      <c r="S602" s="84"/>
      <c r="T602" s="84"/>
      <c r="U602" s="84">
        <v>377.0</v>
      </c>
      <c r="V602" s="84"/>
      <c r="W602" s="84"/>
      <c r="X602" s="84">
        <v>0.0</v>
      </c>
      <c r="Y602" s="84"/>
      <c r="Z602" s="84"/>
      <c r="AA602" s="84"/>
      <c r="AB602" s="84"/>
      <c r="AC602" s="84"/>
      <c r="AD602" s="84"/>
      <c r="AE602" s="84"/>
      <c r="AF602" s="84"/>
      <c r="AG602" s="84"/>
      <c r="AH602" s="84">
        <v>0.0</v>
      </c>
      <c r="AI602" s="84">
        <v>0.0</v>
      </c>
      <c r="AJ602" s="84">
        <v>0.0</v>
      </c>
      <c r="AK602" s="84">
        <v>1.0</v>
      </c>
      <c r="AL602" s="84">
        <v>1.0</v>
      </c>
      <c r="AM602" s="84">
        <v>0.0</v>
      </c>
      <c r="AN602" s="84">
        <v>1.0</v>
      </c>
      <c r="AO602" s="84">
        <v>0.0</v>
      </c>
      <c r="AP602" s="84">
        <v>0.0</v>
      </c>
      <c r="AQ602" s="84">
        <v>0.0</v>
      </c>
      <c r="AR602" s="84">
        <v>0.0</v>
      </c>
      <c r="AS602" s="84">
        <v>0.0</v>
      </c>
      <c r="AT602" s="84">
        <v>0.0</v>
      </c>
      <c r="AU602" s="84">
        <v>1.0</v>
      </c>
      <c r="AV602" s="84">
        <v>0.0</v>
      </c>
      <c r="AW602" s="84">
        <v>0.0</v>
      </c>
      <c r="AX602" s="84">
        <v>0.0</v>
      </c>
      <c r="AY602" s="84">
        <v>1.0</v>
      </c>
      <c r="AZ602" s="84">
        <v>0.0</v>
      </c>
    </row>
    <row r="603" ht="12.75" customHeight="1">
      <c r="A603" s="84">
        <v>601.0</v>
      </c>
      <c r="B603" s="84" t="s">
        <v>5835</v>
      </c>
      <c r="C603" s="84">
        <v>0.0</v>
      </c>
      <c r="D603" s="84" t="s">
        <v>5072</v>
      </c>
      <c r="E603" s="84">
        <v>2.0</v>
      </c>
      <c r="F603" s="84" t="s">
        <v>5131</v>
      </c>
      <c r="G603" s="84">
        <v>0.0</v>
      </c>
      <c r="H603" s="84">
        <v>101.0</v>
      </c>
      <c r="I603" s="84">
        <v>10.0</v>
      </c>
      <c r="J603" s="84"/>
      <c r="K603" s="84"/>
      <c r="L603" s="84"/>
      <c r="M603" s="84"/>
      <c r="N603" s="84">
        <v>0.0</v>
      </c>
      <c r="O603" s="84">
        <v>0.0</v>
      </c>
      <c r="P603" s="84">
        <v>0.0</v>
      </c>
      <c r="Q603" s="84"/>
      <c r="R603" s="84"/>
      <c r="S603" s="84"/>
      <c r="T603" s="84"/>
      <c r="U603" s="84">
        <v>365.0</v>
      </c>
      <c r="V603" s="84"/>
      <c r="W603" s="84"/>
      <c r="X603" s="84">
        <v>7.0</v>
      </c>
      <c r="Y603" s="84" t="s">
        <v>22</v>
      </c>
      <c r="Z603" s="84">
        <v>2.0</v>
      </c>
      <c r="AA603" s="84"/>
      <c r="AB603" s="84" t="s">
        <v>23</v>
      </c>
      <c r="AC603" s="84">
        <v>2.0</v>
      </c>
      <c r="AD603" s="84"/>
      <c r="AE603" s="84" t="s">
        <v>5073</v>
      </c>
      <c r="AF603" s="84">
        <v>2.0</v>
      </c>
      <c r="AG603" s="84"/>
      <c r="AH603" s="84">
        <v>0.0</v>
      </c>
      <c r="AI603" s="84">
        <v>1.0</v>
      </c>
      <c r="AJ603" s="84">
        <v>0.0</v>
      </c>
      <c r="AK603" s="84">
        <v>0.0</v>
      </c>
      <c r="AL603" s="84">
        <v>0.0</v>
      </c>
      <c r="AM603" s="84">
        <v>0.0</v>
      </c>
      <c r="AN603" s="84">
        <v>0.0</v>
      </c>
      <c r="AO603" s="84">
        <v>0.0</v>
      </c>
      <c r="AP603" s="84">
        <v>0.0</v>
      </c>
      <c r="AQ603" s="84">
        <v>0.0</v>
      </c>
      <c r="AR603" s="84">
        <v>0.0</v>
      </c>
      <c r="AS603" s="84">
        <v>0.0</v>
      </c>
      <c r="AT603" s="84">
        <v>0.0</v>
      </c>
      <c r="AU603" s="84">
        <v>0.0</v>
      </c>
      <c r="AV603" s="84">
        <v>1.0</v>
      </c>
      <c r="AW603" s="84">
        <v>0.0</v>
      </c>
      <c r="AX603" s="84">
        <v>0.0</v>
      </c>
      <c r="AY603" s="84">
        <v>1.0</v>
      </c>
      <c r="AZ603" s="84">
        <v>0.0</v>
      </c>
    </row>
    <row r="604" ht="12.75" customHeight="1">
      <c r="A604" s="84">
        <v>602.0</v>
      </c>
      <c r="B604" s="84" t="s">
        <v>5836</v>
      </c>
      <c r="C604" s="84">
        <v>1.0</v>
      </c>
      <c r="D604" s="84" t="s">
        <v>4921</v>
      </c>
      <c r="E604" s="84">
        <v>2.0</v>
      </c>
      <c r="F604" s="84" t="s">
        <v>5131</v>
      </c>
      <c r="G604" s="84">
        <v>0.0</v>
      </c>
      <c r="H604" s="84">
        <v>101.0</v>
      </c>
      <c r="I604" s="84">
        <v>20.0</v>
      </c>
      <c r="N604" s="84">
        <v>0.0</v>
      </c>
      <c r="O604" s="84">
        <v>0.0</v>
      </c>
      <c r="P604" s="84">
        <v>0.0</v>
      </c>
      <c r="U604" s="84">
        <v>366.0</v>
      </c>
      <c r="X604" s="84">
        <v>6.0</v>
      </c>
      <c r="Y604" s="84" t="s">
        <v>21</v>
      </c>
      <c r="Z604" s="84">
        <v>1.0</v>
      </c>
      <c r="AB604" s="84" t="s">
        <v>23</v>
      </c>
      <c r="AC604" s="84">
        <v>1.0</v>
      </c>
      <c r="AH604" s="84">
        <v>0.0</v>
      </c>
      <c r="AI604" s="84">
        <v>0.0</v>
      </c>
      <c r="AJ604" s="84">
        <v>0.0</v>
      </c>
      <c r="AK604" s="84">
        <v>0.0</v>
      </c>
      <c r="AL604" s="84">
        <v>0.0</v>
      </c>
      <c r="AM604" s="84">
        <v>1.0</v>
      </c>
      <c r="AN604" s="84">
        <v>0.0</v>
      </c>
      <c r="AO604" s="84">
        <v>0.0</v>
      </c>
      <c r="AP604" s="84">
        <v>0.0</v>
      </c>
      <c r="AQ604" s="84">
        <v>0.0</v>
      </c>
      <c r="AR604" s="84">
        <v>0.0</v>
      </c>
      <c r="AS604" s="84">
        <v>1.0</v>
      </c>
      <c r="AT604" s="84">
        <v>0.0</v>
      </c>
      <c r="AU604" s="84">
        <v>1.0</v>
      </c>
      <c r="AV604" s="84">
        <v>0.0</v>
      </c>
      <c r="AW604" s="84">
        <v>0.0</v>
      </c>
      <c r="AX604" s="84">
        <v>0.0</v>
      </c>
      <c r="AY604" s="84">
        <v>1.0</v>
      </c>
      <c r="AZ604" s="84">
        <v>5.0</v>
      </c>
    </row>
    <row r="605" ht="12.75" customHeight="1">
      <c r="A605" s="84">
        <v>603.0</v>
      </c>
      <c r="B605" s="84" t="s">
        <v>5837</v>
      </c>
      <c r="C605" s="84">
        <v>0.0</v>
      </c>
      <c r="D605" s="84" t="s">
        <v>4916</v>
      </c>
      <c r="E605" s="84">
        <v>13.0</v>
      </c>
      <c r="F605" s="84" t="s">
        <v>5131</v>
      </c>
      <c r="G605" s="84">
        <v>0.0</v>
      </c>
      <c r="H605" s="84">
        <v>101.0</v>
      </c>
      <c r="I605" s="84">
        <v>30.0</v>
      </c>
      <c r="J605" s="84"/>
      <c r="K605" s="84"/>
      <c r="L605" s="84"/>
      <c r="M605" s="84"/>
      <c r="N605" s="84">
        <v>0.0</v>
      </c>
      <c r="O605" s="84">
        <v>0.0</v>
      </c>
      <c r="P605" s="84">
        <v>0.0</v>
      </c>
      <c r="Q605" s="84"/>
      <c r="R605" s="84"/>
      <c r="S605" s="84"/>
      <c r="T605" s="84"/>
      <c r="U605" s="84">
        <v>367.0</v>
      </c>
      <c r="V605" s="84"/>
      <c r="W605" s="84"/>
      <c r="X605" s="84">
        <v>12.0</v>
      </c>
      <c r="Y605" s="84"/>
      <c r="Z605" s="84"/>
      <c r="AA605" s="84"/>
      <c r="AB605" s="84"/>
      <c r="AC605" s="84"/>
      <c r="AD605" s="84"/>
      <c r="AE605" s="84"/>
      <c r="AF605" s="84"/>
      <c r="AG605" s="84"/>
      <c r="AH605" s="84">
        <v>0.0</v>
      </c>
      <c r="AI605" s="84">
        <v>0.0</v>
      </c>
      <c r="AJ605" s="84">
        <v>0.0</v>
      </c>
      <c r="AK605" s="84">
        <v>0.0</v>
      </c>
      <c r="AL605" s="84">
        <v>0.0</v>
      </c>
      <c r="AM605" s="84">
        <v>0.0</v>
      </c>
      <c r="AN605" s="84">
        <v>0.0</v>
      </c>
      <c r="AO605" s="84">
        <v>0.0</v>
      </c>
      <c r="AP605" s="84">
        <v>0.0</v>
      </c>
      <c r="AQ605" s="84">
        <v>0.0</v>
      </c>
      <c r="AR605" s="84">
        <v>0.0</v>
      </c>
      <c r="AS605" s="84">
        <v>0.0</v>
      </c>
      <c r="AT605" s="84">
        <v>0.0</v>
      </c>
      <c r="AU605" s="84">
        <v>0.0</v>
      </c>
      <c r="AV605" s="84">
        <v>0.0</v>
      </c>
      <c r="AW605" s="84">
        <v>0.0</v>
      </c>
      <c r="AX605" s="84">
        <v>0.0</v>
      </c>
      <c r="AY605" s="84">
        <v>1.0</v>
      </c>
      <c r="AZ605" s="84">
        <v>0.0</v>
      </c>
    </row>
    <row r="606" ht="12.75" customHeight="1">
      <c r="A606" s="84">
        <v>604.0</v>
      </c>
      <c r="B606" s="84" t="s">
        <v>5838</v>
      </c>
      <c r="C606" s="84">
        <v>1.0</v>
      </c>
      <c r="D606" s="84" t="s">
        <v>4921</v>
      </c>
      <c r="E606" s="84">
        <v>10.0</v>
      </c>
      <c r="F606" s="84" t="s">
        <v>5131</v>
      </c>
      <c r="G606" s="84">
        <v>0.0</v>
      </c>
      <c r="H606" s="84">
        <v>101.0</v>
      </c>
      <c r="I606" s="84">
        <v>10.0</v>
      </c>
      <c r="N606" s="84">
        <v>0.0</v>
      </c>
      <c r="O606" s="84">
        <v>0.0</v>
      </c>
      <c r="P606" s="84">
        <v>0.0</v>
      </c>
      <c r="U606" s="84">
        <v>368.0</v>
      </c>
      <c r="X606" s="84">
        <v>10.0</v>
      </c>
      <c r="AH606" s="84">
        <v>0.0</v>
      </c>
      <c r="AI606" s="84">
        <v>0.0</v>
      </c>
      <c r="AJ606" s="84">
        <v>0.0</v>
      </c>
      <c r="AK606" s="84">
        <v>0.0</v>
      </c>
      <c r="AL606" s="84">
        <v>0.0</v>
      </c>
      <c r="AM606" s="84">
        <v>0.0</v>
      </c>
      <c r="AN606" s="84">
        <v>0.0</v>
      </c>
      <c r="AO606" s="84">
        <v>0.0</v>
      </c>
      <c r="AP606" s="84">
        <v>0.0</v>
      </c>
      <c r="AQ606" s="84">
        <v>0.0</v>
      </c>
      <c r="AR606" s="84">
        <v>0.0</v>
      </c>
      <c r="AS606" s="84">
        <v>0.0</v>
      </c>
      <c r="AT606" s="84">
        <v>0.0</v>
      </c>
      <c r="AU606" s="84">
        <v>0.0</v>
      </c>
      <c r="AV606" s="84">
        <v>1.0</v>
      </c>
      <c r="AW606" s="84">
        <v>0.0</v>
      </c>
      <c r="AX606" s="84">
        <v>0.0</v>
      </c>
      <c r="AY606" s="84">
        <v>1.0</v>
      </c>
      <c r="AZ606" s="84">
        <v>23.0</v>
      </c>
    </row>
    <row r="607" ht="12.75" customHeight="1">
      <c r="A607" s="84">
        <v>605.0</v>
      </c>
      <c r="B607" s="84" t="s">
        <v>3260</v>
      </c>
      <c r="C607" s="84">
        <v>1.0</v>
      </c>
      <c r="D607" s="84" t="s">
        <v>5072</v>
      </c>
      <c r="E607" s="84">
        <v>0.0</v>
      </c>
      <c r="F607" s="84" t="s">
        <v>5172</v>
      </c>
      <c r="G607" s="84">
        <v>80.0</v>
      </c>
      <c r="H607" s="84">
        <v>100.0</v>
      </c>
      <c r="I607" s="84">
        <v>10.0</v>
      </c>
      <c r="N607" s="84">
        <v>0.0</v>
      </c>
      <c r="O607" s="84">
        <v>0.0</v>
      </c>
      <c r="P607" s="84">
        <v>0.0</v>
      </c>
      <c r="U607" s="84">
        <v>0.0</v>
      </c>
      <c r="X607" s="84">
        <v>5.0</v>
      </c>
      <c r="AH607" s="84">
        <v>0.0</v>
      </c>
      <c r="AI607" s="84">
        <v>0.0</v>
      </c>
      <c r="AJ607" s="84">
        <v>0.0</v>
      </c>
      <c r="AK607" s="84">
        <v>1.0</v>
      </c>
      <c r="AL607" s="84">
        <v>0.0</v>
      </c>
      <c r="AM607" s="84">
        <v>0.0</v>
      </c>
      <c r="AN607" s="84">
        <v>1.0</v>
      </c>
      <c r="AO607" s="84">
        <v>0.0</v>
      </c>
      <c r="AP607" s="84">
        <v>0.0</v>
      </c>
      <c r="AQ607" s="84">
        <v>0.0</v>
      </c>
      <c r="AR607" s="84">
        <v>0.0</v>
      </c>
      <c r="AS607" s="84">
        <v>0.0</v>
      </c>
      <c r="AT607" s="84">
        <v>0.0</v>
      </c>
      <c r="AU607" s="84">
        <v>0.0</v>
      </c>
      <c r="AV607" s="84">
        <v>0.0</v>
      </c>
      <c r="AW607" s="84">
        <v>0.0</v>
      </c>
      <c r="AX607" s="84">
        <v>0.0</v>
      </c>
      <c r="AY607" s="84">
        <v>1.0</v>
      </c>
      <c r="AZ607" s="84">
        <v>41.0</v>
      </c>
    </row>
    <row r="608" ht="12.75" customHeight="1">
      <c r="A608" s="84">
        <v>606.0</v>
      </c>
      <c r="B608" s="84" t="s">
        <v>5839</v>
      </c>
      <c r="C608" s="84">
        <v>0.0</v>
      </c>
      <c r="D608" s="84" t="s">
        <v>4916</v>
      </c>
      <c r="E608" s="84">
        <v>13.0</v>
      </c>
      <c r="F608" s="84" t="s">
        <v>5131</v>
      </c>
      <c r="G608" s="84">
        <v>0.0</v>
      </c>
      <c r="H608" s="84">
        <v>101.0</v>
      </c>
      <c r="I608" s="84">
        <v>40.0</v>
      </c>
      <c r="J608" s="84"/>
      <c r="K608" s="84"/>
      <c r="L608" s="84"/>
      <c r="M608" s="84"/>
      <c r="N608" s="84">
        <v>0.0</v>
      </c>
      <c r="O608" s="84">
        <v>0.0</v>
      </c>
      <c r="P608" s="84">
        <v>0.0</v>
      </c>
      <c r="Q608" s="84"/>
      <c r="R608" s="84"/>
      <c r="S608" s="84"/>
      <c r="T608" s="84"/>
      <c r="U608" s="84">
        <v>369.0</v>
      </c>
      <c r="V608" s="84"/>
      <c r="W608" s="84"/>
      <c r="X608" s="84">
        <v>7.0</v>
      </c>
      <c r="Y608" s="84"/>
      <c r="Z608" s="84"/>
      <c r="AA608" s="84"/>
      <c r="AB608" s="84"/>
      <c r="AC608" s="84"/>
      <c r="AD608" s="84"/>
      <c r="AE608" s="84"/>
      <c r="AF608" s="84"/>
      <c r="AG608" s="84"/>
      <c r="AH608" s="84">
        <v>0.0</v>
      </c>
      <c r="AI608" s="84">
        <v>0.0</v>
      </c>
      <c r="AJ608" s="84">
        <v>0.0</v>
      </c>
      <c r="AK608" s="84">
        <v>0.0</v>
      </c>
      <c r="AL608" s="84">
        <v>0.0</v>
      </c>
      <c r="AM608" s="84">
        <v>0.0</v>
      </c>
      <c r="AN608" s="84">
        <v>0.0</v>
      </c>
      <c r="AO608" s="84">
        <v>0.0</v>
      </c>
      <c r="AP608" s="84">
        <v>0.0</v>
      </c>
      <c r="AQ608" s="84">
        <v>0.0</v>
      </c>
      <c r="AR608" s="84">
        <v>0.0</v>
      </c>
      <c r="AS608" s="84">
        <v>0.0</v>
      </c>
      <c r="AT608" s="84">
        <v>0.0</v>
      </c>
      <c r="AU608" s="84">
        <v>0.0</v>
      </c>
      <c r="AV608" s="84">
        <v>0.0</v>
      </c>
      <c r="AW608" s="84">
        <v>0.0</v>
      </c>
      <c r="AX608" s="84">
        <v>0.0</v>
      </c>
      <c r="AY608" s="84">
        <v>0.0</v>
      </c>
      <c r="AZ608" s="84">
        <v>0.0</v>
      </c>
    </row>
    <row r="609" ht="12.75" customHeight="1">
      <c r="A609" s="84">
        <v>607.0</v>
      </c>
      <c r="B609" s="84" t="s">
        <v>5840</v>
      </c>
      <c r="C609" s="84">
        <v>0.0</v>
      </c>
      <c r="D609" s="84" t="s">
        <v>4916</v>
      </c>
      <c r="E609" s="84">
        <v>13.0</v>
      </c>
      <c r="F609" s="84" t="s">
        <v>5131</v>
      </c>
      <c r="G609" s="84">
        <v>0.0</v>
      </c>
      <c r="H609" s="84">
        <v>101.0</v>
      </c>
      <c r="I609" s="84">
        <v>40.0</v>
      </c>
      <c r="J609" s="84"/>
      <c r="K609" s="84"/>
      <c r="L609" s="84"/>
      <c r="M609" s="84"/>
      <c r="N609" s="84">
        <v>0.0</v>
      </c>
      <c r="O609" s="84">
        <v>0.0</v>
      </c>
      <c r="P609" s="84">
        <v>0.0</v>
      </c>
      <c r="Q609" s="84"/>
      <c r="R609" s="84"/>
      <c r="S609" s="84"/>
      <c r="T609" s="84"/>
      <c r="U609" s="84">
        <v>370.0</v>
      </c>
      <c r="V609" s="84"/>
      <c r="W609" s="84"/>
      <c r="X609" s="84">
        <v>2.0</v>
      </c>
      <c r="Y609" s="84"/>
      <c r="Z609" s="84"/>
      <c r="AA609" s="84"/>
      <c r="AB609" s="84"/>
      <c r="AC609" s="84"/>
      <c r="AD609" s="84"/>
      <c r="AE609" s="84"/>
      <c r="AF609" s="84"/>
      <c r="AG609" s="84"/>
      <c r="AH609" s="84">
        <v>0.0</v>
      </c>
      <c r="AI609" s="84">
        <v>0.0</v>
      </c>
      <c r="AJ609" s="84">
        <v>0.0</v>
      </c>
      <c r="AK609" s="84">
        <v>0.0</v>
      </c>
      <c r="AL609" s="84">
        <v>0.0</v>
      </c>
      <c r="AM609" s="84">
        <v>0.0</v>
      </c>
      <c r="AN609" s="84">
        <v>0.0</v>
      </c>
      <c r="AO609" s="84">
        <v>0.0</v>
      </c>
      <c r="AP609" s="84">
        <v>0.0</v>
      </c>
      <c r="AQ609" s="84">
        <v>0.0</v>
      </c>
      <c r="AR609" s="84">
        <v>0.0</v>
      </c>
      <c r="AS609" s="84">
        <v>0.0</v>
      </c>
      <c r="AT609" s="84">
        <v>0.0</v>
      </c>
      <c r="AU609" s="84">
        <v>1.0</v>
      </c>
      <c r="AV609" s="84">
        <v>0.0</v>
      </c>
      <c r="AW609" s="84">
        <v>0.0</v>
      </c>
      <c r="AX609" s="84">
        <v>0.0</v>
      </c>
      <c r="AY609" s="84">
        <v>0.0</v>
      </c>
      <c r="AZ609" s="84">
        <v>0.0</v>
      </c>
    </row>
    <row r="610" ht="12.75" customHeight="1">
      <c r="A610" s="84">
        <v>608.0</v>
      </c>
      <c r="B610" s="84" t="s">
        <v>4641</v>
      </c>
      <c r="C610" s="84">
        <v>1.0</v>
      </c>
      <c r="D610" s="84" t="s">
        <v>5072</v>
      </c>
      <c r="E610" s="84">
        <v>2.0</v>
      </c>
      <c r="F610" s="84" t="s">
        <v>5131</v>
      </c>
      <c r="G610" s="84">
        <v>0.0</v>
      </c>
      <c r="H610" s="84">
        <v>100.0</v>
      </c>
      <c r="I610" s="84">
        <v>30.0</v>
      </c>
      <c r="J610" s="84">
        <v>1.0</v>
      </c>
      <c r="N610" s="84">
        <v>0.0</v>
      </c>
      <c r="O610" s="84">
        <v>0.0</v>
      </c>
      <c r="P610" s="84">
        <v>0.0</v>
      </c>
      <c r="U610" s="84">
        <v>364.0</v>
      </c>
      <c r="X610" s="84">
        <v>0.0</v>
      </c>
      <c r="Y610" s="84" t="s">
        <v>20</v>
      </c>
      <c r="Z610" s="84">
        <v>-1.0</v>
      </c>
      <c r="AH610" s="84">
        <v>0.0</v>
      </c>
      <c r="AI610" s="84">
        <v>0.0</v>
      </c>
      <c r="AJ610" s="84">
        <v>0.0</v>
      </c>
      <c r="AK610" s="84">
        <v>1.0</v>
      </c>
      <c r="AL610" s="84">
        <v>1.0</v>
      </c>
      <c r="AM610" s="84">
        <v>0.0</v>
      </c>
      <c r="AN610" s="84">
        <v>1.0</v>
      </c>
      <c r="AO610" s="84">
        <v>0.0</v>
      </c>
      <c r="AP610" s="84">
        <v>0.0</v>
      </c>
      <c r="AQ610" s="84">
        <v>0.0</v>
      </c>
      <c r="AR610" s="84">
        <v>0.0</v>
      </c>
      <c r="AS610" s="84">
        <v>0.0</v>
      </c>
      <c r="AT610" s="84">
        <v>0.0</v>
      </c>
      <c r="AU610" s="84">
        <v>0.0</v>
      </c>
      <c r="AV610" s="84">
        <v>0.0</v>
      </c>
      <c r="AW610" s="84">
        <v>1.0</v>
      </c>
      <c r="AX610" s="84">
        <v>0.0</v>
      </c>
      <c r="AY610" s="84">
        <v>1.0</v>
      </c>
      <c r="AZ610" s="84">
        <v>4.0</v>
      </c>
    </row>
    <row r="611" ht="12.75" customHeight="1">
      <c r="A611" s="84">
        <v>609.0</v>
      </c>
      <c r="B611" s="84" t="s">
        <v>3279</v>
      </c>
      <c r="C611" s="84">
        <v>1.0</v>
      </c>
      <c r="D611" s="84" t="s">
        <v>4921</v>
      </c>
      <c r="E611" s="84">
        <v>4.0</v>
      </c>
      <c r="F611" s="84" t="s">
        <v>5135</v>
      </c>
      <c r="G611" s="84">
        <v>20.0</v>
      </c>
      <c r="H611" s="84">
        <v>100.0</v>
      </c>
      <c r="I611" s="84">
        <v>20.0</v>
      </c>
      <c r="M611" s="84" t="s">
        <v>5452</v>
      </c>
      <c r="N611" s="84">
        <v>1.0</v>
      </c>
      <c r="O611" s="84">
        <v>100.0</v>
      </c>
      <c r="P611" s="84">
        <v>1.0</v>
      </c>
      <c r="U611" s="84">
        <v>371.0</v>
      </c>
      <c r="X611" s="84">
        <v>0.0</v>
      </c>
      <c r="AH611" s="84">
        <v>1.0</v>
      </c>
      <c r="AI611" s="84">
        <v>0.0</v>
      </c>
      <c r="AJ611" s="84">
        <v>0.0</v>
      </c>
      <c r="AK611" s="84">
        <v>1.0</v>
      </c>
      <c r="AL611" s="84">
        <v>0.0</v>
      </c>
      <c r="AM611" s="84">
        <v>0.0</v>
      </c>
      <c r="AN611" s="84">
        <v>1.0</v>
      </c>
      <c r="AO611" s="84">
        <v>0.0</v>
      </c>
      <c r="AP611" s="84">
        <v>0.0</v>
      </c>
      <c r="AQ611" s="84">
        <v>0.0</v>
      </c>
      <c r="AR611" s="84">
        <v>0.0</v>
      </c>
      <c r="AS611" s="84">
        <v>0.0</v>
      </c>
      <c r="AT611" s="84">
        <v>0.0</v>
      </c>
      <c r="AU611" s="84">
        <v>0.0</v>
      </c>
      <c r="AV611" s="84">
        <v>0.0</v>
      </c>
      <c r="AW611" s="84">
        <v>0.0</v>
      </c>
      <c r="AX611" s="84">
        <v>0.0</v>
      </c>
      <c r="AY611" s="84">
        <v>1.0</v>
      </c>
      <c r="AZ611" s="84">
        <v>32.0</v>
      </c>
    </row>
    <row r="612" ht="12.75" customHeight="1">
      <c r="A612" s="84">
        <v>610.0</v>
      </c>
      <c r="B612" s="84" t="s">
        <v>5841</v>
      </c>
      <c r="C612" s="84">
        <v>0.0</v>
      </c>
      <c r="D612" s="84" t="s">
        <v>4916</v>
      </c>
      <c r="E612" s="84">
        <v>0.0</v>
      </c>
      <c r="F612" s="84" t="s">
        <v>5135</v>
      </c>
      <c r="G612" s="84">
        <v>40.0</v>
      </c>
      <c r="H612" s="84">
        <v>100.0</v>
      </c>
      <c r="I612" s="84">
        <v>40.0</v>
      </c>
      <c r="J612" s="84"/>
      <c r="K612" s="84"/>
      <c r="L612" s="84"/>
      <c r="M612" s="84"/>
      <c r="N612" s="84">
        <v>0.0</v>
      </c>
      <c r="O612" s="84">
        <v>0.0</v>
      </c>
      <c r="P612" s="84">
        <v>0.0</v>
      </c>
      <c r="Q612" s="84"/>
      <c r="R612" s="84"/>
      <c r="S612" s="84"/>
      <c r="T612" s="84"/>
      <c r="U612" s="84">
        <v>101.0</v>
      </c>
      <c r="V612" s="84"/>
      <c r="W612" s="84"/>
      <c r="X612" s="84">
        <v>0.0</v>
      </c>
      <c r="Y612" s="84"/>
      <c r="Z612" s="84"/>
      <c r="AA612" s="84"/>
      <c r="AB612" s="84"/>
      <c r="AC612" s="84"/>
      <c r="AD612" s="84"/>
      <c r="AE612" s="84"/>
      <c r="AF612" s="84"/>
      <c r="AG612" s="84"/>
      <c r="AH612" s="84">
        <v>1.0</v>
      </c>
      <c r="AI612" s="84">
        <v>0.0</v>
      </c>
      <c r="AJ612" s="84">
        <v>0.0</v>
      </c>
      <c r="AK612" s="84">
        <v>1.0</v>
      </c>
      <c r="AL612" s="84">
        <v>0.0</v>
      </c>
      <c r="AM612" s="84">
        <v>0.0</v>
      </c>
      <c r="AN612" s="84">
        <v>1.0</v>
      </c>
      <c r="AO612" s="84">
        <v>0.0</v>
      </c>
      <c r="AP612" s="84">
        <v>0.0</v>
      </c>
      <c r="AQ612" s="84">
        <v>0.0</v>
      </c>
      <c r="AR612" s="84">
        <v>0.0</v>
      </c>
      <c r="AS612" s="84">
        <v>0.0</v>
      </c>
      <c r="AT612" s="84">
        <v>0.0</v>
      </c>
      <c r="AU612" s="84">
        <v>0.0</v>
      </c>
      <c r="AV612" s="84">
        <v>0.0</v>
      </c>
      <c r="AW612" s="84">
        <v>0.0</v>
      </c>
      <c r="AX612" s="84">
        <v>0.0</v>
      </c>
      <c r="AY612" s="84">
        <v>1.0</v>
      </c>
      <c r="AZ612" s="84">
        <v>0.0</v>
      </c>
    </row>
    <row r="613" ht="12.75" customHeight="1">
      <c r="A613" s="84">
        <v>611.0</v>
      </c>
      <c r="B613" s="84" t="s">
        <v>5842</v>
      </c>
      <c r="C613" s="84">
        <v>1.0</v>
      </c>
      <c r="D613" s="84" t="s">
        <v>4910</v>
      </c>
      <c r="E613" s="84">
        <v>4.0</v>
      </c>
      <c r="F613" s="84" t="s">
        <v>5172</v>
      </c>
      <c r="G613" s="84">
        <v>20.0</v>
      </c>
      <c r="H613" s="84">
        <v>100.0</v>
      </c>
      <c r="I613" s="84">
        <v>20.0</v>
      </c>
      <c r="M613" s="84" t="s">
        <v>5190</v>
      </c>
      <c r="N613" s="84">
        <v>8.0</v>
      </c>
      <c r="O613" s="84">
        <v>100.0</v>
      </c>
      <c r="P613" s="84">
        <v>4.0</v>
      </c>
      <c r="Q613" s="84">
        <v>5.0</v>
      </c>
      <c r="R613" s="84">
        <v>6.0</v>
      </c>
      <c r="U613" s="84">
        <v>42.0</v>
      </c>
      <c r="X613" s="84">
        <v>0.0</v>
      </c>
      <c r="AH613" s="84">
        <v>1.0</v>
      </c>
      <c r="AI613" s="84">
        <v>0.0</v>
      </c>
      <c r="AJ613" s="84">
        <v>0.0</v>
      </c>
      <c r="AK613" s="84">
        <v>1.0</v>
      </c>
      <c r="AL613" s="84">
        <v>0.0</v>
      </c>
      <c r="AM613" s="84">
        <v>0.0</v>
      </c>
      <c r="AN613" s="84">
        <v>1.0</v>
      </c>
      <c r="AO613" s="84">
        <v>0.0</v>
      </c>
      <c r="AP613" s="84">
        <v>0.0</v>
      </c>
      <c r="AQ613" s="84">
        <v>0.0</v>
      </c>
      <c r="AR613" s="84">
        <v>0.0</v>
      </c>
      <c r="AS613" s="84">
        <v>0.0</v>
      </c>
      <c r="AT613" s="84">
        <v>0.0</v>
      </c>
      <c r="AU613" s="84">
        <v>0.0</v>
      </c>
      <c r="AV613" s="84">
        <v>0.0</v>
      </c>
      <c r="AW613" s="84">
        <v>0.0</v>
      </c>
      <c r="AX613" s="84">
        <v>0.0</v>
      </c>
      <c r="AY613" s="84">
        <v>1.0</v>
      </c>
      <c r="AZ613" s="84">
        <v>21.0</v>
      </c>
    </row>
    <row r="614" ht="12.75" customHeight="1">
      <c r="A614" s="84">
        <v>612.0</v>
      </c>
      <c r="B614" s="84" t="s">
        <v>5843</v>
      </c>
      <c r="C614" s="84">
        <v>1.0</v>
      </c>
      <c r="D614" s="84" t="s">
        <v>4935</v>
      </c>
      <c r="E614" s="84">
        <v>7.0</v>
      </c>
      <c r="F614" s="84" t="s">
        <v>5135</v>
      </c>
      <c r="G614" s="84">
        <v>40.0</v>
      </c>
      <c r="H614" s="84">
        <v>100.0</v>
      </c>
      <c r="I614" s="84">
        <v>20.0</v>
      </c>
      <c r="N614" s="84">
        <v>0.0</v>
      </c>
      <c r="O614" s="84">
        <v>0.0</v>
      </c>
      <c r="P614" s="84">
        <v>0.0</v>
      </c>
      <c r="U614" s="84">
        <v>374.0</v>
      </c>
      <c r="X614" s="84">
        <v>0.0</v>
      </c>
      <c r="Y614" s="84" t="s">
        <v>20</v>
      </c>
      <c r="Z614" s="84">
        <v>1.0</v>
      </c>
      <c r="AA614" s="84">
        <v>100.0</v>
      </c>
      <c r="AH614" s="84">
        <v>1.0</v>
      </c>
      <c r="AI614" s="84">
        <v>0.0</v>
      </c>
      <c r="AJ614" s="84">
        <v>0.0</v>
      </c>
      <c r="AK614" s="84">
        <v>1.0</v>
      </c>
      <c r="AL614" s="84">
        <v>0.0</v>
      </c>
      <c r="AM614" s="84">
        <v>0.0</v>
      </c>
      <c r="AN614" s="84">
        <v>1.0</v>
      </c>
      <c r="AO614" s="84">
        <v>1.0</v>
      </c>
      <c r="AP614" s="84">
        <v>0.0</v>
      </c>
      <c r="AQ614" s="84">
        <v>0.0</v>
      </c>
      <c r="AR614" s="84">
        <v>0.0</v>
      </c>
      <c r="AS614" s="84">
        <v>0.0</v>
      </c>
      <c r="AT614" s="84">
        <v>0.0</v>
      </c>
      <c r="AU614" s="84">
        <v>0.0</v>
      </c>
      <c r="AV614" s="84">
        <v>0.0</v>
      </c>
      <c r="AW614" s="84">
        <v>0.0</v>
      </c>
      <c r="AX614" s="84">
        <v>0.0</v>
      </c>
      <c r="AY614" s="84">
        <v>1.0</v>
      </c>
      <c r="AZ614" s="84">
        <v>32.0</v>
      </c>
    </row>
    <row r="615" ht="12.75" customHeight="1">
      <c r="A615" s="84">
        <v>613.0</v>
      </c>
      <c r="B615" s="84" t="s">
        <v>5844</v>
      </c>
      <c r="C615" s="84">
        <v>0.0</v>
      </c>
      <c r="D615" s="84" t="s">
        <v>4907</v>
      </c>
      <c r="E615" s="84">
        <v>8.0</v>
      </c>
      <c r="F615" s="84" t="s">
        <v>5172</v>
      </c>
      <c r="G615" s="84">
        <v>80.0</v>
      </c>
      <c r="H615" s="84">
        <v>100.0</v>
      </c>
      <c r="I615" s="84">
        <v>10.0</v>
      </c>
      <c r="J615" s="84"/>
      <c r="K615" s="84"/>
      <c r="L615" s="84"/>
      <c r="M615" s="84"/>
      <c r="N615" s="84">
        <v>0.0</v>
      </c>
      <c r="O615" s="84">
        <v>0.0</v>
      </c>
      <c r="P615" s="84">
        <v>0.0</v>
      </c>
      <c r="Q615" s="84"/>
      <c r="R615" s="84"/>
      <c r="S615" s="84"/>
      <c r="T615" s="84"/>
      <c r="U615" s="84">
        <v>348.0</v>
      </c>
      <c r="V615" s="84">
        <v>75.0</v>
      </c>
      <c r="W615" s="84"/>
      <c r="X615" s="84">
        <v>0.0</v>
      </c>
      <c r="Y615" s="84"/>
      <c r="Z615" s="84"/>
      <c r="AA615" s="84"/>
      <c r="AB615" s="84"/>
      <c r="AC615" s="84"/>
      <c r="AD615" s="84"/>
      <c r="AE615" s="84"/>
      <c r="AF615" s="84"/>
      <c r="AG615" s="84"/>
      <c r="AH615" s="84">
        <v>0.0</v>
      </c>
      <c r="AI615" s="84">
        <v>0.0</v>
      </c>
      <c r="AJ615" s="84">
        <v>0.0</v>
      </c>
      <c r="AK615" s="84">
        <v>1.0</v>
      </c>
      <c r="AL615" s="84">
        <v>0.0</v>
      </c>
      <c r="AM615" s="84">
        <v>0.0</v>
      </c>
      <c r="AN615" s="84">
        <v>1.0</v>
      </c>
      <c r="AO615" s="84">
        <v>0.0</v>
      </c>
      <c r="AP615" s="84">
        <v>0.0</v>
      </c>
      <c r="AQ615" s="84">
        <v>0.0</v>
      </c>
      <c r="AR615" s="84">
        <v>0.0</v>
      </c>
      <c r="AS615" s="84">
        <v>1.0</v>
      </c>
      <c r="AT615" s="84">
        <v>1.0</v>
      </c>
      <c r="AU615" s="84">
        <v>0.0</v>
      </c>
      <c r="AV615" s="84">
        <v>0.0</v>
      </c>
      <c r="AW615" s="84">
        <v>0.0</v>
      </c>
      <c r="AX615" s="84">
        <v>0.0</v>
      </c>
      <c r="AY615" s="84">
        <v>1.0</v>
      </c>
      <c r="AZ615" s="84">
        <v>0.0</v>
      </c>
    </row>
    <row r="616" ht="12.75" customHeight="1">
      <c r="A616" s="84">
        <v>614.0</v>
      </c>
      <c r="B616" s="84" t="s">
        <v>5845</v>
      </c>
      <c r="C616" s="84">
        <v>0.0</v>
      </c>
      <c r="D616" s="84" t="s">
        <v>4922</v>
      </c>
      <c r="E616" s="84">
        <v>0.0</v>
      </c>
      <c r="F616" s="84" t="s">
        <v>5135</v>
      </c>
      <c r="G616" s="84">
        <v>90.0</v>
      </c>
      <c r="H616" s="84">
        <v>100.0</v>
      </c>
      <c r="I616" s="84">
        <v>10.0</v>
      </c>
      <c r="J616" s="84"/>
      <c r="K616" s="84"/>
      <c r="L616" s="84"/>
      <c r="M616" s="84" t="s">
        <v>5744</v>
      </c>
      <c r="N616" s="84">
        <v>65535.0</v>
      </c>
      <c r="O616" s="84">
        <v>100.0</v>
      </c>
      <c r="P616" s="84">
        <v>1.0</v>
      </c>
      <c r="Q616" s="84"/>
      <c r="R616" s="84"/>
      <c r="S616" s="84"/>
      <c r="T616" s="84"/>
      <c r="U616" s="84">
        <v>372.0</v>
      </c>
      <c r="V616" s="84"/>
      <c r="W616" s="84"/>
      <c r="X616" s="84">
        <v>5.0</v>
      </c>
      <c r="Y616" s="84"/>
      <c r="Z616" s="84"/>
      <c r="AA616" s="84"/>
      <c r="AB616" s="84"/>
      <c r="AC616" s="84"/>
      <c r="AD616" s="84"/>
      <c r="AE616" s="84"/>
      <c r="AF616" s="84"/>
      <c r="AG616" s="84"/>
      <c r="AH616" s="84">
        <v>0.0</v>
      </c>
      <c r="AI616" s="84">
        <v>0.0</v>
      </c>
      <c r="AJ616" s="84">
        <v>0.0</v>
      </c>
      <c r="AK616" s="84">
        <v>1.0</v>
      </c>
      <c r="AL616" s="84">
        <v>0.0</v>
      </c>
      <c r="AM616" s="84">
        <v>0.0</v>
      </c>
      <c r="AN616" s="84">
        <v>1.0</v>
      </c>
      <c r="AO616" s="84">
        <v>0.0</v>
      </c>
      <c r="AP616" s="84">
        <v>0.0</v>
      </c>
      <c r="AQ616" s="84">
        <v>0.0</v>
      </c>
      <c r="AR616" s="84">
        <v>0.0</v>
      </c>
      <c r="AS616" s="84">
        <v>0.0</v>
      </c>
      <c r="AT616" s="84">
        <v>0.0</v>
      </c>
      <c r="AU616" s="84">
        <v>0.0</v>
      </c>
      <c r="AV616" s="84">
        <v>1.0</v>
      </c>
      <c r="AW616" s="84">
        <v>0.0</v>
      </c>
      <c r="AX616" s="84">
        <v>0.0</v>
      </c>
      <c r="AY616" s="84">
        <v>0.0</v>
      </c>
      <c r="AZ616" s="84">
        <v>0.0</v>
      </c>
    </row>
    <row r="617" ht="12.75" customHeight="1">
      <c r="A617" s="84">
        <v>615.0</v>
      </c>
      <c r="B617" s="84" t="s">
        <v>5846</v>
      </c>
      <c r="C617" s="84">
        <v>0.0</v>
      </c>
      <c r="D617" s="84" t="s">
        <v>4922</v>
      </c>
      <c r="E617" s="84">
        <v>0.0</v>
      </c>
      <c r="F617" s="84" t="s">
        <v>5135</v>
      </c>
      <c r="G617" s="84">
        <v>90.0</v>
      </c>
      <c r="H617" s="84">
        <v>100.0</v>
      </c>
      <c r="I617" s="84">
        <v>10.0</v>
      </c>
      <c r="J617" s="84"/>
      <c r="K617" s="84"/>
      <c r="L617" s="84"/>
      <c r="M617" s="84"/>
      <c r="N617" s="84">
        <v>0.0</v>
      </c>
      <c r="O617" s="84">
        <v>0.0</v>
      </c>
      <c r="P617" s="84">
        <v>0.0</v>
      </c>
      <c r="Q617" s="84"/>
      <c r="R617" s="84"/>
      <c r="S617" s="84"/>
      <c r="T617" s="84"/>
      <c r="U617" s="84">
        <v>373.0</v>
      </c>
      <c r="V617" s="84"/>
      <c r="W617" s="84"/>
      <c r="X617" s="84">
        <v>5.0</v>
      </c>
      <c r="Y617" s="84"/>
      <c r="Z617" s="84"/>
      <c r="AA617" s="84"/>
      <c r="AB617" s="84"/>
      <c r="AC617" s="84"/>
      <c r="AD617" s="84"/>
      <c r="AE617" s="84"/>
      <c r="AF617" s="84"/>
      <c r="AG617" s="84"/>
      <c r="AH617" s="84">
        <v>0.0</v>
      </c>
      <c r="AI617" s="84">
        <v>0.0</v>
      </c>
      <c r="AJ617" s="84">
        <v>0.0</v>
      </c>
      <c r="AK617" s="84">
        <v>1.0</v>
      </c>
      <c r="AL617" s="84">
        <v>0.0</v>
      </c>
      <c r="AM617" s="84">
        <v>0.0</v>
      </c>
      <c r="AN617" s="84">
        <v>1.0</v>
      </c>
      <c r="AO617" s="84">
        <v>0.0</v>
      </c>
      <c r="AP617" s="84">
        <v>0.0</v>
      </c>
      <c r="AQ617" s="84">
        <v>0.0</v>
      </c>
      <c r="AR617" s="84">
        <v>0.0</v>
      </c>
      <c r="AS617" s="84">
        <v>0.0</v>
      </c>
      <c r="AT617" s="84">
        <v>0.0</v>
      </c>
      <c r="AU617" s="84">
        <v>0.0</v>
      </c>
      <c r="AV617" s="84">
        <v>1.0</v>
      </c>
      <c r="AW617" s="84">
        <v>0.0</v>
      </c>
      <c r="AX617" s="84">
        <v>0.0</v>
      </c>
      <c r="AY617" s="84">
        <v>0.0</v>
      </c>
      <c r="AZ617" s="84">
        <v>0.0</v>
      </c>
    </row>
    <row r="618" ht="12.75" customHeight="1">
      <c r="A618" s="84">
        <v>616.0</v>
      </c>
      <c r="B618" s="84" t="s">
        <v>5847</v>
      </c>
      <c r="C618" s="84">
        <v>0.0</v>
      </c>
      <c r="D618" s="84" t="s">
        <v>4922</v>
      </c>
      <c r="E618" s="84">
        <v>0.0</v>
      </c>
      <c r="F618" s="84" t="s">
        <v>5135</v>
      </c>
      <c r="G618" s="84">
        <v>90.0</v>
      </c>
      <c r="H618" s="84">
        <v>100.0</v>
      </c>
      <c r="I618" s="84">
        <v>10.0</v>
      </c>
      <c r="J618" s="84"/>
      <c r="K618" s="84"/>
      <c r="L618" s="84"/>
      <c r="M618" s="84"/>
      <c r="N618" s="84">
        <v>0.0</v>
      </c>
      <c r="O618" s="84">
        <v>0.0</v>
      </c>
      <c r="P618" s="84">
        <v>0.0</v>
      </c>
      <c r="Q618" s="84"/>
      <c r="R618" s="84"/>
      <c r="S618" s="84"/>
      <c r="T618" s="84"/>
      <c r="U618" s="84">
        <v>0.0</v>
      </c>
      <c r="V618" s="84"/>
      <c r="W618" s="84"/>
      <c r="X618" s="84">
        <v>5.0</v>
      </c>
      <c r="Y618" s="84"/>
      <c r="Z618" s="84"/>
      <c r="AA618" s="84"/>
      <c r="AB618" s="84"/>
      <c r="AC618" s="84"/>
      <c r="AD618" s="84"/>
      <c r="AE618" s="84"/>
      <c r="AF618" s="84"/>
      <c r="AG618" s="84"/>
      <c r="AH618" s="84">
        <v>0.0</v>
      </c>
      <c r="AI618" s="84">
        <v>0.0</v>
      </c>
      <c r="AJ618" s="84">
        <v>0.0</v>
      </c>
      <c r="AK618" s="84">
        <v>1.0</v>
      </c>
      <c r="AL618" s="84">
        <v>0.0</v>
      </c>
      <c r="AM618" s="84">
        <v>0.0</v>
      </c>
      <c r="AN618" s="84">
        <v>1.0</v>
      </c>
      <c r="AO618" s="84">
        <v>0.0</v>
      </c>
      <c r="AP618" s="84">
        <v>0.0</v>
      </c>
      <c r="AQ618" s="84">
        <v>0.0</v>
      </c>
      <c r="AR618" s="84">
        <v>0.0</v>
      </c>
      <c r="AS618" s="84">
        <v>0.0</v>
      </c>
      <c r="AT618" s="84">
        <v>0.0</v>
      </c>
      <c r="AU618" s="84">
        <v>0.0</v>
      </c>
      <c r="AV618" s="84">
        <v>1.0</v>
      </c>
      <c r="AW618" s="84">
        <v>0.0</v>
      </c>
      <c r="AX618" s="84">
        <v>0.0</v>
      </c>
      <c r="AY618" s="84">
        <v>1.0</v>
      </c>
      <c r="AZ618" s="84">
        <v>0.0</v>
      </c>
    </row>
    <row r="619" ht="12.75" customHeight="1">
      <c r="A619" s="84">
        <v>617.0</v>
      </c>
      <c r="B619" s="84" t="s">
        <v>5848</v>
      </c>
      <c r="C619" s="84">
        <v>0.0</v>
      </c>
      <c r="D619" s="84" t="s">
        <v>5072</v>
      </c>
      <c r="E619" s="84">
        <v>0.0</v>
      </c>
      <c r="F619" s="84" t="s">
        <v>5172</v>
      </c>
      <c r="G619" s="84">
        <v>140.0</v>
      </c>
      <c r="H619" s="84">
        <v>90.0</v>
      </c>
      <c r="I619" s="84">
        <v>5.0</v>
      </c>
      <c r="J619" s="84"/>
      <c r="K619" s="84"/>
      <c r="L619" s="84"/>
      <c r="M619" s="84"/>
      <c r="N619" s="84">
        <v>0.0</v>
      </c>
      <c r="O619" s="84">
        <v>0.0</v>
      </c>
      <c r="P619" s="84">
        <v>0.0</v>
      </c>
      <c r="Q619" s="84"/>
      <c r="R619" s="84"/>
      <c r="S619" s="84"/>
      <c r="T619" s="84"/>
      <c r="U619" s="84">
        <v>269.0</v>
      </c>
      <c r="V619" s="84">
        <v>-50.0</v>
      </c>
      <c r="W619" s="84"/>
      <c r="X619" s="84">
        <v>0.0</v>
      </c>
      <c r="Y619" s="84"/>
      <c r="Z619" s="84"/>
      <c r="AA619" s="84"/>
      <c r="AB619" s="84"/>
      <c r="AC619" s="84"/>
      <c r="AD619" s="84"/>
      <c r="AE619" s="84"/>
      <c r="AF619" s="84"/>
      <c r="AG619" s="84"/>
      <c r="AH619" s="84">
        <v>0.0</v>
      </c>
      <c r="AI619" s="84">
        <v>0.0</v>
      </c>
      <c r="AJ619" s="84">
        <v>0.0</v>
      </c>
      <c r="AK619" s="84">
        <v>1.0</v>
      </c>
      <c r="AL619" s="84">
        <v>0.0</v>
      </c>
      <c r="AM619" s="84">
        <v>0.0</v>
      </c>
      <c r="AN619" s="84">
        <v>1.0</v>
      </c>
      <c r="AO619" s="84">
        <v>0.0</v>
      </c>
      <c r="AP619" s="84">
        <v>0.0</v>
      </c>
      <c r="AQ619" s="84">
        <v>0.0</v>
      </c>
      <c r="AR619" s="84">
        <v>0.0</v>
      </c>
      <c r="AS619" s="84">
        <v>0.0</v>
      </c>
      <c r="AT619" s="84">
        <v>0.0</v>
      </c>
      <c r="AU619" s="84">
        <v>0.0</v>
      </c>
      <c r="AV619" s="84">
        <v>0.0</v>
      </c>
      <c r="AW619" s="84">
        <v>0.0</v>
      </c>
      <c r="AX619" s="84">
        <v>0.0</v>
      </c>
      <c r="AY619" s="84">
        <v>0.0</v>
      </c>
      <c r="AZ619" s="84">
        <v>0.0</v>
      </c>
    </row>
    <row r="620" ht="12.75" customHeight="1">
      <c r="A620" s="84">
        <v>618.0</v>
      </c>
      <c r="B620" s="84" t="s">
        <v>5849</v>
      </c>
      <c r="C620" s="84">
        <v>1.0</v>
      </c>
      <c r="D620" s="84" t="s">
        <v>4908</v>
      </c>
      <c r="E620" s="84">
        <v>0.0</v>
      </c>
      <c r="F620" s="84" t="s">
        <v>5172</v>
      </c>
      <c r="G620" s="84">
        <v>110.0</v>
      </c>
      <c r="H620" s="84">
        <v>85.0</v>
      </c>
      <c r="I620" s="84">
        <v>10.0</v>
      </c>
      <c r="N620" s="84">
        <v>0.0</v>
      </c>
      <c r="O620" s="84">
        <v>0.0</v>
      </c>
      <c r="P620" s="84">
        <v>0.0</v>
      </c>
      <c r="U620" s="84">
        <v>0.0</v>
      </c>
      <c r="X620" s="84">
        <v>5.0</v>
      </c>
      <c r="AH620" s="84">
        <v>0.0</v>
      </c>
      <c r="AI620" s="84">
        <v>0.0</v>
      </c>
      <c r="AJ620" s="84">
        <v>0.0</v>
      </c>
      <c r="AK620" s="84">
        <v>1.0</v>
      </c>
      <c r="AL620" s="84">
        <v>0.0</v>
      </c>
      <c r="AM620" s="84">
        <v>0.0</v>
      </c>
      <c r="AN620" s="84">
        <v>1.0</v>
      </c>
      <c r="AO620" s="84">
        <v>0.0</v>
      </c>
      <c r="AP620" s="84">
        <v>0.0</v>
      </c>
      <c r="AQ620" s="84">
        <v>0.0</v>
      </c>
      <c r="AR620" s="84">
        <v>0.0</v>
      </c>
      <c r="AS620" s="84">
        <v>0.0</v>
      </c>
      <c r="AT620" s="84">
        <v>0.0</v>
      </c>
      <c r="AU620" s="84">
        <v>0.0</v>
      </c>
      <c r="AV620" s="84">
        <v>0.0</v>
      </c>
      <c r="AW620" s="84">
        <v>0.0</v>
      </c>
      <c r="AX620" s="84">
        <v>0.0</v>
      </c>
      <c r="AY620" s="84">
        <v>0.0</v>
      </c>
      <c r="AZ620" s="84">
        <v>47.0</v>
      </c>
    </row>
    <row r="621" ht="12.75" customHeight="1">
      <c r="A621" s="84">
        <v>619.0</v>
      </c>
      <c r="B621" s="84" t="s">
        <v>5850</v>
      </c>
      <c r="C621" s="84">
        <v>1.0</v>
      </c>
      <c r="D621" s="84" t="s">
        <v>4922</v>
      </c>
      <c r="E621" s="84">
        <v>0.0</v>
      </c>
      <c r="F621" s="84" t="s">
        <v>5135</v>
      </c>
      <c r="G621" s="84">
        <v>120.0</v>
      </c>
      <c r="H621" s="84">
        <v>85.0</v>
      </c>
      <c r="I621" s="84">
        <v>10.0</v>
      </c>
      <c r="N621" s="84">
        <v>0.0</v>
      </c>
      <c r="O621" s="84">
        <v>0.0</v>
      </c>
      <c r="P621" s="84">
        <v>0.0</v>
      </c>
      <c r="U621" s="84">
        <v>0.0</v>
      </c>
      <c r="X621" s="84">
        <v>5.0</v>
      </c>
      <c r="AH621" s="84">
        <v>0.0</v>
      </c>
      <c r="AI621" s="84">
        <v>0.0</v>
      </c>
      <c r="AJ621" s="84">
        <v>0.0</v>
      </c>
      <c r="AK621" s="84">
        <v>1.0</v>
      </c>
      <c r="AL621" s="84">
        <v>0.0</v>
      </c>
      <c r="AM621" s="84">
        <v>0.0</v>
      </c>
      <c r="AN621" s="84">
        <v>1.0</v>
      </c>
      <c r="AO621" s="84">
        <v>0.0</v>
      </c>
      <c r="AP621" s="84">
        <v>0.0</v>
      </c>
      <c r="AQ621" s="84">
        <v>0.0</v>
      </c>
      <c r="AR621" s="84">
        <v>0.0</v>
      </c>
      <c r="AS621" s="84">
        <v>0.0</v>
      </c>
      <c r="AT621" s="84">
        <v>0.0</v>
      </c>
      <c r="AU621" s="84">
        <v>0.0</v>
      </c>
      <c r="AV621" s="84">
        <v>1.0</v>
      </c>
      <c r="AW621" s="84">
        <v>0.0</v>
      </c>
      <c r="AX621" s="84">
        <v>0.0</v>
      </c>
      <c r="AY621" s="84">
        <v>0.0</v>
      </c>
      <c r="AZ621" s="84">
        <v>44.0</v>
      </c>
    </row>
    <row r="622" ht="12.75" customHeight="1">
      <c r="A622" s="84">
        <v>620.0</v>
      </c>
      <c r="B622" s="84" t="s">
        <v>5851</v>
      </c>
      <c r="C622" s="84">
        <v>1.0</v>
      </c>
      <c r="D622" s="84" t="s">
        <v>4907</v>
      </c>
      <c r="E622" s="84">
        <v>7.0</v>
      </c>
      <c r="F622" s="84" t="s">
        <v>5135</v>
      </c>
      <c r="G622" s="84">
        <v>120.0</v>
      </c>
      <c r="H622" s="84">
        <v>100.0</v>
      </c>
      <c r="I622" s="84">
        <v>5.0</v>
      </c>
      <c r="N622" s="84">
        <v>0.0</v>
      </c>
      <c r="O622" s="84">
        <v>0.0</v>
      </c>
      <c r="P622" s="84">
        <v>0.0</v>
      </c>
      <c r="U622" s="84">
        <v>229.0</v>
      </c>
      <c r="X622" s="84">
        <v>0.0</v>
      </c>
      <c r="Y622" s="84" t="s">
        <v>21</v>
      </c>
      <c r="Z622" s="84">
        <v>-1.0</v>
      </c>
      <c r="AA622" s="84">
        <v>100.0</v>
      </c>
      <c r="AB622" s="84" t="s">
        <v>23</v>
      </c>
      <c r="AC622" s="84">
        <v>-1.0</v>
      </c>
      <c r="AD622" s="84">
        <v>100.0</v>
      </c>
      <c r="AH622" s="84">
        <v>1.0</v>
      </c>
      <c r="AI622" s="84">
        <v>0.0</v>
      </c>
      <c r="AJ622" s="84">
        <v>0.0</v>
      </c>
      <c r="AK622" s="84">
        <v>1.0</v>
      </c>
      <c r="AL622" s="84">
        <v>0.0</v>
      </c>
      <c r="AM622" s="84">
        <v>0.0</v>
      </c>
      <c r="AN622" s="84">
        <v>1.0</v>
      </c>
      <c r="AO622" s="84">
        <v>0.0</v>
      </c>
      <c r="AP622" s="84">
        <v>0.0</v>
      </c>
      <c r="AQ622" s="84">
        <v>0.0</v>
      </c>
      <c r="AR622" s="84">
        <v>0.0</v>
      </c>
      <c r="AS622" s="84">
        <v>1.0</v>
      </c>
      <c r="AT622" s="84">
        <v>0.0</v>
      </c>
      <c r="AU622" s="84">
        <v>0.0</v>
      </c>
      <c r="AV622" s="84">
        <v>0.0</v>
      </c>
      <c r="AW622" s="84">
        <v>0.0</v>
      </c>
      <c r="AX622" s="84">
        <v>0.0</v>
      </c>
      <c r="AY622" s="84">
        <v>0.0</v>
      </c>
      <c r="AZ622" s="84">
        <v>44.0</v>
      </c>
    </row>
    <row r="623" ht="12.75" customHeight="1">
      <c r="A623" s="84">
        <v>621.0</v>
      </c>
      <c r="B623" s="84" t="s">
        <v>5852</v>
      </c>
      <c r="C623" s="84">
        <v>0.0</v>
      </c>
      <c r="D623" s="84" t="s">
        <v>4972</v>
      </c>
      <c r="E623" s="84">
        <v>7.0</v>
      </c>
      <c r="F623" s="84" t="s">
        <v>5135</v>
      </c>
      <c r="G623" s="84">
        <v>100.0</v>
      </c>
      <c r="H623" s="84">
        <v>101.0</v>
      </c>
      <c r="I623" s="84">
        <v>5.0</v>
      </c>
      <c r="J623" s="84"/>
      <c r="K623" s="84"/>
      <c r="L623" s="84"/>
      <c r="M623" s="84"/>
      <c r="N623" s="84">
        <v>0.0</v>
      </c>
      <c r="O623" s="84">
        <v>0.0</v>
      </c>
      <c r="P623" s="84">
        <v>0.0</v>
      </c>
      <c r="Q623" s="84"/>
      <c r="R623" s="84"/>
      <c r="S623" s="84"/>
      <c r="T623" s="84"/>
      <c r="U623" s="84">
        <v>359.0</v>
      </c>
      <c r="V623" s="84"/>
      <c r="W623" s="84"/>
      <c r="X623" s="84">
        <v>0.0</v>
      </c>
      <c r="Y623" s="84" t="s">
        <v>21</v>
      </c>
      <c r="Z623" s="84">
        <v>-1.0</v>
      </c>
      <c r="AA623" s="84">
        <v>100.0</v>
      </c>
      <c r="AB623" s="84"/>
      <c r="AC623" s="84"/>
      <c r="AD623" s="84"/>
      <c r="AE623" s="84"/>
      <c r="AF623" s="84"/>
      <c r="AG623" s="84"/>
      <c r="AH623" s="84">
        <v>0.0</v>
      </c>
      <c r="AI623" s="84">
        <v>0.0</v>
      </c>
      <c r="AJ623" s="84">
        <v>0.0</v>
      </c>
      <c r="AK623" s="84">
        <v>0.0</v>
      </c>
      <c r="AL623" s="84">
        <v>0.0</v>
      </c>
      <c r="AM623" s="84">
        <v>0.0</v>
      </c>
      <c r="AN623" s="84">
        <v>1.0</v>
      </c>
      <c r="AO623" s="84">
        <v>0.0</v>
      </c>
      <c r="AP623" s="84">
        <v>0.0</v>
      </c>
      <c r="AQ623" s="84">
        <v>0.0</v>
      </c>
      <c r="AR623" s="84">
        <v>0.0</v>
      </c>
      <c r="AS623" s="84">
        <v>0.0</v>
      </c>
      <c r="AT623" s="84">
        <v>0.0</v>
      </c>
      <c r="AU623" s="84">
        <v>1.0</v>
      </c>
      <c r="AV623" s="84">
        <v>0.0</v>
      </c>
      <c r="AW623" s="84">
        <v>0.0</v>
      </c>
      <c r="AX623" s="84">
        <v>0.0</v>
      </c>
      <c r="AY623" s="84">
        <v>0.0</v>
      </c>
      <c r="AZ623" s="84">
        <v>0.0</v>
      </c>
    </row>
    <row r="624" ht="12.75" customHeight="1">
      <c r="A624" s="84">
        <v>622.0</v>
      </c>
      <c r="B624" s="84" t="s">
        <v>5853</v>
      </c>
      <c r="C624" s="84">
        <v>0.0</v>
      </c>
      <c r="D624" s="84" t="s">
        <v>4916</v>
      </c>
      <c r="E624" s="84">
        <v>0.0</v>
      </c>
      <c r="F624" s="84" t="s">
        <v>5135</v>
      </c>
      <c r="G624" s="84">
        <v>1.0</v>
      </c>
      <c r="H624" s="84">
        <v>101.0</v>
      </c>
      <c r="I624" s="84">
        <v>1.0</v>
      </c>
      <c r="J624" s="84"/>
      <c r="K624" s="84"/>
      <c r="L624" s="84"/>
      <c r="M624" s="84"/>
      <c r="N624" s="84">
        <v>0.0</v>
      </c>
      <c r="O624" s="84">
        <v>0.0</v>
      </c>
      <c r="P624" s="84">
        <v>0.0</v>
      </c>
      <c r="Q624" s="84"/>
      <c r="R624" s="84"/>
      <c r="S624" s="84"/>
      <c r="T624" s="84"/>
      <c r="U624" s="84">
        <v>0.0</v>
      </c>
      <c r="V624" s="84"/>
      <c r="W624" s="84"/>
      <c r="X624" s="84">
        <v>0.0</v>
      </c>
      <c r="Y624" s="84"/>
      <c r="Z624" s="84"/>
      <c r="AA624" s="84"/>
      <c r="AB624" s="84"/>
      <c r="AC624" s="84"/>
      <c r="AD624" s="84"/>
      <c r="AE624" s="84"/>
      <c r="AF624" s="84"/>
      <c r="AG624" s="84"/>
      <c r="AH624" s="84">
        <v>0.0</v>
      </c>
      <c r="AI624" s="84">
        <v>0.0</v>
      </c>
      <c r="AJ624" s="84">
        <v>0.0</v>
      </c>
      <c r="AK624" s="84">
        <v>0.0</v>
      </c>
      <c r="AL624" s="84">
        <v>0.0</v>
      </c>
      <c r="AM624" s="84">
        <v>0.0</v>
      </c>
      <c r="AN624" s="84">
        <v>0.0</v>
      </c>
      <c r="AO624" s="84">
        <v>0.0</v>
      </c>
      <c r="AP624" s="84">
        <v>0.0</v>
      </c>
      <c r="AQ624" s="84">
        <v>0.0</v>
      </c>
      <c r="AR624" s="84">
        <v>0.0</v>
      </c>
      <c r="AS624" s="84">
        <v>0.0</v>
      </c>
      <c r="AT624" s="84">
        <v>0.0</v>
      </c>
      <c r="AU624" s="84">
        <v>0.0</v>
      </c>
      <c r="AV624" s="84">
        <v>0.0</v>
      </c>
      <c r="AW624" s="84">
        <v>0.0</v>
      </c>
      <c r="AX624" s="84">
        <v>0.0</v>
      </c>
      <c r="AY624" s="84">
        <v>0.0</v>
      </c>
      <c r="AZ624" s="84">
        <v>0.0</v>
      </c>
    </row>
    <row r="625" ht="12.75" customHeight="1">
      <c r="A625" s="84">
        <v>623.0</v>
      </c>
      <c r="B625" s="84" t="s">
        <v>5853</v>
      </c>
      <c r="C625" s="84">
        <v>0.0</v>
      </c>
      <c r="D625" s="84" t="s">
        <v>4916</v>
      </c>
      <c r="E625" s="84">
        <v>0.0</v>
      </c>
      <c r="F625" s="84" t="s">
        <v>5172</v>
      </c>
      <c r="G625" s="84">
        <v>1.0</v>
      </c>
      <c r="H625" s="84">
        <v>101.0</v>
      </c>
      <c r="I625" s="84">
        <v>1.0</v>
      </c>
      <c r="J625" s="84"/>
      <c r="K625" s="84"/>
      <c r="L625" s="84"/>
      <c r="M625" s="84"/>
      <c r="N625" s="84">
        <v>0.0</v>
      </c>
      <c r="O625" s="84">
        <v>0.0</v>
      </c>
      <c r="P625" s="84">
        <v>0.0</v>
      </c>
      <c r="Q625" s="84"/>
      <c r="R625" s="84"/>
      <c r="S625" s="84"/>
      <c r="T625" s="84"/>
      <c r="U625" s="84">
        <v>0.0</v>
      </c>
      <c r="V625" s="84"/>
      <c r="W625" s="84"/>
      <c r="X625" s="84">
        <v>0.0</v>
      </c>
      <c r="Y625" s="84"/>
      <c r="Z625" s="84"/>
      <c r="AA625" s="84"/>
      <c r="AB625" s="84"/>
      <c r="AC625" s="84"/>
      <c r="AD625" s="84"/>
      <c r="AE625" s="84"/>
      <c r="AF625" s="84"/>
      <c r="AG625" s="84"/>
      <c r="AH625" s="84">
        <v>0.0</v>
      </c>
      <c r="AI625" s="84">
        <v>0.0</v>
      </c>
      <c r="AJ625" s="84">
        <v>0.0</v>
      </c>
      <c r="AK625" s="84">
        <v>0.0</v>
      </c>
      <c r="AL625" s="84">
        <v>0.0</v>
      </c>
      <c r="AM625" s="84">
        <v>0.0</v>
      </c>
      <c r="AN625" s="84">
        <v>0.0</v>
      </c>
      <c r="AO625" s="84">
        <v>0.0</v>
      </c>
      <c r="AP625" s="84">
        <v>0.0</v>
      </c>
      <c r="AQ625" s="84">
        <v>0.0</v>
      </c>
      <c r="AR625" s="84">
        <v>0.0</v>
      </c>
      <c r="AS625" s="84">
        <v>0.0</v>
      </c>
      <c r="AT625" s="84">
        <v>0.0</v>
      </c>
      <c r="AU625" s="84">
        <v>0.0</v>
      </c>
      <c r="AV625" s="84">
        <v>0.0</v>
      </c>
      <c r="AW625" s="84">
        <v>0.0</v>
      </c>
      <c r="AX625" s="84">
        <v>0.0</v>
      </c>
      <c r="AY625" s="84">
        <v>0.0</v>
      </c>
      <c r="AZ625" s="84">
        <v>0.0</v>
      </c>
    </row>
    <row r="626" ht="12.75" customHeight="1">
      <c r="A626" s="84">
        <v>624.0</v>
      </c>
      <c r="B626" s="84" t="s">
        <v>5854</v>
      </c>
      <c r="C626" s="84">
        <v>0.0</v>
      </c>
      <c r="D626" s="84" t="s">
        <v>4935</v>
      </c>
      <c r="E626" s="84">
        <v>0.0</v>
      </c>
      <c r="F626" s="84" t="s">
        <v>5135</v>
      </c>
      <c r="G626" s="84">
        <v>1.0</v>
      </c>
      <c r="H626" s="84">
        <v>101.0</v>
      </c>
      <c r="I626" s="84">
        <v>1.0</v>
      </c>
      <c r="J626" s="84"/>
      <c r="K626" s="84"/>
      <c r="L626" s="84"/>
      <c r="M626" s="84"/>
      <c r="N626" s="84">
        <v>0.0</v>
      </c>
      <c r="O626" s="84">
        <v>0.0</v>
      </c>
      <c r="P626" s="84">
        <v>0.0</v>
      </c>
      <c r="Q626" s="84"/>
      <c r="R626" s="84"/>
      <c r="S626" s="84"/>
      <c r="T626" s="84"/>
      <c r="U626" s="84">
        <v>0.0</v>
      </c>
      <c r="V626" s="84"/>
      <c r="W626" s="84"/>
      <c r="X626" s="84">
        <v>0.0</v>
      </c>
      <c r="Y626" s="84"/>
      <c r="Z626" s="84"/>
      <c r="AA626" s="84"/>
      <c r="AB626" s="84"/>
      <c r="AC626" s="84"/>
      <c r="AD626" s="84"/>
      <c r="AE626" s="84"/>
      <c r="AF626" s="84"/>
      <c r="AG626" s="84"/>
      <c r="AH626" s="84">
        <v>0.0</v>
      </c>
      <c r="AI626" s="84">
        <v>0.0</v>
      </c>
      <c r="AJ626" s="84">
        <v>0.0</v>
      </c>
      <c r="AK626" s="84">
        <v>0.0</v>
      </c>
      <c r="AL626" s="84">
        <v>0.0</v>
      </c>
      <c r="AM626" s="84">
        <v>0.0</v>
      </c>
      <c r="AN626" s="84">
        <v>0.0</v>
      </c>
      <c r="AO626" s="84">
        <v>0.0</v>
      </c>
      <c r="AP626" s="84">
        <v>0.0</v>
      </c>
      <c r="AQ626" s="84">
        <v>0.0</v>
      </c>
      <c r="AR626" s="84">
        <v>0.0</v>
      </c>
      <c r="AS626" s="84">
        <v>0.0</v>
      </c>
      <c r="AT626" s="84">
        <v>0.0</v>
      </c>
      <c r="AU626" s="84">
        <v>0.0</v>
      </c>
      <c r="AV626" s="84">
        <v>0.0</v>
      </c>
      <c r="AW626" s="84">
        <v>0.0</v>
      </c>
      <c r="AX626" s="84">
        <v>0.0</v>
      </c>
      <c r="AY626" s="84">
        <v>0.0</v>
      </c>
      <c r="AZ626" s="84">
        <v>0.0</v>
      </c>
    </row>
    <row r="627" ht="12.75" customHeight="1">
      <c r="A627" s="84">
        <v>625.0</v>
      </c>
      <c r="B627" s="84" t="s">
        <v>5854</v>
      </c>
      <c r="C627" s="84">
        <v>0.0</v>
      </c>
      <c r="D627" s="84" t="s">
        <v>4935</v>
      </c>
      <c r="E627" s="84">
        <v>0.0</v>
      </c>
      <c r="F627" s="84" t="s">
        <v>5172</v>
      </c>
      <c r="G627" s="84">
        <v>1.0</v>
      </c>
      <c r="H627" s="84">
        <v>101.0</v>
      </c>
      <c r="I627" s="84">
        <v>1.0</v>
      </c>
      <c r="J627" s="84"/>
      <c r="K627" s="84"/>
      <c r="L627" s="84"/>
      <c r="M627" s="84"/>
      <c r="N627" s="84">
        <v>0.0</v>
      </c>
      <c r="O627" s="84">
        <v>0.0</v>
      </c>
      <c r="P627" s="84">
        <v>0.0</v>
      </c>
      <c r="Q627" s="84"/>
      <c r="R627" s="84"/>
      <c r="S627" s="84"/>
      <c r="T627" s="84"/>
      <c r="U627" s="84">
        <v>0.0</v>
      </c>
      <c r="V627" s="84"/>
      <c r="W627" s="84"/>
      <c r="X627" s="84">
        <v>0.0</v>
      </c>
      <c r="Y627" s="84"/>
      <c r="Z627" s="84"/>
      <c r="AA627" s="84"/>
      <c r="AB627" s="84"/>
      <c r="AC627" s="84"/>
      <c r="AD627" s="84"/>
      <c r="AE627" s="84"/>
      <c r="AF627" s="84"/>
      <c r="AG627" s="84"/>
      <c r="AH627" s="84">
        <v>0.0</v>
      </c>
      <c r="AI627" s="84">
        <v>0.0</v>
      </c>
      <c r="AJ627" s="84">
        <v>0.0</v>
      </c>
      <c r="AK627" s="84">
        <v>0.0</v>
      </c>
      <c r="AL627" s="84">
        <v>0.0</v>
      </c>
      <c r="AM627" s="84">
        <v>0.0</v>
      </c>
      <c r="AN627" s="84">
        <v>0.0</v>
      </c>
      <c r="AO627" s="84">
        <v>0.0</v>
      </c>
      <c r="AP627" s="84">
        <v>0.0</v>
      </c>
      <c r="AQ627" s="84">
        <v>0.0</v>
      </c>
      <c r="AR627" s="84">
        <v>0.0</v>
      </c>
      <c r="AS627" s="84">
        <v>0.0</v>
      </c>
      <c r="AT627" s="84">
        <v>0.0</v>
      </c>
      <c r="AU627" s="84">
        <v>0.0</v>
      </c>
      <c r="AV627" s="84">
        <v>0.0</v>
      </c>
      <c r="AW627" s="84">
        <v>0.0</v>
      </c>
      <c r="AX627" s="84">
        <v>0.0</v>
      </c>
      <c r="AY627" s="84">
        <v>0.0</v>
      </c>
      <c r="AZ627" s="84">
        <v>0.0</v>
      </c>
    </row>
    <row r="628" ht="12.75" customHeight="1">
      <c r="A628" s="84">
        <v>626.0</v>
      </c>
      <c r="B628" s="84" t="s">
        <v>5855</v>
      </c>
      <c r="C628" s="84">
        <v>0.0</v>
      </c>
      <c r="D628" s="84" t="s">
        <v>4907</v>
      </c>
      <c r="E628" s="84">
        <v>0.0</v>
      </c>
      <c r="F628" s="84" t="s">
        <v>5135</v>
      </c>
      <c r="G628" s="84">
        <v>1.0</v>
      </c>
      <c r="H628" s="84">
        <v>101.0</v>
      </c>
      <c r="I628" s="84">
        <v>1.0</v>
      </c>
      <c r="J628" s="84"/>
      <c r="K628" s="84"/>
      <c r="L628" s="84"/>
      <c r="M628" s="84"/>
      <c r="N628" s="84">
        <v>0.0</v>
      </c>
      <c r="O628" s="84">
        <v>0.0</v>
      </c>
      <c r="P628" s="84">
        <v>0.0</v>
      </c>
      <c r="Q628" s="84"/>
      <c r="R628" s="84"/>
      <c r="S628" s="84"/>
      <c r="T628" s="84"/>
      <c r="U628" s="84">
        <v>0.0</v>
      </c>
      <c r="V628" s="84"/>
      <c r="W628" s="84"/>
      <c r="X628" s="84">
        <v>0.0</v>
      </c>
      <c r="Y628" s="84"/>
      <c r="Z628" s="84"/>
      <c r="AA628" s="84"/>
      <c r="AB628" s="84"/>
      <c r="AC628" s="84"/>
      <c r="AD628" s="84"/>
      <c r="AE628" s="84"/>
      <c r="AF628" s="84"/>
      <c r="AG628" s="84"/>
      <c r="AH628" s="84">
        <v>0.0</v>
      </c>
      <c r="AI628" s="84">
        <v>0.0</v>
      </c>
      <c r="AJ628" s="84">
        <v>0.0</v>
      </c>
      <c r="AK628" s="84">
        <v>0.0</v>
      </c>
      <c r="AL628" s="84">
        <v>0.0</v>
      </c>
      <c r="AM628" s="84">
        <v>0.0</v>
      </c>
      <c r="AN628" s="84">
        <v>0.0</v>
      </c>
      <c r="AO628" s="84">
        <v>0.0</v>
      </c>
      <c r="AP628" s="84">
        <v>0.0</v>
      </c>
      <c r="AQ628" s="84">
        <v>0.0</v>
      </c>
      <c r="AR628" s="84">
        <v>0.0</v>
      </c>
      <c r="AS628" s="84">
        <v>0.0</v>
      </c>
      <c r="AT628" s="84">
        <v>0.0</v>
      </c>
      <c r="AU628" s="84">
        <v>0.0</v>
      </c>
      <c r="AV628" s="84">
        <v>0.0</v>
      </c>
      <c r="AW628" s="84">
        <v>0.0</v>
      </c>
      <c r="AX628" s="84">
        <v>0.0</v>
      </c>
      <c r="AY628" s="84">
        <v>0.0</v>
      </c>
      <c r="AZ628" s="84">
        <v>0.0</v>
      </c>
    </row>
    <row r="629" ht="12.75" customHeight="1">
      <c r="A629" s="84">
        <v>627.0</v>
      </c>
      <c r="B629" s="84" t="s">
        <v>5855</v>
      </c>
      <c r="C629" s="84">
        <v>0.0</v>
      </c>
      <c r="D629" s="84" t="s">
        <v>4907</v>
      </c>
      <c r="E629" s="84">
        <v>0.0</v>
      </c>
      <c r="F629" s="84" t="s">
        <v>5172</v>
      </c>
      <c r="G629" s="84">
        <v>1.0</v>
      </c>
      <c r="H629" s="84">
        <v>101.0</v>
      </c>
      <c r="I629" s="84">
        <v>1.0</v>
      </c>
      <c r="J629" s="84"/>
      <c r="K629" s="84"/>
      <c r="L629" s="84"/>
      <c r="M629" s="84"/>
      <c r="N629" s="84">
        <v>0.0</v>
      </c>
      <c r="O629" s="84">
        <v>0.0</v>
      </c>
      <c r="P629" s="84">
        <v>0.0</v>
      </c>
      <c r="Q629" s="84"/>
      <c r="R629" s="84"/>
      <c r="S629" s="84"/>
      <c r="T629" s="84"/>
      <c r="U629" s="84">
        <v>0.0</v>
      </c>
      <c r="V629" s="84"/>
      <c r="W629" s="84"/>
      <c r="X629" s="84">
        <v>0.0</v>
      </c>
      <c r="Y629" s="84"/>
      <c r="Z629" s="84"/>
      <c r="AA629" s="84"/>
      <c r="AB629" s="84"/>
      <c r="AC629" s="84"/>
      <c r="AD629" s="84"/>
      <c r="AE629" s="84"/>
      <c r="AF629" s="84"/>
      <c r="AG629" s="84"/>
      <c r="AH629" s="84">
        <v>0.0</v>
      </c>
      <c r="AI629" s="84">
        <v>0.0</v>
      </c>
      <c r="AJ629" s="84">
        <v>0.0</v>
      </c>
      <c r="AK629" s="84">
        <v>0.0</v>
      </c>
      <c r="AL629" s="84">
        <v>0.0</v>
      </c>
      <c r="AM629" s="84">
        <v>0.0</v>
      </c>
      <c r="AN629" s="84">
        <v>0.0</v>
      </c>
      <c r="AO629" s="84">
        <v>0.0</v>
      </c>
      <c r="AP629" s="84">
        <v>0.0</v>
      </c>
      <c r="AQ629" s="84">
        <v>0.0</v>
      </c>
      <c r="AR629" s="84">
        <v>0.0</v>
      </c>
      <c r="AS629" s="84">
        <v>0.0</v>
      </c>
      <c r="AT629" s="84">
        <v>0.0</v>
      </c>
      <c r="AU629" s="84">
        <v>0.0</v>
      </c>
      <c r="AV629" s="84">
        <v>0.0</v>
      </c>
      <c r="AW629" s="84">
        <v>0.0</v>
      </c>
      <c r="AX629" s="84">
        <v>0.0</v>
      </c>
      <c r="AY629" s="84">
        <v>0.0</v>
      </c>
      <c r="AZ629" s="84">
        <v>0.0</v>
      </c>
    </row>
    <row r="630" ht="12.75" customHeight="1">
      <c r="A630" s="84">
        <v>628.0</v>
      </c>
      <c r="B630" s="84" t="s">
        <v>5856</v>
      </c>
      <c r="C630" s="84">
        <v>0.0</v>
      </c>
      <c r="D630" s="84" t="s">
        <v>4905</v>
      </c>
      <c r="E630" s="84">
        <v>0.0</v>
      </c>
      <c r="F630" s="84" t="s">
        <v>5135</v>
      </c>
      <c r="G630" s="84">
        <v>1.0</v>
      </c>
      <c r="H630" s="84">
        <v>101.0</v>
      </c>
      <c r="I630" s="84">
        <v>1.0</v>
      </c>
      <c r="J630" s="84"/>
      <c r="K630" s="84"/>
      <c r="L630" s="84"/>
      <c r="M630" s="84"/>
      <c r="N630" s="84">
        <v>0.0</v>
      </c>
      <c r="O630" s="84">
        <v>0.0</v>
      </c>
      <c r="P630" s="84">
        <v>0.0</v>
      </c>
      <c r="Q630" s="84"/>
      <c r="R630" s="84"/>
      <c r="S630" s="84"/>
      <c r="T630" s="84"/>
      <c r="U630" s="84">
        <v>0.0</v>
      </c>
      <c r="V630" s="84"/>
      <c r="W630" s="84"/>
      <c r="X630" s="84">
        <v>0.0</v>
      </c>
      <c r="Y630" s="84"/>
      <c r="Z630" s="84"/>
      <c r="AA630" s="84"/>
      <c r="AB630" s="84"/>
      <c r="AC630" s="84"/>
      <c r="AD630" s="84"/>
      <c r="AE630" s="84"/>
      <c r="AF630" s="84"/>
      <c r="AG630" s="84"/>
      <c r="AH630" s="84">
        <v>0.0</v>
      </c>
      <c r="AI630" s="84">
        <v>0.0</v>
      </c>
      <c r="AJ630" s="84">
        <v>0.0</v>
      </c>
      <c r="AK630" s="84">
        <v>0.0</v>
      </c>
      <c r="AL630" s="84">
        <v>0.0</v>
      </c>
      <c r="AM630" s="84">
        <v>0.0</v>
      </c>
      <c r="AN630" s="84">
        <v>0.0</v>
      </c>
      <c r="AO630" s="84">
        <v>0.0</v>
      </c>
      <c r="AP630" s="84">
        <v>0.0</v>
      </c>
      <c r="AQ630" s="84">
        <v>0.0</v>
      </c>
      <c r="AR630" s="84">
        <v>0.0</v>
      </c>
      <c r="AS630" s="84">
        <v>0.0</v>
      </c>
      <c r="AT630" s="84">
        <v>0.0</v>
      </c>
      <c r="AU630" s="84">
        <v>0.0</v>
      </c>
      <c r="AV630" s="84">
        <v>0.0</v>
      </c>
      <c r="AW630" s="84">
        <v>0.0</v>
      </c>
      <c r="AX630" s="84">
        <v>0.0</v>
      </c>
      <c r="AY630" s="84">
        <v>0.0</v>
      </c>
      <c r="AZ630" s="84">
        <v>0.0</v>
      </c>
    </row>
    <row r="631" ht="12.75" customHeight="1">
      <c r="A631" s="84">
        <v>629.0</v>
      </c>
      <c r="B631" s="84" t="s">
        <v>5856</v>
      </c>
      <c r="C631" s="84">
        <v>0.0</v>
      </c>
      <c r="D631" s="84" t="s">
        <v>4905</v>
      </c>
      <c r="E631" s="84">
        <v>0.0</v>
      </c>
      <c r="F631" s="84" t="s">
        <v>5172</v>
      </c>
      <c r="G631" s="84">
        <v>1.0</v>
      </c>
      <c r="H631" s="84">
        <v>101.0</v>
      </c>
      <c r="I631" s="84">
        <v>1.0</v>
      </c>
      <c r="J631" s="84"/>
      <c r="K631" s="84"/>
      <c r="L631" s="84"/>
      <c r="M631" s="84"/>
      <c r="N631" s="84">
        <v>0.0</v>
      </c>
      <c r="O631" s="84">
        <v>0.0</v>
      </c>
      <c r="P631" s="84">
        <v>0.0</v>
      </c>
      <c r="Q631" s="84"/>
      <c r="R631" s="84"/>
      <c r="S631" s="84"/>
      <c r="T631" s="84"/>
      <c r="U631" s="84">
        <v>0.0</v>
      </c>
      <c r="V631" s="84"/>
      <c r="W631" s="84"/>
      <c r="X631" s="84">
        <v>0.0</v>
      </c>
      <c r="Y631" s="84"/>
      <c r="Z631" s="84"/>
      <c r="AA631" s="84"/>
      <c r="AB631" s="84"/>
      <c r="AC631" s="84"/>
      <c r="AD631" s="84"/>
      <c r="AE631" s="84"/>
      <c r="AF631" s="84"/>
      <c r="AG631" s="84"/>
      <c r="AH631" s="84">
        <v>0.0</v>
      </c>
      <c r="AI631" s="84">
        <v>0.0</v>
      </c>
      <c r="AJ631" s="84">
        <v>0.0</v>
      </c>
      <c r="AK631" s="84">
        <v>0.0</v>
      </c>
      <c r="AL631" s="84">
        <v>0.0</v>
      </c>
      <c r="AM631" s="84">
        <v>0.0</v>
      </c>
      <c r="AN631" s="84">
        <v>0.0</v>
      </c>
      <c r="AO631" s="84">
        <v>0.0</v>
      </c>
      <c r="AP631" s="84">
        <v>0.0</v>
      </c>
      <c r="AQ631" s="84">
        <v>0.0</v>
      </c>
      <c r="AR631" s="84">
        <v>0.0</v>
      </c>
      <c r="AS631" s="84">
        <v>0.0</v>
      </c>
      <c r="AT631" s="84">
        <v>0.0</v>
      </c>
      <c r="AU631" s="84">
        <v>0.0</v>
      </c>
      <c r="AV631" s="84">
        <v>0.0</v>
      </c>
      <c r="AW631" s="84">
        <v>0.0</v>
      </c>
      <c r="AX631" s="84">
        <v>0.0</v>
      </c>
      <c r="AY631" s="84">
        <v>0.0</v>
      </c>
      <c r="AZ631" s="84">
        <v>0.0</v>
      </c>
    </row>
    <row r="632" ht="12.75" customHeight="1">
      <c r="A632" s="84">
        <v>630.0</v>
      </c>
      <c r="B632" s="84" t="s">
        <v>5857</v>
      </c>
      <c r="C632" s="84">
        <v>0.0</v>
      </c>
      <c r="D632" s="84" t="s">
        <v>4922</v>
      </c>
      <c r="E632" s="84">
        <v>0.0</v>
      </c>
      <c r="F632" s="84" t="s">
        <v>5135</v>
      </c>
      <c r="G632" s="84">
        <v>1.0</v>
      </c>
      <c r="H632" s="84">
        <v>101.0</v>
      </c>
      <c r="I632" s="84">
        <v>1.0</v>
      </c>
      <c r="J632" s="84"/>
      <c r="K632" s="84"/>
      <c r="L632" s="84"/>
      <c r="M632" s="84"/>
      <c r="N632" s="84">
        <v>0.0</v>
      </c>
      <c r="O632" s="84">
        <v>0.0</v>
      </c>
      <c r="P632" s="84">
        <v>0.0</v>
      </c>
      <c r="Q632" s="84"/>
      <c r="R632" s="84"/>
      <c r="S632" s="84"/>
      <c r="T632" s="84"/>
      <c r="U632" s="84">
        <v>0.0</v>
      </c>
      <c r="V632" s="84"/>
      <c r="W632" s="84"/>
      <c r="X632" s="84">
        <v>0.0</v>
      </c>
      <c r="Y632" s="84"/>
      <c r="Z632" s="84"/>
      <c r="AA632" s="84"/>
      <c r="AB632" s="84"/>
      <c r="AC632" s="84"/>
      <c r="AD632" s="84"/>
      <c r="AE632" s="84"/>
      <c r="AF632" s="84"/>
      <c r="AG632" s="84"/>
      <c r="AH632" s="84">
        <v>0.0</v>
      </c>
      <c r="AI632" s="84">
        <v>0.0</v>
      </c>
      <c r="AJ632" s="84">
        <v>0.0</v>
      </c>
      <c r="AK632" s="84">
        <v>0.0</v>
      </c>
      <c r="AL632" s="84">
        <v>0.0</v>
      </c>
      <c r="AM632" s="84">
        <v>0.0</v>
      </c>
      <c r="AN632" s="84">
        <v>0.0</v>
      </c>
      <c r="AO632" s="84">
        <v>0.0</v>
      </c>
      <c r="AP632" s="84">
        <v>0.0</v>
      </c>
      <c r="AQ632" s="84">
        <v>0.0</v>
      </c>
      <c r="AR632" s="84">
        <v>0.0</v>
      </c>
      <c r="AS632" s="84">
        <v>0.0</v>
      </c>
      <c r="AT632" s="84">
        <v>0.0</v>
      </c>
      <c r="AU632" s="84">
        <v>0.0</v>
      </c>
      <c r="AV632" s="84">
        <v>0.0</v>
      </c>
      <c r="AW632" s="84">
        <v>0.0</v>
      </c>
      <c r="AX632" s="84">
        <v>0.0</v>
      </c>
      <c r="AY632" s="84">
        <v>0.0</v>
      </c>
      <c r="AZ632" s="84">
        <v>0.0</v>
      </c>
    </row>
    <row r="633" ht="12.75" customHeight="1">
      <c r="A633" s="84">
        <v>631.0</v>
      </c>
      <c r="B633" s="84" t="s">
        <v>5857</v>
      </c>
      <c r="C633" s="84">
        <v>0.0</v>
      </c>
      <c r="D633" s="84" t="s">
        <v>4922</v>
      </c>
      <c r="E633" s="84">
        <v>0.0</v>
      </c>
      <c r="F633" s="84" t="s">
        <v>5172</v>
      </c>
      <c r="G633" s="84">
        <v>1.0</v>
      </c>
      <c r="H633" s="84">
        <v>101.0</v>
      </c>
      <c r="I633" s="84">
        <v>1.0</v>
      </c>
      <c r="J633" s="84"/>
      <c r="K633" s="84"/>
      <c r="L633" s="84"/>
      <c r="M633" s="84"/>
      <c r="N633" s="84">
        <v>0.0</v>
      </c>
      <c r="O633" s="84">
        <v>0.0</v>
      </c>
      <c r="P633" s="84">
        <v>0.0</v>
      </c>
      <c r="Q633" s="84"/>
      <c r="R633" s="84"/>
      <c r="S633" s="84"/>
      <c r="T633" s="84"/>
      <c r="U633" s="84">
        <v>0.0</v>
      </c>
      <c r="V633" s="84"/>
      <c r="W633" s="84"/>
      <c r="X633" s="84">
        <v>0.0</v>
      </c>
      <c r="Y633" s="84"/>
      <c r="Z633" s="84"/>
      <c r="AA633" s="84"/>
      <c r="AB633" s="84"/>
      <c r="AC633" s="84"/>
      <c r="AD633" s="84"/>
      <c r="AE633" s="84"/>
      <c r="AF633" s="84"/>
      <c r="AG633" s="84"/>
      <c r="AH633" s="84">
        <v>0.0</v>
      </c>
      <c r="AI633" s="84">
        <v>0.0</v>
      </c>
      <c r="AJ633" s="84">
        <v>0.0</v>
      </c>
      <c r="AK633" s="84">
        <v>0.0</v>
      </c>
      <c r="AL633" s="84">
        <v>0.0</v>
      </c>
      <c r="AM633" s="84">
        <v>0.0</v>
      </c>
      <c r="AN633" s="84">
        <v>0.0</v>
      </c>
      <c r="AO633" s="84">
        <v>0.0</v>
      </c>
      <c r="AP633" s="84">
        <v>0.0</v>
      </c>
      <c r="AQ633" s="84">
        <v>0.0</v>
      </c>
      <c r="AR633" s="84">
        <v>0.0</v>
      </c>
      <c r="AS633" s="84">
        <v>0.0</v>
      </c>
      <c r="AT633" s="84">
        <v>0.0</v>
      </c>
      <c r="AU633" s="84">
        <v>0.0</v>
      </c>
      <c r="AV633" s="84">
        <v>0.0</v>
      </c>
      <c r="AW633" s="84">
        <v>0.0</v>
      </c>
      <c r="AX633" s="84">
        <v>0.0</v>
      </c>
      <c r="AY633" s="84">
        <v>0.0</v>
      </c>
      <c r="AZ633" s="84">
        <v>0.0</v>
      </c>
    </row>
    <row r="634" ht="12.75" customHeight="1">
      <c r="A634" s="84">
        <v>632.0</v>
      </c>
      <c r="B634" s="84" t="s">
        <v>5858</v>
      </c>
      <c r="C634" s="84">
        <v>0.0</v>
      </c>
      <c r="D634" s="84" t="s">
        <v>4940</v>
      </c>
      <c r="E634" s="84">
        <v>0.0</v>
      </c>
      <c r="F634" s="84" t="s">
        <v>5135</v>
      </c>
      <c r="G634" s="84">
        <v>1.0</v>
      </c>
      <c r="H634" s="84">
        <v>101.0</v>
      </c>
      <c r="I634" s="84">
        <v>1.0</v>
      </c>
      <c r="J634" s="84"/>
      <c r="K634" s="84"/>
      <c r="L634" s="84"/>
      <c r="M634" s="84"/>
      <c r="N634" s="84">
        <v>0.0</v>
      </c>
      <c r="O634" s="84">
        <v>0.0</v>
      </c>
      <c r="P634" s="84">
        <v>0.0</v>
      </c>
      <c r="Q634" s="84"/>
      <c r="R634" s="84"/>
      <c r="S634" s="84"/>
      <c r="T634" s="84"/>
      <c r="U634" s="84">
        <v>0.0</v>
      </c>
      <c r="V634" s="84"/>
      <c r="W634" s="84"/>
      <c r="X634" s="84">
        <v>0.0</v>
      </c>
      <c r="Y634" s="84"/>
      <c r="Z634" s="84"/>
      <c r="AA634" s="84"/>
      <c r="AB634" s="84"/>
      <c r="AC634" s="84"/>
      <c r="AD634" s="84"/>
      <c r="AE634" s="84"/>
      <c r="AF634" s="84"/>
      <c r="AG634" s="84"/>
      <c r="AH634" s="84">
        <v>0.0</v>
      </c>
      <c r="AI634" s="84">
        <v>0.0</v>
      </c>
      <c r="AJ634" s="84">
        <v>0.0</v>
      </c>
      <c r="AK634" s="84">
        <v>0.0</v>
      </c>
      <c r="AL634" s="84">
        <v>0.0</v>
      </c>
      <c r="AM634" s="84">
        <v>0.0</v>
      </c>
      <c r="AN634" s="84">
        <v>0.0</v>
      </c>
      <c r="AO634" s="84">
        <v>0.0</v>
      </c>
      <c r="AP634" s="84">
        <v>0.0</v>
      </c>
      <c r="AQ634" s="84">
        <v>0.0</v>
      </c>
      <c r="AR634" s="84">
        <v>0.0</v>
      </c>
      <c r="AS634" s="84">
        <v>0.0</v>
      </c>
      <c r="AT634" s="84">
        <v>0.0</v>
      </c>
      <c r="AU634" s="84">
        <v>0.0</v>
      </c>
      <c r="AV634" s="84">
        <v>0.0</v>
      </c>
      <c r="AW634" s="84">
        <v>0.0</v>
      </c>
      <c r="AX634" s="84">
        <v>0.0</v>
      </c>
      <c r="AY634" s="84">
        <v>0.0</v>
      </c>
      <c r="AZ634" s="84">
        <v>0.0</v>
      </c>
    </row>
    <row r="635" ht="12.75" customHeight="1">
      <c r="A635" s="84">
        <v>633.0</v>
      </c>
      <c r="B635" s="84" t="s">
        <v>5858</v>
      </c>
      <c r="C635" s="84">
        <v>0.0</v>
      </c>
      <c r="D635" s="84" t="s">
        <v>4940</v>
      </c>
      <c r="E635" s="84">
        <v>0.0</v>
      </c>
      <c r="F635" s="84" t="s">
        <v>5172</v>
      </c>
      <c r="G635" s="84">
        <v>1.0</v>
      </c>
      <c r="H635" s="84">
        <v>101.0</v>
      </c>
      <c r="I635" s="84">
        <v>1.0</v>
      </c>
      <c r="J635" s="84"/>
      <c r="K635" s="84"/>
      <c r="L635" s="84"/>
      <c r="M635" s="84"/>
      <c r="N635" s="84">
        <v>0.0</v>
      </c>
      <c r="O635" s="84">
        <v>0.0</v>
      </c>
      <c r="P635" s="84">
        <v>0.0</v>
      </c>
      <c r="Q635" s="84"/>
      <c r="R635" s="84"/>
      <c r="S635" s="84"/>
      <c r="T635" s="84"/>
      <c r="U635" s="84">
        <v>0.0</v>
      </c>
      <c r="V635" s="84"/>
      <c r="W635" s="84"/>
      <c r="X635" s="84">
        <v>0.0</v>
      </c>
      <c r="Y635" s="84"/>
      <c r="Z635" s="84"/>
      <c r="AA635" s="84"/>
      <c r="AB635" s="84"/>
      <c r="AC635" s="84"/>
      <c r="AD635" s="84"/>
      <c r="AE635" s="84"/>
      <c r="AF635" s="84"/>
      <c r="AG635" s="84"/>
      <c r="AH635" s="84">
        <v>0.0</v>
      </c>
      <c r="AI635" s="84">
        <v>0.0</v>
      </c>
      <c r="AJ635" s="84">
        <v>0.0</v>
      </c>
      <c r="AK635" s="84">
        <v>0.0</v>
      </c>
      <c r="AL635" s="84">
        <v>0.0</v>
      </c>
      <c r="AM635" s="84">
        <v>0.0</v>
      </c>
      <c r="AN635" s="84">
        <v>0.0</v>
      </c>
      <c r="AO635" s="84">
        <v>0.0</v>
      </c>
      <c r="AP635" s="84">
        <v>0.0</v>
      </c>
      <c r="AQ635" s="84">
        <v>0.0</v>
      </c>
      <c r="AR635" s="84">
        <v>0.0</v>
      </c>
      <c r="AS635" s="84">
        <v>0.0</v>
      </c>
      <c r="AT635" s="84">
        <v>0.0</v>
      </c>
      <c r="AU635" s="84">
        <v>0.0</v>
      </c>
      <c r="AV635" s="84">
        <v>0.0</v>
      </c>
      <c r="AW635" s="84">
        <v>0.0</v>
      </c>
      <c r="AX635" s="84">
        <v>0.0</v>
      </c>
      <c r="AY635" s="84">
        <v>0.0</v>
      </c>
      <c r="AZ635" s="84">
        <v>0.0</v>
      </c>
    </row>
    <row r="636" ht="12.75" customHeight="1">
      <c r="A636" s="84">
        <v>634.0</v>
      </c>
      <c r="B636" s="84" t="s">
        <v>5859</v>
      </c>
      <c r="C636" s="84">
        <v>0.0</v>
      </c>
      <c r="D636" s="84" t="s">
        <v>4910</v>
      </c>
      <c r="E636" s="84">
        <v>0.0</v>
      </c>
      <c r="F636" s="84" t="s">
        <v>5135</v>
      </c>
      <c r="G636" s="84">
        <v>1.0</v>
      </c>
      <c r="H636" s="84">
        <v>101.0</v>
      </c>
      <c r="I636" s="84">
        <v>1.0</v>
      </c>
      <c r="J636" s="84"/>
      <c r="K636" s="84"/>
      <c r="L636" s="84"/>
      <c r="M636" s="84"/>
      <c r="N636" s="84">
        <v>0.0</v>
      </c>
      <c r="O636" s="84">
        <v>0.0</v>
      </c>
      <c r="P636" s="84">
        <v>0.0</v>
      </c>
      <c r="Q636" s="84"/>
      <c r="R636" s="84"/>
      <c r="S636" s="84"/>
      <c r="T636" s="84"/>
      <c r="U636" s="84">
        <v>0.0</v>
      </c>
      <c r="V636" s="84"/>
      <c r="W636" s="84"/>
      <c r="X636" s="84">
        <v>0.0</v>
      </c>
      <c r="Y636" s="84"/>
      <c r="Z636" s="84"/>
      <c r="AA636" s="84"/>
      <c r="AB636" s="84"/>
      <c r="AC636" s="84"/>
      <c r="AD636" s="84"/>
      <c r="AE636" s="84"/>
      <c r="AF636" s="84"/>
      <c r="AG636" s="84"/>
      <c r="AH636" s="84">
        <v>0.0</v>
      </c>
      <c r="AI636" s="84">
        <v>0.0</v>
      </c>
      <c r="AJ636" s="84">
        <v>0.0</v>
      </c>
      <c r="AK636" s="84">
        <v>0.0</v>
      </c>
      <c r="AL636" s="84">
        <v>0.0</v>
      </c>
      <c r="AM636" s="84">
        <v>0.0</v>
      </c>
      <c r="AN636" s="84">
        <v>0.0</v>
      </c>
      <c r="AO636" s="84">
        <v>0.0</v>
      </c>
      <c r="AP636" s="84">
        <v>0.0</v>
      </c>
      <c r="AQ636" s="84">
        <v>0.0</v>
      </c>
      <c r="AR636" s="84">
        <v>0.0</v>
      </c>
      <c r="AS636" s="84">
        <v>0.0</v>
      </c>
      <c r="AT636" s="84">
        <v>0.0</v>
      </c>
      <c r="AU636" s="84">
        <v>0.0</v>
      </c>
      <c r="AV636" s="84">
        <v>0.0</v>
      </c>
      <c r="AW636" s="84">
        <v>0.0</v>
      </c>
      <c r="AX636" s="84">
        <v>0.0</v>
      </c>
      <c r="AY636" s="84">
        <v>0.0</v>
      </c>
      <c r="AZ636" s="84">
        <v>0.0</v>
      </c>
    </row>
    <row r="637" ht="12.75" customHeight="1">
      <c r="A637" s="84">
        <v>635.0</v>
      </c>
      <c r="B637" s="84" t="s">
        <v>5859</v>
      </c>
      <c r="C637" s="84">
        <v>0.0</v>
      </c>
      <c r="D637" s="84" t="s">
        <v>4910</v>
      </c>
      <c r="E637" s="84">
        <v>0.0</v>
      </c>
      <c r="F637" s="84" t="s">
        <v>5172</v>
      </c>
      <c r="G637" s="84">
        <v>1.0</v>
      </c>
      <c r="H637" s="84">
        <v>101.0</v>
      </c>
      <c r="I637" s="84">
        <v>1.0</v>
      </c>
      <c r="J637" s="84"/>
      <c r="K637" s="84"/>
      <c r="L637" s="84"/>
      <c r="M637" s="84"/>
      <c r="N637" s="84">
        <v>0.0</v>
      </c>
      <c r="O637" s="84">
        <v>0.0</v>
      </c>
      <c r="P637" s="84">
        <v>0.0</v>
      </c>
      <c r="Q637" s="84"/>
      <c r="R637" s="84"/>
      <c r="S637" s="84"/>
      <c r="T637" s="84"/>
      <c r="U637" s="84">
        <v>0.0</v>
      </c>
      <c r="V637" s="84"/>
      <c r="W637" s="84"/>
      <c r="X637" s="84">
        <v>0.0</v>
      </c>
      <c r="Y637" s="84"/>
      <c r="Z637" s="84"/>
      <c r="AA637" s="84"/>
      <c r="AB637" s="84"/>
      <c r="AC637" s="84"/>
      <c r="AD637" s="84"/>
      <c r="AE637" s="84"/>
      <c r="AF637" s="84"/>
      <c r="AG637" s="84"/>
      <c r="AH637" s="84">
        <v>0.0</v>
      </c>
      <c r="AI637" s="84">
        <v>0.0</v>
      </c>
      <c r="AJ637" s="84">
        <v>0.0</v>
      </c>
      <c r="AK637" s="84">
        <v>0.0</v>
      </c>
      <c r="AL637" s="84">
        <v>0.0</v>
      </c>
      <c r="AM637" s="84">
        <v>0.0</v>
      </c>
      <c r="AN637" s="84">
        <v>0.0</v>
      </c>
      <c r="AO637" s="84">
        <v>0.0</v>
      </c>
      <c r="AP637" s="84">
        <v>0.0</v>
      </c>
      <c r="AQ637" s="84">
        <v>0.0</v>
      </c>
      <c r="AR637" s="84">
        <v>0.0</v>
      </c>
      <c r="AS637" s="84">
        <v>0.0</v>
      </c>
      <c r="AT637" s="84">
        <v>0.0</v>
      </c>
      <c r="AU637" s="84">
        <v>0.0</v>
      </c>
      <c r="AV637" s="84">
        <v>0.0</v>
      </c>
      <c r="AW637" s="84">
        <v>0.0</v>
      </c>
      <c r="AX637" s="84">
        <v>0.0</v>
      </c>
      <c r="AY637" s="84">
        <v>0.0</v>
      </c>
      <c r="AZ637" s="84">
        <v>0.0</v>
      </c>
    </row>
    <row r="638" ht="12.75" customHeight="1">
      <c r="A638" s="84">
        <v>636.0</v>
      </c>
      <c r="B638" s="84" t="s">
        <v>5860</v>
      </c>
      <c r="C638" s="84">
        <v>0.0</v>
      </c>
      <c r="D638" s="84" t="s">
        <v>4945</v>
      </c>
      <c r="E638" s="84">
        <v>0.0</v>
      </c>
      <c r="F638" s="84" t="s">
        <v>5135</v>
      </c>
      <c r="G638" s="84">
        <v>1.0</v>
      </c>
      <c r="H638" s="84">
        <v>101.0</v>
      </c>
      <c r="I638" s="84">
        <v>1.0</v>
      </c>
      <c r="J638" s="84"/>
      <c r="K638" s="84"/>
      <c r="L638" s="84"/>
      <c r="M638" s="84"/>
      <c r="N638" s="84">
        <v>0.0</v>
      </c>
      <c r="O638" s="84">
        <v>0.0</v>
      </c>
      <c r="P638" s="84">
        <v>0.0</v>
      </c>
      <c r="Q638" s="84"/>
      <c r="R638" s="84"/>
      <c r="S638" s="84"/>
      <c r="T638" s="84"/>
      <c r="U638" s="84">
        <v>0.0</v>
      </c>
      <c r="V638" s="84"/>
      <c r="W638" s="84"/>
      <c r="X638" s="84">
        <v>0.0</v>
      </c>
      <c r="Y638" s="84"/>
      <c r="Z638" s="84"/>
      <c r="AA638" s="84"/>
      <c r="AB638" s="84"/>
      <c r="AC638" s="84"/>
      <c r="AD638" s="84"/>
      <c r="AE638" s="84"/>
      <c r="AF638" s="84"/>
      <c r="AG638" s="84"/>
      <c r="AH638" s="84">
        <v>0.0</v>
      </c>
      <c r="AI638" s="84">
        <v>0.0</v>
      </c>
      <c r="AJ638" s="84">
        <v>0.0</v>
      </c>
      <c r="AK638" s="84">
        <v>0.0</v>
      </c>
      <c r="AL638" s="84">
        <v>0.0</v>
      </c>
      <c r="AM638" s="84">
        <v>0.0</v>
      </c>
      <c r="AN638" s="84">
        <v>0.0</v>
      </c>
      <c r="AO638" s="84">
        <v>0.0</v>
      </c>
      <c r="AP638" s="84">
        <v>0.0</v>
      </c>
      <c r="AQ638" s="84">
        <v>0.0</v>
      </c>
      <c r="AR638" s="84">
        <v>0.0</v>
      </c>
      <c r="AS638" s="84">
        <v>0.0</v>
      </c>
      <c r="AT638" s="84">
        <v>0.0</v>
      </c>
      <c r="AU638" s="84">
        <v>0.0</v>
      </c>
      <c r="AV638" s="84">
        <v>0.0</v>
      </c>
      <c r="AW638" s="84">
        <v>0.0</v>
      </c>
      <c r="AX638" s="84">
        <v>0.0</v>
      </c>
      <c r="AY638" s="84">
        <v>0.0</v>
      </c>
      <c r="AZ638" s="84">
        <v>0.0</v>
      </c>
    </row>
    <row r="639" ht="12.75" customHeight="1">
      <c r="A639" s="84">
        <v>637.0</v>
      </c>
      <c r="B639" s="84" t="s">
        <v>5860</v>
      </c>
      <c r="C639" s="84">
        <v>0.0</v>
      </c>
      <c r="D639" s="84" t="s">
        <v>4945</v>
      </c>
      <c r="E639" s="84">
        <v>0.0</v>
      </c>
      <c r="F639" s="84" t="s">
        <v>5172</v>
      </c>
      <c r="G639" s="84">
        <v>1.0</v>
      </c>
      <c r="H639" s="84">
        <v>101.0</v>
      </c>
      <c r="I639" s="84">
        <v>1.0</v>
      </c>
      <c r="J639" s="84"/>
      <c r="K639" s="84"/>
      <c r="L639" s="84"/>
      <c r="M639" s="84"/>
      <c r="N639" s="84">
        <v>0.0</v>
      </c>
      <c r="O639" s="84">
        <v>0.0</v>
      </c>
      <c r="P639" s="84">
        <v>0.0</v>
      </c>
      <c r="Q639" s="84"/>
      <c r="R639" s="84"/>
      <c r="S639" s="84"/>
      <c r="T639" s="84"/>
      <c r="U639" s="84">
        <v>0.0</v>
      </c>
      <c r="V639" s="84"/>
      <c r="W639" s="84"/>
      <c r="X639" s="84">
        <v>0.0</v>
      </c>
      <c r="Y639" s="84"/>
      <c r="Z639" s="84"/>
      <c r="AA639" s="84"/>
      <c r="AB639" s="84"/>
      <c r="AC639" s="84"/>
      <c r="AD639" s="84"/>
      <c r="AE639" s="84"/>
      <c r="AF639" s="84"/>
      <c r="AG639" s="84"/>
      <c r="AH639" s="84">
        <v>0.0</v>
      </c>
      <c r="AI639" s="84">
        <v>0.0</v>
      </c>
      <c r="AJ639" s="84">
        <v>0.0</v>
      </c>
      <c r="AK639" s="84">
        <v>0.0</v>
      </c>
      <c r="AL639" s="84">
        <v>0.0</v>
      </c>
      <c r="AM639" s="84">
        <v>0.0</v>
      </c>
      <c r="AN639" s="84">
        <v>0.0</v>
      </c>
      <c r="AO639" s="84">
        <v>0.0</v>
      </c>
      <c r="AP639" s="84">
        <v>0.0</v>
      </c>
      <c r="AQ639" s="84">
        <v>0.0</v>
      </c>
      <c r="AR639" s="84">
        <v>0.0</v>
      </c>
      <c r="AS639" s="84">
        <v>0.0</v>
      </c>
      <c r="AT639" s="84">
        <v>0.0</v>
      </c>
      <c r="AU639" s="84">
        <v>0.0</v>
      </c>
      <c r="AV639" s="84">
        <v>0.0</v>
      </c>
      <c r="AW639" s="84">
        <v>0.0</v>
      </c>
      <c r="AX639" s="84">
        <v>0.0</v>
      </c>
      <c r="AY639" s="84">
        <v>0.0</v>
      </c>
      <c r="AZ639" s="84">
        <v>0.0</v>
      </c>
    </row>
    <row r="640" ht="12.75" customHeight="1">
      <c r="A640" s="84">
        <v>638.0</v>
      </c>
      <c r="B640" s="84" t="s">
        <v>5861</v>
      </c>
      <c r="C640" s="84">
        <v>0.0</v>
      </c>
      <c r="D640" s="84" t="s">
        <v>4975</v>
      </c>
      <c r="E640" s="84">
        <v>0.0</v>
      </c>
      <c r="F640" s="84" t="s">
        <v>5135</v>
      </c>
      <c r="G640" s="84">
        <v>1.0</v>
      </c>
      <c r="H640" s="84">
        <v>101.0</v>
      </c>
      <c r="I640" s="84">
        <v>1.0</v>
      </c>
      <c r="J640" s="84"/>
      <c r="K640" s="84"/>
      <c r="L640" s="84"/>
      <c r="M640" s="84"/>
      <c r="N640" s="84">
        <v>0.0</v>
      </c>
      <c r="O640" s="84">
        <v>0.0</v>
      </c>
      <c r="P640" s="84">
        <v>0.0</v>
      </c>
      <c r="Q640" s="84"/>
      <c r="R640" s="84"/>
      <c r="S640" s="84"/>
      <c r="T640" s="84"/>
      <c r="U640" s="84">
        <v>0.0</v>
      </c>
      <c r="V640" s="84"/>
      <c r="W640" s="84"/>
      <c r="X640" s="84">
        <v>0.0</v>
      </c>
      <c r="Y640" s="84"/>
      <c r="Z640" s="84"/>
      <c r="AA640" s="84"/>
      <c r="AB640" s="84"/>
      <c r="AC640" s="84"/>
      <c r="AD640" s="84"/>
      <c r="AE640" s="84"/>
      <c r="AF640" s="84"/>
      <c r="AG640" s="84"/>
      <c r="AH640" s="84">
        <v>0.0</v>
      </c>
      <c r="AI640" s="84">
        <v>0.0</v>
      </c>
      <c r="AJ640" s="84">
        <v>0.0</v>
      </c>
      <c r="AK640" s="84">
        <v>0.0</v>
      </c>
      <c r="AL640" s="84">
        <v>0.0</v>
      </c>
      <c r="AM640" s="84">
        <v>0.0</v>
      </c>
      <c r="AN640" s="84">
        <v>0.0</v>
      </c>
      <c r="AO640" s="84">
        <v>0.0</v>
      </c>
      <c r="AP640" s="84">
        <v>0.0</v>
      </c>
      <c r="AQ640" s="84">
        <v>0.0</v>
      </c>
      <c r="AR640" s="84">
        <v>0.0</v>
      </c>
      <c r="AS640" s="84">
        <v>0.0</v>
      </c>
      <c r="AT640" s="84">
        <v>0.0</v>
      </c>
      <c r="AU640" s="84">
        <v>0.0</v>
      </c>
      <c r="AV640" s="84">
        <v>0.0</v>
      </c>
      <c r="AW640" s="84">
        <v>0.0</v>
      </c>
      <c r="AX640" s="84">
        <v>0.0</v>
      </c>
      <c r="AY640" s="84">
        <v>0.0</v>
      </c>
      <c r="AZ640" s="84">
        <v>0.0</v>
      </c>
    </row>
    <row r="641" ht="12.75" customHeight="1">
      <c r="A641" s="84">
        <v>639.0</v>
      </c>
      <c r="B641" s="84" t="s">
        <v>5861</v>
      </c>
      <c r="C641" s="84">
        <v>0.0</v>
      </c>
      <c r="D641" s="84" t="s">
        <v>4975</v>
      </c>
      <c r="E641" s="84">
        <v>0.0</v>
      </c>
      <c r="F641" s="84" t="s">
        <v>5172</v>
      </c>
      <c r="G641" s="84">
        <v>1.0</v>
      </c>
      <c r="H641" s="84">
        <v>101.0</v>
      </c>
      <c r="I641" s="84">
        <v>1.0</v>
      </c>
      <c r="J641" s="84"/>
      <c r="K641" s="84"/>
      <c r="L641" s="84"/>
      <c r="M641" s="84"/>
      <c r="N641" s="84">
        <v>0.0</v>
      </c>
      <c r="O641" s="84">
        <v>0.0</v>
      </c>
      <c r="P641" s="84">
        <v>0.0</v>
      </c>
      <c r="Q641" s="84"/>
      <c r="R641" s="84"/>
      <c r="S641" s="84"/>
      <c r="T641" s="84"/>
      <c r="U641" s="84">
        <v>0.0</v>
      </c>
      <c r="V641" s="84"/>
      <c r="W641" s="84"/>
      <c r="X641" s="84">
        <v>0.0</v>
      </c>
      <c r="Y641" s="84"/>
      <c r="Z641" s="84"/>
      <c r="AA641" s="84"/>
      <c r="AB641" s="84"/>
      <c r="AC641" s="84"/>
      <c r="AD641" s="84"/>
      <c r="AE641" s="84"/>
      <c r="AF641" s="84"/>
      <c r="AG641" s="84"/>
      <c r="AH641" s="84">
        <v>0.0</v>
      </c>
      <c r="AI641" s="84">
        <v>0.0</v>
      </c>
      <c r="AJ641" s="84">
        <v>0.0</v>
      </c>
      <c r="AK641" s="84">
        <v>0.0</v>
      </c>
      <c r="AL641" s="84">
        <v>0.0</v>
      </c>
      <c r="AM641" s="84">
        <v>0.0</v>
      </c>
      <c r="AN641" s="84">
        <v>0.0</v>
      </c>
      <c r="AO641" s="84">
        <v>0.0</v>
      </c>
      <c r="AP641" s="84">
        <v>0.0</v>
      </c>
      <c r="AQ641" s="84">
        <v>0.0</v>
      </c>
      <c r="AR641" s="84">
        <v>0.0</v>
      </c>
      <c r="AS641" s="84">
        <v>0.0</v>
      </c>
      <c r="AT641" s="84">
        <v>0.0</v>
      </c>
      <c r="AU641" s="84">
        <v>0.0</v>
      </c>
      <c r="AV641" s="84">
        <v>0.0</v>
      </c>
      <c r="AW641" s="84">
        <v>0.0</v>
      </c>
      <c r="AX641" s="84">
        <v>0.0</v>
      </c>
      <c r="AY641" s="84">
        <v>0.0</v>
      </c>
      <c r="AZ641" s="84">
        <v>0.0</v>
      </c>
    </row>
    <row r="642" ht="12.75" customHeight="1">
      <c r="A642" s="84">
        <v>640.0</v>
      </c>
      <c r="B642" s="84" t="s">
        <v>5862</v>
      </c>
      <c r="C642" s="84">
        <v>0.0</v>
      </c>
      <c r="D642" s="84" t="s">
        <v>4906</v>
      </c>
      <c r="E642" s="84">
        <v>0.0</v>
      </c>
      <c r="F642" s="84" t="s">
        <v>5135</v>
      </c>
      <c r="G642" s="84">
        <v>1.0</v>
      </c>
      <c r="H642" s="84">
        <v>101.0</v>
      </c>
      <c r="I642" s="84">
        <v>1.0</v>
      </c>
      <c r="J642" s="84"/>
      <c r="K642" s="84"/>
      <c r="L642" s="84"/>
      <c r="M642" s="84"/>
      <c r="N642" s="84">
        <v>0.0</v>
      </c>
      <c r="O642" s="84">
        <v>0.0</v>
      </c>
      <c r="P642" s="84">
        <v>0.0</v>
      </c>
      <c r="Q642" s="84"/>
      <c r="R642" s="84"/>
      <c r="S642" s="84"/>
      <c r="T642" s="84"/>
      <c r="U642" s="84">
        <v>0.0</v>
      </c>
      <c r="V642" s="84"/>
      <c r="W642" s="84"/>
      <c r="X642" s="84">
        <v>0.0</v>
      </c>
      <c r="Y642" s="84"/>
      <c r="Z642" s="84"/>
      <c r="AA642" s="84"/>
      <c r="AB642" s="84"/>
      <c r="AC642" s="84"/>
      <c r="AD642" s="84"/>
      <c r="AE642" s="84"/>
      <c r="AF642" s="84"/>
      <c r="AG642" s="84"/>
      <c r="AH642" s="84">
        <v>0.0</v>
      </c>
      <c r="AI642" s="84">
        <v>0.0</v>
      </c>
      <c r="AJ642" s="84">
        <v>0.0</v>
      </c>
      <c r="AK642" s="84">
        <v>0.0</v>
      </c>
      <c r="AL642" s="84">
        <v>0.0</v>
      </c>
      <c r="AM642" s="84">
        <v>0.0</v>
      </c>
      <c r="AN642" s="84">
        <v>0.0</v>
      </c>
      <c r="AO642" s="84">
        <v>0.0</v>
      </c>
      <c r="AP642" s="84">
        <v>0.0</v>
      </c>
      <c r="AQ642" s="84">
        <v>0.0</v>
      </c>
      <c r="AR642" s="84">
        <v>0.0</v>
      </c>
      <c r="AS642" s="84">
        <v>0.0</v>
      </c>
      <c r="AT642" s="84">
        <v>0.0</v>
      </c>
      <c r="AU642" s="84">
        <v>0.0</v>
      </c>
      <c r="AV642" s="84">
        <v>0.0</v>
      </c>
      <c r="AW642" s="84">
        <v>0.0</v>
      </c>
      <c r="AX642" s="84">
        <v>0.0</v>
      </c>
      <c r="AY642" s="84">
        <v>0.0</v>
      </c>
      <c r="AZ642" s="84">
        <v>0.0</v>
      </c>
    </row>
    <row r="643" ht="12.75" customHeight="1">
      <c r="A643" s="84">
        <v>641.0</v>
      </c>
      <c r="B643" s="84" t="s">
        <v>5862</v>
      </c>
      <c r="C643" s="84">
        <v>0.0</v>
      </c>
      <c r="D643" s="84" t="s">
        <v>4906</v>
      </c>
      <c r="E643" s="84">
        <v>0.0</v>
      </c>
      <c r="F643" s="84" t="s">
        <v>5172</v>
      </c>
      <c r="G643" s="84">
        <v>1.0</v>
      </c>
      <c r="H643" s="84">
        <v>101.0</v>
      </c>
      <c r="I643" s="84">
        <v>1.0</v>
      </c>
      <c r="J643" s="84"/>
      <c r="K643" s="84"/>
      <c r="L643" s="84"/>
      <c r="M643" s="84"/>
      <c r="N643" s="84">
        <v>0.0</v>
      </c>
      <c r="O643" s="84">
        <v>0.0</v>
      </c>
      <c r="P643" s="84">
        <v>0.0</v>
      </c>
      <c r="Q643" s="84"/>
      <c r="R643" s="84"/>
      <c r="S643" s="84"/>
      <c r="T643" s="84"/>
      <c r="U643" s="84">
        <v>0.0</v>
      </c>
      <c r="V643" s="84"/>
      <c r="W643" s="84"/>
      <c r="X643" s="84">
        <v>0.0</v>
      </c>
      <c r="Y643" s="84"/>
      <c r="Z643" s="84"/>
      <c r="AA643" s="84"/>
      <c r="AB643" s="84"/>
      <c r="AC643" s="84"/>
      <c r="AD643" s="84"/>
      <c r="AE643" s="84"/>
      <c r="AF643" s="84"/>
      <c r="AG643" s="84"/>
      <c r="AH643" s="84">
        <v>0.0</v>
      </c>
      <c r="AI643" s="84">
        <v>0.0</v>
      </c>
      <c r="AJ643" s="84">
        <v>0.0</v>
      </c>
      <c r="AK643" s="84">
        <v>0.0</v>
      </c>
      <c r="AL643" s="84">
        <v>0.0</v>
      </c>
      <c r="AM643" s="84">
        <v>0.0</v>
      </c>
      <c r="AN643" s="84">
        <v>0.0</v>
      </c>
      <c r="AO643" s="84">
        <v>0.0</v>
      </c>
      <c r="AP643" s="84">
        <v>0.0</v>
      </c>
      <c r="AQ643" s="84">
        <v>0.0</v>
      </c>
      <c r="AR643" s="84">
        <v>0.0</v>
      </c>
      <c r="AS643" s="84">
        <v>0.0</v>
      </c>
      <c r="AT643" s="84">
        <v>0.0</v>
      </c>
      <c r="AU643" s="84">
        <v>0.0</v>
      </c>
      <c r="AV643" s="84">
        <v>0.0</v>
      </c>
      <c r="AW643" s="84">
        <v>0.0</v>
      </c>
      <c r="AX643" s="84">
        <v>0.0</v>
      </c>
      <c r="AY643" s="84">
        <v>0.0</v>
      </c>
      <c r="AZ643" s="84">
        <v>0.0</v>
      </c>
    </row>
    <row r="644" ht="12.75" customHeight="1">
      <c r="A644" s="84">
        <v>642.0</v>
      </c>
      <c r="B644" s="84" t="s">
        <v>5863</v>
      </c>
      <c r="C644" s="84">
        <v>0.0</v>
      </c>
      <c r="D644" s="84" t="s">
        <v>4908</v>
      </c>
      <c r="E644" s="84">
        <v>0.0</v>
      </c>
      <c r="F644" s="84" t="s">
        <v>5135</v>
      </c>
      <c r="G644" s="84">
        <v>1.0</v>
      </c>
      <c r="H644" s="84">
        <v>101.0</v>
      </c>
      <c r="I644" s="84">
        <v>1.0</v>
      </c>
      <c r="J644" s="84"/>
      <c r="K644" s="84"/>
      <c r="L644" s="84"/>
      <c r="M644" s="84"/>
      <c r="N644" s="84">
        <v>0.0</v>
      </c>
      <c r="O644" s="84">
        <v>0.0</v>
      </c>
      <c r="P644" s="84">
        <v>0.0</v>
      </c>
      <c r="Q644" s="84"/>
      <c r="R644" s="84"/>
      <c r="S644" s="84"/>
      <c r="T644" s="84"/>
      <c r="U644" s="84">
        <v>0.0</v>
      </c>
      <c r="V644" s="84"/>
      <c r="W644" s="84"/>
      <c r="X644" s="84">
        <v>0.0</v>
      </c>
      <c r="Y644" s="84"/>
      <c r="Z644" s="84"/>
      <c r="AA644" s="84"/>
      <c r="AB644" s="84"/>
      <c r="AC644" s="84"/>
      <c r="AD644" s="84"/>
      <c r="AE644" s="84"/>
      <c r="AF644" s="84"/>
      <c r="AG644" s="84"/>
      <c r="AH644" s="84">
        <v>0.0</v>
      </c>
      <c r="AI644" s="84">
        <v>0.0</v>
      </c>
      <c r="AJ644" s="84">
        <v>0.0</v>
      </c>
      <c r="AK644" s="84">
        <v>0.0</v>
      </c>
      <c r="AL644" s="84">
        <v>0.0</v>
      </c>
      <c r="AM644" s="84">
        <v>0.0</v>
      </c>
      <c r="AN644" s="84">
        <v>0.0</v>
      </c>
      <c r="AO644" s="84">
        <v>0.0</v>
      </c>
      <c r="AP644" s="84">
        <v>0.0</v>
      </c>
      <c r="AQ644" s="84">
        <v>0.0</v>
      </c>
      <c r="AR644" s="84">
        <v>0.0</v>
      </c>
      <c r="AS644" s="84">
        <v>0.0</v>
      </c>
      <c r="AT644" s="84">
        <v>0.0</v>
      </c>
      <c r="AU644" s="84">
        <v>0.0</v>
      </c>
      <c r="AV644" s="84">
        <v>0.0</v>
      </c>
      <c r="AW644" s="84">
        <v>0.0</v>
      </c>
      <c r="AX644" s="84">
        <v>0.0</v>
      </c>
      <c r="AY644" s="84">
        <v>0.0</v>
      </c>
      <c r="AZ644" s="84">
        <v>0.0</v>
      </c>
    </row>
    <row r="645" ht="12.75" customHeight="1">
      <c r="A645" s="84">
        <v>643.0</v>
      </c>
      <c r="B645" s="84" t="s">
        <v>5863</v>
      </c>
      <c r="C645" s="84">
        <v>0.0</v>
      </c>
      <c r="D645" s="84" t="s">
        <v>4908</v>
      </c>
      <c r="E645" s="84">
        <v>0.0</v>
      </c>
      <c r="F645" s="84" t="s">
        <v>5172</v>
      </c>
      <c r="G645" s="84">
        <v>1.0</v>
      </c>
      <c r="H645" s="84">
        <v>101.0</v>
      </c>
      <c r="I645" s="84">
        <v>1.0</v>
      </c>
      <c r="J645" s="84"/>
      <c r="K645" s="84"/>
      <c r="L645" s="84"/>
      <c r="M645" s="84"/>
      <c r="N645" s="84">
        <v>0.0</v>
      </c>
      <c r="O645" s="84">
        <v>0.0</v>
      </c>
      <c r="P645" s="84">
        <v>0.0</v>
      </c>
      <c r="Q645" s="84"/>
      <c r="R645" s="84"/>
      <c r="S645" s="84"/>
      <c r="T645" s="84"/>
      <c r="U645" s="84">
        <v>0.0</v>
      </c>
      <c r="V645" s="84"/>
      <c r="W645" s="84"/>
      <c r="X645" s="84">
        <v>0.0</v>
      </c>
      <c r="Y645" s="84"/>
      <c r="Z645" s="84"/>
      <c r="AA645" s="84"/>
      <c r="AB645" s="84"/>
      <c r="AC645" s="84"/>
      <c r="AD645" s="84"/>
      <c r="AE645" s="84"/>
      <c r="AF645" s="84"/>
      <c r="AG645" s="84"/>
      <c r="AH645" s="84">
        <v>0.0</v>
      </c>
      <c r="AI645" s="84">
        <v>0.0</v>
      </c>
      <c r="AJ645" s="84">
        <v>0.0</v>
      </c>
      <c r="AK645" s="84">
        <v>0.0</v>
      </c>
      <c r="AL645" s="84">
        <v>0.0</v>
      </c>
      <c r="AM645" s="84">
        <v>0.0</v>
      </c>
      <c r="AN645" s="84">
        <v>0.0</v>
      </c>
      <c r="AO645" s="84">
        <v>0.0</v>
      </c>
      <c r="AP645" s="84">
        <v>0.0</v>
      </c>
      <c r="AQ645" s="84">
        <v>0.0</v>
      </c>
      <c r="AR645" s="84">
        <v>0.0</v>
      </c>
      <c r="AS645" s="84">
        <v>0.0</v>
      </c>
      <c r="AT645" s="84">
        <v>0.0</v>
      </c>
      <c r="AU645" s="84">
        <v>0.0</v>
      </c>
      <c r="AV645" s="84">
        <v>0.0</v>
      </c>
      <c r="AW645" s="84">
        <v>0.0</v>
      </c>
      <c r="AX645" s="84">
        <v>0.0</v>
      </c>
      <c r="AY645" s="84">
        <v>0.0</v>
      </c>
      <c r="AZ645" s="84">
        <v>0.0</v>
      </c>
    </row>
    <row r="646" ht="12.75" customHeight="1">
      <c r="A646" s="84">
        <v>644.0</v>
      </c>
      <c r="B646" s="84" t="s">
        <v>5864</v>
      </c>
      <c r="C646" s="84">
        <v>0.0</v>
      </c>
      <c r="D646" s="84" t="s">
        <v>4904</v>
      </c>
      <c r="E646" s="84">
        <v>0.0</v>
      </c>
      <c r="F646" s="84" t="s">
        <v>5135</v>
      </c>
      <c r="G646" s="84">
        <v>1.0</v>
      </c>
      <c r="H646" s="84">
        <v>101.0</v>
      </c>
      <c r="I646" s="84">
        <v>1.0</v>
      </c>
      <c r="J646" s="84"/>
      <c r="K646" s="84"/>
      <c r="L646" s="84"/>
      <c r="M646" s="84"/>
      <c r="N646" s="84">
        <v>0.0</v>
      </c>
      <c r="O646" s="84">
        <v>0.0</v>
      </c>
      <c r="P646" s="84">
        <v>0.0</v>
      </c>
      <c r="Q646" s="84"/>
      <c r="R646" s="84"/>
      <c r="S646" s="84"/>
      <c r="T646" s="84"/>
      <c r="U646" s="84">
        <v>0.0</v>
      </c>
      <c r="V646" s="84"/>
      <c r="W646" s="84"/>
      <c r="X646" s="84">
        <v>0.0</v>
      </c>
      <c r="Y646" s="84"/>
      <c r="Z646" s="84"/>
      <c r="AA646" s="84"/>
      <c r="AB646" s="84"/>
      <c r="AC646" s="84"/>
      <c r="AD646" s="84"/>
      <c r="AE646" s="84"/>
      <c r="AF646" s="84"/>
      <c r="AG646" s="84"/>
      <c r="AH646" s="84">
        <v>0.0</v>
      </c>
      <c r="AI646" s="84">
        <v>0.0</v>
      </c>
      <c r="AJ646" s="84">
        <v>0.0</v>
      </c>
      <c r="AK646" s="84">
        <v>0.0</v>
      </c>
      <c r="AL646" s="84">
        <v>0.0</v>
      </c>
      <c r="AM646" s="84">
        <v>0.0</v>
      </c>
      <c r="AN646" s="84">
        <v>0.0</v>
      </c>
      <c r="AO646" s="84">
        <v>0.0</v>
      </c>
      <c r="AP646" s="84">
        <v>0.0</v>
      </c>
      <c r="AQ646" s="84">
        <v>0.0</v>
      </c>
      <c r="AR646" s="84">
        <v>0.0</v>
      </c>
      <c r="AS646" s="84">
        <v>0.0</v>
      </c>
      <c r="AT646" s="84">
        <v>0.0</v>
      </c>
      <c r="AU646" s="84">
        <v>0.0</v>
      </c>
      <c r="AV646" s="84">
        <v>0.0</v>
      </c>
      <c r="AW646" s="84">
        <v>0.0</v>
      </c>
      <c r="AX646" s="84">
        <v>0.0</v>
      </c>
      <c r="AY646" s="84">
        <v>0.0</v>
      </c>
      <c r="AZ646" s="84">
        <v>0.0</v>
      </c>
    </row>
    <row r="647" ht="12.75" customHeight="1">
      <c r="A647" s="84">
        <v>645.0</v>
      </c>
      <c r="B647" s="84" t="s">
        <v>5864</v>
      </c>
      <c r="C647" s="84">
        <v>0.0</v>
      </c>
      <c r="D647" s="84" t="s">
        <v>4904</v>
      </c>
      <c r="E647" s="84">
        <v>0.0</v>
      </c>
      <c r="F647" s="84" t="s">
        <v>5172</v>
      </c>
      <c r="G647" s="84">
        <v>1.0</v>
      </c>
      <c r="H647" s="84">
        <v>101.0</v>
      </c>
      <c r="I647" s="84">
        <v>1.0</v>
      </c>
      <c r="J647" s="84"/>
      <c r="K647" s="84"/>
      <c r="L647" s="84"/>
      <c r="M647" s="84"/>
      <c r="N647" s="84">
        <v>0.0</v>
      </c>
      <c r="O647" s="84">
        <v>0.0</v>
      </c>
      <c r="P647" s="84">
        <v>0.0</v>
      </c>
      <c r="Q647" s="84"/>
      <c r="R647" s="84"/>
      <c r="S647" s="84"/>
      <c r="T647" s="84"/>
      <c r="U647" s="84">
        <v>0.0</v>
      </c>
      <c r="V647" s="84"/>
      <c r="W647" s="84"/>
      <c r="X647" s="84">
        <v>0.0</v>
      </c>
      <c r="Y647" s="84"/>
      <c r="Z647" s="84"/>
      <c r="AA647" s="84"/>
      <c r="AB647" s="84"/>
      <c r="AC647" s="84"/>
      <c r="AD647" s="84"/>
      <c r="AE647" s="84"/>
      <c r="AF647" s="84"/>
      <c r="AG647" s="84"/>
      <c r="AH647" s="84">
        <v>0.0</v>
      </c>
      <c r="AI647" s="84">
        <v>0.0</v>
      </c>
      <c r="AJ647" s="84">
        <v>0.0</v>
      </c>
      <c r="AK647" s="84">
        <v>0.0</v>
      </c>
      <c r="AL647" s="84">
        <v>0.0</v>
      </c>
      <c r="AM647" s="84">
        <v>0.0</v>
      </c>
      <c r="AN647" s="84">
        <v>0.0</v>
      </c>
      <c r="AO647" s="84">
        <v>0.0</v>
      </c>
      <c r="AP647" s="84">
        <v>0.0</v>
      </c>
      <c r="AQ647" s="84">
        <v>0.0</v>
      </c>
      <c r="AR647" s="84">
        <v>0.0</v>
      </c>
      <c r="AS647" s="84">
        <v>0.0</v>
      </c>
      <c r="AT647" s="84">
        <v>0.0</v>
      </c>
      <c r="AU647" s="84">
        <v>0.0</v>
      </c>
      <c r="AV647" s="84">
        <v>0.0</v>
      </c>
      <c r="AW647" s="84">
        <v>0.0</v>
      </c>
      <c r="AX647" s="84">
        <v>0.0</v>
      </c>
      <c r="AY647" s="84">
        <v>0.0</v>
      </c>
      <c r="AZ647" s="84">
        <v>0.0</v>
      </c>
    </row>
    <row r="648" ht="12.75" customHeight="1">
      <c r="A648" s="84">
        <v>646.0</v>
      </c>
      <c r="B648" s="84" t="s">
        <v>5865</v>
      </c>
      <c r="C648" s="84">
        <v>0.0</v>
      </c>
      <c r="D648" s="84" t="s">
        <v>4921</v>
      </c>
      <c r="E648" s="84">
        <v>0.0</v>
      </c>
      <c r="F648" s="84" t="s">
        <v>5135</v>
      </c>
      <c r="G648" s="84">
        <v>1.0</v>
      </c>
      <c r="H648" s="84">
        <v>101.0</v>
      </c>
      <c r="I648" s="84">
        <v>1.0</v>
      </c>
      <c r="J648" s="84"/>
      <c r="K648" s="84"/>
      <c r="L648" s="84"/>
      <c r="M648" s="84"/>
      <c r="N648" s="84">
        <v>0.0</v>
      </c>
      <c r="O648" s="84">
        <v>0.0</v>
      </c>
      <c r="P648" s="84">
        <v>0.0</v>
      </c>
      <c r="Q648" s="84"/>
      <c r="R648" s="84"/>
      <c r="S648" s="84"/>
      <c r="T648" s="84"/>
      <c r="U648" s="84">
        <v>0.0</v>
      </c>
      <c r="V648" s="84"/>
      <c r="W648" s="84"/>
      <c r="X648" s="84">
        <v>0.0</v>
      </c>
      <c r="Y648" s="84"/>
      <c r="Z648" s="84"/>
      <c r="AA648" s="84"/>
      <c r="AB648" s="84"/>
      <c r="AC648" s="84"/>
      <c r="AD648" s="84"/>
      <c r="AE648" s="84"/>
      <c r="AF648" s="84"/>
      <c r="AG648" s="84"/>
      <c r="AH648" s="84">
        <v>0.0</v>
      </c>
      <c r="AI648" s="84">
        <v>0.0</v>
      </c>
      <c r="AJ648" s="84">
        <v>0.0</v>
      </c>
      <c r="AK648" s="84">
        <v>0.0</v>
      </c>
      <c r="AL648" s="84">
        <v>0.0</v>
      </c>
      <c r="AM648" s="84">
        <v>0.0</v>
      </c>
      <c r="AN648" s="84">
        <v>0.0</v>
      </c>
      <c r="AO648" s="84">
        <v>0.0</v>
      </c>
      <c r="AP648" s="84">
        <v>0.0</v>
      </c>
      <c r="AQ648" s="84">
        <v>0.0</v>
      </c>
      <c r="AR648" s="84">
        <v>0.0</v>
      </c>
      <c r="AS648" s="84">
        <v>0.0</v>
      </c>
      <c r="AT648" s="84">
        <v>0.0</v>
      </c>
      <c r="AU648" s="84">
        <v>0.0</v>
      </c>
      <c r="AV648" s="84">
        <v>0.0</v>
      </c>
      <c r="AW648" s="84">
        <v>0.0</v>
      </c>
      <c r="AX648" s="84">
        <v>0.0</v>
      </c>
      <c r="AY648" s="84">
        <v>0.0</v>
      </c>
      <c r="AZ648" s="84">
        <v>0.0</v>
      </c>
    </row>
    <row r="649" ht="12.75" customHeight="1">
      <c r="A649" s="84">
        <v>647.0</v>
      </c>
      <c r="B649" s="84" t="s">
        <v>5865</v>
      </c>
      <c r="C649" s="84">
        <v>0.0</v>
      </c>
      <c r="D649" s="84" t="s">
        <v>4921</v>
      </c>
      <c r="E649" s="84">
        <v>0.0</v>
      </c>
      <c r="F649" s="84" t="s">
        <v>5172</v>
      </c>
      <c r="G649" s="84">
        <v>1.0</v>
      </c>
      <c r="H649" s="84">
        <v>101.0</v>
      </c>
      <c r="I649" s="84">
        <v>1.0</v>
      </c>
      <c r="J649" s="84"/>
      <c r="K649" s="84"/>
      <c r="L649" s="84"/>
      <c r="M649" s="84"/>
      <c r="N649" s="84">
        <v>0.0</v>
      </c>
      <c r="O649" s="84">
        <v>0.0</v>
      </c>
      <c r="P649" s="84">
        <v>0.0</v>
      </c>
      <c r="Q649" s="84"/>
      <c r="R649" s="84"/>
      <c r="S649" s="84"/>
      <c r="T649" s="84"/>
      <c r="U649" s="84">
        <v>0.0</v>
      </c>
      <c r="V649" s="84"/>
      <c r="W649" s="84"/>
      <c r="X649" s="84">
        <v>0.0</v>
      </c>
      <c r="Y649" s="84"/>
      <c r="Z649" s="84"/>
      <c r="AA649" s="84"/>
      <c r="AB649" s="84"/>
      <c r="AC649" s="84"/>
      <c r="AD649" s="84"/>
      <c r="AE649" s="84"/>
      <c r="AF649" s="84"/>
      <c r="AG649" s="84"/>
      <c r="AH649" s="84">
        <v>0.0</v>
      </c>
      <c r="AI649" s="84">
        <v>0.0</v>
      </c>
      <c r="AJ649" s="84">
        <v>0.0</v>
      </c>
      <c r="AK649" s="84">
        <v>0.0</v>
      </c>
      <c r="AL649" s="84">
        <v>0.0</v>
      </c>
      <c r="AM649" s="84">
        <v>0.0</v>
      </c>
      <c r="AN649" s="84">
        <v>0.0</v>
      </c>
      <c r="AO649" s="84">
        <v>0.0</v>
      </c>
      <c r="AP649" s="84">
        <v>0.0</v>
      </c>
      <c r="AQ649" s="84">
        <v>0.0</v>
      </c>
      <c r="AR649" s="84">
        <v>0.0</v>
      </c>
      <c r="AS649" s="84">
        <v>0.0</v>
      </c>
      <c r="AT649" s="84">
        <v>0.0</v>
      </c>
      <c r="AU649" s="84">
        <v>0.0</v>
      </c>
      <c r="AV649" s="84">
        <v>0.0</v>
      </c>
      <c r="AW649" s="84">
        <v>0.0</v>
      </c>
      <c r="AX649" s="84">
        <v>0.0</v>
      </c>
      <c r="AY649" s="84">
        <v>0.0</v>
      </c>
      <c r="AZ649" s="84">
        <v>0.0</v>
      </c>
    </row>
    <row r="650" ht="12.75" customHeight="1">
      <c r="A650" s="84">
        <v>648.0</v>
      </c>
      <c r="B650" s="84" t="s">
        <v>5866</v>
      </c>
      <c r="C650" s="84">
        <v>0.0</v>
      </c>
      <c r="D650" s="84" t="s">
        <v>2659</v>
      </c>
      <c r="E650" s="84">
        <v>0.0</v>
      </c>
      <c r="F650" s="84" t="s">
        <v>5135</v>
      </c>
      <c r="G650" s="84">
        <v>1.0</v>
      </c>
      <c r="H650" s="84">
        <v>101.0</v>
      </c>
      <c r="I650" s="84">
        <v>1.0</v>
      </c>
      <c r="J650" s="84"/>
      <c r="K650" s="84"/>
      <c r="L650" s="84"/>
      <c r="M650" s="84"/>
      <c r="N650" s="84">
        <v>0.0</v>
      </c>
      <c r="O650" s="84">
        <v>0.0</v>
      </c>
      <c r="P650" s="84">
        <v>0.0</v>
      </c>
      <c r="Q650" s="84"/>
      <c r="R650" s="84"/>
      <c r="S650" s="84"/>
      <c r="T650" s="84"/>
      <c r="U650" s="84">
        <v>0.0</v>
      </c>
      <c r="V650" s="84"/>
      <c r="W650" s="84"/>
      <c r="X650" s="84">
        <v>0.0</v>
      </c>
      <c r="Y650" s="84"/>
      <c r="Z650" s="84"/>
      <c r="AA650" s="84"/>
      <c r="AB650" s="84"/>
      <c r="AC650" s="84"/>
      <c r="AD650" s="84"/>
      <c r="AE650" s="84"/>
      <c r="AF650" s="84"/>
      <c r="AG650" s="84"/>
      <c r="AH650" s="84">
        <v>0.0</v>
      </c>
      <c r="AI650" s="84">
        <v>0.0</v>
      </c>
      <c r="AJ650" s="84">
        <v>0.0</v>
      </c>
      <c r="AK650" s="84">
        <v>0.0</v>
      </c>
      <c r="AL650" s="84">
        <v>0.0</v>
      </c>
      <c r="AM650" s="84">
        <v>0.0</v>
      </c>
      <c r="AN650" s="84">
        <v>0.0</v>
      </c>
      <c r="AO650" s="84">
        <v>0.0</v>
      </c>
      <c r="AP650" s="84">
        <v>0.0</v>
      </c>
      <c r="AQ650" s="84">
        <v>0.0</v>
      </c>
      <c r="AR650" s="84">
        <v>0.0</v>
      </c>
      <c r="AS650" s="84">
        <v>0.0</v>
      </c>
      <c r="AT650" s="84">
        <v>0.0</v>
      </c>
      <c r="AU650" s="84">
        <v>0.0</v>
      </c>
      <c r="AV650" s="84">
        <v>0.0</v>
      </c>
      <c r="AW650" s="84">
        <v>0.0</v>
      </c>
      <c r="AX650" s="84">
        <v>0.0</v>
      </c>
      <c r="AY650" s="84">
        <v>0.0</v>
      </c>
      <c r="AZ650" s="84">
        <v>0.0</v>
      </c>
    </row>
    <row r="651" ht="12.75" customHeight="1">
      <c r="A651" s="84">
        <v>649.0</v>
      </c>
      <c r="B651" s="84" t="s">
        <v>5866</v>
      </c>
      <c r="C651" s="84">
        <v>0.0</v>
      </c>
      <c r="D651" s="84" t="s">
        <v>2659</v>
      </c>
      <c r="E651" s="84">
        <v>0.0</v>
      </c>
      <c r="F651" s="84" t="s">
        <v>5172</v>
      </c>
      <c r="G651" s="84">
        <v>1.0</v>
      </c>
      <c r="H651" s="84">
        <v>101.0</v>
      </c>
      <c r="I651" s="84">
        <v>1.0</v>
      </c>
      <c r="J651" s="84"/>
      <c r="K651" s="84"/>
      <c r="L651" s="84"/>
      <c r="M651" s="84"/>
      <c r="N651" s="84">
        <v>0.0</v>
      </c>
      <c r="O651" s="84">
        <v>0.0</v>
      </c>
      <c r="P651" s="84">
        <v>0.0</v>
      </c>
      <c r="Q651" s="84"/>
      <c r="R651" s="84"/>
      <c r="S651" s="84"/>
      <c r="T651" s="84"/>
      <c r="U651" s="84">
        <v>0.0</v>
      </c>
      <c r="V651" s="84"/>
      <c r="W651" s="84"/>
      <c r="X651" s="84">
        <v>0.0</v>
      </c>
      <c r="Y651" s="84"/>
      <c r="Z651" s="84"/>
      <c r="AA651" s="84"/>
      <c r="AB651" s="84"/>
      <c r="AC651" s="84"/>
      <c r="AD651" s="84"/>
      <c r="AE651" s="84"/>
      <c r="AF651" s="84"/>
      <c r="AG651" s="84"/>
      <c r="AH651" s="84">
        <v>0.0</v>
      </c>
      <c r="AI651" s="84">
        <v>0.0</v>
      </c>
      <c r="AJ651" s="84">
        <v>0.0</v>
      </c>
      <c r="AK651" s="84">
        <v>0.0</v>
      </c>
      <c r="AL651" s="84">
        <v>0.0</v>
      </c>
      <c r="AM651" s="84">
        <v>0.0</v>
      </c>
      <c r="AN651" s="84">
        <v>0.0</v>
      </c>
      <c r="AO651" s="84">
        <v>0.0</v>
      </c>
      <c r="AP651" s="84">
        <v>0.0</v>
      </c>
      <c r="AQ651" s="84">
        <v>0.0</v>
      </c>
      <c r="AR651" s="84">
        <v>0.0</v>
      </c>
      <c r="AS651" s="84">
        <v>0.0</v>
      </c>
      <c r="AT651" s="84">
        <v>0.0</v>
      </c>
      <c r="AU651" s="84">
        <v>0.0</v>
      </c>
      <c r="AV651" s="84">
        <v>0.0</v>
      </c>
      <c r="AW651" s="84">
        <v>0.0</v>
      </c>
      <c r="AX651" s="84">
        <v>0.0</v>
      </c>
      <c r="AY651" s="84">
        <v>0.0</v>
      </c>
      <c r="AZ651" s="84">
        <v>0.0</v>
      </c>
    </row>
    <row r="652" ht="12.75" customHeight="1">
      <c r="A652" s="84">
        <v>650.0</v>
      </c>
      <c r="B652" s="84" t="s">
        <v>5867</v>
      </c>
      <c r="C652" s="84">
        <v>0.0</v>
      </c>
      <c r="D652" s="84" t="s">
        <v>4942</v>
      </c>
      <c r="E652" s="84">
        <v>0.0</v>
      </c>
      <c r="F652" s="84" t="s">
        <v>5135</v>
      </c>
      <c r="G652" s="84">
        <v>1.0</v>
      </c>
      <c r="H652" s="84">
        <v>101.0</v>
      </c>
      <c r="I652" s="84">
        <v>1.0</v>
      </c>
      <c r="J652" s="84"/>
      <c r="K652" s="84"/>
      <c r="L652" s="84"/>
      <c r="M652" s="84"/>
      <c r="N652" s="84">
        <v>0.0</v>
      </c>
      <c r="O652" s="84">
        <v>0.0</v>
      </c>
      <c r="P652" s="84">
        <v>0.0</v>
      </c>
      <c r="Q652" s="84"/>
      <c r="R652" s="84"/>
      <c r="S652" s="84"/>
      <c r="T652" s="84"/>
      <c r="U652" s="84">
        <v>0.0</v>
      </c>
      <c r="V652" s="84"/>
      <c r="W652" s="84"/>
      <c r="X652" s="84">
        <v>0.0</v>
      </c>
      <c r="Y652" s="84"/>
      <c r="Z652" s="84"/>
      <c r="AA652" s="84"/>
      <c r="AB652" s="84"/>
      <c r="AC652" s="84"/>
      <c r="AD652" s="84"/>
      <c r="AE652" s="84"/>
      <c r="AF652" s="84"/>
      <c r="AG652" s="84"/>
      <c r="AH652" s="84">
        <v>0.0</v>
      </c>
      <c r="AI652" s="84">
        <v>0.0</v>
      </c>
      <c r="AJ652" s="84">
        <v>0.0</v>
      </c>
      <c r="AK652" s="84">
        <v>0.0</v>
      </c>
      <c r="AL652" s="84">
        <v>0.0</v>
      </c>
      <c r="AM652" s="84">
        <v>0.0</v>
      </c>
      <c r="AN652" s="84">
        <v>0.0</v>
      </c>
      <c r="AO652" s="84">
        <v>0.0</v>
      </c>
      <c r="AP652" s="84">
        <v>0.0</v>
      </c>
      <c r="AQ652" s="84">
        <v>0.0</v>
      </c>
      <c r="AR652" s="84">
        <v>0.0</v>
      </c>
      <c r="AS652" s="84">
        <v>0.0</v>
      </c>
      <c r="AT652" s="84">
        <v>0.0</v>
      </c>
      <c r="AU652" s="84">
        <v>0.0</v>
      </c>
      <c r="AV652" s="84">
        <v>0.0</v>
      </c>
      <c r="AW652" s="84">
        <v>0.0</v>
      </c>
      <c r="AX652" s="84">
        <v>0.0</v>
      </c>
      <c r="AY652" s="84">
        <v>0.0</v>
      </c>
      <c r="AZ652" s="84">
        <v>0.0</v>
      </c>
    </row>
    <row r="653" ht="12.75" customHeight="1">
      <c r="A653" s="84">
        <v>651.0</v>
      </c>
      <c r="B653" s="84" t="s">
        <v>5867</v>
      </c>
      <c r="C653" s="84">
        <v>0.0</v>
      </c>
      <c r="D653" s="84" t="s">
        <v>4942</v>
      </c>
      <c r="E653" s="84">
        <v>0.0</v>
      </c>
      <c r="F653" s="84" t="s">
        <v>5172</v>
      </c>
      <c r="G653" s="84">
        <v>1.0</v>
      </c>
      <c r="H653" s="84">
        <v>101.0</v>
      </c>
      <c r="I653" s="84">
        <v>1.0</v>
      </c>
      <c r="J653" s="84"/>
      <c r="K653" s="84"/>
      <c r="L653" s="84"/>
      <c r="M653" s="84"/>
      <c r="N653" s="84">
        <v>0.0</v>
      </c>
      <c r="O653" s="84">
        <v>0.0</v>
      </c>
      <c r="P653" s="84">
        <v>0.0</v>
      </c>
      <c r="Q653" s="84"/>
      <c r="R653" s="84"/>
      <c r="S653" s="84"/>
      <c r="T653" s="84"/>
      <c r="U653" s="84">
        <v>0.0</v>
      </c>
      <c r="V653" s="84"/>
      <c r="W653" s="84"/>
      <c r="X653" s="84">
        <v>0.0</v>
      </c>
      <c r="Y653" s="84"/>
      <c r="Z653" s="84"/>
      <c r="AA653" s="84"/>
      <c r="AB653" s="84"/>
      <c r="AC653" s="84"/>
      <c r="AD653" s="84"/>
      <c r="AE653" s="84"/>
      <c r="AF653" s="84"/>
      <c r="AG653" s="84"/>
      <c r="AH653" s="84">
        <v>0.0</v>
      </c>
      <c r="AI653" s="84">
        <v>0.0</v>
      </c>
      <c r="AJ653" s="84">
        <v>0.0</v>
      </c>
      <c r="AK653" s="84">
        <v>0.0</v>
      </c>
      <c r="AL653" s="84">
        <v>0.0</v>
      </c>
      <c r="AM653" s="84">
        <v>0.0</v>
      </c>
      <c r="AN653" s="84">
        <v>0.0</v>
      </c>
      <c r="AO653" s="84">
        <v>0.0</v>
      </c>
      <c r="AP653" s="84">
        <v>0.0</v>
      </c>
      <c r="AQ653" s="84">
        <v>0.0</v>
      </c>
      <c r="AR653" s="84">
        <v>0.0</v>
      </c>
      <c r="AS653" s="84">
        <v>0.0</v>
      </c>
      <c r="AT653" s="84">
        <v>0.0</v>
      </c>
      <c r="AU653" s="84">
        <v>0.0</v>
      </c>
      <c r="AV653" s="84">
        <v>0.0</v>
      </c>
      <c r="AW653" s="84">
        <v>0.0</v>
      </c>
      <c r="AX653" s="84">
        <v>0.0</v>
      </c>
      <c r="AY653" s="84">
        <v>0.0</v>
      </c>
      <c r="AZ653" s="84">
        <v>0.0</v>
      </c>
    </row>
    <row r="654" ht="12.75" customHeight="1">
      <c r="A654" s="84">
        <v>652.0</v>
      </c>
      <c r="B654" s="84" t="s">
        <v>5868</v>
      </c>
      <c r="C654" s="84">
        <v>0.0</v>
      </c>
      <c r="D654" s="84" t="s">
        <v>4956</v>
      </c>
      <c r="E654" s="84">
        <v>0.0</v>
      </c>
      <c r="F654" s="84" t="s">
        <v>5135</v>
      </c>
      <c r="G654" s="84">
        <v>1.0</v>
      </c>
      <c r="H654" s="84">
        <v>101.0</v>
      </c>
      <c r="I654" s="84">
        <v>1.0</v>
      </c>
      <c r="J654" s="84"/>
      <c r="K654" s="84"/>
      <c r="L654" s="84"/>
      <c r="M654" s="84"/>
      <c r="N654" s="84">
        <v>0.0</v>
      </c>
      <c r="O654" s="84">
        <v>0.0</v>
      </c>
      <c r="P654" s="84">
        <v>0.0</v>
      </c>
      <c r="Q654" s="84"/>
      <c r="R654" s="84"/>
      <c r="S654" s="84"/>
      <c r="T654" s="84"/>
      <c r="U654" s="84">
        <v>0.0</v>
      </c>
      <c r="V654" s="84"/>
      <c r="W654" s="84"/>
      <c r="X654" s="84">
        <v>0.0</v>
      </c>
      <c r="Y654" s="84"/>
      <c r="Z654" s="84"/>
      <c r="AA654" s="84"/>
      <c r="AB654" s="84"/>
      <c r="AC654" s="84"/>
      <c r="AD654" s="84"/>
      <c r="AE654" s="84"/>
      <c r="AF654" s="84"/>
      <c r="AG654" s="84"/>
      <c r="AH654" s="84">
        <v>0.0</v>
      </c>
      <c r="AI654" s="84">
        <v>0.0</v>
      </c>
      <c r="AJ654" s="84">
        <v>0.0</v>
      </c>
      <c r="AK654" s="84">
        <v>0.0</v>
      </c>
      <c r="AL654" s="84">
        <v>0.0</v>
      </c>
      <c r="AM654" s="84">
        <v>0.0</v>
      </c>
      <c r="AN654" s="84">
        <v>0.0</v>
      </c>
      <c r="AO654" s="84">
        <v>0.0</v>
      </c>
      <c r="AP654" s="84">
        <v>0.0</v>
      </c>
      <c r="AQ654" s="84">
        <v>0.0</v>
      </c>
      <c r="AR654" s="84">
        <v>0.0</v>
      </c>
      <c r="AS654" s="84">
        <v>0.0</v>
      </c>
      <c r="AT654" s="84">
        <v>0.0</v>
      </c>
      <c r="AU654" s="84">
        <v>0.0</v>
      </c>
      <c r="AV654" s="84">
        <v>0.0</v>
      </c>
      <c r="AW654" s="84">
        <v>0.0</v>
      </c>
      <c r="AX654" s="84">
        <v>0.0</v>
      </c>
      <c r="AY654" s="84">
        <v>0.0</v>
      </c>
      <c r="AZ654" s="84">
        <v>0.0</v>
      </c>
    </row>
    <row r="655" ht="12.75" customHeight="1">
      <c r="A655" s="84">
        <v>653.0</v>
      </c>
      <c r="B655" s="84" t="s">
        <v>5868</v>
      </c>
      <c r="C655" s="84">
        <v>0.0</v>
      </c>
      <c r="D655" s="84" t="s">
        <v>4956</v>
      </c>
      <c r="E655" s="84">
        <v>0.0</v>
      </c>
      <c r="F655" s="84" t="s">
        <v>5172</v>
      </c>
      <c r="G655" s="84">
        <v>1.0</v>
      </c>
      <c r="H655" s="84">
        <v>101.0</v>
      </c>
      <c r="I655" s="84">
        <v>1.0</v>
      </c>
      <c r="J655" s="84"/>
      <c r="K655" s="84"/>
      <c r="L655" s="84"/>
      <c r="M655" s="84"/>
      <c r="N655" s="84">
        <v>0.0</v>
      </c>
      <c r="O655" s="84">
        <v>0.0</v>
      </c>
      <c r="P655" s="84">
        <v>0.0</v>
      </c>
      <c r="Q655" s="84"/>
      <c r="R655" s="84"/>
      <c r="S655" s="84"/>
      <c r="T655" s="84"/>
      <c r="U655" s="84">
        <v>0.0</v>
      </c>
      <c r="V655" s="84"/>
      <c r="W655" s="84"/>
      <c r="X655" s="84">
        <v>0.0</v>
      </c>
      <c r="Y655" s="84"/>
      <c r="Z655" s="84"/>
      <c r="AA655" s="84"/>
      <c r="AB655" s="84"/>
      <c r="AC655" s="84"/>
      <c r="AD655" s="84"/>
      <c r="AE655" s="84"/>
      <c r="AF655" s="84"/>
      <c r="AG655" s="84"/>
      <c r="AH655" s="84">
        <v>0.0</v>
      </c>
      <c r="AI655" s="84">
        <v>0.0</v>
      </c>
      <c r="AJ655" s="84">
        <v>0.0</v>
      </c>
      <c r="AK655" s="84">
        <v>0.0</v>
      </c>
      <c r="AL655" s="84">
        <v>0.0</v>
      </c>
      <c r="AM655" s="84">
        <v>0.0</v>
      </c>
      <c r="AN655" s="84">
        <v>0.0</v>
      </c>
      <c r="AO655" s="84">
        <v>0.0</v>
      </c>
      <c r="AP655" s="84">
        <v>0.0</v>
      </c>
      <c r="AQ655" s="84">
        <v>0.0</v>
      </c>
      <c r="AR655" s="84">
        <v>0.0</v>
      </c>
      <c r="AS655" s="84">
        <v>0.0</v>
      </c>
      <c r="AT655" s="84">
        <v>0.0</v>
      </c>
      <c r="AU655" s="84">
        <v>0.0</v>
      </c>
      <c r="AV655" s="84">
        <v>0.0</v>
      </c>
      <c r="AW655" s="84">
        <v>0.0</v>
      </c>
      <c r="AX655" s="84">
        <v>0.0</v>
      </c>
      <c r="AY655" s="84">
        <v>0.0</v>
      </c>
      <c r="AZ655" s="84">
        <v>0.0</v>
      </c>
    </row>
    <row r="656" ht="12.75" customHeight="1">
      <c r="A656" s="84">
        <v>654.0</v>
      </c>
      <c r="B656" s="84" t="s">
        <v>5869</v>
      </c>
      <c r="C656" s="84">
        <v>0.0</v>
      </c>
      <c r="D656" s="84" t="s">
        <v>4972</v>
      </c>
      <c r="E656" s="84">
        <v>0.0</v>
      </c>
      <c r="F656" s="84" t="s">
        <v>5135</v>
      </c>
      <c r="G656" s="84">
        <v>1.0</v>
      </c>
      <c r="H656" s="84">
        <v>101.0</v>
      </c>
      <c r="I656" s="84">
        <v>1.0</v>
      </c>
      <c r="J656" s="84"/>
      <c r="K656" s="84"/>
      <c r="L656" s="84"/>
      <c r="M656" s="84"/>
      <c r="N656" s="84">
        <v>0.0</v>
      </c>
      <c r="O656" s="84">
        <v>0.0</v>
      </c>
      <c r="P656" s="84">
        <v>0.0</v>
      </c>
      <c r="Q656" s="84"/>
      <c r="R656" s="84"/>
      <c r="S656" s="84"/>
      <c r="T656" s="84"/>
      <c r="U656" s="84">
        <v>0.0</v>
      </c>
      <c r="V656" s="84"/>
      <c r="W656" s="84"/>
      <c r="X656" s="84">
        <v>0.0</v>
      </c>
      <c r="Y656" s="84"/>
      <c r="Z656" s="84"/>
      <c r="AA656" s="84"/>
      <c r="AB656" s="84"/>
      <c r="AC656" s="84"/>
      <c r="AD656" s="84"/>
      <c r="AE656" s="84"/>
      <c r="AF656" s="84"/>
      <c r="AG656" s="84"/>
      <c r="AH656" s="84">
        <v>0.0</v>
      </c>
      <c r="AI656" s="84">
        <v>0.0</v>
      </c>
      <c r="AJ656" s="84">
        <v>0.0</v>
      </c>
      <c r="AK656" s="84">
        <v>0.0</v>
      </c>
      <c r="AL656" s="84">
        <v>0.0</v>
      </c>
      <c r="AM656" s="84">
        <v>0.0</v>
      </c>
      <c r="AN656" s="84">
        <v>0.0</v>
      </c>
      <c r="AO656" s="84">
        <v>0.0</v>
      </c>
      <c r="AP656" s="84">
        <v>0.0</v>
      </c>
      <c r="AQ656" s="84">
        <v>0.0</v>
      </c>
      <c r="AR656" s="84">
        <v>0.0</v>
      </c>
      <c r="AS656" s="84">
        <v>0.0</v>
      </c>
      <c r="AT656" s="84">
        <v>0.0</v>
      </c>
      <c r="AU656" s="84">
        <v>0.0</v>
      </c>
      <c r="AV656" s="84">
        <v>0.0</v>
      </c>
      <c r="AW656" s="84">
        <v>0.0</v>
      </c>
      <c r="AX656" s="84">
        <v>0.0</v>
      </c>
      <c r="AY656" s="84">
        <v>0.0</v>
      </c>
      <c r="AZ656" s="84">
        <v>0.0</v>
      </c>
    </row>
    <row r="657" ht="12.75" customHeight="1">
      <c r="A657" s="84">
        <v>655.0</v>
      </c>
      <c r="B657" s="84" t="s">
        <v>5869</v>
      </c>
      <c r="C657" s="84">
        <v>0.0</v>
      </c>
      <c r="D657" s="84" t="s">
        <v>4972</v>
      </c>
      <c r="E657" s="84">
        <v>0.0</v>
      </c>
      <c r="F657" s="84" t="s">
        <v>5172</v>
      </c>
      <c r="G657" s="84">
        <v>1.0</v>
      </c>
      <c r="H657" s="84">
        <v>101.0</v>
      </c>
      <c r="I657" s="84">
        <v>1.0</v>
      </c>
      <c r="J657" s="84"/>
      <c r="K657" s="84"/>
      <c r="L657" s="84"/>
      <c r="M657" s="84"/>
      <c r="N657" s="84">
        <v>0.0</v>
      </c>
      <c r="O657" s="84">
        <v>0.0</v>
      </c>
      <c r="P657" s="84">
        <v>0.0</v>
      </c>
      <c r="Q657" s="84"/>
      <c r="R657" s="84"/>
      <c r="S657" s="84"/>
      <c r="T657" s="84"/>
      <c r="U657" s="84">
        <v>0.0</v>
      </c>
      <c r="V657" s="84"/>
      <c r="W657" s="84"/>
      <c r="X657" s="84">
        <v>0.0</v>
      </c>
      <c r="Y657" s="84"/>
      <c r="Z657" s="84"/>
      <c r="AA657" s="84"/>
      <c r="AB657" s="84"/>
      <c r="AC657" s="84"/>
      <c r="AD657" s="84"/>
      <c r="AE657" s="84"/>
      <c r="AF657" s="84"/>
      <c r="AG657" s="84"/>
      <c r="AH657" s="84">
        <v>0.0</v>
      </c>
      <c r="AI657" s="84">
        <v>0.0</v>
      </c>
      <c r="AJ657" s="84">
        <v>0.0</v>
      </c>
      <c r="AK657" s="84">
        <v>0.0</v>
      </c>
      <c r="AL657" s="84">
        <v>0.0</v>
      </c>
      <c r="AM657" s="84">
        <v>0.0</v>
      </c>
      <c r="AN657" s="84">
        <v>0.0</v>
      </c>
      <c r="AO657" s="84">
        <v>0.0</v>
      </c>
      <c r="AP657" s="84">
        <v>0.0</v>
      </c>
      <c r="AQ657" s="84">
        <v>0.0</v>
      </c>
      <c r="AR657" s="84">
        <v>0.0</v>
      </c>
      <c r="AS657" s="84">
        <v>0.0</v>
      </c>
      <c r="AT657" s="84">
        <v>0.0</v>
      </c>
      <c r="AU657" s="84">
        <v>0.0</v>
      </c>
      <c r="AV657" s="84">
        <v>0.0</v>
      </c>
      <c r="AW657" s="84">
        <v>0.0</v>
      </c>
      <c r="AX657" s="84">
        <v>0.0</v>
      </c>
      <c r="AY657" s="84">
        <v>0.0</v>
      </c>
      <c r="AZ657" s="84">
        <v>0.0</v>
      </c>
    </row>
    <row r="658" ht="12.75" customHeight="1">
      <c r="A658" s="84">
        <v>656.0</v>
      </c>
      <c r="B658" s="84" t="s">
        <v>5870</v>
      </c>
      <c r="C658" s="84">
        <v>0.0</v>
      </c>
      <c r="D658" s="84" t="s">
        <v>5072</v>
      </c>
      <c r="E658" s="84">
        <v>0.0</v>
      </c>
      <c r="F658" s="84" t="s">
        <v>5135</v>
      </c>
      <c r="G658" s="84">
        <v>1.0</v>
      </c>
      <c r="H658" s="84">
        <v>101.0</v>
      </c>
      <c r="I658" s="84">
        <v>1.0</v>
      </c>
      <c r="J658" s="84"/>
      <c r="K658" s="84"/>
      <c r="L658" s="84"/>
      <c r="M658" s="84"/>
      <c r="N658" s="84">
        <v>0.0</v>
      </c>
      <c r="O658" s="84">
        <v>0.0</v>
      </c>
      <c r="P658" s="84">
        <v>0.0</v>
      </c>
      <c r="Q658" s="84"/>
      <c r="R658" s="84"/>
      <c r="S658" s="84"/>
      <c r="T658" s="84"/>
      <c r="U658" s="84">
        <v>0.0</v>
      </c>
      <c r="V658" s="84"/>
      <c r="W658" s="84"/>
      <c r="X658" s="84">
        <v>0.0</v>
      </c>
      <c r="Y658" s="84"/>
      <c r="Z658" s="84"/>
      <c r="AA658" s="84"/>
      <c r="AB658" s="84"/>
      <c r="AC658" s="84"/>
      <c r="AD658" s="84"/>
      <c r="AE658" s="84"/>
      <c r="AF658" s="84"/>
      <c r="AG658" s="84"/>
      <c r="AH658" s="84">
        <v>0.0</v>
      </c>
      <c r="AI658" s="84">
        <v>0.0</v>
      </c>
      <c r="AJ658" s="84">
        <v>0.0</v>
      </c>
      <c r="AK658" s="84">
        <v>0.0</v>
      </c>
      <c r="AL658" s="84">
        <v>0.0</v>
      </c>
      <c r="AM658" s="84">
        <v>0.0</v>
      </c>
      <c r="AN658" s="84">
        <v>0.0</v>
      </c>
      <c r="AO658" s="84">
        <v>0.0</v>
      </c>
      <c r="AP658" s="84">
        <v>0.0</v>
      </c>
      <c r="AQ658" s="84">
        <v>0.0</v>
      </c>
      <c r="AR658" s="84">
        <v>0.0</v>
      </c>
      <c r="AS658" s="84">
        <v>0.0</v>
      </c>
      <c r="AT658" s="84">
        <v>0.0</v>
      </c>
      <c r="AU658" s="84">
        <v>0.0</v>
      </c>
      <c r="AV658" s="84">
        <v>0.0</v>
      </c>
      <c r="AW658" s="84">
        <v>0.0</v>
      </c>
      <c r="AX658" s="84">
        <v>0.0</v>
      </c>
      <c r="AY658" s="84">
        <v>0.0</v>
      </c>
      <c r="AZ658" s="84">
        <v>0.0</v>
      </c>
    </row>
    <row r="659" ht="12.75" customHeight="1">
      <c r="A659" s="84">
        <v>657.0</v>
      </c>
      <c r="B659" s="84" t="s">
        <v>5870</v>
      </c>
      <c r="C659" s="84">
        <v>0.0</v>
      </c>
      <c r="D659" s="84" t="s">
        <v>5072</v>
      </c>
      <c r="E659" s="84">
        <v>0.0</v>
      </c>
      <c r="F659" s="84" t="s">
        <v>5172</v>
      </c>
      <c r="G659" s="84">
        <v>1.0</v>
      </c>
      <c r="H659" s="84">
        <v>101.0</v>
      </c>
      <c r="I659" s="84">
        <v>1.0</v>
      </c>
      <c r="J659" s="84"/>
      <c r="K659" s="84"/>
      <c r="L659" s="84"/>
      <c r="M659" s="84"/>
      <c r="N659" s="84">
        <v>0.0</v>
      </c>
      <c r="O659" s="84">
        <v>0.0</v>
      </c>
      <c r="P659" s="84">
        <v>0.0</v>
      </c>
      <c r="Q659" s="84"/>
      <c r="R659" s="84"/>
      <c r="S659" s="84"/>
      <c r="T659" s="84"/>
      <c r="U659" s="84">
        <v>0.0</v>
      </c>
      <c r="V659" s="84"/>
      <c r="W659" s="84"/>
      <c r="X659" s="84">
        <v>0.0</v>
      </c>
      <c r="Y659" s="84"/>
      <c r="Z659" s="84"/>
      <c r="AA659" s="84"/>
      <c r="AB659" s="84"/>
      <c r="AC659" s="84"/>
      <c r="AD659" s="84"/>
      <c r="AE659" s="84"/>
      <c r="AF659" s="84"/>
      <c r="AG659" s="84"/>
      <c r="AH659" s="84">
        <v>0.0</v>
      </c>
      <c r="AI659" s="84">
        <v>0.0</v>
      </c>
      <c r="AJ659" s="84">
        <v>0.0</v>
      </c>
      <c r="AK659" s="84">
        <v>0.0</v>
      </c>
      <c r="AL659" s="84">
        <v>0.0</v>
      </c>
      <c r="AM659" s="84">
        <v>0.0</v>
      </c>
      <c r="AN659" s="84">
        <v>0.0</v>
      </c>
      <c r="AO659" s="84">
        <v>0.0</v>
      </c>
      <c r="AP659" s="84">
        <v>0.0</v>
      </c>
      <c r="AQ659" s="84">
        <v>0.0</v>
      </c>
      <c r="AR659" s="84">
        <v>0.0</v>
      </c>
      <c r="AS659" s="84">
        <v>0.0</v>
      </c>
      <c r="AT659" s="84">
        <v>0.0</v>
      </c>
      <c r="AU659" s="84">
        <v>0.0</v>
      </c>
      <c r="AV659" s="84">
        <v>0.0</v>
      </c>
      <c r="AW659" s="84">
        <v>0.0</v>
      </c>
      <c r="AX659" s="84">
        <v>0.0</v>
      </c>
      <c r="AY659" s="84">
        <v>0.0</v>
      </c>
      <c r="AZ659" s="84">
        <v>0.0</v>
      </c>
    </row>
    <row r="660" ht="12.75" customHeight="1">
      <c r="A660" s="84">
        <v>658.0</v>
      </c>
      <c r="B660" s="84" t="s">
        <v>5871</v>
      </c>
      <c r="C660" s="84">
        <v>0.0</v>
      </c>
      <c r="D660" s="84" t="s">
        <v>4921</v>
      </c>
      <c r="E660" s="84">
        <v>0.0</v>
      </c>
      <c r="F660" s="84" t="s">
        <v>5135</v>
      </c>
      <c r="G660" s="84">
        <v>210.0</v>
      </c>
      <c r="H660" s="84">
        <v>101.0</v>
      </c>
      <c r="I660" s="84">
        <v>1.0</v>
      </c>
      <c r="J660" s="84"/>
      <c r="K660" s="84"/>
      <c r="L660" s="84"/>
      <c r="M660" s="84"/>
      <c r="N660" s="84">
        <v>0.0</v>
      </c>
      <c r="O660" s="84">
        <v>0.0</v>
      </c>
      <c r="P660" s="84">
        <v>0.0</v>
      </c>
      <c r="Q660" s="84"/>
      <c r="R660" s="84"/>
      <c r="S660" s="84"/>
      <c r="T660" s="84"/>
      <c r="U660" s="84">
        <v>0.0</v>
      </c>
      <c r="V660" s="84"/>
      <c r="W660" s="84"/>
      <c r="X660" s="84">
        <v>0.0</v>
      </c>
      <c r="Y660" s="84"/>
      <c r="Z660" s="84"/>
      <c r="AA660" s="84"/>
      <c r="AB660" s="84"/>
      <c r="AC660" s="84"/>
      <c r="AD660" s="84"/>
      <c r="AE660" s="84"/>
      <c r="AF660" s="84"/>
      <c r="AG660" s="84"/>
      <c r="AH660" s="84">
        <v>1.0</v>
      </c>
      <c r="AI660" s="84">
        <v>0.0</v>
      </c>
      <c r="AJ660" s="84">
        <v>0.0</v>
      </c>
      <c r="AK660" s="84">
        <v>0.0</v>
      </c>
      <c r="AL660" s="84">
        <v>0.0</v>
      </c>
      <c r="AM660" s="84">
        <v>0.0</v>
      </c>
      <c r="AN660" s="84">
        <v>0.0</v>
      </c>
      <c r="AO660" s="84">
        <v>0.0</v>
      </c>
      <c r="AP660" s="84">
        <v>0.0</v>
      </c>
      <c r="AQ660" s="84">
        <v>0.0</v>
      </c>
      <c r="AR660" s="84">
        <v>0.0</v>
      </c>
      <c r="AS660" s="84">
        <v>0.0</v>
      </c>
      <c r="AT660" s="84">
        <v>0.0</v>
      </c>
      <c r="AU660" s="84">
        <v>0.0</v>
      </c>
      <c r="AV660" s="84">
        <v>0.0</v>
      </c>
      <c r="AW660" s="84">
        <v>0.0</v>
      </c>
      <c r="AX660" s="84">
        <v>0.0</v>
      </c>
      <c r="AY660" s="84">
        <v>0.0</v>
      </c>
      <c r="AZ660" s="84">
        <v>0.0</v>
      </c>
    </row>
    <row r="661" ht="12.75" customHeight="1">
      <c r="A661" s="84">
        <v>659.0</v>
      </c>
      <c r="B661" s="84" t="s">
        <v>5872</v>
      </c>
      <c r="C661" s="84">
        <v>0.0</v>
      </c>
      <c r="D661" s="84" t="s">
        <v>4922</v>
      </c>
      <c r="E661" s="84">
        <v>3.0</v>
      </c>
      <c r="F661" s="84" t="s">
        <v>5131</v>
      </c>
      <c r="G661" s="84">
        <v>0.0</v>
      </c>
      <c r="H661" s="84">
        <v>101.0</v>
      </c>
      <c r="I661" s="84">
        <v>10.0</v>
      </c>
      <c r="J661" s="84"/>
      <c r="K661" s="84"/>
      <c r="L661" s="84"/>
      <c r="M661" s="84"/>
      <c r="N661" s="84">
        <v>0.0</v>
      </c>
      <c r="O661" s="84">
        <v>0.0</v>
      </c>
      <c r="P661" s="84">
        <v>0.0</v>
      </c>
      <c r="Q661" s="84"/>
      <c r="R661" s="84"/>
      <c r="S661" s="84"/>
      <c r="T661" s="84"/>
      <c r="U661" s="84">
        <v>381.0</v>
      </c>
      <c r="V661" s="84"/>
      <c r="W661" s="84">
        <v>50.0</v>
      </c>
      <c r="X661" s="84">
        <v>7.0</v>
      </c>
      <c r="Y661" s="84"/>
      <c r="Z661" s="84"/>
      <c r="AA661" s="84"/>
      <c r="AB661" s="84"/>
      <c r="AC661" s="84"/>
      <c r="AD661" s="84"/>
      <c r="AE661" s="84"/>
      <c r="AF661" s="84"/>
      <c r="AG661" s="84"/>
      <c r="AH661" s="84">
        <v>0.0</v>
      </c>
      <c r="AI661" s="84">
        <v>0.0</v>
      </c>
      <c r="AJ661" s="84">
        <v>0.0</v>
      </c>
      <c r="AK661" s="84">
        <v>0.0</v>
      </c>
      <c r="AL661" s="84">
        <v>0.0</v>
      </c>
      <c r="AM661" s="84">
        <v>1.0</v>
      </c>
      <c r="AN661" s="84">
        <v>0.0</v>
      </c>
      <c r="AO661" s="84">
        <v>0.0</v>
      </c>
      <c r="AP661" s="84">
        <v>0.0</v>
      </c>
      <c r="AQ661" s="84">
        <v>0.0</v>
      </c>
      <c r="AR661" s="84">
        <v>0.0</v>
      </c>
      <c r="AS661" s="84">
        <v>0.0</v>
      </c>
      <c r="AT661" s="84">
        <v>1.0</v>
      </c>
      <c r="AU661" s="84">
        <v>0.0</v>
      </c>
      <c r="AV661" s="84">
        <v>0.0</v>
      </c>
      <c r="AW661" s="84">
        <v>0.0</v>
      </c>
      <c r="AX661" s="84">
        <v>0.0</v>
      </c>
      <c r="AY661" s="84">
        <v>1.0</v>
      </c>
      <c r="AZ661" s="84">
        <v>0.0</v>
      </c>
    </row>
    <row r="662" ht="12.75" customHeight="1">
      <c r="A662" s="84">
        <v>660.0</v>
      </c>
      <c r="B662" s="84" t="s">
        <v>5873</v>
      </c>
      <c r="C662" s="84">
        <v>0.0</v>
      </c>
      <c r="D662" s="84" t="s">
        <v>4910</v>
      </c>
      <c r="E662" s="84">
        <v>0.0</v>
      </c>
      <c r="F662" s="84" t="s">
        <v>5135</v>
      </c>
      <c r="G662" s="84">
        <v>90.0</v>
      </c>
      <c r="H662" s="84">
        <v>100.0</v>
      </c>
      <c r="I662" s="84">
        <v>10.0</v>
      </c>
      <c r="J662" s="84">
        <v>2.0</v>
      </c>
      <c r="K662" s="84"/>
      <c r="L662" s="84"/>
      <c r="M662" s="84"/>
      <c r="N662" s="84">
        <v>0.0</v>
      </c>
      <c r="O662" s="84">
        <v>0.0</v>
      </c>
      <c r="P662" s="84">
        <v>0.0</v>
      </c>
      <c r="Q662" s="84"/>
      <c r="R662" s="84"/>
      <c r="S662" s="84"/>
      <c r="T662" s="84"/>
      <c r="U662" s="84">
        <v>382.0</v>
      </c>
      <c r="V662" s="84"/>
      <c r="W662" s="84"/>
      <c r="X662" s="84">
        <v>0.0</v>
      </c>
      <c r="Y662" s="84"/>
      <c r="Z662" s="84"/>
      <c r="AA662" s="84"/>
      <c r="AB662" s="84"/>
      <c r="AC662" s="84"/>
      <c r="AD662" s="84"/>
      <c r="AE662" s="84"/>
      <c r="AF662" s="84"/>
      <c r="AG662" s="84"/>
      <c r="AH662" s="84">
        <v>1.0</v>
      </c>
      <c r="AI662" s="84">
        <v>0.0</v>
      </c>
      <c r="AJ662" s="84">
        <v>0.0</v>
      </c>
      <c r="AK662" s="84">
        <v>1.0</v>
      </c>
      <c r="AL662" s="84">
        <v>0.0</v>
      </c>
      <c r="AM662" s="84">
        <v>0.0</v>
      </c>
      <c r="AN662" s="84">
        <v>1.0</v>
      </c>
      <c r="AO662" s="84">
        <v>0.0</v>
      </c>
      <c r="AP662" s="84">
        <v>0.0</v>
      </c>
      <c r="AQ662" s="84">
        <v>0.0</v>
      </c>
      <c r="AR662" s="84">
        <v>0.0</v>
      </c>
      <c r="AS662" s="84">
        <v>0.0</v>
      </c>
      <c r="AT662" s="84">
        <v>0.0</v>
      </c>
      <c r="AU662" s="84">
        <v>0.0</v>
      </c>
      <c r="AV662" s="84">
        <v>0.0</v>
      </c>
      <c r="AW662" s="84">
        <v>0.0</v>
      </c>
      <c r="AX662" s="84">
        <v>0.0</v>
      </c>
      <c r="AY662" s="84">
        <v>1.0</v>
      </c>
      <c r="AZ662" s="84">
        <v>0.0</v>
      </c>
    </row>
    <row r="663" ht="12.75" customHeight="1">
      <c r="A663" s="84">
        <v>661.0</v>
      </c>
      <c r="B663" s="84" t="s">
        <v>2533</v>
      </c>
      <c r="C663" s="84">
        <v>0.0</v>
      </c>
      <c r="D663" s="84" t="s">
        <v>4905</v>
      </c>
      <c r="E663" s="84">
        <v>13.0</v>
      </c>
      <c r="F663" s="84" t="s">
        <v>5131</v>
      </c>
      <c r="G663" s="84">
        <v>0.0</v>
      </c>
      <c r="H663" s="84">
        <v>101.0</v>
      </c>
      <c r="I663" s="84">
        <v>10.0</v>
      </c>
      <c r="J663" s="84">
        <v>4.0</v>
      </c>
      <c r="K663" s="84"/>
      <c r="L663" s="84"/>
      <c r="M663" s="84"/>
      <c r="N663" s="84">
        <v>0.0</v>
      </c>
      <c r="O663" s="84">
        <v>0.0</v>
      </c>
      <c r="P663" s="84">
        <v>0.0</v>
      </c>
      <c r="Q663" s="84"/>
      <c r="R663" s="84"/>
      <c r="S663" s="84"/>
      <c r="T663" s="84"/>
      <c r="U663" s="84">
        <v>383.0</v>
      </c>
      <c r="V663" s="84"/>
      <c r="W663" s="84"/>
      <c r="X663" s="84">
        <v>7.0</v>
      </c>
      <c r="Y663" s="84"/>
      <c r="Z663" s="84"/>
      <c r="AA663" s="84"/>
      <c r="AB663" s="84"/>
      <c r="AC663" s="84"/>
      <c r="AD663" s="84"/>
      <c r="AE663" s="84"/>
      <c r="AF663" s="84"/>
      <c r="AG663" s="84"/>
      <c r="AH663" s="84">
        <v>0.0</v>
      </c>
      <c r="AI663" s="84">
        <v>0.0</v>
      </c>
      <c r="AJ663" s="84">
        <v>0.0</v>
      </c>
      <c r="AK663" s="84">
        <v>0.0</v>
      </c>
      <c r="AL663" s="84">
        <v>0.0</v>
      </c>
      <c r="AM663" s="84">
        <v>0.0</v>
      </c>
      <c r="AN663" s="84">
        <v>0.0</v>
      </c>
      <c r="AO663" s="84">
        <v>0.0</v>
      </c>
      <c r="AP663" s="84">
        <v>0.0</v>
      </c>
      <c r="AQ663" s="84">
        <v>0.0</v>
      </c>
      <c r="AR663" s="84">
        <v>0.0</v>
      </c>
      <c r="AS663" s="84">
        <v>0.0</v>
      </c>
      <c r="AT663" s="84">
        <v>0.0</v>
      </c>
      <c r="AU663" s="84">
        <v>0.0</v>
      </c>
      <c r="AV663" s="84">
        <v>0.0</v>
      </c>
      <c r="AW663" s="84">
        <v>0.0</v>
      </c>
      <c r="AX663" s="84">
        <v>0.0</v>
      </c>
      <c r="AY663" s="84">
        <v>0.0</v>
      </c>
      <c r="AZ663" s="84">
        <v>0.0</v>
      </c>
    </row>
    <row r="664" ht="12.75" customHeight="1">
      <c r="A664" s="84">
        <v>662.0</v>
      </c>
      <c r="B664" s="84" t="s">
        <v>5874</v>
      </c>
      <c r="C664" s="84">
        <v>0.0</v>
      </c>
      <c r="D664" s="84" t="s">
        <v>4945</v>
      </c>
      <c r="E664" s="84">
        <v>0.0</v>
      </c>
      <c r="F664" s="84" t="s">
        <v>5135</v>
      </c>
      <c r="G664" s="84">
        <v>80.0</v>
      </c>
      <c r="H664" s="84">
        <v>100.0</v>
      </c>
      <c r="I664" s="84">
        <v>10.0</v>
      </c>
      <c r="J664" s="84"/>
      <c r="K664" s="84"/>
      <c r="L664" s="84"/>
      <c r="M664" s="84"/>
      <c r="N664" s="84">
        <v>0.0</v>
      </c>
      <c r="O664" s="84">
        <v>0.0</v>
      </c>
      <c r="P664" s="84">
        <v>0.0</v>
      </c>
      <c r="Q664" s="84"/>
      <c r="R664" s="84"/>
      <c r="S664" s="84"/>
      <c r="T664" s="84"/>
      <c r="U664" s="84">
        <v>384.0</v>
      </c>
      <c r="V664" s="84"/>
      <c r="W664" s="84"/>
      <c r="X664" s="84">
        <v>0.0</v>
      </c>
      <c r="Y664" s="84"/>
      <c r="Z664" s="84"/>
      <c r="AA664" s="84"/>
      <c r="AB664" s="84"/>
      <c r="AC664" s="84"/>
      <c r="AD664" s="84"/>
      <c r="AE664" s="84"/>
      <c r="AF664" s="84"/>
      <c r="AG664" s="84"/>
      <c r="AH664" s="84">
        <v>0.0</v>
      </c>
      <c r="AI664" s="84">
        <v>0.0</v>
      </c>
      <c r="AJ664" s="84">
        <v>0.0</v>
      </c>
      <c r="AK664" s="84">
        <v>1.0</v>
      </c>
      <c r="AL664" s="84">
        <v>0.0</v>
      </c>
      <c r="AM664" s="84">
        <v>0.0</v>
      </c>
      <c r="AN664" s="84">
        <v>1.0</v>
      </c>
      <c r="AO664" s="84">
        <v>0.0</v>
      </c>
      <c r="AP664" s="84">
        <v>0.0</v>
      </c>
      <c r="AQ664" s="84">
        <v>0.0</v>
      </c>
      <c r="AR664" s="84">
        <v>0.0</v>
      </c>
      <c r="AS664" s="84">
        <v>0.0</v>
      </c>
      <c r="AT664" s="84">
        <v>0.0</v>
      </c>
      <c r="AU664" s="84">
        <v>0.0</v>
      </c>
      <c r="AV664" s="84">
        <v>0.0</v>
      </c>
      <c r="AW664" s="84">
        <v>0.0</v>
      </c>
      <c r="AX664" s="84">
        <v>0.0</v>
      </c>
      <c r="AY664" s="84">
        <v>1.0</v>
      </c>
      <c r="AZ664" s="84">
        <v>0.0</v>
      </c>
    </row>
    <row r="665" ht="12.75" customHeight="1">
      <c r="A665" s="84">
        <v>663.0</v>
      </c>
      <c r="B665" s="84" t="s">
        <v>5875</v>
      </c>
      <c r="C665" s="84">
        <v>0.0</v>
      </c>
      <c r="D665" s="84" t="s">
        <v>4972</v>
      </c>
      <c r="E665" s="84">
        <v>0.0</v>
      </c>
      <c r="F665" s="84" t="s">
        <v>5135</v>
      </c>
      <c r="G665" s="84">
        <v>85.0</v>
      </c>
      <c r="H665" s="84">
        <v>100.0</v>
      </c>
      <c r="I665" s="84">
        <v>10.0</v>
      </c>
      <c r="J665" s="84"/>
      <c r="K665" s="84"/>
      <c r="L665" s="84"/>
      <c r="M665" s="84"/>
      <c r="N665" s="84">
        <v>0.0</v>
      </c>
      <c r="O665" s="84">
        <v>0.0</v>
      </c>
      <c r="P665" s="84">
        <v>0.0</v>
      </c>
      <c r="Q665" s="84"/>
      <c r="R665" s="84"/>
      <c r="S665" s="84"/>
      <c r="T665" s="84"/>
      <c r="U665" s="84">
        <v>303.0</v>
      </c>
      <c r="V665" s="84"/>
      <c r="W665" s="84"/>
      <c r="X665" s="84">
        <v>0.0</v>
      </c>
      <c r="Y665" s="84"/>
      <c r="Z665" s="84"/>
      <c r="AA665" s="84"/>
      <c r="AB665" s="84"/>
      <c r="AC665" s="84"/>
      <c r="AD665" s="84"/>
      <c r="AE665" s="84"/>
      <c r="AF665" s="84"/>
      <c r="AG665" s="84"/>
      <c r="AH665" s="84">
        <v>1.0</v>
      </c>
      <c r="AI665" s="84">
        <v>0.0</v>
      </c>
      <c r="AJ665" s="84">
        <v>0.0</v>
      </c>
      <c r="AK665" s="84">
        <v>1.0</v>
      </c>
      <c r="AL665" s="84">
        <v>0.0</v>
      </c>
      <c r="AM665" s="84">
        <v>0.0</v>
      </c>
      <c r="AN665" s="84">
        <v>1.0</v>
      </c>
      <c r="AO665" s="84">
        <v>0.0</v>
      </c>
      <c r="AP665" s="84">
        <v>0.0</v>
      </c>
      <c r="AQ665" s="84">
        <v>0.0</v>
      </c>
      <c r="AR665" s="84">
        <v>0.0</v>
      </c>
      <c r="AS665" s="84">
        <v>0.0</v>
      </c>
      <c r="AT665" s="84">
        <v>0.0</v>
      </c>
      <c r="AU665" s="84">
        <v>0.0</v>
      </c>
      <c r="AV665" s="84">
        <v>0.0</v>
      </c>
      <c r="AW665" s="84">
        <v>0.0</v>
      </c>
      <c r="AX665" s="84">
        <v>0.0</v>
      </c>
      <c r="AY665" s="84">
        <v>1.0</v>
      </c>
      <c r="AZ665" s="84">
        <v>0.0</v>
      </c>
    </row>
    <row r="666" ht="12.75" customHeight="1">
      <c r="A666" s="84">
        <v>664.0</v>
      </c>
      <c r="B666" s="84" t="s">
        <v>5876</v>
      </c>
      <c r="C666" s="84">
        <v>0.0</v>
      </c>
      <c r="D666" s="84" t="s">
        <v>4908</v>
      </c>
      <c r="E666" s="84">
        <v>0.0</v>
      </c>
      <c r="F666" s="84" t="s">
        <v>5172</v>
      </c>
      <c r="G666" s="84">
        <v>90.0</v>
      </c>
      <c r="H666" s="84">
        <v>100.0</v>
      </c>
      <c r="I666" s="84">
        <v>10.0</v>
      </c>
      <c r="J666" s="84"/>
      <c r="K666" s="84"/>
      <c r="L666" s="84"/>
      <c r="M666" s="84"/>
      <c r="N666" s="84">
        <v>0.0</v>
      </c>
      <c r="O666" s="84">
        <v>0.0</v>
      </c>
      <c r="P666" s="84">
        <v>0.0</v>
      </c>
      <c r="Q666" s="84"/>
      <c r="R666" s="84"/>
      <c r="S666" s="84"/>
      <c r="T666" s="84"/>
      <c r="U666" s="84">
        <v>385.0</v>
      </c>
      <c r="V666" s="84"/>
      <c r="W666" s="84"/>
      <c r="X666" s="84">
        <v>4.0</v>
      </c>
      <c r="Y666" s="84"/>
      <c r="Z666" s="84"/>
      <c r="AA666" s="84"/>
      <c r="AB666" s="84"/>
      <c r="AC666" s="84"/>
      <c r="AD666" s="84"/>
      <c r="AE666" s="84"/>
      <c r="AF666" s="84"/>
      <c r="AG666" s="84"/>
      <c r="AH666" s="84">
        <v>0.0</v>
      </c>
      <c r="AI666" s="84">
        <v>0.0</v>
      </c>
      <c r="AJ666" s="84">
        <v>0.0</v>
      </c>
      <c r="AK666" s="84">
        <v>1.0</v>
      </c>
      <c r="AL666" s="84">
        <v>0.0</v>
      </c>
      <c r="AM666" s="84">
        <v>0.0</v>
      </c>
      <c r="AN666" s="84">
        <v>1.0</v>
      </c>
      <c r="AO666" s="84">
        <v>0.0</v>
      </c>
      <c r="AP666" s="84">
        <v>1.0</v>
      </c>
      <c r="AQ666" s="84">
        <v>0.0</v>
      </c>
      <c r="AR666" s="84">
        <v>0.0</v>
      </c>
      <c r="AS666" s="84">
        <v>0.0</v>
      </c>
      <c r="AT666" s="84">
        <v>0.0</v>
      </c>
      <c r="AU666" s="84">
        <v>1.0</v>
      </c>
      <c r="AV666" s="84">
        <v>0.0</v>
      </c>
      <c r="AW666" s="84">
        <v>0.0</v>
      </c>
      <c r="AX666" s="84">
        <v>0.0</v>
      </c>
      <c r="AY666" s="84">
        <v>1.0</v>
      </c>
      <c r="AZ666" s="84">
        <v>0.0</v>
      </c>
    </row>
    <row r="667" ht="12.75" customHeight="1">
      <c r="A667" s="84">
        <v>665.0</v>
      </c>
      <c r="B667" s="84" t="s">
        <v>5877</v>
      </c>
      <c r="C667" s="84">
        <v>0.0</v>
      </c>
      <c r="D667" s="84" t="s">
        <v>4942</v>
      </c>
      <c r="E667" s="84">
        <v>7.0</v>
      </c>
      <c r="F667" s="84" t="s">
        <v>5135</v>
      </c>
      <c r="G667" s="84">
        <v>100.0</v>
      </c>
      <c r="H667" s="84">
        <v>90.0</v>
      </c>
      <c r="I667" s="84">
        <v>10.0</v>
      </c>
      <c r="J667" s="84"/>
      <c r="K667" s="84"/>
      <c r="L667" s="84"/>
      <c r="M667" s="84"/>
      <c r="N667" s="84">
        <v>0.0</v>
      </c>
      <c r="O667" s="84">
        <v>0.0</v>
      </c>
      <c r="P667" s="84">
        <v>0.0</v>
      </c>
      <c r="Q667" s="84"/>
      <c r="R667" s="84"/>
      <c r="S667" s="84"/>
      <c r="T667" s="84"/>
      <c r="U667" s="84">
        <v>218.0</v>
      </c>
      <c r="V667" s="84"/>
      <c r="W667" s="84"/>
      <c r="X667" s="84">
        <v>0.0</v>
      </c>
      <c r="Y667" s="84" t="s">
        <v>5073</v>
      </c>
      <c r="Z667" s="84">
        <v>-1.0</v>
      </c>
      <c r="AA667" s="84">
        <v>100.0</v>
      </c>
      <c r="AB667" s="84"/>
      <c r="AC667" s="84"/>
      <c r="AD667" s="84"/>
      <c r="AE667" s="84"/>
      <c r="AF667" s="84"/>
      <c r="AG667" s="84"/>
      <c r="AH667" s="84">
        <v>1.0</v>
      </c>
      <c r="AI667" s="84">
        <v>0.0</v>
      </c>
      <c r="AJ667" s="84">
        <v>0.0</v>
      </c>
      <c r="AK667" s="84">
        <v>1.0</v>
      </c>
      <c r="AL667" s="84">
        <v>0.0</v>
      </c>
      <c r="AM667" s="84">
        <v>0.0</v>
      </c>
      <c r="AN667" s="84">
        <v>1.0</v>
      </c>
      <c r="AO667" s="84">
        <v>1.0</v>
      </c>
      <c r="AP667" s="84">
        <v>0.0</v>
      </c>
      <c r="AQ667" s="84">
        <v>0.0</v>
      </c>
      <c r="AR667" s="84">
        <v>0.0</v>
      </c>
      <c r="AS667" s="84">
        <v>0.0</v>
      </c>
      <c r="AT667" s="84">
        <v>0.0</v>
      </c>
      <c r="AU667" s="84">
        <v>0.0</v>
      </c>
      <c r="AV667" s="84">
        <v>0.0</v>
      </c>
      <c r="AW667" s="84">
        <v>0.0</v>
      </c>
      <c r="AX667" s="84">
        <v>0.0</v>
      </c>
      <c r="AY667" s="84">
        <v>1.0</v>
      </c>
      <c r="AZ667" s="84">
        <v>0.0</v>
      </c>
    </row>
    <row r="668" ht="12.75" customHeight="1">
      <c r="A668" s="84">
        <v>666.0</v>
      </c>
      <c r="B668" s="84" t="s">
        <v>5878</v>
      </c>
      <c r="C668" s="84">
        <v>0.0</v>
      </c>
      <c r="D668" s="84" t="s">
        <v>5072</v>
      </c>
      <c r="E668" s="84">
        <v>3.0</v>
      </c>
      <c r="F668" s="84" t="s">
        <v>5131</v>
      </c>
      <c r="G668" s="84">
        <v>0.0</v>
      </c>
      <c r="H668" s="84">
        <v>101.0</v>
      </c>
      <c r="I668" s="84">
        <v>10.0</v>
      </c>
      <c r="J668" s="84"/>
      <c r="K668" s="84"/>
      <c r="L668" s="84"/>
      <c r="M668" s="84"/>
      <c r="N668" s="84">
        <v>0.0</v>
      </c>
      <c r="O668" s="84">
        <v>0.0</v>
      </c>
      <c r="P668" s="84">
        <v>0.0</v>
      </c>
      <c r="Q668" s="84"/>
      <c r="R668" s="84"/>
      <c r="S668" s="84"/>
      <c r="T668" s="84"/>
      <c r="U668" s="84">
        <v>386.0</v>
      </c>
      <c r="V668" s="84"/>
      <c r="W668" s="84">
        <v>50.0</v>
      </c>
      <c r="X668" s="84">
        <v>0.0</v>
      </c>
      <c r="Y668" s="84"/>
      <c r="Z668" s="84"/>
      <c r="AA668" s="84"/>
      <c r="AB668" s="84"/>
      <c r="AC668" s="84"/>
      <c r="AD668" s="84"/>
      <c r="AE668" s="84"/>
      <c r="AF668" s="84"/>
      <c r="AG668" s="84"/>
      <c r="AH668" s="84">
        <v>0.0</v>
      </c>
      <c r="AI668" s="84">
        <v>0.0</v>
      </c>
      <c r="AJ668" s="84">
        <v>0.0</v>
      </c>
      <c r="AK668" s="84">
        <v>1.0</v>
      </c>
      <c r="AL668" s="84">
        <v>1.0</v>
      </c>
      <c r="AM668" s="84">
        <v>0.0</v>
      </c>
      <c r="AN668" s="84">
        <v>0.0</v>
      </c>
      <c r="AO668" s="84">
        <v>0.0</v>
      </c>
      <c r="AP668" s="84">
        <v>0.0</v>
      </c>
      <c r="AQ668" s="84">
        <v>0.0</v>
      </c>
      <c r="AR668" s="84">
        <v>0.0</v>
      </c>
      <c r="AS668" s="84">
        <v>0.0</v>
      </c>
      <c r="AT668" s="84">
        <v>1.0</v>
      </c>
      <c r="AU668" s="84">
        <v>0.0</v>
      </c>
      <c r="AV668" s="84">
        <v>0.0</v>
      </c>
      <c r="AW668" s="84">
        <v>1.0</v>
      </c>
      <c r="AX668" s="84">
        <v>0.0</v>
      </c>
      <c r="AY668" s="84">
        <v>1.0</v>
      </c>
      <c r="AZ668" s="84">
        <v>0.0</v>
      </c>
    </row>
    <row r="669" ht="12.75" customHeight="1">
      <c r="A669" s="84">
        <v>667.0</v>
      </c>
      <c r="B669" s="84" t="s">
        <v>5879</v>
      </c>
      <c r="C669" s="84">
        <v>1.0</v>
      </c>
      <c r="D669" s="84" t="s">
        <v>4922</v>
      </c>
      <c r="E669" s="84">
        <v>0.0</v>
      </c>
      <c r="F669" s="84" t="s">
        <v>5135</v>
      </c>
      <c r="G669" s="84">
        <v>95.0</v>
      </c>
      <c r="H669" s="84">
        <v>95.0</v>
      </c>
      <c r="I669" s="84">
        <v>10.0</v>
      </c>
      <c r="N669" s="84">
        <v>0.0</v>
      </c>
      <c r="O669" s="84">
        <v>0.0</v>
      </c>
      <c r="P669" s="84">
        <v>0.0</v>
      </c>
      <c r="U669" s="84">
        <v>0.0</v>
      </c>
      <c r="X669" s="84">
        <v>0.0</v>
      </c>
      <c r="AH669" s="84">
        <v>1.0</v>
      </c>
      <c r="AI669" s="84">
        <v>0.0</v>
      </c>
      <c r="AJ669" s="84">
        <v>0.0</v>
      </c>
      <c r="AK669" s="84">
        <v>1.0</v>
      </c>
      <c r="AL669" s="84">
        <v>0.0</v>
      </c>
      <c r="AM669" s="84">
        <v>0.0</v>
      </c>
      <c r="AN669" s="84">
        <v>1.0</v>
      </c>
      <c r="AO669" s="84">
        <v>0.0</v>
      </c>
      <c r="AP669" s="84">
        <v>0.0</v>
      </c>
      <c r="AQ669" s="84">
        <v>0.0</v>
      </c>
      <c r="AR669" s="84">
        <v>0.0</v>
      </c>
      <c r="AS669" s="84">
        <v>0.0</v>
      </c>
      <c r="AT669" s="84">
        <v>0.0</v>
      </c>
      <c r="AU669" s="84">
        <v>0.0</v>
      </c>
      <c r="AV669" s="84">
        <v>0.0</v>
      </c>
      <c r="AW669" s="84">
        <v>0.0</v>
      </c>
      <c r="AX669" s="84">
        <v>0.0</v>
      </c>
      <c r="AY669" s="84">
        <v>1.0</v>
      </c>
      <c r="AZ669" s="84">
        <v>42.0</v>
      </c>
    </row>
    <row r="670" ht="12.75" customHeight="1">
      <c r="A670" s="84">
        <v>668.0</v>
      </c>
      <c r="B670" s="84" t="s">
        <v>3687</v>
      </c>
      <c r="C670" s="84">
        <v>1.0</v>
      </c>
      <c r="D670" s="84" t="s">
        <v>4904</v>
      </c>
      <c r="E670" s="84">
        <v>13.0</v>
      </c>
      <c r="F670" s="84" t="s">
        <v>5131</v>
      </c>
      <c r="G670" s="84">
        <v>0.0</v>
      </c>
      <c r="H670" s="84">
        <v>100.0</v>
      </c>
      <c r="I670" s="84">
        <v>10.0</v>
      </c>
      <c r="N670" s="84">
        <v>0.0</v>
      </c>
      <c r="O670" s="84">
        <v>0.0</v>
      </c>
      <c r="P670" s="84">
        <v>0.0</v>
      </c>
      <c r="U670" s="84">
        <v>387.0</v>
      </c>
      <c r="X670" s="84">
        <v>0.0</v>
      </c>
      <c r="Y670" s="84" t="s">
        <v>20</v>
      </c>
      <c r="Z670" s="84">
        <v>-1.0</v>
      </c>
      <c r="AA670" s="84">
        <v>100.0</v>
      </c>
      <c r="AH670" s="84">
        <v>0.0</v>
      </c>
      <c r="AI670" s="84">
        <v>0.0</v>
      </c>
      <c r="AJ670" s="84">
        <v>0.0</v>
      </c>
      <c r="AK670" s="84">
        <v>1.0</v>
      </c>
      <c r="AL670" s="84">
        <v>1.0</v>
      </c>
      <c r="AM670" s="84">
        <v>0.0</v>
      </c>
      <c r="AN670" s="84">
        <v>1.0</v>
      </c>
      <c r="AO670" s="84">
        <v>0.0</v>
      </c>
      <c r="AP670" s="84">
        <v>0.0</v>
      </c>
      <c r="AQ670" s="84">
        <v>0.0</v>
      </c>
      <c r="AR670" s="84">
        <v>0.0</v>
      </c>
      <c r="AS670" s="84">
        <v>0.0</v>
      </c>
      <c r="AT670" s="84">
        <v>1.0</v>
      </c>
      <c r="AU670" s="84">
        <v>0.0</v>
      </c>
      <c r="AV670" s="84">
        <v>0.0</v>
      </c>
      <c r="AW670" s="84">
        <v>0.0</v>
      </c>
      <c r="AX670" s="84">
        <v>0.0</v>
      </c>
      <c r="AY670" s="84">
        <v>1.0</v>
      </c>
      <c r="AZ670" s="84">
        <v>5.0</v>
      </c>
    </row>
    <row r="671" ht="12.75" customHeight="1">
      <c r="A671" s="84">
        <v>669.0</v>
      </c>
      <c r="B671" s="84" t="s">
        <v>5880</v>
      </c>
      <c r="C671" s="84">
        <v>0.0</v>
      </c>
      <c r="D671" s="84" t="s">
        <v>4904</v>
      </c>
      <c r="E671" s="84">
        <v>0.0</v>
      </c>
      <c r="F671" s="84" t="s">
        <v>5135</v>
      </c>
      <c r="G671" s="84">
        <v>125.0</v>
      </c>
      <c r="H671" s="84">
        <v>100.0</v>
      </c>
      <c r="I671" s="84">
        <v>10.0</v>
      </c>
      <c r="J671" s="84"/>
      <c r="K671" s="84"/>
      <c r="L671" s="84"/>
      <c r="M671" s="84"/>
      <c r="N671" s="84">
        <v>0.0</v>
      </c>
      <c r="O671" s="84">
        <v>0.0</v>
      </c>
      <c r="P671" s="84">
        <v>0.0</v>
      </c>
      <c r="Q671" s="84"/>
      <c r="R671" s="84"/>
      <c r="S671" s="84"/>
      <c r="T671" s="84"/>
      <c r="U671" s="84">
        <v>151.0</v>
      </c>
      <c r="V671" s="84"/>
      <c r="W671" s="84"/>
      <c r="X671" s="84">
        <v>0.0</v>
      </c>
      <c r="Y671" s="84"/>
      <c r="Z671" s="84"/>
      <c r="AA671" s="84"/>
      <c r="AB671" s="84"/>
      <c r="AC671" s="84"/>
      <c r="AD671" s="84"/>
      <c r="AE671" s="84"/>
      <c r="AF671" s="84"/>
      <c r="AG671" s="84"/>
      <c r="AH671" s="84">
        <v>1.0</v>
      </c>
      <c r="AI671" s="84">
        <v>1.0</v>
      </c>
      <c r="AJ671" s="84">
        <v>0.0</v>
      </c>
      <c r="AK671" s="84">
        <v>1.0</v>
      </c>
      <c r="AL671" s="84">
        <v>0.0</v>
      </c>
      <c r="AM671" s="84">
        <v>0.0</v>
      </c>
      <c r="AN671" s="84">
        <v>1.0</v>
      </c>
      <c r="AO671" s="84">
        <v>0.0</v>
      </c>
      <c r="AP671" s="84">
        <v>0.0</v>
      </c>
      <c r="AQ671" s="84">
        <v>0.0</v>
      </c>
      <c r="AR671" s="84">
        <v>0.0</v>
      </c>
      <c r="AS671" s="84">
        <v>0.0</v>
      </c>
      <c r="AT671" s="84">
        <v>0.0</v>
      </c>
      <c r="AU671" s="84">
        <v>0.0</v>
      </c>
      <c r="AV671" s="84">
        <v>0.0</v>
      </c>
      <c r="AW671" s="84">
        <v>0.0</v>
      </c>
      <c r="AX671" s="84">
        <v>0.0</v>
      </c>
      <c r="AY671" s="84">
        <v>1.0</v>
      </c>
      <c r="AZ671" s="84">
        <v>0.0</v>
      </c>
    </row>
    <row r="672" ht="12.75" customHeight="1">
      <c r="A672" s="84">
        <v>670.0</v>
      </c>
      <c r="B672" s="84" t="s">
        <v>5881</v>
      </c>
      <c r="C672" s="84">
        <v>1.0</v>
      </c>
      <c r="D672" s="84" t="s">
        <v>4904</v>
      </c>
      <c r="E672" s="84">
        <v>0.0</v>
      </c>
      <c r="F672" s="84" t="s">
        <v>5135</v>
      </c>
      <c r="G672" s="84">
        <v>40.0</v>
      </c>
      <c r="H672" s="84">
        <v>100.0</v>
      </c>
      <c r="I672" s="84">
        <v>40.0</v>
      </c>
      <c r="N672" s="84">
        <v>0.0</v>
      </c>
      <c r="O672" s="84">
        <v>0.0</v>
      </c>
      <c r="P672" s="84">
        <v>0.0</v>
      </c>
      <c r="U672" s="84">
        <v>0.0</v>
      </c>
      <c r="X672" s="84">
        <v>0.0</v>
      </c>
      <c r="AH672" s="84">
        <v>0.0</v>
      </c>
      <c r="AI672" s="84">
        <v>0.0</v>
      </c>
      <c r="AJ672" s="84">
        <v>0.0</v>
      </c>
      <c r="AK672" s="84">
        <v>1.0</v>
      </c>
      <c r="AL672" s="84">
        <v>0.0</v>
      </c>
      <c r="AM672" s="84">
        <v>0.0</v>
      </c>
      <c r="AN672" s="84">
        <v>1.0</v>
      </c>
      <c r="AO672" s="84">
        <v>0.0</v>
      </c>
      <c r="AP672" s="84">
        <v>0.0</v>
      </c>
      <c r="AQ672" s="84">
        <v>0.0</v>
      </c>
      <c r="AR672" s="84">
        <v>0.0</v>
      </c>
      <c r="AS672" s="84">
        <v>0.0</v>
      </c>
      <c r="AT672" s="84">
        <v>0.0</v>
      </c>
      <c r="AU672" s="84">
        <v>0.0</v>
      </c>
      <c r="AV672" s="84">
        <v>0.0</v>
      </c>
      <c r="AW672" s="84">
        <v>0.0</v>
      </c>
      <c r="AX672" s="84">
        <v>0.0</v>
      </c>
      <c r="AY672" s="84">
        <v>1.0</v>
      </c>
      <c r="AZ672" s="84">
        <v>30.0</v>
      </c>
    </row>
    <row r="673" ht="12.75" customHeight="1">
      <c r="A673" s="84">
        <v>671.0</v>
      </c>
      <c r="B673" s="84" t="s">
        <v>5882</v>
      </c>
      <c r="C673" s="84">
        <v>0.0</v>
      </c>
      <c r="D673" s="84" t="s">
        <v>4916</v>
      </c>
      <c r="E673" s="84">
        <v>13.0</v>
      </c>
      <c r="F673" s="84" t="s">
        <v>5131</v>
      </c>
      <c r="G673" s="84">
        <v>0.0</v>
      </c>
      <c r="H673" s="84">
        <v>101.0</v>
      </c>
      <c r="I673" s="84">
        <v>15.0</v>
      </c>
      <c r="J673" s="84">
        <v>3.0</v>
      </c>
      <c r="K673" s="84"/>
      <c r="L673" s="84"/>
      <c r="M673" s="84"/>
      <c r="N673" s="84">
        <v>0.0</v>
      </c>
      <c r="O673" s="84">
        <v>0.0</v>
      </c>
      <c r="P673" s="84">
        <v>0.0</v>
      </c>
      <c r="Q673" s="84"/>
      <c r="R673" s="84"/>
      <c r="S673" s="84"/>
      <c r="T673" s="84"/>
      <c r="U673" s="84">
        <v>388.0</v>
      </c>
      <c r="V673" s="84"/>
      <c r="W673" s="84"/>
      <c r="X673" s="84">
        <v>0.0</v>
      </c>
      <c r="Y673" s="84"/>
      <c r="Z673" s="84"/>
      <c r="AA673" s="84"/>
      <c r="AB673" s="84"/>
      <c r="AC673" s="84"/>
      <c r="AD673" s="84"/>
      <c r="AE673" s="84"/>
      <c r="AF673" s="84"/>
      <c r="AG673" s="84"/>
      <c r="AH673" s="84">
        <v>0.0</v>
      </c>
      <c r="AI673" s="84">
        <v>0.0</v>
      </c>
      <c r="AJ673" s="84">
        <v>0.0</v>
      </c>
      <c r="AK673" s="84">
        <v>1.0</v>
      </c>
      <c r="AL673" s="84">
        <v>1.0</v>
      </c>
      <c r="AM673" s="84">
        <v>0.0</v>
      </c>
      <c r="AN673" s="84">
        <v>0.0</v>
      </c>
      <c r="AO673" s="84">
        <v>0.0</v>
      </c>
      <c r="AP673" s="84">
        <v>0.0</v>
      </c>
      <c r="AQ673" s="84">
        <v>0.0</v>
      </c>
      <c r="AR673" s="84">
        <v>0.0</v>
      </c>
      <c r="AS673" s="84">
        <v>0.0</v>
      </c>
      <c r="AT673" s="84">
        <v>0.0</v>
      </c>
      <c r="AU673" s="84">
        <v>0.0</v>
      </c>
      <c r="AV673" s="84">
        <v>0.0</v>
      </c>
      <c r="AW673" s="84">
        <v>1.0</v>
      </c>
      <c r="AX673" s="84">
        <v>0.0</v>
      </c>
      <c r="AY673" s="84">
        <v>0.0</v>
      </c>
      <c r="AZ673" s="84">
        <v>0.0</v>
      </c>
    </row>
    <row r="674" ht="12.75" customHeight="1">
      <c r="A674" s="84">
        <v>672.0</v>
      </c>
      <c r="B674" s="84" t="s">
        <v>3214</v>
      </c>
      <c r="C674" s="84">
        <v>1.0</v>
      </c>
      <c r="D674" s="84" t="s">
        <v>4905</v>
      </c>
      <c r="E674" s="84">
        <v>5.0</v>
      </c>
      <c r="F674" s="84" t="s">
        <v>5131</v>
      </c>
      <c r="G674" s="84">
        <v>0.0</v>
      </c>
      <c r="H674" s="84">
        <v>100.0</v>
      </c>
      <c r="I674" s="84">
        <v>20.0</v>
      </c>
      <c r="M674" s="84" t="s">
        <v>5883</v>
      </c>
      <c r="N674" s="84">
        <v>5.0</v>
      </c>
      <c r="O674" s="84">
        <v>100.0</v>
      </c>
      <c r="P674" s="84">
        <v>1.0</v>
      </c>
      <c r="U674" s="84">
        <v>389.0</v>
      </c>
      <c r="X674" s="84">
        <v>0.0</v>
      </c>
      <c r="Y674" s="84" t="s">
        <v>5073</v>
      </c>
      <c r="Z674" s="84">
        <v>-1.0</v>
      </c>
      <c r="AA674" s="84">
        <v>100.0</v>
      </c>
      <c r="AH674" s="84">
        <v>0.0</v>
      </c>
      <c r="AI674" s="84">
        <v>0.0</v>
      </c>
      <c r="AJ674" s="84">
        <v>0.0</v>
      </c>
      <c r="AK674" s="84">
        <v>1.0</v>
      </c>
      <c r="AL674" s="84">
        <v>1.0</v>
      </c>
      <c r="AM674" s="84">
        <v>0.0</v>
      </c>
      <c r="AN674" s="84">
        <v>1.0</v>
      </c>
      <c r="AO674" s="84">
        <v>0.0</v>
      </c>
      <c r="AP674" s="84">
        <v>0.0</v>
      </c>
      <c r="AQ674" s="84">
        <v>0.0</v>
      </c>
      <c r="AR674" s="84">
        <v>0.0</v>
      </c>
      <c r="AS674" s="84">
        <v>0.0</v>
      </c>
      <c r="AT674" s="84">
        <v>0.0</v>
      </c>
      <c r="AU674" s="84">
        <v>0.0</v>
      </c>
      <c r="AV674" s="84">
        <v>0.0</v>
      </c>
      <c r="AW674" s="84">
        <v>0.0</v>
      </c>
      <c r="AX674" s="84">
        <v>0.0</v>
      </c>
      <c r="AY674" s="84">
        <v>1.0</v>
      </c>
      <c r="AZ674" s="84">
        <v>17.0</v>
      </c>
    </row>
    <row r="675" ht="12.75" customHeight="1">
      <c r="A675" s="84">
        <v>673.0</v>
      </c>
      <c r="B675" s="84" t="s">
        <v>5884</v>
      </c>
      <c r="C675" s="84">
        <v>1.0</v>
      </c>
      <c r="D675" s="84" t="s">
        <v>4916</v>
      </c>
      <c r="E675" s="84">
        <v>13.0</v>
      </c>
      <c r="F675" s="84" t="s">
        <v>5131</v>
      </c>
      <c r="G675" s="84">
        <v>0.0</v>
      </c>
      <c r="H675" s="84">
        <v>101.0</v>
      </c>
      <c r="I675" s="84">
        <v>30.0</v>
      </c>
      <c r="N675" s="84">
        <v>0.0</v>
      </c>
      <c r="O675" s="84">
        <v>0.0</v>
      </c>
      <c r="P675" s="84">
        <v>0.0</v>
      </c>
      <c r="U675" s="84">
        <v>390.0</v>
      </c>
      <c r="X675" s="84">
        <v>7.0</v>
      </c>
      <c r="AH675" s="84">
        <v>0.0</v>
      </c>
      <c r="AI675" s="84">
        <v>0.0</v>
      </c>
      <c r="AJ675" s="84">
        <v>0.0</v>
      </c>
      <c r="AK675" s="84">
        <v>0.0</v>
      </c>
      <c r="AL675" s="84">
        <v>0.0</v>
      </c>
      <c r="AM675" s="84">
        <v>1.0</v>
      </c>
      <c r="AN675" s="84">
        <v>0.0</v>
      </c>
      <c r="AO675" s="84">
        <v>0.0</v>
      </c>
      <c r="AP675" s="84">
        <v>0.0</v>
      </c>
      <c r="AQ675" s="84">
        <v>0.0</v>
      </c>
      <c r="AR675" s="84">
        <v>0.0</v>
      </c>
      <c r="AS675" s="84">
        <v>0.0</v>
      </c>
      <c r="AT675" s="84">
        <v>0.0</v>
      </c>
      <c r="AU675" s="84">
        <v>0.0</v>
      </c>
      <c r="AV675" s="84">
        <v>0.0</v>
      </c>
      <c r="AW675" s="84">
        <v>0.0</v>
      </c>
      <c r="AX675" s="84">
        <v>0.0</v>
      </c>
      <c r="AY675" s="84">
        <v>1.0</v>
      </c>
      <c r="AZ675" s="84">
        <v>6.0</v>
      </c>
    </row>
    <row r="676" ht="12.75" customHeight="1">
      <c r="A676" s="84">
        <v>674.0</v>
      </c>
      <c r="B676" s="84" t="s">
        <v>5885</v>
      </c>
      <c r="C676" s="84">
        <v>0.0</v>
      </c>
      <c r="D676" s="84" t="s">
        <v>4975</v>
      </c>
      <c r="E676" s="84">
        <v>2.0</v>
      </c>
      <c r="F676" s="84" t="s">
        <v>5131</v>
      </c>
      <c r="G676" s="84">
        <v>0.0</v>
      </c>
      <c r="H676" s="84">
        <v>101.0</v>
      </c>
      <c r="I676" s="84">
        <v>20.0</v>
      </c>
      <c r="J676" s="84"/>
      <c r="K676" s="84"/>
      <c r="L676" s="84"/>
      <c r="M676" s="84"/>
      <c r="N676" s="84">
        <v>0.0</v>
      </c>
      <c r="O676" s="84">
        <v>0.0</v>
      </c>
      <c r="P676" s="84">
        <v>0.0</v>
      </c>
      <c r="Q676" s="84"/>
      <c r="R676" s="84"/>
      <c r="S676" s="84"/>
      <c r="T676" s="84"/>
      <c r="U676" s="84">
        <v>391.0</v>
      </c>
      <c r="V676" s="84"/>
      <c r="W676" s="84"/>
      <c r="X676" s="84">
        <v>6.0</v>
      </c>
      <c r="Y676" s="84" t="s">
        <v>20</v>
      </c>
      <c r="Z676" s="84">
        <v>1.0</v>
      </c>
      <c r="AA676" s="84"/>
      <c r="AB676" s="84" t="s">
        <v>22</v>
      </c>
      <c r="AC676" s="84">
        <v>1.0</v>
      </c>
      <c r="AD676" s="84"/>
      <c r="AE676" s="84"/>
      <c r="AF676" s="84"/>
      <c r="AG676" s="84"/>
      <c r="AH676" s="84">
        <v>0.0</v>
      </c>
      <c r="AI676" s="84">
        <v>0.0</v>
      </c>
      <c r="AJ676" s="84">
        <v>0.0</v>
      </c>
      <c r="AK676" s="84">
        <v>0.0</v>
      </c>
      <c r="AL676" s="84">
        <v>0.0</v>
      </c>
      <c r="AM676" s="84">
        <v>1.0</v>
      </c>
      <c r="AN676" s="84">
        <v>0.0</v>
      </c>
      <c r="AO676" s="84">
        <v>0.0</v>
      </c>
      <c r="AP676" s="84">
        <v>0.0</v>
      </c>
      <c r="AQ676" s="84">
        <v>0.0</v>
      </c>
      <c r="AR676" s="84">
        <v>0.0</v>
      </c>
      <c r="AS676" s="84">
        <v>0.0</v>
      </c>
      <c r="AT676" s="84">
        <v>0.0</v>
      </c>
      <c r="AU676" s="84">
        <v>1.0</v>
      </c>
      <c r="AV676" s="84">
        <v>0.0</v>
      </c>
      <c r="AW676" s="84">
        <v>0.0</v>
      </c>
      <c r="AX676" s="84">
        <v>0.0</v>
      </c>
      <c r="AY676" s="84">
        <v>1.0</v>
      </c>
      <c r="AZ676" s="84">
        <v>0.0</v>
      </c>
    </row>
    <row r="677" ht="12.75" customHeight="1">
      <c r="A677" s="84">
        <v>675.0</v>
      </c>
      <c r="B677" s="84" t="s">
        <v>3391</v>
      </c>
      <c r="C677" s="84">
        <v>1.0</v>
      </c>
      <c r="D677" s="84" t="s">
        <v>4972</v>
      </c>
      <c r="E677" s="84">
        <v>4.0</v>
      </c>
      <c r="F677" s="84" t="s">
        <v>5135</v>
      </c>
      <c r="G677" s="84">
        <v>80.0</v>
      </c>
      <c r="H677" s="84">
        <v>100.0</v>
      </c>
      <c r="I677" s="84">
        <v>15.0</v>
      </c>
      <c r="M677" s="84" t="s">
        <v>5886</v>
      </c>
      <c r="N677" s="84">
        <v>24.0</v>
      </c>
      <c r="O677" s="84">
        <v>100.0</v>
      </c>
      <c r="P677" s="84">
        <v>2.0</v>
      </c>
      <c r="Q677" s="84">
        <v>2.0</v>
      </c>
      <c r="R677" s="84">
        <v>2.0</v>
      </c>
      <c r="U677" s="84">
        <v>392.0</v>
      </c>
      <c r="X677" s="84">
        <v>0.0</v>
      </c>
      <c r="AH677" s="84">
        <v>1.0</v>
      </c>
      <c r="AI677" s="84">
        <v>0.0</v>
      </c>
      <c r="AJ677" s="84">
        <v>0.0</v>
      </c>
      <c r="AK677" s="84">
        <v>1.0</v>
      </c>
      <c r="AL677" s="84">
        <v>0.0</v>
      </c>
      <c r="AM677" s="84">
        <v>0.0</v>
      </c>
      <c r="AN677" s="84">
        <v>1.0</v>
      </c>
      <c r="AO677" s="84">
        <v>0.0</v>
      </c>
      <c r="AP677" s="84">
        <v>0.0</v>
      </c>
      <c r="AQ677" s="84">
        <v>0.0</v>
      </c>
      <c r="AR677" s="84">
        <v>0.0</v>
      </c>
      <c r="AS677" s="84">
        <v>0.0</v>
      </c>
      <c r="AT677" s="84">
        <v>0.0</v>
      </c>
      <c r="AU677" s="84">
        <v>0.0</v>
      </c>
      <c r="AV677" s="84">
        <v>0.0</v>
      </c>
      <c r="AW677" s="84">
        <v>0.0</v>
      </c>
      <c r="AX677" s="84">
        <v>0.0</v>
      </c>
      <c r="AY677" s="84">
        <v>1.0</v>
      </c>
      <c r="AZ677" s="84">
        <v>38.0</v>
      </c>
    </row>
    <row r="678" ht="12.75" customHeight="1">
      <c r="A678" s="84">
        <v>676.0</v>
      </c>
      <c r="B678" s="84" t="s">
        <v>5887</v>
      </c>
      <c r="C678" s="84">
        <v>0.0</v>
      </c>
      <c r="D678" s="84" t="s">
        <v>4910</v>
      </c>
      <c r="E678" s="84">
        <v>0.0</v>
      </c>
      <c r="F678" s="84" t="s">
        <v>5172</v>
      </c>
      <c r="G678" s="84">
        <v>90.0</v>
      </c>
      <c r="H678" s="84">
        <v>100.0</v>
      </c>
      <c r="I678" s="84">
        <v>15.0</v>
      </c>
      <c r="J678" s="84"/>
      <c r="K678" s="84"/>
      <c r="L678" s="84"/>
      <c r="M678" s="84"/>
      <c r="N678" s="84">
        <v>0.0</v>
      </c>
      <c r="O678" s="84">
        <v>0.0</v>
      </c>
      <c r="P678" s="84">
        <v>0.0</v>
      </c>
      <c r="Q678" s="84"/>
      <c r="R678" s="84"/>
      <c r="S678" s="84"/>
      <c r="T678" s="84"/>
      <c r="U678" s="84">
        <v>393.0</v>
      </c>
      <c r="V678" s="84"/>
      <c r="W678" s="84"/>
      <c r="X678" s="84">
        <v>0.0</v>
      </c>
      <c r="Y678" s="84"/>
      <c r="Z678" s="84"/>
      <c r="AA678" s="84"/>
      <c r="AB678" s="84"/>
      <c r="AC678" s="84"/>
      <c r="AD678" s="84"/>
      <c r="AE678" s="84"/>
      <c r="AF678" s="84"/>
      <c r="AG678" s="84"/>
      <c r="AH678" s="84">
        <v>0.0</v>
      </c>
      <c r="AI678" s="84">
        <v>0.0</v>
      </c>
      <c r="AJ678" s="84">
        <v>0.0</v>
      </c>
      <c r="AK678" s="84">
        <v>1.0</v>
      </c>
      <c r="AL678" s="84">
        <v>0.0</v>
      </c>
      <c r="AM678" s="84">
        <v>0.0</v>
      </c>
      <c r="AN678" s="84">
        <v>1.0</v>
      </c>
      <c r="AO678" s="84">
        <v>0.0</v>
      </c>
      <c r="AP678" s="84">
        <v>0.0</v>
      </c>
      <c r="AQ678" s="84">
        <v>0.0</v>
      </c>
      <c r="AR678" s="84">
        <v>0.0</v>
      </c>
      <c r="AS678" s="84">
        <v>0.0</v>
      </c>
      <c r="AT678" s="84">
        <v>0.0</v>
      </c>
      <c r="AU678" s="84">
        <v>0.0</v>
      </c>
      <c r="AV678" s="84">
        <v>0.0</v>
      </c>
      <c r="AW678" s="84">
        <v>1.0</v>
      </c>
      <c r="AX678" s="84">
        <v>0.0</v>
      </c>
      <c r="AY678" s="84">
        <v>1.0</v>
      </c>
      <c r="AZ678" s="84">
        <v>0.0</v>
      </c>
    </row>
    <row r="679" ht="12.75" customHeight="1">
      <c r="A679" s="84">
        <v>677.0</v>
      </c>
      <c r="B679" s="84" t="s">
        <v>5888</v>
      </c>
      <c r="C679" s="84">
        <v>0.0</v>
      </c>
      <c r="D679" s="84" t="s">
        <v>4975</v>
      </c>
      <c r="E679" s="84">
        <v>0.0</v>
      </c>
      <c r="F679" s="84" t="s">
        <v>5135</v>
      </c>
      <c r="G679" s="84">
        <v>80.0</v>
      </c>
      <c r="H679" s="84">
        <v>100.0</v>
      </c>
      <c r="I679" s="84">
        <v>20.0</v>
      </c>
      <c r="J679" s="84"/>
      <c r="K679" s="84"/>
      <c r="L679" s="84"/>
      <c r="M679" s="84"/>
      <c r="N679" s="84">
        <v>0.0</v>
      </c>
      <c r="O679" s="84">
        <v>0.0</v>
      </c>
      <c r="P679" s="84">
        <v>0.0</v>
      </c>
      <c r="Q679" s="84"/>
      <c r="R679" s="84"/>
      <c r="S679" s="84"/>
      <c r="T679" s="84"/>
      <c r="U679" s="84">
        <v>384.0</v>
      </c>
      <c r="V679" s="84"/>
      <c r="W679" s="84"/>
      <c r="X679" s="84">
        <v>0.0</v>
      </c>
      <c r="Y679" s="84"/>
      <c r="Z679" s="84"/>
      <c r="AA679" s="84"/>
      <c r="AB679" s="84"/>
      <c r="AC679" s="84"/>
      <c r="AD679" s="84"/>
      <c r="AE679" s="84"/>
      <c r="AF679" s="84"/>
      <c r="AG679" s="84"/>
      <c r="AH679" s="84">
        <v>1.0</v>
      </c>
      <c r="AI679" s="84">
        <v>0.0</v>
      </c>
      <c r="AJ679" s="84">
        <v>0.0</v>
      </c>
      <c r="AK679" s="84">
        <v>1.0</v>
      </c>
      <c r="AL679" s="84">
        <v>0.0</v>
      </c>
      <c r="AM679" s="84">
        <v>0.0</v>
      </c>
      <c r="AN679" s="84">
        <v>1.0</v>
      </c>
      <c r="AO679" s="84">
        <v>0.0</v>
      </c>
      <c r="AP679" s="84">
        <v>0.0</v>
      </c>
      <c r="AQ679" s="84">
        <v>0.0</v>
      </c>
      <c r="AR679" s="84">
        <v>0.0</v>
      </c>
      <c r="AS679" s="84">
        <v>0.0</v>
      </c>
      <c r="AT679" s="84">
        <v>0.0</v>
      </c>
      <c r="AU679" s="84">
        <v>0.0</v>
      </c>
      <c r="AV679" s="84">
        <v>0.0</v>
      </c>
      <c r="AW679" s="84">
        <v>0.0</v>
      </c>
      <c r="AX679" s="84">
        <v>0.0</v>
      </c>
      <c r="AY679" s="84">
        <v>1.0</v>
      </c>
      <c r="AZ679" s="84">
        <v>0.0</v>
      </c>
    </row>
    <row r="680" ht="12.75" customHeight="1">
      <c r="A680" s="84">
        <v>678.0</v>
      </c>
      <c r="B680" s="84" t="s">
        <v>5889</v>
      </c>
      <c r="C680" s="84">
        <v>0.0</v>
      </c>
      <c r="D680" s="84" t="s">
        <v>2659</v>
      </c>
      <c r="E680" s="84">
        <v>10.0</v>
      </c>
      <c r="F680" s="84" t="s">
        <v>5131</v>
      </c>
      <c r="G680" s="84">
        <v>0.0</v>
      </c>
      <c r="H680" s="84">
        <v>101.0</v>
      </c>
      <c r="I680" s="84">
        <v>10.0</v>
      </c>
      <c r="J680" s="84"/>
      <c r="K680" s="84"/>
      <c r="L680" s="84"/>
      <c r="M680" s="84"/>
      <c r="N680" s="84">
        <v>0.0</v>
      </c>
      <c r="O680" s="84">
        <v>0.0</v>
      </c>
      <c r="P680" s="84">
        <v>0.0</v>
      </c>
      <c r="Q680" s="84"/>
      <c r="R680" s="84"/>
      <c r="S680" s="84"/>
      <c r="T680" s="84"/>
      <c r="U680" s="84">
        <v>394.0</v>
      </c>
      <c r="V680" s="84"/>
      <c r="W680" s="84"/>
      <c r="X680" s="84">
        <v>10.0</v>
      </c>
      <c r="Y680" s="84"/>
      <c r="Z680" s="84"/>
      <c r="AA680" s="84"/>
      <c r="AB680" s="84"/>
      <c r="AC680" s="84"/>
      <c r="AD680" s="84"/>
      <c r="AE680" s="84"/>
      <c r="AF680" s="84"/>
      <c r="AG680" s="84"/>
      <c r="AH680" s="84">
        <v>0.0</v>
      </c>
      <c r="AI680" s="84">
        <v>0.0</v>
      </c>
      <c r="AJ680" s="84">
        <v>0.0</v>
      </c>
      <c r="AK680" s="84">
        <v>0.0</v>
      </c>
      <c r="AL680" s="84">
        <v>0.0</v>
      </c>
      <c r="AM680" s="84">
        <v>0.0</v>
      </c>
      <c r="AN680" s="84">
        <v>0.0</v>
      </c>
      <c r="AO680" s="84">
        <v>0.0</v>
      </c>
      <c r="AP680" s="84">
        <v>0.0</v>
      </c>
      <c r="AQ680" s="84">
        <v>0.0</v>
      </c>
      <c r="AR680" s="84">
        <v>0.0</v>
      </c>
      <c r="AS680" s="84">
        <v>0.0</v>
      </c>
      <c r="AT680" s="84">
        <v>0.0</v>
      </c>
      <c r="AU680" s="84">
        <v>0.0</v>
      </c>
      <c r="AV680" s="84">
        <v>1.0</v>
      </c>
      <c r="AW680" s="84">
        <v>0.0</v>
      </c>
      <c r="AX680" s="84">
        <v>0.0</v>
      </c>
      <c r="AY680" s="84">
        <v>1.0</v>
      </c>
      <c r="AZ680" s="84">
        <v>0.0</v>
      </c>
    </row>
    <row r="681" ht="12.75" customHeight="1">
      <c r="A681" s="84">
        <v>679.0</v>
      </c>
      <c r="B681" s="84" t="s">
        <v>5890</v>
      </c>
      <c r="C681" s="84">
        <v>1.0</v>
      </c>
      <c r="D681" s="84" t="s">
        <v>4910</v>
      </c>
      <c r="E681" s="84">
        <v>6.0</v>
      </c>
      <c r="F681" s="84" t="s">
        <v>5135</v>
      </c>
      <c r="G681" s="84">
        <v>80.0</v>
      </c>
      <c r="H681" s="84">
        <v>100.0</v>
      </c>
      <c r="I681" s="84">
        <v>15.0</v>
      </c>
      <c r="N681" s="84">
        <v>0.0</v>
      </c>
      <c r="O681" s="84">
        <v>0.0</v>
      </c>
      <c r="P681" s="84">
        <v>0.0</v>
      </c>
      <c r="U681" s="84">
        <v>395.0</v>
      </c>
      <c r="X681" s="84">
        <v>0.0</v>
      </c>
      <c r="Y681" s="84" t="s">
        <v>20</v>
      </c>
      <c r="Z681" s="84">
        <v>-1.0</v>
      </c>
      <c r="AA681" s="84">
        <v>100.0</v>
      </c>
      <c r="AH681" s="84">
        <v>1.0</v>
      </c>
      <c r="AI681" s="84">
        <v>0.0</v>
      </c>
      <c r="AJ681" s="84">
        <v>0.0</v>
      </c>
      <c r="AK681" s="84">
        <v>1.0</v>
      </c>
      <c r="AL681" s="84">
        <v>0.0</v>
      </c>
      <c r="AM681" s="84">
        <v>0.0</v>
      </c>
      <c r="AN681" s="84">
        <v>1.0</v>
      </c>
      <c r="AO681" s="84">
        <v>0.0</v>
      </c>
      <c r="AP681" s="84">
        <v>0.0</v>
      </c>
      <c r="AQ681" s="84">
        <v>0.0</v>
      </c>
      <c r="AR681" s="84">
        <v>0.0</v>
      </c>
      <c r="AS681" s="84">
        <v>0.0</v>
      </c>
      <c r="AT681" s="84">
        <v>0.0</v>
      </c>
      <c r="AU681" s="84">
        <v>0.0</v>
      </c>
      <c r="AV681" s="84">
        <v>0.0</v>
      </c>
      <c r="AW681" s="84">
        <v>0.0</v>
      </c>
      <c r="AX681" s="84">
        <v>0.0</v>
      </c>
      <c r="AY681" s="84">
        <v>1.0</v>
      </c>
      <c r="AZ681" s="84">
        <v>38.0</v>
      </c>
    </row>
    <row r="682" ht="12.75" customHeight="1">
      <c r="A682" s="84">
        <v>680.0</v>
      </c>
      <c r="B682" s="84" t="s">
        <v>5891</v>
      </c>
      <c r="C682" s="84">
        <v>0.0</v>
      </c>
      <c r="D682" s="84" t="s">
        <v>4906</v>
      </c>
      <c r="E682" s="84">
        <v>6.0</v>
      </c>
      <c r="F682" s="84" t="s">
        <v>5135</v>
      </c>
      <c r="G682" s="84">
        <v>80.0</v>
      </c>
      <c r="H682" s="84">
        <v>100.0</v>
      </c>
      <c r="I682" s="84">
        <v>15.0</v>
      </c>
      <c r="J682" s="84"/>
      <c r="K682" s="84"/>
      <c r="L682" s="84"/>
      <c r="M682" s="84"/>
      <c r="N682" s="84">
        <v>0.0</v>
      </c>
      <c r="O682" s="84">
        <v>0.0</v>
      </c>
      <c r="P682" s="84">
        <v>0.0</v>
      </c>
      <c r="Q682" s="84"/>
      <c r="R682" s="84"/>
      <c r="S682" s="84"/>
      <c r="T682" s="84"/>
      <c r="U682" s="84">
        <v>396.0</v>
      </c>
      <c r="V682" s="84"/>
      <c r="W682" s="84"/>
      <c r="X682" s="84">
        <v>0.0</v>
      </c>
      <c r="Y682" s="84" t="s">
        <v>21</v>
      </c>
      <c r="Z682" s="84">
        <v>-1.0</v>
      </c>
      <c r="AA682" s="84">
        <v>100.0</v>
      </c>
      <c r="AB682" s="84"/>
      <c r="AC682" s="84"/>
      <c r="AD682" s="84"/>
      <c r="AE682" s="84"/>
      <c r="AF682" s="84"/>
      <c r="AG682" s="84"/>
      <c r="AH682" s="84">
        <v>1.0</v>
      </c>
      <c r="AI682" s="84">
        <v>0.0</v>
      </c>
      <c r="AJ682" s="84">
        <v>0.0</v>
      </c>
      <c r="AK682" s="84">
        <v>1.0</v>
      </c>
      <c r="AL682" s="84">
        <v>0.0</v>
      </c>
      <c r="AM682" s="84">
        <v>0.0</v>
      </c>
      <c r="AN682" s="84">
        <v>1.0</v>
      </c>
      <c r="AO682" s="84">
        <v>0.0</v>
      </c>
      <c r="AP682" s="84">
        <v>0.0</v>
      </c>
      <c r="AQ682" s="84">
        <v>0.0</v>
      </c>
      <c r="AR682" s="84">
        <v>0.0</v>
      </c>
      <c r="AS682" s="84">
        <v>0.0</v>
      </c>
      <c r="AT682" s="84">
        <v>0.0</v>
      </c>
      <c r="AU682" s="84">
        <v>0.0</v>
      </c>
      <c r="AV682" s="84">
        <v>0.0</v>
      </c>
      <c r="AW682" s="84">
        <v>0.0</v>
      </c>
      <c r="AX682" s="84">
        <v>0.0</v>
      </c>
      <c r="AY682" s="84">
        <v>1.0</v>
      </c>
      <c r="AZ682" s="84">
        <v>0.0</v>
      </c>
    </row>
    <row r="683" ht="12.75" customHeight="1">
      <c r="A683" s="84">
        <v>681.0</v>
      </c>
      <c r="B683" s="84" t="s">
        <v>5892</v>
      </c>
      <c r="C683" s="84">
        <v>0.0</v>
      </c>
      <c r="D683" s="84" t="s">
        <v>4972</v>
      </c>
      <c r="E683" s="84">
        <v>0.0</v>
      </c>
      <c r="F683" s="84" t="s">
        <v>5135</v>
      </c>
      <c r="G683" s="84">
        <v>20.0</v>
      </c>
      <c r="H683" s="84">
        <v>100.0</v>
      </c>
      <c r="I683" s="84">
        <v>10.0</v>
      </c>
      <c r="J683" s="84"/>
      <c r="K683" s="84"/>
      <c r="L683" s="84"/>
      <c r="M683" s="84"/>
      <c r="N683" s="84">
        <v>0.0</v>
      </c>
      <c r="O683" s="84">
        <v>0.0</v>
      </c>
      <c r="P683" s="84">
        <v>0.0</v>
      </c>
      <c r="Q683" s="84"/>
      <c r="R683" s="84"/>
      <c r="S683" s="84"/>
      <c r="T683" s="84"/>
      <c r="U683" s="84">
        <v>305.0</v>
      </c>
      <c r="V683" s="84"/>
      <c r="W683" s="84"/>
      <c r="X683" s="84">
        <v>0.0</v>
      </c>
      <c r="Y683" s="84"/>
      <c r="Z683" s="84"/>
      <c r="AA683" s="84"/>
      <c r="AB683" s="84"/>
      <c r="AC683" s="84"/>
      <c r="AD683" s="84"/>
      <c r="AE683" s="84"/>
      <c r="AF683" s="84"/>
      <c r="AG683" s="84"/>
      <c r="AH683" s="84">
        <v>1.0</v>
      </c>
      <c r="AI683" s="84">
        <v>0.0</v>
      </c>
      <c r="AJ683" s="84">
        <v>0.0</v>
      </c>
      <c r="AK683" s="84">
        <v>1.0</v>
      </c>
      <c r="AL683" s="84">
        <v>0.0</v>
      </c>
      <c r="AM683" s="84">
        <v>0.0</v>
      </c>
      <c r="AN683" s="84">
        <v>1.0</v>
      </c>
      <c r="AO683" s="84">
        <v>0.0</v>
      </c>
      <c r="AP683" s="84">
        <v>0.0</v>
      </c>
      <c r="AQ683" s="84">
        <v>0.0</v>
      </c>
      <c r="AR683" s="84">
        <v>0.0</v>
      </c>
      <c r="AS683" s="84">
        <v>0.0</v>
      </c>
      <c r="AT683" s="84">
        <v>0.0</v>
      </c>
      <c r="AU683" s="84">
        <v>0.0</v>
      </c>
      <c r="AV683" s="84">
        <v>0.0</v>
      </c>
      <c r="AW683" s="84">
        <v>0.0</v>
      </c>
      <c r="AX683" s="84">
        <v>0.0</v>
      </c>
      <c r="AY683" s="84">
        <v>1.0</v>
      </c>
      <c r="AZ683" s="84">
        <v>0.0</v>
      </c>
    </row>
    <row r="684" ht="12.75" customHeight="1">
      <c r="A684" s="84">
        <v>682.0</v>
      </c>
      <c r="B684" s="84" t="s">
        <v>5893</v>
      </c>
      <c r="C684" s="84">
        <v>1.0</v>
      </c>
      <c r="D684" s="84" t="s">
        <v>4906</v>
      </c>
      <c r="E684" s="84">
        <v>0.0</v>
      </c>
      <c r="F684" s="84" t="s">
        <v>5172</v>
      </c>
      <c r="G684" s="84">
        <v>130.0</v>
      </c>
      <c r="H684" s="84">
        <v>100.0</v>
      </c>
      <c r="I684" s="84">
        <v>5.0</v>
      </c>
      <c r="N684" s="84">
        <v>0.0</v>
      </c>
      <c r="O684" s="84">
        <v>0.0</v>
      </c>
      <c r="P684" s="84">
        <v>0.0</v>
      </c>
      <c r="U684" s="84">
        <v>397.0</v>
      </c>
      <c r="X684" s="84">
        <v>0.0</v>
      </c>
      <c r="AH684" s="84">
        <v>0.0</v>
      </c>
      <c r="AI684" s="84">
        <v>0.0</v>
      </c>
      <c r="AJ684" s="84">
        <v>0.0</v>
      </c>
      <c r="AK684" s="84">
        <v>1.0</v>
      </c>
      <c r="AL684" s="84">
        <v>0.0</v>
      </c>
      <c r="AM684" s="84">
        <v>0.0</v>
      </c>
      <c r="AN684" s="84">
        <v>1.0</v>
      </c>
      <c r="AO684" s="84">
        <v>0.0</v>
      </c>
      <c r="AP684" s="84">
        <v>0.0</v>
      </c>
      <c r="AQ684" s="84">
        <v>0.0</v>
      </c>
      <c r="AR684" s="84">
        <v>1.0</v>
      </c>
      <c r="AS684" s="84">
        <v>0.0</v>
      </c>
      <c r="AT684" s="84">
        <v>0.0</v>
      </c>
      <c r="AU684" s="84">
        <v>0.0</v>
      </c>
      <c r="AV684" s="84">
        <v>0.0</v>
      </c>
      <c r="AW684" s="84">
        <v>0.0</v>
      </c>
      <c r="AX684" s="84">
        <v>0.0</v>
      </c>
      <c r="AY684" s="84">
        <v>1.0</v>
      </c>
      <c r="AZ684" s="84">
        <v>46.0</v>
      </c>
    </row>
    <row r="685" ht="12.75" customHeight="1">
      <c r="A685" s="84">
        <v>683.0</v>
      </c>
      <c r="B685" s="84" t="s">
        <v>5894</v>
      </c>
      <c r="C685" s="84">
        <v>0.0</v>
      </c>
      <c r="D685" s="84" t="s">
        <v>2659</v>
      </c>
      <c r="E685" s="84">
        <v>13.0</v>
      </c>
      <c r="F685" s="84" t="s">
        <v>5131</v>
      </c>
      <c r="G685" s="84">
        <v>0.0</v>
      </c>
      <c r="H685" s="84">
        <v>101.0</v>
      </c>
      <c r="I685" s="84">
        <v>10.0</v>
      </c>
      <c r="J685" s="84"/>
      <c r="K685" s="84"/>
      <c r="L685" s="84"/>
      <c r="M685" s="84"/>
      <c r="N685" s="84">
        <v>0.0</v>
      </c>
      <c r="O685" s="84">
        <v>0.0</v>
      </c>
      <c r="P685" s="84">
        <v>0.0</v>
      </c>
      <c r="Q685" s="84"/>
      <c r="R685" s="84"/>
      <c r="S685" s="84"/>
      <c r="T685" s="84"/>
      <c r="U685" s="84">
        <v>398.0</v>
      </c>
      <c r="V685" s="84"/>
      <c r="W685" s="84"/>
      <c r="X685" s="84">
        <v>0.0</v>
      </c>
      <c r="Y685" s="84"/>
      <c r="Z685" s="84"/>
      <c r="AA685" s="84"/>
      <c r="AB685" s="84"/>
      <c r="AC685" s="84"/>
      <c r="AD685" s="84"/>
      <c r="AE685" s="84"/>
      <c r="AF685" s="84"/>
      <c r="AG685" s="84"/>
      <c r="AH685" s="84">
        <v>0.0</v>
      </c>
      <c r="AI685" s="84">
        <v>0.0</v>
      </c>
      <c r="AJ685" s="84">
        <v>0.0</v>
      </c>
      <c r="AK685" s="84">
        <v>1.0</v>
      </c>
      <c r="AL685" s="84">
        <v>0.0</v>
      </c>
      <c r="AM685" s="84">
        <v>0.0</v>
      </c>
      <c r="AN685" s="84">
        <v>1.0</v>
      </c>
      <c r="AO685" s="84">
        <v>0.0</v>
      </c>
      <c r="AP685" s="84">
        <v>0.0</v>
      </c>
      <c r="AQ685" s="84">
        <v>0.0</v>
      </c>
      <c r="AR685" s="84">
        <v>0.0</v>
      </c>
      <c r="AS685" s="84">
        <v>0.0</v>
      </c>
      <c r="AT685" s="84">
        <v>0.0</v>
      </c>
      <c r="AU685" s="84">
        <v>1.0</v>
      </c>
      <c r="AV685" s="84">
        <v>0.0</v>
      </c>
      <c r="AW685" s="84">
        <v>1.0</v>
      </c>
      <c r="AX685" s="84">
        <v>0.0</v>
      </c>
      <c r="AY685" s="84">
        <v>1.0</v>
      </c>
      <c r="AZ685" s="84">
        <v>0.0</v>
      </c>
    </row>
    <row r="686" ht="12.75" customHeight="1">
      <c r="A686" s="84">
        <v>684.0</v>
      </c>
      <c r="B686" s="84" t="s">
        <v>5895</v>
      </c>
      <c r="C686" s="84">
        <v>1.0</v>
      </c>
      <c r="D686" s="84" t="s">
        <v>4975</v>
      </c>
      <c r="E686" s="84">
        <v>0.0</v>
      </c>
      <c r="F686" s="84" t="s">
        <v>5135</v>
      </c>
      <c r="G686" s="84">
        <v>70.0</v>
      </c>
      <c r="H686" s="84">
        <v>101.0</v>
      </c>
      <c r="I686" s="84">
        <v>10.0</v>
      </c>
      <c r="N686" s="84">
        <v>0.0</v>
      </c>
      <c r="O686" s="84">
        <v>0.0</v>
      </c>
      <c r="P686" s="84">
        <v>0.0</v>
      </c>
      <c r="U686" s="84">
        <v>17.0</v>
      </c>
      <c r="X686" s="84">
        <v>0.0</v>
      </c>
      <c r="AH686" s="84">
        <v>1.0</v>
      </c>
      <c r="AI686" s="84">
        <v>0.0</v>
      </c>
      <c r="AJ686" s="84">
        <v>0.0</v>
      </c>
      <c r="AK686" s="84">
        <v>1.0</v>
      </c>
      <c r="AL686" s="84">
        <v>0.0</v>
      </c>
      <c r="AM686" s="84">
        <v>0.0</v>
      </c>
      <c r="AN686" s="84">
        <v>1.0</v>
      </c>
      <c r="AO686" s="84">
        <v>0.0</v>
      </c>
      <c r="AP686" s="84">
        <v>0.0</v>
      </c>
      <c r="AQ686" s="84">
        <v>0.0</v>
      </c>
      <c r="AR686" s="84">
        <v>0.0</v>
      </c>
      <c r="AS686" s="84">
        <v>0.0</v>
      </c>
      <c r="AT686" s="84">
        <v>0.0</v>
      </c>
      <c r="AU686" s="84">
        <v>0.0</v>
      </c>
      <c r="AV686" s="84">
        <v>0.0</v>
      </c>
      <c r="AW686" s="84">
        <v>0.0</v>
      </c>
      <c r="AX686" s="84">
        <v>0.0</v>
      </c>
      <c r="AY686" s="84">
        <v>1.0</v>
      </c>
      <c r="AZ686" s="84">
        <v>37.0</v>
      </c>
    </row>
    <row r="687" ht="12.75" customHeight="1">
      <c r="A687" s="84">
        <v>685.0</v>
      </c>
      <c r="B687" s="84" t="s">
        <v>5896</v>
      </c>
      <c r="C687" s="84">
        <v>0.0</v>
      </c>
      <c r="D687" s="84" t="s">
        <v>4905</v>
      </c>
      <c r="E687" s="84">
        <v>13.0</v>
      </c>
      <c r="F687" s="84" t="s">
        <v>5131</v>
      </c>
      <c r="G687" s="84">
        <v>0.0</v>
      </c>
      <c r="H687" s="84">
        <v>101.0</v>
      </c>
      <c r="I687" s="84">
        <v>20.0</v>
      </c>
      <c r="J687" s="84"/>
      <c r="K687" s="84"/>
      <c r="L687" s="84"/>
      <c r="M687" s="84"/>
      <c r="N687" s="84">
        <v>0.0</v>
      </c>
      <c r="O687" s="84">
        <v>0.0</v>
      </c>
      <c r="P687" s="84">
        <v>0.0</v>
      </c>
      <c r="Q687" s="84"/>
      <c r="R687" s="84"/>
      <c r="S687" s="84"/>
      <c r="T687" s="84"/>
      <c r="U687" s="84">
        <v>399.0</v>
      </c>
      <c r="V687" s="84"/>
      <c r="W687" s="84">
        <v>50.0</v>
      </c>
      <c r="X687" s="84">
        <v>0.0</v>
      </c>
      <c r="Y687" s="84"/>
      <c r="Z687" s="84"/>
      <c r="AA687" s="84"/>
      <c r="AB687" s="84"/>
      <c r="AC687" s="84"/>
      <c r="AD687" s="84"/>
      <c r="AE687" s="84"/>
      <c r="AF687" s="84"/>
      <c r="AG687" s="84"/>
      <c r="AH687" s="84">
        <v>0.0</v>
      </c>
      <c r="AI687" s="84">
        <v>0.0</v>
      </c>
      <c r="AJ687" s="84">
        <v>0.0</v>
      </c>
      <c r="AK687" s="84">
        <v>1.0</v>
      </c>
      <c r="AL687" s="84">
        <v>1.0</v>
      </c>
      <c r="AM687" s="84">
        <v>0.0</v>
      </c>
      <c r="AN687" s="84">
        <v>0.0</v>
      </c>
      <c r="AO687" s="84">
        <v>0.0</v>
      </c>
      <c r="AP687" s="84">
        <v>0.0</v>
      </c>
      <c r="AQ687" s="84">
        <v>0.0</v>
      </c>
      <c r="AR687" s="84">
        <v>0.0</v>
      </c>
      <c r="AS687" s="84">
        <v>0.0</v>
      </c>
      <c r="AT687" s="84">
        <v>1.0</v>
      </c>
      <c r="AU687" s="84">
        <v>0.0</v>
      </c>
      <c r="AV687" s="84">
        <v>0.0</v>
      </c>
      <c r="AW687" s="84">
        <v>0.0</v>
      </c>
      <c r="AX687" s="84">
        <v>0.0</v>
      </c>
      <c r="AY687" s="84">
        <v>1.0</v>
      </c>
      <c r="AZ687" s="84">
        <v>0.0</v>
      </c>
    </row>
    <row r="688" ht="12.75" customHeight="1">
      <c r="A688" s="84">
        <v>686.0</v>
      </c>
      <c r="B688" s="84" t="s">
        <v>5897</v>
      </c>
      <c r="C688" s="84">
        <v>0.0</v>
      </c>
      <c r="D688" s="84" t="s">
        <v>4916</v>
      </c>
      <c r="E688" s="84">
        <v>0.0</v>
      </c>
      <c r="F688" s="84" t="s">
        <v>5172</v>
      </c>
      <c r="G688" s="84">
        <v>90.0</v>
      </c>
      <c r="H688" s="84">
        <v>100.0</v>
      </c>
      <c r="I688" s="84">
        <v>15.0</v>
      </c>
      <c r="J688" s="84"/>
      <c r="K688" s="84"/>
      <c r="L688" s="84"/>
      <c r="M688" s="84"/>
      <c r="N688" s="84">
        <v>0.0</v>
      </c>
      <c r="O688" s="84">
        <v>0.0</v>
      </c>
      <c r="P688" s="84">
        <v>0.0</v>
      </c>
      <c r="Q688" s="84"/>
      <c r="R688" s="84"/>
      <c r="S688" s="84"/>
      <c r="T688" s="84"/>
      <c r="U688" s="84">
        <v>400.0</v>
      </c>
      <c r="V688" s="84"/>
      <c r="W688" s="84"/>
      <c r="X688" s="84">
        <v>0.0</v>
      </c>
      <c r="Y688" s="84"/>
      <c r="Z688" s="84"/>
      <c r="AA688" s="84"/>
      <c r="AB688" s="84"/>
      <c r="AC688" s="84"/>
      <c r="AD688" s="84"/>
      <c r="AE688" s="84"/>
      <c r="AF688" s="84"/>
      <c r="AG688" s="84"/>
      <c r="AH688" s="84">
        <v>0.0</v>
      </c>
      <c r="AI688" s="84">
        <v>0.0</v>
      </c>
      <c r="AJ688" s="84">
        <v>0.0</v>
      </c>
      <c r="AK688" s="84">
        <v>1.0</v>
      </c>
      <c r="AL688" s="84">
        <v>0.0</v>
      </c>
      <c r="AM688" s="84">
        <v>0.0</v>
      </c>
      <c r="AN688" s="84">
        <v>1.0</v>
      </c>
      <c r="AO688" s="84">
        <v>0.0</v>
      </c>
      <c r="AP688" s="84">
        <v>0.0</v>
      </c>
      <c r="AQ688" s="84">
        <v>0.0</v>
      </c>
      <c r="AR688" s="84">
        <v>0.0</v>
      </c>
      <c r="AS688" s="84">
        <v>0.0</v>
      </c>
      <c r="AT688" s="84">
        <v>0.0</v>
      </c>
      <c r="AU688" s="84">
        <v>0.0</v>
      </c>
      <c r="AV688" s="84">
        <v>0.0</v>
      </c>
      <c r="AW688" s="84">
        <v>0.0</v>
      </c>
      <c r="AX688" s="84">
        <v>1.0</v>
      </c>
      <c r="AY688" s="84">
        <v>1.0</v>
      </c>
      <c r="AZ688" s="84">
        <v>0.0</v>
      </c>
    </row>
    <row r="689" ht="12.75" customHeight="1">
      <c r="A689" s="84">
        <v>687.0</v>
      </c>
      <c r="B689" s="84" t="s">
        <v>5898</v>
      </c>
      <c r="C689" s="84">
        <v>0.0</v>
      </c>
      <c r="D689" s="84" t="s">
        <v>4956</v>
      </c>
      <c r="E689" s="84">
        <v>0.0</v>
      </c>
      <c r="F689" s="84" t="s">
        <v>5172</v>
      </c>
      <c r="G689" s="84">
        <v>100.0</v>
      </c>
      <c r="H689" s="84">
        <v>100.0</v>
      </c>
      <c r="I689" s="84">
        <v>10.0</v>
      </c>
      <c r="J689" s="84"/>
      <c r="K689" s="84"/>
      <c r="L689" s="84"/>
      <c r="M689" s="84"/>
      <c r="N689" s="84">
        <v>0.0</v>
      </c>
      <c r="O689" s="84">
        <v>0.0</v>
      </c>
      <c r="P689" s="84">
        <v>0.0</v>
      </c>
      <c r="Q689" s="84"/>
      <c r="R689" s="84"/>
      <c r="S689" s="84"/>
      <c r="T689" s="84"/>
      <c r="U689" s="84">
        <v>401.0</v>
      </c>
      <c r="V689" s="84"/>
      <c r="W689" s="84"/>
      <c r="X689" s="84">
        <v>5.0</v>
      </c>
      <c r="Y689" s="84"/>
      <c r="Z689" s="84"/>
      <c r="AA689" s="84"/>
      <c r="AB689" s="84"/>
      <c r="AC689" s="84"/>
      <c r="AD689" s="84"/>
      <c r="AE689" s="84"/>
      <c r="AF689" s="84"/>
      <c r="AG689" s="84"/>
      <c r="AH689" s="84">
        <v>0.0</v>
      </c>
      <c r="AI689" s="84">
        <v>0.0</v>
      </c>
      <c r="AJ689" s="84">
        <v>0.0</v>
      </c>
      <c r="AK689" s="84">
        <v>1.0</v>
      </c>
      <c r="AL689" s="84">
        <v>0.0</v>
      </c>
      <c r="AM689" s="84">
        <v>0.0</v>
      </c>
      <c r="AN689" s="84">
        <v>1.0</v>
      </c>
      <c r="AO689" s="84">
        <v>0.0</v>
      </c>
      <c r="AP689" s="84">
        <v>0.0</v>
      </c>
      <c r="AQ689" s="84">
        <v>0.0</v>
      </c>
      <c r="AR689" s="84">
        <v>0.0</v>
      </c>
      <c r="AS689" s="84">
        <v>0.0</v>
      </c>
      <c r="AT689" s="84">
        <v>0.0</v>
      </c>
      <c r="AU689" s="84">
        <v>0.0</v>
      </c>
      <c r="AV689" s="84">
        <v>0.0</v>
      </c>
      <c r="AW689" s="84">
        <v>0.0</v>
      </c>
      <c r="AX689" s="84">
        <v>0.0</v>
      </c>
      <c r="AY689" s="84">
        <v>1.0</v>
      </c>
      <c r="AZ689" s="84">
        <v>0.0</v>
      </c>
    </row>
    <row r="690" ht="12.75" customHeight="1">
      <c r="A690" s="84">
        <v>688.0</v>
      </c>
      <c r="B690" s="84" t="s">
        <v>5899</v>
      </c>
      <c r="C690" s="84">
        <v>0.0</v>
      </c>
      <c r="D690" s="84" t="s">
        <v>4904</v>
      </c>
      <c r="E690" s="84">
        <v>6.0</v>
      </c>
      <c r="F690" s="84" t="s">
        <v>5135</v>
      </c>
      <c r="G690" s="84">
        <v>70.0</v>
      </c>
      <c r="H690" s="84">
        <v>100.0</v>
      </c>
      <c r="I690" s="84">
        <v>15.0</v>
      </c>
      <c r="J690" s="84"/>
      <c r="K690" s="84"/>
      <c r="L690" s="84"/>
      <c r="M690" s="84"/>
      <c r="N690" s="84">
        <v>0.0</v>
      </c>
      <c r="O690" s="84">
        <v>0.0</v>
      </c>
      <c r="P690" s="84">
        <v>0.0</v>
      </c>
      <c r="Q690" s="84"/>
      <c r="R690" s="84"/>
      <c r="S690" s="84"/>
      <c r="T690" s="84"/>
      <c r="U690" s="84">
        <v>395.0</v>
      </c>
      <c r="V690" s="84"/>
      <c r="W690" s="84"/>
      <c r="X690" s="84">
        <v>0.0</v>
      </c>
      <c r="Y690" s="84" t="s">
        <v>20</v>
      </c>
      <c r="Z690" s="84">
        <v>-1.0</v>
      </c>
      <c r="AA690" s="84">
        <v>100.0</v>
      </c>
      <c r="AB690" s="84"/>
      <c r="AC690" s="84"/>
      <c r="AD690" s="84"/>
      <c r="AE690" s="84"/>
      <c r="AF690" s="84"/>
      <c r="AG690" s="84"/>
      <c r="AH690" s="84">
        <v>1.0</v>
      </c>
      <c r="AI690" s="84">
        <v>0.0</v>
      </c>
      <c r="AJ690" s="84">
        <v>0.0</v>
      </c>
      <c r="AK690" s="84">
        <v>1.0</v>
      </c>
      <c r="AL690" s="84">
        <v>0.0</v>
      </c>
      <c r="AM690" s="84">
        <v>0.0</v>
      </c>
      <c r="AN690" s="84">
        <v>1.0</v>
      </c>
      <c r="AO690" s="84">
        <v>0.0</v>
      </c>
      <c r="AP690" s="84">
        <v>0.0</v>
      </c>
      <c r="AQ690" s="84">
        <v>0.0</v>
      </c>
      <c r="AR690" s="84">
        <v>0.0</v>
      </c>
      <c r="AS690" s="84">
        <v>0.0</v>
      </c>
      <c r="AT690" s="84">
        <v>0.0</v>
      </c>
      <c r="AU690" s="84">
        <v>0.0</v>
      </c>
      <c r="AV690" s="84">
        <v>0.0</v>
      </c>
      <c r="AW690" s="84">
        <v>0.0</v>
      </c>
      <c r="AX690" s="84">
        <v>0.0</v>
      </c>
      <c r="AY690" s="84">
        <v>1.0</v>
      </c>
      <c r="AZ690" s="84">
        <v>0.0</v>
      </c>
    </row>
    <row r="691" ht="12.75" customHeight="1">
      <c r="A691" s="84">
        <v>689.0</v>
      </c>
      <c r="B691" s="84" t="s">
        <v>5900</v>
      </c>
      <c r="C691" s="84">
        <v>0.0</v>
      </c>
      <c r="D691" s="84" t="s">
        <v>2659</v>
      </c>
      <c r="E691" s="84">
        <v>13.0</v>
      </c>
      <c r="F691" s="84" t="s">
        <v>5131</v>
      </c>
      <c r="G691" s="84">
        <v>0.0</v>
      </c>
      <c r="H691" s="84">
        <v>101.0</v>
      </c>
      <c r="I691" s="84">
        <v>15.0</v>
      </c>
      <c r="J691" s="84"/>
      <c r="K691" s="84"/>
      <c r="L691" s="84"/>
      <c r="M691" s="84"/>
      <c r="N691" s="84">
        <v>0.0</v>
      </c>
      <c r="O691" s="84">
        <v>0.0</v>
      </c>
      <c r="P691" s="84">
        <v>0.0</v>
      </c>
      <c r="Q691" s="84"/>
      <c r="R691" s="84"/>
      <c r="S691" s="84"/>
      <c r="T691" s="84"/>
      <c r="U691" s="84">
        <v>402.0</v>
      </c>
      <c r="V691" s="84"/>
      <c r="W691" s="84"/>
      <c r="X691" s="84">
        <v>0.0</v>
      </c>
      <c r="Y691" s="84"/>
      <c r="Z691" s="84"/>
      <c r="AA691" s="84"/>
      <c r="AB691" s="84"/>
      <c r="AC691" s="84"/>
      <c r="AD691" s="84"/>
      <c r="AE691" s="84"/>
      <c r="AF691" s="84"/>
      <c r="AG691" s="84"/>
      <c r="AH691" s="84">
        <v>0.0</v>
      </c>
      <c r="AI691" s="84">
        <v>0.0</v>
      </c>
      <c r="AJ691" s="84">
        <v>0.0</v>
      </c>
      <c r="AK691" s="84">
        <v>1.0</v>
      </c>
      <c r="AL691" s="84">
        <v>0.0</v>
      </c>
      <c r="AM691" s="84">
        <v>0.0</v>
      </c>
      <c r="AN691" s="84">
        <v>0.0</v>
      </c>
      <c r="AO691" s="84">
        <v>0.0</v>
      </c>
      <c r="AP691" s="84">
        <v>0.0</v>
      </c>
      <c r="AQ691" s="84">
        <v>0.0</v>
      </c>
      <c r="AR691" s="84">
        <v>0.0</v>
      </c>
      <c r="AS691" s="84">
        <v>0.0</v>
      </c>
      <c r="AT691" s="84">
        <v>0.0</v>
      </c>
      <c r="AU691" s="84">
        <v>1.0</v>
      </c>
      <c r="AV691" s="84">
        <v>0.0</v>
      </c>
      <c r="AW691" s="84">
        <v>1.0</v>
      </c>
      <c r="AX691" s="84">
        <v>0.0</v>
      </c>
      <c r="AY691" s="84">
        <v>0.0</v>
      </c>
      <c r="AZ691" s="84">
        <v>0.0</v>
      </c>
    </row>
    <row r="692" ht="12.75" customHeight="1">
      <c r="A692" s="84">
        <v>690.0</v>
      </c>
      <c r="B692" s="84" t="s">
        <v>5901</v>
      </c>
      <c r="C692" s="84">
        <v>0.0</v>
      </c>
      <c r="D692" s="84" t="s">
        <v>4907</v>
      </c>
      <c r="E692" s="84">
        <v>0.0</v>
      </c>
      <c r="F692" s="84" t="s">
        <v>5135</v>
      </c>
      <c r="G692" s="84">
        <v>100.0</v>
      </c>
      <c r="H692" s="84">
        <v>100.0</v>
      </c>
      <c r="I692" s="84">
        <v>15.0</v>
      </c>
      <c r="J692" s="84">
        <v>-3.0</v>
      </c>
      <c r="K692" s="84"/>
      <c r="L692" s="84"/>
      <c r="M692" s="84"/>
      <c r="N692" s="84">
        <v>0.0</v>
      </c>
      <c r="O692" s="84">
        <v>0.0</v>
      </c>
      <c r="P692" s="84">
        <v>0.0</v>
      </c>
      <c r="Q692" s="84"/>
      <c r="R692" s="84"/>
      <c r="S692" s="84"/>
      <c r="T692" s="84"/>
      <c r="U692" s="84">
        <v>403.0</v>
      </c>
      <c r="V692" s="84"/>
      <c r="W692" s="84"/>
      <c r="X692" s="84">
        <v>0.0</v>
      </c>
      <c r="Y692" s="84"/>
      <c r="Z692" s="84"/>
      <c r="AA692" s="84"/>
      <c r="AB692" s="84"/>
      <c r="AC692" s="84"/>
      <c r="AD692" s="84"/>
      <c r="AE692" s="84"/>
      <c r="AF692" s="84"/>
      <c r="AG692" s="84"/>
      <c r="AH692" s="84">
        <v>0.0</v>
      </c>
      <c r="AI692" s="84">
        <v>0.0</v>
      </c>
      <c r="AJ692" s="84">
        <v>0.0</v>
      </c>
      <c r="AK692" s="84">
        <v>1.0</v>
      </c>
      <c r="AL692" s="84">
        <v>0.0</v>
      </c>
      <c r="AM692" s="84">
        <v>0.0</v>
      </c>
      <c r="AN692" s="84">
        <v>0.0</v>
      </c>
      <c r="AO692" s="84">
        <v>0.0</v>
      </c>
      <c r="AP692" s="84">
        <v>0.0</v>
      </c>
      <c r="AQ692" s="84">
        <v>0.0</v>
      </c>
      <c r="AR692" s="84">
        <v>0.0</v>
      </c>
      <c r="AS692" s="84">
        <v>0.0</v>
      </c>
      <c r="AT692" s="84">
        <v>0.0</v>
      </c>
      <c r="AU692" s="84">
        <v>0.0</v>
      </c>
      <c r="AV692" s="84">
        <v>0.0</v>
      </c>
      <c r="AW692" s="84">
        <v>0.0</v>
      </c>
      <c r="AX692" s="84">
        <v>0.0</v>
      </c>
      <c r="AY692" s="84">
        <v>0.0</v>
      </c>
      <c r="AZ692" s="84">
        <v>0.0</v>
      </c>
    </row>
    <row r="693" ht="12.75" customHeight="1">
      <c r="A693" s="84">
        <v>691.0</v>
      </c>
      <c r="B693" s="84" t="s">
        <v>5902</v>
      </c>
      <c r="C693" s="84">
        <v>0.0</v>
      </c>
      <c r="D693" s="84" t="s">
        <v>4956</v>
      </c>
      <c r="E693" s="84">
        <v>7.0</v>
      </c>
      <c r="F693" s="84" t="s">
        <v>5172</v>
      </c>
      <c r="G693" s="84">
        <v>110.0</v>
      </c>
      <c r="H693" s="84">
        <v>100.0</v>
      </c>
      <c r="I693" s="84">
        <v>5.0</v>
      </c>
      <c r="J693" s="84"/>
      <c r="K693" s="84"/>
      <c r="L693" s="84"/>
      <c r="M693" s="84"/>
      <c r="N693" s="84">
        <v>0.0</v>
      </c>
      <c r="O693" s="84">
        <v>0.0</v>
      </c>
      <c r="P693" s="84">
        <v>0.0</v>
      </c>
      <c r="Q693" s="84"/>
      <c r="R693" s="84"/>
      <c r="S693" s="84"/>
      <c r="T693" s="84"/>
      <c r="U693" s="84">
        <v>404.0</v>
      </c>
      <c r="V693" s="84"/>
      <c r="W693" s="84"/>
      <c r="X693" s="84">
        <v>5.0</v>
      </c>
      <c r="Y693" s="84" t="s">
        <v>21</v>
      </c>
      <c r="Z693" s="84">
        <v>-1.0</v>
      </c>
      <c r="AA693" s="84">
        <v>100.0</v>
      </c>
      <c r="AB693" s="84"/>
      <c r="AC693" s="84"/>
      <c r="AD693" s="84"/>
      <c r="AE693" s="84"/>
      <c r="AF693" s="84"/>
      <c r="AG693" s="84"/>
      <c r="AH693" s="84">
        <v>0.0</v>
      </c>
      <c r="AI693" s="84">
        <v>0.0</v>
      </c>
      <c r="AJ693" s="84">
        <v>0.0</v>
      </c>
      <c r="AK693" s="84">
        <v>1.0</v>
      </c>
      <c r="AL693" s="84">
        <v>0.0</v>
      </c>
      <c r="AM693" s="84">
        <v>0.0</v>
      </c>
      <c r="AN693" s="84">
        <v>1.0</v>
      </c>
      <c r="AO693" s="84">
        <v>0.0</v>
      </c>
      <c r="AP693" s="84">
        <v>1.0</v>
      </c>
      <c r="AQ693" s="84">
        <v>0.0</v>
      </c>
      <c r="AR693" s="84">
        <v>0.0</v>
      </c>
      <c r="AS693" s="84">
        <v>0.0</v>
      </c>
      <c r="AT693" s="84">
        <v>0.0</v>
      </c>
      <c r="AU693" s="84">
        <v>1.0</v>
      </c>
      <c r="AV693" s="84">
        <v>0.0</v>
      </c>
      <c r="AW693" s="84">
        <v>0.0</v>
      </c>
      <c r="AX693" s="84">
        <v>0.0</v>
      </c>
      <c r="AY693" s="84">
        <v>1.0</v>
      </c>
      <c r="AZ693" s="84">
        <v>0.0</v>
      </c>
    </row>
    <row r="694" ht="12.75" customHeight="1">
      <c r="A694" s="84">
        <v>692.0</v>
      </c>
      <c r="B694" s="84" t="s">
        <v>5903</v>
      </c>
      <c r="C694" s="84">
        <v>1.0</v>
      </c>
      <c r="D694" s="84" t="s">
        <v>4956</v>
      </c>
      <c r="E694" s="84">
        <v>0.0</v>
      </c>
      <c r="F694" s="84" t="s">
        <v>5135</v>
      </c>
      <c r="G694" s="84">
        <v>90.0</v>
      </c>
      <c r="H694" s="84">
        <v>100.0</v>
      </c>
      <c r="I694" s="84">
        <v>15.0</v>
      </c>
      <c r="N694" s="84">
        <v>0.0</v>
      </c>
      <c r="O694" s="84">
        <v>0.0</v>
      </c>
      <c r="P694" s="84">
        <v>0.0</v>
      </c>
      <c r="U694" s="84">
        <v>0.0</v>
      </c>
      <c r="X694" s="84">
        <v>0.0</v>
      </c>
      <c r="AH694" s="84">
        <v>1.0</v>
      </c>
      <c r="AI694" s="84">
        <v>0.0</v>
      </c>
      <c r="AJ694" s="84">
        <v>0.0</v>
      </c>
      <c r="AK694" s="84">
        <v>1.0</v>
      </c>
      <c r="AL694" s="84">
        <v>0.0</v>
      </c>
      <c r="AM694" s="84">
        <v>0.0</v>
      </c>
      <c r="AN694" s="84">
        <v>1.0</v>
      </c>
      <c r="AO694" s="84">
        <v>0.0</v>
      </c>
      <c r="AP694" s="84">
        <v>0.0</v>
      </c>
      <c r="AQ694" s="84">
        <v>0.0</v>
      </c>
      <c r="AR694" s="84">
        <v>0.0</v>
      </c>
      <c r="AS694" s="84">
        <v>0.0</v>
      </c>
      <c r="AT694" s="84">
        <v>0.0</v>
      </c>
      <c r="AU694" s="84">
        <v>0.0</v>
      </c>
      <c r="AV694" s="84">
        <v>0.0</v>
      </c>
      <c r="AW694" s="84">
        <v>0.0</v>
      </c>
      <c r="AX694" s="84">
        <v>0.0</v>
      </c>
      <c r="AY694" s="84">
        <v>1.0</v>
      </c>
      <c r="AZ694" s="84">
        <v>42.0</v>
      </c>
    </row>
    <row r="695" ht="12.75" customHeight="1">
      <c r="A695" s="84">
        <v>693.0</v>
      </c>
      <c r="B695" s="84" t="s">
        <v>5904</v>
      </c>
      <c r="C695" s="84">
        <v>0.0</v>
      </c>
      <c r="D695" s="84" t="s">
        <v>4972</v>
      </c>
      <c r="E695" s="84">
        <v>0.0</v>
      </c>
      <c r="F695" s="84" t="s">
        <v>5135</v>
      </c>
      <c r="G695" s="84">
        <v>60.0</v>
      </c>
      <c r="H695" s="84">
        <v>100.0</v>
      </c>
      <c r="I695" s="84">
        <v>20.0</v>
      </c>
      <c r="J695" s="84"/>
      <c r="K695" s="84"/>
      <c r="L695" s="84"/>
      <c r="M695" s="84"/>
      <c r="N695" s="84">
        <v>0.0</v>
      </c>
      <c r="O695" s="84">
        <v>0.0</v>
      </c>
      <c r="P695" s="84">
        <v>0.0</v>
      </c>
      <c r="Q695" s="84"/>
      <c r="R695" s="84"/>
      <c r="S695" s="84"/>
      <c r="T695" s="84"/>
      <c r="U695" s="84">
        <v>405.0</v>
      </c>
      <c r="V695" s="84"/>
      <c r="W695" s="84"/>
      <c r="X695" s="84">
        <v>4.0</v>
      </c>
      <c r="Y695" s="84"/>
      <c r="Z695" s="84"/>
      <c r="AA695" s="84"/>
      <c r="AB695" s="84"/>
      <c r="AC695" s="84"/>
      <c r="AD695" s="84"/>
      <c r="AE695" s="84"/>
      <c r="AF695" s="84"/>
      <c r="AG695" s="84"/>
      <c r="AH695" s="84">
        <v>1.0</v>
      </c>
      <c r="AI695" s="84">
        <v>0.0</v>
      </c>
      <c r="AJ695" s="84">
        <v>0.0</v>
      </c>
      <c r="AK695" s="84">
        <v>1.0</v>
      </c>
      <c r="AL695" s="84">
        <v>0.0</v>
      </c>
      <c r="AM695" s="84">
        <v>0.0</v>
      </c>
      <c r="AN695" s="84">
        <v>1.0</v>
      </c>
      <c r="AO695" s="84">
        <v>0.0</v>
      </c>
      <c r="AP695" s="84">
        <v>0.0</v>
      </c>
      <c r="AQ695" s="84">
        <v>0.0</v>
      </c>
      <c r="AR695" s="84">
        <v>0.0</v>
      </c>
      <c r="AS695" s="84">
        <v>0.0</v>
      </c>
      <c r="AT695" s="84">
        <v>0.0</v>
      </c>
      <c r="AU695" s="84">
        <v>0.0</v>
      </c>
      <c r="AV695" s="84">
        <v>0.0</v>
      </c>
      <c r="AW695" s="84">
        <v>0.0</v>
      </c>
      <c r="AX695" s="84">
        <v>0.0</v>
      </c>
      <c r="AY695" s="84">
        <v>1.0</v>
      </c>
      <c r="AZ695" s="84">
        <v>0.0</v>
      </c>
    </row>
    <row r="696" ht="12.75" customHeight="1">
      <c r="A696" s="84">
        <v>694.0</v>
      </c>
      <c r="B696" s="84" t="s">
        <v>4324</v>
      </c>
      <c r="C696" s="84">
        <v>1.0</v>
      </c>
      <c r="D696" s="84" t="s">
        <v>4942</v>
      </c>
      <c r="E696" s="84">
        <v>11.0</v>
      </c>
      <c r="F696" s="84" t="s">
        <v>5131</v>
      </c>
      <c r="G696" s="84">
        <v>0.0</v>
      </c>
      <c r="H696" s="84">
        <v>101.0</v>
      </c>
      <c r="I696" s="84">
        <v>20.0</v>
      </c>
      <c r="N696" s="84">
        <v>0.0</v>
      </c>
      <c r="O696" s="84">
        <v>0.0</v>
      </c>
      <c r="P696" s="84">
        <v>0.0</v>
      </c>
      <c r="U696" s="84">
        <v>406.0</v>
      </c>
      <c r="X696" s="84">
        <v>12.0</v>
      </c>
      <c r="AH696" s="84">
        <v>0.0</v>
      </c>
      <c r="AI696" s="84">
        <v>0.0</v>
      </c>
      <c r="AJ696" s="84">
        <v>0.0</v>
      </c>
      <c r="AK696" s="84">
        <v>0.0</v>
      </c>
      <c r="AL696" s="84">
        <v>0.0</v>
      </c>
      <c r="AM696" s="84">
        <v>1.0</v>
      </c>
      <c r="AN696" s="84">
        <v>0.0</v>
      </c>
      <c r="AO696" s="84">
        <v>0.0</v>
      </c>
      <c r="AP696" s="84">
        <v>0.0</v>
      </c>
      <c r="AQ696" s="84">
        <v>0.0</v>
      </c>
      <c r="AR696" s="84">
        <v>0.0</v>
      </c>
      <c r="AS696" s="84">
        <v>0.0</v>
      </c>
      <c r="AT696" s="84">
        <v>0.0</v>
      </c>
      <c r="AU696" s="84">
        <v>0.0</v>
      </c>
      <c r="AV696" s="84">
        <v>0.0</v>
      </c>
      <c r="AW696" s="84">
        <v>0.0</v>
      </c>
      <c r="AX696" s="84">
        <v>0.0</v>
      </c>
      <c r="AY696" s="84">
        <v>1.0</v>
      </c>
      <c r="AZ696" s="84">
        <v>17.0</v>
      </c>
    </row>
    <row r="697" ht="12.75" customHeight="1">
      <c r="A697" s="84">
        <v>695.0</v>
      </c>
      <c r="B697" s="84" t="s">
        <v>5905</v>
      </c>
      <c r="C697" s="84">
        <v>0.0</v>
      </c>
      <c r="D697" s="84" t="s">
        <v>4945</v>
      </c>
      <c r="E697" s="84">
        <v>0.0</v>
      </c>
      <c r="F697" s="84" t="s">
        <v>5135</v>
      </c>
      <c r="G697" s="84">
        <v>180.0</v>
      </c>
      <c r="H697" s="84">
        <v>101.0</v>
      </c>
      <c r="I697" s="84">
        <v>1.0</v>
      </c>
      <c r="J697" s="84"/>
      <c r="K697" s="84"/>
      <c r="L697" s="84"/>
      <c r="M697" s="84"/>
      <c r="N697" s="84">
        <v>0.0</v>
      </c>
      <c r="O697" s="84">
        <v>0.0</v>
      </c>
      <c r="P697" s="84">
        <v>0.0</v>
      </c>
      <c r="Q697" s="84"/>
      <c r="R697" s="84"/>
      <c r="S697" s="84"/>
      <c r="T697" s="84"/>
      <c r="U697" s="84">
        <v>0.0</v>
      </c>
      <c r="V697" s="84"/>
      <c r="W697" s="84"/>
      <c r="X697" s="84">
        <v>0.0</v>
      </c>
      <c r="Y697" s="84"/>
      <c r="Z697" s="84"/>
      <c r="AA697" s="84"/>
      <c r="AB697" s="84"/>
      <c r="AC697" s="84"/>
      <c r="AD697" s="84"/>
      <c r="AE697" s="84"/>
      <c r="AF697" s="84"/>
      <c r="AG697" s="84"/>
      <c r="AH697" s="84">
        <v>0.0</v>
      </c>
      <c r="AI697" s="84">
        <v>0.0</v>
      </c>
      <c r="AJ697" s="84">
        <v>0.0</v>
      </c>
      <c r="AK697" s="84">
        <v>0.0</v>
      </c>
      <c r="AL697" s="84">
        <v>0.0</v>
      </c>
      <c r="AM697" s="84">
        <v>0.0</v>
      </c>
      <c r="AN697" s="84">
        <v>0.0</v>
      </c>
      <c r="AO697" s="84">
        <v>0.0</v>
      </c>
      <c r="AP697" s="84">
        <v>0.0</v>
      </c>
      <c r="AQ697" s="84">
        <v>0.0</v>
      </c>
      <c r="AR697" s="84">
        <v>0.0</v>
      </c>
      <c r="AS697" s="84">
        <v>0.0</v>
      </c>
      <c r="AT697" s="84">
        <v>0.0</v>
      </c>
      <c r="AU697" s="84">
        <v>0.0</v>
      </c>
      <c r="AV697" s="84">
        <v>0.0</v>
      </c>
      <c r="AW697" s="84">
        <v>0.0</v>
      </c>
      <c r="AX697" s="84">
        <v>0.0</v>
      </c>
      <c r="AY697" s="84">
        <v>0.0</v>
      </c>
      <c r="AZ697" s="84">
        <v>0.0</v>
      </c>
    </row>
    <row r="698" ht="12.75" customHeight="1">
      <c r="A698" s="84">
        <v>696.0</v>
      </c>
      <c r="B698" s="84" t="s">
        <v>5906</v>
      </c>
      <c r="C698" s="84">
        <v>0.0</v>
      </c>
      <c r="D698" s="84" t="s">
        <v>4972</v>
      </c>
      <c r="E698" s="84">
        <v>0.0</v>
      </c>
      <c r="F698" s="84" t="s">
        <v>5135</v>
      </c>
      <c r="G698" s="84">
        <v>180.0</v>
      </c>
      <c r="H698" s="84">
        <v>101.0</v>
      </c>
      <c r="I698" s="84">
        <v>1.0</v>
      </c>
      <c r="J698" s="84"/>
      <c r="K698" s="84"/>
      <c r="L698" s="84"/>
      <c r="M698" s="84"/>
      <c r="N698" s="84">
        <v>0.0</v>
      </c>
      <c r="O698" s="84">
        <v>0.0</v>
      </c>
      <c r="P698" s="84">
        <v>0.0</v>
      </c>
      <c r="Q698" s="84"/>
      <c r="R698" s="84"/>
      <c r="S698" s="84"/>
      <c r="T698" s="84"/>
      <c r="U698" s="84">
        <v>0.0</v>
      </c>
      <c r="V698" s="84"/>
      <c r="W698" s="84"/>
      <c r="X698" s="84">
        <v>0.0</v>
      </c>
      <c r="Y698" s="84"/>
      <c r="Z698" s="84"/>
      <c r="AA698" s="84"/>
      <c r="AB698" s="84"/>
      <c r="AC698" s="84"/>
      <c r="AD698" s="84"/>
      <c r="AE698" s="84"/>
      <c r="AF698" s="84"/>
      <c r="AG698" s="84"/>
      <c r="AH698" s="84">
        <v>1.0</v>
      </c>
      <c r="AI698" s="84">
        <v>0.0</v>
      </c>
      <c r="AJ698" s="84">
        <v>0.0</v>
      </c>
      <c r="AK698" s="84">
        <v>0.0</v>
      </c>
      <c r="AL698" s="84">
        <v>0.0</v>
      </c>
      <c r="AM698" s="84">
        <v>0.0</v>
      </c>
      <c r="AN698" s="84">
        <v>0.0</v>
      </c>
      <c r="AO698" s="84">
        <v>0.0</v>
      </c>
      <c r="AP698" s="84">
        <v>0.0</v>
      </c>
      <c r="AQ698" s="84">
        <v>0.0</v>
      </c>
      <c r="AR698" s="84">
        <v>0.0</v>
      </c>
      <c r="AS698" s="84">
        <v>0.0</v>
      </c>
      <c r="AT698" s="84">
        <v>0.0</v>
      </c>
      <c r="AU698" s="84">
        <v>0.0</v>
      </c>
      <c r="AV698" s="84">
        <v>0.0</v>
      </c>
      <c r="AW698" s="84">
        <v>0.0</v>
      </c>
      <c r="AX698" s="84">
        <v>0.0</v>
      </c>
      <c r="AY698" s="84">
        <v>0.0</v>
      </c>
      <c r="AZ698" s="84">
        <v>0.0</v>
      </c>
    </row>
    <row r="699" ht="12.75" customHeight="1">
      <c r="A699" s="84">
        <v>697.0</v>
      </c>
      <c r="B699" s="84" t="s">
        <v>5907</v>
      </c>
      <c r="C699" s="84">
        <v>0.0</v>
      </c>
      <c r="D699" s="84" t="s">
        <v>4908</v>
      </c>
      <c r="E699" s="84">
        <v>0.0</v>
      </c>
      <c r="F699" s="84" t="s">
        <v>5172</v>
      </c>
      <c r="G699" s="84">
        <v>195.0</v>
      </c>
      <c r="H699" s="84">
        <v>101.0</v>
      </c>
      <c r="I699" s="84">
        <v>1.0</v>
      </c>
      <c r="J699" s="84"/>
      <c r="K699" s="84"/>
      <c r="L699" s="84"/>
      <c r="M699" s="84"/>
      <c r="N699" s="84">
        <v>0.0</v>
      </c>
      <c r="O699" s="84">
        <v>0.0</v>
      </c>
      <c r="P699" s="84">
        <v>0.0</v>
      </c>
      <c r="Q699" s="84"/>
      <c r="R699" s="84"/>
      <c r="S699" s="84"/>
      <c r="T699" s="84"/>
      <c r="U699" s="84">
        <v>0.0</v>
      </c>
      <c r="V699" s="84"/>
      <c r="W699" s="84"/>
      <c r="X699" s="84">
        <v>0.0</v>
      </c>
      <c r="Y699" s="84"/>
      <c r="Z699" s="84"/>
      <c r="AA699" s="84"/>
      <c r="AB699" s="84"/>
      <c r="AC699" s="84"/>
      <c r="AD699" s="84"/>
      <c r="AE699" s="84"/>
      <c r="AF699" s="84"/>
      <c r="AG699" s="84"/>
      <c r="AH699" s="84">
        <v>0.0</v>
      </c>
      <c r="AI699" s="84">
        <v>0.0</v>
      </c>
      <c r="AJ699" s="84">
        <v>0.0</v>
      </c>
      <c r="AK699" s="84">
        <v>0.0</v>
      </c>
      <c r="AL699" s="84">
        <v>0.0</v>
      </c>
      <c r="AM699" s="84">
        <v>0.0</v>
      </c>
      <c r="AN699" s="84">
        <v>0.0</v>
      </c>
      <c r="AO699" s="84">
        <v>0.0</v>
      </c>
      <c r="AP699" s="84">
        <v>0.0</v>
      </c>
      <c r="AQ699" s="84">
        <v>0.0</v>
      </c>
      <c r="AR699" s="84">
        <v>0.0</v>
      </c>
      <c r="AS699" s="84">
        <v>0.0</v>
      </c>
      <c r="AT699" s="84">
        <v>0.0</v>
      </c>
      <c r="AU699" s="84">
        <v>0.0</v>
      </c>
      <c r="AV699" s="84">
        <v>0.0</v>
      </c>
      <c r="AW699" s="84">
        <v>0.0</v>
      </c>
      <c r="AX699" s="84">
        <v>0.0</v>
      </c>
      <c r="AY699" s="84">
        <v>0.0</v>
      </c>
      <c r="AZ699" s="84">
        <v>0.0</v>
      </c>
    </row>
    <row r="700" ht="12.75" customHeight="1">
      <c r="A700" s="84">
        <v>698.0</v>
      </c>
      <c r="B700" s="84" t="s">
        <v>5908</v>
      </c>
      <c r="C700" s="84">
        <v>0.0</v>
      </c>
      <c r="D700" s="84" t="s">
        <v>5072</v>
      </c>
      <c r="E700" s="84">
        <v>0.0</v>
      </c>
      <c r="F700" s="84" t="s">
        <v>5172</v>
      </c>
      <c r="G700" s="84">
        <v>1.0</v>
      </c>
      <c r="H700" s="84">
        <v>101.0</v>
      </c>
      <c r="I700" s="84">
        <v>1.0</v>
      </c>
      <c r="J700" s="84"/>
      <c r="K700" s="84"/>
      <c r="L700" s="84"/>
      <c r="M700" s="84"/>
      <c r="N700" s="84">
        <v>0.0</v>
      </c>
      <c r="O700" s="84">
        <v>0.0</v>
      </c>
      <c r="P700" s="84">
        <v>0.0</v>
      </c>
      <c r="Q700" s="84"/>
      <c r="R700" s="84"/>
      <c r="S700" s="84"/>
      <c r="T700" s="84"/>
      <c r="U700" s="84">
        <v>412.0</v>
      </c>
      <c r="V700" s="84"/>
      <c r="W700" s="84"/>
      <c r="X700" s="84">
        <v>0.0</v>
      </c>
      <c r="Y700" s="84"/>
      <c r="Z700" s="84"/>
      <c r="AA700" s="84"/>
      <c r="AB700" s="84"/>
      <c r="AC700" s="84"/>
      <c r="AD700" s="84"/>
      <c r="AE700" s="84"/>
      <c r="AF700" s="84"/>
      <c r="AG700" s="84"/>
      <c r="AH700" s="84">
        <v>0.0</v>
      </c>
      <c r="AI700" s="84">
        <v>0.0</v>
      </c>
      <c r="AJ700" s="84">
        <v>0.0</v>
      </c>
      <c r="AK700" s="84">
        <v>0.0</v>
      </c>
      <c r="AL700" s="84">
        <v>0.0</v>
      </c>
      <c r="AM700" s="84">
        <v>0.0</v>
      </c>
      <c r="AN700" s="84">
        <v>0.0</v>
      </c>
      <c r="AO700" s="84">
        <v>0.0</v>
      </c>
      <c r="AP700" s="84">
        <v>0.0</v>
      </c>
      <c r="AQ700" s="84">
        <v>0.0</v>
      </c>
      <c r="AR700" s="84">
        <v>0.0</v>
      </c>
      <c r="AS700" s="84">
        <v>0.0</v>
      </c>
      <c r="AT700" s="84">
        <v>0.0</v>
      </c>
      <c r="AU700" s="84">
        <v>0.0</v>
      </c>
      <c r="AV700" s="84">
        <v>0.0</v>
      </c>
      <c r="AW700" s="84">
        <v>0.0</v>
      </c>
      <c r="AX700" s="84">
        <v>0.0</v>
      </c>
      <c r="AY700" s="84">
        <v>0.0</v>
      </c>
      <c r="AZ700" s="84">
        <v>0.0</v>
      </c>
    </row>
    <row r="701" ht="12.75" customHeight="1">
      <c r="A701" s="84">
        <v>699.0</v>
      </c>
      <c r="B701" s="84" t="s">
        <v>5909</v>
      </c>
      <c r="C701" s="84">
        <v>0.0</v>
      </c>
      <c r="D701" s="84" t="s">
        <v>4945</v>
      </c>
      <c r="E701" s="84">
        <v>0.0</v>
      </c>
      <c r="F701" s="84" t="s">
        <v>5135</v>
      </c>
      <c r="G701" s="84">
        <v>195.0</v>
      </c>
      <c r="H701" s="84">
        <v>101.0</v>
      </c>
      <c r="I701" s="84">
        <v>1.0</v>
      </c>
      <c r="J701" s="84"/>
      <c r="K701" s="84"/>
      <c r="L701" s="84"/>
      <c r="M701" s="84"/>
      <c r="N701" s="84">
        <v>0.0</v>
      </c>
      <c r="O701" s="84">
        <v>0.0</v>
      </c>
      <c r="P701" s="84">
        <v>0.0</v>
      </c>
      <c r="Q701" s="84"/>
      <c r="R701" s="84"/>
      <c r="S701" s="84"/>
      <c r="T701" s="84"/>
      <c r="U701" s="84">
        <v>0.0</v>
      </c>
      <c r="V701" s="84"/>
      <c r="W701" s="84"/>
      <c r="X701" s="84">
        <v>0.0</v>
      </c>
      <c r="Y701" s="84"/>
      <c r="Z701" s="84"/>
      <c r="AA701" s="84"/>
      <c r="AB701" s="84"/>
      <c r="AC701" s="84"/>
      <c r="AD701" s="84"/>
      <c r="AE701" s="84"/>
      <c r="AF701" s="84"/>
      <c r="AG701" s="84"/>
      <c r="AH701" s="84">
        <v>1.0</v>
      </c>
      <c r="AI701" s="84">
        <v>0.0</v>
      </c>
      <c r="AJ701" s="84">
        <v>0.0</v>
      </c>
      <c r="AK701" s="84">
        <v>0.0</v>
      </c>
      <c r="AL701" s="84">
        <v>0.0</v>
      </c>
      <c r="AM701" s="84">
        <v>0.0</v>
      </c>
      <c r="AN701" s="84">
        <v>0.0</v>
      </c>
      <c r="AO701" s="84">
        <v>0.0</v>
      </c>
      <c r="AP701" s="84">
        <v>0.0</v>
      </c>
      <c r="AQ701" s="84">
        <v>0.0</v>
      </c>
      <c r="AR701" s="84">
        <v>0.0</v>
      </c>
      <c r="AS701" s="84">
        <v>0.0</v>
      </c>
      <c r="AT701" s="84">
        <v>0.0</v>
      </c>
      <c r="AU701" s="84">
        <v>0.0</v>
      </c>
      <c r="AV701" s="84">
        <v>0.0</v>
      </c>
      <c r="AW701" s="84">
        <v>0.0</v>
      </c>
      <c r="AX701" s="84">
        <v>0.0</v>
      </c>
      <c r="AY701" s="84">
        <v>0.0</v>
      </c>
      <c r="AZ701" s="84">
        <v>0.0</v>
      </c>
    </row>
    <row r="702" ht="12.75" customHeight="1">
      <c r="A702" s="84">
        <v>700.0</v>
      </c>
      <c r="B702" s="84" t="s">
        <v>5910</v>
      </c>
      <c r="C702" s="84">
        <v>0.0</v>
      </c>
      <c r="D702" s="84" t="s">
        <v>4921</v>
      </c>
      <c r="E702" s="84">
        <v>4.0</v>
      </c>
      <c r="F702" s="84" t="s">
        <v>5172</v>
      </c>
      <c r="G702" s="84">
        <v>175.0</v>
      </c>
      <c r="H702" s="84">
        <v>101.0</v>
      </c>
      <c r="I702" s="84">
        <v>1.0</v>
      </c>
      <c r="J702" s="84"/>
      <c r="K702" s="84"/>
      <c r="L702" s="84"/>
      <c r="M702" s="84" t="s">
        <v>5452</v>
      </c>
      <c r="N702" s="84">
        <v>1.0</v>
      </c>
      <c r="O702" s="84">
        <v>100.0</v>
      </c>
      <c r="P702" s="84">
        <v>1.0</v>
      </c>
      <c r="Q702" s="84"/>
      <c r="R702" s="84"/>
      <c r="S702" s="84"/>
      <c r="T702" s="84"/>
      <c r="U702" s="84">
        <v>6.0</v>
      </c>
      <c r="V702" s="84"/>
      <c r="W702" s="84"/>
      <c r="X702" s="84">
        <v>0.0</v>
      </c>
      <c r="Y702" s="84"/>
      <c r="Z702" s="84"/>
      <c r="AA702" s="84"/>
      <c r="AB702" s="84"/>
      <c r="AC702" s="84"/>
      <c r="AD702" s="84"/>
      <c r="AE702" s="84"/>
      <c r="AF702" s="84"/>
      <c r="AG702" s="84"/>
      <c r="AH702" s="84">
        <v>0.0</v>
      </c>
      <c r="AI702" s="84">
        <v>0.0</v>
      </c>
      <c r="AJ702" s="84">
        <v>0.0</v>
      </c>
      <c r="AK702" s="84">
        <v>0.0</v>
      </c>
      <c r="AL702" s="84">
        <v>0.0</v>
      </c>
      <c r="AM702" s="84">
        <v>0.0</v>
      </c>
      <c r="AN702" s="84">
        <v>0.0</v>
      </c>
      <c r="AO702" s="84">
        <v>0.0</v>
      </c>
      <c r="AP702" s="84">
        <v>0.0</v>
      </c>
      <c r="AQ702" s="84">
        <v>0.0</v>
      </c>
      <c r="AR702" s="84">
        <v>0.0</v>
      </c>
      <c r="AS702" s="84">
        <v>0.0</v>
      </c>
      <c r="AT702" s="84">
        <v>0.0</v>
      </c>
      <c r="AU702" s="84">
        <v>0.0</v>
      </c>
      <c r="AV702" s="84">
        <v>0.0</v>
      </c>
      <c r="AW702" s="84">
        <v>0.0</v>
      </c>
      <c r="AX702" s="84">
        <v>0.0</v>
      </c>
      <c r="AY702" s="84">
        <v>0.0</v>
      </c>
      <c r="AZ702" s="84">
        <v>0.0</v>
      </c>
    </row>
    <row r="703" ht="12.75" customHeight="1">
      <c r="A703" s="84">
        <v>701.0</v>
      </c>
      <c r="B703" s="84" t="s">
        <v>5911</v>
      </c>
      <c r="C703" s="84">
        <v>0.0</v>
      </c>
      <c r="D703" s="84" t="s">
        <v>4916</v>
      </c>
      <c r="E703" s="84">
        <v>0.0</v>
      </c>
      <c r="F703" s="84" t="s">
        <v>5135</v>
      </c>
      <c r="G703" s="84">
        <v>210.0</v>
      </c>
      <c r="H703" s="84">
        <v>101.0</v>
      </c>
      <c r="I703" s="84">
        <v>1.0</v>
      </c>
      <c r="J703" s="84"/>
      <c r="K703" s="84"/>
      <c r="L703" s="84"/>
      <c r="M703" s="84"/>
      <c r="N703" s="84">
        <v>0.0</v>
      </c>
      <c r="O703" s="84">
        <v>0.0</v>
      </c>
      <c r="P703" s="84">
        <v>0.0</v>
      </c>
      <c r="Q703" s="84"/>
      <c r="R703" s="84"/>
      <c r="S703" s="84"/>
      <c r="T703" s="84"/>
      <c r="U703" s="84">
        <v>0.0</v>
      </c>
      <c r="V703" s="84"/>
      <c r="W703" s="84"/>
      <c r="X703" s="84">
        <v>0.0</v>
      </c>
      <c r="Y703" s="84"/>
      <c r="Z703" s="84"/>
      <c r="AA703" s="84"/>
      <c r="AB703" s="84"/>
      <c r="AC703" s="84"/>
      <c r="AD703" s="84"/>
      <c r="AE703" s="84"/>
      <c r="AF703" s="84"/>
      <c r="AG703" s="84"/>
      <c r="AH703" s="84">
        <v>1.0</v>
      </c>
      <c r="AI703" s="84">
        <v>0.0</v>
      </c>
      <c r="AJ703" s="84">
        <v>0.0</v>
      </c>
      <c r="AK703" s="84">
        <v>0.0</v>
      </c>
      <c r="AL703" s="84">
        <v>0.0</v>
      </c>
      <c r="AM703" s="84">
        <v>0.0</v>
      </c>
      <c r="AN703" s="84">
        <v>0.0</v>
      </c>
      <c r="AO703" s="84">
        <v>0.0</v>
      </c>
      <c r="AP703" s="84">
        <v>0.0</v>
      </c>
      <c r="AQ703" s="84">
        <v>0.0</v>
      </c>
      <c r="AR703" s="84">
        <v>0.0</v>
      </c>
      <c r="AS703" s="84">
        <v>0.0</v>
      </c>
      <c r="AT703" s="84">
        <v>0.0</v>
      </c>
      <c r="AU703" s="84">
        <v>0.0</v>
      </c>
      <c r="AV703" s="84">
        <v>0.0</v>
      </c>
      <c r="AW703" s="84">
        <v>0.0</v>
      </c>
      <c r="AX703" s="84">
        <v>0.0</v>
      </c>
      <c r="AY703" s="84">
        <v>0.0</v>
      </c>
      <c r="AZ703" s="84">
        <v>0.0</v>
      </c>
    </row>
    <row r="704" ht="12.75" customHeight="1">
      <c r="A704" s="84">
        <v>702.0</v>
      </c>
      <c r="B704" s="84" t="s">
        <v>5912</v>
      </c>
      <c r="C704" s="84">
        <v>0.0</v>
      </c>
      <c r="D704" s="84" t="s">
        <v>4916</v>
      </c>
      <c r="E704" s="84">
        <v>2.0</v>
      </c>
      <c r="F704" s="84" t="s">
        <v>5131</v>
      </c>
      <c r="G704" s="84">
        <v>0.0</v>
      </c>
      <c r="H704" s="84">
        <v>101.0</v>
      </c>
      <c r="I704" s="84">
        <v>1.0</v>
      </c>
      <c r="J704" s="84"/>
      <c r="K704" s="84"/>
      <c r="L704" s="84"/>
      <c r="M704" s="84"/>
      <c r="N704" s="84">
        <v>0.0</v>
      </c>
      <c r="O704" s="84">
        <v>0.0</v>
      </c>
      <c r="P704" s="84">
        <v>0.0</v>
      </c>
      <c r="Q704" s="84"/>
      <c r="R704" s="84"/>
      <c r="S704" s="84"/>
      <c r="T704" s="84"/>
      <c r="U704" s="84">
        <v>413.0</v>
      </c>
      <c r="V704" s="84"/>
      <c r="W704" s="84"/>
      <c r="X704" s="84">
        <v>7.0</v>
      </c>
      <c r="Y704" s="84" t="s">
        <v>5159</v>
      </c>
      <c r="Z704" s="84">
        <v>2.0</v>
      </c>
      <c r="AA704" s="84">
        <v>100.0</v>
      </c>
      <c r="AB704" s="84"/>
      <c r="AC704" s="84"/>
      <c r="AD704" s="84"/>
      <c r="AE704" s="84"/>
      <c r="AF704" s="84"/>
      <c r="AG704" s="84"/>
      <c r="AH704" s="84">
        <v>0.0</v>
      </c>
      <c r="AI704" s="84">
        <v>0.0</v>
      </c>
      <c r="AJ704" s="84">
        <v>0.0</v>
      </c>
      <c r="AK704" s="84">
        <v>0.0</v>
      </c>
      <c r="AL704" s="84">
        <v>0.0</v>
      </c>
      <c r="AM704" s="84">
        <v>0.0</v>
      </c>
      <c r="AN704" s="84">
        <v>0.0</v>
      </c>
      <c r="AO704" s="84">
        <v>0.0</v>
      </c>
      <c r="AP704" s="84">
        <v>0.0</v>
      </c>
      <c r="AQ704" s="84">
        <v>0.0</v>
      </c>
      <c r="AR704" s="84">
        <v>0.0</v>
      </c>
      <c r="AS704" s="84">
        <v>0.0</v>
      </c>
      <c r="AT704" s="84">
        <v>0.0</v>
      </c>
      <c r="AU704" s="84">
        <v>0.0</v>
      </c>
      <c r="AV704" s="84">
        <v>0.0</v>
      </c>
      <c r="AW704" s="84">
        <v>0.0</v>
      </c>
      <c r="AX704" s="84">
        <v>0.0</v>
      </c>
      <c r="AY704" s="84">
        <v>0.0</v>
      </c>
      <c r="AZ704" s="84">
        <v>0.0</v>
      </c>
    </row>
    <row r="705" ht="12.75" customHeight="1">
      <c r="A705" s="84">
        <v>703.0</v>
      </c>
      <c r="B705" s="84" t="s">
        <v>5913</v>
      </c>
      <c r="C705" s="84">
        <v>0.0</v>
      </c>
      <c r="D705" s="84" t="s">
        <v>2659</v>
      </c>
      <c r="E705" s="84">
        <v>0.0</v>
      </c>
      <c r="F705" s="84" t="s">
        <v>5172</v>
      </c>
      <c r="G705" s="84">
        <v>185.0</v>
      </c>
      <c r="H705" s="84">
        <v>101.0</v>
      </c>
      <c r="I705" s="84">
        <v>1.0</v>
      </c>
      <c r="J705" s="84"/>
      <c r="K705" s="84"/>
      <c r="L705" s="84"/>
      <c r="M705" s="84"/>
      <c r="N705" s="84">
        <v>0.0</v>
      </c>
      <c r="O705" s="84">
        <v>0.0</v>
      </c>
      <c r="P705" s="84">
        <v>0.0</v>
      </c>
      <c r="Q705" s="84"/>
      <c r="R705" s="84"/>
      <c r="S705" s="84"/>
      <c r="T705" s="84"/>
      <c r="U705" s="84">
        <v>414.0</v>
      </c>
      <c r="V705" s="84"/>
      <c r="W705" s="84"/>
      <c r="X705" s="84">
        <v>0.0</v>
      </c>
      <c r="Y705" s="84"/>
      <c r="Z705" s="84"/>
      <c r="AA705" s="84"/>
      <c r="AB705" s="84"/>
      <c r="AC705" s="84"/>
      <c r="AD705" s="84"/>
      <c r="AE705" s="84"/>
      <c r="AF705" s="84"/>
      <c r="AG705" s="84"/>
      <c r="AH705" s="84">
        <v>0.0</v>
      </c>
      <c r="AI705" s="84">
        <v>0.0</v>
      </c>
      <c r="AJ705" s="84">
        <v>0.0</v>
      </c>
      <c r="AK705" s="84">
        <v>0.0</v>
      </c>
      <c r="AL705" s="84">
        <v>0.0</v>
      </c>
      <c r="AM705" s="84">
        <v>0.0</v>
      </c>
      <c r="AN705" s="84">
        <v>0.0</v>
      </c>
      <c r="AO705" s="84">
        <v>0.0</v>
      </c>
      <c r="AP705" s="84">
        <v>0.0</v>
      </c>
      <c r="AQ705" s="84">
        <v>0.0</v>
      </c>
      <c r="AR705" s="84">
        <v>0.0</v>
      </c>
      <c r="AS705" s="84">
        <v>0.0</v>
      </c>
      <c r="AT705" s="84">
        <v>0.0</v>
      </c>
      <c r="AU705" s="84">
        <v>0.0</v>
      </c>
      <c r="AV705" s="84">
        <v>0.0</v>
      </c>
      <c r="AW705" s="84">
        <v>0.0</v>
      </c>
      <c r="AX705" s="84">
        <v>0.0</v>
      </c>
      <c r="AY705" s="84">
        <v>0.0</v>
      </c>
      <c r="AZ705" s="84">
        <v>0.0</v>
      </c>
    </row>
    <row r="706" ht="12.75" customHeight="1">
      <c r="A706" s="84">
        <v>704.0</v>
      </c>
      <c r="B706" s="84" t="s">
        <v>5914</v>
      </c>
      <c r="C706" s="84">
        <v>0.0</v>
      </c>
      <c r="D706" s="84" t="s">
        <v>4906</v>
      </c>
      <c r="E706" s="84">
        <v>0.0</v>
      </c>
      <c r="F706" s="84" t="s">
        <v>5172</v>
      </c>
      <c r="G706" s="84">
        <v>150.0</v>
      </c>
      <c r="H706" s="84">
        <v>100.0</v>
      </c>
      <c r="I706" s="84">
        <v>5.0</v>
      </c>
      <c r="J706" s="84">
        <v>-3.0</v>
      </c>
      <c r="K706" s="84"/>
      <c r="L706" s="84"/>
      <c r="M706" s="84"/>
      <c r="N706" s="84">
        <v>0.0</v>
      </c>
      <c r="O706" s="84">
        <v>0.0</v>
      </c>
      <c r="P706" s="84">
        <v>0.0</v>
      </c>
      <c r="Q706" s="84"/>
      <c r="R706" s="84"/>
      <c r="S706" s="84"/>
      <c r="T706" s="84"/>
      <c r="U706" s="84">
        <v>407.0</v>
      </c>
      <c r="V706" s="84"/>
      <c r="W706" s="84"/>
      <c r="X706" s="84">
        <v>5.0</v>
      </c>
      <c r="Y706" s="84"/>
      <c r="Z706" s="84"/>
      <c r="AA706" s="84"/>
      <c r="AB706" s="84"/>
      <c r="AC706" s="84"/>
      <c r="AD706" s="84"/>
      <c r="AE706" s="84"/>
      <c r="AF706" s="84"/>
      <c r="AG706" s="84"/>
      <c r="AH706" s="84">
        <v>0.0</v>
      </c>
      <c r="AI706" s="84">
        <v>0.0</v>
      </c>
      <c r="AJ706" s="84">
        <v>0.0</v>
      </c>
      <c r="AK706" s="84">
        <v>1.0</v>
      </c>
      <c r="AL706" s="84">
        <v>0.0</v>
      </c>
      <c r="AM706" s="84">
        <v>0.0</v>
      </c>
      <c r="AN706" s="84">
        <v>0.0</v>
      </c>
      <c r="AO706" s="84">
        <v>0.0</v>
      </c>
      <c r="AP706" s="84">
        <v>0.0</v>
      </c>
      <c r="AQ706" s="84">
        <v>0.0</v>
      </c>
      <c r="AR706" s="84">
        <v>0.0</v>
      </c>
      <c r="AS706" s="84">
        <v>0.0</v>
      </c>
      <c r="AT706" s="84">
        <v>0.0</v>
      </c>
      <c r="AU706" s="84">
        <v>0.0</v>
      </c>
      <c r="AV706" s="84">
        <v>0.0</v>
      </c>
      <c r="AW706" s="84">
        <v>0.0</v>
      </c>
      <c r="AX706" s="84">
        <v>0.0</v>
      </c>
      <c r="AY706" s="84">
        <v>0.0</v>
      </c>
      <c r="AZ706" s="84">
        <v>0.0</v>
      </c>
    </row>
    <row r="707" ht="12.75" customHeight="1">
      <c r="A707" s="84">
        <v>705.0</v>
      </c>
      <c r="B707" s="84" t="s">
        <v>5915</v>
      </c>
      <c r="C707" s="84">
        <v>0.0</v>
      </c>
      <c r="D707" s="84" t="s">
        <v>5072</v>
      </c>
      <c r="E707" s="84">
        <v>7.0</v>
      </c>
      <c r="F707" s="84" t="s">
        <v>5172</v>
      </c>
      <c r="G707" s="84">
        <v>130.0</v>
      </c>
      <c r="H707" s="84">
        <v>90.0</v>
      </c>
      <c r="I707" s="84">
        <v>5.0</v>
      </c>
      <c r="J707" s="84"/>
      <c r="K707" s="84"/>
      <c r="L707" s="84"/>
      <c r="M707" s="84"/>
      <c r="N707" s="84">
        <v>0.0</v>
      </c>
      <c r="O707" s="84">
        <v>0.0</v>
      </c>
      <c r="P707" s="84">
        <v>0.0</v>
      </c>
      <c r="Q707" s="84"/>
      <c r="R707" s="84"/>
      <c r="S707" s="84"/>
      <c r="T707" s="84"/>
      <c r="U707" s="84">
        <v>204.0</v>
      </c>
      <c r="V707" s="84"/>
      <c r="W707" s="84"/>
      <c r="X707" s="84">
        <v>0.0</v>
      </c>
      <c r="Y707" s="84" t="s">
        <v>22</v>
      </c>
      <c r="Z707" s="84">
        <v>-2.0</v>
      </c>
      <c r="AA707" s="84">
        <v>100.0</v>
      </c>
      <c r="AB707" s="84"/>
      <c r="AC707" s="84"/>
      <c r="AD707" s="84"/>
      <c r="AE707" s="84"/>
      <c r="AF707" s="84"/>
      <c r="AG707" s="84"/>
      <c r="AH707" s="84">
        <v>0.0</v>
      </c>
      <c r="AI707" s="84">
        <v>0.0</v>
      </c>
      <c r="AJ707" s="84">
        <v>0.0</v>
      </c>
      <c r="AK707" s="84">
        <v>1.0</v>
      </c>
      <c r="AL707" s="84">
        <v>0.0</v>
      </c>
      <c r="AM707" s="84">
        <v>0.0</v>
      </c>
      <c r="AN707" s="84">
        <v>1.0</v>
      </c>
      <c r="AO707" s="84">
        <v>0.0</v>
      </c>
      <c r="AP707" s="84">
        <v>0.0</v>
      </c>
      <c r="AQ707" s="84">
        <v>0.0</v>
      </c>
      <c r="AR707" s="84">
        <v>0.0</v>
      </c>
      <c r="AS707" s="84">
        <v>0.0</v>
      </c>
      <c r="AT707" s="84">
        <v>0.0</v>
      </c>
      <c r="AU707" s="84">
        <v>0.0</v>
      </c>
      <c r="AV707" s="84">
        <v>0.0</v>
      </c>
      <c r="AW707" s="84">
        <v>0.0</v>
      </c>
      <c r="AX707" s="84">
        <v>0.0</v>
      </c>
      <c r="AY707" s="84">
        <v>0.0</v>
      </c>
      <c r="AZ707" s="84">
        <v>0.0</v>
      </c>
    </row>
    <row r="708" ht="12.75" customHeight="1">
      <c r="A708" s="84">
        <v>706.0</v>
      </c>
      <c r="B708" s="84" t="s">
        <v>5916</v>
      </c>
      <c r="C708" s="84">
        <v>0.0</v>
      </c>
      <c r="D708" s="84" t="s">
        <v>2659</v>
      </c>
      <c r="E708" s="84">
        <v>0.0</v>
      </c>
      <c r="F708" s="84" t="s">
        <v>5135</v>
      </c>
      <c r="G708" s="84">
        <v>85.0</v>
      </c>
      <c r="H708" s="84">
        <v>100.0</v>
      </c>
      <c r="I708" s="84">
        <v>10.0</v>
      </c>
      <c r="J708" s="84"/>
      <c r="K708" s="84"/>
      <c r="L708" s="84"/>
      <c r="M708" s="84"/>
      <c r="N708" s="84">
        <v>0.0</v>
      </c>
      <c r="O708" s="84">
        <v>0.0</v>
      </c>
      <c r="P708" s="84">
        <v>0.0</v>
      </c>
      <c r="Q708" s="84"/>
      <c r="R708" s="84"/>
      <c r="S708" s="84"/>
      <c r="T708" s="84"/>
      <c r="U708" s="84">
        <v>186.0</v>
      </c>
      <c r="V708" s="84"/>
      <c r="W708" s="84"/>
      <c r="X708" s="84">
        <v>0.0</v>
      </c>
      <c r="Y708" s="84"/>
      <c r="Z708" s="84"/>
      <c r="AA708" s="84"/>
      <c r="AB708" s="84"/>
      <c r="AC708" s="84"/>
      <c r="AD708" s="84"/>
      <c r="AE708" s="84"/>
      <c r="AF708" s="84"/>
      <c r="AG708" s="84"/>
      <c r="AH708" s="84">
        <v>1.0</v>
      </c>
      <c r="AI708" s="84">
        <v>0.0</v>
      </c>
      <c r="AJ708" s="84">
        <v>0.0</v>
      </c>
      <c r="AK708" s="84">
        <v>1.0</v>
      </c>
      <c r="AL708" s="84">
        <v>0.0</v>
      </c>
      <c r="AM708" s="84">
        <v>0.0</v>
      </c>
      <c r="AN708" s="84">
        <v>1.0</v>
      </c>
      <c r="AO708" s="84">
        <v>0.0</v>
      </c>
      <c r="AP708" s="84">
        <v>0.0</v>
      </c>
      <c r="AQ708" s="84">
        <v>0.0</v>
      </c>
      <c r="AR708" s="84">
        <v>0.0</v>
      </c>
      <c r="AS708" s="84">
        <v>0.0</v>
      </c>
      <c r="AT708" s="84">
        <v>0.0</v>
      </c>
      <c r="AU708" s="84">
        <v>0.0</v>
      </c>
      <c r="AV708" s="84">
        <v>0.0</v>
      </c>
      <c r="AW708" s="84">
        <v>0.0</v>
      </c>
      <c r="AX708" s="84">
        <v>0.0</v>
      </c>
      <c r="AY708" s="84">
        <v>1.0</v>
      </c>
      <c r="AZ708" s="84">
        <v>0.0</v>
      </c>
    </row>
    <row r="709" ht="12.75" customHeight="1">
      <c r="A709" s="84">
        <v>707.0</v>
      </c>
      <c r="B709" s="84" t="s">
        <v>3479</v>
      </c>
      <c r="C709" s="84">
        <v>1.0</v>
      </c>
      <c r="D709" s="84" t="s">
        <v>4922</v>
      </c>
      <c r="E709" s="84">
        <v>0.0</v>
      </c>
      <c r="F709" s="84" t="s">
        <v>5135</v>
      </c>
      <c r="G709" s="84">
        <v>75.0</v>
      </c>
      <c r="H709" s="84">
        <v>100.0</v>
      </c>
      <c r="I709" s="84">
        <v>10.0</v>
      </c>
      <c r="N709" s="84">
        <v>0.0</v>
      </c>
      <c r="O709" s="84">
        <v>0.0</v>
      </c>
      <c r="P709" s="84">
        <v>0.0</v>
      </c>
      <c r="U709" s="84">
        <v>408.0</v>
      </c>
      <c r="X709" s="84">
        <v>0.0</v>
      </c>
      <c r="AH709" s="84">
        <v>1.0</v>
      </c>
      <c r="AI709" s="84">
        <v>0.0</v>
      </c>
      <c r="AJ709" s="84">
        <v>0.0</v>
      </c>
      <c r="AK709" s="84">
        <v>1.0</v>
      </c>
      <c r="AL709" s="84">
        <v>0.0</v>
      </c>
      <c r="AM709" s="84">
        <v>0.0</v>
      </c>
      <c r="AN709" s="84">
        <v>1.0</v>
      </c>
      <c r="AO709" s="84">
        <v>0.0</v>
      </c>
      <c r="AP709" s="84">
        <v>0.0</v>
      </c>
      <c r="AQ709" s="84">
        <v>0.0</v>
      </c>
      <c r="AR709" s="84">
        <v>0.0</v>
      </c>
      <c r="AS709" s="84">
        <v>0.0</v>
      </c>
      <c r="AT709" s="84">
        <v>0.0</v>
      </c>
      <c r="AU709" s="84">
        <v>0.0</v>
      </c>
      <c r="AV709" s="84">
        <v>0.0</v>
      </c>
      <c r="AW709" s="84">
        <v>0.0</v>
      </c>
      <c r="AX709" s="84">
        <v>0.0</v>
      </c>
      <c r="AY709" s="84">
        <v>1.0</v>
      </c>
      <c r="AZ709" s="84">
        <v>38.0</v>
      </c>
    </row>
    <row r="710" ht="12.75" customHeight="1">
      <c r="A710" s="84">
        <v>708.0</v>
      </c>
      <c r="B710" s="84" t="s">
        <v>5917</v>
      </c>
      <c r="C710" s="84">
        <v>0.0</v>
      </c>
      <c r="D710" s="84" t="s">
        <v>4945</v>
      </c>
      <c r="E710" s="84">
        <v>6.0</v>
      </c>
      <c r="F710" s="84" t="s">
        <v>5135</v>
      </c>
      <c r="G710" s="84">
        <v>85.0</v>
      </c>
      <c r="H710" s="84">
        <v>100.0</v>
      </c>
      <c r="I710" s="84">
        <v>10.0</v>
      </c>
      <c r="J710" s="84"/>
      <c r="K710" s="84"/>
      <c r="L710" s="84"/>
      <c r="M710" s="84"/>
      <c r="N710" s="84">
        <v>0.0</v>
      </c>
      <c r="O710" s="84">
        <v>0.0</v>
      </c>
      <c r="P710" s="84">
        <v>0.0</v>
      </c>
      <c r="Q710" s="84"/>
      <c r="R710" s="84"/>
      <c r="S710" s="84"/>
      <c r="T710" s="84"/>
      <c r="U710" s="84">
        <v>69.0</v>
      </c>
      <c r="V710" s="84"/>
      <c r="W710" s="84"/>
      <c r="X710" s="84">
        <v>0.0</v>
      </c>
      <c r="Y710" s="84" t="s">
        <v>21</v>
      </c>
      <c r="Z710" s="84">
        <v>-1.0</v>
      </c>
      <c r="AA710" s="84">
        <v>20.0</v>
      </c>
      <c r="AB710" s="84"/>
      <c r="AC710" s="84"/>
      <c r="AD710" s="84"/>
      <c r="AE710" s="84"/>
      <c r="AF710" s="84"/>
      <c r="AG710" s="84"/>
      <c r="AH710" s="84">
        <v>0.0</v>
      </c>
      <c r="AI710" s="84">
        <v>0.0</v>
      </c>
      <c r="AJ710" s="84">
        <v>0.0</v>
      </c>
      <c r="AK710" s="84">
        <v>1.0</v>
      </c>
      <c r="AL710" s="84">
        <v>0.0</v>
      </c>
      <c r="AM710" s="84">
        <v>0.0</v>
      </c>
      <c r="AN710" s="84">
        <v>1.0</v>
      </c>
      <c r="AO710" s="84">
        <v>0.0</v>
      </c>
      <c r="AP710" s="84">
        <v>0.0</v>
      </c>
      <c r="AQ710" s="84">
        <v>0.0</v>
      </c>
      <c r="AR710" s="84">
        <v>0.0</v>
      </c>
      <c r="AS710" s="84">
        <v>0.0</v>
      </c>
      <c r="AT710" s="84">
        <v>0.0</v>
      </c>
      <c r="AU710" s="84">
        <v>0.0</v>
      </c>
      <c r="AV710" s="84">
        <v>0.0</v>
      </c>
      <c r="AW710" s="84">
        <v>0.0</v>
      </c>
      <c r="AX710" s="84">
        <v>0.0</v>
      </c>
      <c r="AY710" s="84">
        <v>1.0</v>
      </c>
      <c r="AZ710" s="84">
        <v>0.0</v>
      </c>
    </row>
    <row r="711" ht="12.75" customHeight="1">
      <c r="A711" s="84">
        <v>709.0</v>
      </c>
      <c r="B711" s="84" t="s">
        <v>5918</v>
      </c>
      <c r="C711" s="84">
        <v>0.0</v>
      </c>
      <c r="D711" s="84" t="s">
        <v>4940</v>
      </c>
      <c r="E711" s="84">
        <v>0.0</v>
      </c>
      <c r="F711" s="84" t="s">
        <v>5135</v>
      </c>
      <c r="G711" s="84">
        <v>40.0</v>
      </c>
      <c r="H711" s="84">
        <v>100.0</v>
      </c>
      <c r="I711" s="84">
        <v>20.0</v>
      </c>
      <c r="J711" s="84">
        <v>1.0</v>
      </c>
      <c r="K711" s="84"/>
      <c r="L711" s="84"/>
      <c r="M711" s="84"/>
      <c r="N711" s="84">
        <v>0.0</v>
      </c>
      <c r="O711" s="84">
        <v>0.0</v>
      </c>
      <c r="P711" s="84">
        <v>0.0</v>
      </c>
      <c r="Q711" s="84"/>
      <c r="R711" s="84"/>
      <c r="S711" s="84"/>
      <c r="T711" s="84"/>
      <c r="U711" s="84">
        <v>103.0</v>
      </c>
      <c r="V711" s="84"/>
      <c r="W711" s="84"/>
      <c r="X711" s="84">
        <v>0.0</v>
      </c>
      <c r="Y711" s="84"/>
      <c r="Z711" s="84"/>
      <c r="AA711" s="84"/>
      <c r="AB711" s="84"/>
      <c r="AC711" s="84"/>
      <c r="AD711" s="84"/>
      <c r="AE711" s="84"/>
      <c r="AF711" s="84"/>
      <c r="AG711" s="84"/>
      <c r="AH711" s="84">
        <v>1.0</v>
      </c>
      <c r="AI711" s="84">
        <v>0.0</v>
      </c>
      <c r="AJ711" s="84">
        <v>0.0</v>
      </c>
      <c r="AK711" s="84">
        <v>1.0</v>
      </c>
      <c r="AL711" s="84">
        <v>0.0</v>
      </c>
      <c r="AM711" s="84">
        <v>0.0</v>
      </c>
      <c r="AN711" s="84">
        <v>1.0</v>
      </c>
      <c r="AO711" s="84">
        <v>0.0</v>
      </c>
      <c r="AP711" s="84">
        <v>0.0</v>
      </c>
      <c r="AQ711" s="84">
        <v>0.0</v>
      </c>
      <c r="AR711" s="84">
        <v>0.0</v>
      </c>
      <c r="AS711" s="84">
        <v>0.0</v>
      </c>
      <c r="AT711" s="84">
        <v>0.0</v>
      </c>
      <c r="AU711" s="84">
        <v>0.0</v>
      </c>
      <c r="AV711" s="84">
        <v>0.0</v>
      </c>
      <c r="AW711" s="84">
        <v>0.0</v>
      </c>
      <c r="AX711" s="84">
        <v>0.0</v>
      </c>
      <c r="AY711" s="84">
        <v>1.0</v>
      </c>
      <c r="AZ711" s="84">
        <v>0.0</v>
      </c>
    </row>
    <row r="712" ht="12.75" customHeight="1">
      <c r="A712" s="84">
        <v>710.0</v>
      </c>
      <c r="B712" s="84" t="s">
        <v>5919</v>
      </c>
      <c r="C712" s="84">
        <v>1.0</v>
      </c>
      <c r="D712" s="84" t="s">
        <v>4908</v>
      </c>
      <c r="E712" s="84">
        <v>6.0</v>
      </c>
      <c r="F712" s="84" t="s">
        <v>5135</v>
      </c>
      <c r="G712" s="84">
        <v>85.0</v>
      </c>
      <c r="H712" s="84">
        <v>100.0</v>
      </c>
      <c r="I712" s="84">
        <v>10.0</v>
      </c>
      <c r="N712" s="84">
        <v>0.0</v>
      </c>
      <c r="O712" s="84">
        <v>0.0</v>
      </c>
      <c r="P712" s="84">
        <v>0.0</v>
      </c>
      <c r="U712" s="84">
        <v>69.0</v>
      </c>
      <c r="X712" s="84">
        <v>0.0</v>
      </c>
      <c r="Y712" s="84" t="s">
        <v>21</v>
      </c>
      <c r="Z712" s="84">
        <v>-1.0</v>
      </c>
      <c r="AA712" s="84">
        <v>20.0</v>
      </c>
      <c r="AH712" s="84">
        <v>1.0</v>
      </c>
      <c r="AI712" s="84">
        <v>0.0</v>
      </c>
      <c r="AJ712" s="84">
        <v>0.0</v>
      </c>
      <c r="AK712" s="84">
        <v>1.0</v>
      </c>
      <c r="AL712" s="84">
        <v>0.0</v>
      </c>
      <c r="AM712" s="84">
        <v>0.0</v>
      </c>
      <c r="AN712" s="84">
        <v>1.0</v>
      </c>
      <c r="AO712" s="84">
        <v>0.0</v>
      </c>
      <c r="AP712" s="84">
        <v>0.0</v>
      </c>
      <c r="AQ712" s="84">
        <v>0.0</v>
      </c>
      <c r="AR712" s="84">
        <v>0.0</v>
      </c>
      <c r="AS712" s="84">
        <v>0.0</v>
      </c>
      <c r="AT712" s="84">
        <v>0.0</v>
      </c>
      <c r="AU712" s="84">
        <v>0.0</v>
      </c>
      <c r="AV712" s="84">
        <v>0.0</v>
      </c>
      <c r="AW712" s="84">
        <v>0.0</v>
      </c>
      <c r="AX712" s="84">
        <v>0.0</v>
      </c>
      <c r="AY712" s="84">
        <v>1.0</v>
      </c>
      <c r="AZ712" s="84">
        <v>43.0</v>
      </c>
    </row>
    <row r="713" ht="12.75" customHeight="1">
      <c r="A713" s="84">
        <v>711.0</v>
      </c>
      <c r="B713" s="84" t="s">
        <v>5920</v>
      </c>
      <c r="C713" s="84">
        <v>0.0</v>
      </c>
      <c r="D713" s="84" t="s">
        <v>2659</v>
      </c>
      <c r="E713" s="84">
        <v>0.0</v>
      </c>
      <c r="F713" s="84" t="s">
        <v>5172</v>
      </c>
      <c r="G713" s="84">
        <v>160.0</v>
      </c>
      <c r="H713" s="84">
        <v>100.0</v>
      </c>
      <c r="I713" s="84">
        <v>10.0</v>
      </c>
      <c r="J713" s="84"/>
      <c r="K713" s="84"/>
      <c r="L713" s="84"/>
      <c r="M713" s="84"/>
      <c r="N713" s="84">
        <v>0.0</v>
      </c>
      <c r="O713" s="84">
        <v>0.0</v>
      </c>
      <c r="P713" s="84">
        <v>0.0</v>
      </c>
      <c r="Q713" s="84"/>
      <c r="R713" s="84"/>
      <c r="S713" s="84"/>
      <c r="T713" s="84"/>
      <c r="U713" s="84">
        <v>80.0</v>
      </c>
      <c r="V713" s="84"/>
      <c r="W713" s="84"/>
      <c r="X713" s="84">
        <v>0.0</v>
      </c>
      <c r="Y713" s="84"/>
      <c r="Z713" s="84"/>
      <c r="AA713" s="84"/>
      <c r="AB713" s="84"/>
      <c r="AC713" s="84"/>
      <c r="AD713" s="84"/>
      <c r="AE713" s="84"/>
      <c r="AF713" s="84"/>
      <c r="AG713" s="84"/>
      <c r="AH713" s="84">
        <v>0.0</v>
      </c>
      <c r="AI713" s="84">
        <v>0.0</v>
      </c>
      <c r="AJ713" s="84">
        <v>1.0</v>
      </c>
      <c r="AK713" s="84">
        <v>1.0</v>
      </c>
      <c r="AL713" s="84">
        <v>0.0</v>
      </c>
      <c r="AM713" s="84">
        <v>0.0</v>
      </c>
      <c r="AN713" s="84">
        <v>1.0</v>
      </c>
      <c r="AO713" s="84">
        <v>0.0</v>
      </c>
      <c r="AP713" s="84">
        <v>0.0</v>
      </c>
      <c r="AQ713" s="84">
        <v>0.0</v>
      </c>
      <c r="AR713" s="84">
        <v>0.0</v>
      </c>
      <c r="AS713" s="84">
        <v>0.0</v>
      </c>
      <c r="AT713" s="84">
        <v>0.0</v>
      </c>
      <c r="AU713" s="84">
        <v>0.0</v>
      </c>
      <c r="AV713" s="84">
        <v>0.0</v>
      </c>
      <c r="AW713" s="84">
        <v>0.0</v>
      </c>
      <c r="AX713" s="84">
        <v>0.0</v>
      </c>
      <c r="AY713" s="84">
        <v>1.0</v>
      </c>
      <c r="AZ713" s="84">
        <v>0.0</v>
      </c>
    </row>
    <row r="714" ht="12.75" customHeight="1">
      <c r="A714" s="84">
        <v>712.0</v>
      </c>
      <c r="B714" s="84" t="s">
        <v>5921</v>
      </c>
      <c r="C714" s="84">
        <v>0.0</v>
      </c>
      <c r="D714" s="84" t="s">
        <v>4945</v>
      </c>
      <c r="E714" s="84">
        <v>0.0</v>
      </c>
      <c r="F714" s="84" t="s">
        <v>5135</v>
      </c>
      <c r="G714" s="84">
        <v>90.0</v>
      </c>
      <c r="H714" s="84">
        <v>100.0</v>
      </c>
      <c r="I714" s="84">
        <v>10.0</v>
      </c>
      <c r="J714" s="84"/>
      <c r="K714" s="84"/>
      <c r="L714" s="84"/>
      <c r="M714" s="84"/>
      <c r="N714" s="84">
        <v>0.0</v>
      </c>
      <c r="O714" s="84">
        <v>0.0</v>
      </c>
      <c r="P714" s="84">
        <v>0.0</v>
      </c>
      <c r="Q714" s="84"/>
      <c r="R714" s="84"/>
      <c r="S714" s="84"/>
      <c r="T714" s="84"/>
      <c r="U714" s="84">
        <v>409.0</v>
      </c>
      <c r="V714" s="84"/>
      <c r="W714" s="84"/>
      <c r="X714" s="84">
        <v>0.0</v>
      </c>
      <c r="Y714" s="84"/>
      <c r="Z714" s="84"/>
      <c r="AA714" s="84"/>
      <c r="AB714" s="84"/>
      <c r="AC714" s="84"/>
      <c r="AD714" s="84"/>
      <c r="AE714" s="84"/>
      <c r="AF714" s="84"/>
      <c r="AG714" s="84"/>
      <c r="AH714" s="84">
        <v>1.0</v>
      </c>
      <c r="AI714" s="84">
        <v>0.0</v>
      </c>
      <c r="AJ714" s="84">
        <v>0.0</v>
      </c>
      <c r="AK714" s="84">
        <v>1.0</v>
      </c>
      <c r="AL714" s="84">
        <v>0.0</v>
      </c>
      <c r="AM714" s="84">
        <v>0.0</v>
      </c>
      <c r="AN714" s="84">
        <v>1.0</v>
      </c>
      <c r="AO714" s="84">
        <v>0.0</v>
      </c>
      <c r="AP714" s="84">
        <v>0.0</v>
      </c>
      <c r="AQ714" s="84">
        <v>0.0</v>
      </c>
      <c r="AR714" s="84">
        <v>0.0</v>
      </c>
      <c r="AS714" s="84">
        <v>0.0</v>
      </c>
      <c r="AT714" s="84">
        <v>0.0</v>
      </c>
      <c r="AU714" s="84">
        <v>1.0</v>
      </c>
      <c r="AV714" s="84">
        <v>0.0</v>
      </c>
      <c r="AW714" s="84">
        <v>0.0</v>
      </c>
      <c r="AX714" s="84">
        <v>0.0</v>
      </c>
      <c r="AY714" s="84">
        <v>0.0</v>
      </c>
      <c r="AZ714" s="84">
        <v>0.0</v>
      </c>
    </row>
    <row r="715" ht="12.75" customHeight="1">
      <c r="A715" s="84">
        <v>713.0</v>
      </c>
      <c r="B715" s="84" t="s">
        <v>5922</v>
      </c>
      <c r="C715" s="84">
        <v>0.0</v>
      </c>
      <c r="D715" s="84" t="s">
        <v>4975</v>
      </c>
      <c r="E715" s="84">
        <v>0.0</v>
      </c>
      <c r="F715" s="84" t="s">
        <v>5135</v>
      </c>
      <c r="G715" s="84">
        <v>100.0</v>
      </c>
      <c r="H715" s="84">
        <v>100.0</v>
      </c>
      <c r="I715" s="84">
        <v>5.0</v>
      </c>
      <c r="J715" s="84"/>
      <c r="K715" s="84"/>
      <c r="L715" s="84"/>
      <c r="M715" s="84"/>
      <c r="N715" s="84">
        <v>0.0</v>
      </c>
      <c r="O715" s="84">
        <v>0.0</v>
      </c>
      <c r="P715" s="84">
        <v>0.0</v>
      </c>
      <c r="Q715" s="84"/>
      <c r="R715" s="84"/>
      <c r="S715" s="84"/>
      <c r="T715" s="84"/>
      <c r="U715" s="84">
        <v>410.0</v>
      </c>
      <c r="V715" s="84"/>
      <c r="W715" s="84"/>
      <c r="X715" s="84">
        <v>0.0</v>
      </c>
      <c r="Y715" s="84"/>
      <c r="Z715" s="84"/>
      <c r="AA715" s="84"/>
      <c r="AB715" s="84"/>
      <c r="AC715" s="84"/>
      <c r="AD715" s="84"/>
      <c r="AE715" s="84"/>
      <c r="AF715" s="84"/>
      <c r="AG715" s="84"/>
      <c r="AH715" s="84">
        <v>1.0</v>
      </c>
      <c r="AI715" s="84">
        <v>0.0</v>
      </c>
      <c r="AJ715" s="84">
        <v>0.0</v>
      </c>
      <c r="AK715" s="84">
        <v>1.0</v>
      </c>
      <c r="AL715" s="84">
        <v>0.0</v>
      </c>
      <c r="AM715" s="84">
        <v>0.0</v>
      </c>
      <c r="AN715" s="84">
        <v>1.0</v>
      </c>
      <c r="AO715" s="84">
        <v>0.0</v>
      </c>
      <c r="AP715" s="84">
        <v>0.0</v>
      </c>
      <c r="AQ715" s="84">
        <v>0.0</v>
      </c>
      <c r="AR715" s="84">
        <v>0.0</v>
      </c>
      <c r="AS715" s="84">
        <v>0.0</v>
      </c>
      <c r="AT715" s="84">
        <v>0.0</v>
      </c>
      <c r="AU715" s="84">
        <v>0.0</v>
      </c>
      <c r="AV715" s="84">
        <v>0.0</v>
      </c>
      <c r="AW715" s="84">
        <v>0.0</v>
      </c>
      <c r="AX715" s="84">
        <v>0.0</v>
      </c>
      <c r="AY715" s="84">
        <v>0.0</v>
      </c>
      <c r="AZ715" s="84">
        <v>0.0</v>
      </c>
    </row>
    <row r="716" ht="12.75" customHeight="1">
      <c r="A716" s="84">
        <v>714.0</v>
      </c>
      <c r="B716" s="84" t="s">
        <v>5923</v>
      </c>
      <c r="C716" s="84">
        <v>0.0</v>
      </c>
      <c r="D716" s="84" t="s">
        <v>4945</v>
      </c>
      <c r="E716" s="84">
        <v>0.0</v>
      </c>
      <c r="F716" s="84" t="s">
        <v>5172</v>
      </c>
      <c r="G716" s="84">
        <v>100.0</v>
      </c>
      <c r="H716" s="84">
        <v>100.0</v>
      </c>
      <c r="I716" s="84">
        <v>5.0</v>
      </c>
      <c r="J716" s="84"/>
      <c r="K716" s="84"/>
      <c r="L716" s="84"/>
      <c r="M716" s="84"/>
      <c r="N716" s="84">
        <v>0.0</v>
      </c>
      <c r="O716" s="84">
        <v>0.0</v>
      </c>
      <c r="P716" s="84">
        <v>0.0</v>
      </c>
      <c r="Q716" s="84"/>
      <c r="R716" s="84"/>
      <c r="S716" s="84"/>
      <c r="T716" s="84"/>
      <c r="U716" s="84">
        <v>410.0</v>
      </c>
      <c r="V716" s="84"/>
      <c r="W716" s="84"/>
      <c r="X716" s="84">
        <v>0.0</v>
      </c>
      <c r="Y716" s="84"/>
      <c r="Z716" s="84"/>
      <c r="AA716" s="84"/>
      <c r="AB716" s="84"/>
      <c r="AC716" s="84"/>
      <c r="AD716" s="84"/>
      <c r="AE716" s="84"/>
      <c r="AF716" s="84"/>
      <c r="AG716" s="84"/>
      <c r="AH716" s="84">
        <v>0.0</v>
      </c>
      <c r="AI716" s="84">
        <v>0.0</v>
      </c>
      <c r="AJ716" s="84">
        <v>0.0</v>
      </c>
      <c r="AK716" s="84">
        <v>1.0</v>
      </c>
      <c r="AL716" s="84">
        <v>0.0</v>
      </c>
      <c r="AM716" s="84">
        <v>0.0</v>
      </c>
      <c r="AN716" s="84">
        <v>1.0</v>
      </c>
      <c r="AO716" s="84">
        <v>0.0</v>
      </c>
      <c r="AP716" s="84">
        <v>0.0</v>
      </c>
      <c r="AQ716" s="84">
        <v>0.0</v>
      </c>
      <c r="AR716" s="84">
        <v>0.0</v>
      </c>
      <c r="AS716" s="84">
        <v>0.0</v>
      </c>
      <c r="AT716" s="84">
        <v>0.0</v>
      </c>
      <c r="AU716" s="84">
        <v>0.0</v>
      </c>
      <c r="AV716" s="84">
        <v>0.0</v>
      </c>
      <c r="AW716" s="84">
        <v>0.0</v>
      </c>
      <c r="AX716" s="84">
        <v>0.0</v>
      </c>
      <c r="AY716" s="84">
        <v>0.0</v>
      </c>
      <c r="AZ716" s="84">
        <v>0.0</v>
      </c>
    </row>
    <row r="717" ht="12.75" customHeight="1">
      <c r="A717" s="84">
        <v>715.0</v>
      </c>
      <c r="B717" s="84" t="s">
        <v>5924</v>
      </c>
      <c r="C717" s="84">
        <v>1.0</v>
      </c>
      <c r="D717" s="84" t="s">
        <v>4916</v>
      </c>
      <c r="E717" s="84">
        <v>2.0</v>
      </c>
      <c r="F717" s="84" t="s">
        <v>5131</v>
      </c>
      <c r="G717" s="84">
        <v>0.0</v>
      </c>
      <c r="H717" s="84">
        <v>101.0</v>
      </c>
      <c r="I717" s="84">
        <v>20.0</v>
      </c>
      <c r="N717" s="84">
        <v>0.0</v>
      </c>
      <c r="O717" s="84">
        <v>0.0</v>
      </c>
      <c r="P717" s="84">
        <v>0.0</v>
      </c>
      <c r="U717" s="84">
        <v>411.0</v>
      </c>
      <c r="X717" s="84">
        <v>0.0</v>
      </c>
      <c r="Y717" s="84" t="s">
        <v>20</v>
      </c>
      <c r="Z717" s="84">
        <v>-1.0</v>
      </c>
      <c r="AA717" s="84">
        <v>100.0</v>
      </c>
      <c r="AB717" s="84" t="s">
        <v>22</v>
      </c>
      <c r="AC717" s="84">
        <v>-1.0</v>
      </c>
      <c r="AD717" s="84">
        <v>100.0</v>
      </c>
      <c r="AH717" s="84">
        <v>0.0</v>
      </c>
      <c r="AI717" s="84">
        <v>0.0</v>
      </c>
      <c r="AJ717" s="84">
        <v>0.0</v>
      </c>
      <c r="AK717" s="84">
        <v>0.0</v>
      </c>
      <c r="AL717" s="84">
        <v>1.0</v>
      </c>
      <c r="AM717" s="84">
        <v>0.0</v>
      </c>
      <c r="AN717" s="84">
        <v>1.0</v>
      </c>
      <c r="AO717" s="84">
        <v>0.0</v>
      </c>
      <c r="AP717" s="84">
        <v>0.0</v>
      </c>
      <c r="AQ717" s="84">
        <v>0.0</v>
      </c>
      <c r="AR717" s="84">
        <v>0.0</v>
      </c>
      <c r="AS717" s="84">
        <v>0.0</v>
      </c>
      <c r="AT717" s="84">
        <v>0.0</v>
      </c>
      <c r="AU717" s="84">
        <v>0.0</v>
      </c>
      <c r="AV717" s="84">
        <v>0.0</v>
      </c>
      <c r="AW717" s="84">
        <v>0.0</v>
      </c>
      <c r="AX717" s="84">
        <v>0.0</v>
      </c>
      <c r="AY717" s="84">
        <v>1.0</v>
      </c>
      <c r="AZ717" s="84">
        <v>5.0</v>
      </c>
    </row>
    <row r="718" ht="12.75" customHeight="1">
      <c r="A718" s="84">
        <v>716.0</v>
      </c>
      <c r="B718" s="84" t="s">
        <v>5925</v>
      </c>
      <c r="C718" s="84">
        <v>0.0</v>
      </c>
      <c r="D718" s="84" t="s">
        <v>4921</v>
      </c>
      <c r="E718" s="84">
        <v>0.0</v>
      </c>
      <c r="F718" s="84" t="s">
        <v>5135</v>
      </c>
      <c r="G718" s="84">
        <v>80.0</v>
      </c>
      <c r="H718" s="84">
        <v>100.0</v>
      </c>
      <c r="I718" s="84">
        <v>10.0</v>
      </c>
      <c r="J718" s="84"/>
      <c r="K718" s="84"/>
      <c r="L718" s="84"/>
      <c r="M718" s="84"/>
      <c r="N718" s="84">
        <v>0.0</v>
      </c>
      <c r="O718" s="84">
        <v>0.0</v>
      </c>
      <c r="P718" s="84">
        <v>0.0</v>
      </c>
      <c r="Q718" s="84"/>
      <c r="R718" s="84"/>
      <c r="S718" s="84"/>
      <c r="T718" s="84">
        <v>30.0</v>
      </c>
      <c r="U718" s="84">
        <v>31.0</v>
      </c>
      <c r="V718" s="84"/>
      <c r="W718" s="84"/>
      <c r="X718" s="84">
        <v>0.0</v>
      </c>
      <c r="Y718" s="84"/>
      <c r="Z718" s="84"/>
      <c r="AA718" s="84"/>
      <c r="AB718" s="84"/>
      <c r="AC718" s="84"/>
      <c r="AD718" s="84"/>
      <c r="AE718" s="84"/>
      <c r="AF718" s="84"/>
      <c r="AG718" s="84"/>
      <c r="AH718" s="84">
        <v>1.0</v>
      </c>
      <c r="AI718" s="84">
        <v>0.0</v>
      </c>
      <c r="AJ718" s="84">
        <v>0.0</v>
      </c>
      <c r="AK718" s="84">
        <v>1.0</v>
      </c>
      <c r="AL718" s="84">
        <v>0.0</v>
      </c>
      <c r="AM718" s="84">
        <v>0.0</v>
      </c>
      <c r="AN718" s="84">
        <v>1.0</v>
      </c>
      <c r="AO718" s="84">
        <v>0.0</v>
      </c>
      <c r="AP718" s="84">
        <v>0.0</v>
      </c>
      <c r="AQ718" s="84">
        <v>0.0</v>
      </c>
      <c r="AR718" s="84">
        <v>0.0</v>
      </c>
      <c r="AS718" s="84">
        <v>0.0</v>
      </c>
      <c r="AT718" s="84">
        <v>0.0</v>
      </c>
      <c r="AU718" s="84">
        <v>0.0</v>
      </c>
      <c r="AV718" s="84">
        <v>0.0</v>
      </c>
      <c r="AW718" s="84">
        <v>0.0</v>
      </c>
      <c r="AX718" s="84">
        <v>0.0</v>
      </c>
      <c r="AY718" s="84">
        <v>1.0</v>
      </c>
      <c r="AZ718" s="84">
        <v>0.0</v>
      </c>
    </row>
    <row r="719" ht="12.75" customHeight="1">
      <c r="A719" s="84">
        <v>717.0</v>
      </c>
      <c r="B719" s="84" t="s">
        <v>5926</v>
      </c>
      <c r="C719" s="84">
        <v>0.0</v>
      </c>
      <c r="D719" s="84" t="s">
        <v>5072</v>
      </c>
      <c r="E719" s="84">
        <v>0.0</v>
      </c>
      <c r="F719" s="84" t="s">
        <v>5172</v>
      </c>
      <c r="G719" s="84">
        <v>1.0</v>
      </c>
      <c r="H719" s="84">
        <v>90.0</v>
      </c>
      <c r="I719" s="84">
        <v>10.0</v>
      </c>
      <c r="J719" s="84"/>
      <c r="K719" s="84"/>
      <c r="L719" s="84"/>
      <c r="M719" s="84"/>
      <c r="N719" s="84">
        <v>0.0</v>
      </c>
      <c r="O719" s="84">
        <v>0.0</v>
      </c>
      <c r="P719" s="84">
        <v>0.0</v>
      </c>
      <c r="Q719" s="84"/>
      <c r="R719" s="84"/>
      <c r="S719" s="84"/>
      <c r="T719" s="84"/>
      <c r="U719" s="84">
        <v>40.0</v>
      </c>
      <c r="V719" s="84"/>
      <c r="W719" s="84"/>
      <c r="X719" s="84">
        <v>0.0</v>
      </c>
      <c r="Y719" s="84"/>
      <c r="Z719" s="84"/>
      <c r="AA719" s="84"/>
      <c r="AB719" s="84"/>
      <c r="AC719" s="84"/>
      <c r="AD719" s="84"/>
      <c r="AE719" s="84"/>
      <c r="AF719" s="84"/>
      <c r="AG719" s="84"/>
      <c r="AH719" s="84">
        <v>0.0</v>
      </c>
      <c r="AI719" s="84">
        <v>0.0</v>
      </c>
      <c r="AJ719" s="84">
        <v>0.0</v>
      </c>
      <c r="AK719" s="84">
        <v>1.0</v>
      </c>
      <c r="AL719" s="84">
        <v>0.0</v>
      </c>
      <c r="AM719" s="84">
        <v>0.0</v>
      </c>
      <c r="AN719" s="84">
        <v>1.0</v>
      </c>
      <c r="AO719" s="84">
        <v>0.0</v>
      </c>
      <c r="AP719" s="84">
        <v>0.0</v>
      </c>
      <c r="AQ719" s="84">
        <v>0.0</v>
      </c>
      <c r="AR719" s="84">
        <v>0.0</v>
      </c>
      <c r="AS719" s="84">
        <v>0.0</v>
      </c>
      <c r="AT719" s="84">
        <v>0.0</v>
      </c>
      <c r="AU719" s="84">
        <v>0.0</v>
      </c>
      <c r="AV719" s="84">
        <v>0.0</v>
      </c>
      <c r="AW719" s="84">
        <v>0.0</v>
      </c>
      <c r="AX719" s="84">
        <v>0.0</v>
      </c>
      <c r="AY719" s="84">
        <v>0.0</v>
      </c>
      <c r="AZ719" s="84">
        <v>0.0</v>
      </c>
    </row>
    <row r="720" ht="12.75" customHeight="1">
      <c r="A720" s="84">
        <v>718.0</v>
      </c>
      <c r="B720" s="84" t="s">
        <v>5927</v>
      </c>
      <c r="C720" s="84">
        <v>0.0</v>
      </c>
      <c r="D720" s="84" t="s">
        <v>4916</v>
      </c>
      <c r="E720" s="84">
        <v>0.0</v>
      </c>
      <c r="F720" s="84" t="s">
        <v>5135</v>
      </c>
      <c r="G720" s="84">
        <v>120.0</v>
      </c>
      <c r="H720" s="84">
        <v>100.0</v>
      </c>
      <c r="I720" s="84">
        <v>10.0</v>
      </c>
      <c r="J720" s="84"/>
      <c r="K720" s="84"/>
      <c r="L720" s="84"/>
      <c r="M720" s="84"/>
      <c r="N720" s="84">
        <v>0.0</v>
      </c>
      <c r="O720" s="84">
        <v>0.0</v>
      </c>
      <c r="P720" s="84">
        <v>0.0</v>
      </c>
      <c r="Q720" s="84"/>
      <c r="R720" s="84"/>
      <c r="S720" s="84"/>
      <c r="T720" s="84"/>
      <c r="U720" s="84">
        <v>268.0</v>
      </c>
      <c r="V720" s="84"/>
      <c r="W720" s="84"/>
      <c r="X720" s="84">
        <v>0.0</v>
      </c>
      <c r="Y720" s="84"/>
      <c r="Z720" s="84"/>
      <c r="AA720" s="84"/>
      <c r="AB720" s="84"/>
      <c r="AC720" s="84"/>
      <c r="AD720" s="84"/>
      <c r="AE720" s="84"/>
      <c r="AF720" s="84"/>
      <c r="AG720" s="84"/>
      <c r="AH720" s="84">
        <v>1.0</v>
      </c>
      <c r="AI720" s="84">
        <v>0.0</v>
      </c>
      <c r="AJ720" s="84">
        <v>0.0</v>
      </c>
      <c r="AK720" s="84">
        <v>1.0</v>
      </c>
      <c r="AL720" s="84">
        <v>0.0</v>
      </c>
      <c r="AM720" s="84">
        <v>0.0</v>
      </c>
      <c r="AN720" s="84">
        <v>1.0</v>
      </c>
      <c r="AO720" s="84">
        <v>0.0</v>
      </c>
      <c r="AP720" s="84">
        <v>0.0</v>
      </c>
      <c r="AQ720" s="84">
        <v>0.0</v>
      </c>
      <c r="AR720" s="84">
        <v>0.0</v>
      </c>
      <c r="AS720" s="84">
        <v>0.0</v>
      </c>
      <c r="AT720" s="84">
        <v>0.0</v>
      </c>
      <c r="AU720" s="84">
        <v>0.0</v>
      </c>
      <c r="AV720" s="84">
        <v>0.0</v>
      </c>
      <c r="AW720" s="84">
        <v>0.0</v>
      </c>
      <c r="AX720" s="84">
        <v>0.0</v>
      </c>
      <c r="AY720" s="84">
        <v>1.0</v>
      </c>
      <c r="AZ720" s="84">
        <v>0.0</v>
      </c>
    </row>
    <row r="721" ht="12.75" customHeight="1">
      <c r="A721" s="84">
        <v>719.0</v>
      </c>
      <c r="B721" s="84" t="s">
        <v>5928</v>
      </c>
      <c r="C721" s="84">
        <v>0.0</v>
      </c>
      <c r="D721" s="84" t="s">
        <v>4921</v>
      </c>
      <c r="E721" s="84">
        <v>0.0</v>
      </c>
      <c r="F721" s="84" t="s">
        <v>5172</v>
      </c>
      <c r="G721" s="84">
        <v>195.0</v>
      </c>
      <c r="H721" s="84">
        <v>101.0</v>
      </c>
      <c r="I721" s="84">
        <v>1.0</v>
      </c>
      <c r="J721" s="84"/>
      <c r="K721" s="84"/>
      <c r="L721" s="84"/>
      <c r="M721" s="84"/>
      <c r="N721" s="84">
        <v>0.0</v>
      </c>
      <c r="O721" s="84">
        <v>0.0</v>
      </c>
      <c r="P721" s="84">
        <v>0.0</v>
      </c>
      <c r="Q721" s="84"/>
      <c r="R721" s="84"/>
      <c r="S721" s="84">
        <v>2.0</v>
      </c>
      <c r="T721" s="84"/>
      <c r="U721" s="84">
        <v>0.0</v>
      </c>
      <c r="V721" s="84"/>
      <c r="W721" s="84"/>
      <c r="X721" s="84">
        <v>0.0</v>
      </c>
      <c r="Y721" s="84"/>
      <c r="Z721" s="84"/>
      <c r="AA721" s="84"/>
      <c r="AB721" s="84"/>
      <c r="AC721" s="84"/>
      <c r="AD721" s="84"/>
      <c r="AE721" s="84"/>
      <c r="AF721" s="84"/>
      <c r="AG721" s="84"/>
      <c r="AH721" s="84">
        <v>0.0</v>
      </c>
      <c r="AI721" s="84">
        <v>0.0</v>
      </c>
      <c r="AJ721" s="84">
        <v>0.0</v>
      </c>
      <c r="AK721" s="84">
        <v>0.0</v>
      </c>
      <c r="AL721" s="84">
        <v>0.0</v>
      </c>
      <c r="AM721" s="84">
        <v>0.0</v>
      </c>
      <c r="AN721" s="84">
        <v>0.0</v>
      </c>
      <c r="AO721" s="84">
        <v>0.0</v>
      </c>
      <c r="AP721" s="84">
        <v>0.0</v>
      </c>
      <c r="AQ721" s="84">
        <v>0.0</v>
      </c>
      <c r="AR721" s="84">
        <v>0.0</v>
      </c>
      <c r="AS721" s="84">
        <v>0.0</v>
      </c>
      <c r="AT721" s="84">
        <v>0.0</v>
      </c>
      <c r="AU721" s="84">
        <v>0.0</v>
      </c>
      <c r="AV721" s="84">
        <v>0.0</v>
      </c>
      <c r="AW721" s="84">
        <v>0.0</v>
      </c>
      <c r="AX721" s="84">
        <v>0.0</v>
      </c>
      <c r="AY721" s="84">
        <v>0.0</v>
      </c>
      <c r="AZ721" s="84">
        <v>0.0</v>
      </c>
    </row>
    <row r="722" ht="12.75" customHeight="1">
      <c r="A722" s="84">
        <v>720.0</v>
      </c>
      <c r="B722" s="84" t="s">
        <v>5929</v>
      </c>
      <c r="C722" s="84">
        <v>0.0</v>
      </c>
      <c r="D722" s="84" t="s">
        <v>4906</v>
      </c>
      <c r="E722" s="84">
        <v>0.0</v>
      </c>
      <c r="F722" s="84" t="s">
        <v>5172</v>
      </c>
      <c r="G722" s="84">
        <v>150.0</v>
      </c>
      <c r="H722" s="84">
        <v>100.0</v>
      </c>
      <c r="I722" s="84">
        <v>5.0</v>
      </c>
      <c r="J722" s="84"/>
      <c r="K722" s="84"/>
      <c r="L722" s="84"/>
      <c r="M722" s="84"/>
      <c r="N722" s="84">
        <v>0.0</v>
      </c>
      <c r="O722" s="84">
        <v>0.0</v>
      </c>
      <c r="P722" s="84">
        <v>0.0</v>
      </c>
      <c r="Q722" s="84"/>
      <c r="R722" s="84"/>
      <c r="S722" s="84"/>
      <c r="T722" s="84"/>
      <c r="U722" s="84">
        <v>419.0</v>
      </c>
      <c r="V722" s="84"/>
      <c r="W722" s="84"/>
      <c r="X722" s="84">
        <v>4.0</v>
      </c>
      <c r="Y722" s="84"/>
      <c r="Z722" s="84"/>
      <c r="AA722" s="84"/>
      <c r="AB722" s="84"/>
      <c r="AC722" s="84"/>
      <c r="AD722" s="84"/>
      <c r="AE722" s="84"/>
      <c r="AF722" s="84"/>
      <c r="AG722" s="84"/>
      <c r="AH722" s="84">
        <v>0.0</v>
      </c>
      <c r="AI722" s="84">
        <v>0.0</v>
      </c>
      <c r="AJ722" s="84">
        <v>0.0</v>
      </c>
      <c r="AK722" s="84">
        <v>1.0</v>
      </c>
      <c r="AL722" s="84">
        <v>0.0</v>
      </c>
      <c r="AM722" s="84">
        <v>0.0</v>
      </c>
      <c r="AN722" s="84">
        <v>1.0</v>
      </c>
      <c r="AO722" s="84">
        <v>0.0</v>
      </c>
      <c r="AP722" s="84">
        <v>0.0</v>
      </c>
      <c r="AQ722" s="84">
        <v>0.0</v>
      </c>
      <c r="AR722" s="84">
        <v>0.0</v>
      </c>
      <c r="AS722" s="84">
        <v>0.0</v>
      </c>
      <c r="AT722" s="84">
        <v>0.0</v>
      </c>
      <c r="AU722" s="84">
        <v>0.0</v>
      </c>
      <c r="AV722" s="84">
        <v>0.0</v>
      </c>
      <c r="AW722" s="84">
        <v>0.0</v>
      </c>
      <c r="AX722" s="84">
        <v>0.0</v>
      </c>
      <c r="AY722" s="84">
        <v>0.0</v>
      </c>
      <c r="AZ722" s="84">
        <v>0.0</v>
      </c>
    </row>
    <row r="723" ht="12.75" customHeight="1">
      <c r="A723" s="84">
        <v>721.0</v>
      </c>
      <c r="B723" s="84" t="s">
        <v>5930</v>
      </c>
      <c r="C723" s="84">
        <v>0.0</v>
      </c>
      <c r="D723" s="84" t="s">
        <v>4921</v>
      </c>
      <c r="E723" s="84">
        <v>0.0</v>
      </c>
      <c r="F723" s="84" t="s">
        <v>5135</v>
      </c>
      <c r="G723" s="84">
        <v>100.0</v>
      </c>
      <c r="H723" s="84">
        <v>100.0</v>
      </c>
      <c r="I723" s="84">
        <v>15.0</v>
      </c>
      <c r="J723" s="84"/>
      <c r="K723" s="84"/>
      <c r="L723" s="84"/>
      <c r="M723" s="84"/>
      <c r="N723" s="84">
        <v>0.0</v>
      </c>
      <c r="O723" s="84">
        <v>0.0</v>
      </c>
      <c r="P723" s="84">
        <v>0.0</v>
      </c>
      <c r="Q723" s="84"/>
      <c r="R723" s="84"/>
      <c r="S723" s="84"/>
      <c r="T723" s="84"/>
      <c r="U723" s="84">
        <v>0.0</v>
      </c>
      <c r="V723" s="84"/>
      <c r="W723" s="84"/>
      <c r="X723" s="84">
        <v>0.0</v>
      </c>
      <c r="Y723" s="84"/>
      <c r="Z723" s="84"/>
      <c r="AA723" s="84"/>
      <c r="AB723" s="84"/>
      <c r="AC723" s="84"/>
      <c r="AD723" s="84"/>
      <c r="AE723" s="84"/>
      <c r="AF723" s="84"/>
      <c r="AG723" s="84"/>
      <c r="AH723" s="84">
        <v>1.0</v>
      </c>
      <c r="AI723" s="84">
        <v>0.0</v>
      </c>
      <c r="AJ723" s="84">
        <v>0.0</v>
      </c>
      <c r="AK723" s="84">
        <v>1.0</v>
      </c>
      <c r="AL723" s="84">
        <v>0.0</v>
      </c>
      <c r="AM723" s="84">
        <v>0.0</v>
      </c>
      <c r="AN723" s="84">
        <v>1.0</v>
      </c>
      <c r="AO723" s="84">
        <v>1.0</v>
      </c>
      <c r="AP723" s="84">
        <v>0.0</v>
      </c>
      <c r="AQ723" s="84">
        <v>0.0</v>
      </c>
      <c r="AR723" s="84">
        <v>0.0</v>
      </c>
      <c r="AS723" s="84">
        <v>0.0</v>
      </c>
      <c r="AT723" s="84">
        <v>0.0</v>
      </c>
      <c r="AU723" s="84">
        <v>0.0</v>
      </c>
      <c r="AV723" s="84">
        <v>0.0</v>
      </c>
      <c r="AW723" s="84">
        <v>0.0</v>
      </c>
      <c r="AX723" s="84">
        <v>0.0</v>
      </c>
      <c r="AY723" s="84">
        <v>0.0</v>
      </c>
      <c r="AZ723" s="84">
        <v>0.0</v>
      </c>
    </row>
    <row r="724" ht="12.75" customHeight="1">
      <c r="A724" s="84">
        <v>722.0</v>
      </c>
      <c r="B724" s="84" t="s">
        <v>5931</v>
      </c>
      <c r="C724" s="84">
        <v>0.0</v>
      </c>
      <c r="D724" s="84" t="s">
        <v>2659</v>
      </c>
      <c r="E724" s="84">
        <v>0.0</v>
      </c>
      <c r="F724" s="84" t="s">
        <v>5172</v>
      </c>
      <c r="G724" s="84">
        <v>100.0</v>
      </c>
      <c r="H724" s="84">
        <v>100.0</v>
      </c>
      <c r="I724" s="84">
        <v>5.0</v>
      </c>
      <c r="J724" s="84"/>
      <c r="K724" s="84"/>
      <c r="L724" s="84"/>
      <c r="M724" s="84"/>
      <c r="N724" s="84">
        <v>0.0</v>
      </c>
      <c r="O724" s="84">
        <v>0.0</v>
      </c>
      <c r="P724" s="84">
        <v>0.0</v>
      </c>
      <c r="Q724" s="84"/>
      <c r="R724" s="84"/>
      <c r="S724" s="84"/>
      <c r="T724" s="84"/>
      <c r="U724" s="84">
        <v>0.0</v>
      </c>
      <c r="V724" s="84"/>
      <c r="W724" s="84"/>
      <c r="X724" s="84">
        <v>0.0</v>
      </c>
      <c r="Y724" s="84"/>
      <c r="Z724" s="84"/>
      <c r="AA724" s="84"/>
      <c r="AB724" s="84"/>
      <c r="AC724" s="84"/>
      <c r="AD724" s="84"/>
      <c r="AE724" s="84"/>
      <c r="AF724" s="84"/>
      <c r="AG724" s="84"/>
      <c r="AH724" s="84">
        <v>0.0</v>
      </c>
      <c r="AI724" s="84">
        <v>0.0</v>
      </c>
      <c r="AJ724" s="84">
        <v>0.0</v>
      </c>
      <c r="AK724" s="84">
        <v>1.0</v>
      </c>
      <c r="AL724" s="84">
        <v>0.0</v>
      </c>
      <c r="AM724" s="84">
        <v>0.0</v>
      </c>
      <c r="AN724" s="84">
        <v>1.0</v>
      </c>
      <c r="AO724" s="84">
        <v>0.0</v>
      </c>
      <c r="AP724" s="84">
        <v>0.0</v>
      </c>
      <c r="AQ724" s="84">
        <v>0.0</v>
      </c>
      <c r="AR724" s="84">
        <v>0.0</v>
      </c>
      <c r="AS724" s="84">
        <v>0.0</v>
      </c>
      <c r="AT724" s="84">
        <v>0.0</v>
      </c>
      <c r="AU724" s="84">
        <v>0.0</v>
      </c>
      <c r="AV724" s="84">
        <v>0.0</v>
      </c>
      <c r="AW724" s="84">
        <v>0.0</v>
      </c>
      <c r="AX724" s="84">
        <v>0.0</v>
      </c>
      <c r="AY724" s="84">
        <v>0.0</v>
      </c>
      <c r="AZ724" s="84">
        <v>0.0</v>
      </c>
    </row>
    <row r="725" ht="12.75" customHeight="1">
      <c r="A725" s="84">
        <v>723.0</v>
      </c>
      <c r="B725" s="84" t="s">
        <v>5932</v>
      </c>
      <c r="C725" s="84">
        <v>0.0</v>
      </c>
      <c r="D725" s="84" t="s">
        <v>2659</v>
      </c>
      <c r="E725" s="84">
        <v>0.0</v>
      </c>
      <c r="F725" s="84" t="s">
        <v>5172</v>
      </c>
      <c r="G725" s="84">
        <v>200.0</v>
      </c>
      <c r="H725" s="84">
        <v>101.0</v>
      </c>
      <c r="I725" s="84">
        <v>1.0</v>
      </c>
      <c r="J725" s="84"/>
      <c r="K725" s="84"/>
      <c r="L725" s="84"/>
      <c r="M725" s="84"/>
      <c r="N725" s="84">
        <v>0.0</v>
      </c>
      <c r="O725" s="84">
        <v>0.0</v>
      </c>
      <c r="P725" s="84">
        <v>0.0</v>
      </c>
      <c r="Q725" s="84"/>
      <c r="R725" s="84"/>
      <c r="S725" s="84"/>
      <c r="T725" s="84"/>
      <c r="U725" s="84">
        <v>415.0</v>
      </c>
      <c r="V725" s="84"/>
      <c r="W725" s="84"/>
      <c r="X725" s="84">
        <v>0.0</v>
      </c>
      <c r="Y725" s="84"/>
      <c r="Z725" s="84"/>
      <c r="AA725" s="84"/>
      <c r="AB725" s="84"/>
      <c r="AC725" s="84"/>
      <c r="AD725" s="84"/>
      <c r="AE725" s="84"/>
      <c r="AF725" s="84"/>
      <c r="AG725" s="84"/>
      <c r="AH725" s="84">
        <v>0.0</v>
      </c>
      <c r="AI725" s="84">
        <v>0.0</v>
      </c>
      <c r="AJ725" s="84">
        <v>0.0</v>
      </c>
      <c r="AK725" s="84">
        <v>0.0</v>
      </c>
      <c r="AL725" s="84">
        <v>0.0</v>
      </c>
      <c r="AM725" s="84">
        <v>0.0</v>
      </c>
      <c r="AN725" s="84">
        <v>0.0</v>
      </c>
      <c r="AO725" s="84">
        <v>0.0</v>
      </c>
      <c r="AP725" s="84">
        <v>0.0</v>
      </c>
      <c r="AQ725" s="84">
        <v>0.0</v>
      </c>
      <c r="AR725" s="84">
        <v>0.0</v>
      </c>
      <c r="AS725" s="84">
        <v>0.0</v>
      </c>
      <c r="AT725" s="84">
        <v>0.0</v>
      </c>
      <c r="AU725" s="84">
        <v>0.0</v>
      </c>
      <c r="AV725" s="84">
        <v>0.0</v>
      </c>
      <c r="AW725" s="84">
        <v>0.0</v>
      </c>
      <c r="AX725" s="84">
        <v>0.0</v>
      </c>
      <c r="AY725" s="84">
        <v>0.0</v>
      </c>
      <c r="AZ725" s="84">
        <v>0.0</v>
      </c>
    </row>
    <row r="726" ht="12.75" customHeight="1">
      <c r="A726" s="84">
        <v>724.0</v>
      </c>
      <c r="B726" s="84" t="s">
        <v>5933</v>
      </c>
      <c r="C726" s="84">
        <v>0.0</v>
      </c>
      <c r="D726" s="84" t="s">
        <v>4975</v>
      </c>
      <c r="E726" s="84">
        <v>0.0</v>
      </c>
      <c r="F726" s="84" t="s">
        <v>5135</v>
      </c>
      <c r="G726" s="84">
        <v>200.0</v>
      </c>
      <c r="H726" s="84">
        <v>101.0</v>
      </c>
      <c r="I726" s="84">
        <v>1.0</v>
      </c>
      <c r="J726" s="84"/>
      <c r="K726" s="84"/>
      <c r="L726" s="84"/>
      <c r="M726" s="84"/>
      <c r="N726" s="84">
        <v>0.0</v>
      </c>
      <c r="O726" s="84">
        <v>0.0</v>
      </c>
      <c r="P726" s="84">
        <v>0.0</v>
      </c>
      <c r="Q726" s="84"/>
      <c r="R726" s="84"/>
      <c r="S726" s="84"/>
      <c r="T726" s="84"/>
      <c r="U726" s="84">
        <v>410.0</v>
      </c>
      <c r="V726" s="84"/>
      <c r="W726" s="84"/>
      <c r="X726" s="84">
        <v>0.0</v>
      </c>
      <c r="Y726" s="84"/>
      <c r="Z726" s="84"/>
      <c r="AA726" s="84"/>
      <c r="AB726" s="84"/>
      <c r="AC726" s="84"/>
      <c r="AD726" s="84"/>
      <c r="AE726" s="84"/>
      <c r="AF726" s="84"/>
      <c r="AG726" s="84"/>
      <c r="AH726" s="84">
        <v>1.0</v>
      </c>
      <c r="AI726" s="84">
        <v>0.0</v>
      </c>
      <c r="AJ726" s="84">
        <v>0.0</v>
      </c>
      <c r="AK726" s="84">
        <v>0.0</v>
      </c>
      <c r="AL726" s="84">
        <v>0.0</v>
      </c>
      <c r="AM726" s="84">
        <v>0.0</v>
      </c>
      <c r="AN726" s="84">
        <v>0.0</v>
      </c>
      <c r="AO726" s="84">
        <v>0.0</v>
      </c>
      <c r="AP726" s="84">
        <v>0.0</v>
      </c>
      <c r="AQ726" s="84">
        <v>0.0</v>
      </c>
      <c r="AR726" s="84">
        <v>0.0</v>
      </c>
      <c r="AS726" s="84">
        <v>0.0</v>
      </c>
      <c r="AT726" s="84">
        <v>0.0</v>
      </c>
      <c r="AU726" s="84">
        <v>0.0</v>
      </c>
      <c r="AV726" s="84">
        <v>0.0</v>
      </c>
      <c r="AW726" s="84">
        <v>0.0</v>
      </c>
      <c r="AX726" s="84">
        <v>0.0</v>
      </c>
      <c r="AY726" s="84">
        <v>0.0</v>
      </c>
      <c r="AZ726" s="84">
        <v>0.0</v>
      </c>
    </row>
    <row r="727" ht="12.75" customHeight="1">
      <c r="A727" s="84">
        <v>725.0</v>
      </c>
      <c r="B727" s="84" t="s">
        <v>5934</v>
      </c>
      <c r="C727" s="84">
        <v>0.0</v>
      </c>
      <c r="D727" s="84" t="s">
        <v>4945</v>
      </c>
      <c r="E727" s="84">
        <v>0.0</v>
      </c>
      <c r="F727" s="84" t="s">
        <v>5172</v>
      </c>
      <c r="G727" s="84">
        <v>200.0</v>
      </c>
      <c r="H727" s="84">
        <v>101.0</v>
      </c>
      <c r="I727" s="84">
        <v>1.0</v>
      </c>
      <c r="J727" s="84"/>
      <c r="K727" s="84"/>
      <c r="L727" s="84"/>
      <c r="M727" s="84"/>
      <c r="N727" s="84">
        <v>0.0</v>
      </c>
      <c r="O727" s="84">
        <v>0.0</v>
      </c>
      <c r="P727" s="84">
        <v>0.0</v>
      </c>
      <c r="Q727" s="84"/>
      <c r="R727" s="84"/>
      <c r="S727" s="84"/>
      <c r="T727" s="84"/>
      <c r="U727" s="84">
        <v>410.0</v>
      </c>
      <c r="V727" s="84"/>
      <c r="W727" s="84"/>
      <c r="X727" s="84">
        <v>0.0</v>
      </c>
      <c r="Y727" s="84"/>
      <c r="Z727" s="84"/>
      <c r="AA727" s="84"/>
      <c r="AB727" s="84"/>
      <c r="AC727" s="84"/>
      <c r="AD727" s="84"/>
      <c r="AE727" s="84"/>
      <c r="AF727" s="84"/>
      <c r="AG727" s="84"/>
      <c r="AH727" s="84">
        <v>0.0</v>
      </c>
      <c r="AI727" s="84">
        <v>0.0</v>
      </c>
      <c r="AJ727" s="84">
        <v>0.0</v>
      </c>
      <c r="AK727" s="84">
        <v>0.0</v>
      </c>
      <c r="AL727" s="84">
        <v>0.0</v>
      </c>
      <c r="AM727" s="84">
        <v>0.0</v>
      </c>
      <c r="AN727" s="84">
        <v>0.0</v>
      </c>
      <c r="AO727" s="84">
        <v>0.0</v>
      </c>
      <c r="AP727" s="84">
        <v>0.0</v>
      </c>
      <c r="AQ727" s="84">
        <v>0.0</v>
      </c>
      <c r="AR727" s="84">
        <v>0.0</v>
      </c>
      <c r="AS727" s="84">
        <v>0.0</v>
      </c>
      <c r="AT727" s="84">
        <v>0.0</v>
      </c>
      <c r="AU727" s="84">
        <v>0.0</v>
      </c>
      <c r="AV727" s="84">
        <v>0.0</v>
      </c>
      <c r="AW727" s="84">
        <v>0.0</v>
      </c>
      <c r="AX727" s="84">
        <v>0.0</v>
      </c>
      <c r="AY727" s="84">
        <v>0.0</v>
      </c>
      <c r="AZ727" s="84">
        <v>0.0</v>
      </c>
    </row>
    <row r="728" ht="12.75" customHeight="1">
      <c r="A728" s="84">
        <v>726.0</v>
      </c>
      <c r="B728" s="84" t="s">
        <v>5935</v>
      </c>
      <c r="C728" s="84">
        <v>0.0</v>
      </c>
      <c r="D728" s="84" t="s">
        <v>5072</v>
      </c>
      <c r="E728" s="84">
        <v>0.0</v>
      </c>
      <c r="F728" s="84" t="s">
        <v>5135</v>
      </c>
      <c r="G728" s="84">
        <v>190.0</v>
      </c>
      <c r="H728" s="84">
        <v>101.0</v>
      </c>
      <c r="I728" s="84">
        <v>1.0</v>
      </c>
      <c r="J728" s="84"/>
      <c r="K728" s="84"/>
      <c r="L728" s="84"/>
      <c r="M728" s="84"/>
      <c r="N728" s="84">
        <v>0.0</v>
      </c>
      <c r="O728" s="84">
        <v>0.0</v>
      </c>
      <c r="P728" s="84">
        <v>0.0</v>
      </c>
      <c r="Q728" s="84"/>
      <c r="R728" s="84"/>
      <c r="S728" s="84"/>
      <c r="T728" s="84"/>
      <c r="U728" s="84">
        <v>416.0</v>
      </c>
      <c r="V728" s="84"/>
      <c r="W728" s="84"/>
      <c r="X728" s="84">
        <v>0.0</v>
      </c>
      <c r="Y728" s="84"/>
      <c r="Z728" s="84"/>
      <c r="AA728" s="84"/>
      <c r="AB728" s="84"/>
      <c r="AC728" s="84"/>
      <c r="AD728" s="84"/>
      <c r="AE728" s="84"/>
      <c r="AF728" s="84"/>
      <c r="AG728" s="84"/>
      <c r="AH728" s="84">
        <v>1.0</v>
      </c>
      <c r="AI728" s="84">
        <v>0.0</v>
      </c>
      <c r="AJ728" s="84">
        <v>0.0</v>
      </c>
      <c r="AK728" s="84">
        <v>0.0</v>
      </c>
      <c r="AL728" s="84">
        <v>0.0</v>
      </c>
      <c r="AM728" s="84">
        <v>0.0</v>
      </c>
      <c r="AN728" s="84">
        <v>0.0</v>
      </c>
      <c r="AO728" s="84">
        <v>0.0</v>
      </c>
      <c r="AP728" s="84">
        <v>0.0</v>
      </c>
      <c r="AQ728" s="84">
        <v>0.0</v>
      </c>
      <c r="AR728" s="84">
        <v>0.0</v>
      </c>
      <c r="AS728" s="84">
        <v>0.0</v>
      </c>
      <c r="AT728" s="84">
        <v>0.0</v>
      </c>
      <c r="AU728" s="84">
        <v>0.0</v>
      </c>
      <c r="AV728" s="84">
        <v>0.0</v>
      </c>
      <c r="AW728" s="84">
        <v>0.0</v>
      </c>
      <c r="AX728" s="84">
        <v>0.0</v>
      </c>
      <c r="AY728" s="84">
        <v>0.0</v>
      </c>
      <c r="AZ728" s="84">
        <v>0.0</v>
      </c>
    </row>
    <row r="729" ht="12.75" customHeight="1">
      <c r="A729" s="84">
        <v>727.0</v>
      </c>
      <c r="B729" s="84" t="s">
        <v>5936</v>
      </c>
      <c r="C729" s="84">
        <v>0.0</v>
      </c>
      <c r="D729" s="84" t="s">
        <v>4940</v>
      </c>
      <c r="E729" s="84">
        <v>0.0</v>
      </c>
      <c r="F729" s="84" t="s">
        <v>5135</v>
      </c>
      <c r="G729" s="84">
        <v>190.0</v>
      </c>
      <c r="H729" s="84">
        <v>101.0</v>
      </c>
      <c r="I729" s="84">
        <v>1.0</v>
      </c>
      <c r="J729" s="84"/>
      <c r="K729" s="84"/>
      <c r="L729" s="84"/>
      <c r="M729" s="84"/>
      <c r="N729" s="84">
        <v>0.0</v>
      </c>
      <c r="O729" s="84">
        <v>0.0</v>
      </c>
      <c r="P729" s="84">
        <v>0.0</v>
      </c>
      <c r="Q729" s="84"/>
      <c r="R729" s="84"/>
      <c r="S729" s="84"/>
      <c r="T729" s="84"/>
      <c r="U729" s="84">
        <v>417.0</v>
      </c>
      <c r="V729" s="84"/>
      <c r="W729" s="84"/>
      <c r="X729" s="84">
        <v>0.0</v>
      </c>
      <c r="Y729" s="84"/>
      <c r="Z729" s="84"/>
      <c r="AA729" s="84"/>
      <c r="AB729" s="84"/>
      <c r="AC729" s="84"/>
      <c r="AD729" s="84"/>
      <c r="AE729" s="84"/>
      <c r="AF729" s="84"/>
      <c r="AG729" s="84"/>
      <c r="AH729" s="84">
        <v>0.0</v>
      </c>
      <c r="AI729" s="84">
        <v>0.0</v>
      </c>
      <c r="AJ729" s="84">
        <v>0.0</v>
      </c>
      <c r="AK729" s="84">
        <v>0.0</v>
      </c>
      <c r="AL729" s="84">
        <v>0.0</v>
      </c>
      <c r="AM729" s="84">
        <v>0.0</v>
      </c>
      <c r="AN729" s="84">
        <v>0.0</v>
      </c>
      <c r="AO729" s="84">
        <v>0.0</v>
      </c>
      <c r="AP729" s="84">
        <v>0.0</v>
      </c>
      <c r="AQ729" s="84">
        <v>0.0</v>
      </c>
      <c r="AR729" s="84">
        <v>0.0</v>
      </c>
      <c r="AS729" s="84">
        <v>0.0</v>
      </c>
      <c r="AT729" s="84">
        <v>0.0</v>
      </c>
      <c r="AU729" s="84">
        <v>0.0</v>
      </c>
      <c r="AV729" s="84">
        <v>0.0</v>
      </c>
      <c r="AW729" s="84">
        <v>0.0</v>
      </c>
      <c r="AX729" s="84">
        <v>0.0</v>
      </c>
      <c r="AY729" s="84">
        <v>0.0</v>
      </c>
      <c r="AZ729" s="84">
        <v>0.0</v>
      </c>
    </row>
    <row r="730" ht="12.75" customHeight="1">
      <c r="A730" s="84">
        <v>728.0</v>
      </c>
      <c r="B730" s="84" t="s">
        <v>5937</v>
      </c>
      <c r="C730" s="84">
        <v>0.0</v>
      </c>
      <c r="D730" s="84" t="s">
        <v>4956</v>
      </c>
      <c r="E730" s="84">
        <v>7.0</v>
      </c>
      <c r="F730" s="84" t="s">
        <v>5172</v>
      </c>
      <c r="G730" s="84">
        <v>185.0</v>
      </c>
      <c r="H730" s="84">
        <v>101.0</v>
      </c>
      <c r="I730" s="84">
        <v>1.0</v>
      </c>
      <c r="J730" s="84"/>
      <c r="K730" s="84"/>
      <c r="L730" s="84"/>
      <c r="M730" s="84"/>
      <c r="N730" s="84">
        <v>0.0</v>
      </c>
      <c r="O730" s="84">
        <v>0.0</v>
      </c>
      <c r="P730" s="84">
        <v>0.0</v>
      </c>
      <c r="Q730" s="84"/>
      <c r="R730" s="84"/>
      <c r="S730" s="84"/>
      <c r="T730" s="84"/>
      <c r="U730" s="84">
        <v>418.0</v>
      </c>
      <c r="V730" s="84"/>
      <c r="W730" s="84"/>
      <c r="X730" s="84">
        <v>5.0</v>
      </c>
      <c r="Y730" s="84" t="s">
        <v>5159</v>
      </c>
      <c r="Z730" s="84">
        <v>1.0</v>
      </c>
      <c r="AA730" s="84">
        <v>100.0</v>
      </c>
      <c r="AB730" s="84"/>
      <c r="AC730" s="84"/>
      <c r="AD730" s="84"/>
      <c r="AE730" s="84"/>
      <c r="AF730" s="84"/>
      <c r="AG730" s="84"/>
      <c r="AH730" s="84">
        <v>0.0</v>
      </c>
      <c r="AI730" s="84">
        <v>0.0</v>
      </c>
      <c r="AJ730" s="84">
        <v>0.0</v>
      </c>
      <c r="AK730" s="84">
        <v>0.0</v>
      </c>
      <c r="AL730" s="84">
        <v>0.0</v>
      </c>
      <c r="AM730" s="84">
        <v>0.0</v>
      </c>
      <c r="AN730" s="84">
        <v>0.0</v>
      </c>
      <c r="AO730" s="84">
        <v>0.0</v>
      </c>
      <c r="AP730" s="84">
        <v>1.0</v>
      </c>
      <c r="AQ730" s="84">
        <v>0.0</v>
      </c>
      <c r="AR730" s="84">
        <v>0.0</v>
      </c>
      <c r="AS730" s="84">
        <v>0.0</v>
      </c>
      <c r="AT730" s="84">
        <v>0.0</v>
      </c>
      <c r="AU730" s="84">
        <v>1.0</v>
      </c>
      <c r="AV730" s="84">
        <v>0.0</v>
      </c>
      <c r="AW730" s="84">
        <v>0.0</v>
      </c>
      <c r="AX730" s="84">
        <v>0.0</v>
      </c>
      <c r="AY730" s="84">
        <v>0.0</v>
      </c>
      <c r="AZ730" s="84">
        <v>0.0</v>
      </c>
    </row>
    <row r="731" ht="12.75" customHeight="1">
      <c r="A731" s="84">
        <v>729.0</v>
      </c>
      <c r="B731" s="84" t="s">
        <v>5938</v>
      </c>
      <c r="C731" s="84">
        <v>0.0</v>
      </c>
      <c r="D731" s="84" t="s">
        <v>4921</v>
      </c>
      <c r="E731" s="84">
        <v>7.0</v>
      </c>
      <c r="F731" s="84" t="s">
        <v>5135</v>
      </c>
      <c r="G731" s="84">
        <v>80.0</v>
      </c>
      <c r="H731" s="84">
        <v>100.0</v>
      </c>
      <c r="I731" s="84">
        <v>10.0</v>
      </c>
      <c r="J731" s="84">
        <v>2.0</v>
      </c>
      <c r="K731" s="84"/>
      <c r="L731" s="84"/>
      <c r="M731" s="84"/>
      <c r="N731" s="84">
        <v>0.0</v>
      </c>
      <c r="O731" s="84">
        <v>0.0</v>
      </c>
      <c r="P731" s="84">
        <v>0.0</v>
      </c>
      <c r="Q731" s="84"/>
      <c r="R731" s="84"/>
      <c r="S731" s="84"/>
      <c r="T731" s="84"/>
      <c r="U731" s="84">
        <v>0.0</v>
      </c>
      <c r="V731" s="84"/>
      <c r="W731" s="84"/>
      <c r="X731" s="84">
        <v>0.0</v>
      </c>
      <c r="Y731" s="84" t="s">
        <v>882</v>
      </c>
      <c r="Z731" s="84">
        <v>1.0</v>
      </c>
      <c r="AA731" s="84">
        <v>100.0</v>
      </c>
      <c r="AB731" s="84"/>
      <c r="AC731" s="84"/>
      <c r="AD731" s="84"/>
      <c r="AE731" s="84"/>
      <c r="AF731" s="84"/>
      <c r="AG731" s="84"/>
      <c r="AH731" s="84">
        <v>1.0</v>
      </c>
      <c r="AI731" s="84">
        <v>0.0</v>
      </c>
      <c r="AJ731" s="84">
        <v>0.0</v>
      </c>
      <c r="AK731" s="84">
        <v>1.0</v>
      </c>
      <c r="AL731" s="84">
        <v>0.0</v>
      </c>
      <c r="AM731" s="84">
        <v>0.0</v>
      </c>
      <c r="AN731" s="84">
        <v>1.0</v>
      </c>
      <c r="AO731" s="84">
        <v>0.0</v>
      </c>
      <c r="AP731" s="84">
        <v>0.0</v>
      </c>
      <c r="AQ731" s="84">
        <v>0.0</v>
      </c>
      <c r="AR731" s="84">
        <v>0.0</v>
      </c>
      <c r="AS731" s="84">
        <v>0.0</v>
      </c>
      <c r="AT731" s="84">
        <v>0.0</v>
      </c>
      <c r="AU731" s="84">
        <v>0.0</v>
      </c>
      <c r="AV731" s="84">
        <v>0.0</v>
      </c>
      <c r="AW731" s="84">
        <v>0.0</v>
      </c>
      <c r="AX731" s="84">
        <v>0.0</v>
      </c>
      <c r="AY731" s="84">
        <v>0.0</v>
      </c>
      <c r="AZ731" s="84">
        <v>0.0</v>
      </c>
    </row>
    <row r="732" ht="12.75" customHeight="1">
      <c r="A732" s="84">
        <v>730.0</v>
      </c>
      <c r="B732" s="84" t="s">
        <v>5939</v>
      </c>
      <c r="C732" s="84">
        <v>0.0</v>
      </c>
      <c r="D732" s="84" t="s">
        <v>4908</v>
      </c>
      <c r="E732" s="84">
        <v>4.0</v>
      </c>
      <c r="F732" s="84" t="s">
        <v>5172</v>
      </c>
      <c r="G732" s="84">
        <v>90.0</v>
      </c>
      <c r="H732" s="84">
        <v>100.0</v>
      </c>
      <c r="I732" s="84">
        <v>15.0</v>
      </c>
      <c r="J732" s="84"/>
      <c r="K732" s="84"/>
      <c r="L732" s="84"/>
      <c r="M732" s="84" t="s">
        <v>5222</v>
      </c>
      <c r="N732" s="84">
        <v>1.0</v>
      </c>
      <c r="O732" s="84">
        <v>30.0</v>
      </c>
      <c r="P732" s="84">
        <v>1.0</v>
      </c>
      <c r="Q732" s="84"/>
      <c r="R732" s="84"/>
      <c r="S732" s="84"/>
      <c r="T732" s="84"/>
      <c r="U732" s="84">
        <v>0.0</v>
      </c>
      <c r="V732" s="84"/>
      <c r="W732" s="84"/>
      <c r="X732" s="84">
        <v>5.0</v>
      </c>
      <c r="Y732" s="84"/>
      <c r="Z732" s="84"/>
      <c r="AA732" s="84"/>
      <c r="AB732" s="84"/>
      <c r="AC732" s="84"/>
      <c r="AD732" s="84"/>
      <c r="AE732" s="84"/>
      <c r="AF732" s="84"/>
      <c r="AG732" s="84"/>
      <c r="AH732" s="84">
        <v>0.0</v>
      </c>
      <c r="AI732" s="84">
        <v>0.0</v>
      </c>
      <c r="AJ732" s="84">
        <v>0.0</v>
      </c>
      <c r="AK732" s="84">
        <v>1.0</v>
      </c>
      <c r="AL732" s="84">
        <v>0.0</v>
      </c>
      <c r="AM732" s="84">
        <v>0.0</v>
      </c>
      <c r="AN732" s="84">
        <v>1.0</v>
      </c>
      <c r="AO732" s="84">
        <v>0.0</v>
      </c>
      <c r="AP732" s="84">
        <v>0.0</v>
      </c>
      <c r="AQ732" s="84">
        <v>0.0</v>
      </c>
      <c r="AR732" s="84">
        <v>0.0</v>
      </c>
      <c r="AS732" s="84">
        <v>0.0</v>
      </c>
      <c r="AT732" s="84">
        <v>0.0</v>
      </c>
      <c r="AU732" s="84">
        <v>0.0</v>
      </c>
      <c r="AV732" s="84">
        <v>0.0</v>
      </c>
      <c r="AW732" s="84">
        <v>0.0</v>
      </c>
      <c r="AX732" s="84">
        <v>0.0</v>
      </c>
      <c r="AY732" s="84">
        <v>0.0</v>
      </c>
      <c r="AZ732" s="84">
        <v>0.0</v>
      </c>
    </row>
    <row r="733" ht="12.75" customHeight="1">
      <c r="A733" s="84">
        <v>731.0</v>
      </c>
      <c r="B733" s="84" t="s">
        <v>5940</v>
      </c>
      <c r="C733" s="84">
        <v>0.0</v>
      </c>
      <c r="D733" s="84" t="s">
        <v>4907</v>
      </c>
      <c r="E733" s="84">
        <v>0.0</v>
      </c>
      <c r="F733" s="84" t="s">
        <v>5135</v>
      </c>
      <c r="G733" s="84">
        <v>90.0</v>
      </c>
      <c r="H733" s="84">
        <v>95.0</v>
      </c>
      <c r="I733" s="84">
        <v>15.0</v>
      </c>
      <c r="J733" s="84"/>
      <c r="K733" s="84"/>
      <c r="L733" s="84"/>
      <c r="M733" s="84"/>
      <c r="N733" s="84">
        <v>0.0</v>
      </c>
      <c r="O733" s="84">
        <v>0.0</v>
      </c>
      <c r="P733" s="84">
        <v>0.0</v>
      </c>
      <c r="Q733" s="84"/>
      <c r="R733" s="84"/>
      <c r="S733" s="84"/>
      <c r="T733" s="84">
        <v>30.0</v>
      </c>
      <c r="U733" s="84">
        <v>0.0</v>
      </c>
      <c r="V733" s="84"/>
      <c r="W733" s="84"/>
      <c r="X733" s="84">
        <v>0.0</v>
      </c>
      <c r="Y733" s="84"/>
      <c r="Z733" s="84"/>
      <c r="AA733" s="84"/>
      <c r="AB733" s="84"/>
      <c r="AC733" s="84"/>
      <c r="AD733" s="84"/>
      <c r="AE733" s="84"/>
      <c r="AF733" s="84"/>
      <c r="AG733" s="84"/>
      <c r="AH733" s="84">
        <v>1.0</v>
      </c>
      <c r="AI733" s="84">
        <v>0.0</v>
      </c>
      <c r="AJ733" s="84">
        <v>0.0</v>
      </c>
      <c r="AK733" s="84">
        <v>1.0</v>
      </c>
      <c r="AL733" s="84">
        <v>0.0</v>
      </c>
      <c r="AM733" s="84">
        <v>0.0</v>
      </c>
      <c r="AN733" s="84">
        <v>1.0</v>
      </c>
      <c r="AO733" s="84">
        <v>0.0</v>
      </c>
      <c r="AP733" s="84">
        <v>0.0</v>
      </c>
      <c r="AQ733" s="84">
        <v>1.0</v>
      </c>
      <c r="AR733" s="84">
        <v>0.0</v>
      </c>
      <c r="AS733" s="84">
        <v>0.0</v>
      </c>
      <c r="AT733" s="84">
        <v>0.0</v>
      </c>
      <c r="AU733" s="84">
        <v>0.0</v>
      </c>
      <c r="AV733" s="84">
        <v>0.0</v>
      </c>
      <c r="AW733" s="84">
        <v>0.0</v>
      </c>
      <c r="AX733" s="84">
        <v>0.0</v>
      </c>
      <c r="AY733" s="84">
        <v>0.0</v>
      </c>
      <c r="AZ733" s="84">
        <v>0.0</v>
      </c>
    </row>
    <row r="734" ht="12.75" customHeight="1">
      <c r="A734" s="84">
        <v>732.0</v>
      </c>
      <c r="B734" s="84" t="s">
        <v>5941</v>
      </c>
      <c r="C734" s="84">
        <v>0.0</v>
      </c>
      <c r="D734" s="84" t="s">
        <v>4921</v>
      </c>
      <c r="E734" s="84">
        <v>0.0</v>
      </c>
      <c r="F734" s="84" t="s">
        <v>5172</v>
      </c>
      <c r="G734" s="84">
        <v>1.0</v>
      </c>
      <c r="H734" s="84">
        <v>101.0</v>
      </c>
      <c r="I734" s="84">
        <v>20.0</v>
      </c>
      <c r="J734" s="84"/>
      <c r="K734" s="84"/>
      <c r="L734" s="84"/>
      <c r="M734" s="84"/>
      <c r="N734" s="84">
        <v>0.0</v>
      </c>
      <c r="O734" s="84">
        <v>0.0</v>
      </c>
      <c r="P734" s="84">
        <v>0.0</v>
      </c>
      <c r="Q734" s="84"/>
      <c r="R734" s="84"/>
      <c r="S734" s="84"/>
      <c r="T734" s="84"/>
      <c r="U734" s="84">
        <v>0.0</v>
      </c>
      <c r="V734" s="84"/>
      <c r="W734" s="84"/>
      <c r="X734" s="84">
        <v>0.0</v>
      </c>
      <c r="Y734" s="84"/>
      <c r="Z734" s="84"/>
      <c r="AA734" s="84"/>
      <c r="AB734" s="84"/>
      <c r="AC734" s="84"/>
      <c r="AD734" s="84"/>
      <c r="AE734" s="84"/>
      <c r="AF734" s="84"/>
      <c r="AG734" s="84"/>
      <c r="AH734" s="84">
        <v>0.0</v>
      </c>
      <c r="AI734" s="84">
        <v>0.0</v>
      </c>
      <c r="AJ734" s="84">
        <v>0.0</v>
      </c>
      <c r="AK734" s="84">
        <v>1.0</v>
      </c>
      <c r="AL734" s="84">
        <v>0.0</v>
      </c>
      <c r="AM734" s="84">
        <v>0.0</v>
      </c>
      <c r="AN734" s="84">
        <v>1.0</v>
      </c>
      <c r="AO734" s="84">
        <v>0.0</v>
      </c>
      <c r="AP734" s="84">
        <v>0.0</v>
      </c>
      <c r="AQ734" s="84">
        <v>0.0</v>
      </c>
      <c r="AR734" s="84">
        <v>0.0</v>
      </c>
      <c r="AS734" s="84">
        <v>0.0</v>
      </c>
      <c r="AT734" s="84">
        <v>0.0</v>
      </c>
      <c r="AU734" s="84">
        <v>0.0</v>
      </c>
      <c r="AV734" s="84">
        <v>0.0</v>
      </c>
      <c r="AW734" s="84">
        <v>0.0</v>
      </c>
      <c r="AX734" s="84">
        <v>0.0</v>
      </c>
      <c r="AY734" s="84">
        <v>0.0</v>
      </c>
      <c r="AZ734" s="84">
        <v>0.0</v>
      </c>
    </row>
    <row r="735" ht="12.75" customHeight="1">
      <c r="A735" s="84">
        <v>733.0</v>
      </c>
      <c r="B735" s="84" t="s">
        <v>5942</v>
      </c>
      <c r="C735" s="84">
        <v>0.0</v>
      </c>
      <c r="D735" s="84" t="s">
        <v>4908</v>
      </c>
      <c r="E735" s="84">
        <v>8.0</v>
      </c>
      <c r="F735" s="84" t="s">
        <v>5172</v>
      </c>
      <c r="G735" s="84">
        <v>60.0</v>
      </c>
      <c r="H735" s="84">
        <v>100.0</v>
      </c>
      <c r="I735" s="84">
        <v>20.0</v>
      </c>
      <c r="J735" s="84"/>
      <c r="K735" s="84"/>
      <c r="L735" s="84"/>
      <c r="M735" s="84"/>
      <c r="N735" s="84">
        <v>0.0</v>
      </c>
      <c r="O735" s="84">
        <v>0.0</v>
      </c>
      <c r="P735" s="84">
        <v>0.0</v>
      </c>
      <c r="Q735" s="84"/>
      <c r="R735" s="84"/>
      <c r="S735" s="84"/>
      <c r="T735" s="84"/>
      <c r="U735" s="84">
        <v>0.0</v>
      </c>
      <c r="V735" s="84">
        <v>100.0</v>
      </c>
      <c r="W735" s="84"/>
      <c r="X735" s="84">
        <v>0.0</v>
      </c>
      <c r="Y735" s="84"/>
      <c r="Z735" s="84"/>
      <c r="AA735" s="84"/>
      <c r="AB735" s="84"/>
      <c r="AC735" s="84"/>
      <c r="AD735" s="84"/>
      <c r="AE735" s="84"/>
      <c r="AF735" s="84"/>
      <c r="AG735" s="84"/>
      <c r="AH735" s="84">
        <v>0.0</v>
      </c>
      <c r="AI735" s="84">
        <v>0.0</v>
      </c>
      <c r="AJ735" s="84">
        <v>0.0</v>
      </c>
      <c r="AK735" s="84">
        <v>1.0</v>
      </c>
      <c r="AL735" s="84">
        <v>0.0</v>
      </c>
      <c r="AM735" s="84">
        <v>0.0</v>
      </c>
      <c r="AN735" s="84">
        <v>1.0</v>
      </c>
      <c r="AO735" s="84">
        <v>0.0</v>
      </c>
      <c r="AP735" s="84">
        <v>0.0</v>
      </c>
      <c r="AQ735" s="84">
        <v>0.0</v>
      </c>
      <c r="AR735" s="84">
        <v>0.0</v>
      </c>
      <c r="AS735" s="84">
        <v>0.0</v>
      </c>
      <c r="AT735" s="84">
        <v>1.0</v>
      </c>
      <c r="AU735" s="84">
        <v>0.0</v>
      </c>
      <c r="AV735" s="84">
        <v>0.0</v>
      </c>
      <c r="AW735" s="84">
        <v>0.0</v>
      </c>
      <c r="AX735" s="84">
        <v>0.0</v>
      </c>
      <c r="AY735" s="84">
        <v>0.0</v>
      </c>
      <c r="AZ735" s="84">
        <v>0.0</v>
      </c>
    </row>
    <row r="736" ht="12.75" customHeight="1">
      <c r="A736" s="84">
        <v>734.0</v>
      </c>
      <c r="B736" s="84" t="s">
        <v>5943</v>
      </c>
      <c r="C736" s="84">
        <v>0.0</v>
      </c>
      <c r="D736" s="84" t="s">
        <v>4921</v>
      </c>
      <c r="E736" s="84">
        <v>4.0</v>
      </c>
      <c r="F736" s="84" t="s">
        <v>5172</v>
      </c>
      <c r="G736" s="84">
        <v>60.0</v>
      </c>
      <c r="H736" s="84">
        <v>100.0</v>
      </c>
      <c r="I736" s="84">
        <v>20.0</v>
      </c>
      <c r="J736" s="84"/>
      <c r="K736" s="84"/>
      <c r="L736" s="84"/>
      <c r="M736" s="84" t="s">
        <v>5452</v>
      </c>
      <c r="N736" s="84">
        <v>1.0</v>
      </c>
      <c r="O736" s="84">
        <v>100.0</v>
      </c>
      <c r="P736" s="84">
        <v>1.0</v>
      </c>
      <c r="Q736" s="84"/>
      <c r="R736" s="84"/>
      <c r="S736" s="84"/>
      <c r="T736" s="84"/>
      <c r="U736" s="84">
        <v>0.0</v>
      </c>
      <c r="V736" s="84"/>
      <c r="W736" s="84"/>
      <c r="X736" s="84">
        <v>0.0</v>
      </c>
      <c r="Y736" s="84"/>
      <c r="Z736" s="84"/>
      <c r="AA736" s="84"/>
      <c r="AB736" s="84"/>
      <c r="AC736" s="84"/>
      <c r="AD736" s="84"/>
      <c r="AE736" s="84"/>
      <c r="AF736" s="84"/>
      <c r="AG736" s="84"/>
      <c r="AH736" s="84">
        <v>0.0</v>
      </c>
      <c r="AI736" s="84">
        <v>0.0</v>
      </c>
      <c r="AJ736" s="84">
        <v>0.0</v>
      </c>
      <c r="AK736" s="84">
        <v>1.0</v>
      </c>
      <c r="AL736" s="84">
        <v>0.0</v>
      </c>
      <c r="AM736" s="84">
        <v>0.0</v>
      </c>
      <c r="AN736" s="84">
        <v>1.0</v>
      </c>
      <c r="AO736" s="84">
        <v>0.0</v>
      </c>
      <c r="AP736" s="84">
        <v>0.0</v>
      </c>
      <c r="AQ736" s="84">
        <v>0.0</v>
      </c>
      <c r="AR736" s="84">
        <v>0.0</v>
      </c>
      <c r="AS736" s="84">
        <v>0.0</v>
      </c>
      <c r="AT736" s="84">
        <v>0.0</v>
      </c>
      <c r="AU736" s="84">
        <v>0.0</v>
      </c>
      <c r="AV736" s="84">
        <v>0.0</v>
      </c>
      <c r="AW736" s="84">
        <v>0.0</v>
      </c>
      <c r="AX736" s="84">
        <v>0.0</v>
      </c>
      <c r="AY736" s="84">
        <v>0.0</v>
      </c>
      <c r="AZ736" s="84">
        <v>0.0</v>
      </c>
    </row>
    <row r="737" ht="12.75" customHeight="1">
      <c r="A737" s="84">
        <v>735.0</v>
      </c>
      <c r="B737" s="84" t="s">
        <v>5944</v>
      </c>
      <c r="C737" s="84">
        <v>0.0</v>
      </c>
      <c r="D737" s="84" t="s">
        <v>4906</v>
      </c>
      <c r="E737" s="84">
        <v>4.0</v>
      </c>
      <c r="F737" s="84" t="s">
        <v>5135</v>
      </c>
      <c r="G737" s="84">
        <v>60.0</v>
      </c>
      <c r="H737" s="84">
        <v>100.0</v>
      </c>
      <c r="I737" s="84">
        <v>20.0</v>
      </c>
      <c r="J737" s="84"/>
      <c r="K737" s="84"/>
      <c r="L737" s="84"/>
      <c r="M737" s="84" t="s">
        <v>5768</v>
      </c>
      <c r="N737" s="84">
        <v>4.0</v>
      </c>
      <c r="O737" s="84">
        <v>100.0</v>
      </c>
      <c r="P737" s="84">
        <v>1.0</v>
      </c>
      <c r="Q737" s="84"/>
      <c r="R737" s="84"/>
      <c r="S737" s="84"/>
      <c r="T737" s="84"/>
      <c r="U737" s="84">
        <v>0.0</v>
      </c>
      <c r="V737" s="84"/>
      <c r="W737" s="84"/>
      <c r="X737" s="84">
        <v>0.0</v>
      </c>
      <c r="Y737" s="84"/>
      <c r="Z737" s="84"/>
      <c r="AA737" s="84"/>
      <c r="AB737" s="84"/>
      <c r="AC737" s="84"/>
      <c r="AD737" s="84"/>
      <c r="AE737" s="84"/>
      <c r="AF737" s="84"/>
      <c r="AG737" s="84"/>
      <c r="AH737" s="84">
        <v>1.0</v>
      </c>
      <c r="AI737" s="84">
        <v>0.0</v>
      </c>
      <c r="AJ737" s="84">
        <v>0.0</v>
      </c>
      <c r="AK737" s="84">
        <v>1.0</v>
      </c>
      <c r="AL737" s="84">
        <v>0.0</v>
      </c>
      <c r="AM737" s="84">
        <v>0.0</v>
      </c>
      <c r="AN737" s="84">
        <v>1.0</v>
      </c>
      <c r="AO737" s="84">
        <v>0.0</v>
      </c>
      <c r="AP737" s="84">
        <v>0.0</v>
      </c>
      <c r="AQ737" s="84">
        <v>0.0</v>
      </c>
      <c r="AR737" s="84">
        <v>1.0</v>
      </c>
      <c r="AS737" s="84">
        <v>0.0</v>
      </c>
      <c r="AT737" s="84">
        <v>0.0</v>
      </c>
      <c r="AU737" s="84">
        <v>0.0</v>
      </c>
      <c r="AV737" s="84">
        <v>0.0</v>
      </c>
      <c r="AW737" s="84">
        <v>0.0</v>
      </c>
      <c r="AX737" s="84">
        <v>0.0</v>
      </c>
      <c r="AY737" s="84">
        <v>0.0</v>
      </c>
      <c r="AZ737" s="84">
        <v>0.0</v>
      </c>
    </row>
    <row r="738" ht="12.75" customHeight="1">
      <c r="A738" s="84">
        <v>736.0</v>
      </c>
      <c r="B738" s="84" t="s">
        <v>5945</v>
      </c>
      <c r="C738" s="84">
        <v>0.0</v>
      </c>
      <c r="D738" s="84" t="s">
        <v>2659</v>
      </c>
      <c r="E738" s="84">
        <v>0.0</v>
      </c>
      <c r="F738" s="84" t="s">
        <v>5172</v>
      </c>
      <c r="G738" s="84">
        <v>80.0</v>
      </c>
      <c r="H738" s="84">
        <v>95.0</v>
      </c>
      <c r="I738" s="84">
        <v>15.0</v>
      </c>
      <c r="J738" s="84"/>
      <c r="K738" s="84"/>
      <c r="L738" s="84"/>
      <c r="M738" s="84"/>
      <c r="N738" s="84">
        <v>0.0</v>
      </c>
      <c r="O738" s="84">
        <v>0.0</v>
      </c>
      <c r="P738" s="84">
        <v>0.0</v>
      </c>
      <c r="Q738" s="84"/>
      <c r="R738" s="84"/>
      <c r="S738" s="84"/>
      <c r="T738" s="84"/>
      <c r="U738" s="84">
        <v>0.0</v>
      </c>
      <c r="V738" s="84"/>
      <c r="W738" s="84"/>
      <c r="X738" s="84">
        <v>0.0</v>
      </c>
      <c r="Y738" s="84"/>
      <c r="Z738" s="84"/>
      <c r="AA738" s="84"/>
      <c r="AB738" s="84"/>
      <c r="AC738" s="84"/>
      <c r="AD738" s="84"/>
      <c r="AE738" s="84"/>
      <c r="AF738" s="84"/>
      <c r="AG738" s="84"/>
      <c r="AH738" s="84">
        <v>0.0</v>
      </c>
      <c r="AI738" s="84">
        <v>0.0</v>
      </c>
      <c r="AJ738" s="84">
        <v>0.0</v>
      </c>
      <c r="AK738" s="84">
        <v>1.0</v>
      </c>
      <c r="AL738" s="84">
        <v>0.0</v>
      </c>
      <c r="AM738" s="84">
        <v>0.0</v>
      </c>
      <c r="AN738" s="84">
        <v>1.0</v>
      </c>
      <c r="AO738" s="84">
        <v>0.0</v>
      </c>
      <c r="AP738" s="84">
        <v>0.0</v>
      </c>
      <c r="AQ738" s="84">
        <v>0.0</v>
      </c>
      <c r="AR738" s="84">
        <v>0.0</v>
      </c>
      <c r="AS738" s="84">
        <v>0.0</v>
      </c>
      <c r="AT738" s="84">
        <v>0.0</v>
      </c>
      <c r="AU738" s="84">
        <v>0.0</v>
      </c>
      <c r="AV738" s="84">
        <v>0.0</v>
      </c>
      <c r="AW738" s="84">
        <v>0.0</v>
      </c>
      <c r="AX738" s="84">
        <v>0.0</v>
      </c>
      <c r="AY738" s="84">
        <v>0.0</v>
      </c>
      <c r="AZ738" s="84">
        <v>0.0</v>
      </c>
    </row>
    <row r="739" ht="12.75" customHeight="1">
      <c r="A739" s="84">
        <v>737.0</v>
      </c>
      <c r="B739" s="84" t="s">
        <v>5946</v>
      </c>
      <c r="C739" s="84">
        <v>0.0</v>
      </c>
      <c r="D739" s="84" t="s">
        <v>4972</v>
      </c>
      <c r="E739" s="84">
        <v>0.0</v>
      </c>
      <c r="F739" s="84" t="s">
        <v>5172</v>
      </c>
      <c r="G739" s="84">
        <v>80.0</v>
      </c>
      <c r="H739" s="84">
        <v>95.0</v>
      </c>
      <c r="I739" s="84">
        <v>15.0</v>
      </c>
      <c r="J739" s="84"/>
      <c r="K739" s="84"/>
      <c r="L739" s="84"/>
      <c r="M739" s="84"/>
      <c r="N739" s="84">
        <v>0.0</v>
      </c>
      <c r="O739" s="84">
        <v>0.0</v>
      </c>
      <c r="P739" s="84">
        <v>0.0</v>
      </c>
      <c r="Q739" s="84"/>
      <c r="R739" s="84"/>
      <c r="S739" s="84"/>
      <c r="T739" s="84"/>
      <c r="U739" s="84">
        <v>0.0</v>
      </c>
      <c r="V739" s="84"/>
      <c r="W739" s="84"/>
      <c r="X739" s="84">
        <v>0.0</v>
      </c>
      <c r="Y739" s="84"/>
      <c r="Z739" s="84"/>
      <c r="AA739" s="84"/>
      <c r="AB739" s="84"/>
      <c r="AC739" s="84"/>
      <c r="AD739" s="84"/>
      <c r="AE739" s="84"/>
      <c r="AF739" s="84"/>
      <c r="AG739" s="84"/>
      <c r="AH739" s="84">
        <v>0.0</v>
      </c>
      <c r="AI739" s="84">
        <v>0.0</v>
      </c>
      <c r="AJ739" s="84">
        <v>0.0</v>
      </c>
      <c r="AK739" s="84">
        <v>1.0</v>
      </c>
      <c r="AL739" s="84">
        <v>0.0</v>
      </c>
      <c r="AM739" s="84">
        <v>0.0</v>
      </c>
      <c r="AN739" s="84">
        <v>1.0</v>
      </c>
      <c r="AO739" s="84">
        <v>0.0</v>
      </c>
      <c r="AP739" s="84">
        <v>0.0</v>
      </c>
      <c r="AQ739" s="84">
        <v>0.0</v>
      </c>
      <c r="AR739" s="84">
        <v>0.0</v>
      </c>
      <c r="AS739" s="84">
        <v>0.0</v>
      </c>
      <c r="AT739" s="84">
        <v>0.0</v>
      </c>
      <c r="AU739" s="84">
        <v>0.0</v>
      </c>
      <c r="AV739" s="84">
        <v>0.0</v>
      </c>
      <c r="AW739" s="84">
        <v>0.0</v>
      </c>
      <c r="AX739" s="84">
        <v>0.0</v>
      </c>
      <c r="AY739" s="84">
        <v>0.0</v>
      </c>
      <c r="AZ739" s="84">
        <v>0.0</v>
      </c>
    </row>
    <row r="740" ht="12.75" customHeight="1">
      <c r="A740" s="84">
        <v>738.0</v>
      </c>
      <c r="B740" s="84" t="s">
        <v>5947</v>
      </c>
      <c r="C740" s="84">
        <v>0.0</v>
      </c>
      <c r="D740" s="84" t="s">
        <v>4904</v>
      </c>
      <c r="E740" s="84">
        <v>4.0</v>
      </c>
      <c r="F740" s="84" t="s">
        <v>5135</v>
      </c>
      <c r="G740" s="84">
        <v>100.0</v>
      </c>
      <c r="H740" s="84">
        <v>90.0</v>
      </c>
      <c r="I740" s="84">
        <v>10.0</v>
      </c>
      <c r="J740" s="84"/>
      <c r="K740" s="84"/>
      <c r="L740" s="84"/>
      <c r="M740" s="84" t="s">
        <v>5948</v>
      </c>
      <c r="N740" s="84">
        <v>18.0</v>
      </c>
      <c r="O740" s="84">
        <v>100.0</v>
      </c>
      <c r="P740" s="84">
        <v>1.0</v>
      </c>
      <c r="Q740" s="84"/>
      <c r="R740" s="84"/>
      <c r="S740" s="84"/>
      <c r="T740" s="84"/>
      <c r="U740" s="84">
        <v>0.0</v>
      </c>
      <c r="V740" s="84"/>
      <c r="W740" s="84"/>
      <c r="X740" s="84">
        <v>0.0</v>
      </c>
      <c r="Y740" s="84"/>
      <c r="Z740" s="84"/>
      <c r="AA740" s="84"/>
      <c r="AB740" s="84"/>
      <c r="AC740" s="84"/>
      <c r="AD740" s="84"/>
      <c r="AE740" s="84"/>
      <c r="AF740" s="84"/>
      <c r="AG740" s="84"/>
      <c r="AH740" s="84">
        <v>0.0</v>
      </c>
      <c r="AI740" s="84">
        <v>0.0</v>
      </c>
      <c r="AJ740" s="84">
        <v>0.0</v>
      </c>
      <c r="AK740" s="84">
        <v>1.0</v>
      </c>
      <c r="AL740" s="84">
        <v>1.0</v>
      </c>
      <c r="AM740" s="84">
        <v>0.0</v>
      </c>
      <c r="AN740" s="84">
        <v>1.0</v>
      </c>
      <c r="AO740" s="84">
        <v>0.0</v>
      </c>
      <c r="AP740" s="84">
        <v>0.0</v>
      </c>
      <c r="AQ740" s="84">
        <v>0.0</v>
      </c>
      <c r="AR740" s="84">
        <v>0.0</v>
      </c>
      <c r="AS740" s="84">
        <v>0.0</v>
      </c>
      <c r="AT740" s="84">
        <v>0.0</v>
      </c>
      <c r="AU740" s="84">
        <v>0.0</v>
      </c>
      <c r="AV740" s="84">
        <v>0.0</v>
      </c>
      <c r="AW740" s="84">
        <v>0.0</v>
      </c>
      <c r="AX740" s="84">
        <v>0.0</v>
      </c>
      <c r="AY740" s="84">
        <v>0.0</v>
      </c>
      <c r="AZ740" s="84">
        <v>0.0</v>
      </c>
    </row>
    <row r="741" ht="12.75" customHeight="1">
      <c r="A741" s="84">
        <v>739.0</v>
      </c>
      <c r="B741" s="84" t="s">
        <v>5949</v>
      </c>
      <c r="C741" s="84">
        <v>0.0</v>
      </c>
      <c r="D741" s="84" t="s">
        <v>4942</v>
      </c>
      <c r="E741" s="84">
        <v>0.0</v>
      </c>
      <c r="F741" s="84" t="s">
        <v>5172</v>
      </c>
      <c r="G741" s="84">
        <v>100.0</v>
      </c>
      <c r="H741" s="84">
        <v>90.0</v>
      </c>
      <c r="I741" s="84">
        <v>10.0</v>
      </c>
      <c r="J741" s="84"/>
      <c r="K741" s="84"/>
      <c r="L741" s="84"/>
      <c r="M741" s="84"/>
      <c r="N741" s="84">
        <v>0.0</v>
      </c>
      <c r="O741" s="84">
        <v>0.0</v>
      </c>
      <c r="P741" s="84">
        <v>0.0</v>
      </c>
      <c r="Q741" s="84"/>
      <c r="R741" s="84"/>
      <c r="S741" s="84"/>
      <c r="T741" s="84"/>
      <c r="U741" s="84">
        <v>0.0</v>
      </c>
      <c r="V741" s="84"/>
      <c r="W741" s="84"/>
      <c r="X741" s="84">
        <v>0.0</v>
      </c>
      <c r="Y741" s="84"/>
      <c r="Z741" s="84"/>
      <c r="AA741" s="84"/>
      <c r="AB741" s="84"/>
      <c r="AC741" s="84"/>
      <c r="AD741" s="84"/>
      <c r="AE741" s="84"/>
      <c r="AF741" s="84"/>
      <c r="AG741" s="84"/>
      <c r="AH741" s="84">
        <v>0.0</v>
      </c>
      <c r="AI741" s="84">
        <v>0.0</v>
      </c>
      <c r="AJ741" s="84">
        <v>0.0</v>
      </c>
      <c r="AK741" s="84">
        <v>1.0</v>
      </c>
      <c r="AL741" s="84">
        <v>0.0</v>
      </c>
      <c r="AM741" s="84">
        <v>0.0</v>
      </c>
      <c r="AN741" s="84">
        <v>1.0</v>
      </c>
      <c r="AO741" s="84">
        <v>0.0</v>
      </c>
      <c r="AP741" s="84">
        <v>0.0</v>
      </c>
      <c r="AQ741" s="84">
        <v>0.0</v>
      </c>
      <c r="AR741" s="84">
        <v>0.0</v>
      </c>
      <c r="AS741" s="84">
        <v>0.0</v>
      </c>
      <c r="AT741" s="84">
        <v>0.0</v>
      </c>
      <c r="AU741" s="84">
        <v>0.0</v>
      </c>
      <c r="AV741" s="84">
        <v>0.0</v>
      </c>
      <c r="AW741" s="84">
        <v>0.0</v>
      </c>
      <c r="AX741" s="84">
        <v>0.0</v>
      </c>
      <c r="AY741" s="84">
        <v>0.0</v>
      </c>
      <c r="AZ741" s="84">
        <v>0.0</v>
      </c>
    </row>
    <row r="742" ht="12.75" customHeight="1">
      <c r="A742" s="84">
        <v>740.0</v>
      </c>
      <c r="B742" s="84" t="s">
        <v>5950</v>
      </c>
      <c r="C742" s="84">
        <v>0.0</v>
      </c>
      <c r="D742" s="84" t="s">
        <v>5072</v>
      </c>
      <c r="E742" s="84">
        <v>0.0</v>
      </c>
      <c r="F742" s="84" t="s">
        <v>5172</v>
      </c>
      <c r="G742" s="84">
        <v>120.0</v>
      </c>
      <c r="H742" s="84">
        <v>85.0</v>
      </c>
      <c r="I742" s="84">
        <v>5.0</v>
      </c>
      <c r="J742" s="84"/>
      <c r="K742" s="84"/>
      <c r="L742" s="84"/>
      <c r="M742" s="84"/>
      <c r="N742" s="84">
        <v>0.0</v>
      </c>
      <c r="O742" s="84">
        <v>0.0</v>
      </c>
      <c r="P742" s="84">
        <v>0.0</v>
      </c>
      <c r="Q742" s="84"/>
      <c r="R742" s="84"/>
      <c r="S742" s="84"/>
      <c r="T742" s="84"/>
      <c r="U742" s="84">
        <v>0.0</v>
      </c>
      <c r="V742" s="84"/>
      <c r="W742" s="84"/>
      <c r="X742" s="84">
        <v>0.0</v>
      </c>
      <c r="Y742" s="84"/>
      <c r="Z742" s="84"/>
      <c r="AA742" s="84"/>
      <c r="AB742" s="84"/>
      <c r="AC742" s="84"/>
      <c r="AD742" s="84"/>
      <c r="AE742" s="84"/>
      <c r="AF742" s="84"/>
      <c r="AG742" s="84"/>
      <c r="AH742" s="84">
        <v>0.0</v>
      </c>
      <c r="AI742" s="84">
        <v>0.0</v>
      </c>
      <c r="AJ742" s="84">
        <v>0.0</v>
      </c>
      <c r="AK742" s="84">
        <v>1.0</v>
      </c>
      <c r="AL742" s="84">
        <v>0.0</v>
      </c>
      <c r="AM742" s="84">
        <v>0.0</v>
      </c>
      <c r="AN742" s="84">
        <v>1.0</v>
      </c>
      <c r="AO742" s="84">
        <v>0.0</v>
      </c>
      <c r="AP742" s="84">
        <v>0.0</v>
      </c>
      <c r="AQ742" s="84">
        <v>0.0</v>
      </c>
      <c r="AR742" s="84">
        <v>0.0</v>
      </c>
      <c r="AS742" s="84">
        <v>0.0</v>
      </c>
      <c r="AT742" s="84">
        <v>0.0</v>
      </c>
      <c r="AU742" s="84">
        <v>0.0</v>
      </c>
      <c r="AV742" s="84">
        <v>0.0</v>
      </c>
      <c r="AW742" s="84">
        <v>0.0</v>
      </c>
      <c r="AX742" s="84">
        <v>0.0</v>
      </c>
      <c r="AY742" s="84">
        <v>0.0</v>
      </c>
      <c r="AZ742" s="84">
        <v>0.0</v>
      </c>
    </row>
    <row r="743" ht="12.75" customHeight="1">
      <c r="A743" s="84">
        <v>741.0</v>
      </c>
      <c r="B743" s="84" t="s">
        <v>5951</v>
      </c>
      <c r="C743" s="84">
        <v>0.0</v>
      </c>
      <c r="D743" s="84" t="s">
        <v>4916</v>
      </c>
      <c r="E743" s="84">
        <v>0.0</v>
      </c>
      <c r="F743" s="84" t="s">
        <v>5135</v>
      </c>
      <c r="G743" s="84">
        <v>1.0</v>
      </c>
      <c r="H743" s="84">
        <v>101.0</v>
      </c>
      <c r="I743" s="84">
        <v>20.0</v>
      </c>
      <c r="J743" s="84"/>
      <c r="K743" s="84"/>
      <c r="L743" s="84"/>
      <c r="M743" s="84"/>
      <c r="N743" s="84">
        <v>0.0</v>
      </c>
      <c r="O743" s="84">
        <v>0.0</v>
      </c>
      <c r="P743" s="84">
        <v>0.0</v>
      </c>
      <c r="Q743" s="84"/>
      <c r="R743" s="84"/>
      <c r="S743" s="84"/>
      <c r="T743" s="84"/>
      <c r="U743" s="84">
        <v>0.0</v>
      </c>
      <c r="V743" s="84"/>
      <c r="W743" s="84"/>
      <c r="X743" s="84">
        <v>0.0</v>
      </c>
      <c r="Y743" s="84"/>
      <c r="Z743" s="84"/>
      <c r="AA743" s="84"/>
      <c r="AB743" s="84"/>
      <c r="AC743" s="84"/>
      <c r="AD743" s="84"/>
      <c r="AE743" s="84"/>
      <c r="AF743" s="84"/>
      <c r="AG743" s="84"/>
      <c r="AH743" s="84">
        <v>1.0</v>
      </c>
      <c r="AI743" s="84">
        <v>0.0</v>
      </c>
      <c r="AJ743" s="84">
        <v>0.0</v>
      </c>
      <c r="AK743" s="84">
        <v>1.0</v>
      </c>
      <c r="AL743" s="84">
        <v>0.0</v>
      </c>
      <c r="AM743" s="84">
        <v>0.0</v>
      </c>
      <c r="AN743" s="84">
        <v>1.0</v>
      </c>
      <c r="AO743" s="84">
        <v>0.0</v>
      </c>
      <c r="AP743" s="84">
        <v>0.0</v>
      </c>
      <c r="AQ743" s="84">
        <v>0.0</v>
      </c>
      <c r="AR743" s="84">
        <v>0.0</v>
      </c>
      <c r="AS743" s="84">
        <v>0.0</v>
      </c>
      <c r="AT743" s="84">
        <v>0.0</v>
      </c>
      <c r="AU743" s="84">
        <v>0.0</v>
      </c>
      <c r="AV743" s="84">
        <v>0.0</v>
      </c>
      <c r="AW743" s="84">
        <v>0.0</v>
      </c>
      <c r="AX743" s="84">
        <v>0.0</v>
      </c>
      <c r="AY743" s="84">
        <v>0.0</v>
      </c>
      <c r="AZ743" s="84">
        <v>0.0</v>
      </c>
    </row>
    <row r="744" ht="12.75" customHeight="1">
      <c r="A744" s="84">
        <v>742.0</v>
      </c>
      <c r="B744" s="84" t="s">
        <v>5952</v>
      </c>
      <c r="C744" s="84">
        <v>0.0</v>
      </c>
      <c r="D744" s="84" t="s">
        <v>4975</v>
      </c>
      <c r="E744" s="84">
        <v>0.0</v>
      </c>
      <c r="F744" s="84" t="s">
        <v>5135</v>
      </c>
      <c r="G744" s="84">
        <v>60.0</v>
      </c>
      <c r="H744" s="84">
        <v>100.0</v>
      </c>
      <c r="I744" s="84">
        <v>5.0</v>
      </c>
      <c r="J744" s="84"/>
      <c r="K744" s="84">
        <v>2.0</v>
      </c>
      <c r="L744" s="84">
        <v>2.0</v>
      </c>
      <c r="M744" s="84"/>
      <c r="N744" s="84">
        <v>0.0</v>
      </c>
      <c r="O744" s="84">
        <v>0.0</v>
      </c>
      <c r="P744" s="84">
        <v>0.0</v>
      </c>
      <c r="Q744" s="84"/>
      <c r="R744" s="84"/>
      <c r="S744" s="84"/>
      <c r="T744" s="84">
        <v>30.0</v>
      </c>
      <c r="U744" s="84">
        <v>44.0</v>
      </c>
      <c r="V744" s="84"/>
      <c r="W744" s="84"/>
      <c r="X744" s="84">
        <v>0.0</v>
      </c>
      <c r="Y744" s="84"/>
      <c r="Z744" s="84"/>
      <c r="AA744" s="84"/>
      <c r="AB744" s="84"/>
      <c r="AC744" s="84"/>
      <c r="AD744" s="84"/>
      <c r="AE744" s="84"/>
      <c r="AF744" s="84"/>
      <c r="AG744" s="84"/>
      <c r="AH744" s="84">
        <v>1.0</v>
      </c>
      <c r="AI744" s="84">
        <v>0.0</v>
      </c>
      <c r="AJ744" s="84">
        <v>0.0</v>
      </c>
      <c r="AK744" s="84">
        <v>1.0</v>
      </c>
      <c r="AL744" s="84">
        <v>0.0</v>
      </c>
      <c r="AM744" s="84">
        <v>0.0</v>
      </c>
      <c r="AN744" s="84">
        <v>1.0</v>
      </c>
      <c r="AO744" s="84">
        <v>1.0</v>
      </c>
      <c r="AP744" s="84">
        <v>0.0</v>
      </c>
      <c r="AQ744" s="84">
        <v>0.0</v>
      </c>
      <c r="AR744" s="84">
        <v>0.0</v>
      </c>
      <c r="AS744" s="84">
        <v>0.0</v>
      </c>
      <c r="AT744" s="84">
        <v>0.0</v>
      </c>
      <c r="AU744" s="84">
        <v>0.0</v>
      </c>
      <c r="AV744" s="84">
        <v>0.0</v>
      </c>
      <c r="AW744" s="84">
        <v>0.0</v>
      </c>
      <c r="AX744" s="84">
        <v>0.0</v>
      </c>
      <c r="AY744" s="84">
        <v>0.0</v>
      </c>
      <c r="AZ744" s="84">
        <v>0.0</v>
      </c>
    </row>
    <row r="745" ht="12.75" customHeight="1">
      <c r="A745" s="84">
        <v>743.0</v>
      </c>
      <c r="B745" s="84" t="s">
        <v>5953</v>
      </c>
      <c r="C745" s="84">
        <v>0.0</v>
      </c>
      <c r="D745" s="84" t="s">
        <v>4916</v>
      </c>
      <c r="E745" s="84">
        <v>13.0</v>
      </c>
      <c r="F745" s="84" t="s">
        <v>5131</v>
      </c>
      <c r="G745" s="84">
        <v>0.0</v>
      </c>
      <c r="H745" s="84">
        <v>101.0</v>
      </c>
      <c r="I745" s="84">
        <v>10.0</v>
      </c>
      <c r="J745" s="84">
        <v>4.0</v>
      </c>
      <c r="K745" s="84"/>
      <c r="L745" s="84"/>
      <c r="M745" s="84"/>
      <c r="N745" s="84">
        <v>0.0</v>
      </c>
      <c r="O745" s="84">
        <v>0.0</v>
      </c>
      <c r="P745" s="84">
        <v>0.0</v>
      </c>
      <c r="Q745" s="84"/>
      <c r="R745" s="84"/>
      <c r="S745" s="84"/>
      <c r="T745" s="84"/>
      <c r="U745" s="84">
        <v>111.0</v>
      </c>
      <c r="V745" s="84"/>
      <c r="W745" s="84"/>
      <c r="X745" s="84">
        <v>7.0</v>
      </c>
      <c r="Y745" s="84"/>
      <c r="Z745" s="84"/>
      <c r="AA745" s="84"/>
      <c r="AB745" s="84"/>
      <c r="AC745" s="84"/>
      <c r="AD745" s="84"/>
      <c r="AE745" s="84"/>
      <c r="AF745" s="84"/>
      <c r="AG745" s="84"/>
      <c r="AH745" s="84">
        <v>0.0</v>
      </c>
      <c r="AI745" s="84">
        <v>0.0</v>
      </c>
      <c r="AJ745" s="84">
        <v>0.0</v>
      </c>
      <c r="AK745" s="84">
        <v>0.0</v>
      </c>
      <c r="AL745" s="84">
        <v>0.0</v>
      </c>
      <c r="AM745" s="84">
        <v>0.0</v>
      </c>
      <c r="AN745" s="84">
        <v>0.0</v>
      </c>
      <c r="AO745" s="84">
        <v>0.0</v>
      </c>
      <c r="AP745" s="84">
        <v>0.0</v>
      </c>
      <c r="AQ745" s="84">
        <v>0.0</v>
      </c>
      <c r="AR745" s="84">
        <v>0.0</v>
      </c>
      <c r="AS745" s="84">
        <v>0.0</v>
      </c>
      <c r="AT745" s="84">
        <v>0.0</v>
      </c>
      <c r="AU745" s="84">
        <v>0.0</v>
      </c>
      <c r="AV745" s="84">
        <v>0.0</v>
      </c>
      <c r="AW745" s="84">
        <v>0.0</v>
      </c>
      <c r="AX745" s="84">
        <v>0.0</v>
      </c>
      <c r="AY745" s="84">
        <v>0.0</v>
      </c>
      <c r="AZ745" s="84">
        <v>0.0</v>
      </c>
    </row>
    <row r="746" ht="12.75" customHeight="1">
      <c r="A746" s="84">
        <v>744.0</v>
      </c>
      <c r="B746" s="84" t="s">
        <v>5954</v>
      </c>
      <c r="C746" s="84">
        <v>0.0</v>
      </c>
      <c r="D746" s="84" t="s">
        <v>4956</v>
      </c>
      <c r="E746" s="84">
        <v>0.0</v>
      </c>
      <c r="F746" s="84" t="s">
        <v>5172</v>
      </c>
      <c r="G746" s="84">
        <v>100.0</v>
      </c>
      <c r="H746" s="84">
        <v>100.0</v>
      </c>
      <c r="I746" s="84">
        <v>5.0</v>
      </c>
      <c r="J746" s="84"/>
      <c r="K746" s="84"/>
      <c r="L746" s="84"/>
      <c r="M746" s="84"/>
      <c r="N746" s="84">
        <v>0.0</v>
      </c>
      <c r="O746" s="84">
        <v>0.0</v>
      </c>
      <c r="P746" s="84">
        <v>0.0</v>
      </c>
      <c r="Q746" s="84"/>
      <c r="R746" s="84"/>
      <c r="S746" s="84"/>
      <c r="T746" s="84"/>
      <c r="U746" s="84">
        <v>420.0</v>
      </c>
      <c r="V746" s="84"/>
      <c r="W746" s="84"/>
      <c r="X746" s="84">
        <v>0.0</v>
      </c>
      <c r="Y746" s="84"/>
      <c r="Z746" s="84"/>
      <c r="AA746" s="84"/>
      <c r="AB746" s="84"/>
      <c r="AC746" s="84"/>
      <c r="AD746" s="84"/>
      <c r="AE746" s="84"/>
      <c r="AF746" s="84"/>
      <c r="AG746" s="84"/>
      <c r="AH746" s="84">
        <v>0.0</v>
      </c>
      <c r="AI746" s="84">
        <v>0.0</v>
      </c>
      <c r="AJ746" s="84">
        <v>0.0</v>
      </c>
      <c r="AK746" s="84">
        <v>1.0</v>
      </c>
      <c r="AL746" s="84">
        <v>0.0</v>
      </c>
      <c r="AM746" s="84">
        <v>0.0</v>
      </c>
      <c r="AN746" s="84">
        <v>0.0</v>
      </c>
      <c r="AO746" s="84">
        <v>0.0</v>
      </c>
      <c r="AP746" s="84">
        <v>0.0</v>
      </c>
      <c r="AQ746" s="84">
        <v>0.0</v>
      </c>
      <c r="AR746" s="84">
        <v>0.0</v>
      </c>
      <c r="AS746" s="84">
        <v>0.0</v>
      </c>
      <c r="AT746" s="84">
        <v>0.0</v>
      </c>
      <c r="AU746" s="84">
        <v>0.0</v>
      </c>
      <c r="AV746" s="84">
        <v>0.0</v>
      </c>
      <c r="AW746" s="84">
        <v>0.0</v>
      </c>
      <c r="AX746" s="84">
        <v>0.0</v>
      </c>
      <c r="AY746" s="84">
        <v>0.0</v>
      </c>
      <c r="AZ746" s="84">
        <v>0.0</v>
      </c>
    </row>
    <row r="747" ht="12.75" customHeight="1">
      <c r="A747" s="84">
        <v>745.0</v>
      </c>
      <c r="B747" s="84" t="s">
        <v>5955</v>
      </c>
      <c r="C747" s="84">
        <v>0.0</v>
      </c>
      <c r="D747" s="84" t="s">
        <v>4908</v>
      </c>
      <c r="E747" s="84">
        <v>0.0</v>
      </c>
      <c r="F747" s="84" t="s">
        <v>5172</v>
      </c>
      <c r="G747" s="84">
        <v>80.0</v>
      </c>
      <c r="H747" s="84">
        <v>100.0</v>
      </c>
      <c r="I747" s="84">
        <v>15.0</v>
      </c>
      <c r="J747" s="84"/>
      <c r="K747" s="84"/>
      <c r="L747" s="84"/>
      <c r="M747" s="84"/>
      <c r="N747" s="84">
        <v>0.0</v>
      </c>
      <c r="O747" s="84">
        <v>0.0</v>
      </c>
      <c r="P747" s="84">
        <v>0.0</v>
      </c>
      <c r="Q747" s="84"/>
      <c r="R747" s="84"/>
      <c r="S747" s="84">
        <v>1.0</v>
      </c>
      <c r="T747" s="84"/>
      <c r="U747" s="84">
        <v>421.0</v>
      </c>
      <c r="V747" s="84"/>
      <c r="W747" s="84"/>
      <c r="X747" s="84">
        <v>0.0</v>
      </c>
      <c r="Y747" s="84"/>
      <c r="Z747" s="84"/>
      <c r="AA747" s="84"/>
      <c r="AB747" s="84"/>
      <c r="AC747" s="84"/>
      <c r="AD747" s="84"/>
      <c r="AE747" s="84"/>
      <c r="AF747" s="84"/>
      <c r="AG747" s="84"/>
      <c r="AH747" s="84">
        <v>0.0</v>
      </c>
      <c r="AI747" s="84">
        <v>0.0</v>
      </c>
      <c r="AJ747" s="84">
        <v>0.0</v>
      </c>
      <c r="AK747" s="84">
        <v>1.0</v>
      </c>
      <c r="AL747" s="84">
        <v>0.0</v>
      </c>
      <c r="AM747" s="84">
        <v>0.0</v>
      </c>
      <c r="AN747" s="84">
        <v>1.0</v>
      </c>
      <c r="AO747" s="84">
        <v>0.0</v>
      </c>
      <c r="AP747" s="84">
        <v>0.0</v>
      </c>
      <c r="AQ747" s="84">
        <v>0.0</v>
      </c>
      <c r="AR747" s="84">
        <v>0.0</v>
      </c>
      <c r="AS747" s="84">
        <v>0.0</v>
      </c>
      <c r="AT747" s="84">
        <v>0.0</v>
      </c>
      <c r="AU747" s="84">
        <v>0.0</v>
      </c>
      <c r="AV747" s="84">
        <v>0.0</v>
      </c>
      <c r="AW747" s="84">
        <v>0.0</v>
      </c>
      <c r="AX747" s="84">
        <v>0.0</v>
      </c>
      <c r="AY747" s="84">
        <v>1.0</v>
      </c>
      <c r="AZ747" s="84">
        <v>0.0</v>
      </c>
    </row>
    <row r="748" ht="12.75" customHeight="1">
      <c r="A748" s="84">
        <v>746.0</v>
      </c>
      <c r="B748" s="84" t="s">
        <v>5956</v>
      </c>
      <c r="C748" s="84">
        <v>0.0</v>
      </c>
      <c r="D748" s="84" t="s">
        <v>4972</v>
      </c>
      <c r="E748" s="84">
        <v>0.0</v>
      </c>
      <c r="F748" s="84" t="s">
        <v>5135</v>
      </c>
      <c r="G748" s="84">
        <v>80.0</v>
      </c>
      <c r="H748" s="84">
        <v>100.0</v>
      </c>
      <c r="I748" s="84">
        <v>10.0</v>
      </c>
      <c r="J748" s="84"/>
      <c r="K748" s="84"/>
      <c r="L748" s="84"/>
      <c r="M748" s="84"/>
      <c r="N748" s="84">
        <v>0.0</v>
      </c>
      <c r="O748" s="84">
        <v>0.0</v>
      </c>
      <c r="P748" s="84">
        <v>0.0</v>
      </c>
      <c r="Q748" s="84"/>
      <c r="R748" s="84"/>
      <c r="S748" s="84"/>
      <c r="T748" s="84"/>
      <c r="U748" s="84">
        <v>422.0</v>
      </c>
      <c r="V748" s="84"/>
      <c r="W748" s="84"/>
      <c r="X748" s="84">
        <v>0.0</v>
      </c>
      <c r="Y748" s="84"/>
      <c r="Z748" s="84"/>
      <c r="AA748" s="84"/>
      <c r="AB748" s="84"/>
      <c r="AC748" s="84"/>
      <c r="AD748" s="84"/>
      <c r="AE748" s="84"/>
      <c r="AF748" s="84"/>
      <c r="AG748" s="84"/>
      <c r="AH748" s="84">
        <v>1.0</v>
      </c>
      <c r="AI748" s="84">
        <v>0.0</v>
      </c>
      <c r="AJ748" s="84">
        <v>0.0</v>
      </c>
      <c r="AK748" s="84">
        <v>1.0</v>
      </c>
      <c r="AL748" s="84">
        <v>0.0</v>
      </c>
      <c r="AM748" s="84">
        <v>0.0</v>
      </c>
      <c r="AN748" s="84">
        <v>1.0</v>
      </c>
      <c r="AO748" s="84">
        <v>0.0</v>
      </c>
      <c r="AP748" s="84">
        <v>0.0</v>
      </c>
      <c r="AQ748" s="84">
        <v>0.0</v>
      </c>
      <c r="AR748" s="84">
        <v>0.0</v>
      </c>
      <c r="AS748" s="84">
        <v>0.0</v>
      </c>
      <c r="AT748" s="84">
        <v>0.0</v>
      </c>
      <c r="AU748" s="84">
        <v>0.0</v>
      </c>
      <c r="AV748" s="84">
        <v>0.0</v>
      </c>
      <c r="AW748" s="84">
        <v>0.0</v>
      </c>
      <c r="AX748" s="84">
        <v>0.0</v>
      </c>
      <c r="AY748" s="84">
        <v>1.0</v>
      </c>
      <c r="AZ748" s="84">
        <v>0.0</v>
      </c>
    </row>
    <row r="749" ht="12.75" customHeight="1">
      <c r="A749" s="84">
        <v>747.0</v>
      </c>
      <c r="B749" s="84" t="s">
        <v>5957</v>
      </c>
      <c r="C749" s="84">
        <v>0.0</v>
      </c>
      <c r="D749" s="84" t="s">
        <v>4916</v>
      </c>
      <c r="E749" s="84">
        <v>2.0</v>
      </c>
      <c r="F749" s="84" t="s">
        <v>5131</v>
      </c>
      <c r="G749" s="84">
        <v>0.0</v>
      </c>
      <c r="H749" s="84">
        <v>101.0</v>
      </c>
      <c r="I749" s="84">
        <v>10.0</v>
      </c>
      <c r="J749" s="84"/>
      <c r="K749" s="84"/>
      <c r="L749" s="84"/>
      <c r="M749" s="84"/>
      <c r="N749" s="84">
        <v>0.0</v>
      </c>
      <c r="O749" s="84">
        <v>0.0</v>
      </c>
      <c r="P749" s="84">
        <v>0.0</v>
      </c>
      <c r="Q749" s="84"/>
      <c r="R749" s="84"/>
      <c r="S749" s="84"/>
      <c r="T749" s="84"/>
      <c r="U749" s="84">
        <v>423.0</v>
      </c>
      <c r="V749" s="84"/>
      <c r="W749" s="84"/>
      <c r="X749" s="84">
        <v>7.0</v>
      </c>
      <c r="Y749" s="84" t="s">
        <v>21</v>
      </c>
      <c r="Z749" s="84">
        <v>2.0</v>
      </c>
      <c r="AA749" s="84">
        <v>100.0</v>
      </c>
      <c r="AB749" s="84"/>
      <c r="AC749" s="84"/>
      <c r="AD749" s="84"/>
      <c r="AE749" s="84"/>
      <c r="AF749" s="84"/>
      <c r="AG749" s="84"/>
      <c r="AH749" s="84">
        <v>0.0</v>
      </c>
      <c r="AI749" s="84">
        <v>0.0</v>
      </c>
      <c r="AJ749" s="84">
        <v>0.0</v>
      </c>
      <c r="AK749" s="84">
        <v>0.0</v>
      </c>
      <c r="AL749" s="84">
        <v>0.0</v>
      </c>
      <c r="AM749" s="84">
        <v>1.0</v>
      </c>
      <c r="AN749" s="84">
        <v>0.0</v>
      </c>
      <c r="AO749" s="84">
        <v>0.0</v>
      </c>
      <c r="AP749" s="84">
        <v>0.0</v>
      </c>
      <c r="AQ749" s="84">
        <v>0.0</v>
      </c>
      <c r="AR749" s="84">
        <v>0.0</v>
      </c>
      <c r="AS749" s="84">
        <v>0.0</v>
      </c>
      <c r="AT749" s="84">
        <v>0.0</v>
      </c>
      <c r="AU749" s="84">
        <v>0.0</v>
      </c>
      <c r="AV749" s="84">
        <v>0.0</v>
      </c>
      <c r="AW749" s="84">
        <v>0.0</v>
      </c>
      <c r="AX749" s="84">
        <v>0.0</v>
      </c>
      <c r="AY749" s="84">
        <v>1.0</v>
      </c>
      <c r="AZ749" s="84">
        <v>0.0</v>
      </c>
    </row>
    <row r="750" ht="12.75" customHeight="1">
      <c r="A750" s="84">
        <v>748.0</v>
      </c>
      <c r="B750" s="84" t="s">
        <v>5958</v>
      </c>
      <c r="C750" s="84">
        <v>0.0</v>
      </c>
      <c r="D750" s="84" t="s">
        <v>4935</v>
      </c>
      <c r="E750" s="84">
        <v>2.0</v>
      </c>
      <c r="F750" s="84" t="s">
        <v>5131</v>
      </c>
      <c r="G750" s="84">
        <v>0.0</v>
      </c>
      <c r="H750" s="84">
        <v>101.0</v>
      </c>
      <c r="I750" s="84">
        <v>5.0</v>
      </c>
      <c r="J750" s="84"/>
      <c r="K750" s="84"/>
      <c r="L750" s="84"/>
      <c r="M750" s="84"/>
      <c r="N750" s="84">
        <v>0.0</v>
      </c>
      <c r="O750" s="84">
        <v>0.0</v>
      </c>
      <c r="P750" s="84">
        <v>0.0</v>
      </c>
      <c r="Q750" s="84"/>
      <c r="R750" s="84"/>
      <c r="S750" s="84"/>
      <c r="T750" s="84"/>
      <c r="U750" s="84">
        <v>424.0</v>
      </c>
      <c r="V750" s="84"/>
      <c r="W750" s="84"/>
      <c r="X750" s="84">
        <v>7.0</v>
      </c>
      <c r="Y750" s="84" t="s">
        <v>5159</v>
      </c>
      <c r="Z750" s="84">
        <v>1.0</v>
      </c>
      <c r="AA750" s="84">
        <v>100.0</v>
      </c>
      <c r="AB750" s="84"/>
      <c r="AC750" s="84"/>
      <c r="AD750" s="84"/>
      <c r="AE750" s="84"/>
      <c r="AF750" s="84"/>
      <c r="AG750" s="84"/>
      <c r="AH750" s="84">
        <v>0.0</v>
      </c>
      <c r="AI750" s="84">
        <v>0.0</v>
      </c>
      <c r="AJ750" s="84">
        <v>0.0</v>
      </c>
      <c r="AK750" s="84">
        <v>0.0</v>
      </c>
      <c r="AL750" s="84">
        <v>0.0</v>
      </c>
      <c r="AM750" s="84">
        <v>1.0</v>
      </c>
      <c r="AN750" s="84">
        <v>0.0</v>
      </c>
      <c r="AO750" s="84">
        <v>0.0</v>
      </c>
      <c r="AP750" s="84">
        <v>0.0</v>
      </c>
      <c r="AQ750" s="84">
        <v>0.0</v>
      </c>
      <c r="AR750" s="84">
        <v>0.0</v>
      </c>
      <c r="AS750" s="84">
        <v>0.0</v>
      </c>
      <c r="AT750" s="84">
        <v>0.0</v>
      </c>
      <c r="AU750" s="84">
        <v>0.0</v>
      </c>
      <c r="AV750" s="84">
        <v>0.0</v>
      </c>
      <c r="AW750" s="84">
        <v>0.0</v>
      </c>
      <c r="AX750" s="84">
        <v>0.0</v>
      </c>
      <c r="AY750" s="84">
        <v>1.0</v>
      </c>
      <c r="AZ750" s="84">
        <v>0.0</v>
      </c>
    </row>
    <row r="751" ht="12.75" customHeight="1">
      <c r="A751" s="84">
        <v>749.0</v>
      </c>
      <c r="B751" s="84" t="s">
        <v>5959</v>
      </c>
      <c r="C751" s="84">
        <v>0.0</v>
      </c>
      <c r="D751" s="84" t="s">
        <v>4940</v>
      </c>
      <c r="E751" s="84">
        <v>5.0</v>
      </c>
      <c r="F751" s="84" t="s">
        <v>5131</v>
      </c>
      <c r="G751" s="84">
        <v>0.0</v>
      </c>
      <c r="H751" s="84">
        <v>100.0</v>
      </c>
      <c r="I751" s="84">
        <v>15.0</v>
      </c>
      <c r="J751" s="84"/>
      <c r="K751" s="84"/>
      <c r="L751" s="84"/>
      <c r="M751" s="84" t="s">
        <v>5960</v>
      </c>
      <c r="N751" s="84">
        <v>42.0</v>
      </c>
      <c r="O751" s="84">
        <v>100.0</v>
      </c>
      <c r="P751" s="84">
        <v>1.0</v>
      </c>
      <c r="Q751" s="84"/>
      <c r="R751" s="84"/>
      <c r="S751" s="84"/>
      <c r="T751" s="84"/>
      <c r="U751" s="84">
        <v>425.0</v>
      </c>
      <c r="V751" s="84"/>
      <c r="W751" s="84"/>
      <c r="X751" s="84">
        <v>0.0</v>
      </c>
      <c r="Y751" s="84" t="s">
        <v>5073</v>
      </c>
      <c r="Z751" s="84">
        <v>-1.0</v>
      </c>
      <c r="AA751" s="84">
        <v>100.0</v>
      </c>
      <c r="AB751" s="84"/>
      <c r="AC751" s="84"/>
      <c r="AD751" s="84"/>
      <c r="AE751" s="84"/>
      <c r="AF751" s="84"/>
      <c r="AG751" s="84"/>
      <c r="AH751" s="84">
        <v>0.0</v>
      </c>
      <c r="AI751" s="84">
        <v>0.0</v>
      </c>
      <c r="AJ751" s="84">
        <v>0.0</v>
      </c>
      <c r="AK751" s="84">
        <v>1.0</v>
      </c>
      <c r="AL751" s="84">
        <v>1.0</v>
      </c>
      <c r="AM751" s="84">
        <v>0.0</v>
      </c>
      <c r="AN751" s="84">
        <v>1.0</v>
      </c>
      <c r="AO751" s="84">
        <v>0.0</v>
      </c>
      <c r="AP751" s="84">
        <v>0.0</v>
      </c>
      <c r="AQ751" s="84">
        <v>0.0</v>
      </c>
      <c r="AR751" s="84">
        <v>0.0</v>
      </c>
      <c r="AS751" s="84">
        <v>0.0</v>
      </c>
      <c r="AT751" s="84">
        <v>0.0</v>
      </c>
      <c r="AU751" s="84">
        <v>0.0</v>
      </c>
      <c r="AV751" s="84">
        <v>0.0</v>
      </c>
      <c r="AW751" s="84">
        <v>0.0</v>
      </c>
      <c r="AX751" s="84">
        <v>0.0</v>
      </c>
      <c r="AY751" s="84">
        <v>1.0</v>
      </c>
      <c r="AZ751" s="84">
        <v>0.0</v>
      </c>
    </row>
    <row r="752" ht="12.75" customHeight="1">
      <c r="A752" s="84">
        <v>750.0</v>
      </c>
      <c r="B752" s="84" t="s">
        <v>5961</v>
      </c>
      <c r="C752" s="84">
        <v>0.0</v>
      </c>
      <c r="D752" s="84" t="s">
        <v>2659</v>
      </c>
      <c r="E752" s="84">
        <v>13.0</v>
      </c>
      <c r="F752" s="84" t="s">
        <v>5131</v>
      </c>
      <c r="G752" s="84">
        <v>0.0</v>
      </c>
      <c r="H752" s="84">
        <v>100.0</v>
      </c>
      <c r="I752" s="84">
        <v>20.0</v>
      </c>
      <c r="J752" s="84"/>
      <c r="K752" s="84"/>
      <c r="L752" s="84"/>
      <c r="M752" s="84"/>
      <c r="N752" s="84">
        <v>0.0</v>
      </c>
      <c r="O752" s="84">
        <v>0.0</v>
      </c>
      <c r="P752" s="84">
        <v>0.0</v>
      </c>
      <c r="Q752" s="84"/>
      <c r="R752" s="84"/>
      <c r="S752" s="84"/>
      <c r="T752" s="84"/>
      <c r="U752" s="84">
        <v>426.0</v>
      </c>
      <c r="V752" s="84"/>
      <c r="W752" s="84"/>
      <c r="X752" s="84">
        <v>0.0</v>
      </c>
      <c r="Y752" s="84"/>
      <c r="Z752" s="84"/>
      <c r="AA752" s="84"/>
      <c r="AB752" s="84"/>
      <c r="AC752" s="84"/>
      <c r="AD752" s="84"/>
      <c r="AE752" s="84"/>
      <c r="AF752" s="84"/>
      <c r="AG752" s="84"/>
      <c r="AH752" s="84">
        <v>0.0</v>
      </c>
      <c r="AI752" s="84">
        <v>0.0</v>
      </c>
      <c r="AJ752" s="84">
        <v>0.0</v>
      </c>
      <c r="AK752" s="84">
        <v>1.0</v>
      </c>
      <c r="AL752" s="84">
        <v>1.0</v>
      </c>
      <c r="AM752" s="84">
        <v>0.0</v>
      </c>
      <c r="AN752" s="84">
        <v>1.0</v>
      </c>
      <c r="AO752" s="84">
        <v>0.0</v>
      </c>
      <c r="AP752" s="84">
        <v>0.0</v>
      </c>
      <c r="AQ752" s="84">
        <v>0.0</v>
      </c>
      <c r="AR752" s="84">
        <v>0.0</v>
      </c>
      <c r="AS752" s="84">
        <v>0.0</v>
      </c>
      <c r="AT752" s="84">
        <v>0.0</v>
      </c>
      <c r="AU752" s="84">
        <v>0.0</v>
      </c>
      <c r="AV752" s="84">
        <v>0.0</v>
      </c>
      <c r="AW752" s="84">
        <v>1.0</v>
      </c>
      <c r="AX752" s="84">
        <v>0.0</v>
      </c>
      <c r="AY752" s="84">
        <v>1.0</v>
      </c>
      <c r="AZ752" s="84">
        <v>0.0</v>
      </c>
    </row>
    <row r="753" ht="12.75" customHeight="1">
      <c r="A753" s="84">
        <v>751.0</v>
      </c>
      <c r="B753" s="84" t="s">
        <v>5962</v>
      </c>
      <c r="C753" s="84">
        <v>0.0</v>
      </c>
      <c r="D753" s="84" t="s">
        <v>4956</v>
      </c>
      <c r="E753" s="84">
        <v>0.0</v>
      </c>
      <c r="F753" s="84" t="s">
        <v>5135</v>
      </c>
      <c r="G753" s="84">
        <v>50.0</v>
      </c>
      <c r="H753" s="84">
        <v>100.0</v>
      </c>
      <c r="I753" s="84">
        <v>10.0</v>
      </c>
      <c r="J753" s="84"/>
      <c r="K753" s="84">
        <v>2.0</v>
      </c>
      <c r="L753" s="84">
        <v>2.0</v>
      </c>
      <c r="M753" s="84"/>
      <c r="N753" s="84">
        <v>0.0</v>
      </c>
      <c r="O753" s="84">
        <v>0.0</v>
      </c>
      <c r="P753" s="84">
        <v>0.0</v>
      </c>
      <c r="Q753" s="84"/>
      <c r="R753" s="84"/>
      <c r="S753" s="84"/>
      <c r="T753" s="84"/>
      <c r="U753" s="84">
        <v>427.0</v>
      </c>
      <c r="V753" s="84"/>
      <c r="W753" s="84"/>
      <c r="X753" s="84">
        <v>0.0</v>
      </c>
      <c r="Y753" s="84"/>
      <c r="Z753" s="84"/>
      <c r="AA753" s="84"/>
      <c r="AB753" s="84"/>
      <c r="AC753" s="84"/>
      <c r="AD753" s="84"/>
      <c r="AE753" s="84"/>
      <c r="AF753" s="84"/>
      <c r="AG753" s="84"/>
      <c r="AH753" s="84">
        <v>0.0</v>
      </c>
      <c r="AI753" s="84">
        <v>0.0</v>
      </c>
      <c r="AJ753" s="84">
        <v>0.0</v>
      </c>
      <c r="AK753" s="84">
        <v>1.0</v>
      </c>
      <c r="AL753" s="84">
        <v>0.0</v>
      </c>
      <c r="AM753" s="84">
        <v>0.0</v>
      </c>
      <c r="AN753" s="84">
        <v>1.0</v>
      </c>
      <c r="AO753" s="84">
        <v>0.0</v>
      </c>
      <c r="AP753" s="84">
        <v>0.0</v>
      </c>
      <c r="AQ753" s="84">
        <v>0.0</v>
      </c>
      <c r="AR753" s="84">
        <v>0.0</v>
      </c>
      <c r="AS753" s="84">
        <v>0.0</v>
      </c>
      <c r="AT753" s="84">
        <v>0.0</v>
      </c>
      <c r="AU753" s="84">
        <v>0.0</v>
      </c>
      <c r="AV753" s="84">
        <v>0.0</v>
      </c>
      <c r="AW753" s="84">
        <v>0.0</v>
      </c>
      <c r="AX753" s="84">
        <v>0.0</v>
      </c>
      <c r="AY753" s="84">
        <v>1.0</v>
      </c>
      <c r="AZ753" s="84">
        <v>0.0</v>
      </c>
    </row>
    <row r="754" ht="12.75" customHeight="1">
      <c r="A754" s="84">
        <v>752.0</v>
      </c>
      <c r="B754" s="84" t="s">
        <v>5963</v>
      </c>
      <c r="C754" s="84">
        <v>0.0</v>
      </c>
      <c r="D754" s="84" t="s">
        <v>4916</v>
      </c>
      <c r="E754" s="84">
        <v>13.0</v>
      </c>
      <c r="F754" s="84" t="s">
        <v>5131</v>
      </c>
      <c r="G754" s="84">
        <v>0.0</v>
      </c>
      <c r="H754" s="84">
        <v>101.0</v>
      </c>
      <c r="I754" s="84">
        <v>10.0</v>
      </c>
      <c r="J754" s="84"/>
      <c r="K754" s="84"/>
      <c r="L754" s="84"/>
      <c r="M754" s="84"/>
      <c r="N754" s="84">
        <v>0.0</v>
      </c>
      <c r="O754" s="84">
        <v>0.0</v>
      </c>
      <c r="P754" s="84">
        <v>0.0</v>
      </c>
      <c r="Q754" s="84"/>
      <c r="R754" s="84"/>
      <c r="S754" s="84"/>
      <c r="T754" s="84"/>
      <c r="U754" s="84">
        <v>428.0</v>
      </c>
      <c r="V754" s="84"/>
      <c r="W754" s="84"/>
      <c r="X754" s="84">
        <v>8.0</v>
      </c>
      <c r="Y754" s="84"/>
      <c r="Z754" s="84"/>
      <c r="AA754" s="84"/>
      <c r="AB754" s="84"/>
      <c r="AC754" s="84"/>
      <c r="AD754" s="84"/>
      <c r="AE754" s="84"/>
      <c r="AF754" s="84"/>
      <c r="AG754" s="84"/>
      <c r="AH754" s="84">
        <v>0.0</v>
      </c>
      <c r="AI754" s="84">
        <v>0.0</v>
      </c>
      <c r="AJ754" s="84">
        <v>0.0</v>
      </c>
      <c r="AK754" s="84">
        <v>0.0</v>
      </c>
      <c r="AL754" s="84">
        <v>0.0</v>
      </c>
      <c r="AM754" s="84">
        <v>0.0</v>
      </c>
      <c r="AN754" s="84">
        <v>0.0</v>
      </c>
      <c r="AO754" s="84">
        <v>0.0</v>
      </c>
      <c r="AP754" s="84">
        <v>0.0</v>
      </c>
      <c r="AQ754" s="84">
        <v>0.0</v>
      </c>
      <c r="AR754" s="84">
        <v>0.0</v>
      </c>
      <c r="AS754" s="84">
        <v>0.0</v>
      </c>
      <c r="AT754" s="84">
        <v>0.0</v>
      </c>
      <c r="AU754" s="84">
        <v>1.0</v>
      </c>
      <c r="AV754" s="84">
        <v>0.0</v>
      </c>
      <c r="AW754" s="84">
        <v>0.0</v>
      </c>
      <c r="AX754" s="84">
        <v>0.0</v>
      </c>
      <c r="AY754" s="84">
        <v>1.0</v>
      </c>
      <c r="AZ754" s="84">
        <v>0.0</v>
      </c>
    </row>
    <row r="755" ht="12.75" customHeight="1">
      <c r="A755" s="84">
        <v>753.0</v>
      </c>
      <c r="B755" s="84" t="s">
        <v>5964</v>
      </c>
      <c r="C755" s="84">
        <v>0.0</v>
      </c>
      <c r="D755" s="84" t="s">
        <v>4935</v>
      </c>
      <c r="E755" s="84">
        <v>13.0</v>
      </c>
      <c r="F755" s="84" t="s">
        <v>5131</v>
      </c>
      <c r="G755" s="84">
        <v>0.0</v>
      </c>
      <c r="H755" s="84">
        <v>100.0</v>
      </c>
      <c r="I755" s="84">
        <v>15.0</v>
      </c>
      <c r="J755" s="84"/>
      <c r="K755" s="84"/>
      <c r="L755" s="84"/>
      <c r="M755" s="84"/>
      <c r="N755" s="84">
        <v>0.0</v>
      </c>
      <c r="O755" s="84">
        <v>0.0</v>
      </c>
      <c r="P755" s="84">
        <v>0.0</v>
      </c>
      <c r="Q755" s="84"/>
      <c r="R755" s="84"/>
      <c r="S755" s="84"/>
      <c r="T755" s="84"/>
      <c r="U755" s="84">
        <v>429.0</v>
      </c>
      <c r="V755" s="84"/>
      <c r="W755" s="84"/>
      <c r="X755" s="84">
        <v>0.0</v>
      </c>
      <c r="Y755" s="84"/>
      <c r="Z755" s="84"/>
      <c r="AA755" s="84"/>
      <c r="AB755" s="84"/>
      <c r="AC755" s="84"/>
      <c r="AD755" s="84"/>
      <c r="AE755" s="84"/>
      <c r="AF755" s="84"/>
      <c r="AG755" s="84"/>
      <c r="AH755" s="84">
        <v>0.0</v>
      </c>
      <c r="AI755" s="84">
        <v>0.0</v>
      </c>
      <c r="AJ755" s="84">
        <v>0.0</v>
      </c>
      <c r="AK755" s="84">
        <v>1.0</v>
      </c>
      <c r="AL755" s="84">
        <v>0.0</v>
      </c>
      <c r="AM755" s="84">
        <v>0.0</v>
      </c>
      <c r="AN755" s="84">
        <v>1.0</v>
      </c>
      <c r="AO755" s="84">
        <v>0.0</v>
      </c>
      <c r="AP755" s="84">
        <v>0.0</v>
      </c>
      <c r="AQ755" s="84">
        <v>0.0</v>
      </c>
      <c r="AR755" s="84">
        <v>0.0</v>
      </c>
      <c r="AS755" s="84">
        <v>0.0</v>
      </c>
      <c r="AT755" s="84">
        <v>0.0</v>
      </c>
      <c r="AU755" s="84">
        <v>0.0</v>
      </c>
      <c r="AV755" s="84">
        <v>0.0</v>
      </c>
      <c r="AW755" s="84">
        <v>0.0</v>
      </c>
      <c r="AX755" s="84">
        <v>0.0</v>
      </c>
      <c r="AY755" s="84">
        <v>1.0</v>
      </c>
      <c r="AZ755" s="84">
        <v>0.0</v>
      </c>
    </row>
    <row r="756" ht="12.75" customHeight="1">
      <c r="A756" s="84">
        <v>754.0</v>
      </c>
      <c r="B756" s="84" t="s">
        <v>5965</v>
      </c>
      <c r="C756" s="84">
        <v>0.0</v>
      </c>
      <c r="D756" s="84" t="s">
        <v>4921</v>
      </c>
      <c r="E756" s="84">
        <v>0.0</v>
      </c>
      <c r="F756" s="84" t="s">
        <v>5135</v>
      </c>
      <c r="G756" s="84">
        <v>85.0</v>
      </c>
      <c r="H756" s="84">
        <v>100.0</v>
      </c>
      <c r="I756" s="84">
        <v>10.0</v>
      </c>
      <c r="J756" s="84"/>
      <c r="K756" s="84"/>
      <c r="L756" s="84"/>
      <c r="M756" s="84"/>
      <c r="N756" s="84">
        <v>0.0</v>
      </c>
      <c r="O756" s="84">
        <v>0.0</v>
      </c>
      <c r="P756" s="84">
        <v>0.0</v>
      </c>
      <c r="Q756" s="84"/>
      <c r="R756" s="84"/>
      <c r="S756" s="84"/>
      <c r="T756" s="84"/>
      <c r="U756" s="84">
        <v>430.0</v>
      </c>
      <c r="V756" s="84"/>
      <c r="W756" s="84"/>
      <c r="X756" s="84">
        <v>0.0</v>
      </c>
      <c r="Y756" s="84"/>
      <c r="Z756" s="84"/>
      <c r="AA756" s="84"/>
      <c r="AB756" s="84"/>
      <c r="AC756" s="84"/>
      <c r="AD756" s="84"/>
      <c r="AE756" s="84"/>
      <c r="AF756" s="84"/>
      <c r="AG756" s="84"/>
      <c r="AH756" s="84">
        <v>1.0</v>
      </c>
      <c r="AI756" s="84">
        <v>0.0</v>
      </c>
      <c r="AJ756" s="84">
        <v>0.0</v>
      </c>
      <c r="AK756" s="84">
        <v>1.0</v>
      </c>
      <c r="AL756" s="84">
        <v>0.0</v>
      </c>
      <c r="AM756" s="84">
        <v>0.0</v>
      </c>
      <c r="AN756" s="84">
        <v>1.0</v>
      </c>
      <c r="AO756" s="84">
        <v>0.0</v>
      </c>
      <c r="AP756" s="84">
        <v>0.0</v>
      </c>
      <c r="AQ756" s="84">
        <v>0.0</v>
      </c>
      <c r="AR756" s="84">
        <v>0.0</v>
      </c>
      <c r="AS756" s="84">
        <v>0.0</v>
      </c>
      <c r="AT756" s="84">
        <v>0.0</v>
      </c>
      <c r="AU756" s="84">
        <v>0.0</v>
      </c>
      <c r="AV756" s="84">
        <v>0.0</v>
      </c>
      <c r="AW756" s="84">
        <v>0.0</v>
      </c>
      <c r="AX756" s="84">
        <v>0.0</v>
      </c>
      <c r="AY756" s="84">
        <v>1.0</v>
      </c>
      <c r="AZ756" s="84">
        <v>0.0</v>
      </c>
    </row>
    <row r="757" ht="12.75" customHeight="1">
      <c r="A757" s="84">
        <v>755.0</v>
      </c>
      <c r="B757" s="84" t="s">
        <v>5966</v>
      </c>
      <c r="C757" s="84">
        <v>0.0</v>
      </c>
      <c r="D757" s="84" t="s">
        <v>4908</v>
      </c>
      <c r="E757" s="84">
        <v>0.0</v>
      </c>
      <c r="F757" s="84" t="s">
        <v>5135</v>
      </c>
      <c r="G757" s="84">
        <v>85.0</v>
      </c>
      <c r="H757" s="84">
        <v>100.0</v>
      </c>
      <c r="I757" s="84">
        <v>10.0</v>
      </c>
      <c r="J757" s="84"/>
      <c r="K757" s="84"/>
      <c r="L757" s="84"/>
      <c r="M757" s="84"/>
      <c r="N757" s="84">
        <v>0.0</v>
      </c>
      <c r="O757" s="84">
        <v>0.0</v>
      </c>
      <c r="P757" s="84">
        <v>0.0</v>
      </c>
      <c r="Q757" s="84"/>
      <c r="R757" s="84"/>
      <c r="S757" s="84"/>
      <c r="T757" s="84"/>
      <c r="U757" s="84">
        <v>430.0</v>
      </c>
      <c r="V757" s="84"/>
      <c r="W757" s="84"/>
      <c r="X757" s="84">
        <v>0.0</v>
      </c>
      <c r="Y757" s="84"/>
      <c r="Z757" s="84"/>
      <c r="AA757" s="84"/>
      <c r="AB757" s="84"/>
      <c r="AC757" s="84"/>
      <c r="AD757" s="84"/>
      <c r="AE757" s="84"/>
      <c r="AF757" s="84"/>
      <c r="AG757" s="84"/>
      <c r="AH757" s="84">
        <v>1.0</v>
      </c>
      <c r="AI757" s="84">
        <v>0.0</v>
      </c>
      <c r="AJ757" s="84">
        <v>0.0</v>
      </c>
      <c r="AK757" s="84">
        <v>1.0</v>
      </c>
      <c r="AL757" s="84">
        <v>0.0</v>
      </c>
      <c r="AM757" s="84">
        <v>0.0</v>
      </c>
      <c r="AN757" s="84">
        <v>1.0</v>
      </c>
      <c r="AO757" s="84">
        <v>0.0</v>
      </c>
      <c r="AP757" s="84">
        <v>0.0</v>
      </c>
      <c r="AQ757" s="84">
        <v>0.0</v>
      </c>
      <c r="AR757" s="84">
        <v>0.0</v>
      </c>
      <c r="AS757" s="84">
        <v>0.0</v>
      </c>
      <c r="AT757" s="84">
        <v>0.0</v>
      </c>
      <c r="AU757" s="84">
        <v>0.0</v>
      </c>
      <c r="AV757" s="84">
        <v>0.0</v>
      </c>
      <c r="AW757" s="84">
        <v>0.0</v>
      </c>
      <c r="AX757" s="84">
        <v>0.0</v>
      </c>
      <c r="AY757" s="84">
        <v>1.0</v>
      </c>
      <c r="AZ757" s="84">
        <v>0.0</v>
      </c>
    </row>
    <row r="758" ht="12.75" customHeight="1">
      <c r="A758" s="84">
        <v>756.0</v>
      </c>
      <c r="B758" s="84" t="s">
        <v>5967</v>
      </c>
      <c r="C758" s="84">
        <v>0.0</v>
      </c>
      <c r="D758" s="84" t="s">
        <v>4916</v>
      </c>
      <c r="E758" s="84">
        <v>13.0</v>
      </c>
      <c r="F758" s="84" t="s">
        <v>5131</v>
      </c>
      <c r="G758" s="84">
        <v>0.0</v>
      </c>
      <c r="H758" s="84">
        <v>100.0</v>
      </c>
      <c r="I758" s="84">
        <v>10.0</v>
      </c>
      <c r="J758" s="84"/>
      <c r="K758" s="84"/>
      <c r="L758" s="84"/>
      <c r="M758" s="84"/>
      <c r="N758" s="84">
        <v>0.0</v>
      </c>
      <c r="O758" s="84">
        <v>0.0</v>
      </c>
      <c r="P758" s="84">
        <v>0.0</v>
      </c>
      <c r="Q758" s="84"/>
      <c r="R758" s="84"/>
      <c r="S758" s="84"/>
      <c r="T758" s="84"/>
      <c r="U758" s="84">
        <v>431.0</v>
      </c>
      <c r="V758" s="84"/>
      <c r="W758" s="84"/>
      <c r="X758" s="84">
        <v>10.0</v>
      </c>
      <c r="Y758" s="84"/>
      <c r="Z758" s="84"/>
      <c r="AA758" s="84"/>
      <c r="AB758" s="84"/>
      <c r="AC758" s="84"/>
      <c r="AD758" s="84"/>
      <c r="AE758" s="84"/>
      <c r="AF758" s="84"/>
      <c r="AG758" s="84"/>
      <c r="AH758" s="84">
        <v>0.0</v>
      </c>
      <c r="AI758" s="84">
        <v>0.0</v>
      </c>
      <c r="AJ758" s="84">
        <v>0.0</v>
      </c>
      <c r="AK758" s="84">
        <v>0.0</v>
      </c>
      <c r="AL758" s="84">
        <v>0.0</v>
      </c>
      <c r="AM758" s="84">
        <v>0.0</v>
      </c>
      <c r="AN758" s="84">
        <v>1.0</v>
      </c>
      <c r="AO758" s="84">
        <v>0.0</v>
      </c>
      <c r="AP758" s="84">
        <v>0.0</v>
      </c>
      <c r="AQ758" s="84">
        <v>0.0</v>
      </c>
      <c r="AR758" s="84">
        <v>0.0</v>
      </c>
      <c r="AS758" s="84">
        <v>0.0</v>
      </c>
      <c r="AT758" s="84">
        <v>0.0</v>
      </c>
      <c r="AU758" s="84">
        <v>0.0</v>
      </c>
      <c r="AV758" s="84">
        <v>0.0</v>
      </c>
      <c r="AW758" s="84">
        <v>0.0</v>
      </c>
      <c r="AX758" s="84">
        <v>0.0</v>
      </c>
      <c r="AY758" s="84">
        <v>1.0</v>
      </c>
      <c r="AZ758" s="84">
        <v>0.0</v>
      </c>
    </row>
    <row r="759" ht="12.75" customHeight="1">
      <c r="A759" s="84">
        <v>757.0</v>
      </c>
      <c r="B759" s="84" t="s">
        <v>5968</v>
      </c>
      <c r="C759" s="84">
        <v>0.0</v>
      </c>
      <c r="D759" s="84" t="s">
        <v>4906</v>
      </c>
      <c r="E759" s="84">
        <v>0.0</v>
      </c>
      <c r="F759" s="84" t="s">
        <v>5135</v>
      </c>
      <c r="G759" s="84">
        <v>100.0</v>
      </c>
      <c r="H759" s="84">
        <v>101.0</v>
      </c>
      <c r="I759" s="84">
        <v>10.0</v>
      </c>
      <c r="J759" s="84"/>
      <c r="K759" s="84"/>
      <c r="L759" s="84"/>
      <c r="M759" s="84"/>
      <c r="N759" s="84">
        <v>0.0</v>
      </c>
      <c r="O759" s="84">
        <v>0.0</v>
      </c>
      <c r="P759" s="84">
        <v>0.0</v>
      </c>
      <c r="Q759" s="84"/>
      <c r="R759" s="84"/>
      <c r="S759" s="84"/>
      <c r="T759" s="84"/>
      <c r="U759" s="84">
        <v>0.0</v>
      </c>
      <c r="V759" s="84"/>
      <c r="W759" s="84"/>
      <c r="X759" s="84">
        <v>3.0</v>
      </c>
      <c r="Y759" s="84"/>
      <c r="Z759" s="84"/>
      <c r="AA759" s="84"/>
      <c r="AB759" s="84"/>
      <c r="AC759" s="84"/>
      <c r="AD759" s="84"/>
      <c r="AE759" s="84"/>
      <c r="AF759" s="84"/>
      <c r="AG759" s="84"/>
      <c r="AH759" s="84">
        <v>0.0</v>
      </c>
      <c r="AI759" s="84">
        <v>0.0</v>
      </c>
      <c r="AJ759" s="84">
        <v>0.0</v>
      </c>
      <c r="AK759" s="84">
        <v>0.0</v>
      </c>
      <c r="AL759" s="84">
        <v>0.0</v>
      </c>
      <c r="AM759" s="84">
        <v>0.0</v>
      </c>
      <c r="AN759" s="84">
        <v>0.0</v>
      </c>
      <c r="AO759" s="84">
        <v>0.0</v>
      </c>
      <c r="AP759" s="84">
        <v>0.0</v>
      </c>
      <c r="AQ759" s="84">
        <v>0.0</v>
      </c>
      <c r="AR759" s="84">
        <v>0.0</v>
      </c>
      <c r="AS759" s="84">
        <v>0.0</v>
      </c>
      <c r="AT759" s="84">
        <v>0.0</v>
      </c>
      <c r="AU759" s="84">
        <v>0.0</v>
      </c>
      <c r="AV759" s="84">
        <v>0.0</v>
      </c>
      <c r="AW759" s="84">
        <v>0.0</v>
      </c>
      <c r="AX759" s="84">
        <v>0.0</v>
      </c>
      <c r="AY759" s="84">
        <v>0.0</v>
      </c>
      <c r="AZ759" s="84">
        <v>0.0</v>
      </c>
    </row>
    <row r="760" ht="12.75" customHeight="1">
      <c r="A760" s="84">
        <v>758.0</v>
      </c>
      <c r="B760" s="84" t="s">
        <v>5969</v>
      </c>
      <c r="C760" s="84">
        <v>0.0</v>
      </c>
      <c r="D760" s="84" t="s">
        <v>4910</v>
      </c>
      <c r="E760" s="84">
        <v>0.0</v>
      </c>
      <c r="F760" s="84" t="s">
        <v>5135</v>
      </c>
      <c r="G760" s="84">
        <v>10.0</v>
      </c>
      <c r="H760" s="84">
        <v>101.0</v>
      </c>
      <c r="I760" s="84">
        <v>10.0</v>
      </c>
      <c r="J760" s="84"/>
      <c r="K760" s="84"/>
      <c r="L760" s="84"/>
      <c r="M760" s="84"/>
      <c r="N760" s="84">
        <v>0.0</v>
      </c>
      <c r="O760" s="84">
        <v>0.0</v>
      </c>
      <c r="P760" s="84">
        <v>0.0</v>
      </c>
      <c r="Q760" s="84"/>
      <c r="R760" s="84"/>
      <c r="S760" s="84"/>
      <c r="T760" s="84"/>
      <c r="U760" s="84">
        <v>0.0</v>
      </c>
      <c r="V760" s="84"/>
      <c r="W760" s="84"/>
      <c r="X760" s="84">
        <v>3.0</v>
      </c>
      <c r="Y760" s="84"/>
      <c r="Z760" s="84"/>
      <c r="AA760" s="84"/>
      <c r="AB760" s="84"/>
      <c r="AC760" s="84"/>
      <c r="AD760" s="84"/>
      <c r="AE760" s="84"/>
      <c r="AF760" s="84"/>
      <c r="AG760" s="84"/>
      <c r="AH760" s="84">
        <v>0.0</v>
      </c>
      <c r="AI760" s="84">
        <v>0.0</v>
      </c>
      <c r="AJ760" s="84">
        <v>0.0</v>
      </c>
      <c r="AK760" s="84">
        <v>0.0</v>
      </c>
      <c r="AL760" s="84">
        <v>0.0</v>
      </c>
      <c r="AM760" s="84">
        <v>0.0</v>
      </c>
      <c r="AN760" s="84">
        <v>0.0</v>
      </c>
      <c r="AO760" s="84">
        <v>0.0</v>
      </c>
      <c r="AP760" s="84">
        <v>0.0</v>
      </c>
      <c r="AQ760" s="84">
        <v>0.0</v>
      </c>
      <c r="AR760" s="84">
        <v>0.0</v>
      </c>
      <c r="AS760" s="84">
        <v>0.0</v>
      </c>
      <c r="AT760" s="84">
        <v>0.0</v>
      </c>
      <c r="AU760" s="84">
        <v>0.0</v>
      </c>
      <c r="AV760" s="84">
        <v>0.0</v>
      </c>
      <c r="AW760" s="84">
        <v>0.0</v>
      </c>
      <c r="AX760" s="84">
        <v>0.0</v>
      </c>
      <c r="AY760" s="84">
        <v>0.0</v>
      </c>
      <c r="AZ760" s="84">
        <v>0.0</v>
      </c>
    </row>
    <row r="761" ht="12.75" customHeight="1">
      <c r="A761" s="84">
        <v>759.0</v>
      </c>
      <c r="B761" s="84" t="s">
        <v>5970</v>
      </c>
      <c r="C761" s="84">
        <v>0.0</v>
      </c>
      <c r="D761" s="84" t="s">
        <v>4921</v>
      </c>
      <c r="E761" s="84">
        <v>0.0</v>
      </c>
      <c r="F761" s="84" t="s">
        <v>5135</v>
      </c>
      <c r="G761" s="84">
        <v>10.0</v>
      </c>
      <c r="H761" s="84">
        <v>101.0</v>
      </c>
      <c r="I761" s="84">
        <v>10.0</v>
      </c>
      <c r="J761" s="84"/>
      <c r="K761" s="84"/>
      <c r="L761" s="84"/>
      <c r="M761" s="84"/>
      <c r="N761" s="84">
        <v>0.0</v>
      </c>
      <c r="O761" s="84">
        <v>0.0</v>
      </c>
      <c r="P761" s="84">
        <v>0.0</v>
      </c>
      <c r="Q761" s="84"/>
      <c r="R761" s="84"/>
      <c r="S761" s="84"/>
      <c r="T761" s="84"/>
      <c r="U761" s="84">
        <v>0.0</v>
      </c>
      <c r="V761" s="84"/>
      <c r="W761" s="84"/>
      <c r="X761" s="84">
        <v>3.0</v>
      </c>
      <c r="Y761" s="84"/>
      <c r="Z761" s="84"/>
      <c r="AA761" s="84"/>
      <c r="AB761" s="84"/>
      <c r="AC761" s="84"/>
      <c r="AD761" s="84"/>
      <c r="AE761" s="84"/>
      <c r="AF761" s="84"/>
      <c r="AG761" s="84"/>
      <c r="AH761" s="84">
        <v>0.0</v>
      </c>
      <c r="AI761" s="84">
        <v>0.0</v>
      </c>
      <c r="AJ761" s="84">
        <v>0.0</v>
      </c>
      <c r="AK761" s="84">
        <v>0.0</v>
      </c>
      <c r="AL761" s="84">
        <v>0.0</v>
      </c>
      <c r="AM761" s="84">
        <v>0.0</v>
      </c>
      <c r="AN761" s="84">
        <v>0.0</v>
      </c>
      <c r="AO761" s="84">
        <v>0.0</v>
      </c>
      <c r="AP761" s="84">
        <v>0.0</v>
      </c>
      <c r="AQ761" s="84">
        <v>0.0</v>
      </c>
      <c r="AR761" s="84">
        <v>0.0</v>
      </c>
      <c r="AS761" s="84">
        <v>0.0</v>
      </c>
      <c r="AT761" s="84">
        <v>0.0</v>
      </c>
      <c r="AU761" s="84">
        <v>0.0</v>
      </c>
      <c r="AV761" s="84">
        <v>0.0</v>
      </c>
      <c r="AW761" s="84">
        <v>0.0</v>
      </c>
      <c r="AX761" s="84">
        <v>0.0</v>
      </c>
      <c r="AY761" s="84">
        <v>0.0</v>
      </c>
      <c r="AZ761" s="84">
        <v>0.0</v>
      </c>
    </row>
    <row r="762" ht="12.75" customHeight="1">
      <c r="A762" s="84">
        <v>760.0</v>
      </c>
      <c r="B762" s="84" t="s">
        <v>5971</v>
      </c>
      <c r="C762" s="84">
        <v>0.0</v>
      </c>
      <c r="D762" s="84" t="s">
        <v>4916</v>
      </c>
      <c r="E762" s="84">
        <v>0.0</v>
      </c>
      <c r="F762" s="84" t="s">
        <v>5135</v>
      </c>
      <c r="G762" s="84">
        <v>10.0</v>
      </c>
      <c r="H762" s="84">
        <v>101.0</v>
      </c>
      <c r="I762" s="84">
        <v>10.0</v>
      </c>
      <c r="J762" s="84"/>
      <c r="K762" s="84"/>
      <c r="L762" s="84"/>
      <c r="M762" s="84"/>
      <c r="N762" s="84">
        <v>0.0</v>
      </c>
      <c r="O762" s="84">
        <v>0.0</v>
      </c>
      <c r="P762" s="84">
        <v>0.0</v>
      </c>
      <c r="Q762" s="84"/>
      <c r="R762" s="84"/>
      <c r="S762" s="84"/>
      <c r="T762" s="84"/>
      <c r="U762" s="84">
        <v>0.0</v>
      </c>
      <c r="V762" s="84"/>
      <c r="W762" s="84"/>
      <c r="X762" s="84">
        <v>3.0</v>
      </c>
      <c r="Y762" s="84"/>
      <c r="Z762" s="84"/>
      <c r="AA762" s="84"/>
      <c r="AB762" s="84"/>
      <c r="AC762" s="84"/>
      <c r="AD762" s="84"/>
      <c r="AE762" s="84"/>
      <c r="AF762" s="84"/>
      <c r="AG762" s="84"/>
      <c r="AH762" s="84">
        <v>0.0</v>
      </c>
      <c r="AI762" s="84">
        <v>0.0</v>
      </c>
      <c r="AJ762" s="84">
        <v>0.0</v>
      </c>
      <c r="AK762" s="84">
        <v>0.0</v>
      </c>
      <c r="AL762" s="84">
        <v>0.0</v>
      </c>
      <c r="AM762" s="84">
        <v>0.0</v>
      </c>
      <c r="AN762" s="84">
        <v>0.0</v>
      </c>
      <c r="AO762" s="84">
        <v>0.0</v>
      </c>
      <c r="AP762" s="84">
        <v>0.0</v>
      </c>
      <c r="AQ762" s="84">
        <v>0.0</v>
      </c>
      <c r="AR762" s="84">
        <v>0.0</v>
      </c>
      <c r="AS762" s="84">
        <v>0.0</v>
      </c>
      <c r="AT762" s="84">
        <v>0.0</v>
      </c>
      <c r="AU762" s="84">
        <v>0.0</v>
      </c>
      <c r="AV762" s="84">
        <v>0.0</v>
      </c>
      <c r="AW762" s="84">
        <v>0.0</v>
      </c>
      <c r="AX762" s="84">
        <v>0.0</v>
      </c>
      <c r="AY762" s="84">
        <v>0.0</v>
      </c>
      <c r="AZ762" s="84">
        <v>0.0</v>
      </c>
    </row>
    <row r="763" ht="12.75" customHeight="1">
      <c r="A763" s="84">
        <v>761.0</v>
      </c>
      <c r="B763" s="84" t="s">
        <v>5972</v>
      </c>
      <c r="C763" s="84">
        <v>0.0</v>
      </c>
      <c r="D763" s="84" t="s">
        <v>4935</v>
      </c>
      <c r="E763" s="84">
        <v>0.0</v>
      </c>
      <c r="F763" s="84" t="s">
        <v>5135</v>
      </c>
      <c r="G763" s="84">
        <v>10.0</v>
      </c>
      <c r="H763" s="84">
        <v>101.0</v>
      </c>
      <c r="I763" s="84">
        <v>10.0</v>
      </c>
      <c r="J763" s="84"/>
      <c r="K763" s="84"/>
      <c r="L763" s="84"/>
      <c r="M763" s="84"/>
      <c r="N763" s="84">
        <v>0.0</v>
      </c>
      <c r="O763" s="84">
        <v>0.0</v>
      </c>
      <c r="P763" s="84">
        <v>0.0</v>
      </c>
      <c r="Q763" s="84"/>
      <c r="R763" s="84"/>
      <c r="S763" s="84"/>
      <c r="T763" s="84"/>
      <c r="U763" s="84">
        <v>0.0</v>
      </c>
      <c r="V763" s="84"/>
      <c r="W763" s="84"/>
      <c r="X763" s="84">
        <v>3.0</v>
      </c>
      <c r="Y763" s="84"/>
      <c r="Z763" s="84"/>
      <c r="AA763" s="84"/>
      <c r="AB763" s="84"/>
      <c r="AC763" s="84"/>
      <c r="AD763" s="84"/>
      <c r="AE763" s="84"/>
      <c r="AF763" s="84"/>
      <c r="AG763" s="84"/>
      <c r="AH763" s="84">
        <v>0.0</v>
      </c>
      <c r="AI763" s="84">
        <v>0.0</v>
      </c>
      <c r="AJ763" s="84">
        <v>0.0</v>
      </c>
      <c r="AK763" s="84">
        <v>0.0</v>
      </c>
      <c r="AL763" s="84">
        <v>0.0</v>
      </c>
      <c r="AM763" s="84">
        <v>0.0</v>
      </c>
      <c r="AN763" s="84">
        <v>0.0</v>
      </c>
      <c r="AO763" s="84">
        <v>0.0</v>
      </c>
      <c r="AP763" s="84">
        <v>0.0</v>
      </c>
      <c r="AQ763" s="84">
        <v>0.0</v>
      </c>
      <c r="AR763" s="84">
        <v>0.0</v>
      </c>
      <c r="AS763" s="84">
        <v>0.0</v>
      </c>
      <c r="AT763" s="84">
        <v>0.0</v>
      </c>
      <c r="AU763" s="84">
        <v>0.0</v>
      </c>
      <c r="AV763" s="84">
        <v>0.0</v>
      </c>
      <c r="AW763" s="84">
        <v>0.0</v>
      </c>
      <c r="AX763" s="84">
        <v>0.0</v>
      </c>
      <c r="AY763" s="84">
        <v>0.0</v>
      </c>
      <c r="AZ763" s="84">
        <v>0.0</v>
      </c>
    </row>
    <row r="764" ht="12.75" customHeight="1">
      <c r="A764" s="84">
        <v>762.0</v>
      </c>
      <c r="B764" s="84" t="s">
        <v>5973</v>
      </c>
      <c r="C764" s="84">
        <v>0.0</v>
      </c>
      <c r="D764" s="84" t="s">
        <v>4945</v>
      </c>
      <c r="E764" s="84">
        <v>0.0</v>
      </c>
      <c r="F764" s="84" t="s">
        <v>5135</v>
      </c>
      <c r="G764" s="84">
        <v>10.0</v>
      </c>
      <c r="H764" s="84">
        <v>101.0</v>
      </c>
      <c r="I764" s="84">
        <v>10.0</v>
      </c>
      <c r="J764" s="84"/>
      <c r="K764" s="84"/>
      <c r="L764" s="84"/>
      <c r="M764" s="84"/>
      <c r="N764" s="84">
        <v>0.0</v>
      </c>
      <c r="O764" s="84">
        <v>0.0</v>
      </c>
      <c r="P764" s="84">
        <v>0.0</v>
      </c>
      <c r="Q764" s="84"/>
      <c r="R764" s="84"/>
      <c r="S764" s="84"/>
      <c r="T764" s="84"/>
      <c r="U764" s="84">
        <v>0.0</v>
      </c>
      <c r="V764" s="84"/>
      <c r="W764" s="84"/>
      <c r="X764" s="84">
        <v>3.0</v>
      </c>
      <c r="Y764" s="84"/>
      <c r="Z764" s="84"/>
      <c r="AA764" s="84"/>
      <c r="AB764" s="84"/>
      <c r="AC764" s="84"/>
      <c r="AD764" s="84"/>
      <c r="AE764" s="84"/>
      <c r="AF764" s="84"/>
      <c r="AG764" s="84"/>
      <c r="AH764" s="84">
        <v>0.0</v>
      </c>
      <c r="AI764" s="84">
        <v>0.0</v>
      </c>
      <c r="AJ764" s="84">
        <v>0.0</v>
      </c>
      <c r="AK764" s="84">
        <v>0.0</v>
      </c>
      <c r="AL764" s="84">
        <v>0.0</v>
      </c>
      <c r="AM764" s="84">
        <v>0.0</v>
      </c>
      <c r="AN764" s="84">
        <v>0.0</v>
      </c>
      <c r="AO764" s="84">
        <v>0.0</v>
      </c>
      <c r="AP764" s="84">
        <v>0.0</v>
      </c>
      <c r="AQ764" s="84">
        <v>0.0</v>
      </c>
      <c r="AR764" s="84">
        <v>0.0</v>
      </c>
      <c r="AS764" s="84">
        <v>0.0</v>
      </c>
      <c r="AT764" s="84">
        <v>0.0</v>
      </c>
      <c r="AU764" s="84">
        <v>0.0</v>
      </c>
      <c r="AV764" s="84">
        <v>0.0</v>
      </c>
      <c r="AW764" s="84">
        <v>0.0</v>
      </c>
      <c r="AX764" s="84">
        <v>0.0</v>
      </c>
      <c r="AY764" s="84">
        <v>0.0</v>
      </c>
      <c r="AZ764" s="84">
        <v>0.0</v>
      </c>
    </row>
    <row r="765" ht="12.75" customHeight="1">
      <c r="A765" s="84">
        <v>763.0</v>
      </c>
      <c r="B765" s="84" t="s">
        <v>5974</v>
      </c>
      <c r="C765" s="84">
        <v>0.0</v>
      </c>
      <c r="D765" s="84" t="s">
        <v>4942</v>
      </c>
      <c r="E765" s="84">
        <v>0.0</v>
      </c>
      <c r="F765" s="84" t="s">
        <v>5135</v>
      </c>
      <c r="G765" s="84">
        <v>10.0</v>
      </c>
      <c r="H765" s="84">
        <v>101.0</v>
      </c>
      <c r="I765" s="84">
        <v>10.0</v>
      </c>
      <c r="J765" s="84"/>
      <c r="K765" s="84"/>
      <c r="L765" s="84"/>
      <c r="M765" s="84"/>
      <c r="N765" s="84">
        <v>0.0</v>
      </c>
      <c r="O765" s="84">
        <v>0.0</v>
      </c>
      <c r="P765" s="84">
        <v>0.0</v>
      </c>
      <c r="Q765" s="84"/>
      <c r="R765" s="84"/>
      <c r="S765" s="84"/>
      <c r="T765" s="84"/>
      <c r="U765" s="84">
        <v>0.0</v>
      </c>
      <c r="V765" s="84"/>
      <c r="W765" s="84"/>
      <c r="X765" s="84">
        <v>3.0</v>
      </c>
      <c r="Y765" s="84"/>
      <c r="Z765" s="84"/>
      <c r="AA765" s="84"/>
      <c r="AB765" s="84"/>
      <c r="AC765" s="84"/>
      <c r="AD765" s="84"/>
      <c r="AE765" s="84"/>
      <c r="AF765" s="84"/>
      <c r="AG765" s="84"/>
      <c r="AH765" s="84">
        <v>0.0</v>
      </c>
      <c r="AI765" s="84">
        <v>0.0</v>
      </c>
      <c r="AJ765" s="84">
        <v>0.0</v>
      </c>
      <c r="AK765" s="84">
        <v>0.0</v>
      </c>
      <c r="AL765" s="84">
        <v>0.0</v>
      </c>
      <c r="AM765" s="84">
        <v>0.0</v>
      </c>
      <c r="AN765" s="84">
        <v>0.0</v>
      </c>
      <c r="AO765" s="84">
        <v>0.0</v>
      </c>
      <c r="AP765" s="84">
        <v>0.0</v>
      </c>
      <c r="AQ765" s="84">
        <v>0.0</v>
      </c>
      <c r="AR765" s="84">
        <v>0.0</v>
      </c>
      <c r="AS765" s="84">
        <v>0.0</v>
      </c>
      <c r="AT765" s="84">
        <v>0.0</v>
      </c>
      <c r="AU765" s="84">
        <v>0.0</v>
      </c>
      <c r="AV765" s="84">
        <v>0.0</v>
      </c>
      <c r="AW765" s="84">
        <v>0.0</v>
      </c>
      <c r="AX765" s="84">
        <v>0.0</v>
      </c>
      <c r="AY765" s="84">
        <v>0.0</v>
      </c>
      <c r="AZ765" s="84">
        <v>0.0</v>
      </c>
    </row>
    <row r="766" ht="12.75" customHeight="1">
      <c r="A766" s="84">
        <v>764.0</v>
      </c>
      <c r="B766" s="84" t="s">
        <v>5975</v>
      </c>
      <c r="C766" s="84">
        <v>0.0</v>
      </c>
      <c r="D766" s="84" t="s">
        <v>4905</v>
      </c>
      <c r="E766" s="84">
        <v>0.0</v>
      </c>
      <c r="F766" s="84" t="s">
        <v>5135</v>
      </c>
      <c r="G766" s="84">
        <v>10.0</v>
      </c>
      <c r="H766" s="84">
        <v>101.0</v>
      </c>
      <c r="I766" s="84">
        <v>10.0</v>
      </c>
      <c r="J766" s="84"/>
      <c r="K766" s="84"/>
      <c r="L766" s="84"/>
      <c r="M766" s="84"/>
      <c r="N766" s="84">
        <v>0.0</v>
      </c>
      <c r="O766" s="84">
        <v>0.0</v>
      </c>
      <c r="P766" s="84">
        <v>0.0</v>
      </c>
      <c r="Q766" s="84"/>
      <c r="R766" s="84"/>
      <c r="S766" s="84"/>
      <c r="T766" s="84"/>
      <c r="U766" s="84">
        <v>0.0</v>
      </c>
      <c r="V766" s="84"/>
      <c r="W766" s="84"/>
      <c r="X766" s="84">
        <v>3.0</v>
      </c>
      <c r="Y766" s="84"/>
      <c r="Z766" s="84"/>
      <c r="AA766" s="84"/>
      <c r="AB766" s="84"/>
      <c r="AC766" s="84"/>
      <c r="AD766" s="84"/>
      <c r="AE766" s="84"/>
      <c r="AF766" s="84"/>
      <c r="AG766" s="84"/>
      <c r="AH766" s="84">
        <v>0.0</v>
      </c>
      <c r="AI766" s="84">
        <v>0.0</v>
      </c>
      <c r="AJ766" s="84">
        <v>0.0</v>
      </c>
      <c r="AK766" s="84">
        <v>0.0</v>
      </c>
      <c r="AL766" s="84">
        <v>0.0</v>
      </c>
      <c r="AM766" s="84">
        <v>0.0</v>
      </c>
      <c r="AN766" s="84">
        <v>0.0</v>
      </c>
      <c r="AO766" s="84">
        <v>0.0</v>
      </c>
      <c r="AP766" s="84">
        <v>0.0</v>
      </c>
      <c r="AQ766" s="84">
        <v>0.0</v>
      </c>
      <c r="AR766" s="84">
        <v>0.0</v>
      </c>
      <c r="AS766" s="84">
        <v>0.0</v>
      </c>
      <c r="AT766" s="84">
        <v>0.0</v>
      </c>
      <c r="AU766" s="84">
        <v>0.0</v>
      </c>
      <c r="AV766" s="84">
        <v>0.0</v>
      </c>
      <c r="AW766" s="84">
        <v>0.0</v>
      </c>
      <c r="AX766" s="84">
        <v>0.0</v>
      </c>
      <c r="AY766" s="84">
        <v>0.0</v>
      </c>
      <c r="AZ766" s="84">
        <v>0.0</v>
      </c>
    </row>
    <row r="767" ht="12.75" customHeight="1">
      <c r="A767" s="84">
        <v>765.0</v>
      </c>
      <c r="B767" s="84" t="s">
        <v>5976</v>
      </c>
      <c r="C767" s="84">
        <v>0.0</v>
      </c>
      <c r="D767" s="84" t="s">
        <v>4908</v>
      </c>
      <c r="E767" s="84">
        <v>0.0</v>
      </c>
      <c r="F767" s="84" t="s">
        <v>5135</v>
      </c>
      <c r="G767" s="84">
        <v>10.0</v>
      </c>
      <c r="H767" s="84">
        <v>101.0</v>
      </c>
      <c r="I767" s="84">
        <v>10.0</v>
      </c>
      <c r="J767" s="84"/>
      <c r="K767" s="84"/>
      <c r="L767" s="84"/>
      <c r="M767" s="84"/>
      <c r="N767" s="84">
        <v>0.0</v>
      </c>
      <c r="O767" s="84">
        <v>0.0</v>
      </c>
      <c r="P767" s="84">
        <v>0.0</v>
      </c>
      <c r="Q767" s="84"/>
      <c r="R767" s="84"/>
      <c r="S767" s="84"/>
      <c r="T767" s="84"/>
      <c r="U767" s="84">
        <v>0.0</v>
      </c>
      <c r="V767" s="84"/>
      <c r="W767" s="84"/>
      <c r="X767" s="84">
        <v>3.0</v>
      </c>
      <c r="Y767" s="84"/>
      <c r="Z767" s="84"/>
      <c r="AA767" s="84"/>
      <c r="AB767" s="84"/>
      <c r="AC767" s="84"/>
      <c r="AD767" s="84"/>
      <c r="AE767" s="84"/>
      <c r="AF767" s="84"/>
      <c r="AG767" s="84"/>
      <c r="AH767" s="84">
        <v>0.0</v>
      </c>
      <c r="AI767" s="84">
        <v>0.0</v>
      </c>
      <c r="AJ767" s="84">
        <v>0.0</v>
      </c>
      <c r="AK767" s="84">
        <v>0.0</v>
      </c>
      <c r="AL767" s="84">
        <v>0.0</v>
      </c>
      <c r="AM767" s="84">
        <v>0.0</v>
      </c>
      <c r="AN767" s="84">
        <v>0.0</v>
      </c>
      <c r="AO767" s="84">
        <v>0.0</v>
      </c>
      <c r="AP767" s="84">
        <v>0.0</v>
      </c>
      <c r="AQ767" s="84">
        <v>0.0</v>
      </c>
      <c r="AR767" s="84">
        <v>0.0</v>
      </c>
      <c r="AS767" s="84">
        <v>0.0</v>
      </c>
      <c r="AT767" s="84">
        <v>0.0</v>
      </c>
      <c r="AU767" s="84">
        <v>0.0</v>
      </c>
      <c r="AV767" s="84">
        <v>0.0</v>
      </c>
      <c r="AW767" s="84">
        <v>0.0</v>
      </c>
      <c r="AX767" s="84">
        <v>0.0</v>
      </c>
      <c r="AY767" s="84">
        <v>0.0</v>
      </c>
      <c r="AZ767" s="84">
        <v>0.0</v>
      </c>
    </row>
    <row r="768" ht="12.75" customHeight="1">
      <c r="A768" s="84">
        <v>766.0</v>
      </c>
      <c r="B768" s="84" t="s">
        <v>5977</v>
      </c>
      <c r="C768" s="84">
        <v>0.0</v>
      </c>
      <c r="D768" s="84" t="s">
        <v>4907</v>
      </c>
      <c r="E768" s="84">
        <v>0.0</v>
      </c>
      <c r="F768" s="84" t="s">
        <v>5135</v>
      </c>
      <c r="G768" s="84">
        <v>10.0</v>
      </c>
      <c r="H768" s="84">
        <v>101.0</v>
      </c>
      <c r="I768" s="84">
        <v>10.0</v>
      </c>
      <c r="J768" s="84"/>
      <c r="K768" s="84"/>
      <c r="L768" s="84"/>
      <c r="M768" s="84"/>
      <c r="N768" s="84">
        <v>0.0</v>
      </c>
      <c r="O768" s="84">
        <v>0.0</v>
      </c>
      <c r="P768" s="84">
        <v>0.0</v>
      </c>
      <c r="Q768" s="84"/>
      <c r="R768" s="84"/>
      <c r="S768" s="84"/>
      <c r="T768" s="84"/>
      <c r="U768" s="84">
        <v>0.0</v>
      </c>
      <c r="V768" s="84"/>
      <c r="W768" s="84"/>
      <c r="X768" s="84">
        <v>3.0</v>
      </c>
      <c r="Y768" s="84"/>
      <c r="Z768" s="84"/>
      <c r="AA768" s="84"/>
      <c r="AB768" s="84"/>
      <c r="AC768" s="84"/>
      <c r="AD768" s="84"/>
      <c r="AE768" s="84"/>
      <c r="AF768" s="84"/>
      <c r="AG768" s="84"/>
      <c r="AH768" s="84">
        <v>0.0</v>
      </c>
      <c r="AI768" s="84">
        <v>0.0</v>
      </c>
      <c r="AJ768" s="84">
        <v>0.0</v>
      </c>
      <c r="AK768" s="84">
        <v>0.0</v>
      </c>
      <c r="AL768" s="84">
        <v>0.0</v>
      </c>
      <c r="AM768" s="84">
        <v>0.0</v>
      </c>
      <c r="AN768" s="84">
        <v>0.0</v>
      </c>
      <c r="AO768" s="84">
        <v>0.0</v>
      </c>
      <c r="AP768" s="84">
        <v>0.0</v>
      </c>
      <c r="AQ768" s="84">
        <v>0.0</v>
      </c>
      <c r="AR768" s="84">
        <v>0.0</v>
      </c>
      <c r="AS768" s="84">
        <v>0.0</v>
      </c>
      <c r="AT768" s="84">
        <v>0.0</v>
      </c>
      <c r="AU768" s="84">
        <v>0.0</v>
      </c>
      <c r="AV768" s="84">
        <v>0.0</v>
      </c>
      <c r="AW768" s="84">
        <v>0.0</v>
      </c>
      <c r="AX768" s="84">
        <v>0.0</v>
      </c>
      <c r="AY768" s="84">
        <v>0.0</v>
      </c>
      <c r="AZ768" s="84">
        <v>0.0</v>
      </c>
    </row>
    <row r="769" ht="12.75" customHeight="1">
      <c r="A769" s="84">
        <v>767.0</v>
      </c>
      <c r="B769" s="84" t="s">
        <v>5978</v>
      </c>
      <c r="C769" s="84">
        <v>0.0</v>
      </c>
      <c r="D769" s="84" t="s">
        <v>5072</v>
      </c>
      <c r="E769" s="84">
        <v>0.0</v>
      </c>
      <c r="F769" s="84" t="s">
        <v>5135</v>
      </c>
      <c r="G769" s="84">
        <v>10.0</v>
      </c>
      <c r="H769" s="84">
        <v>101.0</v>
      </c>
      <c r="I769" s="84">
        <v>10.0</v>
      </c>
      <c r="J769" s="84"/>
      <c r="K769" s="84"/>
      <c r="L769" s="84"/>
      <c r="M769" s="84"/>
      <c r="N769" s="84">
        <v>0.0</v>
      </c>
      <c r="O769" s="84">
        <v>0.0</v>
      </c>
      <c r="P769" s="84">
        <v>0.0</v>
      </c>
      <c r="Q769" s="84"/>
      <c r="R769" s="84"/>
      <c r="S769" s="84"/>
      <c r="T769" s="84"/>
      <c r="U769" s="84">
        <v>0.0</v>
      </c>
      <c r="V769" s="84"/>
      <c r="W769" s="84"/>
      <c r="X769" s="84">
        <v>3.0</v>
      </c>
      <c r="Y769" s="84"/>
      <c r="Z769" s="84"/>
      <c r="AA769" s="84"/>
      <c r="AB769" s="84"/>
      <c r="AC769" s="84"/>
      <c r="AD769" s="84"/>
      <c r="AE769" s="84"/>
      <c r="AF769" s="84"/>
      <c r="AG769" s="84"/>
      <c r="AH769" s="84">
        <v>0.0</v>
      </c>
      <c r="AI769" s="84">
        <v>0.0</v>
      </c>
      <c r="AJ769" s="84">
        <v>0.0</v>
      </c>
      <c r="AK769" s="84">
        <v>0.0</v>
      </c>
      <c r="AL769" s="84">
        <v>0.0</v>
      </c>
      <c r="AM769" s="84">
        <v>0.0</v>
      </c>
      <c r="AN769" s="84">
        <v>0.0</v>
      </c>
      <c r="AO769" s="84">
        <v>0.0</v>
      </c>
      <c r="AP769" s="84">
        <v>0.0</v>
      </c>
      <c r="AQ769" s="84">
        <v>0.0</v>
      </c>
      <c r="AR769" s="84">
        <v>0.0</v>
      </c>
      <c r="AS769" s="84">
        <v>0.0</v>
      </c>
      <c r="AT769" s="84">
        <v>0.0</v>
      </c>
      <c r="AU769" s="84">
        <v>0.0</v>
      </c>
      <c r="AV769" s="84">
        <v>0.0</v>
      </c>
      <c r="AW769" s="84">
        <v>0.0</v>
      </c>
      <c r="AX769" s="84">
        <v>0.0</v>
      </c>
      <c r="AY769" s="84">
        <v>0.0</v>
      </c>
      <c r="AZ769" s="84">
        <v>0.0</v>
      </c>
    </row>
    <row r="770" ht="12.75" customHeight="1">
      <c r="A770" s="84">
        <v>768.0</v>
      </c>
      <c r="B770" s="84" t="s">
        <v>5979</v>
      </c>
      <c r="C770" s="84">
        <v>0.0</v>
      </c>
      <c r="D770" s="84" t="s">
        <v>4956</v>
      </c>
      <c r="E770" s="84">
        <v>0.0</v>
      </c>
      <c r="F770" s="84" t="s">
        <v>5135</v>
      </c>
      <c r="G770" s="84">
        <v>10.0</v>
      </c>
      <c r="H770" s="84">
        <v>101.0</v>
      </c>
      <c r="I770" s="84">
        <v>10.0</v>
      </c>
      <c r="J770" s="84"/>
      <c r="K770" s="84"/>
      <c r="L770" s="84"/>
      <c r="M770" s="84"/>
      <c r="N770" s="84">
        <v>0.0</v>
      </c>
      <c r="O770" s="84">
        <v>0.0</v>
      </c>
      <c r="P770" s="84">
        <v>0.0</v>
      </c>
      <c r="Q770" s="84"/>
      <c r="R770" s="84"/>
      <c r="S770" s="84"/>
      <c r="T770" s="84"/>
      <c r="U770" s="84">
        <v>0.0</v>
      </c>
      <c r="V770" s="84"/>
      <c r="W770" s="84"/>
      <c r="X770" s="84">
        <v>3.0</v>
      </c>
      <c r="Y770" s="84"/>
      <c r="Z770" s="84"/>
      <c r="AA770" s="84"/>
      <c r="AB770" s="84"/>
      <c r="AC770" s="84"/>
      <c r="AD770" s="84"/>
      <c r="AE770" s="84"/>
      <c r="AF770" s="84"/>
      <c r="AG770" s="84"/>
      <c r="AH770" s="84">
        <v>0.0</v>
      </c>
      <c r="AI770" s="84">
        <v>0.0</v>
      </c>
      <c r="AJ770" s="84">
        <v>0.0</v>
      </c>
      <c r="AK770" s="84">
        <v>0.0</v>
      </c>
      <c r="AL770" s="84">
        <v>0.0</v>
      </c>
      <c r="AM770" s="84">
        <v>0.0</v>
      </c>
      <c r="AN770" s="84">
        <v>0.0</v>
      </c>
      <c r="AO770" s="84">
        <v>0.0</v>
      </c>
      <c r="AP770" s="84">
        <v>0.0</v>
      </c>
      <c r="AQ770" s="84">
        <v>0.0</v>
      </c>
      <c r="AR770" s="84">
        <v>0.0</v>
      </c>
      <c r="AS770" s="84">
        <v>0.0</v>
      </c>
      <c r="AT770" s="84">
        <v>0.0</v>
      </c>
      <c r="AU770" s="84">
        <v>0.0</v>
      </c>
      <c r="AV770" s="84">
        <v>0.0</v>
      </c>
      <c r="AW770" s="84">
        <v>0.0</v>
      </c>
      <c r="AX770" s="84">
        <v>0.0</v>
      </c>
      <c r="AY770" s="84">
        <v>0.0</v>
      </c>
      <c r="AZ770" s="84">
        <v>0.0</v>
      </c>
    </row>
    <row r="771" ht="12.75" customHeight="1">
      <c r="A771" s="84">
        <v>769.0</v>
      </c>
      <c r="B771" s="84" t="s">
        <v>5980</v>
      </c>
      <c r="C771" s="84">
        <v>0.0</v>
      </c>
      <c r="D771" s="84" t="s">
        <v>2659</v>
      </c>
      <c r="E771" s="84">
        <v>0.0</v>
      </c>
      <c r="F771" s="84" t="s">
        <v>5135</v>
      </c>
      <c r="G771" s="84">
        <v>10.0</v>
      </c>
      <c r="H771" s="84">
        <v>101.0</v>
      </c>
      <c r="I771" s="84">
        <v>10.0</v>
      </c>
      <c r="J771" s="84"/>
      <c r="K771" s="84"/>
      <c r="L771" s="84"/>
      <c r="M771" s="84"/>
      <c r="N771" s="84">
        <v>0.0</v>
      </c>
      <c r="O771" s="84">
        <v>0.0</v>
      </c>
      <c r="P771" s="84">
        <v>0.0</v>
      </c>
      <c r="Q771" s="84"/>
      <c r="R771" s="84"/>
      <c r="S771" s="84"/>
      <c r="T771" s="84"/>
      <c r="U771" s="84">
        <v>0.0</v>
      </c>
      <c r="V771" s="84"/>
      <c r="W771" s="84"/>
      <c r="X771" s="84">
        <v>3.0</v>
      </c>
      <c r="Y771" s="84"/>
      <c r="Z771" s="84"/>
      <c r="AA771" s="84"/>
      <c r="AB771" s="84"/>
      <c r="AC771" s="84"/>
      <c r="AD771" s="84"/>
      <c r="AE771" s="84"/>
      <c r="AF771" s="84"/>
      <c r="AG771" s="84"/>
      <c r="AH771" s="84">
        <v>0.0</v>
      </c>
      <c r="AI771" s="84">
        <v>0.0</v>
      </c>
      <c r="AJ771" s="84">
        <v>0.0</v>
      </c>
      <c r="AK771" s="84">
        <v>0.0</v>
      </c>
      <c r="AL771" s="84">
        <v>0.0</v>
      </c>
      <c r="AM771" s="84">
        <v>0.0</v>
      </c>
      <c r="AN771" s="84">
        <v>0.0</v>
      </c>
      <c r="AO771" s="84">
        <v>0.0</v>
      </c>
      <c r="AP771" s="84">
        <v>0.0</v>
      </c>
      <c r="AQ771" s="84">
        <v>0.0</v>
      </c>
      <c r="AR771" s="84">
        <v>0.0</v>
      </c>
      <c r="AS771" s="84">
        <v>0.0</v>
      </c>
      <c r="AT771" s="84">
        <v>0.0</v>
      </c>
      <c r="AU771" s="84">
        <v>0.0</v>
      </c>
      <c r="AV771" s="84">
        <v>0.0</v>
      </c>
      <c r="AW771" s="84">
        <v>0.0</v>
      </c>
      <c r="AX771" s="84">
        <v>0.0</v>
      </c>
      <c r="AY771" s="84">
        <v>0.0</v>
      </c>
      <c r="AZ771" s="84">
        <v>0.0</v>
      </c>
    </row>
    <row r="772" ht="12.75" customHeight="1">
      <c r="A772" s="84">
        <v>770.0</v>
      </c>
      <c r="B772" s="84" t="s">
        <v>5981</v>
      </c>
      <c r="C772" s="84">
        <v>0.0</v>
      </c>
      <c r="D772" s="84" t="s">
        <v>4940</v>
      </c>
      <c r="E772" s="84">
        <v>0.0</v>
      </c>
      <c r="F772" s="84" t="s">
        <v>5135</v>
      </c>
      <c r="G772" s="84">
        <v>10.0</v>
      </c>
      <c r="H772" s="84">
        <v>101.0</v>
      </c>
      <c r="I772" s="84">
        <v>10.0</v>
      </c>
      <c r="J772" s="84"/>
      <c r="K772" s="84"/>
      <c r="L772" s="84"/>
      <c r="M772" s="84"/>
      <c r="N772" s="84">
        <v>0.0</v>
      </c>
      <c r="O772" s="84">
        <v>0.0</v>
      </c>
      <c r="P772" s="84">
        <v>0.0</v>
      </c>
      <c r="Q772" s="84"/>
      <c r="R772" s="84"/>
      <c r="S772" s="84"/>
      <c r="T772" s="84"/>
      <c r="U772" s="84">
        <v>0.0</v>
      </c>
      <c r="V772" s="84"/>
      <c r="W772" s="84"/>
      <c r="X772" s="84">
        <v>3.0</v>
      </c>
      <c r="Y772" s="84"/>
      <c r="Z772" s="84"/>
      <c r="AA772" s="84"/>
      <c r="AB772" s="84"/>
      <c r="AC772" s="84"/>
      <c r="AD772" s="84"/>
      <c r="AE772" s="84"/>
      <c r="AF772" s="84"/>
      <c r="AG772" s="84"/>
      <c r="AH772" s="84">
        <v>0.0</v>
      </c>
      <c r="AI772" s="84">
        <v>0.0</v>
      </c>
      <c r="AJ772" s="84">
        <v>0.0</v>
      </c>
      <c r="AK772" s="84">
        <v>0.0</v>
      </c>
      <c r="AL772" s="84">
        <v>0.0</v>
      </c>
      <c r="AM772" s="84">
        <v>0.0</v>
      </c>
      <c r="AN772" s="84">
        <v>0.0</v>
      </c>
      <c r="AO772" s="84">
        <v>0.0</v>
      </c>
      <c r="AP772" s="84">
        <v>0.0</v>
      </c>
      <c r="AQ772" s="84">
        <v>0.0</v>
      </c>
      <c r="AR772" s="84">
        <v>0.0</v>
      </c>
      <c r="AS772" s="84">
        <v>0.0</v>
      </c>
      <c r="AT772" s="84">
        <v>0.0</v>
      </c>
      <c r="AU772" s="84">
        <v>0.0</v>
      </c>
      <c r="AV772" s="84">
        <v>0.0</v>
      </c>
      <c r="AW772" s="84">
        <v>0.0</v>
      </c>
      <c r="AX772" s="84">
        <v>0.0</v>
      </c>
      <c r="AY772" s="84">
        <v>0.0</v>
      </c>
      <c r="AZ772" s="84">
        <v>0.0</v>
      </c>
    </row>
    <row r="773" ht="12.75" customHeight="1">
      <c r="A773" s="84">
        <v>771.0</v>
      </c>
      <c r="B773" s="84" t="s">
        <v>5982</v>
      </c>
      <c r="C773" s="84">
        <v>0.0</v>
      </c>
      <c r="D773" s="84" t="s">
        <v>4922</v>
      </c>
      <c r="E773" s="84">
        <v>0.0</v>
      </c>
      <c r="F773" s="84" t="s">
        <v>5135</v>
      </c>
      <c r="G773" s="84">
        <v>10.0</v>
      </c>
      <c r="H773" s="84">
        <v>101.0</v>
      </c>
      <c r="I773" s="84">
        <v>10.0</v>
      </c>
      <c r="J773" s="84"/>
      <c r="K773" s="84"/>
      <c r="L773" s="84"/>
      <c r="M773" s="84"/>
      <c r="N773" s="84">
        <v>0.0</v>
      </c>
      <c r="O773" s="84">
        <v>0.0</v>
      </c>
      <c r="P773" s="84">
        <v>0.0</v>
      </c>
      <c r="Q773" s="84"/>
      <c r="R773" s="84"/>
      <c r="S773" s="84"/>
      <c r="T773" s="84"/>
      <c r="U773" s="84">
        <v>0.0</v>
      </c>
      <c r="V773" s="84"/>
      <c r="W773" s="84"/>
      <c r="X773" s="84">
        <v>3.0</v>
      </c>
      <c r="Y773" s="84"/>
      <c r="Z773" s="84"/>
      <c r="AA773" s="84"/>
      <c r="AB773" s="84"/>
      <c r="AC773" s="84"/>
      <c r="AD773" s="84"/>
      <c r="AE773" s="84"/>
      <c r="AF773" s="84"/>
      <c r="AG773" s="84"/>
      <c r="AH773" s="84">
        <v>0.0</v>
      </c>
      <c r="AI773" s="84">
        <v>0.0</v>
      </c>
      <c r="AJ773" s="84">
        <v>0.0</v>
      </c>
      <c r="AK773" s="84">
        <v>0.0</v>
      </c>
      <c r="AL773" s="84">
        <v>0.0</v>
      </c>
      <c r="AM773" s="84">
        <v>0.0</v>
      </c>
      <c r="AN773" s="84">
        <v>0.0</v>
      </c>
      <c r="AO773" s="84">
        <v>0.0</v>
      </c>
      <c r="AP773" s="84">
        <v>0.0</v>
      </c>
      <c r="AQ773" s="84">
        <v>0.0</v>
      </c>
      <c r="AR773" s="84">
        <v>0.0</v>
      </c>
      <c r="AS773" s="84">
        <v>0.0</v>
      </c>
      <c r="AT773" s="84">
        <v>0.0</v>
      </c>
      <c r="AU773" s="84">
        <v>0.0</v>
      </c>
      <c r="AV773" s="84">
        <v>0.0</v>
      </c>
      <c r="AW773" s="84">
        <v>0.0</v>
      </c>
      <c r="AX773" s="84">
        <v>0.0</v>
      </c>
      <c r="AY773" s="84">
        <v>0.0</v>
      </c>
      <c r="AZ773" s="84">
        <v>0.0</v>
      </c>
    </row>
    <row r="774" ht="12.75" customHeight="1">
      <c r="A774" s="84">
        <v>772.0</v>
      </c>
      <c r="B774" s="84" t="s">
        <v>5983</v>
      </c>
      <c r="C774" s="84">
        <v>0.0</v>
      </c>
      <c r="D774" s="84" t="s">
        <v>4972</v>
      </c>
      <c r="E774" s="84">
        <v>0.0</v>
      </c>
      <c r="F774" s="84" t="s">
        <v>5135</v>
      </c>
      <c r="G774" s="84">
        <v>10.0</v>
      </c>
      <c r="H774" s="84">
        <v>101.0</v>
      </c>
      <c r="I774" s="84">
        <v>10.0</v>
      </c>
      <c r="J774" s="84"/>
      <c r="K774" s="84"/>
      <c r="L774" s="84"/>
      <c r="M774" s="84"/>
      <c r="N774" s="84">
        <v>0.0</v>
      </c>
      <c r="O774" s="84">
        <v>0.0</v>
      </c>
      <c r="P774" s="84">
        <v>0.0</v>
      </c>
      <c r="Q774" s="84"/>
      <c r="R774" s="84"/>
      <c r="S774" s="84"/>
      <c r="T774" s="84"/>
      <c r="U774" s="84">
        <v>0.0</v>
      </c>
      <c r="V774" s="84"/>
      <c r="W774" s="84"/>
      <c r="X774" s="84">
        <v>3.0</v>
      </c>
      <c r="Y774" s="84"/>
      <c r="Z774" s="84"/>
      <c r="AA774" s="84"/>
      <c r="AB774" s="84"/>
      <c r="AC774" s="84"/>
      <c r="AD774" s="84"/>
      <c r="AE774" s="84"/>
      <c r="AF774" s="84"/>
      <c r="AG774" s="84"/>
      <c r="AH774" s="84">
        <v>0.0</v>
      </c>
      <c r="AI774" s="84">
        <v>0.0</v>
      </c>
      <c r="AJ774" s="84">
        <v>0.0</v>
      </c>
      <c r="AK774" s="84">
        <v>0.0</v>
      </c>
      <c r="AL774" s="84">
        <v>0.0</v>
      </c>
      <c r="AM774" s="84">
        <v>0.0</v>
      </c>
      <c r="AN774" s="84">
        <v>0.0</v>
      </c>
      <c r="AO774" s="84">
        <v>0.0</v>
      </c>
      <c r="AP774" s="84">
        <v>0.0</v>
      </c>
      <c r="AQ774" s="84">
        <v>0.0</v>
      </c>
      <c r="AR774" s="84">
        <v>0.0</v>
      </c>
      <c r="AS774" s="84">
        <v>0.0</v>
      </c>
      <c r="AT774" s="84">
        <v>0.0</v>
      </c>
      <c r="AU774" s="84">
        <v>0.0</v>
      </c>
      <c r="AV774" s="84">
        <v>0.0</v>
      </c>
      <c r="AW774" s="84">
        <v>0.0</v>
      </c>
      <c r="AX774" s="84">
        <v>0.0</v>
      </c>
      <c r="AY774" s="84">
        <v>0.0</v>
      </c>
      <c r="AZ774" s="84">
        <v>0.0</v>
      </c>
    </row>
    <row r="775" ht="12.75" customHeight="1">
      <c r="A775" s="84">
        <v>773.0</v>
      </c>
      <c r="B775" s="84" t="s">
        <v>5984</v>
      </c>
      <c r="C775" s="84">
        <v>0.0</v>
      </c>
      <c r="D775" s="84" t="s">
        <v>4904</v>
      </c>
      <c r="E775" s="84">
        <v>0.0</v>
      </c>
      <c r="F775" s="84" t="s">
        <v>5135</v>
      </c>
      <c r="G775" s="84">
        <v>10.0</v>
      </c>
      <c r="H775" s="84">
        <v>101.0</v>
      </c>
      <c r="I775" s="84">
        <v>10.0</v>
      </c>
      <c r="J775" s="84"/>
      <c r="K775" s="84"/>
      <c r="L775" s="84"/>
      <c r="M775" s="84"/>
      <c r="N775" s="84">
        <v>0.0</v>
      </c>
      <c r="O775" s="84">
        <v>0.0</v>
      </c>
      <c r="P775" s="84">
        <v>0.0</v>
      </c>
      <c r="Q775" s="84"/>
      <c r="R775" s="84"/>
      <c r="S775" s="84"/>
      <c r="T775" s="84"/>
      <c r="U775" s="84">
        <v>0.0</v>
      </c>
      <c r="V775" s="84"/>
      <c r="W775" s="84"/>
      <c r="X775" s="84">
        <v>3.0</v>
      </c>
      <c r="Y775" s="84"/>
      <c r="Z775" s="84"/>
      <c r="AA775" s="84"/>
      <c r="AB775" s="84"/>
      <c r="AC775" s="84"/>
      <c r="AD775" s="84"/>
      <c r="AE775" s="84"/>
      <c r="AF775" s="84"/>
      <c r="AG775" s="84"/>
      <c r="AH775" s="84">
        <v>0.0</v>
      </c>
      <c r="AI775" s="84">
        <v>0.0</v>
      </c>
      <c r="AJ775" s="84">
        <v>0.0</v>
      </c>
      <c r="AK775" s="84">
        <v>0.0</v>
      </c>
      <c r="AL775" s="84">
        <v>0.0</v>
      </c>
      <c r="AM775" s="84">
        <v>0.0</v>
      </c>
      <c r="AN775" s="84">
        <v>0.0</v>
      </c>
      <c r="AO775" s="84">
        <v>0.0</v>
      </c>
      <c r="AP775" s="84">
        <v>0.0</v>
      </c>
      <c r="AQ775" s="84">
        <v>0.0</v>
      </c>
      <c r="AR775" s="84">
        <v>0.0</v>
      </c>
      <c r="AS775" s="84">
        <v>0.0</v>
      </c>
      <c r="AT775" s="84">
        <v>0.0</v>
      </c>
      <c r="AU775" s="84">
        <v>0.0</v>
      </c>
      <c r="AV775" s="84">
        <v>0.0</v>
      </c>
      <c r="AW775" s="84">
        <v>0.0</v>
      </c>
      <c r="AX775" s="84">
        <v>0.0</v>
      </c>
      <c r="AY775" s="84">
        <v>0.0</v>
      </c>
      <c r="AZ775" s="84">
        <v>0.0</v>
      </c>
    </row>
    <row r="776" ht="12.75" customHeight="1">
      <c r="A776" s="84">
        <v>774.0</v>
      </c>
      <c r="B776" s="84" t="s">
        <v>5985</v>
      </c>
      <c r="C776" s="84">
        <v>0.0</v>
      </c>
      <c r="D776" s="84" t="s">
        <v>4975</v>
      </c>
      <c r="E776" s="84">
        <v>0.0</v>
      </c>
      <c r="F776" s="84" t="s">
        <v>5135</v>
      </c>
      <c r="G776" s="84">
        <v>10.0</v>
      </c>
      <c r="H776" s="84">
        <v>101.0</v>
      </c>
      <c r="I776" s="84">
        <v>10.0</v>
      </c>
      <c r="J776" s="84"/>
      <c r="K776" s="84"/>
      <c r="L776" s="84"/>
      <c r="M776" s="84"/>
      <c r="N776" s="84">
        <v>0.0</v>
      </c>
      <c r="O776" s="84">
        <v>0.0</v>
      </c>
      <c r="P776" s="84">
        <v>0.0</v>
      </c>
      <c r="Q776" s="84"/>
      <c r="R776" s="84"/>
      <c r="S776" s="84"/>
      <c r="T776" s="84"/>
      <c r="U776" s="84">
        <v>0.0</v>
      </c>
      <c r="V776" s="84"/>
      <c r="W776" s="84"/>
      <c r="X776" s="84">
        <v>3.0</v>
      </c>
      <c r="Y776" s="84"/>
      <c r="Z776" s="84"/>
      <c r="AA776" s="84"/>
      <c r="AB776" s="84"/>
      <c r="AC776" s="84"/>
      <c r="AD776" s="84"/>
      <c r="AE776" s="84"/>
      <c r="AF776" s="84"/>
      <c r="AG776" s="84"/>
      <c r="AH776" s="84">
        <v>0.0</v>
      </c>
      <c r="AI776" s="84">
        <v>0.0</v>
      </c>
      <c r="AJ776" s="84">
        <v>0.0</v>
      </c>
      <c r="AK776" s="84">
        <v>0.0</v>
      </c>
      <c r="AL776" s="84">
        <v>0.0</v>
      </c>
      <c r="AM776" s="84">
        <v>0.0</v>
      </c>
      <c r="AN776" s="84">
        <v>0.0</v>
      </c>
      <c r="AO776" s="84">
        <v>0.0</v>
      </c>
      <c r="AP776" s="84">
        <v>0.0</v>
      </c>
      <c r="AQ776" s="84">
        <v>0.0</v>
      </c>
      <c r="AR776" s="84">
        <v>0.0</v>
      </c>
      <c r="AS776" s="84">
        <v>0.0</v>
      </c>
      <c r="AT776" s="84">
        <v>0.0</v>
      </c>
      <c r="AU776" s="84">
        <v>0.0</v>
      </c>
      <c r="AV776" s="84">
        <v>0.0</v>
      </c>
      <c r="AW776" s="84">
        <v>0.0</v>
      </c>
      <c r="AX776" s="84">
        <v>0.0</v>
      </c>
      <c r="AY776" s="84">
        <v>0.0</v>
      </c>
      <c r="AZ776" s="84">
        <v>0.0</v>
      </c>
    </row>
    <row r="777" ht="12.75" customHeight="1">
      <c r="A777" s="84">
        <v>775.0</v>
      </c>
      <c r="B777" s="84" t="s">
        <v>5986</v>
      </c>
      <c r="C777" s="84">
        <v>0.0</v>
      </c>
      <c r="D777" s="84" t="s">
        <v>4956</v>
      </c>
      <c r="E777" s="84">
        <v>2.0</v>
      </c>
      <c r="F777" s="84" t="s">
        <v>5131</v>
      </c>
      <c r="G777" s="84">
        <v>0.0</v>
      </c>
      <c r="H777" s="84">
        <v>100.0</v>
      </c>
      <c r="I777" s="84">
        <v>5.0</v>
      </c>
      <c r="J777" s="84"/>
      <c r="K777" s="84"/>
      <c r="L777" s="84"/>
      <c r="M777" s="84"/>
      <c r="N777" s="84">
        <v>0.0</v>
      </c>
      <c r="O777" s="84">
        <v>0.0</v>
      </c>
      <c r="P777" s="84">
        <v>0.0</v>
      </c>
      <c r="Q777" s="84"/>
      <c r="R777" s="84"/>
      <c r="S777" s="84"/>
      <c r="T777" s="84"/>
      <c r="U777" s="84">
        <v>432.0</v>
      </c>
      <c r="V777" s="84"/>
      <c r="W777" s="84">
        <v>-33.0</v>
      </c>
      <c r="X777" s="84">
        <v>7.0</v>
      </c>
      <c r="Y777" s="84" t="s">
        <v>5159</v>
      </c>
      <c r="Z777" s="84">
        <v>1.0</v>
      </c>
      <c r="AA777" s="84">
        <v>100.0</v>
      </c>
      <c r="AB777" s="84"/>
      <c r="AC777" s="84"/>
      <c r="AD777" s="84"/>
      <c r="AE777" s="84"/>
      <c r="AF777" s="84"/>
      <c r="AG777" s="84"/>
      <c r="AH777" s="84">
        <v>0.0</v>
      </c>
      <c r="AI777" s="84">
        <v>0.0</v>
      </c>
      <c r="AJ777" s="84">
        <v>0.0</v>
      </c>
      <c r="AK777" s="84">
        <v>0.0</v>
      </c>
      <c r="AL777" s="84">
        <v>0.0</v>
      </c>
      <c r="AM777" s="84">
        <v>1.0</v>
      </c>
      <c r="AN777" s="84">
        <v>0.0</v>
      </c>
      <c r="AO777" s="84">
        <v>0.0</v>
      </c>
      <c r="AP777" s="84">
        <v>1.0</v>
      </c>
      <c r="AQ777" s="84">
        <v>0.0</v>
      </c>
      <c r="AR777" s="84">
        <v>0.0</v>
      </c>
      <c r="AS777" s="84">
        <v>0.0</v>
      </c>
      <c r="AT777" s="84">
        <v>0.0</v>
      </c>
      <c r="AU777" s="84">
        <v>0.0</v>
      </c>
      <c r="AV777" s="84">
        <v>0.0</v>
      </c>
      <c r="AW777" s="84">
        <v>0.0</v>
      </c>
      <c r="AX777" s="84">
        <v>1.0</v>
      </c>
      <c r="AY777" s="84">
        <v>0.0</v>
      </c>
      <c r="AZ777" s="84">
        <v>0.0</v>
      </c>
    </row>
    <row r="778" ht="12.75" customHeight="1">
      <c r="A778" s="84">
        <v>776.0</v>
      </c>
      <c r="B778" s="84" t="s">
        <v>4053</v>
      </c>
      <c r="C778" s="84">
        <v>1.0</v>
      </c>
      <c r="D778" s="84" t="s">
        <v>4935</v>
      </c>
      <c r="E778" s="84">
        <v>0.0</v>
      </c>
      <c r="F778" s="84" t="s">
        <v>5135</v>
      </c>
      <c r="G778" s="84">
        <v>80.0</v>
      </c>
      <c r="H778" s="84">
        <v>100.0</v>
      </c>
      <c r="I778" s="84">
        <v>10.0</v>
      </c>
      <c r="N778" s="84">
        <v>0.0</v>
      </c>
      <c r="O778" s="84">
        <v>0.0</v>
      </c>
      <c r="P778" s="84">
        <v>0.0</v>
      </c>
      <c r="U778" s="84">
        <v>433.0</v>
      </c>
      <c r="X778" s="84">
        <v>0.0</v>
      </c>
      <c r="AH778" s="84">
        <v>1.0</v>
      </c>
      <c r="AI778" s="84">
        <v>0.0</v>
      </c>
      <c r="AJ778" s="84">
        <v>0.0</v>
      </c>
      <c r="AK778" s="84">
        <v>1.0</v>
      </c>
      <c r="AL778" s="84">
        <v>0.0</v>
      </c>
      <c r="AM778" s="84">
        <v>0.0</v>
      </c>
      <c r="AN778" s="84">
        <v>1.0</v>
      </c>
      <c r="AO778" s="84">
        <v>0.0</v>
      </c>
      <c r="AP778" s="84">
        <v>0.0</v>
      </c>
      <c r="AQ778" s="84">
        <v>0.0</v>
      </c>
      <c r="AR778" s="84">
        <v>0.0</v>
      </c>
      <c r="AS778" s="84">
        <v>0.0</v>
      </c>
      <c r="AT778" s="84">
        <v>0.0</v>
      </c>
      <c r="AU778" s="84">
        <v>0.0</v>
      </c>
      <c r="AV778" s="84">
        <v>0.0</v>
      </c>
      <c r="AW778" s="84">
        <v>0.0</v>
      </c>
      <c r="AX778" s="84">
        <v>0.0</v>
      </c>
      <c r="AY778" s="84">
        <v>0.0</v>
      </c>
      <c r="AZ778" s="84">
        <v>37.0</v>
      </c>
    </row>
    <row r="779" ht="12.75" customHeight="1">
      <c r="A779" s="84">
        <v>777.0</v>
      </c>
      <c r="B779" s="84" t="s">
        <v>5987</v>
      </c>
      <c r="C779" s="84">
        <v>0.0</v>
      </c>
      <c r="D779" s="84" t="s">
        <v>5072</v>
      </c>
      <c r="E779" s="84">
        <v>2.0</v>
      </c>
      <c r="F779" s="84" t="s">
        <v>5131</v>
      </c>
      <c r="G779" s="84">
        <v>0.0</v>
      </c>
      <c r="H779" s="84">
        <v>101.0</v>
      </c>
      <c r="I779" s="84">
        <v>15.0</v>
      </c>
      <c r="J779" s="84"/>
      <c r="K779" s="84"/>
      <c r="L779" s="84"/>
      <c r="M779" s="84"/>
      <c r="N779" s="84">
        <v>0.0</v>
      </c>
      <c r="O779" s="84">
        <v>0.0</v>
      </c>
      <c r="P779" s="84">
        <v>0.0</v>
      </c>
      <c r="Q779" s="84"/>
      <c r="R779" s="84"/>
      <c r="S779" s="84"/>
      <c r="T779" s="84"/>
      <c r="U779" s="84">
        <v>434.0</v>
      </c>
      <c r="V779" s="84"/>
      <c r="W779" s="84"/>
      <c r="X779" s="84">
        <v>0.0</v>
      </c>
      <c r="Y779" s="84" t="s">
        <v>20</v>
      </c>
      <c r="Z779" s="84">
        <v>2.0</v>
      </c>
      <c r="AA779" s="84">
        <v>100.0</v>
      </c>
      <c r="AB779" s="84" t="s">
        <v>22</v>
      </c>
      <c r="AC779" s="84">
        <v>2.0</v>
      </c>
      <c r="AD779" s="84">
        <v>100.0</v>
      </c>
      <c r="AE779" s="84"/>
      <c r="AF779" s="84"/>
      <c r="AG779" s="84"/>
      <c r="AH779" s="84">
        <v>0.0</v>
      </c>
      <c r="AI779" s="84">
        <v>0.0</v>
      </c>
      <c r="AJ779" s="84">
        <v>0.0</v>
      </c>
      <c r="AK779" s="84">
        <v>0.0</v>
      </c>
      <c r="AL779" s="84">
        <v>0.0</v>
      </c>
      <c r="AM779" s="84">
        <v>0.0</v>
      </c>
      <c r="AN779" s="84">
        <v>0.0</v>
      </c>
      <c r="AO779" s="84">
        <v>0.0</v>
      </c>
      <c r="AP779" s="84">
        <v>0.0</v>
      </c>
      <c r="AQ779" s="84">
        <v>0.0</v>
      </c>
      <c r="AR779" s="84">
        <v>0.0</v>
      </c>
      <c r="AS779" s="84">
        <v>0.0</v>
      </c>
      <c r="AT779" s="84">
        <v>0.0</v>
      </c>
      <c r="AU779" s="84">
        <v>0.0</v>
      </c>
      <c r="AV779" s="84">
        <v>0.0</v>
      </c>
      <c r="AW779" s="84">
        <v>1.0</v>
      </c>
      <c r="AX779" s="84">
        <v>0.0</v>
      </c>
      <c r="AY779" s="84">
        <v>0.0</v>
      </c>
      <c r="AZ779" s="84">
        <v>0.0</v>
      </c>
    </row>
    <row r="780" ht="12.75" customHeight="1">
      <c r="A780" s="84">
        <v>778.0</v>
      </c>
      <c r="B780" s="84" t="s">
        <v>5988</v>
      </c>
      <c r="C780" s="84">
        <v>0.0</v>
      </c>
      <c r="D780" s="84" t="s">
        <v>4904</v>
      </c>
      <c r="E780" s="84">
        <v>6.0</v>
      </c>
      <c r="F780" s="84" t="s">
        <v>5135</v>
      </c>
      <c r="G780" s="84">
        <v>80.0</v>
      </c>
      <c r="H780" s="84">
        <v>100.0</v>
      </c>
      <c r="I780" s="84">
        <v>10.0</v>
      </c>
      <c r="J780" s="84"/>
      <c r="K780" s="84"/>
      <c r="L780" s="84"/>
      <c r="M780" s="84"/>
      <c r="N780" s="84">
        <v>0.0</v>
      </c>
      <c r="O780" s="84">
        <v>0.0</v>
      </c>
      <c r="P780" s="84">
        <v>0.0</v>
      </c>
      <c r="Q780" s="84"/>
      <c r="R780" s="84"/>
      <c r="S780" s="84"/>
      <c r="T780" s="84"/>
      <c r="U780" s="84">
        <v>70.0</v>
      </c>
      <c r="V780" s="84"/>
      <c r="W780" s="84"/>
      <c r="X780" s="84">
        <v>0.0</v>
      </c>
      <c r="Y780" s="84" t="s">
        <v>5073</v>
      </c>
      <c r="Z780" s="84">
        <v>-1.0</v>
      </c>
      <c r="AA780" s="84">
        <v>100.0</v>
      </c>
      <c r="AB780" s="84"/>
      <c r="AC780" s="84"/>
      <c r="AD780" s="84"/>
      <c r="AE780" s="84"/>
      <c r="AF780" s="84"/>
      <c r="AG780" s="84"/>
      <c r="AH780" s="84">
        <v>0.0</v>
      </c>
      <c r="AI780" s="84">
        <v>0.0</v>
      </c>
      <c r="AJ780" s="84">
        <v>0.0</v>
      </c>
      <c r="AK780" s="84">
        <v>1.0</v>
      </c>
      <c r="AL780" s="84">
        <v>0.0</v>
      </c>
      <c r="AM780" s="84">
        <v>0.0</v>
      </c>
      <c r="AN780" s="84">
        <v>1.0</v>
      </c>
      <c r="AO780" s="84">
        <v>0.0</v>
      </c>
      <c r="AP780" s="84">
        <v>0.0</v>
      </c>
      <c r="AQ780" s="84">
        <v>0.0</v>
      </c>
      <c r="AR780" s="84">
        <v>0.0</v>
      </c>
      <c r="AS780" s="84">
        <v>0.0</v>
      </c>
      <c r="AT780" s="84">
        <v>0.0</v>
      </c>
      <c r="AU780" s="84">
        <v>0.0</v>
      </c>
      <c r="AV780" s="84">
        <v>0.0</v>
      </c>
      <c r="AW780" s="84">
        <v>0.0</v>
      </c>
      <c r="AX780" s="84">
        <v>0.0</v>
      </c>
      <c r="AY780" s="84">
        <v>0.0</v>
      </c>
      <c r="AZ780" s="84">
        <v>0.0</v>
      </c>
    </row>
    <row r="781" ht="12.75" customHeight="1">
      <c r="A781" s="84">
        <v>779.0</v>
      </c>
      <c r="B781" s="84" t="s">
        <v>5989</v>
      </c>
      <c r="C781" s="84">
        <v>0.0</v>
      </c>
      <c r="D781" s="84" t="s">
        <v>4904</v>
      </c>
      <c r="E781" s="84">
        <v>4.0</v>
      </c>
      <c r="F781" s="84" t="s">
        <v>5135</v>
      </c>
      <c r="G781" s="84">
        <v>35.0</v>
      </c>
      <c r="H781" s="84">
        <v>100.0</v>
      </c>
      <c r="I781" s="84">
        <v>15.0</v>
      </c>
      <c r="J781" s="84"/>
      <c r="K781" s="84"/>
      <c r="L781" s="84"/>
      <c r="M781" s="84" t="s">
        <v>5190</v>
      </c>
      <c r="N781" s="84">
        <v>8.0</v>
      </c>
      <c r="O781" s="84">
        <v>100.0</v>
      </c>
      <c r="P781" s="84">
        <v>4.0</v>
      </c>
      <c r="Q781" s="84">
        <v>5.0</v>
      </c>
      <c r="R781" s="84">
        <v>6.0</v>
      </c>
      <c r="S781" s="84"/>
      <c r="T781" s="84"/>
      <c r="U781" s="84">
        <v>42.0</v>
      </c>
      <c r="V781" s="84"/>
      <c r="W781" s="84"/>
      <c r="X781" s="84">
        <v>0.0</v>
      </c>
      <c r="Y781" s="84"/>
      <c r="Z781" s="84"/>
      <c r="AA781" s="84"/>
      <c r="AB781" s="84"/>
      <c r="AC781" s="84"/>
      <c r="AD781" s="84"/>
      <c r="AE781" s="84"/>
      <c r="AF781" s="84"/>
      <c r="AG781" s="84"/>
      <c r="AH781" s="84">
        <v>1.0</v>
      </c>
      <c r="AI781" s="84">
        <v>0.0</v>
      </c>
      <c r="AJ781" s="84">
        <v>0.0</v>
      </c>
      <c r="AK781" s="84">
        <v>1.0</v>
      </c>
      <c r="AL781" s="84">
        <v>0.0</v>
      </c>
      <c r="AM781" s="84">
        <v>0.0</v>
      </c>
      <c r="AN781" s="84">
        <v>1.0</v>
      </c>
      <c r="AO781" s="84">
        <v>0.0</v>
      </c>
      <c r="AP781" s="84">
        <v>0.0</v>
      </c>
      <c r="AQ781" s="84">
        <v>0.0</v>
      </c>
      <c r="AR781" s="84">
        <v>0.0</v>
      </c>
      <c r="AS781" s="84">
        <v>0.0</v>
      </c>
      <c r="AT781" s="84">
        <v>0.0</v>
      </c>
      <c r="AU781" s="84">
        <v>0.0</v>
      </c>
      <c r="AV781" s="84">
        <v>0.0</v>
      </c>
      <c r="AW781" s="84">
        <v>0.0</v>
      </c>
      <c r="AX781" s="84">
        <v>0.0</v>
      </c>
      <c r="AY781" s="84">
        <v>0.0</v>
      </c>
      <c r="AZ781" s="84">
        <v>0.0</v>
      </c>
    </row>
    <row r="782" ht="12.75" customHeight="1">
      <c r="A782" s="84">
        <v>780.0</v>
      </c>
      <c r="B782" s="84" t="s">
        <v>5990</v>
      </c>
      <c r="C782" s="84">
        <v>0.0</v>
      </c>
      <c r="D782" s="84" t="s">
        <v>4906</v>
      </c>
      <c r="E782" s="84">
        <v>4.0</v>
      </c>
      <c r="F782" s="84" t="s">
        <v>5135</v>
      </c>
      <c r="G782" s="84">
        <v>120.0</v>
      </c>
      <c r="H782" s="84">
        <v>90.0</v>
      </c>
      <c r="I782" s="84">
        <v>5.0</v>
      </c>
      <c r="J782" s="84"/>
      <c r="K782" s="84"/>
      <c r="L782" s="84"/>
      <c r="M782" s="84" t="s">
        <v>5152</v>
      </c>
      <c r="N782" s="84">
        <v>4.0</v>
      </c>
      <c r="O782" s="84">
        <v>10.0</v>
      </c>
      <c r="P782" s="84">
        <v>1.0</v>
      </c>
      <c r="Q782" s="84"/>
      <c r="R782" s="84"/>
      <c r="S782" s="84"/>
      <c r="T782" s="84"/>
      <c r="U782" s="84">
        <v>4.0</v>
      </c>
      <c r="V782" s="84"/>
      <c r="W782" s="84"/>
      <c r="X782" s="84">
        <v>0.0</v>
      </c>
      <c r="Y782" s="84"/>
      <c r="Z782" s="84"/>
      <c r="AA782" s="84"/>
      <c r="AB782" s="84"/>
      <c r="AC782" s="84"/>
      <c r="AD782" s="84"/>
      <c r="AE782" s="84"/>
      <c r="AF782" s="84"/>
      <c r="AG782" s="84"/>
      <c r="AH782" s="84">
        <v>0.0</v>
      </c>
      <c r="AI782" s="84">
        <v>0.0</v>
      </c>
      <c r="AJ782" s="84">
        <v>0.0</v>
      </c>
      <c r="AK782" s="84">
        <v>1.0</v>
      </c>
      <c r="AL782" s="84">
        <v>0.0</v>
      </c>
      <c r="AM782" s="84">
        <v>0.0</v>
      </c>
      <c r="AN782" s="84">
        <v>1.0</v>
      </c>
      <c r="AO782" s="84">
        <v>0.0</v>
      </c>
      <c r="AP782" s="84">
        <v>0.0</v>
      </c>
      <c r="AQ782" s="84">
        <v>0.0</v>
      </c>
      <c r="AR782" s="84">
        <v>1.0</v>
      </c>
      <c r="AS782" s="84">
        <v>0.0</v>
      </c>
      <c r="AT782" s="84">
        <v>0.0</v>
      </c>
      <c r="AU782" s="84">
        <v>0.0</v>
      </c>
      <c r="AV782" s="84">
        <v>0.0</v>
      </c>
      <c r="AW782" s="84">
        <v>0.0</v>
      </c>
      <c r="AX782" s="84">
        <v>0.0</v>
      </c>
      <c r="AY782" s="84">
        <v>0.0</v>
      </c>
      <c r="AZ782" s="84">
        <v>0.0</v>
      </c>
    </row>
    <row r="783" ht="12.75" customHeight="1">
      <c r="A783" s="84">
        <v>781.0</v>
      </c>
      <c r="B783" s="84" t="s">
        <v>5991</v>
      </c>
      <c r="C783" s="84">
        <v>0.0</v>
      </c>
      <c r="D783" s="84" t="s">
        <v>4975</v>
      </c>
      <c r="E783" s="84">
        <v>0.0</v>
      </c>
      <c r="F783" s="84" t="s">
        <v>5135</v>
      </c>
      <c r="G783" s="84">
        <v>100.0</v>
      </c>
      <c r="H783" s="84">
        <v>100.0</v>
      </c>
      <c r="I783" s="84">
        <v>5.0</v>
      </c>
      <c r="J783" s="84"/>
      <c r="K783" s="84"/>
      <c r="L783" s="84"/>
      <c r="M783" s="84"/>
      <c r="N783" s="84">
        <v>0.0</v>
      </c>
      <c r="O783" s="84">
        <v>0.0</v>
      </c>
      <c r="P783" s="84">
        <v>0.0</v>
      </c>
      <c r="Q783" s="84"/>
      <c r="R783" s="84"/>
      <c r="S783" s="84"/>
      <c r="T783" s="84"/>
      <c r="U783" s="84">
        <v>435.0</v>
      </c>
      <c r="V783" s="84"/>
      <c r="W783" s="84"/>
      <c r="X783" s="84">
        <v>0.0</v>
      </c>
      <c r="Y783" s="84"/>
      <c r="Z783" s="84"/>
      <c r="AA783" s="84"/>
      <c r="AB783" s="84"/>
      <c r="AC783" s="84"/>
      <c r="AD783" s="84"/>
      <c r="AE783" s="84"/>
      <c r="AF783" s="84"/>
      <c r="AG783" s="84"/>
      <c r="AH783" s="84">
        <v>1.0</v>
      </c>
      <c r="AI783" s="84">
        <v>0.0</v>
      </c>
      <c r="AJ783" s="84">
        <v>0.0</v>
      </c>
      <c r="AK783" s="84">
        <v>1.0</v>
      </c>
      <c r="AL783" s="84">
        <v>0.0</v>
      </c>
      <c r="AM783" s="84">
        <v>0.0</v>
      </c>
      <c r="AN783" s="84">
        <v>1.0</v>
      </c>
      <c r="AO783" s="84">
        <v>0.0</v>
      </c>
      <c r="AP783" s="84">
        <v>0.0</v>
      </c>
      <c r="AQ783" s="84">
        <v>0.0</v>
      </c>
      <c r="AR783" s="84">
        <v>0.0</v>
      </c>
      <c r="AS783" s="84">
        <v>0.0</v>
      </c>
      <c r="AT783" s="84">
        <v>0.0</v>
      </c>
      <c r="AU783" s="84">
        <v>0.0</v>
      </c>
      <c r="AV783" s="84">
        <v>0.0</v>
      </c>
      <c r="AW783" s="84">
        <v>0.0</v>
      </c>
      <c r="AX783" s="84">
        <v>0.0</v>
      </c>
      <c r="AY783" s="84">
        <v>0.0</v>
      </c>
      <c r="AZ783" s="84">
        <v>0.0</v>
      </c>
    </row>
    <row r="784" ht="12.75" customHeight="1">
      <c r="A784" s="84">
        <v>782.0</v>
      </c>
      <c r="B784" s="84" t="s">
        <v>5992</v>
      </c>
      <c r="C784" s="84">
        <v>0.0</v>
      </c>
      <c r="D784" s="84" t="s">
        <v>4975</v>
      </c>
      <c r="E784" s="84">
        <v>0.0</v>
      </c>
      <c r="F784" s="84" t="s">
        <v>5135</v>
      </c>
      <c r="G784" s="84">
        <v>100.0</v>
      </c>
      <c r="H784" s="84">
        <v>100.0</v>
      </c>
      <c r="I784" s="84">
        <v>5.0</v>
      </c>
      <c r="J784" s="84"/>
      <c r="K784" s="84"/>
      <c r="L784" s="84"/>
      <c r="M784" s="84"/>
      <c r="N784" s="84">
        <v>0.0</v>
      </c>
      <c r="O784" s="84">
        <v>0.0</v>
      </c>
      <c r="P784" s="84">
        <v>0.0</v>
      </c>
      <c r="Q784" s="84"/>
      <c r="R784" s="84"/>
      <c r="S784" s="84"/>
      <c r="T784" s="84"/>
      <c r="U784" s="84">
        <v>435.0</v>
      </c>
      <c r="V784" s="84"/>
      <c r="W784" s="84"/>
      <c r="X784" s="84">
        <v>0.0</v>
      </c>
      <c r="Y784" s="84"/>
      <c r="Z784" s="84"/>
      <c r="AA784" s="84"/>
      <c r="AB784" s="84"/>
      <c r="AC784" s="84"/>
      <c r="AD784" s="84"/>
      <c r="AE784" s="84"/>
      <c r="AF784" s="84"/>
      <c r="AG784" s="84"/>
      <c r="AH784" s="84">
        <v>1.0</v>
      </c>
      <c r="AI784" s="84">
        <v>0.0</v>
      </c>
      <c r="AJ784" s="84">
        <v>0.0</v>
      </c>
      <c r="AK784" s="84">
        <v>1.0</v>
      </c>
      <c r="AL784" s="84">
        <v>0.0</v>
      </c>
      <c r="AM784" s="84">
        <v>0.0</v>
      </c>
      <c r="AN784" s="84">
        <v>1.0</v>
      </c>
      <c r="AO784" s="84">
        <v>0.0</v>
      </c>
      <c r="AP784" s="84">
        <v>0.0</v>
      </c>
      <c r="AQ784" s="84">
        <v>0.0</v>
      </c>
      <c r="AR784" s="84">
        <v>0.0</v>
      </c>
      <c r="AS784" s="84">
        <v>0.0</v>
      </c>
      <c r="AT784" s="84">
        <v>0.0</v>
      </c>
      <c r="AU784" s="84">
        <v>0.0</v>
      </c>
      <c r="AV784" s="84">
        <v>0.0</v>
      </c>
      <c r="AW784" s="84">
        <v>0.0</v>
      </c>
      <c r="AX784" s="84">
        <v>0.0</v>
      </c>
      <c r="AY784" s="84">
        <v>0.0</v>
      </c>
      <c r="AZ784" s="84">
        <v>0.0</v>
      </c>
    </row>
    <row r="785" ht="12.75" customHeight="1">
      <c r="A785" s="84">
        <v>783.0</v>
      </c>
      <c r="B785" s="84" t="s">
        <v>5993</v>
      </c>
      <c r="C785" s="84">
        <v>0.0</v>
      </c>
      <c r="D785" s="84" t="s">
        <v>4921</v>
      </c>
      <c r="E785" s="84">
        <v>7.0</v>
      </c>
      <c r="F785" s="84" t="s">
        <v>5135</v>
      </c>
      <c r="G785" s="84">
        <v>110.0</v>
      </c>
      <c r="H785" s="84">
        <v>100.0</v>
      </c>
      <c r="I785" s="84">
        <v>10.0</v>
      </c>
      <c r="J785" s="84"/>
      <c r="K785" s="84"/>
      <c r="L785" s="84"/>
      <c r="M785" s="84"/>
      <c r="N785" s="84">
        <v>0.0</v>
      </c>
      <c r="O785" s="84">
        <v>0.0</v>
      </c>
      <c r="P785" s="84">
        <v>0.0</v>
      </c>
      <c r="Q785" s="84"/>
      <c r="R785" s="84"/>
      <c r="S785" s="84"/>
      <c r="T785" s="84"/>
      <c r="U785" s="84">
        <v>436.0</v>
      </c>
      <c r="V785" s="84"/>
      <c r="W785" s="84"/>
      <c r="X785" s="84">
        <v>0.0</v>
      </c>
      <c r="Y785" s="84" t="s">
        <v>5073</v>
      </c>
      <c r="Z785" s="84">
        <v>1.0</v>
      </c>
      <c r="AA785" s="84">
        <v>100.0</v>
      </c>
      <c r="AB785" s="84"/>
      <c r="AC785" s="84"/>
      <c r="AD785" s="84"/>
      <c r="AE785" s="84"/>
      <c r="AF785" s="84"/>
      <c r="AG785" s="84"/>
      <c r="AH785" s="84">
        <v>0.0</v>
      </c>
      <c r="AI785" s="84">
        <v>0.0</v>
      </c>
      <c r="AJ785" s="84">
        <v>0.0</v>
      </c>
      <c r="AK785" s="84">
        <v>1.0</v>
      </c>
      <c r="AL785" s="84">
        <v>0.0</v>
      </c>
      <c r="AM785" s="84">
        <v>0.0</v>
      </c>
      <c r="AN785" s="84">
        <v>1.0</v>
      </c>
      <c r="AO785" s="84">
        <v>0.0</v>
      </c>
      <c r="AP785" s="84">
        <v>0.0</v>
      </c>
      <c r="AQ785" s="84">
        <v>0.0</v>
      </c>
      <c r="AR785" s="84">
        <v>0.0</v>
      </c>
      <c r="AS785" s="84">
        <v>0.0</v>
      </c>
      <c r="AT785" s="84">
        <v>0.0</v>
      </c>
      <c r="AU785" s="84">
        <v>0.0</v>
      </c>
      <c r="AV785" s="84">
        <v>0.0</v>
      </c>
      <c r="AW785" s="84">
        <v>0.0</v>
      </c>
      <c r="AX785" s="84">
        <v>0.0</v>
      </c>
      <c r="AY785" s="84">
        <v>0.0</v>
      </c>
      <c r="AZ785" s="84">
        <v>0.0</v>
      </c>
    </row>
    <row r="786" ht="12.75" customHeight="1">
      <c r="A786" s="84">
        <v>784.0</v>
      </c>
      <c r="B786" s="84" t="s">
        <v>5994</v>
      </c>
      <c r="C786" s="84">
        <v>0.0</v>
      </c>
      <c r="D786" s="84" t="s">
        <v>4956</v>
      </c>
      <c r="E786" s="84">
        <v>6.0</v>
      </c>
      <c r="F786" s="84" t="s">
        <v>5135</v>
      </c>
      <c r="G786" s="84">
        <v>60.0</v>
      </c>
      <c r="H786" s="84">
        <v>100.0</v>
      </c>
      <c r="I786" s="84">
        <v>15.0</v>
      </c>
      <c r="J786" s="84"/>
      <c r="K786" s="84"/>
      <c r="L786" s="84"/>
      <c r="M786" s="84"/>
      <c r="N786" s="84">
        <v>0.0</v>
      </c>
      <c r="O786" s="84">
        <v>0.0</v>
      </c>
      <c r="P786" s="84">
        <v>0.0</v>
      </c>
      <c r="Q786" s="84"/>
      <c r="R786" s="84"/>
      <c r="S786" s="84"/>
      <c r="T786" s="84"/>
      <c r="U786" s="84">
        <v>395.0</v>
      </c>
      <c r="V786" s="84"/>
      <c r="W786" s="84"/>
      <c r="X786" s="84">
        <v>5.0</v>
      </c>
      <c r="Y786" s="84" t="s">
        <v>20</v>
      </c>
      <c r="Z786" s="84">
        <v>-1.0</v>
      </c>
      <c r="AA786" s="84">
        <v>100.0</v>
      </c>
      <c r="AB786" s="84"/>
      <c r="AC786" s="84"/>
      <c r="AD786" s="84"/>
      <c r="AE786" s="84"/>
      <c r="AF786" s="84"/>
      <c r="AG786" s="84"/>
      <c r="AH786" s="84">
        <v>1.0</v>
      </c>
      <c r="AI786" s="84">
        <v>0.0</v>
      </c>
      <c r="AJ786" s="84">
        <v>0.0</v>
      </c>
      <c r="AK786" s="84">
        <v>1.0</v>
      </c>
      <c r="AL786" s="84">
        <v>0.0</v>
      </c>
      <c r="AM786" s="84">
        <v>0.0</v>
      </c>
      <c r="AN786" s="84">
        <v>1.0</v>
      </c>
      <c r="AO786" s="84">
        <v>0.0</v>
      </c>
      <c r="AP786" s="84">
        <v>0.0</v>
      </c>
      <c r="AQ786" s="84">
        <v>0.0</v>
      </c>
      <c r="AR786" s="84">
        <v>0.0</v>
      </c>
      <c r="AS786" s="84">
        <v>0.0</v>
      </c>
      <c r="AT786" s="84">
        <v>0.0</v>
      </c>
      <c r="AU786" s="84">
        <v>0.0</v>
      </c>
      <c r="AV786" s="84">
        <v>0.0</v>
      </c>
      <c r="AW786" s="84">
        <v>0.0</v>
      </c>
      <c r="AX786" s="84">
        <v>0.0</v>
      </c>
      <c r="AY786" s="84">
        <v>0.0</v>
      </c>
      <c r="AZ786" s="84">
        <v>0.0</v>
      </c>
    </row>
    <row r="787" ht="12.75" customHeight="1">
      <c r="A787" s="84">
        <v>785.0</v>
      </c>
      <c r="B787" s="84" t="s">
        <v>5995</v>
      </c>
      <c r="C787" s="84">
        <v>0.0</v>
      </c>
      <c r="D787" s="84" t="s">
        <v>4904</v>
      </c>
      <c r="E787" s="84">
        <v>0.0</v>
      </c>
      <c r="F787" s="84" t="s">
        <v>5135</v>
      </c>
      <c r="G787" s="84">
        <v>40.0</v>
      </c>
      <c r="H787" s="84">
        <v>100.0</v>
      </c>
      <c r="I787" s="84">
        <v>40.0</v>
      </c>
      <c r="J787" s="84"/>
      <c r="K787" s="84"/>
      <c r="L787" s="84"/>
      <c r="M787" s="84"/>
      <c r="N787" s="84">
        <v>0.0</v>
      </c>
      <c r="O787" s="84">
        <v>0.0</v>
      </c>
      <c r="P787" s="84">
        <v>0.0</v>
      </c>
      <c r="Q787" s="84"/>
      <c r="R787" s="84"/>
      <c r="S787" s="84"/>
      <c r="T787" s="84"/>
      <c r="U787" s="84">
        <v>0.0</v>
      </c>
      <c r="V787" s="84"/>
      <c r="W787" s="84"/>
      <c r="X787" s="84">
        <v>0.0</v>
      </c>
      <c r="Y787" s="84"/>
      <c r="Z787" s="84"/>
      <c r="AA787" s="84"/>
      <c r="AB787" s="84"/>
      <c r="AC787" s="84"/>
      <c r="AD787" s="84"/>
      <c r="AE787" s="84"/>
      <c r="AF787" s="84"/>
      <c r="AG787" s="84"/>
      <c r="AH787" s="84">
        <v>1.0</v>
      </c>
      <c r="AI787" s="84">
        <v>0.0</v>
      </c>
      <c r="AJ787" s="84">
        <v>0.0</v>
      </c>
      <c r="AK787" s="84">
        <v>1.0</v>
      </c>
      <c r="AL787" s="84">
        <v>0.0</v>
      </c>
      <c r="AM787" s="84">
        <v>0.0</v>
      </c>
      <c r="AN787" s="84">
        <v>1.0</v>
      </c>
      <c r="AO787" s="84">
        <v>0.0</v>
      </c>
      <c r="AP787" s="84">
        <v>0.0</v>
      </c>
      <c r="AQ787" s="84">
        <v>0.0</v>
      </c>
      <c r="AR787" s="84">
        <v>0.0</v>
      </c>
      <c r="AS787" s="84">
        <v>0.0</v>
      </c>
      <c r="AT787" s="84">
        <v>0.0</v>
      </c>
      <c r="AU787" s="84">
        <v>0.0</v>
      </c>
      <c r="AV787" s="84">
        <v>0.0</v>
      </c>
      <c r="AW787" s="84">
        <v>0.0</v>
      </c>
      <c r="AX787" s="84">
        <v>0.0</v>
      </c>
      <c r="AY787" s="84">
        <v>0.0</v>
      </c>
      <c r="AZ787" s="84">
        <v>0.0</v>
      </c>
    </row>
    <row r="788" ht="12.75" customHeight="1">
      <c r="A788" s="84">
        <v>786.0</v>
      </c>
      <c r="B788" s="84" t="s">
        <v>5996</v>
      </c>
      <c r="C788" s="84">
        <v>0.0</v>
      </c>
      <c r="D788" s="84" t="s">
        <v>4921</v>
      </c>
      <c r="E788" s="84">
        <v>0.0</v>
      </c>
      <c r="F788" s="84" t="s">
        <v>5172</v>
      </c>
      <c r="G788" s="84">
        <v>80.0</v>
      </c>
      <c r="H788" s="84">
        <v>100.0</v>
      </c>
      <c r="I788" s="84">
        <v>10.0</v>
      </c>
      <c r="J788" s="84"/>
      <c r="K788" s="84"/>
      <c r="L788" s="84"/>
      <c r="M788" s="84"/>
      <c r="N788" s="84">
        <v>0.0</v>
      </c>
      <c r="O788" s="84">
        <v>0.0</v>
      </c>
      <c r="P788" s="84">
        <v>0.0</v>
      </c>
      <c r="Q788" s="84"/>
      <c r="R788" s="84"/>
      <c r="S788" s="84"/>
      <c r="T788" s="84"/>
      <c r="U788" s="84">
        <v>438.0</v>
      </c>
      <c r="V788" s="84"/>
      <c r="W788" s="84"/>
      <c r="X788" s="84">
        <v>5.0</v>
      </c>
      <c r="Y788" s="84"/>
      <c r="Z788" s="84"/>
      <c r="AA788" s="84"/>
      <c r="AB788" s="84"/>
      <c r="AC788" s="84"/>
      <c r="AD788" s="84"/>
      <c r="AE788" s="84"/>
      <c r="AF788" s="84"/>
      <c r="AG788" s="84"/>
      <c r="AH788" s="84">
        <v>0.0</v>
      </c>
      <c r="AI788" s="84">
        <v>0.0</v>
      </c>
      <c r="AJ788" s="84">
        <v>0.0</v>
      </c>
      <c r="AK788" s="84">
        <v>1.0</v>
      </c>
      <c r="AL788" s="84">
        <v>0.0</v>
      </c>
      <c r="AM788" s="84">
        <v>0.0</v>
      </c>
      <c r="AN788" s="84">
        <v>1.0</v>
      </c>
      <c r="AO788" s="84">
        <v>0.0</v>
      </c>
      <c r="AP788" s="84">
        <v>1.0</v>
      </c>
      <c r="AQ788" s="84">
        <v>0.0</v>
      </c>
      <c r="AR788" s="84">
        <v>0.0</v>
      </c>
      <c r="AS788" s="84">
        <v>0.0</v>
      </c>
      <c r="AT788" s="84">
        <v>0.0</v>
      </c>
      <c r="AU788" s="84">
        <v>1.0</v>
      </c>
      <c r="AV788" s="84">
        <v>0.0</v>
      </c>
      <c r="AW788" s="84">
        <v>0.0</v>
      </c>
      <c r="AX788" s="84">
        <v>0.0</v>
      </c>
      <c r="AY788" s="84">
        <v>0.0</v>
      </c>
      <c r="AZ788" s="84">
        <v>0.0</v>
      </c>
    </row>
    <row r="789" ht="12.75" customHeight="1">
      <c r="A789" s="84">
        <v>787.0</v>
      </c>
      <c r="B789" s="84" t="s">
        <v>5997</v>
      </c>
      <c r="C789" s="84">
        <v>0.0</v>
      </c>
      <c r="D789" s="84" t="s">
        <v>4904</v>
      </c>
      <c r="E789" s="84">
        <v>6.0</v>
      </c>
      <c r="F789" s="84" t="s">
        <v>5172</v>
      </c>
      <c r="G789" s="84">
        <v>80.0</v>
      </c>
      <c r="H789" s="84">
        <v>100.0</v>
      </c>
      <c r="I789" s="84">
        <v>10.0</v>
      </c>
      <c r="J789" s="84"/>
      <c r="K789" s="84"/>
      <c r="L789" s="84"/>
      <c r="M789" s="84"/>
      <c r="N789" s="84">
        <v>0.0</v>
      </c>
      <c r="O789" s="84">
        <v>0.0</v>
      </c>
      <c r="P789" s="84">
        <v>0.0</v>
      </c>
      <c r="Q789" s="84"/>
      <c r="R789" s="84"/>
      <c r="S789" s="84"/>
      <c r="T789" s="84"/>
      <c r="U789" s="84">
        <v>439.0</v>
      </c>
      <c r="V789" s="84"/>
      <c r="W789" s="84"/>
      <c r="X789" s="84">
        <v>0.0</v>
      </c>
      <c r="Y789" s="84" t="s">
        <v>23</v>
      </c>
      <c r="Z789" s="84">
        <v>-1.0</v>
      </c>
      <c r="AA789" s="84">
        <v>100.0</v>
      </c>
      <c r="AB789" s="84"/>
      <c r="AC789" s="84"/>
      <c r="AD789" s="84"/>
      <c r="AE789" s="84"/>
      <c r="AF789" s="84"/>
      <c r="AG789" s="84"/>
      <c r="AH789" s="84">
        <v>0.0</v>
      </c>
      <c r="AI789" s="84">
        <v>0.0</v>
      </c>
      <c r="AJ789" s="84">
        <v>0.0</v>
      </c>
      <c r="AK789" s="84">
        <v>1.0</v>
      </c>
      <c r="AL789" s="84">
        <v>0.0</v>
      </c>
      <c r="AM789" s="84">
        <v>0.0</v>
      </c>
      <c r="AN789" s="84">
        <v>1.0</v>
      </c>
      <c r="AO789" s="84">
        <v>0.0</v>
      </c>
      <c r="AP789" s="84">
        <v>0.0</v>
      </c>
      <c r="AQ789" s="84">
        <v>0.0</v>
      </c>
      <c r="AR789" s="84">
        <v>0.0</v>
      </c>
      <c r="AS789" s="84">
        <v>0.0</v>
      </c>
      <c r="AT789" s="84">
        <v>0.0</v>
      </c>
      <c r="AU789" s="84">
        <v>0.0</v>
      </c>
      <c r="AV789" s="84">
        <v>0.0</v>
      </c>
      <c r="AW789" s="84">
        <v>0.0</v>
      </c>
      <c r="AX789" s="84">
        <v>0.0</v>
      </c>
      <c r="AY789" s="84">
        <v>0.0</v>
      </c>
      <c r="AZ789" s="84">
        <v>0.0</v>
      </c>
    </row>
    <row r="790" ht="12.75" customHeight="1">
      <c r="A790" s="84">
        <v>788.0</v>
      </c>
      <c r="B790" s="84" t="s">
        <v>5998</v>
      </c>
      <c r="C790" s="84">
        <v>0.0</v>
      </c>
      <c r="D790" s="84" t="s">
        <v>4904</v>
      </c>
      <c r="E790" s="84">
        <v>6.0</v>
      </c>
      <c r="F790" s="84" t="s">
        <v>5135</v>
      </c>
      <c r="G790" s="84">
        <v>80.0</v>
      </c>
      <c r="H790" s="84">
        <v>100.0</v>
      </c>
      <c r="I790" s="84">
        <v>10.0</v>
      </c>
      <c r="J790" s="84"/>
      <c r="K790" s="84"/>
      <c r="L790" s="84"/>
      <c r="M790" s="84"/>
      <c r="N790" s="84">
        <v>0.0</v>
      </c>
      <c r="O790" s="84">
        <v>0.0</v>
      </c>
      <c r="P790" s="84">
        <v>0.0</v>
      </c>
      <c r="Q790" s="84"/>
      <c r="R790" s="84"/>
      <c r="S790" s="84"/>
      <c r="T790" s="84"/>
      <c r="U790" s="84">
        <v>396.0</v>
      </c>
      <c r="V790" s="84"/>
      <c r="W790" s="84"/>
      <c r="X790" s="84">
        <v>0.0</v>
      </c>
      <c r="Y790" s="84" t="s">
        <v>21</v>
      </c>
      <c r="Z790" s="84">
        <v>-1.0</v>
      </c>
      <c r="AA790" s="84">
        <v>100.0</v>
      </c>
      <c r="AB790" s="84"/>
      <c r="AC790" s="84"/>
      <c r="AD790" s="84"/>
      <c r="AE790" s="84"/>
      <c r="AF790" s="84"/>
      <c r="AG790" s="84"/>
      <c r="AH790" s="84">
        <v>0.0</v>
      </c>
      <c r="AI790" s="84">
        <v>0.0</v>
      </c>
      <c r="AJ790" s="84">
        <v>0.0</v>
      </c>
      <c r="AK790" s="84">
        <v>1.0</v>
      </c>
      <c r="AL790" s="84">
        <v>0.0</v>
      </c>
      <c r="AM790" s="84">
        <v>0.0</v>
      </c>
      <c r="AN790" s="84">
        <v>1.0</v>
      </c>
      <c r="AO790" s="84">
        <v>0.0</v>
      </c>
      <c r="AP790" s="84">
        <v>0.0</v>
      </c>
      <c r="AQ790" s="84">
        <v>0.0</v>
      </c>
      <c r="AR790" s="84">
        <v>0.0</v>
      </c>
      <c r="AS790" s="84">
        <v>0.0</v>
      </c>
      <c r="AT790" s="84">
        <v>0.0</v>
      </c>
      <c r="AU790" s="84">
        <v>0.0</v>
      </c>
      <c r="AV790" s="84">
        <v>0.0</v>
      </c>
      <c r="AW790" s="84">
        <v>0.0</v>
      </c>
      <c r="AX790" s="84">
        <v>0.0</v>
      </c>
      <c r="AY790" s="84">
        <v>0.0</v>
      </c>
      <c r="AZ790" s="84">
        <v>0.0</v>
      </c>
    </row>
    <row r="791" ht="12.75" customHeight="1">
      <c r="A791" s="84">
        <v>789.0</v>
      </c>
      <c r="B791" s="84" t="s">
        <v>5999</v>
      </c>
      <c r="C791" s="84">
        <v>0.0</v>
      </c>
      <c r="D791" s="84" t="s">
        <v>5072</v>
      </c>
      <c r="E791" s="84">
        <v>6.0</v>
      </c>
      <c r="F791" s="84" t="s">
        <v>5135</v>
      </c>
      <c r="G791" s="84">
        <v>75.0</v>
      </c>
      <c r="H791" s="84">
        <v>100.0</v>
      </c>
      <c r="I791" s="84">
        <v>15.0</v>
      </c>
      <c r="J791" s="84"/>
      <c r="K791" s="84"/>
      <c r="L791" s="84"/>
      <c r="M791" s="84"/>
      <c r="N791" s="84">
        <v>0.0</v>
      </c>
      <c r="O791" s="84">
        <v>0.0</v>
      </c>
      <c r="P791" s="84">
        <v>0.0</v>
      </c>
      <c r="Q791" s="84"/>
      <c r="R791" s="84"/>
      <c r="S791" s="84"/>
      <c r="T791" s="84"/>
      <c r="U791" s="84">
        <v>71.0</v>
      </c>
      <c r="V791" s="84"/>
      <c r="W791" s="84"/>
      <c r="X791" s="84">
        <v>0.0</v>
      </c>
      <c r="Y791" s="84" t="s">
        <v>22</v>
      </c>
      <c r="Z791" s="84">
        <v>-1.0</v>
      </c>
      <c r="AA791" s="84">
        <v>100.0</v>
      </c>
      <c r="AB791" s="84"/>
      <c r="AC791" s="84"/>
      <c r="AD791" s="84"/>
      <c r="AE791" s="84"/>
      <c r="AF791" s="84"/>
      <c r="AG791" s="84"/>
      <c r="AH791" s="84">
        <v>1.0</v>
      </c>
      <c r="AI791" s="84">
        <v>0.0</v>
      </c>
      <c r="AJ791" s="84">
        <v>0.0</v>
      </c>
      <c r="AK791" s="84">
        <v>1.0</v>
      </c>
      <c r="AL791" s="84">
        <v>0.0</v>
      </c>
      <c r="AM791" s="84">
        <v>0.0</v>
      </c>
      <c r="AN791" s="84">
        <v>1.0</v>
      </c>
      <c r="AO791" s="84">
        <v>0.0</v>
      </c>
      <c r="AP791" s="84">
        <v>0.0</v>
      </c>
      <c r="AQ791" s="84">
        <v>0.0</v>
      </c>
      <c r="AR791" s="84">
        <v>0.0</v>
      </c>
      <c r="AS791" s="84">
        <v>0.0</v>
      </c>
      <c r="AT791" s="84">
        <v>0.0</v>
      </c>
      <c r="AU791" s="84">
        <v>0.0</v>
      </c>
      <c r="AV791" s="84">
        <v>0.0</v>
      </c>
      <c r="AW791" s="84">
        <v>0.0</v>
      </c>
      <c r="AX791" s="84">
        <v>0.0</v>
      </c>
      <c r="AY791" s="84">
        <v>0.0</v>
      </c>
      <c r="AZ791" s="84">
        <v>0.0</v>
      </c>
    </row>
    <row r="792" ht="12.75" customHeight="1">
      <c r="A792" s="84">
        <v>790.0</v>
      </c>
      <c r="B792" s="84" t="s">
        <v>6000</v>
      </c>
      <c r="C792" s="84">
        <v>0.0</v>
      </c>
      <c r="D792" s="84" t="s">
        <v>5072</v>
      </c>
      <c r="E792" s="84">
        <v>4.0</v>
      </c>
      <c r="F792" s="84" t="s">
        <v>5172</v>
      </c>
      <c r="G792" s="84">
        <v>90.0</v>
      </c>
      <c r="H792" s="84">
        <v>95.0</v>
      </c>
      <c r="I792" s="84">
        <v>10.0</v>
      </c>
      <c r="J792" s="84"/>
      <c r="K792" s="84"/>
      <c r="L792" s="84"/>
      <c r="M792" s="84" t="s">
        <v>5395</v>
      </c>
      <c r="N792" s="84">
        <v>6.0</v>
      </c>
      <c r="O792" s="84">
        <v>20.0</v>
      </c>
      <c r="P792" s="84">
        <v>2.0</v>
      </c>
      <c r="Q792" s="84">
        <v>2.0</v>
      </c>
      <c r="R792" s="84">
        <v>5.0</v>
      </c>
      <c r="S792" s="84"/>
      <c r="T792" s="84"/>
      <c r="U792" s="84">
        <v>76.0</v>
      </c>
      <c r="V792" s="84"/>
      <c r="W792" s="84"/>
      <c r="X792" s="84">
        <v>0.0</v>
      </c>
      <c r="Y792" s="84"/>
      <c r="Z792" s="84"/>
      <c r="AA792" s="84"/>
      <c r="AB792" s="84"/>
      <c r="AC792" s="84"/>
      <c r="AD792" s="84"/>
      <c r="AE792" s="84"/>
      <c r="AF792" s="84"/>
      <c r="AG792" s="84"/>
      <c r="AH792" s="84">
        <v>0.0</v>
      </c>
      <c r="AI792" s="84">
        <v>0.0</v>
      </c>
      <c r="AJ792" s="84">
        <v>0.0</v>
      </c>
      <c r="AK792" s="84">
        <v>1.0</v>
      </c>
      <c r="AL792" s="84">
        <v>0.0</v>
      </c>
      <c r="AM792" s="84">
        <v>0.0</v>
      </c>
      <c r="AN792" s="84">
        <v>1.0</v>
      </c>
      <c r="AO792" s="84">
        <v>0.0</v>
      </c>
      <c r="AP792" s="84">
        <v>0.0</v>
      </c>
      <c r="AQ792" s="84">
        <v>0.0</v>
      </c>
      <c r="AR792" s="84">
        <v>0.0</v>
      </c>
      <c r="AS792" s="84">
        <v>0.0</v>
      </c>
      <c r="AT792" s="84">
        <v>0.0</v>
      </c>
      <c r="AU792" s="84">
        <v>0.0</v>
      </c>
      <c r="AV792" s="84">
        <v>0.0</v>
      </c>
      <c r="AW792" s="84">
        <v>0.0</v>
      </c>
      <c r="AX792" s="84">
        <v>0.0</v>
      </c>
      <c r="AY792" s="84">
        <v>0.0</v>
      </c>
      <c r="AZ792" s="84">
        <v>0.0</v>
      </c>
    </row>
    <row r="793" ht="12.75" customHeight="1">
      <c r="A793" s="84">
        <v>791.0</v>
      </c>
      <c r="B793" s="84" t="s">
        <v>6001</v>
      </c>
      <c r="C793" s="84">
        <v>1.0</v>
      </c>
      <c r="D793" s="84" t="s">
        <v>4908</v>
      </c>
      <c r="E793" s="84">
        <v>3.0</v>
      </c>
      <c r="F793" s="84" t="s">
        <v>5131</v>
      </c>
      <c r="G793" s="84">
        <v>0.0</v>
      </c>
      <c r="H793" s="84">
        <v>101.0</v>
      </c>
      <c r="I793" s="84">
        <v>10.0</v>
      </c>
      <c r="N793" s="84">
        <v>0.0</v>
      </c>
      <c r="O793" s="84">
        <v>0.0</v>
      </c>
      <c r="P793" s="84">
        <v>0.0</v>
      </c>
      <c r="U793" s="84">
        <v>440.0</v>
      </c>
      <c r="W793" s="84">
        <v>25.0</v>
      </c>
      <c r="X793" s="84">
        <v>6.0</v>
      </c>
      <c r="AH793" s="84">
        <v>0.0</v>
      </c>
      <c r="AI793" s="84">
        <v>0.0</v>
      </c>
      <c r="AJ793" s="84">
        <v>0.0</v>
      </c>
      <c r="AK793" s="84">
        <v>0.0</v>
      </c>
      <c r="AL793" s="84">
        <v>0.0</v>
      </c>
      <c r="AM793" s="84">
        <v>1.0</v>
      </c>
      <c r="AN793" s="84">
        <v>0.0</v>
      </c>
      <c r="AO793" s="84">
        <v>0.0</v>
      </c>
      <c r="AP793" s="84">
        <v>0.0</v>
      </c>
      <c r="AQ793" s="84">
        <v>0.0</v>
      </c>
      <c r="AR793" s="84">
        <v>0.0</v>
      </c>
      <c r="AS793" s="84">
        <v>0.0</v>
      </c>
      <c r="AT793" s="84">
        <v>1.0</v>
      </c>
      <c r="AU793" s="84">
        <v>1.0</v>
      </c>
      <c r="AV793" s="84">
        <v>0.0</v>
      </c>
      <c r="AW793" s="84">
        <v>0.0</v>
      </c>
      <c r="AX793" s="84">
        <v>0.0</v>
      </c>
      <c r="AY793" s="84">
        <v>0.0</v>
      </c>
      <c r="AZ793" s="84">
        <v>15.0</v>
      </c>
    </row>
    <row r="794" ht="12.75" customHeight="1">
      <c r="A794" s="84">
        <v>792.0</v>
      </c>
      <c r="B794" s="84" t="s">
        <v>2540</v>
      </c>
      <c r="C794" s="84">
        <v>0.0</v>
      </c>
      <c r="D794" s="84" t="s">
        <v>4972</v>
      </c>
      <c r="E794" s="84">
        <v>13.0</v>
      </c>
      <c r="F794" s="84" t="s">
        <v>5131</v>
      </c>
      <c r="G794" s="84">
        <v>0.0</v>
      </c>
      <c r="H794" s="84">
        <v>100.0</v>
      </c>
      <c r="I794" s="84">
        <v>10.0</v>
      </c>
      <c r="J794" s="84">
        <v>4.0</v>
      </c>
      <c r="K794" s="84"/>
      <c r="L794" s="84"/>
      <c r="M794" s="84"/>
      <c r="N794" s="84">
        <v>0.0</v>
      </c>
      <c r="O794" s="84">
        <v>0.0</v>
      </c>
      <c r="P794" s="84">
        <v>0.0</v>
      </c>
      <c r="Q794" s="84"/>
      <c r="R794" s="84"/>
      <c r="S794" s="84"/>
      <c r="T794" s="84"/>
      <c r="U794" s="84">
        <v>441.0</v>
      </c>
      <c r="V794" s="84"/>
      <c r="W794" s="84"/>
      <c r="X794" s="84">
        <v>7.0</v>
      </c>
      <c r="Y794" s="84"/>
      <c r="Z794" s="84"/>
      <c r="AA794" s="84"/>
      <c r="AB794" s="84"/>
      <c r="AC794" s="84"/>
      <c r="AD794" s="84"/>
      <c r="AE794" s="84"/>
      <c r="AF794" s="84"/>
      <c r="AG794" s="84"/>
      <c r="AH794" s="84">
        <v>0.0</v>
      </c>
      <c r="AI794" s="84">
        <v>0.0</v>
      </c>
      <c r="AJ794" s="84">
        <v>0.0</v>
      </c>
      <c r="AK794" s="84">
        <v>0.0</v>
      </c>
      <c r="AL794" s="84">
        <v>0.0</v>
      </c>
      <c r="AM794" s="84">
        <v>0.0</v>
      </c>
      <c r="AN794" s="84">
        <v>0.0</v>
      </c>
      <c r="AO794" s="84">
        <v>0.0</v>
      </c>
      <c r="AP794" s="84">
        <v>0.0</v>
      </c>
      <c r="AQ794" s="84">
        <v>0.0</v>
      </c>
      <c r="AR794" s="84">
        <v>0.0</v>
      </c>
      <c r="AS794" s="84">
        <v>0.0</v>
      </c>
      <c r="AT794" s="84">
        <v>0.0</v>
      </c>
      <c r="AU794" s="84">
        <v>0.0</v>
      </c>
      <c r="AV794" s="84">
        <v>0.0</v>
      </c>
      <c r="AW794" s="84">
        <v>0.0</v>
      </c>
      <c r="AX794" s="84">
        <v>0.0</v>
      </c>
      <c r="AY794" s="84">
        <v>0.0</v>
      </c>
      <c r="AZ794" s="84">
        <v>0.0</v>
      </c>
    </row>
    <row r="795" ht="12.75" customHeight="1">
      <c r="A795" s="84">
        <v>793.0</v>
      </c>
      <c r="B795" s="84" t="s">
        <v>6002</v>
      </c>
      <c r="C795" s="84">
        <v>0.0</v>
      </c>
      <c r="D795" s="84" t="s">
        <v>4972</v>
      </c>
      <c r="E795" s="84">
        <v>0.0</v>
      </c>
      <c r="F795" s="84" t="s">
        <v>5135</v>
      </c>
      <c r="G795" s="84">
        <v>80.0</v>
      </c>
      <c r="H795" s="84">
        <v>101.0</v>
      </c>
      <c r="I795" s="84">
        <v>10.0</v>
      </c>
      <c r="J795" s="84"/>
      <c r="K795" s="84"/>
      <c r="L795" s="84"/>
      <c r="M795" s="84"/>
      <c r="N795" s="84">
        <v>0.0</v>
      </c>
      <c r="O795" s="84">
        <v>0.0</v>
      </c>
      <c r="P795" s="84">
        <v>0.0</v>
      </c>
      <c r="Q795" s="84"/>
      <c r="R795" s="84"/>
      <c r="S795" s="84"/>
      <c r="T795" s="84"/>
      <c r="U795" s="84">
        <v>17.0</v>
      </c>
      <c r="V795" s="84"/>
      <c r="W795" s="84"/>
      <c r="X795" s="84">
        <v>0.0</v>
      </c>
      <c r="Y795" s="84"/>
      <c r="Z795" s="84"/>
      <c r="AA795" s="84"/>
      <c r="AB795" s="84"/>
      <c r="AC795" s="84"/>
      <c r="AD795" s="84"/>
      <c r="AE795" s="84"/>
      <c r="AF795" s="84"/>
      <c r="AG795" s="84"/>
      <c r="AH795" s="84">
        <v>1.0</v>
      </c>
      <c r="AI795" s="84">
        <v>0.0</v>
      </c>
      <c r="AJ795" s="84">
        <v>0.0</v>
      </c>
      <c r="AK795" s="84">
        <v>1.0</v>
      </c>
      <c r="AL795" s="84">
        <v>0.0</v>
      </c>
      <c r="AM795" s="84">
        <v>0.0</v>
      </c>
      <c r="AN795" s="84">
        <v>1.0</v>
      </c>
      <c r="AO795" s="84">
        <v>0.0</v>
      </c>
      <c r="AP795" s="84">
        <v>0.0</v>
      </c>
      <c r="AQ795" s="84">
        <v>0.0</v>
      </c>
      <c r="AR795" s="84">
        <v>0.0</v>
      </c>
      <c r="AS795" s="84">
        <v>0.0</v>
      </c>
      <c r="AT795" s="84">
        <v>0.0</v>
      </c>
      <c r="AU795" s="84">
        <v>0.0</v>
      </c>
      <c r="AV795" s="84">
        <v>0.0</v>
      </c>
      <c r="AW795" s="84">
        <v>0.0</v>
      </c>
      <c r="AX795" s="84">
        <v>0.0</v>
      </c>
      <c r="AY795" s="84">
        <v>0.0</v>
      </c>
      <c r="AZ795" s="84">
        <v>0.0</v>
      </c>
    </row>
    <row r="796" ht="12.75" customHeight="1">
      <c r="A796" s="84">
        <v>794.0</v>
      </c>
      <c r="B796" s="84" t="s">
        <v>6003</v>
      </c>
      <c r="C796" s="84">
        <v>0.0</v>
      </c>
      <c r="D796" s="84" t="s">
        <v>4935</v>
      </c>
      <c r="E796" s="84">
        <v>0.0</v>
      </c>
      <c r="F796" s="84" t="s">
        <v>5135</v>
      </c>
      <c r="G796" s="84">
        <v>150.0</v>
      </c>
      <c r="H796" s="84">
        <v>100.0</v>
      </c>
      <c r="I796" s="84">
        <v>5.0</v>
      </c>
      <c r="J796" s="84"/>
      <c r="K796" s="84"/>
      <c r="L796" s="84"/>
      <c r="M796" s="84"/>
      <c r="N796" s="84">
        <v>0.0</v>
      </c>
      <c r="O796" s="84">
        <v>0.0</v>
      </c>
      <c r="P796" s="84">
        <v>0.0</v>
      </c>
      <c r="Q796" s="84"/>
      <c r="R796" s="84"/>
      <c r="S796" s="84"/>
      <c r="T796" s="84"/>
      <c r="U796" s="84">
        <v>80.0</v>
      </c>
      <c r="V796" s="84"/>
      <c r="W796" s="84"/>
      <c r="X796" s="84">
        <v>0.0</v>
      </c>
      <c r="Y796" s="84"/>
      <c r="Z796" s="84"/>
      <c r="AA796" s="84"/>
      <c r="AB796" s="84"/>
      <c r="AC796" s="84"/>
      <c r="AD796" s="84"/>
      <c r="AE796" s="84"/>
      <c r="AF796" s="84"/>
      <c r="AG796" s="84"/>
      <c r="AH796" s="84">
        <v>0.0</v>
      </c>
      <c r="AI796" s="84">
        <v>0.0</v>
      </c>
      <c r="AJ796" s="84">
        <v>1.0</v>
      </c>
      <c r="AK796" s="84">
        <v>1.0</v>
      </c>
      <c r="AL796" s="84">
        <v>0.0</v>
      </c>
      <c r="AM796" s="84">
        <v>0.0</v>
      </c>
      <c r="AN796" s="84">
        <v>1.0</v>
      </c>
      <c r="AO796" s="84">
        <v>0.0</v>
      </c>
      <c r="AP796" s="84">
        <v>0.0</v>
      </c>
      <c r="AQ796" s="84">
        <v>0.0</v>
      </c>
      <c r="AR796" s="84">
        <v>0.0</v>
      </c>
      <c r="AS796" s="84">
        <v>0.0</v>
      </c>
      <c r="AT796" s="84">
        <v>0.0</v>
      </c>
      <c r="AU796" s="84">
        <v>0.0</v>
      </c>
      <c r="AV796" s="84">
        <v>0.0</v>
      </c>
      <c r="AW796" s="84">
        <v>0.0</v>
      </c>
      <c r="AX796" s="84">
        <v>0.0</v>
      </c>
      <c r="AY796" s="84">
        <v>0.0</v>
      </c>
      <c r="AZ796" s="84">
        <v>0.0</v>
      </c>
    </row>
    <row r="797" ht="12.75" customHeight="1">
      <c r="A797" s="84">
        <v>795.0</v>
      </c>
      <c r="B797" s="84" t="s">
        <v>6004</v>
      </c>
      <c r="C797" s="84">
        <v>0.0</v>
      </c>
      <c r="D797" s="84" t="s">
        <v>4956</v>
      </c>
      <c r="E797" s="84">
        <v>0.0</v>
      </c>
      <c r="F797" s="84" t="s">
        <v>5172</v>
      </c>
      <c r="G797" s="84">
        <v>160.0</v>
      </c>
      <c r="H797" s="84">
        <v>90.0</v>
      </c>
      <c r="I797" s="84">
        <v>5.0</v>
      </c>
      <c r="J797" s="84"/>
      <c r="K797" s="84"/>
      <c r="L797" s="84"/>
      <c r="M797" s="84"/>
      <c r="N797" s="84">
        <v>0.0</v>
      </c>
      <c r="O797" s="84">
        <v>0.0</v>
      </c>
      <c r="P797" s="84">
        <v>0.0</v>
      </c>
      <c r="Q797" s="84"/>
      <c r="R797" s="84"/>
      <c r="S797" s="84"/>
      <c r="T797" s="84"/>
      <c r="U797" s="84">
        <v>80.0</v>
      </c>
      <c r="V797" s="84"/>
      <c r="W797" s="84"/>
      <c r="X797" s="84">
        <v>0.0</v>
      </c>
      <c r="Y797" s="84"/>
      <c r="Z797" s="84"/>
      <c r="AA797" s="84"/>
      <c r="AB797" s="84"/>
      <c r="AC797" s="84"/>
      <c r="AD797" s="84"/>
      <c r="AE797" s="84"/>
      <c r="AF797" s="84"/>
      <c r="AG797" s="84"/>
      <c r="AH797" s="84">
        <v>0.0</v>
      </c>
      <c r="AI797" s="84">
        <v>0.0</v>
      </c>
      <c r="AJ797" s="84">
        <v>1.0</v>
      </c>
      <c r="AK797" s="84">
        <v>1.0</v>
      </c>
      <c r="AL797" s="84">
        <v>0.0</v>
      </c>
      <c r="AM797" s="84">
        <v>0.0</v>
      </c>
      <c r="AN797" s="84">
        <v>1.0</v>
      </c>
      <c r="AO797" s="84">
        <v>0.0</v>
      </c>
      <c r="AP797" s="84">
        <v>0.0</v>
      </c>
      <c r="AQ797" s="84">
        <v>0.0</v>
      </c>
      <c r="AR797" s="84">
        <v>0.0</v>
      </c>
      <c r="AS797" s="84">
        <v>0.0</v>
      </c>
      <c r="AT797" s="84">
        <v>0.0</v>
      </c>
      <c r="AU797" s="84">
        <v>0.0</v>
      </c>
      <c r="AV797" s="84">
        <v>0.0</v>
      </c>
      <c r="AW797" s="84">
        <v>0.0</v>
      </c>
      <c r="AX797" s="84">
        <v>0.0</v>
      </c>
      <c r="AY797" s="84">
        <v>0.0</v>
      </c>
      <c r="AZ797" s="84">
        <v>0.0</v>
      </c>
    </row>
    <row r="798" ht="12.75" customHeight="1">
      <c r="A798" s="84">
        <v>796.0</v>
      </c>
      <c r="B798" s="84" t="s">
        <v>6005</v>
      </c>
      <c r="C798" s="84">
        <v>0.0</v>
      </c>
      <c r="D798" s="84" t="s">
        <v>4975</v>
      </c>
      <c r="E798" s="84">
        <v>0.0</v>
      </c>
      <c r="F798" s="84" t="s">
        <v>5172</v>
      </c>
      <c r="G798" s="84">
        <v>140.0</v>
      </c>
      <c r="H798" s="84">
        <v>95.0</v>
      </c>
      <c r="I798" s="84">
        <v>5.0</v>
      </c>
      <c r="J798" s="84"/>
      <c r="K798" s="84"/>
      <c r="L798" s="84"/>
      <c r="M798" s="84"/>
      <c r="N798" s="84">
        <v>0.0</v>
      </c>
      <c r="O798" s="84">
        <v>0.0</v>
      </c>
      <c r="P798" s="84">
        <v>0.0</v>
      </c>
      <c r="Q798" s="84"/>
      <c r="R798" s="84"/>
      <c r="S798" s="84"/>
      <c r="T798" s="84"/>
      <c r="U798" s="84">
        <v>419.0</v>
      </c>
      <c r="V798" s="84"/>
      <c r="W798" s="84"/>
      <c r="X798" s="84">
        <v>0.0</v>
      </c>
      <c r="Y798" s="84"/>
      <c r="Z798" s="84"/>
      <c r="AA798" s="84"/>
      <c r="AB798" s="84"/>
      <c r="AC798" s="84"/>
      <c r="AD798" s="84"/>
      <c r="AE798" s="84"/>
      <c r="AF798" s="84"/>
      <c r="AG798" s="84"/>
      <c r="AH798" s="84">
        <v>0.0</v>
      </c>
      <c r="AI798" s="84">
        <v>0.0</v>
      </c>
      <c r="AJ798" s="84">
        <v>0.0</v>
      </c>
      <c r="AK798" s="84">
        <v>1.0</v>
      </c>
      <c r="AL798" s="84">
        <v>0.0</v>
      </c>
      <c r="AM798" s="84">
        <v>0.0</v>
      </c>
      <c r="AN798" s="84">
        <v>1.0</v>
      </c>
      <c r="AO798" s="84">
        <v>0.0</v>
      </c>
      <c r="AP798" s="84">
        <v>0.0</v>
      </c>
      <c r="AQ798" s="84">
        <v>0.0</v>
      </c>
      <c r="AR798" s="84">
        <v>0.0</v>
      </c>
      <c r="AS798" s="84">
        <v>0.0</v>
      </c>
      <c r="AT798" s="84">
        <v>0.0</v>
      </c>
      <c r="AU798" s="84">
        <v>0.0</v>
      </c>
      <c r="AV798" s="84">
        <v>0.0</v>
      </c>
      <c r="AW798" s="84">
        <v>0.0</v>
      </c>
      <c r="AX798" s="84">
        <v>0.0</v>
      </c>
      <c r="AY798" s="84">
        <v>0.0</v>
      </c>
      <c r="AZ798" s="84">
        <v>0.0</v>
      </c>
    </row>
    <row r="799" ht="12.75" customHeight="1">
      <c r="A799" s="84">
        <v>797.0</v>
      </c>
      <c r="B799" s="84" t="s">
        <v>6006</v>
      </c>
      <c r="C799" s="84">
        <v>0.0</v>
      </c>
      <c r="D799" s="84" t="s">
        <v>2659</v>
      </c>
      <c r="E799" s="84">
        <v>0.0</v>
      </c>
      <c r="F799" s="84" t="s">
        <v>5172</v>
      </c>
      <c r="G799" s="84">
        <v>80.0</v>
      </c>
      <c r="H799" s="84">
        <v>100.0</v>
      </c>
      <c r="I799" s="84">
        <v>10.0</v>
      </c>
      <c r="J799" s="84"/>
      <c r="K799" s="84"/>
      <c r="L799" s="84"/>
      <c r="M799" s="84"/>
      <c r="N799" s="84">
        <v>0.0</v>
      </c>
      <c r="O799" s="84">
        <v>0.0</v>
      </c>
      <c r="P799" s="84">
        <v>0.0</v>
      </c>
      <c r="Q799" s="84"/>
      <c r="R799" s="84"/>
      <c r="S799" s="84"/>
      <c r="T799" s="84"/>
      <c r="U799" s="84">
        <v>0.0</v>
      </c>
      <c r="V799" s="84"/>
      <c r="W799" s="84"/>
      <c r="X799" s="84">
        <v>0.0</v>
      </c>
      <c r="Y799" s="84"/>
      <c r="Z799" s="84"/>
      <c r="AA799" s="84"/>
      <c r="AB799" s="84"/>
      <c r="AC799" s="84"/>
      <c r="AD799" s="84"/>
      <c r="AE799" s="84"/>
      <c r="AF799" s="84"/>
      <c r="AG799" s="84"/>
      <c r="AH799" s="84">
        <v>0.0</v>
      </c>
      <c r="AI799" s="84">
        <v>0.0</v>
      </c>
      <c r="AJ799" s="84">
        <v>0.0</v>
      </c>
      <c r="AK799" s="84">
        <v>1.0</v>
      </c>
      <c r="AL799" s="84">
        <v>0.0</v>
      </c>
      <c r="AM799" s="84">
        <v>0.0</v>
      </c>
      <c r="AN799" s="84">
        <v>1.0</v>
      </c>
      <c r="AO799" s="84">
        <v>0.0</v>
      </c>
      <c r="AP799" s="84">
        <v>0.0</v>
      </c>
      <c r="AQ799" s="84">
        <v>0.0</v>
      </c>
      <c r="AR799" s="84">
        <v>0.0</v>
      </c>
      <c r="AS799" s="84">
        <v>0.0</v>
      </c>
      <c r="AT799" s="84">
        <v>0.0</v>
      </c>
      <c r="AU799" s="84">
        <v>0.0</v>
      </c>
      <c r="AV799" s="84">
        <v>0.0</v>
      </c>
      <c r="AW799" s="84">
        <v>0.0</v>
      </c>
      <c r="AX799" s="84">
        <v>0.0</v>
      </c>
      <c r="AY799" s="84">
        <v>1.0</v>
      </c>
      <c r="AZ799" s="84">
        <v>0.0</v>
      </c>
    </row>
    <row r="800" ht="12.75" customHeight="1">
      <c r="A800" s="84">
        <v>798.0</v>
      </c>
      <c r="B800" s="84" t="s">
        <v>6007</v>
      </c>
      <c r="C800" s="84">
        <v>0.0</v>
      </c>
      <c r="D800" s="84" t="s">
        <v>4975</v>
      </c>
      <c r="E800" s="84">
        <v>0.0</v>
      </c>
      <c r="F800" s="84" t="s">
        <v>5135</v>
      </c>
      <c r="G800" s="84">
        <v>130.0</v>
      </c>
      <c r="H800" s="84">
        <v>100.0</v>
      </c>
      <c r="I800" s="84">
        <v>5.0</v>
      </c>
      <c r="J800" s="84"/>
      <c r="K800" s="84"/>
      <c r="L800" s="84"/>
      <c r="M800" s="84"/>
      <c r="N800" s="84">
        <v>0.0</v>
      </c>
      <c r="O800" s="84">
        <v>0.0</v>
      </c>
      <c r="P800" s="84">
        <v>0.0</v>
      </c>
      <c r="Q800" s="84"/>
      <c r="R800" s="84"/>
      <c r="S800" s="84"/>
      <c r="T800" s="84"/>
      <c r="U800" s="84">
        <v>0.0</v>
      </c>
      <c r="V800" s="84"/>
      <c r="W800" s="84"/>
      <c r="X800" s="84">
        <v>0.0</v>
      </c>
      <c r="Y800" s="84"/>
      <c r="Z800" s="84"/>
      <c r="AA800" s="84"/>
      <c r="AB800" s="84"/>
      <c r="AC800" s="84"/>
      <c r="AD800" s="84"/>
      <c r="AE800" s="84"/>
      <c r="AF800" s="84"/>
      <c r="AG800" s="84"/>
      <c r="AH800" s="84">
        <v>1.0</v>
      </c>
      <c r="AI800" s="84">
        <v>0.0</v>
      </c>
      <c r="AJ800" s="84">
        <v>0.0</v>
      </c>
      <c r="AK800" s="84">
        <v>1.0</v>
      </c>
      <c r="AL800" s="84">
        <v>0.0</v>
      </c>
      <c r="AM800" s="84">
        <v>0.0</v>
      </c>
      <c r="AN800" s="84">
        <v>1.0</v>
      </c>
      <c r="AO800" s="84">
        <v>0.0</v>
      </c>
      <c r="AP800" s="84">
        <v>0.0</v>
      </c>
      <c r="AQ800" s="84">
        <v>0.0</v>
      </c>
      <c r="AR800" s="84">
        <v>0.0</v>
      </c>
      <c r="AS800" s="84">
        <v>0.0</v>
      </c>
      <c r="AT800" s="84">
        <v>0.0</v>
      </c>
      <c r="AU800" s="84">
        <v>0.0</v>
      </c>
      <c r="AV800" s="84">
        <v>0.0</v>
      </c>
      <c r="AW800" s="84">
        <v>0.0</v>
      </c>
      <c r="AX800" s="84">
        <v>0.0</v>
      </c>
      <c r="AY800" s="84">
        <v>1.0</v>
      </c>
      <c r="AZ800" s="84">
        <v>0.0</v>
      </c>
    </row>
    <row r="801" ht="12.75" customHeight="1">
      <c r="A801" s="84">
        <v>799.0</v>
      </c>
      <c r="B801" s="84" t="s">
        <v>6008</v>
      </c>
      <c r="C801" s="84">
        <v>0.0</v>
      </c>
      <c r="D801" s="84" t="s">
        <v>4956</v>
      </c>
      <c r="E801" s="84">
        <v>0.0</v>
      </c>
      <c r="F801" s="84" t="s">
        <v>5135</v>
      </c>
      <c r="G801" s="84">
        <v>25.0</v>
      </c>
      <c r="H801" s="84">
        <v>90.0</v>
      </c>
      <c r="I801" s="84">
        <v>20.0</v>
      </c>
      <c r="J801" s="84"/>
      <c r="K801" s="84">
        <v>2.0</v>
      </c>
      <c r="L801" s="84">
        <v>5.0</v>
      </c>
      <c r="M801" s="84"/>
      <c r="N801" s="84">
        <v>0.0</v>
      </c>
      <c r="O801" s="84">
        <v>0.0</v>
      </c>
      <c r="P801" s="84">
        <v>0.0</v>
      </c>
      <c r="Q801" s="84"/>
      <c r="R801" s="84"/>
      <c r="S801" s="84"/>
      <c r="T801" s="84"/>
      <c r="U801" s="84">
        <v>0.0</v>
      </c>
      <c r="V801" s="84"/>
      <c r="W801" s="84"/>
      <c r="X801" s="84">
        <v>0.0</v>
      </c>
      <c r="Y801" s="84"/>
      <c r="Z801" s="84"/>
      <c r="AA801" s="84"/>
      <c r="AB801" s="84"/>
      <c r="AC801" s="84"/>
      <c r="AD801" s="84"/>
      <c r="AE801" s="84"/>
      <c r="AF801" s="84"/>
      <c r="AG801" s="84"/>
      <c r="AH801" s="84">
        <v>0.0</v>
      </c>
      <c r="AI801" s="84">
        <v>0.0</v>
      </c>
      <c r="AJ801" s="84">
        <v>0.0</v>
      </c>
      <c r="AK801" s="84">
        <v>1.0</v>
      </c>
      <c r="AL801" s="84">
        <v>0.0</v>
      </c>
      <c r="AM801" s="84">
        <v>0.0</v>
      </c>
      <c r="AN801" s="84">
        <v>1.0</v>
      </c>
      <c r="AO801" s="84">
        <v>0.0</v>
      </c>
      <c r="AP801" s="84">
        <v>0.0</v>
      </c>
      <c r="AQ801" s="84">
        <v>0.0</v>
      </c>
      <c r="AR801" s="84">
        <v>0.0</v>
      </c>
      <c r="AS801" s="84">
        <v>0.0</v>
      </c>
      <c r="AT801" s="84">
        <v>0.0</v>
      </c>
      <c r="AU801" s="84">
        <v>0.0</v>
      </c>
      <c r="AV801" s="84">
        <v>0.0</v>
      </c>
      <c r="AW801" s="84">
        <v>0.0</v>
      </c>
      <c r="AX801" s="84">
        <v>0.0</v>
      </c>
      <c r="AY801" s="84">
        <v>1.0</v>
      </c>
      <c r="AZ801" s="84">
        <v>0.0</v>
      </c>
    </row>
    <row r="802" ht="12.75" customHeight="1">
      <c r="A802" s="84">
        <v>800.0</v>
      </c>
      <c r="B802" s="84" t="s">
        <v>6009</v>
      </c>
      <c r="C802" s="84">
        <v>0.0</v>
      </c>
      <c r="D802" s="84" t="s">
        <v>4940</v>
      </c>
      <c r="E802" s="84">
        <v>0.0</v>
      </c>
      <c r="F802" s="84" t="s">
        <v>5172</v>
      </c>
      <c r="G802" s="84">
        <v>120.0</v>
      </c>
      <c r="H802" s="84">
        <v>90.0</v>
      </c>
      <c r="I802" s="84">
        <v>10.0</v>
      </c>
      <c r="J802" s="84"/>
      <c r="K802" s="84"/>
      <c r="L802" s="84"/>
      <c r="M802" s="84"/>
      <c r="N802" s="84">
        <v>0.0</v>
      </c>
      <c r="O802" s="84">
        <v>100.0</v>
      </c>
      <c r="P802" s="84">
        <v>0.0</v>
      </c>
      <c r="Q802" s="84"/>
      <c r="R802" s="84"/>
      <c r="S802" s="84"/>
      <c r="T802" s="84"/>
      <c r="U802" s="84">
        <v>0.0</v>
      </c>
      <c r="V802" s="84"/>
      <c r="W802" s="84"/>
      <c r="X802" s="84">
        <v>0.0</v>
      </c>
      <c r="Y802" s="84"/>
      <c r="Z802" s="84"/>
      <c r="AA802" s="84"/>
      <c r="AB802" s="84"/>
      <c r="AC802" s="84"/>
      <c r="AD802" s="84"/>
      <c r="AE802" s="84"/>
      <c r="AF802" s="84"/>
      <c r="AG802" s="84"/>
      <c r="AH802" s="84">
        <v>0.0</v>
      </c>
      <c r="AI802" s="84">
        <v>1.0</v>
      </c>
      <c r="AJ802" s="84">
        <v>0.0</v>
      </c>
      <c r="AK802" s="84">
        <v>1.0</v>
      </c>
      <c r="AL802" s="84">
        <v>0.0</v>
      </c>
      <c r="AM802" s="84">
        <v>0.0</v>
      </c>
      <c r="AN802" s="84">
        <v>1.0</v>
      </c>
      <c r="AO802" s="84">
        <v>0.0</v>
      </c>
      <c r="AP802" s="84">
        <v>0.0</v>
      </c>
      <c r="AQ802" s="84">
        <v>0.0</v>
      </c>
      <c r="AR802" s="84">
        <v>0.0</v>
      </c>
      <c r="AS802" s="84">
        <v>0.0</v>
      </c>
      <c r="AT802" s="84">
        <v>0.0</v>
      </c>
      <c r="AU802" s="84">
        <v>0.0</v>
      </c>
      <c r="AV802" s="84">
        <v>0.0</v>
      </c>
      <c r="AW802" s="84">
        <v>0.0</v>
      </c>
      <c r="AX802" s="84">
        <v>0.0</v>
      </c>
      <c r="AY802" s="84">
        <v>1.0</v>
      </c>
      <c r="AZ802" s="84">
        <v>0.0</v>
      </c>
    </row>
    <row r="803" ht="12.75" customHeight="1">
      <c r="A803" s="84">
        <v>801.0</v>
      </c>
      <c r="B803" s="84" t="s">
        <v>6010</v>
      </c>
      <c r="C803" s="84">
        <v>0.0</v>
      </c>
      <c r="D803" s="84" t="s">
        <v>4905</v>
      </c>
      <c r="E803" s="84">
        <v>4.0</v>
      </c>
      <c r="F803" s="84" t="s">
        <v>5172</v>
      </c>
      <c r="G803" s="84">
        <v>90.0</v>
      </c>
      <c r="H803" s="84">
        <v>100.0</v>
      </c>
      <c r="I803" s="84">
        <v>10.0</v>
      </c>
      <c r="J803" s="84"/>
      <c r="K803" s="84"/>
      <c r="L803" s="84"/>
      <c r="M803" s="84" t="s">
        <v>5239</v>
      </c>
      <c r="N803" s="84">
        <v>5.0</v>
      </c>
      <c r="O803" s="84">
        <v>20.0</v>
      </c>
      <c r="P803" s="84">
        <v>1.0</v>
      </c>
      <c r="Q803" s="84"/>
      <c r="R803" s="84"/>
      <c r="S803" s="84"/>
      <c r="T803" s="84"/>
      <c r="U803" s="84">
        <v>0.0</v>
      </c>
      <c r="V803" s="84"/>
      <c r="W803" s="84"/>
      <c r="X803" s="84">
        <v>0.0</v>
      </c>
      <c r="Y803" s="84"/>
      <c r="Z803" s="84"/>
      <c r="AA803" s="84"/>
      <c r="AB803" s="84"/>
      <c r="AC803" s="84"/>
      <c r="AD803" s="84"/>
      <c r="AE803" s="84"/>
      <c r="AF803" s="84"/>
      <c r="AG803" s="84"/>
      <c r="AH803" s="84">
        <v>0.0</v>
      </c>
      <c r="AI803" s="84">
        <v>0.0</v>
      </c>
      <c r="AJ803" s="84">
        <v>0.0</v>
      </c>
      <c r="AK803" s="84">
        <v>1.0</v>
      </c>
      <c r="AL803" s="84">
        <v>0.0</v>
      </c>
      <c r="AM803" s="84">
        <v>0.0</v>
      </c>
      <c r="AN803" s="84">
        <v>1.0</v>
      </c>
      <c r="AO803" s="84">
        <v>0.0</v>
      </c>
      <c r="AP803" s="84">
        <v>0.0</v>
      </c>
      <c r="AQ803" s="84">
        <v>0.0</v>
      </c>
      <c r="AR803" s="84">
        <v>0.0</v>
      </c>
      <c r="AS803" s="84">
        <v>0.0</v>
      </c>
      <c r="AT803" s="84">
        <v>0.0</v>
      </c>
      <c r="AU803" s="84">
        <v>0.0</v>
      </c>
      <c r="AV803" s="84">
        <v>0.0</v>
      </c>
      <c r="AW803" s="84">
        <v>0.0</v>
      </c>
      <c r="AX803" s="84">
        <v>0.0</v>
      </c>
      <c r="AY803" s="84">
        <v>1.0</v>
      </c>
      <c r="AZ803" s="84">
        <v>0.0</v>
      </c>
    </row>
    <row r="804" ht="12.75" customHeight="1">
      <c r="A804" s="84">
        <v>802.0</v>
      </c>
      <c r="B804" s="84" t="s">
        <v>6011</v>
      </c>
      <c r="C804" s="84">
        <v>0.0</v>
      </c>
      <c r="D804" s="84" t="s">
        <v>5072</v>
      </c>
      <c r="E804" s="84">
        <v>0.0</v>
      </c>
      <c r="F804" s="84" t="s">
        <v>5172</v>
      </c>
      <c r="G804" s="84">
        <v>100.0</v>
      </c>
      <c r="H804" s="84">
        <v>100.0</v>
      </c>
      <c r="I804" s="84">
        <v>5.0</v>
      </c>
      <c r="J804" s="84"/>
      <c r="K804" s="84"/>
      <c r="L804" s="84"/>
      <c r="M804" s="84"/>
      <c r="N804" s="84">
        <v>0.0</v>
      </c>
      <c r="O804" s="84">
        <v>0.0</v>
      </c>
      <c r="P804" s="84">
        <v>0.0</v>
      </c>
      <c r="Q804" s="84"/>
      <c r="R804" s="84"/>
      <c r="S804" s="84"/>
      <c r="T804" s="84"/>
      <c r="U804" s="84">
        <v>0.0</v>
      </c>
      <c r="V804" s="84"/>
      <c r="W804" s="84"/>
      <c r="X804" s="84">
        <v>4.0</v>
      </c>
      <c r="Y804" s="84"/>
      <c r="Z804" s="84"/>
      <c r="AA804" s="84"/>
      <c r="AB804" s="84"/>
      <c r="AC804" s="84"/>
      <c r="AD804" s="84"/>
      <c r="AE804" s="84"/>
      <c r="AF804" s="84"/>
      <c r="AG804" s="84"/>
      <c r="AH804" s="84">
        <v>0.0</v>
      </c>
      <c r="AI804" s="84">
        <v>0.0</v>
      </c>
      <c r="AJ804" s="84">
        <v>0.0</v>
      </c>
      <c r="AK804" s="84">
        <v>1.0</v>
      </c>
      <c r="AL804" s="84">
        <v>0.0</v>
      </c>
      <c r="AM804" s="84">
        <v>0.0</v>
      </c>
      <c r="AN804" s="84">
        <v>1.0</v>
      </c>
      <c r="AO804" s="84">
        <v>0.0</v>
      </c>
      <c r="AP804" s="84">
        <v>0.0</v>
      </c>
      <c r="AQ804" s="84">
        <v>0.0</v>
      </c>
      <c r="AR804" s="84">
        <v>0.0</v>
      </c>
      <c r="AS804" s="84">
        <v>0.0</v>
      </c>
      <c r="AT804" s="84">
        <v>0.0</v>
      </c>
      <c r="AU804" s="84">
        <v>0.0</v>
      </c>
      <c r="AV804" s="84">
        <v>0.0</v>
      </c>
      <c r="AW804" s="84">
        <v>0.0</v>
      </c>
      <c r="AX804" s="84">
        <v>0.0</v>
      </c>
      <c r="AY804" s="84">
        <v>1.0</v>
      </c>
      <c r="AZ804" s="84">
        <v>0.0</v>
      </c>
    </row>
    <row r="805" ht="12.75" customHeight="1">
      <c r="A805" s="84">
        <v>803.0</v>
      </c>
      <c r="B805" s="84" t="s">
        <v>6012</v>
      </c>
      <c r="C805" s="84">
        <v>0.0</v>
      </c>
      <c r="D805" s="84" t="s">
        <v>4904</v>
      </c>
      <c r="E805" s="84">
        <v>0.0</v>
      </c>
      <c r="F805" s="84" t="s">
        <v>5135</v>
      </c>
      <c r="G805" s="84">
        <v>70.0</v>
      </c>
      <c r="H805" s="84">
        <v>100.0</v>
      </c>
      <c r="I805" s="84">
        <v>20.0</v>
      </c>
      <c r="J805" s="84"/>
      <c r="K805" s="84"/>
      <c r="L805" s="84"/>
      <c r="M805" s="84"/>
      <c r="N805" s="84">
        <v>0.0</v>
      </c>
      <c r="O805" s="84">
        <v>0.0</v>
      </c>
      <c r="P805" s="84">
        <v>0.0</v>
      </c>
      <c r="Q805" s="84"/>
      <c r="R805" s="84"/>
      <c r="S805" s="84"/>
      <c r="T805" s="84"/>
      <c r="U805" s="84">
        <v>0.0</v>
      </c>
      <c r="V805" s="84"/>
      <c r="W805" s="84"/>
      <c r="X805" s="84">
        <v>0.0</v>
      </c>
      <c r="Y805" s="84"/>
      <c r="Z805" s="84"/>
      <c r="AA805" s="84"/>
      <c r="AB805" s="84"/>
      <c r="AC805" s="84"/>
      <c r="AD805" s="84"/>
      <c r="AE805" s="84"/>
      <c r="AF805" s="84"/>
      <c r="AG805" s="84"/>
      <c r="AH805" s="84">
        <v>1.0</v>
      </c>
      <c r="AI805" s="84">
        <v>0.0</v>
      </c>
      <c r="AJ805" s="84">
        <v>0.0</v>
      </c>
      <c r="AK805" s="84">
        <v>1.0</v>
      </c>
      <c r="AL805" s="84">
        <v>0.0</v>
      </c>
      <c r="AM805" s="84">
        <v>0.0</v>
      </c>
      <c r="AN805" s="84">
        <v>1.0</v>
      </c>
      <c r="AO805" s="84">
        <v>0.0</v>
      </c>
      <c r="AP805" s="84">
        <v>0.0</v>
      </c>
      <c r="AQ805" s="84">
        <v>0.0</v>
      </c>
      <c r="AR805" s="84">
        <v>0.0</v>
      </c>
      <c r="AS805" s="84">
        <v>0.0</v>
      </c>
      <c r="AT805" s="84">
        <v>0.0</v>
      </c>
      <c r="AU805" s="84">
        <v>0.0</v>
      </c>
      <c r="AV805" s="84">
        <v>0.0</v>
      </c>
      <c r="AW805" s="84">
        <v>0.0</v>
      </c>
      <c r="AX805" s="84">
        <v>0.0</v>
      </c>
      <c r="AY805" s="84">
        <v>1.0</v>
      </c>
      <c r="AZ805" s="84">
        <v>0.0</v>
      </c>
    </row>
    <row r="806" ht="12.75" customHeight="1">
      <c r="A806" s="84">
        <v>804.0</v>
      </c>
      <c r="B806" s="84" t="s">
        <v>6013</v>
      </c>
      <c r="C806" s="84">
        <v>0.0</v>
      </c>
      <c r="D806" s="84" t="s">
        <v>4921</v>
      </c>
      <c r="E806" s="84">
        <v>0.0</v>
      </c>
      <c r="F806" s="84" t="s">
        <v>5172</v>
      </c>
      <c r="G806" s="84">
        <v>70.0</v>
      </c>
      <c r="H806" s="84">
        <v>100.0</v>
      </c>
      <c r="I806" s="84">
        <v>20.0</v>
      </c>
      <c r="J806" s="84"/>
      <c r="K806" s="84"/>
      <c r="L806" s="84"/>
      <c r="M806" s="84"/>
      <c r="N806" s="84">
        <v>0.0</v>
      </c>
      <c r="O806" s="84">
        <v>0.0</v>
      </c>
      <c r="P806" s="84">
        <v>0.0</v>
      </c>
      <c r="Q806" s="84"/>
      <c r="R806" s="84"/>
      <c r="S806" s="84"/>
      <c r="T806" s="84"/>
      <c r="U806" s="84">
        <v>0.0</v>
      </c>
      <c r="V806" s="84"/>
      <c r="W806" s="84"/>
      <c r="X806" s="84">
        <v>0.0</v>
      </c>
      <c r="Y806" s="84"/>
      <c r="Z806" s="84"/>
      <c r="AA806" s="84"/>
      <c r="AB806" s="84"/>
      <c r="AC806" s="84"/>
      <c r="AD806" s="84"/>
      <c r="AE806" s="84"/>
      <c r="AF806" s="84"/>
      <c r="AG806" s="84"/>
      <c r="AH806" s="84">
        <v>0.0</v>
      </c>
      <c r="AI806" s="84">
        <v>0.0</v>
      </c>
      <c r="AJ806" s="84">
        <v>0.0</v>
      </c>
      <c r="AK806" s="84">
        <v>1.0</v>
      </c>
      <c r="AL806" s="84">
        <v>0.0</v>
      </c>
      <c r="AM806" s="84">
        <v>0.0</v>
      </c>
      <c r="AN806" s="84">
        <v>1.0</v>
      </c>
      <c r="AO806" s="84">
        <v>0.0</v>
      </c>
      <c r="AP806" s="84">
        <v>0.0</v>
      </c>
      <c r="AQ806" s="84">
        <v>0.0</v>
      </c>
      <c r="AR806" s="84">
        <v>0.0</v>
      </c>
      <c r="AS806" s="84">
        <v>0.0</v>
      </c>
      <c r="AT806" s="84">
        <v>0.0</v>
      </c>
      <c r="AU806" s="84">
        <v>0.0</v>
      </c>
      <c r="AV806" s="84">
        <v>0.0</v>
      </c>
      <c r="AW806" s="84">
        <v>0.0</v>
      </c>
      <c r="AX806" s="84">
        <v>0.0</v>
      </c>
      <c r="AY806" s="84">
        <v>1.0</v>
      </c>
      <c r="AZ806" s="84">
        <v>0.0</v>
      </c>
    </row>
    <row r="807" ht="12.75" customHeight="1">
      <c r="A807" s="84">
        <v>805.0</v>
      </c>
      <c r="B807" s="84" t="s">
        <v>6014</v>
      </c>
      <c r="C807" s="84">
        <v>0.0</v>
      </c>
      <c r="D807" s="84" t="s">
        <v>4916</v>
      </c>
      <c r="E807" s="84">
        <v>0.0</v>
      </c>
      <c r="F807" s="84" t="s">
        <v>5172</v>
      </c>
      <c r="G807" s="84">
        <v>50.0</v>
      </c>
      <c r="H807" s="84">
        <v>100.0</v>
      </c>
      <c r="I807" s="84">
        <v>10.0</v>
      </c>
      <c r="J807" s="84"/>
      <c r="K807" s="84"/>
      <c r="L807" s="84"/>
      <c r="M807" s="84"/>
      <c r="N807" s="84">
        <v>0.0</v>
      </c>
      <c r="O807" s="84">
        <v>0.0</v>
      </c>
      <c r="P807" s="84">
        <v>0.0</v>
      </c>
      <c r="Q807" s="84"/>
      <c r="R807" s="84"/>
      <c r="S807" s="84"/>
      <c r="T807" s="84"/>
      <c r="U807" s="84">
        <v>0.0</v>
      </c>
      <c r="V807" s="84"/>
      <c r="W807" s="84"/>
      <c r="X807" s="84">
        <v>0.0</v>
      </c>
      <c r="Y807" s="84"/>
      <c r="Z807" s="84"/>
      <c r="AA807" s="84"/>
      <c r="AB807" s="84"/>
      <c r="AC807" s="84"/>
      <c r="AD807" s="84"/>
      <c r="AE807" s="84"/>
      <c r="AF807" s="84"/>
      <c r="AG807" s="84"/>
      <c r="AH807" s="84">
        <v>0.0</v>
      </c>
      <c r="AI807" s="84">
        <v>0.0</v>
      </c>
      <c r="AJ807" s="84">
        <v>0.0</v>
      </c>
      <c r="AK807" s="84">
        <v>1.0</v>
      </c>
      <c r="AL807" s="84">
        <v>0.0</v>
      </c>
      <c r="AM807" s="84">
        <v>0.0</v>
      </c>
      <c r="AN807" s="84">
        <v>1.0</v>
      </c>
      <c r="AO807" s="84">
        <v>0.0</v>
      </c>
      <c r="AP807" s="84">
        <v>0.0</v>
      </c>
      <c r="AQ807" s="84">
        <v>0.0</v>
      </c>
      <c r="AR807" s="84">
        <v>0.0</v>
      </c>
      <c r="AS807" s="84">
        <v>0.0</v>
      </c>
      <c r="AT807" s="84">
        <v>0.0</v>
      </c>
      <c r="AU807" s="84">
        <v>0.0</v>
      </c>
      <c r="AV807" s="84">
        <v>0.0</v>
      </c>
      <c r="AW807" s="84">
        <v>0.0</v>
      </c>
      <c r="AX807" s="84">
        <v>0.0</v>
      </c>
      <c r="AY807" s="84">
        <v>1.0</v>
      </c>
      <c r="AZ807" s="84">
        <v>0.0</v>
      </c>
    </row>
    <row r="808" ht="12.75" customHeight="1">
      <c r="A808" s="84">
        <v>806.0</v>
      </c>
      <c r="B808" s="84" t="s">
        <v>6015</v>
      </c>
      <c r="C808" s="84">
        <v>0.0</v>
      </c>
      <c r="D808" s="84" t="s">
        <v>4910</v>
      </c>
      <c r="E808" s="84">
        <v>6.0</v>
      </c>
      <c r="F808" s="84" t="s">
        <v>5135</v>
      </c>
      <c r="G808" s="84">
        <v>70.0</v>
      </c>
      <c r="H808" s="84">
        <v>90.0</v>
      </c>
      <c r="I808" s="84">
        <v>10.0</v>
      </c>
      <c r="J808" s="84"/>
      <c r="K808" s="84"/>
      <c r="L808" s="84"/>
      <c r="M808" s="84"/>
      <c r="N808" s="84">
        <v>0.0</v>
      </c>
      <c r="O808" s="84">
        <v>0.0</v>
      </c>
      <c r="P808" s="84">
        <v>0.0</v>
      </c>
      <c r="Q808" s="84"/>
      <c r="R808" s="84"/>
      <c r="S808" s="84"/>
      <c r="T808" s="84"/>
      <c r="U808" s="84">
        <v>0.0</v>
      </c>
      <c r="V808" s="84"/>
      <c r="W808" s="84"/>
      <c r="X808" s="84">
        <v>0.0</v>
      </c>
      <c r="Y808" s="84" t="s">
        <v>22</v>
      </c>
      <c r="Z808" s="84">
        <v>-1.0</v>
      </c>
      <c r="AA808" s="84">
        <v>100.0</v>
      </c>
      <c r="AB808" s="84"/>
      <c r="AC808" s="84"/>
      <c r="AD808" s="84"/>
      <c r="AE808" s="84"/>
      <c r="AF808" s="84"/>
      <c r="AG808" s="84"/>
      <c r="AH808" s="84">
        <v>1.0</v>
      </c>
      <c r="AI808" s="84">
        <v>0.0</v>
      </c>
      <c r="AJ808" s="84">
        <v>0.0</v>
      </c>
      <c r="AK808" s="84">
        <v>1.0</v>
      </c>
      <c r="AL808" s="84">
        <v>0.0</v>
      </c>
      <c r="AM808" s="84">
        <v>0.0</v>
      </c>
      <c r="AN808" s="84">
        <v>1.0</v>
      </c>
      <c r="AO808" s="84">
        <v>0.0</v>
      </c>
      <c r="AP808" s="84">
        <v>0.0</v>
      </c>
      <c r="AQ808" s="84">
        <v>0.0</v>
      </c>
      <c r="AR808" s="84">
        <v>0.0</v>
      </c>
      <c r="AS808" s="84">
        <v>0.0</v>
      </c>
      <c r="AT808" s="84">
        <v>0.0</v>
      </c>
      <c r="AU808" s="84">
        <v>0.0</v>
      </c>
      <c r="AV808" s="84">
        <v>0.0</v>
      </c>
      <c r="AW808" s="84">
        <v>0.0</v>
      </c>
      <c r="AX808" s="84">
        <v>0.0</v>
      </c>
      <c r="AY808" s="84">
        <v>1.0</v>
      </c>
      <c r="AZ808" s="84">
        <v>0.0</v>
      </c>
    </row>
    <row r="809" ht="12.75" customHeight="1">
      <c r="A809" s="84">
        <v>807.0</v>
      </c>
      <c r="B809" s="84" t="s">
        <v>6016</v>
      </c>
      <c r="C809" s="84">
        <v>0.0</v>
      </c>
      <c r="D809" s="84" t="s">
        <v>4906</v>
      </c>
      <c r="E809" s="84">
        <v>4.0</v>
      </c>
      <c r="F809" s="84" t="s">
        <v>5172</v>
      </c>
      <c r="G809" s="84">
        <v>70.0</v>
      </c>
      <c r="H809" s="84">
        <v>100.0</v>
      </c>
      <c r="I809" s="84">
        <v>5.0</v>
      </c>
      <c r="J809" s="84"/>
      <c r="K809" s="84"/>
      <c r="L809" s="84"/>
      <c r="M809" s="84" t="s">
        <v>5768</v>
      </c>
      <c r="N809" s="84">
        <v>4.0</v>
      </c>
      <c r="O809" s="84">
        <v>100.0</v>
      </c>
      <c r="P809" s="84">
        <v>1.0</v>
      </c>
      <c r="Q809" s="84"/>
      <c r="R809" s="84"/>
      <c r="S809" s="84"/>
      <c r="T809" s="84"/>
      <c r="U809" s="84">
        <v>0.0</v>
      </c>
      <c r="V809" s="84"/>
      <c r="W809" s="84"/>
      <c r="X809" s="84">
        <v>5.0</v>
      </c>
      <c r="Y809" s="84"/>
      <c r="Z809" s="84"/>
      <c r="AA809" s="84"/>
      <c r="AB809" s="84"/>
      <c r="AC809" s="84"/>
      <c r="AD809" s="84"/>
      <c r="AE809" s="84"/>
      <c r="AF809" s="84"/>
      <c r="AG809" s="84"/>
      <c r="AH809" s="84">
        <v>0.0</v>
      </c>
      <c r="AI809" s="84">
        <v>0.0</v>
      </c>
      <c r="AJ809" s="84">
        <v>0.0</v>
      </c>
      <c r="AK809" s="84">
        <v>1.0</v>
      </c>
      <c r="AL809" s="84">
        <v>0.0</v>
      </c>
      <c r="AM809" s="84">
        <v>0.0</v>
      </c>
      <c r="AN809" s="84">
        <v>1.0</v>
      </c>
      <c r="AO809" s="84">
        <v>0.0</v>
      </c>
      <c r="AP809" s="84">
        <v>0.0</v>
      </c>
      <c r="AQ809" s="84">
        <v>0.0</v>
      </c>
      <c r="AR809" s="84">
        <v>0.0</v>
      </c>
      <c r="AS809" s="84">
        <v>0.0</v>
      </c>
      <c r="AT809" s="84">
        <v>0.0</v>
      </c>
      <c r="AU809" s="84">
        <v>0.0</v>
      </c>
      <c r="AV809" s="84">
        <v>0.0</v>
      </c>
      <c r="AW809" s="84">
        <v>0.0</v>
      </c>
      <c r="AX809" s="84">
        <v>0.0</v>
      </c>
      <c r="AY809" s="84">
        <v>1.0</v>
      </c>
      <c r="AZ809" s="84">
        <v>0.0</v>
      </c>
    </row>
    <row r="810" ht="12.75" customHeight="1">
      <c r="A810" s="84">
        <v>808.0</v>
      </c>
      <c r="B810" s="84" t="s">
        <v>6017</v>
      </c>
      <c r="C810" s="84">
        <v>0.0</v>
      </c>
      <c r="D810" s="84" t="s">
        <v>4972</v>
      </c>
      <c r="E810" s="84">
        <v>0.0</v>
      </c>
      <c r="F810" s="84" t="s">
        <v>5135</v>
      </c>
      <c r="G810" s="84">
        <v>75.0</v>
      </c>
      <c r="H810" s="84">
        <v>100.0</v>
      </c>
      <c r="I810" s="84">
        <v>5.0</v>
      </c>
      <c r="J810" s="84"/>
      <c r="K810" s="84"/>
      <c r="L810" s="84"/>
      <c r="M810" s="84"/>
      <c r="N810" s="84">
        <v>0.0</v>
      </c>
      <c r="O810" s="84">
        <v>0.0</v>
      </c>
      <c r="P810" s="84">
        <v>0.0</v>
      </c>
      <c r="Q810" s="84"/>
      <c r="R810" s="84"/>
      <c r="S810" s="84"/>
      <c r="T810" s="84"/>
      <c r="U810" s="84">
        <v>0.0</v>
      </c>
      <c r="V810" s="84"/>
      <c r="W810" s="84"/>
      <c r="X810" s="84">
        <v>0.0</v>
      </c>
      <c r="Y810" s="84"/>
      <c r="Z810" s="84"/>
      <c r="AA810" s="84"/>
      <c r="AB810" s="84"/>
      <c r="AC810" s="84"/>
      <c r="AD810" s="84"/>
      <c r="AE810" s="84"/>
      <c r="AF810" s="84"/>
      <c r="AG810" s="84"/>
      <c r="AH810" s="84">
        <v>1.0</v>
      </c>
      <c r="AI810" s="84">
        <v>0.0</v>
      </c>
      <c r="AJ810" s="84">
        <v>0.0</v>
      </c>
      <c r="AK810" s="84">
        <v>1.0</v>
      </c>
      <c r="AL810" s="84">
        <v>0.0</v>
      </c>
      <c r="AM810" s="84">
        <v>0.0</v>
      </c>
      <c r="AN810" s="84">
        <v>1.0</v>
      </c>
      <c r="AO810" s="84">
        <v>0.0</v>
      </c>
      <c r="AP810" s="84">
        <v>0.0</v>
      </c>
      <c r="AQ810" s="84">
        <v>0.0</v>
      </c>
      <c r="AR810" s="84">
        <v>0.0</v>
      </c>
      <c r="AS810" s="84">
        <v>0.0</v>
      </c>
      <c r="AT810" s="84">
        <v>0.0</v>
      </c>
      <c r="AU810" s="84">
        <v>0.0</v>
      </c>
      <c r="AV810" s="84">
        <v>0.0</v>
      </c>
      <c r="AW810" s="84">
        <v>0.0</v>
      </c>
      <c r="AX810" s="84">
        <v>0.0</v>
      </c>
      <c r="AY810" s="84">
        <v>1.0</v>
      </c>
      <c r="AZ810" s="84">
        <v>0.0</v>
      </c>
    </row>
    <row r="811" ht="12.75" customHeight="1">
      <c r="A811" s="84">
        <v>809.0</v>
      </c>
      <c r="B811" s="84" t="s">
        <v>6018</v>
      </c>
      <c r="C811" s="84">
        <v>0.0</v>
      </c>
      <c r="D811" s="84" t="s">
        <v>4945</v>
      </c>
      <c r="E811" s="84">
        <v>0.0</v>
      </c>
      <c r="F811" s="84" t="s">
        <v>5135</v>
      </c>
      <c r="G811" s="84">
        <v>110.0</v>
      </c>
      <c r="H811" s="84">
        <v>90.0</v>
      </c>
      <c r="I811" s="84">
        <v>5.0</v>
      </c>
      <c r="J811" s="84"/>
      <c r="K811" s="84"/>
      <c r="L811" s="84"/>
      <c r="M811" s="84"/>
      <c r="N811" s="84">
        <v>0.0</v>
      </c>
      <c r="O811" s="84">
        <v>0.0</v>
      </c>
      <c r="P811" s="84">
        <v>0.0</v>
      </c>
      <c r="Q811" s="84"/>
      <c r="R811" s="84"/>
      <c r="S811" s="84"/>
      <c r="T811" s="84"/>
      <c r="U811" s="84">
        <v>0.0</v>
      </c>
      <c r="V811" s="84"/>
      <c r="W811" s="84"/>
      <c r="X811" s="84">
        <v>0.0</v>
      </c>
      <c r="Y811" s="84"/>
      <c r="Z811" s="84"/>
      <c r="AA811" s="84"/>
      <c r="AB811" s="84"/>
      <c r="AC811" s="84"/>
      <c r="AD811" s="84"/>
      <c r="AE811" s="84"/>
      <c r="AF811" s="84"/>
      <c r="AG811" s="84"/>
      <c r="AH811" s="84">
        <v>0.0</v>
      </c>
      <c r="AI811" s="84">
        <v>0.0</v>
      </c>
      <c r="AJ811" s="84">
        <v>0.0</v>
      </c>
      <c r="AK811" s="84">
        <v>1.0</v>
      </c>
      <c r="AL811" s="84">
        <v>0.0</v>
      </c>
      <c r="AM811" s="84">
        <v>0.0</v>
      </c>
      <c r="AN811" s="84">
        <v>1.0</v>
      </c>
      <c r="AO811" s="84">
        <v>0.0</v>
      </c>
      <c r="AP811" s="84">
        <v>0.0</v>
      </c>
      <c r="AQ811" s="84">
        <v>0.0</v>
      </c>
      <c r="AR811" s="84">
        <v>0.0</v>
      </c>
      <c r="AS811" s="84">
        <v>0.0</v>
      </c>
      <c r="AT811" s="84">
        <v>0.0</v>
      </c>
      <c r="AU811" s="84">
        <v>0.0</v>
      </c>
      <c r="AV811" s="84">
        <v>0.0</v>
      </c>
      <c r="AW811" s="84">
        <v>0.0</v>
      </c>
      <c r="AX811" s="84">
        <v>0.0</v>
      </c>
      <c r="AY811" s="84">
        <v>1.0</v>
      </c>
      <c r="AZ811" s="84">
        <v>0.0</v>
      </c>
    </row>
    <row r="812" ht="12.75" customHeight="1">
      <c r="A812" s="84">
        <v>810.0</v>
      </c>
      <c r="B812" s="84" t="s">
        <v>6019</v>
      </c>
      <c r="C812" s="84">
        <v>0.0</v>
      </c>
      <c r="D812" s="84" t="s">
        <v>4905</v>
      </c>
      <c r="E812" s="84">
        <v>13.0</v>
      </c>
      <c r="F812" s="84" t="s">
        <v>5131</v>
      </c>
      <c r="G812" s="84">
        <v>0.0</v>
      </c>
      <c r="H812" s="84">
        <v>100.0</v>
      </c>
      <c r="I812" s="84">
        <v>40.0</v>
      </c>
      <c r="J812" s="84"/>
      <c r="K812" s="84"/>
      <c r="L812" s="84"/>
      <c r="M812" s="84"/>
      <c r="N812" s="84">
        <v>0.0</v>
      </c>
      <c r="O812" s="84">
        <v>0.0</v>
      </c>
      <c r="P812" s="84">
        <v>0.0</v>
      </c>
      <c r="Q812" s="84"/>
      <c r="R812" s="84"/>
      <c r="S812" s="84"/>
      <c r="T812" s="84"/>
      <c r="U812" s="84">
        <v>0.0</v>
      </c>
      <c r="V812" s="84"/>
      <c r="W812" s="84"/>
      <c r="X812" s="84">
        <v>4.0</v>
      </c>
      <c r="Y812" s="84"/>
      <c r="Z812" s="84"/>
      <c r="AA812" s="84"/>
      <c r="AB812" s="84"/>
      <c r="AC812" s="84"/>
      <c r="AD812" s="84"/>
      <c r="AE812" s="84"/>
      <c r="AF812" s="84"/>
      <c r="AG812" s="84"/>
      <c r="AH812" s="84">
        <v>0.0</v>
      </c>
      <c r="AI812" s="84">
        <v>0.0</v>
      </c>
      <c r="AJ812" s="84">
        <v>0.0</v>
      </c>
      <c r="AK812" s="84">
        <v>1.0</v>
      </c>
      <c r="AL812" s="84">
        <v>1.0</v>
      </c>
      <c r="AM812" s="84">
        <v>0.0</v>
      </c>
      <c r="AN812" s="84">
        <v>1.0</v>
      </c>
      <c r="AO812" s="84">
        <v>0.0</v>
      </c>
      <c r="AP812" s="84">
        <v>0.0</v>
      </c>
      <c r="AQ812" s="84">
        <v>0.0</v>
      </c>
      <c r="AR812" s="84">
        <v>0.0</v>
      </c>
      <c r="AS812" s="84">
        <v>0.0</v>
      </c>
      <c r="AT812" s="84">
        <v>0.0</v>
      </c>
      <c r="AU812" s="84">
        <v>0.0</v>
      </c>
      <c r="AV812" s="84">
        <v>0.0</v>
      </c>
      <c r="AW812" s="84">
        <v>1.0</v>
      </c>
      <c r="AX812" s="84">
        <v>0.0</v>
      </c>
      <c r="AY812" s="84">
        <v>1.0</v>
      </c>
      <c r="AZ812" s="84">
        <v>0.0</v>
      </c>
    </row>
    <row r="813" ht="12.75" customHeight="1">
      <c r="A813" s="84">
        <v>811.0</v>
      </c>
      <c r="B813" s="84" t="s">
        <v>6020</v>
      </c>
      <c r="C813" s="84">
        <v>0.0</v>
      </c>
      <c r="D813" s="84" t="s">
        <v>4935</v>
      </c>
      <c r="E813" s="84">
        <v>2.0</v>
      </c>
      <c r="F813" s="84" t="s">
        <v>5131</v>
      </c>
      <c r="G813" s="84">
        <v>0.0</v>
      </c>
      <c r="H813" s="84">
        <v>101.0</v>
      </c>
      <c r="I813" s="84">
        <v>10.0</v>
      </c>
      <c r="J813" s="84"/>
      <c r="K813" s="84"/>
      <c r="L813" s="84"/>
      <c r="M813" s="84"/>
      <c r="N813" s="84">
        <v>0.0</v>
      </c>
      <c r="O813" s="84">
        <v>0.0</v>
      </c>
      <c r="P813" s="84">
        <v>0.0</v>
      </c>
      <c r="Q813" s="84"/>
      <c r="R813" s="84"/>
      <c r="S813" s="84"/>
      <c r="T813" s="84"/>
      <c r="U813" s="84">
        <v>0.0</v>
      </c>
      <c r="V813" s="84"/>
      <c r="W813" s="84"/>
      <c r="X813" s="84">
        <v>6.0</v>
      </c>
      <c r="Y813" s="84" t="s">
        <v>20</v>
      </c>
      <c r="Z813" s="84">
        <v>1.0</v>
      </c>
      <c r="AA813" s="84">
        <v>100.0</v>
      </c>
      <c r="AB813" s="84" t="s">
        <v>21</v>
      </c>
      <c r="AC813" s="84">
        <v>1.0</v>
      </c>
      <c r="AD813" s="84">
        <v>100.0</v>
      </c>
      <c r="AE813" s="84"/>
      <c r="AF813" s="84"/>
      <c r="AG813" s="84"/>
      <c r="AH813" s="84">
        <v>0.0</v>
      </c>
      <c r="AI813" s="84">
        <v>0.0</v>
      </c>
      <c r="AJ813" s="84">
        <v>0.0</v>
      </c>
      <c r="AK813" s="84">
        <v>0.0</v>
      </c>
      <c r="AL813" s="84">
        <v>0.0</v>
      </c>
      <c r="AM813" s="84">
        <v>0.0</v>
      </c>
      <c r="AN813" s="84">
        <v>0.0</v>
      </c>
      <c r="AO813" s="84">
        <v>0.0</v>
      </c>
      <c r="AP813" s="84">
        <v>0.0</v>
      </c>
      <c r="AQ813" s="84">
        <v>0.0</v>
      </c>
      <c r="AR813" s="84">
        <v>0.0</v>
      </c>
      <c r="AS813" s="84">
        <v>0.0</v>
      </c>
      <c r="AT813" s="84">
        <v>0.0</v>
      </c>
      <c r="AU813" s="84">
        <v>1.0</v>
      </c>
      <c r="AV813" s="84">
        <v>0.0</v>
      </c>
      <c r="AW813" s="84">
        <v>1.0</v>
      </c>
      <c r="AX813" s="84">
        <v>0.0</v>
      </c>
      <c r="AY813" s="84">
        <v>1.0</v>
      </c>
      <c r="AZ813" s="84">
        <v>0.0</v>
      </c>
    </row>
    <row r="814" ht="12.75" customHeight="1">
      <c r="A814" s="84">
        <v>812.0</v>
      </c>
      <c r="B814" s="84" t="s">
        <v>6021</v>
      </c>
      <c r="C814" s="84">
        <v>0.0</v>
      </c>
      <c r="D814" s="84" t="s">
        <v>4908</v>
      </c>
      <c r="E814" s="84">
        <v>0.0</v>
      </c>
      <c r="F814" s="84" t="s">
        <v>5135</v>
      </c>
      <c r="G814" s="84">
        <v>60.0</v>
      </c>
      <c r="H814" s="84">
        <v>100.0</v>
      </c>
      <c r="I814" s="84">
        <v>20.0</v>
      </c>
      <c r="J814" s="84"/>
      <c r="K814" s="84"/>
      <c r="L814" s="84"/>
      <c r="M814" s="84"/>
      <c r="N814" s="84">
        <v>0.0</v>
      </c>
      <c r="O814" s="84">
        <v>0.0</v>
      </c>
      <c r="P814" s="84">
        <v>0.0</v>
      </c>
      <c r="Q814" s="84"/>
      <c r="R814" s="84"/>
      <c r="S814" s="84"/>
      <c r="T814" s="84"/>
      <c r="U814" s="84">
        <v>0.0</v>
      </c>
      <c r="V814" s="84"/>
      <c r="W814" s="84"/>
      <c r="X814" s="84">
        <v>0.0</v>
      </c>
      <c r="Y814" s="84"/>
      <c r="Z814" s="84"/>
      <c r="AA814" s="84"/>
      <c r="AB814" s="84"/>
      <c r="AC814" s="84"/>
      <c r="AD814" s="84"/>
      <c r="AE814" s="84"/>
      <c r="AF814" s="84"/>
      <c r="AG814" s="84"/>
      <c r="AH814" s="84">
        <v>1.0</v>
      </c>
      <c r="AI814" s="84">
        <v>0.0</v>
      </c>
      <c r="AJ814" s="84">
        <v>0.0</v>
      </c>
      <c r="AK814" s="84">
        <v>1.0</v>
      </c>
      <c r="AL814" s="84">
        <v>0.0</v>
      </c>
      <c r="AM814" s="84">
        <v>0.0</v>
      </c>
      <c r="AN814" s="84">
        <v>1.0</v>
      </c>
      <c r="AO814" s="84">
        <v>0.0</v>
      </c>
      <c r="AP814" s="84">
        <v>0.0</v>
      </c>
      <c r="AQ814" s="84">
        <v>0.0</v>
      </c>
      <c r="AR814" s="84">
        <v>0.0</v>
      </c>
      <c r="AS814" s="84">
        <v>0.0</v>
      </c>
      <c r="AT814" s="84">
        <v>0.0</v>
      </c>
      <c r="AU814" s="84">
        <v>0.0</v>
      </c>
      <c r="AV814" s="84">
        <v>0.0</v>
      </c>
      <c r="AW814" s="84">
        <v>0.0</v>
      </c>
      <c r="AX814" s="84">
        <v>0.0</v>
      </c>
      <c r="AY814" s="84">
        <v>1.0</v>
      </c>
      <c r="AZ814" s="84">
        <v>0.0</v>
      </c>
    </row>
    <row r="815" ht="12.75" customHeight="1">
      <c r="A815" s="84">
        <v>813.0</v>
      </c>
      <c r="B815" s="84" t="s">
        <v>6022</v>
      </c>
      <c r="C815" s="84">
        <v>0.0</v>
      </c>
      <c r="D815" s="84" t="s">
        <v>4942</v>
      </c>
      <c r="E815" s="84">
        <v>0.0</v>
      </c>
      <c r="F815" s="84" t="s">
        <v>5135</v>
      </c>
      <c r="G815" s="84">
        <v>20.0</v>
      </c>
      <c r="H815" s="84">
        <v>90.0</v>
      </c>
      <c r="I815" s="84">
        <v>10.0</v>
      </c>
      <c r="J815" s="84"/>
      <c r="K815" s="84">
        <v>3.0</v>
      </c>
      <c r="L815" s="84">
        <v>3.0</v>
      </c>
      <c r="M815" s="84"/>
      <c r="N815" s="84">
        <v>0.0</v>
      </c>
      <c r="O815" s="84">
        <v>0.0</v>
      </c>
      <c r="P815" s="84">
        <v>0.0</v>
      </c>
      <c r="Q815" s="84"/>
      <c r="R815" s="84"/>
      <c r="S815" s="84"/>
      <c r="T815" s="84"/>
      <c r="U815" s="84">
        <v>0.0</v>
      </c>
      <c r="V815" s="84"/>
      <c r="W815" s="84"/>
      <c r="X815" s="84">
        <v>0.0</v>
      </c>
      <c r="Y815" s="84"/>
      <c r="Z815" s="84"/>
      <c r="AA815" s="84"/>
      <c r="AB815" s="84"/>
      <c r="AC815" s="84"/>
      <c r="AD815" s="84"/>
      <c r="AE815" s="84"/>
      <c r="AF815" s="84"/>
      <c r="AG815" s="84"/>
      <c r="AH815" s="84">
        <v>1.0</v>
      </c>
      <c r="AI815" s="84">
        <v>0.0</v>
      </c>
      <c r="AJ815" s="84">
        <v>0.0</v>
      </c>
      <c r="AK815" s="84">
        <v>1.0</v>
      </c>
      <c r="AL815" s="84">
        <v>0.0</v>
      </c>
      <c r="AM815" s="84">
        <v>0.0</v>
      </c>
      <c r="AN815" s="84">
        <v>1.0</v>
      </c>
      <c r="AO815" s="84">
        <v>0.0</v>
      </c>
      <c r="AP815" s="84">
        <v>0.0</v>
      </c>
      <c r="AQ815" s="84">
        <v>0.0</v>
      </c>
      <c r="AR815" s="84">
        <v>0.0</v>
      </c>
      <c r="AS815" s="84">
        <v>0.0</v>
      </c>
      <c r="AT815" s="84">
        <v>0.0</v>
      </c>
      <c r="AU815" s="84">
        <v>0.0</v>
      </c>
      <c r="AV815" s="84">
        <v>0.0</v>
      </c>
      <c r="AW815" s="84">
        <v>0.0</v>
      </c>
      <c r="AX815" s="84">
        <v>0.0</v>
      </c>
      <c r="AY815" s="84">
        <v>1.0</v>
      </c>
      <c r="AZ815" s="84">
        <v>0.0</v>
      </c>
    </row>
    <row r="816" ht="12.75" customHeight="1">
      <c r="A816" s="84">
        <v>814.0</v>
      </c>
      <c r="B816" s="84" t="s">
        <v>6023</v>
      </c>
      <c r="C816" s="84">
        <v>0.0</v>
      </c>
      <c r="D816" s="84" t="s">
        <v>4907</v>
      </c>
      <c r="E816" s="84">
        <v>0.0</v>
      </c>
      <c r="F816" s="84" t="s">
        <v>5135</v>
      </c>
      <c r="G816" s="84">
        <v>40.0</v>
      </c>
      <c r="H816" s="84">
        <v>90.0</v>
      </c>
      <c r="I816" s="84">
        <v>10.0</v>
      </c>
      <c r="J816" s="84"/>
      <c r="K816" s="84">
        <v>2.0</v>
      </c>
      <c r="L816" s="84">
        <v>2.0</v>
      </c>
      <c r="M816" s="84"/>
      <c r="N816" s="84">
        <v>0.0</v>
      </c>
      <c r="O816" s="84">
        <v>0.0</v>
      </c>
      <c r="P816" s="84">
        <v>0.0</v>
      </c>
      <c r="Q816" s="84"/>
      <c r="R816" s="84"/>
      <c r="S816" s="84"/>
      <c r="T816" s="84"/>
      <c r="U816" s="84">
        <v>0.0</v>
      </c>
      <c r="V816" s="84"/>
      <c r="W816" s="84"/>
      <c r="X816" s="84">
        <v>0.0</v>
      </c>
      <c r="Y816" s="84"/>
      <c r="Z816" s="84"/>
      <c r="AA816" s="84"/>
      <c r="AB816" s="84"/>
      <c r="AC816" s="84"/>
      <c r="AD816" s="84"/>
      <c r="AE816" s="84"/>
      <c r="AF816" s="84"/>
      <c r="AG816" s="84"/>
      <c r="AH816" s="84">
        <v>1.0</v>
      </c>
      <c r="AI816" s="84">
        <v>0.0</v>
      </c>
      <c r="AJ816" s="84">
        <v>0.0</v>
      </c>
      <c r="AK816" s="84">
        <v>1.0</v>
      </c>
      <c r="AL816" s="84">
        <v>0.0</v>
      </c>
      <c r="AM816" s="84">
        <v>0.0</v>
      </c>
      <c r="AN816" s="84">
        <v>1.0</v>
      </c>
      <c r="AO816" s="84">
        <v>0.0</v>
      </c>
      <c r="AP816" s="84">
        <v>0.0</v>
      </c>
      <c r="AQ816" s="84">
        <v>0.0</v>
      </c>
      <c r="AR816" s="84">
        <v>0.0</v>
      </c>
      <c r="AS816" s="84">
        <v>0.0</v>
      </c>
      <c r="AT816" s="84">
        <v>0.0</v>
      </c>
      <c r="AU816" s="84">
        <v>0.0</v>
      </c>
      <c r="AV816" s="84">
        <v>0.0</v>
      </c>
      <c r="AW816" s="84">
        <v>0.0</v>
      </c>
      <c r="AX816" s="84">
        <v>0.0</v>
      </c>
      <c r="AY816" s="84">
        <v>1.0</v>
      </c>
      <c r="AZ816" s="84">
        <v>0.0</v>
      </c>
    </row>
    <row r="817" ht="12.75" customHeight="1">
      <c r="A817" s="84">
        <v>815.0</v>
      </c>
      <c r="B817" s="84" t="s">
        <v>6024</v>
      </c>
      <c r="C817" s="84">
        <v>0.0</v>
      </c>
      <c r="D817" s="84" t="s">
        <v>4922</v>
      </c>
      <c r="E817" s="84">
        <v>4.0</v>
      </c>
      <c r="F817" s="84" t="s">
        <v>5172</v>
      </c>
      <c r="G817" s="84">
        <v>70.0</v>
      </c>
      <c r="H817" s="84">
        <v>100.0</v>
      </c>
      <c r="I817" s="84">
        <v>10.0</v>
      </c>
      <c r="J817" s="84"/>
      <c r="K817" s="84"/>
      <c r="L817" s="84"/>
      <c r="M817" s="84" t="s">
        <v>5724</v>
      </c>
      <c r="N817" s="84">
        <v>4.0</v>
      </c>
      <c r="O817" s="84">
        <v>30.0</v>
      </c>
      <c r="P817" s="84">
        <v>1.0</v>
      </c>
      <c r="Q817" s="84"/>
      <c r="R817" s="84"/>
      <c r="S817" s="84"/>
      <c r="T817" s="84"/>
      <c r="U817" s="84">
        <v>0.0</v>
      </c>
      <c r="V817" s="84"/>
      <c r="W817" s="84"/>
      <c r="X817" s="84">
        <v>0.0</v>
      </c>
      <c r="Y817" s="84"/>
      <c r="Z817" s="84"/>
      <c r="AA817" s="84"/>
      <c r="AB817" s="84"/>
      <c r="AC817" s="84"/>
      <c r="AD817" s="84"/>
      <c r="AE817" s="84"/>
      <c r="AF817" s="84"/>
      <c r="AG817" s="84"/>
      <c r="AH817" s="84">
        <v>0.0</v>
      </c>
      <c r="AI817" s="84">
        <v>0.0</v>
      </c>
      <c r="AJ817" s="84">
        <v>0.0</v>
      </c>
      <c r="AK817" s="84">
        <v>1.0</v>
      </c>
      <c r="AL817" s="84">
        <v>0.0</v>
      </c>
      <c r="AM817" s="84">
        <v>0.0</v>
      </c>
      <c r="AN817" s="84">
        <v>1.0</v>
      </c>
      <c r="AO817" s="84">
        <v>0.0</v>
      </c>
      <c r="AP817" s="84">
        <v>0.0</v>
      </c>
      <c r="AQ817" s="84">
        <v>0.0</v>
      </c>
      <c r="AR817" s="84">
        <v>1.0</v>
      </c>
      <c r="AS817" s="84">
        <v>0.0</v>
      </c>
      <c r="AT817" s="84">
        <v>0.0</v>
      </c>
      <c r="AU817" s="84">
        <v>0.0</v>
      </c>
      <c r="AV817" s="84">
        <v>0.0</v>
      </c>
      <c r="AW817" s="84">
        <v>0.0</v>
      </c>
      <c r="AX817" s="84">
        <v>0.0</v>
      </c>
      <c r="AY817" s="84">
        <v>1.0</v>
      </c>
      <c r="AZ817" s="84">
        <v>0.0</v>
      </c>
    </row>
    <row r="818" ht="12.75" customHeight="1">
      <c r="A818" s="84">
        <v>816.0</v>
      </c>
      <c r="B818" s="84" t="s">
        <v>6025</v>
      </c>
      <c r="C818" s="84">
        <v>0.0</v>
      </c>
      <c r="D818" s="84" t="s">
        <v>4904</v>
      </c>
      <c r="E818" s="84">
        <v>13.0</v>
      </c>
      <c r="F818" s="84" t="s">
        <v>5131</v>
      </c>
      <c r="G818" s="84">
        <v>0.0</v>
      </c>
      <c r="H818" s="84">
        <v>101.0</v>
      </c>
      <c r="I818" s="84">
        <v>10.0</v>
      </c>
      <c r="J818" s="84"/>
      <c r="K818" s="84"/>
      <c r="L818" s="84"/>
      <c r="M818" s="84"/>
      <c r="N818" s="84">
        <v>0.0</v>
      </c>
      <c r="O818" s="84">
        <v>0.0</v>
      </c>
      <c r="P818" s="84">
        <v>0.0</v>
      </c>
      <c r="Q818" s="84"/>
      <c r="R818" s="84"/>
      <c r="S818" s="84"/>
      <c r="T818" s="84"/>
      <c r="U818" s="84">
        <v>0.0</v>
      </c>
      <c r="V818" s="84"/>
      <c r="W818" s="84">
        <v>25.0</v>
      </c>
      <c r="X818" s="84">
        <v>6.0</v>
      </c>
      <c r="Y818" s="84"/>
      <c r="Z818" s="84"/>
      <c r="AA818" s="84"/>
      <c r="AB818" s="84"/>
      <c r="AC818" s="84"/>
      <c r="AD818" s="84"/>
      <c r="AE818" s="84"/>
      <c r="AF818" s="84"/>
      <c r="AG818" s="84"/>
      <c r="AH818" s="84">
        <v>0.0</v>
      </c>
      <c r="AI818" s="84">
        <v>0.0</v>
      </c>
      <c r="AJ818" s="84">
        <v>0.0</v>
      </c>
      <c r="AK818" s="84">
        <v>0.0</v>
      </c>
      <c r="AL818" s="84">
        <v>0.0</v>
      </c>
      <c r="AM818" s="84">
        <v>0.0</v>
      </c>
      <c r="AN818" s="84">
        <v>0.0</v>
      </c>
      <c r="AO818" s="84">
        <v>0.0</v>
      </c>
      <c r="AP818" s="84">
        <v>0.0</v>
      </c>
      <c r="AQ818" s="84">
        <v>0.0</v>
      </c>
      <c r="AR818" s="84">
        <v>0.0</v>
      </c>
      <c r="AS818" s="84">
        <v>0.0</v>
      </c>
      <c r="AT818" s="84">
        <v>1.0</v>
      </c>
      <c r="AU818" s="84">
        <v>1.0</v>
      </c>
      <c r="AV818" s="84">
        <v>0.0</v>
      </c>
      <c r="AW818" s="84">
        <v>1.0</v>
      </c>
      <c r="AX818" s="84">
        <v>0.0</v>
      </c>
      <c r="AY818" s="84">
        <v>0.0</v>
      </c>
      <c r="AZ818" s="84">
        <v>0.0</v>
      </c>
    </row>
    <row r="819" ht="12.75" customHeight="1">
      <c r="A819" s="84">
        <v>817.0</v>
      </c>
      <c r="B819" s="84" t="s">
        <v>6026</v>
      </c>
      <c r="C819" s="84">
        <v>0.0</v>
      </c>
      <c r="D819" s="84" t="s">
        <v>4972</v>
      </c>
      <c r="E819" s="84">
        <v>0.0</v>
      </c>
      <c r="F819" s="84" t="s">
        <v>5135</v>
      </c>
      <c r="G819" s="84">
        <v>80.0</v>
      </c>
      <c r="H819" s="84">
        <v>100.0</v>
      </c>
      <c r="I819" s="84">
        <v>5.0</v>
      </c>
      <c r="J819" s="84"/>
      <c r="K819" s="84"/>
      <c r="L819" s="84"/>
      <c r="M819" s="84"/>
      <c r="N819" s="84">
        <v>0.0</v>
      </c>
      <c r="O819" s="84">
        <v>0.0</v>
      </c>
      <c r="P819" s="84">
        <v>0.0</v>
      </c>
      <c r="Q819" s="84"/>
      <c r="R819" s="84"/>
      <c r="S819" s="84">
        <v>6.0</v>
      </c>
      <c r="T819" s="84"/>
      <c r="U819" s="84">
        <v>0.0</v>
      </c>
      <c r="V819" s="84"/>
      <c r="W819" s="84"/>
      <c r="X819" s="84">
        <v>0.0</v>
      </c>
      <c r="Y819" s="84"/>
      <c r="Z819" s="84"/>
      <c r="AA819" s="84"/>
      <c r="AB819" s="84"/>
      <c r="AC819" s="84"/>
      <c r="AD819" s="84"/>
      <c r="AE819" s="84"/>
      <c r="AF819" s="84"/>
      <c r="AG819" s="84"/>
      <c r="AH819" s="84">
        <v>1.0</v>
      </c>
      <c r="AI819" s="84">
        <v>0.0</v>
      </c>
      <c r="AJ819" s="84">
        <v>0.0</v>
      </c>
      <c r="AK819" s="84">
        <v>1.0</v>
      </c>
      <c r="AL819" s="84">
        <v>0.0</v>
      </c>
      <c r="AM819" s="84">
        <v>0.0</v>
      </c>
      <c r="AN819" s="84">
        <v>1.0</v>
      </c>
      <c r="AO819" s="84">
        <v>1.0</v>
      </c>
      <c r="AP819" s="84">
        <v>0.0</v>
      </c>
      <c r="AQ819" s="84">
        <v>0.0</v>
      </c>
      <c r="AR819" s="84">
        <v>0.0</v>
      </c>
      <c r="AS819" s="84">
        <v>0.0</v>
      </c>
      <c r="AT819" s="84">
        <v>0.0</v>
      </c>
      <c r="AU819" s="84">
        <v>0.0</v>
      </c>
      <c r="AV819" s="84">
        <v>0.0</v>
      </c>
      <c r="AW819" s="84">
        <v>0.0</v>
      </c>
      <c r="AX819" s="84">
        <v>0.0</v>
      </c>
      <c r="AY819" s="84">
        <v>0.0</v>
      </c>
      <c r="AZ819" s="84">
        <v>0.0</v>
      </c>
    </row>
    <row r="820" ht="12.75" customHeight="1">
      <c r="A820" s="84">
        <v>818.0</v>
      </c>
      <c r="B820" s="84" t="s">
        <v>6027</v>
      </c>
      <c r="C820" s="84">
        <v>0.0</v>
      </c>
      <c r="D820" s="84" t="s">
        <v>4908</v>
      </c>
      <c r="E820" s="84">
        <v>0.0</v>
      </c>
      <c r="F820" s="84" t="s">
        <v>5135</v>
      </c>
      <c r="G820" s="84">
        <v>25.0</v>
      </c>
      <c r="H820" s="84">
        <v>100.0</v>
      </c>
      <c r="I820" s="84">
        <v>5.0</v>
      </c>
      <c r="J820" s="84"/>
      <c r="K820" s="84">
        <v>3.0</v>
      </c>
      <c r="L820" s="84">
        <v>3.0</v>
      </c>
      <c r="M820" s="84"/>
      <c r="N820" s="84">
        <v>0.0</v>
      </c>
      <c r="O820" s="84">
        <v>0.0</v>
      </c>
      <c r="P820" s="84">
        <v>0.0</v>
      </c>
      <c r="Q820" s="84"/>
      <c r="R820" s="84"/>
      <c r="S820" s="84">
        <v>6.0</v>
      </c>
      <c r="T820" s="84"/>
      <c r="U820" s="84">
        <v>0.0</v>
      </c>
      <c r="V820" s="84"/>
      <c r="W820" s="84"/>
      <c r="X820" s="84">
        <v>0.0</v>
      </c>
      <c r="Y820" s="84"/>
      <c r="Z820" s="84"/>
      <c r="AA820" s="84"/>
      <c r="AB820" s="84"/>
      <c r="AC820" s="84"/>
      <c r="AD820" s="84"/>
      <c r="AE820" s="84"/>
      <c r="AF820" s="84"/>
      <c r="AG820" s="84"/>
      <c r="AH820" s="84">
        <v>1.0</v>
      </c>
      <c r="AI820" s="84">
        <v>0.0</v>
      </c>
      <c r="AJ820" s="84">
        <v>0.0</v>
      </c>
      <c r="AK820" s="84">
        <v>1.0</v>
      </c>
      <c r="AL820" s="84">
        <v>0.0</v>
      </c>
      <c r="AM820" s="84">
        <v>0.0</v>
      </c>
      <c r="AN820" s="84">
        <v>1.0</v>
      </c>
      <c r="AO820" s="84">
        <v>1.0</v>
      </c>
      <c r="AP820" s="84">
        <v>0.0</v>
      </c>
      <c r="AQ820" s="84">
        <v>0.0</v>
      </c>
      <c r="AR820" s="84">
        <v>0.0</v>
      </c>
      <c r="AS820" s="84">
        <v>0.0</v>
      </c>
      <c r="AT820" s="84">
        <v>0.0</v>
      </c>
      <c r="AU820" s="84">
        <v>0.0</v>
      </c>
      <c r="AV820" s="84">
        <v>0.0</v>
      </c>
      <c r="AW820" s="84">
        <v>0.0</v>
      </c>
      <c r="AX820" s="84">
        <v>0.0</v>
      </c>
      <c r="AY820" s="84">
        <v>0.0</v>
      </c>
      <c r="AZ820" s="84">
        <v>0.0</v>
      </c>
    </row>
    <row r="821" ht="12.75" customHeight="1">
      <c r="A821" s="84">
        <v>819.0</v>
      </c>
      <c r="B821" s="84" t="s">
        <v>6028</v>
      </c>
      <c r="C821" s="84">
        <v>0.0</v>
      </c>
      <c r="D821" s="84" t="s">
        <v>4921</v>
      </c>
      <c r="E821" s="84">
        <v>4.0</v>
      </c>
      <c r="F821" s="84" t="s">
        <v>5172</v>
      </c>
      <c r="G821" s="84">
        <v>80.0</v>
      </c>
      <c r="H821" s="84">
        <v>90.0</v>
      </c>
      <c r="I821" s="84">
        <v>15.0</v>
      </c>
      <c r="J821" s="84"/>
      <c r="K821" s="84"/>
      <c r="L821" s="84"/>
      <c r="M821" s="84" t="s">
        <v>5190</v>
      </c>
      <c r="N821" s="84">
        <v>8.0</v>
      </c>
      <c r="O821" s="84">
        <v>100.0</v>
      </c>
      <c r="P821" s="84">
        <v>4.0</v>
      </c>
      <c r="Q821" s="84">
        <v>5.0</v>
      </c>
      <c r="R821" s="84">
        <v>6.0</v>
      </c>
      <c r="S821" s="84"/>
      <c r="T821" s="84"/>
      <c r="U821" s="84">
        <v>0.0</v>
      </c>
      <c r="V821" s="84"/>
      <c r="W821" s="84"/>
      <c r="X821" s="84">
        <v>0.0</v>
      </c>
      <c r="Y821" s="84"/>
      <c r="Z821" s="84"/>
      <c r="AA821" s="84"/>
      <c r="AB821" s="84"/>
      <c r="AC821" s="84"/>
      <c r="AD821" s="84"/>
      <c r="AE821" s="84"/>
      <c r="AF821" s="84"/>
      <c r="AG821" s="84"/>
      <c r="AH821" s="84">
        <v>0.0</v>
      </c>
      <c r="AI821" s="84">
        <v>0.0</v>
      </c>
      <c r="AJ821" s="84">
        <v>0.0</v>
      </c>
      <c r="AK821" s="84">
        <v>1.0</v>
      </c>
      <c r="AL821" s="84">
        <v>0.0</v>
      </c>
      <c r="AM821" s="84">
        <v>0.0</v>
      </c>
      <c r="AN821" s="84">
        <v>1.0</v>
      </c>
      <c r="AO821" s="84">
        <v>0.0</v>
      </c>
      <c r="AP821" s="84">
        <v>0.0</v>
      </c>
      <c r="AQ821" s="84">
        <v>0.0</v>
      </c>
      <c r="AR821" s="84">
        <v>0.0</v>
      </c>
      <c r="AS821" s="84">
        <v>0.0</v>
      </c>
      <c r="AT821" s="84">
        <v>0.0</v>
      </c>
      <c r="AU821" s="84">
        <v>0.0</v>
      </c>
      <c r="AV821" s="84">
        <v>0.0</v>
      </c>
      <c r="AW821" s="84">
        <v>0.0</v>
      </c>
      <c r="AX821" s="84">
        <v>0.0</v>
      </c>
      <c r="AY821" s="84">
        <v>0.0</v>
      </c>
      <c r="AZ821" s="84">
        <v>0.0</v>
      </c>
    </row>
    <row r="822" ht="12.75" customHeight="1">
      <c r="A822" s="84">
        <v>820.0</v>
      </c>
      <c r="B822" s="84" t="s">
        <v>6029</v>
      </c>
      <c r="C822" s="84">
        <v>0.0</v>
      </c>
      <c r="D822" s="84" t="s">
        <v>4956</v>
      </c>
      <c r="E822" s="84">
        <v>0.0</v>
      </c>
      <c r="F822" s="84" t="s">
        <v>5172</v>
      </c>
      <c r="G822" s="84">
        <v>150.0</v>
      </c>
      <c r="H822" s="84">
        <v>100.0</v>
      </c>
      <c r="I822" s="84">
        <v>5.0</v>
      </c>
      <c r="J822" s="84"/>
      <c r="K822" s="84"/>
      <c r="L822" s="84"/>
      <c r="M822" s="84"/>
      <c r="N822" s="84">
        <v>0.0</v>
      </c>
      <c r="O822" s="84">
        <v>0.0</v>
      </c>
      <c r="P822" s="84">
        <v>0.0</v>
      </c>
      <c r="Q822" s="84"/>
      <c r="R822" s="84"/>
      <c r="S822" s="84"/>
      <c r="T822" s="84"/>
      <c r="U822" s="84">
        <v>0.0</v>
      </c>
      <c r="V822" s="84"/>
      <c r="W822" s="84"/>
      <c r="X822" s="84">
        <v>5.0</v>
      </c>
      <c r="Y822" s="84"/>
      <c r="Z822" s="84"/>
      <c r="AA822" s="84"/>
      <c r="AB822" s="84"/>
      <c r="AC822" s="84"/>
      <c r="AD822" s="84"/>
      <c r="AE822" s="84"/>
      <c r="AF822" s="84"/>
      <c r="AG822" s="84"/>
      <c r="AH822" s="84">
        <v>0.0</v>
      </c>
      <c r="AI822" s="84">
        <v>0.0</v>
      </c>
      <c r="AJ822" s="84">
        <v>0.0</v>
      </c>
      <c r="AK822" s="84">
        <v>1.0</v>
      </c>
      <c r="AL822" s="84">
        <v>0.0</v>
      </c>
      <c r="AM822" s="84">
        <v>0.0</v>
      </c>
      <c r="AN822" s="84">
        <v>1.0</v>
      </c>
      <c r="AO822" s="84">
        <v>0.0</v>
      </c>
      <c r="AP822" s="84">
        <v>0.0</v>
      </c>
      <c r="AQ822" s="84">
        <v>0.0</v>
      </c>
      <c r="AR822" s="84">
        <v>0.0</v>
      </c>
      <c r="AS822" s="84">
        <v>0.0</v>
      </c>
      <c r="AT822" s="84">
        <v>0.0</v>
      </c>
      <c r="AU822" s="84">
        <v>0.0</v>
      </c>
      <c r="AV822" s="84">
        <v>0.0</v>
      </c>
      <c r="AW822" s="84">
        <v>0.0</v>
      </c>
      <c r="AX822" s="84">
        <v>0.0</v>
      </c>
      <c r="AY822" s="84">
        <v>0.0</v>
      </c>
      <c r="AZ822" s="84">
        <v>0.0</v>
      </c>
    </row>
    <row r="823" ht="12.75" customHeight="1">
      <c r="A823" s="84">
        <v>821.0</v>
      </c>
      <c r="B823" s="84" t="s">
        <v>6030</v>
      </c>
      <c r="C823" s="84">
        <v>0.0</v>
      </c>
      <c r="D823" s="84" t="s">
        <v>2659</v>
      </c>
      <c r="E823" s="84">
        <v>4.0</v>
      </c>
      <c r="F823" s="84" t="s">
        <v>5172</v>
      </c>
      <c r="G823" s="84">
        <v>90.0</v>
      </c>
      <c r="H823" s="84">
        <v>100.0</v>
      </c>
      <c r="I823" s="84">
        <v>10.0</v>
      </c>
      <c r="J823" s="84"/>
      <c r="K823" s="84"/>
      <c r="L823" s="84"/>
      <c r="M823" s="84" t="s">
        <v>5155</v>
      </c>
      <c r="N823" s="84">
        <v>3.0</v>
      </c>
      <c r="O823" s="84">
        <v>10.0</v>
      </c>
      <c r="P823" s="84">
        <v>1.0</v>
      </c>
      <c r="Q823" s="84"/>
      <c r="R823" s="84"/>
      <c r="S823" s="84"/>
      <c r="T823" s="84"/>
      <c r="U823" s="84">
        <v>0.0</v>
      </c>
      <c r="V823" s="84"/>
      <c r="W823" s="84"/>
      <c r="X823" s="84">
        <v>0.0</v>
      </c>
      <c r="Y823" s="84"/>
      <c r="Z823" s="84"/>
      <c r="AA823" s="84"/>
      <c r="AB823" s="84"/>
      <c r="AC823" s="84"/>
      <c r="AD823" s="84"/>
      <c r="AE823" s="84"/>
      <c r="AF823" s="84"/>
      <c r="AG823" s="84"/>
      <c r="AH823" s="84">
        <v>0.0</v>
      </c>
      <c r="AI823" s="84">
        <v>0.0</v>
      </c>
      <c r="AJ823" s="84">
        <v>0.0</v>
      </c>
      <c r="AK823" s="84">
        <v>1.0</v>
      </c>
      <c r="AL823" s="84">
        <v>0.0</v>
      </c>
      <c r="AM823" s="84">
        <v>0.0</v>
      </c>
      <c r="AN823" s="84">
        <v>1.0</v>
      </c>
      <c r="AO823" s="84">
        <v>0.0</v>
      </c>
      <c r="AP823" s="84">
        <v>0.0</v>
      </c>
      <c r="AQ823" s="84">
        <v>0.0</v>
      </c>
      <c r="AR823" s="84">
        <v>0.0</v>
      </c>
      <c r="AS823" s="84">
        <v>0.0</v>
      </c>
      <c r="AT823" s="84">
        <v>0.0</v>
      </c>
      <c r="AU823" s="84">
        <v>0.0</v>
      </c>
      <c r="AV823" s="84">
        <v>0.0</v>
      </c>
      <c r="AW823" s="84">
        <v>0.0</v>
      </c>
      <c r="AX823" s="84">
        <v>0.0</v>
      </c>
      <c r="AY823" s="84">
        <v>0.0</v>
      </c>
      <c r="AZ823" s="84">
        <v>0.0</v>
      </c>
    </row>
    <row r="824" ht="12.75" customHeight="1">
      <c r="A824" s="84">
        <v>822.0</v>
      </c>
      <c r="B824" s="84" t="s">
        <v>6031</v>
      </c>
      <c r="C824" s="84">
        <v>0.0</v>
      </c>
      <c r="D824" s="84" t="s">
        <v>4972</v>
      </c>
      <c r="E824" s="84">
        <v>0.0</v>
      </c>
      <c r="F824" s="84" t="s">
        <v>5172</v>
      </c>
      <c r="G824" s="84">
        <v>90.0</v>
      </c>
      <c r="H824" s="84">
        <v>100.0</v>
      </c>
      <c r="I824" s="84">
        <v>10.0</v>
      </c>
      <c r="J824" s="84"/>
      <c r="K824" s="84"/>
      <c r="L824" s="84"/>
      <c r="M824" s="84"/>
      <c r="N824" s="84">
        <v>0.0</v>
      </c>
      <c r="O824" s="84">
        <v>0.0</v>
      </c>
      <c r="P824" s="84">
        <v>0.0</v>
      </c>
      <c r="Q824" s="84"/>
      <c r="R824" s="84"/>
      <c r="S824" s="84"/>
      <c r="T824" s="84">
        <v>20.0</v>
      </c>
      <c r="U824" s="84">
        <v>0.0</v>
      </c>
      <c r="V824" s="84"/>
      <c r="W824" s="84"/>
      <c r="X824" s="84">
        <v>5.0</v>
      </c>
      <c r="Y824" s="84"/>
      <c r="Z824" s="84"/>
      <c r="AA824" s="84"/>
      <c r="AB824" s="84"/>
      <c r="AC824" s="84"/>
      <c r="AD824" s="84"/>
      <c r="AE824" s="84"/>
      <c r="AF824" s="84"/>
      <c r="AG824" s="84"/>
      <c r="AH824" s="84">
        <v>0.0</v>
      </c>
      <c r="AI824" s="84">
        <v>0.0</v>
      </c>
      <c r="AJ824" s="84">
        <v>0.0</v>
      </c>
      <c r="AK824" s="84">
        <v>1.0</v>
      </c>
      <c r="AL824" s="84">
        <v>0.0</v>
      </c>
      <c r="AM824" s="84">
        <v>0.0</v>
      </c>
      <c r="AN824" s="84">
        <v>1.0</v>
      </c>
      <c r="AO824" s="84">
        <v>0.0</v>
      </c>
      <c r="AP824" s="84">
        <v>0.0</v>
      </c>
      <c r="AQ824" s="84">
        <v>0.0</v>
      </c>
      <c r="AR824" s="84">
        <v>0.0</v>
      </c>
      <c r="AS824" s="84">
        <v>0.0</v>
      </c>
      <c r="AT824" s="84">
        <v>0.0</v>
      </c>
      <c r="AU824" s="84">
        <v>0.0</v>
      </c>
      <c r="AV824" s="84">
        <v>0.0</v>
      </c>
      <c r="AW824" s="84">
        <v>0.0</v>
      </c>
      <c r="AX824" s="84">
        <v>0.0</v>
      </c>
      <c r="AY824" s="84">
        <v>0.0</v>
      </c>
      <c r="AZ824" s="84">
        <v>0.0</v>
      </c>
    </row>
    <row r="825" ht="12.75" customHeight="1">
      <c r="A825" s="84">
        <v>823.0</v>
      </c>
      <c r="B825" s="84" t="s">
        <v>6032</v>
      </c>
      <c r="C825" s="84">
        <v>0.0</v>
      </c>
      <c r="D825" s="84" t="s">
        <v>4935</v>
      </c>
      <c r="E825" s="84">
        <v>6.0</v>
      </c>
      <c r="F825" s="84" t="s">
        <v>5135</v>
      </c>
      <c r="G825" s="84">
        <v>90.0</v>
      </c>
      <c r="H825" s="84">
        <v>100.0</v>
      </c>
      <c r="I825" s="84">
        <v>10.0</v>
      </c>
      <c r="J825" s="84"/>
      <c r="K825" s="84"/>
      <c r="L825" s="84"/>
      <c r="M825" s="84"/>
      <c r="N825" s="84">
        <v>0.0</v>
      </c>
      <c r="O825" s="84">
        <v>0.0</v>
      </c>
      <c r="P825" s="84">
        <v>0.0</v>
      </c>
      <c r="Q825" s="84"/>
      <c r="R825" s="84"/>
      <c r="S825" s="84"/>
      <c r="T825" s="84"/>
      <c r="U825" s="84">
        <v>0.0</v>
      </c>
      <c r="V825" s="84"/>
      <c r="W825" s="84"/>
      <c r="X825" s="84">
        <v>0.0</v>
      </c>
      <c r="Y825" s="84" t="s">
        <v>21</v>
      </c>
      <c r="Z825" s="84">
        <v>-1.0</v>
      </c>
      <c r="AA825" s="84">
        <v>100.0</v>
      </c>
      <c r="AB825" s="84"/>
      <c r="AC825" s="84"/>
      <c r="AD825" s="84"/>
      <c r="AE825" s="84"/>
      <c r="AF825" s="84"/>
      <c r="AG825" s="84"/>
      <c r="AH825" s="84">
        <v>1.0</v>
      </c>
      <c r="AI825" s="84">
        <v>0.0</v>
      </c>
      <c r="AJ825" s="84">
        <v>0.0</v>
      </c>
      <c r="AK825" s="84">
        <v>1.0</v>
      </c>
      <c r="AL825" s="84">
        <v>0.0</v>
      </c>
      <c r="AM825" s="84">
        <v>0.0</v>
      </c>
      <c r="AN825" s="84">
        <v>1.0</v>
      </c>
      <c r="AO825" s="84">
        <v>0.0</v>
      </c>
      <c r="AP825" s="84">
        <v>0.0</v>
      </c>
      <c r="AQ825" s="84">
        <v>0.0</v>
      </c>
      <c r="AR825" s="84">
        <v>0.0</v>
      </c>
      <c r="AS825" s="84">
        <v>0.0</v>
      </c>
      <c r="AT825" s="84">
        <v>0.0</v>
      </c>
      <c r="AU825" s="84">
        <v>0.0</v>
      </c>
      <c r="AV825" s="84">
        <v>0.0</v>
      </c>
      <c r="AW825" s="84">
        <v>0.0</v>
      </c>
      <c r="AX825" s="84">
        <v>0.0</v>
      </c>
      <c r="AY825" s="84">
        <v>0.0</v>
      </c>
      <c r="AZ825" s="84">
        <v>0.0</v>
      </c>
    </row>
    <row r="826" ht="12.75" customHeight="1">
      <c r="A826" s="84">
        <v>824.0</v>
      </c>
      <c r="B826" s="84" t="s">
        <v>6033</v>
      </c>
      <c r="C826" s="84">
        <v>0.0</v>
      </c>
      <c r="D826" s="84" t="s">
        <v>4942</v>
      </c>
      <c r="E826" s="84">
        <v>0.0</v>
      </c>
      <c r="F826" s="84" t="s">
        <v>5135</v>
      </c>
      <c r="G826" s="84">
        <v>120.0</v>
      </c>
      <c r="H826" s="84">
        <v>100.0</v>
      </c>
      <c r="I826" s="84">
        <v>5.0</v>
      </c>
      <c r="J826" s="84"/>
      <c r="K826" s="84"/>
      <c r="L826" s="84"/>
      <c r="M826" s="84"/>
      <c r="N826" s="84">
        <v>0.0</v>
      </c>
      <c r="O826" s="84">
        <v>0.0</v>
      </c>
      <c r="P826" s="84">
        <v>0.0</v>
      </c>
      <c r="Q826" s="84"/>
      <c r="R826" s="84"/>
      <c r="S826" s="84"/>
      <c r="T826" s="84"/>
      <c r="U826" s="84">
        <v>0.0</v>
      </c>
      <c r="V826" s="84"/>
      <c r="W826" s="84"/>
      <c r="X826" s="84">
        <v>5.0</v>
      </c>
      <c r="Y826" s="84"/>
      <c r="Z826" s="84"/>
      <c r="AA826" s="84"/>
      <c r="AB826" s="84"/>
      <c r="AC826" s="84"/>
      <c r="AD826" s="84"/>
      <c r="AE826" s="84"/>
      <c r="AF826" s="84"/>
      <c r="AG826" s="84"/>
      <c r="AH826" s="84">
        <v>0.0</v>
      </c>
      <c r="AI826" s="84">
        <v>0.0</v>
      </c>
      <c r="AJ826" s="84">
        <v>0.0</v>
      </c>
      <c r="AK826" s="84">
        <v>1.0</v>
      </c>
      <c r="AL826" s="84">
        <v>0.0</v>
      </c>
      <c r="AM826" s="84">
        <v>0.0</v>
      </c>
      <c r="AN826" s="84">
        <v>1.0</v>
      </c>
      <c r="AO826" s="84">
        <v>0.0</v>
      </c>
      <c r="AP826" s="84">
        <v>0.0</v>
      </c>
      <c r="AQ826" s="84">
        <v>0.0</v>
      </c>
      <c r="AR826" s="84">
        <v>0.0</v>
      </c>
      <c r="AS826" s="84">
        <v>0.0</v>
      </c>
      <c r="AT826" s="84">
        <v>0.0</v>
      </c>
      <c r="AU826" s="84">
        <v>0.0</v>
      </c>
      <c r="AV826" s="84">
        <v>0.0</v>
      </c>
      <c r="AW826" s="84">
        <v>0.0</v>
      </c>
      <c r="AX826" s="84">
        <v>0.0</v>
      </c>
      <c r="AY826" s="84">
        <v>0.0</v>
      </c>
      <c r="AZ826" s="84">
        <v>0.0</v>
      </c>
    </row>
    <row r="827" ht="12.75" customHeight="1">
      <c r="A827" s="84">
        <v>825.0</v>
      </c>
      <c r="B827" s="84" t="s">
        <v>6034</v>
      </c>
      <c r="C827" s="84">
        <v>0.0</v>
      </c>
      <c r="D827" s="84" t="s">
        <v>4945</v>
      </c>
      <c r="E827" s="84">
        <v>0.0</v>
      </c>
      <c r="F827" s="84" t="s">
        <v>5172</v>
      </c>
      <c r="G827" s="84">
        <v>120.0</v>
      </c>
      <c r="H827" s="84">
        <v>100.0</v>
      </c>
      <c r="I827" s="84">
        <v>5.0</v>
      </c>
      <c r="J827" s="84"/>
      <c r="K827" s="84"/>
      <c r="L827" s="84"/>
      <c r="M827" s="84"/>
      <c r="N827" s="84">
        <v>0.0</v>
      </c>
      <c r="O827" s="84">
        <v>0.0</v>
      </c>
      <c r="P827" s="84">
        <v>0.0</v>
      </c>
      <c r="Q827" s="84"/>
      <c r="R827" s="84"/>
      <c r="S827" s="84"/>
      <c r="T827" s="84"/>
      <c r="U827" s="84">
        <v>0.0</v>
      </c>
      <c r="V827" s="84"/>
      <c r="W827" s="84"/>
      <c r="X827" s="84">
        <v>5.0</v>
      </c>
      <c r="Y827" s="84"/>
      <c r="Z827" s="84"/>
      <c r="AA827" s="84"/>
      <c r="AB827" s="84"/>
      <c r="AC827" s="84"/>
      <c r="AD827" s="84"/>
      <c r="AE827" s="84"/>
      <c r="AF827" s="84"/>
      <c r="AG827" s="84"/>
      <c r="AH827" s="84">
        <v>0.0</v>
      </c>
      <c r="AI827" s="84">
        <v>0.0</v>
      </c>
      <c r="AJ827" s="84">
        <v>0.0</v>
      </c>
      <c r="AK827" s="84">
        <v>1.0</v>
      </c>
      <c r="AL827" s="84">
        <v>0.0</v>
      </c>
      <c r="AM827" s="84">
        <v>0.0</v>
      </c>
      <c r="AN827" s="84">
        <v>1.0</v>
      </c>
      <c r="AO827" s="84">
        <v>0.0</v>
      </c>
      <c r="AP827" s="84">
        <v>0.0</v>
      </c>
      <c r="AQ827" s="84">
        <v>0.0</v>
      </c>
      <c r="AR827" s="84">
        <v>0.0</v>
      </c>
      <c r="AS827" s="84">
        <v>0.0</v>
      </c>
      <c r="AT827" s="84">
        <v>0.0</v>
      </c>
      <c r="AU827" s="84">
        <v>0.0</v>
      </c>
      <c r="AV827" s="84">
        <v>0.0</v>
      </c>
      <c r="AW827" s="84">
        <v>0.0</v>
      </c>
      <c r="AX827" s="84">
        <v>0.0</v>
      </c>
      <c r="AY827" s="84">
        <v>0.0</v>
      </c>
      <c r="AZ827" s="84">
        <v>0.0</v>
      </c>
    </row>
    <row r="828" ht="12.75" customHeight="1">
      <c r="A828" s="84">
        <v>826.0</v>
      </c>
      <c r="B828" s="84" t="s">
        <v>6035</v>
      </c>
      <c r="C828" s="84">
        <v>0.0</v>
      </c>
      <c r="D828" s="84" t="s">
        <v>2659</v>
      </c>
      <c r="E828" s="84">
        <v>0.0</v>
      </c>
      <c r="F828" s="84" t="s">
        <v>5172</v>
      </c>
      <c r="G828" s="84">
        <v>80.0</v>
      </c>
      <c r="H828" s="84">
        <v>100.0</v>
      </c>
      <c r="I828" s="84">
        <v>5.0</v>
      </c>
      <c r="J828" s="84"/>
      <c r="K828" s="84"/>
      <c r="L828" s="84"/>
      <c r="M828" s="84"/>
      <c r="N828" s="84">
        <v>0.0</v>
      </c>
      <c r="O828" s="84">
        <v>0.0</v>
      </c>
      <c r="P828" s="84">
        <v>0.0</v>
      </c>
      <c r="Q828" s="84"/>
      <c r="R828" s="84"/>
      <c r="S828" s="84"/>
      <c r="T828" s="84"/>
      <c r="U828" s="84">
        <v>0.0</v>
      </c>
      <c r="V828" s="84"/>
      <c r="W828" s="84"/>
      <c r="X828" s="84">
        <v>0.0</v>
      </c>
      <c r="Y828" s="84"/>
      <c r="Z828" s="84"/>
      <c r="AA828" s="84"/>
      <c r="AB828" s="84"/>
      <c r="AC828" s="84"/>
      <c r="AD828" s="84"/>
      <c r="AE828" s="84"/>
      <c r="AF828" s="84"/>
      <c r="AG828" s="84"/>
      <c r="AH828" s="84">
        <v>0.0</v>
      </c>
      <c r="AI828" s="84">
        <v>0.0</v>
      </c>
      <c r="AJ828" s="84">
        <v>0.0</v>
      </c>
      <c r="AK828" s="84">
        <v>1.0</v>
      </c>
      <c r="AL828" s="84">
        <v>0.0</v>
      </c>
      <c r="AM828" s="84">
        <v>0.0</v>
      </c>
      <c r="AN828" s="84">
        <v>1.0</v>
      </c>
      <c r="AO828" s="84">
        <v>0.0</v>
      </c>
      <c r="AP828" s="84">
        <v>1.0</v>
      </c>
      <c r="AQ828" s="84">
        <v>0.0</v>
      </c>
      <c r="AR828" s="84">
        <v>0.0</v>
      </c>
      <c r="AS828" s="84">
        <v>0.0</v>
      </c>
      <c r="AT828" s="84">
        <v>0.0</v>
      </c>
      <c r="AU828" s="84">
        <v>1.0</v>
      </c>
      <c r="AV828" s="84">
        <v>0.0</v>
      </c>
      <c r="AW828" s="84">
        <v>0.0</v>
      </c>
      <c r="AX828" s="84">
        <v>0.0</v>
      </c>
      <c r="AY828" s="84">
        <v>1.0</v>
      </c>
      <c r="AZ828" s="84">
        <v>0.0</v>
      </c>
    </row>
  </sheetData>
  <conditionalFormatting sqref="A2:AZ828">
    <cfRule type="expression" dxfId="12" priority="1">
      <formula>$C2=0</formula>
    </cfRule>
  </conditionalFormatting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19.57"/>
    <col customWidth="1" min="3" max="6" width="11.57"/>
    <col customWidth="1" min="7" max="26" width="8.71"/>
  </cols>
  <sheetData>
    <row r="1" ht="12.75" customHeight="1">
      <c r="A1" s="7" t="s">
        <v>6036</v>
      </c>
      <c r="B1" s="7"/>
      <c r="C1" s="7"/>
      <c r="D1" s="7" t="s">
        <v>2566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7" t="s">
        <v>6037</v>
      </c>
      <c r="B2" s="7" t="s">
        <v>4627</v>
      </c>
      <c r="C2" s="7"/>
      <c r="D2" s="7" t="s">
        <v>4916</v>
      </c>
      <c r="E2" s="7" t="s">
        <v>6038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7" t="s">
        <v>6039</v>
      </c>
      <c r="B3" s="7" t="s">
        <v>4627</v>
      </c>
      <c r="C3" s="7"/>
      <c r="D3" s="7" t="s">
        <v>4935</v>
      </c>
      <c r="E3" s="7" t="s">
        <v>6040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84" t="s">
        <v>6041</v>
      </c>
      <c r="B4" s="84" t="s">
        <v>4627</v>
      </c>
      <c r="C4" s="7"/>
      <c r="D4" s="7" t="s">
        <v>4907</v>
      </c>
      <c r="E4" s="7" t="s">
        <v>6042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7" t="s">
        <v>6043</v>
      </c>
      <c r="B5" s="7" t="s">
        <v>4292</v>
      </c>
      <c r="C5" s="7"/>
      <c r="D5" s="7" t="s">
        <v>4905</v>
      </c>
      <c r="E5" s="7" t="s">
        <v>6044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7" t="s">
        <v>6045</v>
      </c>
      <c r="B6" s="7" t="s">
        <v>4292</v>
      </c>
      <c r="C6" s="7"/>
      <c r="D6" s="7" t="s">
        <v>4922</v>
      </c>
      <c r="E6" s="7" t="s">
        <v>6046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84" t="s">
        <v>6047</v>
      </c>
      <c r="B7" s="7" t="s">
        <v>4292</v>
      </c>
      <c r="C7" s="7"/>
      <c r="D7" s="7" t="s">
        <v>4940</v>
      </c>
      <c r="E7" s="7" t="s">
        <v>6048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7" t="s">
        <v>6049</v>
      </c>
      <c r="B8" s="7" t="s">
        <v>4472</v>
      </c>
      <c r="C8" s="7"/>
      <c r="D8" s="7" t="s">
        <v>4910</v>
      </c>
      <c r="E8" s="7" t="s">
        <v>6050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7" t="s">
        <v>6051</v>
      </c>
      <c r="B9" s="7" t="s">
        <v>4472</v>
      </c>
      <c r="C9" s="7"/>
      <c r="D9" s="7" t="s">
        <v>4945</v>
      </c>
      <c r="E9" s="7" t="s">
        <v>6052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84" t="s">
        <v>6053</v>
      </c>
      <c r="B10" s="84" t="s">
        <v>4472</v>
      </c>
      <c r="C10" s="7"/>
      <c r="D10" s="7" t="s">
        <v>4975</v>
      </c>
      <c r="E10" s="7" t="s">
        <v>6054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7" t="s">
        <v>6055</v>
      </c>
      <c r="B11" s="7" t="s">
        <v>5038</v>
      </c>
      <c r="C11" s="7"/>
      <c r="D11" s="7" t="s">
        <v>4906</v>
      </c>
      <c r="E11" s="7" t="s">
        <v>6056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7" t="s">
        <v>6057</v>
      </c>
      <c r="B12" s="7" t="s">
        <v>5038</v>
      </c>
      <c r="C12" s="7"/>
      <c r="D12" s="7" t="s">
        <v>4908</v>
      </c>
      <c r="E12" s="7" t="s">
        <v>6058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84" t="s">
        <v>6059</v>
      </c>
      <c r="B13" s="84" t="s">
        <v>5038</v>
      </c>
      <c r="C13" s="7"/>
      <c r="D13" s="7" t="s">
        <v>4904</v>
      </c>
      <c r="E13" s="7" t="s">
        <v>6060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7" t="s">
        <v>6061</v>
      </c>
      <c r="B14" s="7" t="s">
        <v>5039</v>
      </c>
      <c r="C14" s="7"/>
      <c r="D14" s="7" t="s">
        <v>4921</v>
      </c>
      <c r="E14" s="7" t="s">
        <v>6062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 t="s">
        <v>6063</v>
      </c>
      <c r="B15" s="7" t="s">
        <v>5039</v>
      </c>
      <c r="C15" s="7"/>
      <c r="D15" s="7" t="s">
        <v>2659</v>
      </c>
      <c r="E15" s="7" t="s">
        <v>6064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84" t="s">
        <v>6065</v>
      </c>
      <c r="B16" s="84" t="s">
        <v>5039</v>
      </c>
      <c r="C16" s="7"/>
      <c r="D16" s="7" t="s">
        <v>4942</v>
      </c>
      <c r="E16" s="7" t="s">
        <v>6066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7" t="s">
        <v>6067</v>
      </c>
      <c r="B17" s="7" t="s">
        <v>6068</v>
      </c>
      <c r="C17" s="7"/>
      <c r="D17" s="7" t="s">
        <v>4956</v>
      </c>
      <c r="E17" s="7" t="s">
        <v>6069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84" t="s">
        <v>6070</v>
      </c>
      <c r="B18" s="7" t="s">
        <v>6068</v>
      </c>
      <c r="C18" s="7"/>
      <c r="D18" s="7" t="s">
        <v>4972</v>
      </c>
      <c r="E18" s="7" t="s">
        <v>6071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7" t="s">
        <v>6072</v>
      </c>
      <c r="B19" s="7" t="s">
        <v>6073</v>
      </c>
      <c r="C19" s="7"/>
      <c r="D19" s="7" t="s">
        <v>5072</v>
      </c>
      <c r="E19" s="7" t="s">
        <v>6074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84" t="s">
        <v>6075</v>
      </c>
      <c r="B20" s="7" t="s">
        <v>6073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7" t="s">
        <v>6076</v>
      </c>
      <c r="B21" s="7" t="s">
        <v>6077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84" t="s">
        <v>6078</v>
      </c>
      <c r="B22" s="7" t="s">
        <v>6077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7" t="s">
        <v>6079</v>
      </c>
      <c r="B23" s="7" t="s">
        <v>6080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84" t="s">
        <v>6081</v>
      </c>
      <c r="B24" s="7" t="s">
        <v>6080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 t="s">
        <v>6082</v>
      </c>
      <c r="B25" s="7" t="s">
        <v>6083</v>
      </c>
      <c r="C25" s="7"/>
      <c r="D25" s="7">
        <v>1.0</v>
      </c>
      <c r="E25" s="7">
        <v>1.0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84" t="s">
        <v>6084</v>
      </c>
      <c r="B26" s="7" t="s">
        <v>6083</v>
      </c>
      <c r="C26" s="7"/>
      <c r="D26" s="7">
        <v>2.0</v>
      </c>
      <c r="E26" s="7">
        <v>2.0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 t="s">
        <v>6085</v>
      </c>
      <c r="B27" s="7" t="s">
        <v>6086</v>
      </c>
      <c r="C27" s="7"/>
      <c r="D27" s="7">
        <v>3.0</v>
      </c>
      <c r="E27" s="7">
        <v>3.0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84" t="s">
        <v>6087</v>
      </c>
      <c r="B28" s="7" t="s">
        <v>6086</v>
      </c>
      <c r="C28" s="7"/>
      <c r="D28" s="7">
        <v>4.0</v>
      </c>
      <c r="E28" s="7">
        <v>4.0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 t="s">
        <v>6088</v>
      </c>
      <c r="B29" s="7" t="s">
        <v>6089</v>
      </c>
      <c r="C29" s="7"/>
      <c r="D29" s="7">
        <v>5.0</v>
      </c>
      <c r="E29" s="7">
        <v>5.0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84" t="s">
        <v>6090</v>
      </c>
      <c r="B30" s="7" t="s">
        <v>6089</v>
      </c>
      <c r="C30" s="7"/>
      <c r="D30" s="7">
        <v>6.0</v>
      </c>
      <c r="E30" s="7">
        <v>6.0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 t="s">
        <v>6091</v>
      </c>
      <c r="B31" s="7" t="s">
        <v>6092</v>
      </c>
      <c r="C31" s="7"/>
      <c r="D31" s="7">
        <v>7.0</v>
      </c>
      <c r="E31" s="7">
        <v>7.0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84" t="s">
        <v>6093</v>
      </c>
      <c r="B32" s="7" t="s">
        <v>6092</v>
      </c>
      <c r="C32" s="7"/>
      <c r="D32" s="7" t="s">
        <v>6094</v>
      </c>
      <c r="E32" s="7">
        <v>1.0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 t="s">
        <v>6095</v>
      </c>
      <c r="B33" s="7" t="s">
        <v>6096</v>
      </c>
      <c r="C33" s="7"/>
      <c r="D33" s="7" t="s">
        <v>6097</v>
      </c>
      <c r="E33" s="7">
        <v>2.0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84" t="s">
        <v>6098</v>
      </c>
      <c r="B34" s="7" t="s">
        <v>6096</v>
      </c>
      <c r="C34" s="7"/>
      <c r="D34" s="7" t="s">
        <v>6099</v>
      </c>
      <c r="E34" s="7">
        <v>3.0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 t="s">
        <v>6100</v>
      </c>
      <c r="B35" s="7" t="s">
        <v>6101</v>
      </c>
      <c r="C35" s="7"/>
      <c r="D35" s="7" t="s">
        <v>6102</v>
      </c>
      <c r="E35" s="7">
        <v>4.0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84" t="s">
        <v>6103</v>
      </c>
      <c r="B36" s="7" t="s">
        <v>6101</v>
      </c>
      <c r="C36" s="7"/>
      <c r="D36" s="7" t="s">
        <v>6104</v>
      </c>
      <c r="E36" s="7">
        <v>5.0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 t="s">
        <v>6105</v>
      </c>
      <c r="B37" s="7" t="s">
        <v>6106</v>
      </c>
      <c r="C37" s="7"/>
      <c r="D37" s="7" t="s">
        <v>6107</v>
      </c>
      <c r="E37" s="7">
        <v>6.0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84" t="s">
        <v>6108</v>
      </c>
      <c r="B38" s="7" t="s">
        <v>6106</v>
      </c>
      <c r="C38" s="7"/>
      <c r="D38" s="7" t="s">
        <v>6109</v>
      </c>
      <c r="E38" s="7">
        <v>7.0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 t="s">
        <v>6110</v>
      </c>
      <c r="B39" s="7" t="s">
        <v>6111</v>
      </c>
      <c r="C39" s="7"/>
      <c r="D39" s="7" t="s">
        <v>6112</v>
      </c>
      <c r="E39" s="7" t="s">
        <v>6112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84" t="s">
        <v>6113</v>
      </c>
      <c r="B40" s="7" t="s">
        <v>6111</v>
      </c>
      <c r="C40" s="7"/>
      <c r="D40" s="7" t="s">
        <v>6114</v>
      </c>
      <c r="E40" s="7" t="s">
        <v>6112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 t="s">
        <v>6115</v>
      </c>
      <c r="B41" s="7" t="s">
        <v>6116</v>
      </c>
      <c r="C41" s="7"/>
      <c r="D41" s="7" t="s">
        <v>6117</v>
      </c>
      <c r="E41" s="7" t="s">
        <v>6112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84" t="s">
        <v>6118</v>
      </c>
      <c r="B42" s="7" t="s">
        <v>6116</v>
      </c>
      <c r="C42" s="7"/>
      <c r="D42" s="7" t="s">
        <v>6119</v>
      </c>
      <c r="E42" s="7" t="s">
        <v>6119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 t="s">
        <v>6120</v>
      </c>
      <c r="B43" s="7" t="s">
        <v>6121</v>
      </c>
      <c r="C43" s="7"/>
      <c r="D43" s="7" t="s">
        <v>6122</v>
      </c>
      <c r="E43" s="7" t="s">
        <v>6119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84" t="s">
        <v>6123</v>
      </c>
      <c r="B44" s="7" t="s">
        <v>6121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 t="s">
        <v>6124</v>
      </c>
      <c r="B45" s="7" t="s">
        <v>6125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84" t="s">
        <v>6126</v>
      </c>
      <c r="B46" s="7" t="s">
        <v>6125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 t="s">
        <v>6127</v>
      </c>
      <c r="B47" s="7" t="s">
        <v>6128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84" t="s">
        <v>6129</v>
      </c>
      <c r="B48" s="7" t="s">
        <v>6128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 t="s">
        <v>6130</v>
      </c>
      <c r="B49" s="7" t="s">
        <v>6131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 t="s">
        <v>6132</v>
      </c>
      <c r="B50" s="7" t="s">
        <v>6131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 t="s">
        <v>6133</v>
      </c>
      <c r="B51" s="7" t="s">
        <v>6134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 t="s">
        <v>6135</v>
      </c>
      <c r="B52" s="7" t="s">
        <v>6134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 t="s">
        <v>6136</v>
      </c>
      <c r="B53" s="7" t="s">
        <v>6137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 t="s">
        <v>6138</v>
      </c>
      <c r="B54" s="7" t="s">
        <v>6137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 t="s">
        <v>6139</v>
      </c>
      <c r="B55" s="7" t="s">
        <v>6140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 t="s">
        <v>6141</v>
      </c>
      <c r="B56" s="7" t="s">
        <v>6140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 t="s">
        <v>6142</v>
      </c>
      <c r="B57" s="7" t="s">
        <v>6143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 t="s">
        <v>6144</v>
      </c>
      <c r="B58" s="7" t="s">
        <v>6143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 t="s">
        <v>6145</v>
      </c>
      <c r="B59" s="7" t="s">
        <v>6146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 t="s">
        <v>6147</v>
      </c>
      <c r="B60" s="7" t="s">
        <v>6146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 t="s">
        <v>6148</v>
      </c>
      <c r="B61" s="7" t="s">
        <v>6149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 t="s">
        <v>6150</v>
      </c>
      <c r="B62" s="7" t="s">
        <v>6149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 t="s">
        <v>6151</v>
      </c>
      <c r="B63" s="7" t="s">
        <v>6152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 t="s">
        <v>6153</v>
      </c>
      <c r="B64" s="7" t="s">
        <v>6152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 t="s">
        <v>6154</v>
      </c>
      <c r="B65" s="7" t="s">
        <v>6155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 t="s">
        <v>6156</v>
      </c>
      <c r="B66" s="7" t="s">
        <v>6155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 t="s">
        <v>6157</v>
      </c>
      <c r="B67" s="7" t="s">
        <v>6158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 t="s">
        <v>6159</v>
      </c>
      <c r="B68" s="7" t="s">
        <v>6158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 t="s">
        <v>6160</v>
      </c>
      <c r="B69" s="7" t="s">
        <v>6161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 t="s">
        <v>6162</v>
      </c>
      <c r="B70" s="7" t="s">
        <v>6161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 t="s">
        <v>6163</v>
      </c>
      <c r="B71" s="7" t="s">
        <v>6164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 t="s">
        <v>6165</v>
      </c>
      <c r="B72" s="7" t="s">
        <v>6164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 t="s">
        <v>6166</v>
      </c>
      <c r="B73" s="7" t="s">
        <v>6167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 t="s">
        <v>6168</v>
      </c>
      <c r="B74" s="7" t="s">
        <v>6167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 t="s">
        <v>6169</v>
      </c>
      <c r="B75" s="7" t="s">
        <v>6170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 t="s">
        <v>6171</v>
      </c>
      <c r="B76" s="7" t="s">
        <v>6170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 t="s">
        <v>6172</v>
      </c>
      <c r="B77" s="7" t="s">
        <v>6173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 t="s">
        <v>6174</v>
      </c>
      <c r="B78" s="7" t="s">
        <v>6173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 t="s">
        <v>6175</v>
      </c>
      <c r="B79" s="7" t="s">
        <v>6176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 t="s">
        <v>6177</v>
      </c>
      <c r="B80" s="7" t="s">
        <v>6176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 t="s">
        <v>6178</v>
      </c>
      <c r="B81" s="7" t="s">
        <v>6179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 t="s">
        <v>6180</v>
      </c>
      <c r="B82" s="7" t="s">
        <v>6179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 t="s">
        <v>6181</v>
      </c>
      <c r="B83" s="7" t="s">
        <v>6182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 t="s">
        <v>6183</v>
      </c>
      <c r="B84" s="7" t="s">
        <v>6182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 t="s">
        <v>6184</v>
      </c>
      <c r="B85" s="7" t="s">
        <v>6185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 t="s">
        <v>6186</v>
      </c>
      <c r="B86" s="7" t="s">
        <v>6185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 t="s">
        <v>6187</v>
      </c>
      <c r="B87" s="7" t="s">
        <v>6188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 t="s">
        <v>6189</v>
      </c>
      <c r="B88" s="7" t="s">
        <v>6188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 t="s">
        <v>6190</v>
      </c>
      <c r="B89" s="7" t="s">
        <v>6191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 t="s">
        <v>6192</v>
      </c>
      <c r="B90" s="7" t="s">
        <v>6191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 t="s">
        <v>6193</v>
      </c>
      <c r="B91" s="7" t="s">
        <v>6194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 t="s">
        <v>6195</v>
      </c>
      <c r="B92" s="7" t="s">
        <v>6194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 t="s">
        <v>6196</v>
      </c>
      <c r="B93" s="7" t="s">
        <v>6197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 t="s">
        <v>6198</v>
      </c>
      <c r="B94" s="7" t="s">
        <v>6197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 t="s">
        <v>6199</v>
      </c>
      <c r="B95" s="7" t="s">
        <v>6200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 t="s">
        <v>6201</v>
      </c>
      <c r="B96" s="7" t="s">
        <v>6200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 t="s">
        <v>6202</v>
      </c>
      <c r="B97" s="7" t="s">
        <v>6203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 t="s">
        <v>6204</v>
      </c>
      <c r="B98" s="7" t="s">
        <v>6203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 t="s">
        <v>6205</v>
      </c>
      <c r="B99" s="7" t="s">
        <v>6206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 t="s">
        <v>6207</v>
      </c>
      <c r="B100" s="7" t="s">
        <v>6206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 t="s">
        <v>6208</v>
      </c>
      <c r="B101" s="7" t="s">
        <v>6209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 t="s">
        <v>6210</v>
      </c>
      <c r="B102" s="7" t="s">
        <v>6209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 t="s">
        <v>6211</v>
      </c>
      <c r="B103" s="7" t="s">
        <v>6212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 t="s">
        <v>6213</v>
      </c>
      <c r="B104" s="7" t="s">
        <v>6212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 t="s">
        <v>6214</v>
      </c>
      <c r="B105" s="7" t="s">
        <v>6215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 t="s">
        <v>6216</v>
      </c>
      <c r="B106" s="7" t="s">
        <v>6215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 t="s">
        <v>6217</v>
      </c>
      <c r="B107" s="7" t="s">
        <v>6218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 t="s">
        <v>6219</v>
      </c>
      <c r="B108" s="7" t="s">
        <v>6218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 t="s">
        <v>6220</v>
      </c>
      <c r="B109" s="7" t="s">
        <v>6221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 t="s">
        <v>6222</v>
      </c>
      <c r="B110" s="7" t="s">
        <v>6221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 t="s">
        <v>6223</v>
      </c>
      <c r="B111" s="7" t="s">
        <v>6224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 t="s">
        <v>6225</v>
      </c>
      <c r="B112" s="7" t="s">
        <v>6224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 t="s">
        <v>6226</v>
      </c>
      <c r="B113" s="7" t="s">
        <v>6227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 t="s">
        <v>6228</v>
      </c>
      <c r="B114" s="7" t="s">
        <v>6227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 t="s">
        <v>6229</v>
      </c>
      <c r="B115" s="7" t="s">
        <v>6230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 t="s">
        <v>6231</v>
      </c>
      <c r="B116" s="7" t="s">
        <v>6230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 t="s">
        <v>6232</v>
      </c>
      <c r="B117" s="7" t="s">
        <v>6233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 t="s">
        <v>6234</v>
      </c>
      <c r="B118" s="7" t="s">
        <v>6233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 t="s">
        <v>6235</v>
      </c>
      <c r="B119" s="7" t="s">
        <v>6236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 t="s">
        <v>6237</v>
      </c>
      <c r="B120" s="7" t="s">
        <v>6236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 t="s">
        <v>6238</v>
      </c>
      <c r="B121" s="7" t="s">
        <v>6239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 t="s">
        <v>6240</v>
      </c>
      <c r="B122" s="7" t="s">
        <v>6239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 t="s">
        <v>6241</v>
      </c>
      <c r="B123" s="7" t="s">
        <v>6242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 t="s">
        <v>6243</v>
      </c>
      <c r="B124" s="7" t="s">
        <v>6242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 t="s">
        <v>6244</v>
      </c>
      <c r="B125" s="7" t="s">
        <v>6245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 t="s">
        <v>6246</v>
      </c>
      <c r="B126" s="7" t="s">
        <v>6245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 t="s">
        <v>6247</v>
      </c>
      <c r="B127" s="7" t="s">
        <v>6248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 t="s">
        <v>6249</v>
      </c>
      <c r="B128" s="7" t="s">
        <v>6248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 t="s">
        <v>6250</v>
      </c>
      <c r="B129" s="7" t="s">
        <v>6251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 t="s">
        <v>6252</v>
      </c>
      <c r="B130" s="7" t="s">
        <v>6251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 t="s">
        <v>6253</v>
      </c>
      <c r="B131" s="7" t="s">
        <v>6254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 t="s">
        <v>6255</v>
      </c>
      <c r="B132" s="7" t="s">
        <v>6254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 t="s">
        <v>6256</v>
      </c>
      <c r="B133" s="7" t="s">
        <v>6257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 t="s">
        <v>6258</v>
      </c>
      <c r="B134" s="7" t="s">
        <v>6257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 t="s">
        <v>6259</v>
      </c>
      <c r="B135" s="7" t="s">
        <v>6260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 t="s">
        <v>6261</v>
      </c>
      <c r="B136" s="7" t="s">
        <v>6260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 t="s">
        <v>6262</v>
      </c>
      <c r="B137" s="7" t="s">
        <v>6263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 t="s">
        <v>6264</v>
      </c>
      <c r="B138" s="7" t="s">
        <v>6263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 t="s">
        <v>6265</v>
      </c>
      <c r="B139" s="7" t="s">
        <v>6266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 t="s">
        <v>6267</v>
      </c>
      <c r="B140" s="7" t="s">
        <v>6266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 t="s">
        <v>6268</v>
      </c>
      <c r="B141" s="7" t="s">
        <v>6269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 t="s">
        <v>6270</v>
      </c>
      <c r="B142" s="7" t="s">
        <v>6269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 t="s">
        <v>6271</v>
      </c>
      <c r="B143" s="7" t="s">
        <v>6272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 t="s">
        <v>6273</v>
      </c>
      <c r="B144" s="7" t="s">
        <v>6272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 t="s">
        <v>6274</v>
      </c>
      <c r="B145" s="7" t="s">
        <v>6275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 t="s">
        <v>6276</v>
      </c>
      <c r="B146" s="7" t="s">
        <v>6275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 t="s">
        <v>6277</v>
      </c>
      <c r="B147" s="7" t="s">
        <v>6278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 t="s">
        <v>6279</v>
      </c>
      <c r="B148" s="7" t="s">
        <v>6278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 t="s">
        <v>6280</v>
      </c>
      <c r="B149" s="7" t="s">
        <v>6281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 t="s">
        <v>6282</v>
      </c>
      <c r="B150" s="7" t="s">
        <v>6281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 t="s">
        <v>6283</v>
      </c>
      <c r="B151" s="7" t="s">
        <v>6284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 t="s">
        <v>6285</v>
      </c>
      <c r="B152" s="7" t="s">
        <v>6284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 t="s">
        <v>6286</v>
      </c>
      <c r="B153" s="7" t="s">
        <v>6287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 t="s">
        <v>6288</v>
      </c>
      <c r="B154" s="7" t="s">
        <v>6287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 t="s">
        <v>6289</v>
      </c>
      <c r="B155" s="7" t="s">
        <v>6290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 t="s">
        <v>6291</v>
      </c>
      <c r="B156" s="7" t="s">
        <v>6290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 t="s">
        <v>6292</v>
      </c>
      <c r="B157" s="7" t="s">
        <v>6293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 t="s">
        <v>6294</v>
      </c>
      <c r="B158" s="7" t="s">
        <v>5028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 t="s">
        <v>6295</v>
      </c>
      <c r="B159" s="7" t="s">
        <v>5029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 t="s">
        <v>6296</v>
      </c>
      <c r="B160" s="7" t="s">
        <v>5030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 t="s">
        <v>6297</v>
      </c>
      <c r="B161" s="7" t="s">
        <v>5031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 t="s">
        <v>6298</v>
      </c>
      <c r="B162" s="7" t="s">
        <v>5045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 t="s">
        <v>6299</v>
      </c>
      <c r="B163" s="7" t="s">
        <v>5045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 t="s">
        <v>6300</v>
      </c>
      <c r="B164" s="7" t="s">
        <v>5046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 t="s">
        <v>6301</v>
      </c>
      <c r="B165" s="7" t="s">
        <v>5051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 t="s">
        <v>6302</v>
      </c>
      <c r="B166" s="7" t="s">
        <v>5051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 t="s">
        <v>6303</v>
      </c>
      <c r="B167" s="7" t="s">
        <v>5052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84" t="s">
        <v>6304</v>
      </c>
      <c r="B168" s="84" t="s">
        <v>5053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 t="s">
        <v>6305</v>
      </c>
      <c r="B169" s="7" t="s">
        <v>6306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 t="s">
        <v>6307</v>
      </c>
      <c r="B170" s="7" t="s">
        <v>6306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 t="s">
        <v>6308</v>
      </c>
      <c r="B171" s="7" t="s">
        <v>6309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84" t="s">
        <v>6310</v>
      </c>
      <c r="B172" s="84" t="s">
        <v>6311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84" t="s">
        <v>6312</v>
      </c>
      <c r="B173" s="84" t="s">
        <v>6311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 t="s">
        <v>6313</v>
      </c>
      <c r="B174" s="7" t="s">
        <v>6314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 t="s">
        <v>6315</v>
      </c>
      <c r="B175" s="7" t="s">
        <v>6316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 t="s">
        <v>6317</v>
      </c>
      <c r="B176" s="7" t="s">
        <v>6316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 t="s">
        <v>6318</v>
      </c>
      <c r="B177" s="7" t="s">
        <v>6319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 t="s">
        <v>6320</v>
      </c>
      <c r="B178" s="7" t="s">
        <v>6321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 t="s">
        <v>6322</v>
      </c>
      <c r="B179" s="7" t="s">
        <v>6321</v>
      </c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 t="s">
        <v>6323</v>
      </c>
      <c r="B180" s="7" t="s">
        <v>6324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84" t="s">
        <v>6325</v>
      </c>
      <c r="B181" s="84" t="s">
        <v>6326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84" t="s">
        <v>6327</v>
      </c>
      <c r="B182" s="84" t="s">
        <v>6328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84" t="s">
        <v>6329</v>
      </c>
      <c r="B183" s="84" t="s">
        <v>6330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 t="s">
        <v>6331</v>
      </c>
      <c r="B184" s="7" t="s">
        <v>6332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 t="s">
        <v>6333</v>
      </c>
      <c r="B185" s="7" t="s">
        <v>6334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 t="s">
        <v>6335</v>
      </c>
      <c r="B186" s="7" t="s">
        <v>6336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 t="s">
        <v>6337</v>
      </c>
      <c r="B187" s="7" t="s">
        <v>6336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 t="s">
        <v>6338</v>
      </c>
      <c r="B188" s="7" t="s">
        <v>6339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 t="s">
        <v>6340</v>
      </c>
      <c r="B189" s="7" t="s">
        <v>6341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 t="s">
        <v>6342</v>
      </c>
      <c r="B190" s="7" t="s">
        <v>3372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 t="s">
        <v>6343</v>
      </c>
      <c r="B191" s="7" t="s">
        <v>3372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 t="s">
        <v>6344</v>
      </c>
      <c r="B192" s="7" t="s">
        <v>3372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 t="s">
        <v>6345</v>
      </c>
      <c r="B193" s="7" t="s">
        <v>5032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 t="s">
        <v>6346</v>
      </c>
      <c r="B194" s="7" t="s">
        <v>5032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 t="s">
        <v>6347</v>
      </c>
      <c r="B195" s="7" t="s">
        <v>5033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84" t="s">
        <v>6348</v>
      </c>
      <c r="B196" s="84" t="s">
        <v>5033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84" t="s">
        <v>6349</v>
      </c>
      <c r="B197" s="84" t="s">
        <v>6350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84" t="s">
        <v>6351</v>
      </c>
      <c r="B198" s="84" t="s">
        <v>6352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84" t="s">
        <v>6353</v>
      </c>
      <c r="B199" s="84" t="s">
        <v>6352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84" t="s">
        <v>6354</v>
      </c>
      <c r="B200" s="84" t="s">
        <v>6355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84" t="s">
        <v>6356</v>
      </c>
      <c r="B201" s="84" t="s">
        <v>6357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 t="s">
        <v>6358</v>
      </c>
      <c r="B202" s="7" t="s">
        <v>6357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 t="s">
        <v>6359</v>
      </c>
      <c r="B203" s="7" t="s">
        <v>6360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 t="s">
        <v>6361</v>
      </c>
      <c r="B204" s="7" t="s">
        <v>6362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 t="s">
        <v>6363</v>
      </c>
      <c r="B205" s="7" t="s">
        <v>6364</v>
      </c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84" t="s">
        <v>6365</v>
      </c>
      <c r="B206" s="84" t="s">
        <v>6366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 t="s">
        <v>6367</v>
      </c>
      <c r="B207" s="7" t="s">
        <v>6366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 t="s">
        <v>6368</v>
      </c>
      <c r="B208" s="7" t="s">
        <v>6369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 t="s">
        <v>6370</v>
      </c>
      <c r="B209" s="7" t="s">
        <v>6371</v>
      </c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 t="s">
        <v>6372</v>
      </c>
      <c r="B210" s="7" t="s">
        <v>6373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 t="s">
        <v>6374</v>
      </c>
      <c r="B211" s="7" t="s">
        <v>6375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 t="s">
        <v>6376</v>
      </c>
      <c r="B212" s="7" t="s">
        <v>6375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 t="s">
        <v>6377</v>
      </c>
      <c r="B213" s="7" t="s">
        <v>6378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 t="s">
        <v>6379</v>
      </c>
      <c r="B214" s="7" t="s">
        <v>6380</v>
      </c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 t="s">
        <v>6381</v>
      </c>
      <c r="B215" s="7" t="s">
        <v>6382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 t="s">
        <v>6383</v>
      </c>
      <c r="B216" s="7" t="s">
        <v>6384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 t="s">
        <v>6385</v>
      </c>
      <c r="B217" s="7" t="s">
        <v>6386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 t="s">
        <v>6387</v>
      </c>
      <c r="B218" s="7" t="s">
        <v>6388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 t="s">
        <v>6389</v>
      </c>
      <c r="B219" s="7" t="s">
        <v>6390</v>
      </c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 t="s">
        <v>6391</v>
      </c>
      <c r="B220" s="7" t="s">
        <v>6390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 t="s">
        <v>6392</v>
      </c>
      <c r="B221" s="7" t="s">
        <v>6393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84" t="s">
        <v>6394</v>
      </c>
      <c r="B222" s="84" t="s">
        <v>6395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 t="s">
        <v>6396</v>
      </c>
      <c r="B223" s="7" t="s">
        <v>6395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 t="s">
        <v>6397</v>
      </c>
      <c r="B224" s="7" t="s">
        <v>6398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 t="s">
        <v>6399</v>
      </c>
      <c r="B225" s="7" t="s">
        <v>6400</v>
      </c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 t="s">
        <v>6401</v>
      </c>
      <c r="B226" s="7" t="s">
        <v>6402</v>
      </c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 t="s">
        <v>6403</v>
      </c>
      <c r="B227" s="7" t="s">
        <v>6404</v>
      </c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84" t="s">
        <v>6405</v>
      </c>
      <c r="B228" s="84" t="s">
        <v>6406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84" t="s">
        <v>6407</v>
      </c>
      <c r="B229" s="84" t="s">
        <v>6408</v>
      </c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 t="s">
        <v>6409</v>
      </c>
      <c r="B230" s="7" t="s">
        <v>6410</v>
      </c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84" t="s">
        <v>6411</v>
      </c>
      <c r="B231" s="84" t="s">
        <v>6410</v>
      </c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 t="s">
        <v>6412</v>
      </c>
      <c r="B232" s="7" t="s">
        <v>6413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84" t="s">
        <v>6414</v>
      </c>
      <c r="B233" s="7" t="s">
        <v>6413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 t="s">
        <v>6415</v>
      </c>
      <c r="B234" s="7" t="s">
        <v>6416</v>
      </c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84" t="s">
        <v>6417</v>
      </c>
      <c r="B235" s="7" t="s">
        <v>6416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 t="s">
        <v>6418</v>
      </c>
      <c r="B236" s="7" t="s">
        <v>6419</v>
      </c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84" t="s">
        <v>6420</v>
      </c>
      <c r="B237" s="7" t="s">
        <v>6419</v>
      </c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 t="s">
        <v>6421</v>
      </c>
      <c r="B238" s="7" t="s">
        <v>6422</v>
      </c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84" t="s">
        <v>6423</v>
      </c>
      <c r="B239" s="7" t="s">
        <v>6422</v>
      </c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 t="s">
        <v>6424</v>
      </c>
      <c r="B240" s="7" t="s">
        <v>6425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84" t="s">
        <v>6426</v>
      </c>
      <c r="B241" s="7" t="s">
        <v>6425</v>
      </c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 t="s">
        <v>6427</v>
      </c>
      <c r="B242" s="7" t="s">
        <v>6428</v>
      </c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 t="s">
        <v>6429</v>
      </c>
      <c r="B243" s="7" t="s">
        <v>6428</v>
      </c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 t="s">
        <v>6430</v>
      </c>
      <c r="B244" s="7" t="s">
        <v>6431</v>
      </c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 t="s">
        <v>6432</v>
      </c>
      <c r="B245" s="7" t="s">
        <v>6431</v>
      </c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 t="s">
        <v>6433</v>
      </c>
      <c r="B246" s="7" t="s">
        <v>6434</v>
      </c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 t="s">
        <v>6435</v>
      </c>
      <c r="B247" s="7" t="s">
        <v>6434</v>
      </c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 t="s">
        <v>6436</v>
      </c>
      <c r="B248" s="7" t="s">
        <v>6437</v>
      </c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 t="s">
        <v>6438</v>
      </c>
      <c r="B249" s="7" t="s">
        <v>6437</v>
      </c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 t="s">
        <v>6439</v>
      </c>
      <c r="B250" s="7" t="s">
        <v>6440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 t="s">
        <v>6441</v>
      </c>
      <c r="B251" s="7" t="s">
        <v>6440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 t="s">
        <v>6442</v>
      </c>
      <c r="B252" s="7" t="s">
        <v>6443</v>
      </c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 t="s">
        <v>6444</v>
      </c>
      <c r="B253" s="7" t="s">
        <v>6445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84" t="s">
        <v>6446</v>
      </c>
      <c r="B254" s="7" t="s">
        <v>6445</v>
      </c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 t="s">
        <v>6447</v>
      </c>
      <c r="B255" s="7" t="s">
        <v>6448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 t="s">
        <v>6449</v>
      </c>
      <c r="B256" s="7" t="s">
        <v>6448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 t="s">
        <v>6450</v>
      </c>
      <c r="B257" s="7" t="s">
        <v>6451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 t="s">
        <v>6452</v>
      </c>
      <c r="B258" s="7" t="s">
        <v>6451</v>
      </c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 t="s">
        <v>6453</v>
      </c>
      <c r="B259" s="7" t="s">
        <v>6454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 t="s">
        <v>6455</v>
      </c>
      <c r="B260" s="7" t="s">
        <v>6454</v>
      </c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 t="s">
        <v>6456</v>
      </c>
      <c r="B261" s="7" t="s">
        <v>6457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 t="s">
        <v>6458</v>
      </c>
      <c r="B262" s="7" t="s">
        <v>6457</v>
      </c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 t="s">
        <v>6459</v>
      </c>
      <c r="B263" s="7" t="s">
        <v>6460</v>
      </c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 t="s">
        <v>6461</v>
      </c>
      <c r="B264" s="7" t="s">
        <v>6462</v>
      </c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 t="s">
        <v>6463</v>
      </c>
      <c r="B265" s="7" t="s">
        <v>6462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 t="s">
        <v>6464</v>
      </c>
      <c r="B266" s="7" t="s">
        <v>6465</v>
      </c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 t="s">
        <v>6466</v>
      </c>
      <c r="B267" s="7" t="s">
        <v>6465</v>
      </c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 t="s">
        <v>6467</v>
      </c>
      <c r="B268" s="7" t="s">
        <v>6468</v>
      </c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 t="s">
        <v>6469</v>
      </c>
      <c r="B269" s="7" t="s">
        <v>6468</v>
      </c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43"/>
    <col customWidth="1" min="2" max="2" width="7.71"/>
    <col customWidth="1" min="3" max="8" width="3.0"/>
    <col customWidth="1" min="9" max="9" width="8.57"/>
    <col customWidth="1" min="10" max="11" width="3.14"/>
    <col customWidth="1" min="12" max="20" width="5.14"/>
    <col customWidth="1" min="21" max="21" width="5.86"/>
    <col customWidth="1" min="22" max="22" width="7.71"/>
    <col customWidth="1" min="23" max="28" width="3.14"/>
    <col customWidth="1" min="29" max="29" width="8.57"/>
    <col customWidth="1" min="30" max="38" width="5.14"/>
    <col customWidth="1" min="39" max="39" width="5.86"/>
    <col customWidth="1" hidden="1" min="40" max="41" width="5.86"/>
  </cols>
  <sheetData>
    <row r="1" ht="12.75" customHeight="1">
      <c r="A1" s="84" t="s">
        <v>6470</v>
      </c>
      <c r="B1" s="84" t="s">
        <v>6471</v>
      </c>
      <c r="C1" s="84">
        <v>2.0</v>
      </c>
      <c r="D1" s="84">
        <v>3.0</v>
      </c>
      <c r="E1" s="84">
        <v>4.0</v>
      </c>
      <c r="F1" s="84">
        <v>5.0</v>
      </c>
      <c r="G1" s="84">
        <v>6.0</v>
      </c>
      <c r="H1" s="84">
        <v>7.0</v>
      </c>
      <c r="I1" s="91" t="s">
        <v>6112</v>
      </c>
      <c r="J1" s="84" t="s">
        <v>6472</v>
      </c>
      <c r="K1" s="84" t="s">
        <v>6473</v>
      </c>
      <c r="L1" s="84" t="s">
        <v>6474</v>
      </c>
      <c r="M1" s="84" t="s">
        <v>6475</v>
      </c>
      <c r="N1" s="84" t="s">
        <v>6476</v>
      </c>
      <c r="O1" s="84" t="s">
        <v>6477</v>
      </c>
      <c r="P1" s="84" t="s">
        <v>6478</v>
      </c>
      <c r="Q1" s="84" t="s">
        <v>6479</v>
      </c>
      <c r="R1" s="84" t="s">
        <v>6480</v>
      </c>
      <c r="S1" s="84" t="s">
        <v>6481</v>
      </c>
      <c r="T1" s="84" t="s">
        <v>6482</v>
      </c>
      <c r="U1" s="84" t="s">
        <v>6483</v>
      </c>
      <c r="V1" s="84" t="s">
        <v>6484</v>
      </c>
      <c r="W1" s="84">
        <v>2.0</v>
      </c>
      <c r="X1" s="84">
        <v>3.0</v>
      </c>
      <c r="Y1" s="84">
        <v>4.0</v>
      </c>
      <c r="Z1" s="84">
        <v>5.0</v>
      </c>
      <c r="AA1" s="84">
        <v>6.0</v>
      </c>
      <c r="AB1" s="84">
        <v>7.0</v>
      </c>
      <c r="AC1" s="92" t="s">
        <v>6112</v>
      </c>
      <c r="AD1" s="84" t="s">
        <v>6474</v>
      </c>
      <c r="AE1" s="84" t="s">
        <v>6475</v>
      </c>
      <c r="AF1" s="84" t="s">
        <v>6476</v>
      </c>
      <c r="AG1" s="84" t="s">
        <v>6477</v>
      </c>
      <c r="AH1" s="84" t="s">
        <v>6478</v>
      </c>
      <c r="AI1" s="84" t="s">
        <v>6479</v>
      </c>
      <c r="AJ1" s="84" t="s">
        <v>6480</v>
      </c>
      <c r="AK1" s="84" t="s">
        <v>6481</v>
      </c>
      <c r="AL1" s="84" t="s">
        <v>6482</v>
      </c>
      <c r="AM1" s="84" t="s">
        <v>6483</v>
      </c>
      <c r="AN1" s="92" t="s">
        <v>6112</v>
      </c>
      <c r="AO1" s="92" t="s">
        <v>6485</v>
      </c>
    </row>
    <row r="2" ht="12.75" customHeight="1">
      <c r="A2" s="84" t="s">
        <v>4422</v>
      </c>
      <c r="B2" s="84">
        <v>0.0</v>
      </c>
      <c r="C2" s="84">
        <v>0.0</v>
      </c>
      <c r="D2" s="84">
        <v>0.0</v>
      </c>
      <c r="E2" s="84">
        <v>0.0</v>
      </c>
      <c r="F2" s="84">
        <v>0.0</v>
      </c>
      <c r="G2" s="84">
        <v>0.0</v>
      </c>
      <c r="H2" s="84">
        <v>0.0</v>
      </c>
      <c r="I2" s="91">
        <v>0.008484848484848486</v>
      </c>
      <c r="J2" s="84">
        <v>0.0</v>
      </c>
      <c r="K2" s="84">
        <v>0.0</v>
      </c>
      <c r="L2" s="84">
        <v>0.0</v>
      </c>
      <c r="M2" s="84">
        <v>0.0</v>
      </c>
      <c r="N2" s="84">
        <v>0.0</v>
      </c>
      <c r="O2" s="84">
        <v>0.0</v>
      </c>
      <c r="P2" s="84">
        <v>0.0</v>
      </c>
      <c r="Q2" s="84">
        <v>0.0</v>
      </c>
      <c r="R2" s="84">
        <v>0.0</v>
      </c>
      <c r="S2" s="84">
        <v>0.0</v>
      </c>
      <c r="T2" s="84">
        <v>0.0</v>
      </c>
      <c r="U2" s="84">
        <v>0.0</v>
      </c>
      <c r="V2" s="84">
        <v>0.0</v>
      </c>
      <c r="W2" s="84">
        <v>0.0</v>
      </c>
      <c r="X2" s="84">
        <v>0.0</v>
      </c>
      <c r="Y2" s="84">
        <v>0.0</v>
      </c>
      <c r="Z2" s="84">
        <v>0.0</v>
      </c>
      <c r="AA2" s="84">
        <v>0.0</v>
      </c>
      <c r="AB2" s="84">
        <v>0.0</v>
      </c>
      <c r="AC2" s="91">
        <v>0.006385696040868455</v>
      </c>
      <c r="AD2" s="84">
        <v>0.0</v>
      </c>
      <c r="AE2" s="84">
        <v>0.0</v>
      </c>
      <c r="AF2" s="84">
        <v>0.0</v>
      </c>
      <c r="AG2" s="84">
        <v>0.0</v>
      </c>
      <c r="AH2" s="84">
        <v>0.0</v>
      </c>
      <c r="AI2" s="84">
        <v>0.0</v>
      </c>
      <c r="AJ2" s="84">
        <v>0.0</v>
      </c>
      <c r="AK2" s="84">
        <v>0.0</v>
      </c>
      <c r="AL2" s="84">
        <v>0.0</v>
      </c>
      <c r="AM2" s="84">
        <v>0.0</v>
      </c>
      <c r="AN2" s="93">
        <f t="shared" ref="AN2:AN1067" si="1">I2+AC2</f>
        <v>0.01487054453</v>
      </c>
      <c r="AO2" s="84">
        <f t="shared" ref="AO2:AO1067" si="2">SUM(L2:U2,AD2:AM2)</f>
        <v>0</v>
      </c>
    </row>
    <row r="3" ht="12.75" customHeight="1">
      <c r="A3" s="84" t="s">
        <v>4424</v>
      </c>
      <c r="B3" s="84">
        <v>0.0</v>
      </c>
      <c r="C3" s="84">
        <v>0.0</v>
      </c>
      <c r="D3" s="84">
        <v>0.0</v>
      </c>
      <c r="E3" s="84">
        <v>0.0</v>
      </c>
      <c r="F3" s="84">
        <v>0.0</v>
      </c>
      <c r="G3" s="84">
        <v>0.0</v>
      </c>
      <c r="H3" s="84">
        <v>0.0</v>
      </c>
      <c r="I3" s="91">
        <v>0.008484848484848486</v>
      </c>
      <c r="J3" s="84">
        <v>0.0</v>
      </c>
      <c r="K3" s="84">
        <v>0.0</v>
      </c>
      <c r="L3" s="84">
        <v>0.0</v>
      </c>
      <c r="M3" s="84">
        <v>0.0</v>
      </c>
      <c r="N3" s="84">
        <v>0.0</v>
      </c>
      <c r="O3" s="84">
        <v>0.0</v>
      </c>
      <c r="P3" s="84">
        <v>0.0</v>
      </c>
      <c r="Q3" s="84">
        <v>0.0</v>
      </c>
      <c r="R3" s="84">
        <v>0.0</v>
      </c>
      <c r="S3" s="84">
        <v>0.0</v>
      </c>
      <c r="T3" s="84">
        <v>0.0</v>
      </c>
      <c r="U3" s="84">
        <v>0.0</v>
      </c>
      <c r="V3" s="84">
        <v>0.0</v>
      </c>
      <c r="W3" s="84">
        <v>0.0</v>
      </c>
      <c r="X3" s="84">
        <v>0.0</v>
      </c>
      <c r="Y3" s="84">
        <v>0.0</v>
      </c>
      <c r="Z3" s="84">
        <v>0.0</v>
      </c>
      <c r="AA3" s="84">
        <v>0.0</v>
      </c>
      <c r="AB3" s="84">
        <v>0.0</v>
      </c>
      <c r="AC3" s="91">
        <v>0.007662835249042145</v>
      </c>
      <c r="AD3" s="84">
        <v>0.0</v>
      </c>
      <c r="AE3" s="84">
        <v>0.0</v>
      </c>
      <c r="AF3" s="84">
        <v>0.0</v>
      </c>
      <c r="AG3" s="84">
        <v>0.0</v>
      </c>
      <c r="AH3" s="84">
        <v>0.0</v>
      </c>
      <c r="AI3" s="84">
        <v>0.0</v>
      </c>
      <c r="AJ3" s="84">
        <v>0.0</v>
      </c>
      <c r="AK3" s="84">
        <v>0.0</v>
      </c>
      <c r="AL3" s="84">
        <v>0.0</v>
      </c>
      <c r="AM3" s="84">
        <v>0.0</v>
      </c>
      <c r="AN3" s="93">
        <f t="shared" si="1"/>
        <v>0.01614768373</v>
      </c>
      <c r="AO3" s="84">
        <f t="shared" si="2"/>
        <v>0</v>
      </c>
    </row>
    <row r="4" ht="12.75" customHeight="1">
      <c r="A4" s="84" t="s">
        <v>4395</v>
      </c>
      <c r="B4" s="84">
        <v>0.0</v>
      </c>
      <c r="C4" s="84">
        <v>0.0</v>
      </c>
      <c r="D4" s="84">
        <v>0.0</v>
      </c>
      <c r="E4" s="84">
        <v>0.0</v>
      </c>
      <c r="F4" s="84">
        <v>0.0</v>
      </c>
      <c r="G4" s="84">
        <v>0.0</v>
      </c>
      <c r="H4" s="84">
        <v>0.0</v>
      </c>
      <c r="I4" s="91">
        <v>0.007272727272727273</v>
      </c>
      <c r="J4" s="84">
        <v>0.0</v>
      </c>
      <c r="K4" s="84">
        <v>0.0</v>
      </c>
      <c r="L4" s="84">
        <v>0.0</v>
      </c>
      <c r="M4" s="84">
        <v>0.0</v>
      </c>
      <c r="N4" s="84">
        <v>0.0</v>
      </c>
      <c r="O4" s="84">
        <v>0.0</v>
      </c>
      <c r="P4" s="84">
        <v>0.0</v>
      </c>
      <c r="Q4" s="84">
        <v>0.0</v>
      </c>
      <c r="R4" s="84">
        <v>0.0</v>
      </c>
      <c r="S4" s="84">
        <v>0.0</v>
      </c>
      <c r="T4" s="84">
        <v>0.0</v>
      </c>
      <c r="U4" s="84">
        <v>0.0</v>
      </c>
      <c r="V4" s="84">
        <v>0.0</v>
      </c>
      <c r="W4" s="84">
        <v>0.0</v>
      </c>
      <c r="X4" s="84">
        <v>0.0</v>
      </c>
      <c r="Y4" s="84">
        <v>0.0</v>
      </c>
      <c r="Z4" s="84">
        <v>0.0</v>
      </c>
      <c r="AA4" s="84">
        <v>0.0</v>
      </c>
      <c r="AB4" s="84">
        <v>0.0</v>
      </c>
      <c r="AC4" s="91">
        <v>0.007662835249042145</v>
      </c>
      <c r="AD4" s="84">
        <v>0.0</v>
      </c>
      <c r="AE4" s="84">
        <v>0.0</v>
      </c>
      <c r="AF4" s="84">
        <v>0.0</v>
      </c>
      <c r="AG4" s="84">
        <v>0.0</v>
      </c>
      <c r="AH4" s="84">
        <v>0.0</v>
      </c>
      <c r="AI4" s="84">
        <v>0.0</v>
      </c>
      <c r="AJ4" s="84">
        <v>0.0</v>
      </c>
      <c r="AK4" s="84">
        <v>0.0</v>
      </c>
      <c r="AL4" s="84">
        <v>0.0</v>
      </c>
      <c r="AM4" s="84">
        <v>0.0</v>
      </c>
      <c r="AN4" s="93">
        <f t="shared" si="1"/>
        <v>0.01493556252</v>
      </c>
      <c r="AO4" s="84">
        <f t="shared" si="2"/>
        <v>0</v>
      </c>
    </row>
    <row r="5" ht="12.75" customHeight="1">
      <c r="A5" s="84" t="s">
        <v>4391</v>
      </c>
      <c r="B5" s="84">
        <v>0.0</v>
      </c>
      <c r="C5" s="84">
        <v>0.0</v>
      </c>
      <c r="D5" s="84">
        <v>0.0</v>
      </c>
      <c r="E5" s="84">
        <v>0.0</v>
      </c>
      <c r="F5" s="84">
        <v>0.0</v>
      </c>
      <c r="G5" s="84">
        <v>0.0</v>
      </c>
      <c r="H5" s="84">
        <v>0.0</v>
      </c>
      <c r="I5" s="91">
        <v>0.007272727272727273</v>
      </c>
      <c r="J5" s="84">
        <v>0.0</v>
      </c>
      <c r="K5" s="84">
        <v>0.0</v>
      </c>
      <c r="L5" s="84">
        <v>0.0</v>
      </c>
      <c r="M5" s="84">
        <v>0.0</v>
      </c>
      <c r="N5" s="84">
        <v>0.0</v>
      </c>
      <c r="O5" s="84">
        <v>0.0</v>
      </c>
      <c r="P5" s="84">
        <v>0.0</v>
      </c>
      <c r="Q5" s="84">
        <v>0.0</v>
      </c>
      <c r="R5" s="84">
        <v>0.0</v>
      </c>
      <c r="S5" s="84">
        <v>0.0</v>
      </c>
      <c r="T5" s="84">
        <v>0.0</v>
      </c>
      <c r="U5" s="84">
        <v>0.0</v>
      </c>
      <c r="V5" s="84">
        <v>0.0</v>
      </c>
      <c r="W5" s="84">
        <v>0.0</v>
      </c>
      <c r="X5" s="84">
        <v>0.0</v>
      </c>
      <c r="Y5" s="84">
        <v>0.0</v>
      </c>
      <c r="Z5" s="84">
        <v>0.0</v>
      </c>
      <c r="AA5" s="84">
        <v>0.0</v>
      </c>
      <c r="AB5" s="84">
        <v>0.0</v>
      </c>
      <c r="AC5" s="91">
        <v>0.005108556832694764</v>
      </c>
      <c r="AD5" s="84">
        <v>0.0</v>
      </c>
      <c r="AE5" s="84">
        <v>0.0</v>
      </c>
      <c r="AF5" s="84">
        <v>0.0</v>
      </c>
      <c r="AG5" s="84">
        <v>0.0</v>
      </c>
      <c r="AH5" s="84">
        <v>0.0</v>
      </c>
      <c r="AI5" s="84">
        <v>0.0</v>
      </c>
      <c r="AJ5" s="84">
        <v>0.0</v>
      </c>
      <c r="AK5" s="84">
        <v>0.0</v>
      </c>
      <c r="AL5" s="84">
        <v>0.0</v>
      </c>
      <c r="AM5" s="84">
        <v>0.0</v>
      </c>
      <c r="AN5" s="93">
        <f t="shared" si="1"/>
        <v>0.01238128411</v>
      </c>
      <c r="AO5" s="84">
        <f t="shared" si="2"/>
        <v>0</v>
      </c>
    </row>
    <row r="6" ht="12.75" customHeight="1">
      <c r="A6" s="84" t="s">
        <v>4428</v>
      </c>
      <c r="B6" s="84">
        <v>0.0</v>
      </c>
      <c r="C6" s="84">
        <v>0.0</v>
      </c>
      <c r="D6" s="84">
        <v>0.0</v>
      </c>
      <c r="E6" s="84">
        <v>0.0</v>
      </c>
      <c r="F6" s="84">
        <v>0.0</v>
      </c>
      <c r="G6" s="84">
        <v>0.0</v>
      </c>
      <c r="H6" s="84">
        <v>0.0</v>
      </c>
      <c r="I6" s="91">
        <v>0.007272727272727273</v>
      </c>
      <c r="J6" s="84">
        <v>0.0</v>
      </c>
      <c r="K6" s="84">
        <v>0.0</v>
      </c>
      <c r="L6" s="84">
        <v>0.0</v>
      </c>
      <c r="M6" s="84">
        <v>0.0</v>
      </c>
      <c r="N6" s="84">
        <v>0.0</v>
      </c>
      <c r="O6" s="84">
        <v>0.0</v>
      </c>
      <c r="P6" s="84">
        <v>0.0</v>
      </c>
      <c r="Q6" s="84">
        <v>0.0</v>
      </c>
      <c r="R6" s="84">
        <v>0.0</v>
      </c>
      <c r="S6" s="84">
        <v>0.0</v>
      </c>
      <c r="T6" s="84">
        <v>0.0</v>
      </c>
      <c r="U6" s="84">
        <v>0.0</v>
      </c>
      <c r="V6" s="84">
        <v>0.0</v>
      </c>
      <c r="W6" s="84">
        <v>0.0</v>
      </c>
      <c r="X6" s="84">
        <v>0.0</v>
      </c>
      <c r="Y6" s="84">
        <v>0.0</v>
      </c>
      <c r="Z6" s="84">
        <v>0.0</v>
      </c>
      <c r="AA6" s="84">
        <v>0.0</v>
      </c>
      <c r="AB6" s="84">
        <v>0.0</v>
      </c>
      <c r="AC6" s="91">
        <v>0.007662835249042145</v>
      </c>
      <c r="AD6" s="84">
        <v>0.0</v>
      </c>
      <c r="AE6" s="84">
        <v>0.0</v>
      </c>
      <c r="AF6" s="84">
        <v>0.0</v>
      </c>
      <c r="AG6" s="84">
        <v>0.0</v>
      </c>
      <c r="AH6" s="84">
        <v>0.0</v>
      </c>
      <c r="AI6" s="84">
        <v>0.0</v>
      </c>
      <c r="AJ6" s="84">
        <v>0.0</v>
      </c>
      <c r="AK6" s="84">
        <v>0.0</v>
      </c>
      <c r="AL6" s="84">
        <v>0.0</v>
      </c>
      <c r="AM6" s="84">
        <v>0.0</v>
      </c>
      <c r="AN6" s="93">
        <f t="shared" si="1"/>
        <v>0.01493556252</v>
      </c>
      <c r="AO6" s="84">
        <f t="shared" si="2"/>
        <v>0</v>
      </c>
    </row>
    <row r="7" ht="12.75" customHeight="1">
      <c r="A7" s="84" t="s">
        <v>4386</v>
      </c>
      <c r="B7" s="84">
        <v>0.0</v>
      </c>
      <c r="C7" s="84">
        <v>0.0</v>
      </c>
      <c r="D7" s="84">
        <v>0.0</v>
      </c>
      <c r="E7" s="84">
        <v>0.0</v>
      </c>
      <c r="F7" s="84">
        <v>0.0</v>
      </c>
      <c r="G7" s="84">
        <v>0.0</v>
      </c>
      <c r="H7" s="84">
        <v>0.0</v>
      </c>
      <c r="I7" s="91">
        <v>0.007272727272727273</v>
      </c>
      <c r="J7" s="84">
        <v>0.0</v>
      </c>
      <c r="K7" s="84">
        <v>0.0</v>
      </c>
      <c r="L7" s="84">
        <v>0.0</v>
      </c>
      <c r="M7" s="84">
        <v>0.0</v>
      </c>
      <c r="N7" s="84">
        <v>0.0</v>
      </c>
      <c r="O7" s="84">
        <v>0.0</v>
      </c>
      <c r="P7" s="84">
        <v>0.0</v>
      </c>
      <c r="Q7" s="84">
        <v>0.0</v>
      </c>
      <c r="R7" s="84">
        <v>0.0</v>
      </c>
      <c r="S7" s="84">
        <v>0.0</v>
      </c>
      <c r="T7" s="84">
        <v>0.0</v>
      </c>
      <c r="U7" s="84">
        <v>0.0</v>
      </c>
      <c r="V7" s="84">
        <v>0.0</v>
      </c>
      <c r="W7" s="84">
        <v>0.0</v>
      </c>
      <c r="X7" s="84">
        <v>0.0</v>
      </c>
      <c r="Y7" s="84">
        <v>0.0</v>
      </c>
      <c r="Z7" s="84">
        <v>0.0</v>
      </c>
      <c r="AA7" s="84">
        <v>0.0</v>
      </c>
      <c r="AB7" s="84">
        <v>0.0</v>
      </c>
      <c r="AC7" s="91">
        <v>0.005108556832694764</v>
      </c>
      <c r="AD7" s="84">
        <v>0.0</v>
      </c>
      <c r="AE7" s="84">
        <v>0.0</v>
      </c>
      <c r="AF7" s="84">
        <v>0.0</v>
      </c>
      <c r="AG7" s="84">
        <v>0.0</v>
      </c>
      <c r="AH7" s="84">
        <v>0.0</v>
      </c>
      <c r="AI7" s="84">
        <v>0.0</v>
      </c>
      <c r="AJ7" s="84">
        <v>0.0</v>
      </c>
      <c r="AK7" s="84">
        <v>0.0</v>
      </c>
      <c r="AL7" s="84">
        <v>0.0</v>
      </c>
      <c r="AM7" s="84">
        <v>0.0</v>
      </c>
      <c r="AN7" s="93">
        <f t="shared" si="1"/>
        <v>0.01238128411</v>
      </c>
      <c r="AO7" s="84">
        <f t="shared" si="2"/>
        <v>0</v>
      </c>
    </row>
    <row r="8" ht="12.75" customHeight="1">
      <c r="A8" s="84" t="s">
        <v>4392</v>
      </c>
      <c r="B8" s="84">
        <v>0.0</v>
      </c>
      <c r="C8" s="84">
        <v>0.0</v>
      </c>
      <c r="D8" s="84">
        <v>0.0</v>
      </c>
      <c r="E8" s="84">
        <v>0.0</v>
      </c>
      <c r="F8" s="84">
        <v>0.0</v>
      </c>
      <c r="G8" s="84">
        <v>0.0</v>
      </c>
      <c r="H8" s="84">
        <v>0.0</v>
      </c>
      <c r="I8" s="91">
        <v>0.007272727272727273</v>
      </c>
      <c r="J8" s="84">
        <v>0.0</v>
      </c>
      <c r="K8" s="84">
        <v>0.0</v>
      </c>
      <c r="L8" s="84">
        <v>0.0</v>
      </c>
      <c r="M8" s="84">
        <v>0.0</v>
      </c>
      <c r="N8" s="84">
        <v>0.0</v>
      </c>
      <c r="O8" s="84">
        <v>0.0</v>
      </c>
      <c r="P8" s="84">
        <v>0.0</v>
      </c>
      <c r="Q8" s="84">
        <v>0.0</v>
      </c>
      <c r="R8" s="84">
        <v>0.0</v>
      </c>
      <c r="S8" s="84">
        <v>0.0</v>
      </c>
      <c r="T8" s="84">
        <v>0.0</v>
      </c>
      <c r="U8" s="84">
        <v>0.0</v>
      </c>
      <c r="V8" s="84">
        <v>0.0</v>
      </c>
      <c r="W8" s="84">
        <v>0.0</v>
      </c>
      <c r="X8" s="84">
        <v>0.0</v>
      </c>
      <c r="Y8" s="84">
        <v>0.0</v>
      </c>
      <c r="Z8" s="84">
        <v>0.0</v>
      </c>
      <c r="AA8" s="84">
        <v>0.0</v>
      </c>
      <c r="AB8" s="84">
        <v>0.0</v>
      </c>
      <c r="AC8" s="91">
        <v>0.007662835249042145</v>
      </c>
      <c r="AD8" s="84">
        <v>0.0</v>
      </c>
      <c r="AE8" s="84">
        <v>0.0</v>
      </c>
      <c r="AF8" s="84">
        <v>0.0</v>
      </c>
      <c r="AG8" s="84">
        <v>0.0</v>
      </c>
      <c r="AH8" s="84">
        <v>0.0</v>
      </c>
      <c r="AI8" s="84">
        <v>0.0</v>
      </c>
      <c r="AJ8" s="84">
        <v>0.0</v>
      </c>
      <c r="AK8" s="84">
        <v>0.0</v>
      </c>
      <c r="AL8" s="84">
        <v>0.0</v>
      </c>
      <c r="AM8" s="84">
        <v>0.0</v>
      </c>
      <c r="AN8" s="93">
        <f t="shared" si="1"/>
        <v>0.01493556252</v>
      </c>
      <c r="AO8" s="84">
        <f t="shared" si="2"/>
        <v>0</v>
      </c>
    </row>
    <row r="9" ht="12.75" customHeight="1">
      <c r="A9" s="84" t="s">
        <v>4425</v>
      </c>
      <c r="B9" s="84">
        <v>0.0</v>
      </c>
      <c r="C9" s="84">
        <v>0.0</v>
      </c>
      <c r="D9" s="84">
        <v>0.0</v>
      </c>
      <c r="E9" s="84">
        <v>0.0</v>
      </c>
      <c r="F9" s="84">
        <v>0.0</v>
      </c>
      <c r="G9" s="84">
        <v>0.0</v>
      </c>
      <c r="H9" s="84">
        <v>0.0</v>
      </c>
      <c r="I9" s="91">
        <v>0.007272727272727273</v>
      </c>
      <c r="J9" s="84">
        <v>0.0</v>
      </c>
      <c r="K9" s="84">
        <v>0.0</v>
      </c>
      <c r="L9" s="84">
        <v>0.0</v>
      </c>
      <c r="M9" s="84">
        <v>0.0</v>
      </c>
      <c r="N9" s="84">
        <v>0.0</v>
      </c>
      <c r="O9" s="84">
        <v>0.0</v>
      </c>
      <c r="P9" s="84">
        <v>0.0</v>
      </c>
      <c r="Q9" s="84">
        <v>0.0</v>
      </c>
      <c r="R9" s="84">
        <v>0.0</v>
      </c>
      <c r="S9" s="84">
        <v>0.0</v>
      </c>
      <c r="T9" s="84">
        <v>0.0</v>
      </c>
      <c r="U9" s="84">
        <v>0.0</v>
      </c>
      <c r="V9" s="84">
        <v>0.0</v>
      </c>
      <c r="W9" s="84">
        <v>0.0</v>
      </c>
      <c r="X9" s="84">
        <v>0.0</v>
      </c>
      <c r="Y9" s="84">
        <v>0.0</v>
      </c>
      <c r="Z9" s="84">
        <v>0.0</v>
      </c>
      <c r="AA9" s="84">
        <v>0.0</v>
      </c>
      <c r="AB9" s="84">
        <v>0.0</v>
      </c>
      <c r="AC9" s="91">
        <v>0.007662835249042145</v>
      </c>
      <c r="AD9" s="84">
        <v>0.0</v>
      </c>
      <c r="AE9" s="84">
        <v>0.0</v>
      </c>
      <c r="AF9" s="84">
        <v>0.0</v>
      </c>
      <c r="AG9" s="84">
        <v>0.0</v>
      </c>
      <c r="AH9" s="84">
        <v>0.0</v>
      </c>
      <c r="AI9" s="84">
        <v>0.0</v>
      </c>
      <c r="AJ9" s="84">
        <v>0.0</v>
      </c>
      <c r="AK9" s="84">
        <v>0.0</v>
      </c>
      <c r="AL9" s="84">
        <v>0.0</v>
      </c>
      <c r="AM9" s="84">
        <v>0.0</v>
      </c>
      <c r="AN9" s="93">
        <f t="shared" si="1"/>
        <v>0.01493556252</v>
      </c>
      <c r="AO9" s="84">
        <f t="shared" si="2"/>
        <v>0</v>
      </c>
    </row>
    <row r="10" ht="12.75" customHeight="1">
      <c r="A10" s="84" t="s">
        <v>4272</v>
      </c>
      <c r="B10" s="84">
        <v>0.0</v>
      </c>
      <c r="C10" s="84">
        <v>0.0</v>
      </c>
      <c r="D10" s="84">
        <v>0.0</v>
      </c>
      <c r="E10" s="84">
        <v>0.0</v>
      </c>
      <c r="F10" s="84">
        <v>0.0</v>
      </c>
      <c r="G10" s="84">
        <v>0.0</v>
      </c>
      <c r="H10" s="84">
        <v>0.0</v>
      </c>
      <c r="I10" s="91">
        <v>0.007272727272727273</v>
      </c>
      <c r="J10" s="84">
        <v>0.0</v>
      </c>
      <c r="K10" s="84">
        <v>0.0</v>
      </c>
      <c r="L10" s="84">
        <v>0.0</v>
      </c>
      <c r="M10" s="84">
        <v>0.0</v>
      </c>
      <c r="N10" s="84">
        <v>0.0</v>
      </c>
      <c r="O10" s="84">
        <v>0.0</v>
      </c>
      <c r="P10" s="84">
        <v>0.0</v>
      </c>
      <c r="Q10" s="84">
        <v>0.0</v>
      </c>
      <c r="R10" s="84">
        <v>0.0</v>
      </c>
      <c r="S10" s="84">
        <v>0.0</v>
      </c>
      <c r="T10" s="84">
        <v>0.0</v>
      </c>
      <c r="U10" s="84">
        <v>0.0</v>
      </c>
      <c r="V10" s="84">
        <v>0.0</v>
      </c>
      <c r="W10" s="84">
        <v>0.0</v>
      </c>
      <c r="X10" s="84">
        <v>0.0</v>
      </c>
      <c r="Y10" s="84">
        <v>0.0</v>
      </c>
      <c r="Z10" s="84">
        <v>0.0</v>
      </c>
      <c r="AA10" s="84">
        <v>0.0</v>
      </c>
      <c r="AB10" s="84">
        <v>0.0</v>
      </c>
      <c r="AC10" s="91">
        <v>0.0038314176245210726</v>
      </c>
      <c r="AD10" s="84">
        <v>0.0</v>
      </c>
      <c r="AE10" s="84">
        <v>0.0</v>
      </c>
      <c r="AF10" s="84">
        <v>0.0</v>
      </c>
      <c r="AG10" s="84">
        <v>0.0</v>
      </c>
      <c r="AH10" s="84">
        <v>0.0</v>
      </c>
      <c r="AI10" s="84">
        <v>0.0</v>
      </c>
      <c r="AJ10" s="84">
        <v>0.0</v>
      </c>
      <c r="AK10" s="84">
        <v>0.0</v>
      </c>
      <c r="AL10" s="84">
        <v>0.0</v>
      </c>
      <c r="AM10" s="84">
        <v>0.0</v>
      </c>
      <c r="AN10" s="93">
        <f t="shared" si="1"/>
        <v>0.0111041449</v>
      </c>
      <c r="AO10" s="84">
        <f t="shared" si="2"/>
        <v>0</v>
      </c>
    </row>
    <row r="11" ht="12.75" customHeight="1">
      <c r="A11" s="84" t="s">
        <v>4389</v>
      </c>
      <c r="B11" s="84">
        <v>0.0</v>
      </c>
      <c r="C11" s="84">
        <v>0.0</v>
      </c>
      <c r="D11" s="84">
        <v>0.0</v>
      </c>
      <c r="E11" s="84">
        <v>0.0</v>
      </c>
      <c r="F11" s="84">
        <v>0.0</v>
      </c>
      <c r="G11" s="84">
        <v>0.0</v>
      </c>
      <c r="H11" s="84">
        <v>0.0</v>
      </c>
      <c r="I11" s="91">
        <v>0.006060606060606061</v>
      </c>
      <c r="J11" s="84">
        <v>0.0</v>
      </c>
      <c r="K11" s="84">
        <v>0.0</v>
      </c>
      <c r="L11" s="84">
        <v>0.0</v>
      </c>
      <c r="M11" s="84">
        <v>0.0</v>
      </c>
      <c r="N11" s="84">
        <v>0.0</v>
      </c>
      <c r="O11" s="84">
        <v>0.0</v>
      </c>
      <c r="P11" s="84">
        <v>0.0</v>
      </c>
      <c r="Q11" s="84">
        <v>0.0</v>
      </c>
      <c r="R11" s="84">
        <v>0.0</v>
      </c>
      <c r="S11" s="84">
        <v>0.0</v>
      </c>
      <c r="T11" s="84">
        <v>0.0</v>
      </c>
      <c r="U11" s="84">
        <v>0.0</v>
      </c>
      <c r="V11" s="84">
        <v>0.0</v>
      </c>
      <c r="W11" s="84">
        <v>0.0</v>
      </c>
      <c r="X11" s="84">
        <v>0.0</v>
      </c>
      <c r="Y11" s="84">
        <v>0.0</v>
      </c>
      <c r="Z11" s="84">
        <v>0.0</v>
      </c>
      <c r="AA11" s="84">
        <v>0.0</v>
      </c>
      <c r="AB11" s="84">
        <v>0.0</v>
      </c>
      <c r="AC11" s="91">
        <v>0.007662835249042145</v>
      </c>
      <c r="AD11" s="84">
        <v>0.0</v>
      </c>
      <c r="AE11" s="84">
        <v>0.0</v>
      </c>
      <c r="AF11" s="84">
        <v>0.0</v>
      </c>
      <c r="AG11" s="84">
        <v>0.0</v>
      </c>
      <c r="AH11" s="84">
        <v>0.0</v>
      </c>
      <c r="AI11" s="84">
        <v>0.0</v>
      </c>
      <c r="AJ11" s="84">
        <v>0.0</v>
      </c>
      <c r="AK11" s="84">
        <v>0.0</v>
      </c>
      <c r="AL11" s="84">
        <v>0.0</v>
      </c>
      <c r="AM11" s="84">
        <v>0.0</v>
      </c>
      <c r="AN11" s="93">
        <f t="shared" si="1"/>
        <v>0.01372344131</v>
      </c>
      <c r="AO11" s="84">
        <f t="shared" si="2"/>
        <v>0</v>
      </c>
    </row>
    <row r="12" ht="12.75" customHeight="1">
      <c r="A12" s="84" t="s">
        <v>4370</v>
      </c>
      <c r="B12" s="84">
        <v>0.0</v>
      </c>
      <c r="C12" s="84">
        <v>0.0</v>
      </c>
      <c r="D12" s="84">
        <v>0.0</v>
      </c>
      <c r="E12" s="84">
        <v>0.0</v>
      </c>
      <c r="F12" s="84">
        <v>0.0</v>
      </c>
      <c r="G12" s="84">
        <v>0.0</v>
      </c>
      <c r="H12" s="84">
        <v>0.0</v>
      </c>
      <c r="I12" s="91">
        <v>0.006060606060606061</v>
      </c>
      <c r="J12" s="84">
        <v>0.0</v>
      </c>
      <c r="K12" s="84">
        <v>0.0</v>
      </c>
      <c r="L12" s="84">
        <v>0.0</v>
      </c>
      <c r="M12" s="84">
        <v>0.0</v>
      </c>
      <c r="N12" s="84">
        <v>0.0</v>
      </c>
      <c r="O12" s="84">
        <v>0.0</v>
      </c>
      <c r="P12" s="84">
        <v>0.0</v>
      </c>
      <c r="Q12" s="84">
        <v>0.0</v>
      </c>
      <c r="R12" s="84">
        <v>0.0</v>
      </c>
      <c r="S12" s="84">
        <v>0.0</v>
      </c>
      <c r="T12" s="84">
        <v>0.0</v>
      </c>
      <c r="U12" s="84">
        <v>0.0</v>
      </c>
      <c r="V12" s="84">
        <v>0.0</v>
      </c>
      <c r="W12" s="84">
        <v>0.0</v>
      </c>
      <c r="X12" s="84">
        <v>0.0</v>
      </c>
      <c r="Y12" s="84">
        <v>0.0</v>
      </c>
      <c r="Z12" s="84">
        <v>0.0</v>
      </c>
      <c r="AA12" s="84">
        <v>0.0</v>
      </c>
      <c r="AB12" s="84">
        <v>0.0</v>
      </c>
      <c r="AC12" s="91">
        <v>0.005108556832694764</v>
      </c>
      <c r="AD12" s="84">
        <v>0.0</v>
      </c>
      <c r="AE12" s="84">
        <v>0.0</v>
      </c>
      <c r="AF12" s="84">
        <v>0.0</v>
      </c>
      <c r="AG12" s="84">
        <v>0.0</v>
      </c>
      <c r="AH12" s="84">
        <v>0.0</v>
      </c>
      <c r="AI12" s="84">
        <v>0.0</v>
      </c>
      <c r="AJ12" s="84">
        <v>0.0</v>
      </c>
      <c r="AK12" s="84">
        <v>0.0</v>
      </c>
      <c r="AL12" s="84">
        <v>0.0</v>
      </c>
      <c r="AM12" s="84">
        <v>0.0</v>
      </c>
      <c r="AN12" s="93">
        <f t="shared" si="1"/>
        <v>0.01116916289</v>
      </c>
      <c r="AO12" s="84">
        <f t="shared" si="2"/>
        <v>0</v>
      </c>
    </row>
    <row r="13" ht="12.75" customHeight="1">
      <c r="A13" s="84" t="s">
        <v>4420</v>
      </c>
      <c r="B13" s="84">
        <v>0.0</v>
      </c>
      <c r="C13" s="84">
        <v>0.0</v>
      </c>
      <c r="D13" s="84">
        <v>0.0</v>
      </c>
      <c r="E13" s="84">
        <v>0.0</v>
      </c>
      <c r="F13" s="84">
        <v>0.0</v>
      </c>
      <c r="G13" s="84">
        <v>0.0</v>
      </c>
      <c r="H13" s="84">
        <v>0.0</v>
      </c>
      <c r="I13" s="91">
        <v>0.006060606060606061</v>
      </c>
      <c r="J13" s="84">
        <v>0.0</v>
      </c>
      <c r="K13" s="84">
        <v>0.0</v>
      </c>
      <c r="L13" s="84">
        <v>0.0</v>
      </c>
      <c r="M13" s="84">
        <v>0.0</v>
      </c>
      <c r="N13" s="84">
        <v>0.0</v>
      </c>
      <c r="O13" s="84">
        <v>0.0</v>
      </c>
      <c r="P13" s="84">
        <v>0.0</v>
      </c>
      <c r="Q13" s="84">
        <v>0.0</v>
      </c>
      <c r="R13" s="84">
        <v>0.0</v>
      </c>
      <c r="S13" s="84">
        <v>0.0</v>
      </c>
      <c r="T13" s="84">
        <v>0.0</v>
      </c>
      <c r="U13" s="84">
        <v>0.0</v>
      </c>
      <c r="V13" s="84">
        <v>0.0</v>
      </c>
      <c r="W13" s="84">
        <v>0.0</v>
      </c>
      <c r="X13" s="84">
        <v>0.0</v>
      </c>
      <c r="Y13" s="84">
        <v>0.0</v>
      </c>
      <c r="Z13" s="84">
        <v>0.0</v>
      </c>
      <c r="AA13" s="84">
        <v>0.0</v>
      </c>
      <c r="AB13" s="84">
        <v>0.0</v>
      </c>
      <c r="AC13" s="91">
        <v>0.005108556832694764</v>
      </c>
      <c r="AD13" s="84">
        <v>0.0</v>
      </c>
      <c r="AE13" s="84">
        <v>0.0</v>
      </c>
      <c r="AF13" s="84">
        <v>0.0</v>
      </c>
      <c r="AG13" s="84">
        <v>0.0</v>
      </c>
      <c r="AH13" s="84">
        <v>0.0</v>
      </c>
      <c r="AI13" s="84">
        <v>0.0</v>
      </c>
      <c r="AJ13" s="84">
        <v>0.0</v>
      </c>
      <c r="AK13" s="84">
        <v>0.0</v>
      </c>
      <c r="AL13" s="84">
        <v>0.0</v>
      </c>
      <c r="AM13" s="84">
        <v>0.0</v>
      </c>
      <c r="AN13" s="93">
        <f t="shared" si="1"/>
        <v>0.01116916289</v>
      </c>
      <c r="AO13" s="84">
        <f t="shared" si="2"/>
        <v>0</v>
      </c>
    </row>
    <row r="14" ht="12.75" customHeight="1">
      <c r="A14" s="84" t="s">
        <v>4394</v>
      </c>
      <c r="B14" s="84">
        <v>0.0</v>
      </c>
      <c r="C14" s="84">
        <v>0.0</v>
      </c>
      <c r="D14" s="84">
        <v>0.0</v>
      </c>
      <c r="E14" s="84">
        <v>0.0</v>
      </c>
      <c r="F14" s="84">
        <v>0.0</v>
      </c>
      <c r="G14" s="84">
        <v>0.0</v>
      </c>
      <c r="H14" s="84">
        <v>0.0</v>
      </c>
      <c r="I14" s="91">
        <v>0.006060606060606061</v>
      </c>
      <c r="J14" s="84">
        <v>0.0</v>
      </c>
      <c r="K14" s="84">
        <v>0.0</v>
      </c>
      <c r="L14" s="84">
        <v>0.0</v>
      </c>
      <c r="M14" s="84">
        <v>0.0</v>
      </c>
      <c r="N14" s="84">
        <v>0.0</v>
      </c>
      <c r="O14" s="84">
        <v>0.0</v>
      </c>
      <c r="P14" s="84">
        <v>0.0</v>
      </c>
      <c r="Q14" s="84">
        <v>0.0</v>
      </c>
      <c r="R14" s="84">
        <v>0.0</v>
      </c>
      <c r="S14" s="84">
        <v>0.0</v>
      </c>
      <c r="T14" s="84">
        <v>0.0</v>
      </c>
      <c r="U14" s="84">
        <v>0.0</v>
      </c>
      <c r="V14" s="84">
        <v>0.0</v>
      </c>
      <c r="W14" s="84">
        <v>0.0</v>
      </c>
      <c r="X14" s="84">
        <v>0.0</v>
      </c>
      <c r="Y14" s="84">
        <v>0.0</v>
      </c>
      <c r="Z14" s="84">
        <v>0.0</v>
      </c>
      <c r="AA14" s="84">
        <v>0.0</v>
      </c>
      <c r="AB14" s="84">
        <v>0.0</v>
      </c>
      <c r="AC14" s="91">
        <v>0.007662835249042145</v>
      </c>
      <c r="AD14" s="84">
        <v>0.0</v>
      </c>
      <c r="AE14" s="84">
        <v>0.0</v>
      </c>
      <c r="AF14" s="84">
        <v>0.0</v>
      </c>
      <c r="AG14" s="84">
        <v>0.0</v>
      </c>
      <c r="AH14" s="84">
        <v>0.0</v>
      </c>
      <c r="AI14" s="84">
        <v>0.0</v>
      </c>
      <c r="AJ14" s="84">
        <v>0.0</v>
      </c>
      <c r="AK14" s="84">
        <v>0.0</v>
      </c>
      <c r="AL14" s="84">
        <v>0.0</v>
      </c>
      <c r="AM14" s="84">
        <v>0.0</v>
      </c>
      <c r="AN14" s="93">
        <f t="shared" si="1"/>
        <v>0.01372344131</v>
      </c>
      <c r="AO14" s="84">
        <f t="shared" si="2"/>
        <v>0</v>
      </c>
    </row>
    <row r="15" ht="12.75" customHeight="1">
      <c r="A15" s="84" t="s">
        <v>4382</v>
      </c>
      <c r="B15" s="84">
        <v>0.0</v>
      </c>
      <c r="C15" s="84">
        <v>0.0</v>
      </c>
      <c r="D15" s="84">
        <v>0.0</v>
      </c>
      <c r="E15" s="84">
        <v>0.0</v>
      </c>
      <c r="F15" s="84">
        <v>0.0</v>
      </c>
      <c r="G15" s="84">
        <v>0.0</v>
      </c>
      <c r="H15" s="84">
        <v>0.0</v>
      </c>
      <c r="I15" s="91">
        <v>0.006060606060606061</v>
      </c>
      <c r="J15" s="84">
        <v>0.0</v>
      </c>
      <c r="K15" s="84">
        <v>0.0</v>
      </c>
      <c r="L15" s="84">
        <v>0.0</v>
      </c>
      <c r="M15" s="84">
        <v>0.0</v>
      </c>
      <c r="N15" s="84">
        <v>0.0</v>
      </c>
      <c r="O15" s="84">
        <v>0.0</v>
      </c>
      <c r="P15" s="84">
        <v>0.0</v>
      </c>
      <c r="Q15" s="84">
        <v>0.0</v>
      </c>
      <c r="R15" s="84">
        <v>0.0</v>
      </c>
      <c r="S15" s="84">
        <v>0.0</v>
      </c>
      <c r="T15" s="84">
        <v>0.0</v>
      </c>
      <c r="U15" s="84">
        <v>0.0</v>
      </c>
      <c r="V15" s="84">
        <v>0.0</v>
      </c>
      <c r="W15" s="84">
        <v>0.0</v>
      </c>
      <c r="X15" s="84">
        <v>0.0</v>
      </c>
      <c r="Y15" s="84">
        <v>0.0</v>
      </c>
      <c r="Z15" s="84">
        <v>0.0</v>
      </c>
      <c r="AA15" s="84">
        <v>0.0</v>
      </c>
      <c r="AB15" s="84">
        <v>0.0</v>
      </c>
      <c r="AC15" s="91">
        <v>0.007662835249042145</v>
      </c>
      <c r="AD15" s="84">
        <v>0.0</v>
      </c>
      <c r="AE15" s="84">
        <v>0.0</v>
      </c>
      <c r="AF15" s="84">
        <v>0.0</v>
      </c>
      <c r="AG15" s="84">
        <v>0.0</v>
      </c>
      <c r="AH15" s="84">
        <v>0.0</v>
      </c>
      <c r="AI15" s="84">
        <v>0.0</v>
      </c>
      <c r="AJ15" s="84">
        <v>0.0</v>
      </c>
      <c r="AK15" s="84">
        <v>0.0</v>
      </c>
      <c r="AL15" s="84">
        <v>0.0</v>
      </c>
      <c r="AM15" s="84">
        <v>0.0</v>
      </c>
      <c r="AN15" s="93">
        <f t="shared" si="1"/>
        <v>0.01372344131</v>
      </c>
      <c r="AO15" s="84">
        <f t="shared" si="2"/>
        <v>0</v>
      </c>
    </row>
    <row r="16" ht="12.75" customHeight="1">
      <c r="A16" s="84" t="s">
        <v>4384</v>
      </c>
      <c r="B16" s="84">
        <v>0.0</v>
      </c>
      <c r="C16" s="84">
        <v>0.0</v>
      </c>
      <c r="D16" s="84">
        <v>0.0</v>
      </c>
      <c r="E16" s="84">
        <v>0.0</v>
      </c>
      <c r="F16" s="84">
        <v>0.0</v>
      </c>
      <c r="G16" s="84">
        <v>0.0</v>
      </c>
      <c r="H16" s="84">
        <v>0.0</v>
      </c>
      <c r="I16" s="91">
        <v>0.006060606060606061</v>
      </c>
      <c r="J16" s="84">
        <v>0.0</v>
      </c>
      <c r="K16" s="84">
        <v>0.0</v>
      </c>
      <c r="L16" s="84">
        <v>0.0</v>
      </c>
      <c r="M16" s="84">
        <v>0.0</v>
      </c>
      <c r="N16" s="84">
        <v>0.0</v>
      </c>
      <c r="O16" s="84">
        <v>0.0</v>
      </c>
      <c r="P16" s="84">
        <v>0.0</v>
      </c>
      <c r="Q16" s="84">
        <v>0.0</v>
      </c>
      <c r="R16" s="84">
        <v>0.0</v>
      </c>
      <c r="S16" s="84">
        <v>0.0</v>
      </c>
      <c r="T16" s="84">
        <v>0.0</v>
      </c>
      <c r="U16" s="84">
        <v>0.0</v>
      </c>
      <c r="V16" s="84">
        <v>0.0</v>
      </c>
      <c r="W16" s="84">
        <v>0.0</v>
      </c>
      <c r="X16" s="84">
        <v>0.0</v>
      </c>
      <c r="Y16" s="84">
        <v>0.0</v>
      </c>
      <c r="Z16" s="84">
        <v>0.0</v>
      </c>
      <c r="AA16" s="84">
        <v>0.0</v>
      </c>
      <c r="AB16" s="84">
        <v>0.0</v>
      </c>
      <c r="AC16" s="91">
        <v>0.007662835249042145</v>
      </c>
      <c r="AD16" s="84">
        <v>0.0</v>
      </c>
      <c r="AE16" s="84">
        <v>0.0</v>
      </c>
      <c r="AF16" s="84">
        <v>0.0</v>
      </c>
      <c r="AG16" s="84">
        <v>0.0</v>
      </c>
      <c r="AH16" s="84">
        <v>0.0</v>
      </c>
      <c r="AI16" s="84">
        <v>0.0</v>
      </c>
      <c r="AJ16" s="84">
        <v>0.0</v>
      </c>
      <c r="AK16" s="84">
        <v>0.0</v>
      </c>
      <c r="AL16" s="84">
        <v>0.0</v>
      </c>
      <c r="AM16" s="84">
        <v>0.0</v>
      </c>
      <c r="AN16" s="93">
        <f t="shared" si="1"/>
        <v>0.01372344131</v>
      </c>
      <c r="AO16" s="84">
        <f t="shared" si="2"/>
        <v>0</v>
      </c>
    </row>
    <row r="17" ht="12.75" customHeight="1">
      <c r="A17" s="84" t="s">
        <v>4430</v>
      </c>
      <c r="B17" s="84">
        <v>0.0</v>
      </c>
      <c r="C17" s="84">
        <v>0.0</v>
      </c>
      <c r="D17" s="84">
        <v>0.0</v>
      </c>
      <c r="E17" s="84">
        <v>0.0</v>
      </c>
      <c r="F17" s="84">
        <v>0.0</v>
      </c>
      <c r="G17" s="84">
        <v>0.0</v>
      </c>
      <c r="H17" s="84">
        <v>0.0</v>
      </c>
      <c r="I17" s="91">
        <v>0.006060606060606061</v>
      </c>
      <c r="J17" s="84">
        <v>0.0</v>
      </c>
      <c r="K17" s="84">
        <v>0.0</v>
      </c>
      <c r="L17" s="84">
        <v>0.0</v>
      </c>
      <c r="M17" s="84">
        <v>0.0</v>
      </c>
      <c r="N17" s="84">
        <v>0.0</v>
      </c>
      <c r="O17" s="84">
        <v>0.0</v>
      </c>
      <c r="P17" s="84">
        <v>0.0</v>
      </c>
      <c r="Q17" s="84">
        <v>0.0</v>
      </c>
      <c r="R17" s="84">
        <v>0.0</v>
      </c>
      <c r="S17" s="84">
        <v>0.0</v>
      </c>
      <c r="T17" s="84">
        <v>0.0</v>
      </c>
      <c r="U17" s="84">
        <v>0.0</v>
      </c>
      <c r="V17" s="84">
        <v>0.0</v>
      </c>
      <c r="W17" s="84">
        <v>0.0</v>
      </c>
      <c r="X17" s="84">
        <v>0.0</v>
      </c>
      <c r="Y17" s="84">
        <v>0.0</v>
      </c>
      <c r="Z17" s="84">
        <v>0.0</v>
      </c>
      <c r="AA17" s="84">
        <v>0.0</v>
      </c>
      <c r="AB17" s="84">
        <v>0.0</v>
      </c>
      <c r="AC17" s="91">
        <v>0.005108556832694764</v>
      </c>
      <c r="AD17" s="84">
        <v>0.0</v>
      </c>
      <c r="AE17" s="84">
        <v>0.0</v>
      </c>
      <c r="AF17" s="84">
        <v>0.0</v>
      </c>
      <c r="AG17" s="84">
        <v>0.0</v>
      </c>
      <c r="AH17" s="84">
        <v>0.0</v>
      </c>
      <c r="AI17" s="84">
        <v>0.0</v>
      </c>
      <c r="AJ17" s="84">
        <v>0.0</v>
      </c>
      <c r="AK17" s="84">
        <v>0.0</v>
      </c>
      <c r="AL17" s="84">
        <v>0.0</v>
      </c>
      <c r="AM17" s="84">
        <v>0.0</v>
      </c>
      <c r="AN17" s="93">
        <f t="shared" si="1"/>
        <v>0.01116916289</v>
      </c>
      <c r="AO17" s="84">
        <f t="shared" si="2"/>
        <v>0</v>
      </c>
    </row>
    <row r="18" ht="12.75" customHeight="1">
      <c r="A18" s="84" t="s">
        <v>4145</v>
      </c>
      <c r="B18" s="84">
        <v>0.0</v>
      </c>
      <c r="C18" s="84">
        <v>0.0</v>
      </c>
      <c r="D18" s="84">
        <v>0.0</v>
      </c>
      <c r="E18" s="84">
        <v>0.0</v>
      </c>
      <c r="F18" s="84">
        <v>0.0</v>
      </c>
      <c r="G18" s="84">
        <v>0.0</v>
      </c>
      <c r="H18" s="84">
        <v>0.0</v>
      </c>
      <c r="I18" s="91">
        <v>0.006060606060606061</v>
      </c>
      <c r="J18" s="84">
        <v>0.0</v>
      </c>
      <c r="K18" s="84">
        <v>0.0</v>
      </c>
      <c r="L18" s="84">
        <v>0.0</v>
      </c>
      <c r="M18" s="84">
        <v>0.0</v>
      </c>
      <c r="N18" s="84">
        <v>0.0</v>
      </c>
      <c r="O18" s="84">
        <v>0.0</v>
      </c>
      <c r="P18" s="84">
        <v>0.0</v>
      </c>
      <c r="Q18" s="84">
        <v>0.0</v>
      </c>
      <c r="R18" s="84">
        <v>0.0</v>
      </c>
      <c r="S18" s="84">
        <v>0.0</v>
      </c>
      <c r="T18" s="84">
        <v>0.0</v>
      </c>
      <c r="U18" s="84">
        <v>0.0</v>
      </c>
      <c r="V18" s="84">
        <v>0.0</v>
      </c>
      <c r="W18" s="84">
        <v>0.0</v>
      </c>
      <c r="X18" s="84">
        <v>0.0</v>
      </c>
      <c r="Y18" s="84">
        <v>0.0</v>
      </c>
      <c r="Z18" s="84">
        <v>0.0</v>
      </c>
      <c r="AA18" s="84">
        <v>0.0</v>
      </c>
      <c r="AB18" s="84">
        <v>0.0</v>
      </c>
      <c r="AC18" s="91">
        <v>0.0038314176245210726</v>
      </c>
      <c r="AD18" s="84">
        <v>0.0</v>
      </c>
      <c r="AE18" s="84">
        <v>0.0</v>
      </c>
      <c r="AF18" s="84">
        <v>0.0</v>
      </c>
      <c r="AG18" s="84">
        <v>0.0</v>
      </c>
      <c r="AH18" s="84">
        <v>0.0</v>
      </c>
      <c r="AI18" s="84">
        <v>0.0</v>
      </c>
      <c r="AJ18" s="84">
        <v>0.0</v>
      </c>
      <c r="AK18" s="84">
        <v>0.0</v>
      </c>
      <c r="AL18" s="84">
        <v>0.0</v>
      </c>
      <c r="AM18" s="84">
        <v>0.0</v>
      </c>
      <c r="AN18" s="93">
        <f t="shared" si="1"/>
        <v>0.009892023685</v>
      </c>
      <c r="AO18" s="84">
        <f t="shared" si="2"/>
        <v>0</v>
      </c>
    </row>
    <row r="19" ht="12.75" customHeight="1">
      <c r="A19" s="84" t="s">
        <v>4435</v>
      </c>
      <c r="B19" s="84">
        <v>0.0</v>
      </c>
      <c r="C19" s="84">
        <v>0.0</v>
      </c>
      <c r="D19" s="84">
        <v>0.0</v>
      </c>
      <c r="E19" s="84">
        <v>0.0</v>
      </c>
      <c r="F19" s="84">
        <v>0.0</v>
      </c>
      <c r="G19" s="84">
        <v>0.0</v>
      </c>
      <c r="H19" s="84">
        <v>0.0</v>
      </c>
      <c r="I19" s="91">
        <v>0.006060606060606061</v>
      </c>
      <c r="J19" s="84">
        <v>0.0</v>
      </c>
      <c r="K19" s="84">
        <v>0.0</v>
      </c>
      <c r="L19" s="84">
        <v>0.0</v>
      </c>
      <c r="M19" s="84">
        <v>0.0</v>
      </c>
      <c r="N19" s="84">
        <v>0.0</v>
      </c>
      <c r="O19" s="84">
        <v>0.0</v>
      </c>
      <c r="P19" s="84">
        <v>0.0</v>
      </c>
      <c r="Q19" s="84">
        <v>0.0</v>
      </c>
      <c r="R19" s="84">
        <v>0.0</v>
      </c>
      <c r="S19" s="84">
        <v>0.0</v>
      </c>
      <c r="T19" s="84">
        <v>0.0</v>
      </c>
      <c r="U19" s="84">
        <v>0.0</v>
      </c>
      <c r="V19" s="84">
        <v>0.0</v>
      </c>
      <c r="W19" s="84">
        <v>0.0</v>
      </c>
      <c r="X19" s="84">
        <v>0.0</v>
      </c>
      <c r="Y19" s="84">
        <v>0.0</v>
      </c>
      <c r="Z19" s="84">
        <v>0.0</v>
      </c>
      <c r="AA19" s="84">
        <v>0.0</v>
      </c>
      <c r="AB19" s="84">
        <v>0.0</v>
      </c>
      <c r="AC19" s="91">
        <v>0.005108556832694764</v>
      </c>
      <c r="AD19" s="84">
        <v>0.0</v>
      </c>
      <c r="AE19" s="84">
        <v>0.0</v>
      </c>
      <c r="AF19" s="84">
        <v>0.0</v>
      </c>
      <c r="AG19" s="84">
        <v>0.0</v>
      </c>
      <c r="AH19" s="84">
        <v>0.0</v>
      </c>
      <c r="AI19" s="84">
        <v>0.0</v>
      </c>
      <c r="AJ19" s="84">
        <v>0.0</v>
      </c>
      <c r="AK19" s="84">
        <v>0.0</v>
      </c>
      <c r="AL19" s="84">
        <v>0.0</v>
      </c>
      <c r="AM19" s="84">
        <v>0.0</v>
      </c>
      <c r="AN19" s="93">
        <f t="shared" si="1"/>
        <v>0.01116916289</v>
      </c>
      <c r="AO19" s="84">
        <f t="shared" si="2"/>
        <v>0</v>
      </c>
    </row>
    <row r="20" ht="12.75" customHeight="1">
      <c r="A20" s="84" t="s">
        <v>4387</v>
      </c>
      <c r="B20" s="84">
        <v>0.0</v>
      </c>
      <c r="C20" s="84">
        <v>0.0</v>
      </c>
      <c r="D20" s="84">
        <v>0.0</v>
      </c>
      <c r="E20" s="84">
        <v>0.0</v>
      </c>
      <c r="F20" s="84">
        <v>0.0</v>
      </c>
      <c r="G20" s="84">
        <v>0.0</v>
      </c>
      <c r="H20" s="84">
        <v>0.0</v>
      </c>
      <c r="I20" s="91">
        <v>0.0048484848484848485</v>
      </c>
      <c r="J20" s="84">
        <v>0.0</v>
      </c>
      <c r="K20" s="84">
        <v>0.0</v>
      </c>
      <c r="L20" s="84">
        <v>0.0</v>
      </c>
      <c r="M20" s="84">
        <v>0.0</v>
      </c>
      <c r="N20" s="84">
        <v>0.0</v>
      </c>
      <c r="O20" s="84">
        <v>0.0</v>
      </c>
      <c r="P20" s="84">
        <v>0.0</v>
      </c>
      <c r="Q20" s="84">
        <v>0.0</v>
      </c>
      <c r="R20" s="84">
        <v>0.0</v>
      </c>
      <c r="S20" s="84">
        <v>0.0</v>
      </c>
      <c r="T20" s="84">
        <v>0.0</v>
      </c>
      <c r="U20" s="84">
        <v>0.0</v>
      </c>
      <c r="V20" s="84">
        <v>0.0</v>
      </c>
      <c r="W20" s="84">
        <v>0.0</v>
      </c>
      <c r="X20" s="84">
        <v>0.0</v>
      </c>
      <c r="Y20" s="84">
        <v>0.0</v>
      </c>
      <c r="Z20" s="84">
        <v>0.0</v>
      </c>
      <c r="AA20" s="84">
        <v>0.0</v>
      </c>
      <c r="AB20" s="84">
        <v>0.0</v>
      </c>
      <c r="AC20" s="91">
        <v>0.007662835249042145</v>
      </c>
      <c r="AD20" s="84">
        <v>0.0</v>
      </c>
      <c r="AE20" s="84">
        <v>0.0</v>
      </c>
      <c r="AF20" s="84">
        <v>0.0</v>
      </c>
      <c r="AG20" s="84">
        <v>0.0</v>
      </c>
      <c r="AH20" s="84">
        <v>0.0</v>
      </c>
      <c r="AI20" s="84">
        <v>0.0</v>
      </c>
      <c r="AJ20" s="84">
        <v>0.0</v>
      </c>
      <c r="AK20" s="84">
        <v>0.0</v>
      </c>
      <c r="AL20" s="84">
        <v>0.0</v>
      </c>
      <c r="AM20" s="84">
        <v>0.0</v>
      </c>
      <c r="AN20" s="93">
        <f t="shared" si="1"/>
        <v>0.0125113201</v>
      </c>
      <c r="AO20" s="84">
        <f t="shared" si="2"/>
        <v>0</v>
      </c>
    </row>
    <row r="21" ht="12.75" customHeight="1">
      <c r="A21" s="84" t="s">
        <v>4427</v>
      </c>
      <c r="B21" s="84">
        <v>0.0</v>
      </c>
      <c r="C21" s="84">
        <v>0.0</v>
      </c>
      <c r="D21" s="84">
        <v>0.0</v>
      </c>
      <c r="E21" s="84">
        <v>0.0</v>
      </c>
      <c r="F21" s="84">
        <v>0.0</v>
      </c>
      <c r="G21" s="84">
        <v>0.0</v>
      </c>
      <c r="H21" s="84">
        <v>0.0</v>
      </c>
      <c r="I21" s="91">
        <v>0.0048484848484848485</v>
      </c>
      <c r="J21" s="84">
        <v>0.0</v>
      </c>
      <c r="K21" s="84">
        <v>0.0</v>
      </c>
      <c r="L21" s="84">
        <v>0.0</v>
      </c>
      <c r="M21" s="84">
        <v>0.0</v>
      </c>
      <c r="N21" s="84">
        <v>0.0</v>
      </c>
      <c r="O21" s="84">
        <v>0.0</v>
      </c>
      <c r="P21" s="84">
        <v>0.0</v>
      </c>
      <c r="Q21" s="84">
        <v>0.0</v>
      </c>
      <c r="R21" s="84">
        <v>0.0</v>
      </c>
      <c r="S21" s="84">
        <v>0.0</v>
      </c>
      <c r="T21" s="84">
        <v>0.0</v>
      </c>
      <c r="U21" s="84">
        <v>0.0</v>
      </c>
      <c r="V21" s="84">
        <v>0.0</v>
      </c>
      <c r="W21" s="84">
        <v>0.0</v>
      </c>
      <c r="X21" s="84">
        <v>0.0</v>
      </c>
      <c r="Y21" s="84">
        <v>0.0</v>
      </c>
      <c r="Z21" s="84">
        <v>0.0</v>
      </c>
      <c r="AA21" s="84">
        <v>0.0</v>
      </c>
      <c r="AB21" s="84">
        <v>0.0</v>
      </c>
      <c r="AC21" s="91">
        <v>0.007662835249042145</v>
      </c>
      <c r="AD21" s="84">
        <v>0.0</v>
      </c>
      <c r="AE21" s="84">
        <v>0.0</v>
      </c>
      <c r="AF21" s="84">
        <v>0.0</v>
      </c>
      <c r="AG21" s="84">
        <v>0.0</v>
      </c>
      <c r="AH21" s="84">
        <v>0.0</v>
      </c>
      <c r="AI21" s="84">
        <v>0.0</v>
      </c>
      <c r="AJ21" s="84">
        <v>0.0</v>
      </c>
      <c r="AK21" s="84">
        <v>0.0</v>
      </c>
      <c r="AL21" s="84">
        <v>0.0</v>
      </c>
      <c r="AM21" s="84">
        <v>0.0</v>
      </c>
      <c r="AN21" s="93">
        <f t="shared" si="1"/>
        <v>0.0125113201</v>
      </c>
      <c r="AO21" s="84">
        <f t="shared" si="2"/>
        <v>0</v>
      </c>
    </row>
    <row r="22" ht="12.75" customHeight="1">
      <c r="A22" s="84" t="s">
        <v>4431</v>
      </c>
      <c r="B22" s="84">
        <v>0.0</v>
      </c>
      <c r="C22" s="84">
        <v>0.0</v>
      </c>
      <c r="D22" s="84">
        <v>0.0</v>
      </c>
      <c r="E22" s="84">
        <v>0.0</v>
      </c>
      <c r="F22" s="84">
        <v>0.0</v>
      </c>
      <c r="G22" s="84">
        <v>0.0</v>
      </c>
      <c r="H22" s="84">
        <v>0.0</v>
      </c>
      <c r="I22" s="91">
        <v>0.0048484848484848485</v>
      </c>
      <c r="J22" s="84">
        <v>0.0</v>
      </c>
      <c r="K22" s="84">
        <v>0.0</v>
      </c>
      <c r="L22" s="84">
        <v>0.0</v>
      </c>
      <c r="M22" s="84">
        <v>0.0</v>
      </c>
      <c r="N22" s="84">
        <v>0.0</v>
      </c>
      <c r="O22" s="84">
        <v>0.0</v>
      </c>
      <c r="P22" s="84">
        <v>0.0</v>
      </c>
      <c r="Q22" s="84">
        <v>0.0</v>
      </c>
      <c r="R22" s="84">
        <v>0.0</v>
      </c>
      <c r="S22" s="84">
        <v>0.0</v>
      </c>
      <c r="T22" s="84">
        <v>0.0</v>
      </c>
      <c r="U22" s="84">
        <v>0.0</v>
      </c>
      <c r="V22" s="84">
        <v>0.0</v>
      </c>
      <c r="W22" s="84">
        <v>0.0</v>
      </c>
      <c r="X22" s="84">
        <v>0.0</v>
      </c>
      <c r="Y22" s="84">
        <v>0.0</v>
      </c>
      <c r="Z22" s="84">
        <v>0.0</v>
      </c>
      <c r="AA22" s="84">
        <v>0.0</v>
      </c>
      <c r="AB22" s="84">
        <v>0.0</v>
      </c>
      <c r="AC22" s="91">
        <v>0.006385696040868455</v>
      </c>
      <c r="AD22" s="84">
        <v>0.0</v>
      </c>
      <c r="AE22" s="84">
        <v>0.0</v>
      </c>
      <c r="AF22" s="84">
        <v>0.0</v>
      </c>
      <c r="AG22" s="84">
        <v>0.0</v>
      </c>
      <c r="AH22" s="84">
        <v>0.0</v>
      </c>
      <c r="AI22" s="84">
        <v>0.0</v>
      </c>
      <c r="AJ22" s="84">
        <v>0.0</v>
      </c>
      <c r="AK22" s="84">
        <v>0.0</v>
      </c>
      <c r="AL22" s="84">
        <v>0.0</v>
      </c>
      <c r="AM22" s="84">
        <v>0.0</v>
      </c>
      <c r="AN22" s="93">
        <f t="shared" si="1"/>
        <v>0.01123418089</v>
      </c>
      <c r="AO22" s="84">
        <f t="shared" si="2"/>
        <v>0</v>
      </c>
    </row>
    <row r="23" ht="12.75" customHeight="1">
      <c r="A23" s="84" t="s">
        <v>4402</v>
      </c>
      <c r="B23" s="84">
        <v>0.0</v>
      </c>
      <c r="C23" s="84">
        <v>0.0</v>
      </c>
      <c r="D23" s="84">
        <v>0.0</v>
      </c>
      <c r="E23" s="84">
        <v>0.0</v>
      </c>
      <c r="F23" s="84">
        <v>0.0</v>
      </c>
      <c r="G23" s="84">
        <v>0.0</v>
      </c>
      <c r="H23" s="84">
        <v>0.0</v>
      </c>
      <c r="I23" s="91">
        <v>0.0048484848484848485</v>
      </c>
      <c r="J23" s="84">
        <v>0.0</v>
      </c>
      <c r="K23" s="84">
        <v>0.0</v>
      </c>
      <c r="L23" s="84">
        <v>0.0</v>
      </c>
      <c r="M23" s="84">
        <v>0.0</v>
      </c>
      <c r="N23" s="84">
        <v>0.0</v>
      </c>
      <c r="O23" s="84">
        <v>0.0</v>
      </c>
      <c r="P23" s="84">
        <v>0.0</v>
      </c>
      <c r="Q23" s="84">
        <v>0.0</v>
      </c>
      <c r="R23" s="84">
        <v>0.0</v>
      </c>
      <c r="S23" s="84">
        <v>0.0</v>
      </c>
      <c r="T23" s="84">
        <v>0.0</v>
      </c>
      <c r="U23" s="84">
        <v>0.0</v>
      </c>
      <c r="V23" s="84">
        <v>0.0</v>
      </c>
      <c r="W23" s="84">
        <v>0.0</v>
      </c>
      <c r="X23" s="84">
        <v>0.0</v>
      </c>
      <c r="Y23" s="84">
        <v>0.0</v>
      </c>
      <c r="Z23" s="84">
        <v>0.0</v>
      </c>
      <c r="AA23" s="84">
        <v>0.0</v>
      </c>
      <c r="AB23" s="84">
        <v>0.0</v>
      </c>
      <c r="AC23" s="91">
        <v>0.007662835249042145</v>
      </c>
      <c r="AD23" s="84">
        <v>0.0</v>
      </c>
      <c r="AE23" s="84">
        <v>0.0</v>
      </c>
      <c r="AF23" s="84">
        <v>0.0</v>
      </c>
      <c r="AG23" s="84">
        <v>0.0</v>
      </c>
      <c r="AH23" s="84">
        <v>0.0</v>
      </c>
      <c r="AI23" s="84">
        <v>0.0</v>
      </c>
      <c r="AJ23" s="84">
        <v>0.0</v>
      </c>
      <c r="AK23" s="84">
        <v>0.0</v>
      </c>
      <c r="AL23" s="84">
        <v>0.0</v>
      </c>
      <c r="AM23" s="84">
        <v>0.0</v>
      </c>
      <c r="AN23" s="93">
        <f t="shared" si="1"/>
        <v>0.0125113201</v>
      </c>
      <c r="AO23" s="84">
        <f t="shared" si="2"/>
        <v>0</v>
      </c>
    </row>
    <row r="24" ht="12.75" customHeight="1">
      <c r="A24" s="84" t="s">
        <v>4399</v>
      </c>
      <c r="B24" s="84">
        <v>0.0</v>
      </c>
      <c r="C24" s="84">
        <v>0.0</v>
      </c>
      <c r="D24" s="84">
        <v>0.0</v>
      </c>
      <c r="E24" s="84">
        <v>0.0</v>
      </c>
      <c r="F24" s="84">
        <v>0.0</v>
      </c>
      <c r="G24" s="84">
        <v>0.0</v>
      </c>
      <c r="H24" s="84">
        <v>0.0</v>
      </c>
      <c r="I24" s="91">
        <v>0.0048484848484848485</v>
      </c>
      <c r="J24" s="84">
        <v>0.0</v>
      </c>
      <c r="K24" s="84">
        <v>0.0</v>
      </c>
      <c r="L24" s="84">
        <v>0.0</v>
      </c>
      <c r="M24" s="84">
        <v>0.0</v>
      </c>
      <c r="N24" s="84">
        <v>0.0</v>
      </c>
      <c r="O24" s="84">
        <v>0.0</v>
      </c>
      <c r="P24" s="84">
        <v>0.0</v>
      </c>
      <c r="Q24" s="84">
        <v>0.0</v>
      </c>
      <c r="R24" s="84">
        <v>0.0</v>
      </c>
      <c r="S24" s="84">
        <v>0.0</v>
      </c>
      <c r="T24" s="84">
        <v>0.0</v>
      </c>
      <c r="U24" s="84">
        <v>0.0</v>
      </c>
      <c r="V24" s="84">
        <v>0.0</v>
      </c>
      <c r="W24" s="84">
        <v>0.0</v>
      </c>
      <c r="X24" s="84">
        <v>0.0</v>
      </c>
      <c r="Y24" s="84">
        <v>0.0</v>
      </c>
      <c r="Z24" s="84">
        <v>0.0</v>
      </c>
      <c r="AA24" s="84">
        <v>0.0</v>
      </c>
      <c r="AB24" s="84">
        <v>0.0</v>
      </c>
      <c r="AC24" s="91">
        <v>0.007662835249042145</v>
      </c>
      <c r="AD24" s="84">
        <v>0.0</v>
      </c>
      <c r="AE24" s="84">
        <v>0.0</v>
      </c>
      <c r="AF24" s="84">
        <v>0.0</v>
      </c>
      <c r="AG24" s="84">
        <v>0.0</v>
      </c>
      <c r="AH24" s="84">
        <v>0.0</v>
      </c>
      <c r="AI24" s="84">
        <v>0.0</v>
      </c>
      <c r="AJ24" s="84">
        <v>0.0</v>
      </c>
      <c r="AK24" s="84">
        <v>0.0</v>
      </c>
      <c r="AL24" s="84">
        <v>0.0</v>
      </c>
      <c r="AM24" s="84">
        <v>0.0</v>
      </c>
      <c r="AN24" s="93">
        <f t="shared" si="1"/>
        <v>0.0125113201</v>
      </c>
      <c r="AO24" s="84">
        <f t="shared" si="2"/>
        <v>0</v>
      </c>
    </row>
    <row r="25" ht="12.75" customHeight="1">
      <c r="A25" s="84" t="s">
        <v>4356</v>
      </c>
      <c r="B25" s="84">
        <v>0.0</v>
      </c>
      <c r="C25" s="84">
        <v>0.0</v>
      </c>
      <c r="D25" s="84">
        <v>0.0</v>
      </c>
      <c r="E25" s="84">
        <v>0.0</v>
      </c>
      <c r="F25" s="84">
        <v>0.0</v>
      </c>
      <c r="G25" s="84">
        <v>0.0</v>
      </c>
      <c r="H25" s="84">
        <v>0.0</v>
      </c>
      <c r="I25" s="91">
        <v>0.0048484848484848485</v>
      </c>
      <c r="J25" s="84">
        <v>0.0</v>
      </c>
      <c r="K25" s="84">
        <v>0.0</v>
      </c>
      <c r="L25" s="84">
        <v>0.0</v>
      </c>
      <c r="M25" s="84">
        <v>0.0</v>
      </c>
      <c r="N25" s="84">
        <v>0.0</v>
      </c>
      <c r="O25" s="84">
        <v>0.0</v>
      </c>
      <c r="P25" s="84">
        <v>0.0</v>
      </c>
      <c r="Q25" s="84">
        <v>0.0</v>
      </c>
      <c r="R25" s="84">
        <v>0.0</v>
      </c>
      <c r="S25" s="84">
        <v>0.0</v>
      </c>
      <c r="T25" s="84">
        <v>0.0</v>
      </c>
      <c r="U25" s="84">
        <v>0.0</v>
      </c>
      <c r="V25" s="84">
        <v>0.0</v>
      </c>
      <c r="W25" s="84">
        <v>0.0</v>
      </c>
      <c r="X25" s="84">
        <v>0.0</v>
      </c>
      <c r="Y25" s="84">
        <v>0.0</v>
      </c>
      <c r="Z25" s="84">
        <v>0.0</v>
      </c>
      <c r="AA25" s="84">
        <v>0.0</v>
      </c>
      <c r="AB25" s="84">
        <v>0.0</v>
      </c>
      <c r="AC25" s="91">
        <v>0.006385696040868455</v>
      </c>
      <c r="AD25" s="84">
        <v>0.0</v>
      </c>
      <c r="AE25" s="84">
        <v>0.0</v>
      </c>
      <c r="AF25" s="84">
        <v>0.0</v>
      </c>
      <c r="AG25" s="84">
        <v>0.0</v>
      </c>
      <c r="AH25" s="84">
        <v>0.0</v>
      </c>
      <c r="AI25" s="84">
        <v>0.0</v>
      </c>
      <c r="AJ25" s="84">
        <v>0.0</v>
      </c>
      <c r="AK25" s="84">
        <v>0.0</v>
      </c>
      <c r="AL25" s="84">
        <v>0.0</v>
      </c>
      <c r="AM25" s="84">
        <v>0.0</v>
      </c>
      <c r="AN25" s="93">
        <f t="shared" si="1"/>
        <v>0.01123418089</v>
      </c>
      <c r="AO25" s="84">
        <f t="shared" si="2"/>
        <v>0</v>
      </c>
    </row>
    <row r="26" ht="12.75" customHeight="1">
      <c r="A26" s="84" t="s">
        <v>4362</v>
      </c>
      <c r="B26" s="84">
        <v>0.0</v>
      </c>
      <c r="C26" s="84">
        <v>0.0</v>
      </c>
      <c r="D26" s="84">
        <v>0.0</v>
      </c>
      <c r="E26" s="84">
        <v>0.0</v>
      </c>
      <c r="F26" s="84">
        <v>0.0</v>
      </c>
      <c r="G26" s="84">
        <v>0.0</v>
      </c>
      <c r="H26" s="84">
        <v>0.0</v>
      </c>
      <c r="I26" s="91">
        <v>0.0048484848484848485</v>
      </c>
      <c r="J26" s="84">
        <v>0.0</v>
      </c>
      <c r="K26" s="84">
        <v>0.0</v>
      </c>
      <c r="L26" s="84">
        <v>0.0</v>
      </c>
      <c r="M26" s="84">
        <v>0.0</v>
      </c>
      <c r="N26" s="84">
        <v>0.0</v>
      </c>
      <c r="O26" s="84">
        <v>0.0</v>
      </c>
      <c r="P26" s="84">
        <v>0.0</v>
      </c>
      <c r="Q26" s="84">
        <v>0.0</v>
      </c>
      <c r="R26" s="84">
        <v>0.0</v>
      </c>
      <c r="S26" s="84">
        <v>0.0</v>
      </c>
      <c r="T26" s="84">
        <v>0.0</v>
      </c>
      <c r="U26" s="84">
        <v>0.0</v>
      </c>
      <c r="V26" s="84">
        <v>0.0</v>
      </c>
      <c r="W26" s="84">
        <v>0.0</v>
      </c>
      <c r="X26" s="84">
        <v>0.0</v>
      </c>
      <c r="Y26" s="84">
        <v>0.0</v>
      </c>
      <c r="Z26" s="84">
        <v>0.0</v>
      </c>
      <c r="AA26" s="84">
        <v>0.0</v>
      </c>
      <c r="AB26" s="84">
        <v>0.0</v>
      </c>
      <c r="AC26" s="91">
        <v>0.006385696040868455</v>
      </c>
      <c r="AD26" s="84">
        <v>0.0</v>
      </c>
      <c r="AE26" s="84">
        <v>0.0</v>
      </c>
      <c r="AF26" s="84">
        <v>0.0</v>
      </c>
      <c r="AG26" s="84">
        <v>0.0</v>
      </c>
      <c r="AH26" s="84">
        <v>0.0</v>
      </c>
      <c r="AI26" s="84">
        <v>0.0</v>
      </c>
      <c r="AJ26" s="84">
        <v>0.0</v>
      </c>
      <c r="AK26" s="84">
        <v>0.0</v>
      </c>
      <c r="AL26" s="84">
        <v>0.0</v>
      </c>
      <c r="AM26" s="84">
        <v>0.0</v>
      </c>
      <c r="AN26" s="93">
        <f t="shared" si="1"/>
        <v>0.01123418089</v>
      </c>
      <c r="AO26" s="84">
        <f t="shared" si="2"/>
        <v>0</v>
      </c>
    </row>
    <row r="27" ht="12.75" customHeight="1">
      <c r="A27" s="84" t="s">
        <v>4413</v>
      </c>
      <c r="B27" s="84">
        <v>0.0</v>
      </c>
      <c r="C27" s="84">
        <v>0.0</v>
      </c>
      <c r="D27" s="84">
        <v>0.0</v>
      </c>
      <c r="E27" s="84">
        <v>0.0</v>
      </c>
      <c r="F27" s="84">
        <v>0.0</v>
      </c>
      <c r="G27" s="84">
        <v>0.0</v>
      </c>
      <c r="H27" s="84">
        <v>0.0</v>
      </c>
      <c r="I27" s="91">
        <v>0.0048484848484848485</v>
      </c>
      <c r="J27" s="84">
        <v>0.0</v>
      </c>
      <c r="K27" s="84">
        <v>0.0</v>
      </c>
      <c r="L27" s="84">
        <v>0.0</v>
      </c>
      <c r="M27" s="84">
        <v>0.0</v>
      </c>
      <c r="N27" s="84">
        <v>0.0</v>
      </c>
      <c r="O27" s="84">
        <v>0.0</v>
      </c>
      <c r="P27" s="84">
        <v>0.0</v>
      </c>
      <c r="Q27" s="84">
        <v>0.0</v>
      </c>
      <c r="R27" s="84">
        <v>0.0</v>
      </c>
      <c r="S27" s="84">
        <v>0.0</v>
      </c>
      <c r="T27" s="84">
        <v>0.0</v>
      </c>
      <c r="U27" s="84">
        <v>0.0</v>
      </c>
      <c r="V27" s="84">
        <v>0.0</v>
      </c>
      <c r="W27" s="84">
        <v>0.0</v>
      </c>
      <c r="X27" s="84">
        <v>0.0</v>
      </c>
      <c r="Y27" s="84">
        <v>0.0</v>
      </c>
      <c r="Z27" s="84">
        <v>0.0</v>
      </c>
      <c r="AA27" s="84">
        <v>0.0</v>
      </c>
      <c r="AB27" s="84">
        <v>0.0</v>
      </c>
      <c r="AC27" s="91">
        <v>0.005108556832694764</v>
      </c>
      <c r="AD27" s="84">
        <v>0.0</v>
      </c>
      <c r="AE27" s="84">
        <v>0.0</v>
      </c>
      <c r="AF27" s="84">
        <v>0.0</v>
      </c>
      <c r="AG27" s="84">
        <v>0.0</v>
      </c>
      <c r="AH27" s="84">
        <v>0.0</v>
      </c>
      <c r="AI27" s="84">
        <v>0.0</v>
      </c>
      <c r="AJ27" s="84">
        <v>0.0</v>
      </c>
      <c r="AK27" s="84">
        <v>0.0</v>
      </c>
      <c r="AL27" s="84">
        <v>0.0</v>
      </c>
      <c r="AM27" s="84">
        <v>0.0</v>
      </c>
      <c r="AN27" s="93">
        <f t="shared" si="1"/>
        <v>0.009957041681</v>
      </c>
      <c r="AO27" s="84">
        <f t="shared" si="2"/>
        <v>0</v>
      </c>
    </row>
    <row r="28" ht="12.75" customHeight="1">
      <c r="A28" s="84" t="s">
        <v>4408</v>
      </c>
      <c r="B28" s="84">
        <v>0.0</v>
      </c>
      <c r="C28" s="84">
        <v>0.0</v>
      </c>
      <c r="D28" s="84">
        <v>0.0</v>
      </c>
      <c r="E28" s="84">
        <v>0.0</v>
      </c>
      <c r="F28" s="84">
        <v>0.0</v>
      </c>
      <c r="G28" s="84">
        <v>0.0</v>
      </c>
      <c r="H28" s="84">
        <v>0.0</v>
      </c>
      <c r="I28" s="91">
        <v>0.0048484848484848485</v>
      </c>
      <c r="J28" s="84">
        <v>0.0</v>
      </c>
      <c r="K28" s="84">
        <v>0.0</v>
      </c>
      <c r="L28" s="84">
        <v>0.0</v>
      </c>
      <c r="M28" s="84">
        <v>0.0</v>
      </c>
      <c r="N28" s="84">
        <v>0.0</v>
      </c>
      <c r="O28" s="84">
        <v>0.0</v>
      </c>
      <c r="P28" s="84">
        <v>0.0</v>
      </c>
      <c r="Q28" s="84">
        <v>0.0</v>
      </c>
      <c r="R28" s="84">
        <v>0.0</v>
      </c>
      <c r="S28" s="84">
        <v>0.0</v>
      </c>
      <c r="T28" s="84">
        <v>0.0</v>
      </c>
      <c r="U28" s="84">
        <v>0.0</v>
      </c>
      <c r="V28" s="84">
        <v>0.0</v>
      </c>
      <c r="W28" s="84">
        <v>0.0</v>
      </c>
      <c r="X28" s="84">
        <v>0.0</v>
      </c>
      <c r="Y28" s="84">
        <v>0.0</v>
      </c>
      <c r="Z28" s="84">
        <v>0.0</v>
      </c>
      <c r="AA28" s="84">
        <v>0.0</v>
      </c>
      <c r="AB28" s="84">
        <v>0.0</v>
      </c>
      <c r="AC28" s="91">
        <v>0.005108556832694764</v>
      </c>
      <c r="AD28" s="84">
        <v>0.0</v>
      </c>
      <c r="AE28" s="84">
        <v>0.0</v>
      </c>
      <c r="AF28" s="84">
        <v>0.0</v>
      </c>
      <c r="AG28" s="84">
        <v>0.0</v>
      </c>
      <c r="AH28" s="84">
        <v>0.0</v>
      </c>
      <c r="AI28" s="84">
        <v>0.0</v>
      </c>
      <c r="AJ28" s="84">
        <v>0.0</v>
      </c>
      <c r="AK28" s="84">
        <v>0.0</v>
      </c>
      <c r="AL28" s="84">
        <v>0.0</v>
      </c>
      <c r="AM28" s="84">
        <v>0.0</v>
      </c>
      <c r="AN28" s="93">
        <f t="shared" si="1"/>
        <v>0.009957041681</v>
      </c>
      <c r="AO28" s="84">
        <f t="shared" si="2"/>
        <v>0</v>
      </c>
    </row>
    <row r="29" ht="12.75" customHeight="1">
      <c r="A29" s="84" t="s">
        <v>4398</v>
      </c>
      <c r="B29" s="84">
        <v>0.0</v>
      </c>
      <c r="C29" s="84">
        <v>0.0</v>
      </c>
      <c r="D29" s="84">
        <v>0.0</v>
      </c>
      <c r="E29" s="84">
        <v>0.0</v>
      </c>
      <c r="F29" s="84">
        <v>0.0</v>
      </c>
      <c r="G29" s="84">
        <v>0.0</v>
      </c>
      <c r="H29" s="84">
        <v>0.0</v>
      </c>
      <c r="I29" s="91">
        <v>0.0048484848484848485</v>
      </c>
      <c r="J29" s="84">
        <v>0.0</v>
      </c>
      <c r="K29" s="84">
        <v>0.0</v>
      </c>
      <c r="L29" s="84">
        <v>0.0</v>
      </c>
      <c r="M29" s="84">
        <v>0.0</v>
      </c>
      <c r="N29" s="84">
        <v>0.0</v>
      </c>
      <c r="O29" s="84">
        <v>0.0</v>
      </c>
      <c r="P29" s="84">
        <v>0.0</v>
      </c>
      <c r="Q29" s="84">
        <v>0.0</v>
      </c>
      <c r="R29" s="84">
        <v>0.0</v>
      </c>
      <c r="S29" s="84">
        <v>0.0</v>
      </c>
      <c r="T29" s="84">
        <v>0.0</v>
      </c>
      <c r="U29" s="84">
        <v>0.0</v>
      </c>
      <c r="V29" s="84">
        <v>0.0</v>
      </c>
      <c r="W29" s="84">
        <v>0.0</v>
      </c>
      <c r="X29" s="84">
        <v>0.0</v>
      </c>
      <c r="Y29" s="84">
        <v>0.0</v>
      </c>
      <c r="Z29" s="84">
        <v>0.0</v>
      </c>
      <c r="AA29" s="84">
        <v>0.0</v>
      </c>
      <c r="AB29" s="84">
        <v>0.0</v>
      </c>
      <c r="AC29" s="91">
        <v>0.005108556832694764</v>
      </c>
      <c r="AD29" s="84">
        <v>0.0</v>
      </c>
      <c r="AE29" s="84">
        <v>0.0</v>
      </c>
      <c r="AF29" s="84">
        <v>0.0</v>
      </c>
      <c r="AG29" s="84">
        <v>0.0</v>
      </c>
      <c r="AH29" s="84">
        <v>0.0</v>
      </c>
      <c r="AI29" s="84">
        <v>0.0</v>
      </c>
      <c r="AJ29" s="84">
        <v>0.0</v>
      </c>
      <c r="AK29" s="84">
        <v>0.0</v>
      </c>
      <c r="AL29" s="84">
        <v>0.0</v>
      </c>
      <c r="AM29" s="84">
        <v>0.0</v>
      </c>
      <c r="AN29" s="93">
        <f t="shared" si="1"/>
        <v>0.009957041681</v>
      </c>
      <c r="AO29" s="84">
        <f t="shared" si="2"/>
        <v>0</v>
      </c>
    </row>
    <row r="30" ht="12.75" customHeight="1">
      <c r="A30" s="84" t="s">
        <v>4437</v>
      </c>
      <c r="B30" s="84">
        <v>0.0</v>
      </c>
      <c r="C30" s="84">
        <v>0.0</v>
      </c>
      <c r="D30" s="84">
        <v>0.0</v>
      </c>
      <c r="E30" s="84">
        <v>0.0</v>
      </c>
      <c r="F30" s="84">
        <v>0.0</v>
      </c>
      <c r="G30" s="84">
        <v>0.0</v>
      </c>
      <c r="H30" s="84">
        <v>0.0</v>
      </c>
      <c r="I30" s="91">
        <v>0.0048484848484848485</v>
      </c>
      <c r="J30" s="84">
        <v>0.0</v>
      </c>
      <c r="K30" s="84">
        <v>0.0</v>
      </c>
      <c r="L30" s="84">
        <v>0.0</v>
      </c>
      <c r="M30" s="84">
        <v>0.0</v>
      </c>
      <c r="N30" s="84">
        <v>0.0</v>
      </c>
      <c r="O30" s="84">
        <v>0.0</v>
      </c>
      <c r="P30" s="84">
        <v>0.0</v>
      </c>
      <c r="Q30" s="84">
        <v>0.0</v>
      </c>
      <c r="R30" s="84">
        <v>0.0</v>
      </c>
      <c r="S30" s="84">
        <v>0.0</v>
      </c>
      <c r="T30" s="84">
        <v>0.0</v>
      </c>
      <c r="U30" s="84">
        <v>0.0</v>
      </c>
      <c r="V30" s="84">
        <v>0.0</v>
      </c>
      <c r="W30" s="84">
        <v>0.0</v>
      </c>
      <c r="X30" s="84">
        <v>0.0</v>
      </c>
      <c r="Y30" s="84">
        <v>0.0</v>
      </c>
      <c r="Z30" s="84">
        <v>0.0</v>
      </c>
      <c r="AA30" s="84">
        <v>0.0</v>
      </c>
      <c r="AB30" s="84">
        <v>0.0</v>
      </c>
      <c r="AC30" s="91">
        <v>0.007662835249042145</v>
      </c>
      <c r="AD30" s="84">
        <v>0.0</v>
      </c>
      <c r="AE30" s="84">
        <v>0.0</v>
      </c>
      <c r="AF30" s="84">
        <v>0.0</v>
      </c>
      <c r="AG30" s="84">
        <v>0.0</v>
      </c>
      <c r="AH30" s="84">
        <v>0.0</v>
      </c>
      <c r="AI30" s="84">
        <v>0.0</v>
      </c>
      <c r="AJ30" s="84">
        <v>0.0</v>
      </c>
      <c r="AK30" s="84">
        <v>0.0</v>
      </c>
      <c r="AL30" s="84">
        <v>0.0</v>
      </c>
      <c r="AM30" s="84">
        <v>0.0</v>
      </c>
      <c r="AN30" s="93">
        <f t="shared" si="1"/>
        <v>0.0125113201</v>
      </c>
      <c r="AO30" s="84">
        <f t="shared" si="2"/>
        <v>0</v>
      </c>
    </row>
    <row r="31" ht="12.75" customHeight="1">
      <c r="A31" s="84" t="s">
        <v>4400</v>
      </c>
      <c r="B31" s="84">
        <v>0.0</v>
      </c>
      <c r="C31" s="84">
        <v>0.0</v>
      </c>
      <c r="D31" s="84">
        <v>0.0</v>
      </c>
      <c r="E31" s="84">
        <v>0.0</v>
      </c>
      <c r="F31" s="84">
        <v>0.0</v>
      </c>
      <c r="G31" s="84">
        <v>0.0</v>
      </c>
      <c r="H31" s="84">
        <v>0.0</v>
      </c>
      <c r="I31" s="91">
        <v>0.0048484848484848485</v>
      </c>
      <c r="J31" s="84">
        <v>0.0</v>
      </c>
      <c r="K31" s="84">
        <v>0.0</v>
      </c>
      <c r="L31" s="84">
        <v>0.0</v>
      </c>
      <c r="M31" s="84">
        <v>0.0</v>
      </c>
      <c r="N31" s="84">
        <v>0.0</v>
      </c>
      <c r="O31" s="84">
        <v>0.0</v>
      </c>
      <c r="P31" s="84">
        <v>0.0</v>
      </c>
      <c r="Q31" s="84">
        <v>0.0</v>
      </c>
      <c r="R31" s="84">
        <v>0.0</v>
      </c>
      <c r="S31" s="84">
        <v>0.0</v>
      </c>
      <c r="T31" s="84">
        <v>0.0</v>
      </c>
      <c r="U31" s="84">
        <v>0.0</v>
      </c>
      <c r="V31" s="84">
        <v>0.0</v>
      </c>
      <c r="W31" s="84">
        <v>0.0</v>
      </c>
      <c r="X31" s="84">
        <v>0.0</v>
      </c>
      <c r="Y31" s="84">
        <v>0.0</v>
      </c>
      <c r="Z31" s="84">
        <v>0.0</v>
      </c>
      <c r="AA31" s="84">
        <v>0.0</v>
      </c>
      <c r="AB31" s="84">
        <v>0.0</v>
      </c>
      <c r="AC31" s="91">
        <v>0.006385696040868455</v>
      </c>
      <c r="AD31" s="84">
        <v>0.0</v>
      </c>
      <c r="AE31" s="84">
        <v>0.0</v>
      </c>
      <c r="AF31" s="84">
        <v>0.0</v>
      </c>
      <c r="AG31" s="84">
        <v>0.0</v>
      </c>
      <c r="AH31" s="84">
        <v>0.0</v>
      </c>
      <c r="AI31" s="84">
        <v>0.0</v>
      </c>
      <c r="AJ31" s="84">
        <v>0.0</v>
      </c>
      <c r="AK31" s="84">
        <v>0.0</v>
      </c>
      <c r="AL31" s="84">
        <v>0.0</v>
      </c>
      <c r="AM31" s="84">
        <v>0.0</v>
      </c>
      <c r="AN31" s="93">
        <f t="shared" si="1"/>
        <v>0.01123418089</v>
      </c>
      <c r="AO31" s="84">
        <f t="shared" si="2"/>
        <v>0</v>
      </c>
    </row>
    <row r="32" ht="12.75" customHeight="1">
      <c r="A32" s="84" t="s">
        <v>4363</v>
      </c>
      <c r="B32" s="84">
        <v>0.0</v>
      </c>
      <c r="C32" s="84">
        <v>0.0</v>
      </c>
      <c r="D32" s="84">
        <v>0.0</v>
      </c>
      <c r="E32" s="84">
        <v>0.0</v>
      </c>
      <c r="F32" s="84">
        <v>0.0</v>
      </c>
      <c r="G32" s="84">
        <v>0.0</v>
      </c>
      <c r="H32" s="84">
        <v>0.0</v>
      </c>
      <c r="I32" s="91">
        <v>0.0048484848484848485</v>
      </c>
      <c r="J32" s="84">
        <v>0.0</v>
      </c>
      <c r="K32" s="84">
        <v>0.0</v>
      </c>
      <c r="L32" s="84">
        <v>0.0</v>
      </c>
      <c r="M32" s="84">
        <v>0.0</v>
      </c>
      <c r="N32" s="84">
        <v>0.0</v>
      </c>
      <c r="O32" s="84">
        <v>0.0</v>
      </c>
      <c r="P32" s="84">
        <v>0.0</v>
      </c>
      <c r="Q32" s="84">
        <v>0.0</v>
      </c>
      <c r="R32" s="84">
        <v>0.0</v>
      </c>
      <c r="S32" s="84">
        <v>0.0</v>
      </c>
      <c r="T32" s="84">
        <v>0.0</v>
      </c>
      <c r="U32" s="84">
        <v>0.0</v>
      </c>
      <c r="V32" s="84">
        <v>0.0</v>
      </c>
      <c r="W32" s="84">
        <v>0.0</v>
      </c>
      <c r="X32" s="84">
        <v>0.0</v>
      </c>
      <c r="Y32" s="84">
        <v>0.0</v>
      </c>
      <c r="Z32" s="84">
        <v>0.0</v>
      </c>
      <c r="AA32" s="84">
        <v>0.0</v>
      </c>
      <c r="AB32" s="84">
        <v>0.0</v>
      </c>
      <c r="AC32" s="91">
        <v>0.007662835249042145</v>
      </c>
      <c r="AD32" s="84">
        <v>0.0</v>
      </c>
      <c r="AE32" s="84">
        <v>0.0</v>
      </c>
      <c r="AF32" s="84">
        <v>0.0</v>
      </c>
      <c r="AG32" s="84">
        <v>0.0</v>
      </c>
      <c r="AH32" s="84">
        <v>0.0</v>
      </c>
      <c r="AI32" s="84">
        <v>0.0</v>
      </c>
      <c r="AJ32" s="84">
        <v>0.0</v>
      </c>
      <c r="AK32" s="84">
        <v>0.0</v>
      </c>
      <c r="AL32" s="84">
        <v>0.0</v>
      </c>
      <c r="AM32" s="84">
        <v>0.0</v>
      </c>
      <c r="AN32" s="93">
        <f t="shared" si="1"/>
        <v>0.0125113201</v>
      </c>
      <c r="AO32" s="84">
        <f t="shared" si="2"/>
        <v>0</v>
      </c>
    </row>
    <row r="33" ht="12.75" customHeight="1">
      <c r="A33" s="84" t="s">
        <v>4404</v>
      </c>
      <c r="B33" s="84">
        <v>0.0</v>
      </c>
      <c r="C33" s="84">
        <v>0.0</v>
      </c>
      <c r="D33" s="84">
        <v>0.0</v>
      </c>
      <c r="E33" s="84">
        <v>0.0</v>
      </c>
      <c r="F33" s="84">
        <v>0.0</v>
      </c>
      <c r="G33" s="84">
        <v>0.0</v>
      </c>
      <c r="H33" s="84">
        <v>0.0</v>
      </c>
      <c r="I33" s="91">
        <v>0.0048484848484848485</v>
      </c>
      <c r="J33" s="84">
        <v>0.0</v>
      </c>
      <c r="K33" s="84">
        <v>0.0</v>
      </c>
      <c r="L33" s="84">
        <v>0.0</v>
      </c>
      <c r="M33" s="84">
        <v>0.0</v>
      </c>
      <c r="N33" s="84">
        <v>0.0</v>
      </c>
      <c r="O33" s="84">
        <v>0.0</v>
      </c>
      <c r="P33" s="84">
        <v>0.0</v>
      </c>
      <c r="Q33" s="84">
        <v>0.0</v>
      </c>
      <c r="R33" s="84">
        <v>0.0</v>
      </c>
      <c r="S33" s="84">
        <v>0.0</v>
      </c>
      <c r="T33" s="84">
        <v>0.0</v>
      </c>
      <c r="U33" s="84">
        <v>0.0</v>
      </c>
      <c r="V33" s="84">
        <v>0.0</v>
      </c>
      <c r="W33" s="84">
        <v>0.0</v>
      </c>
      <c r="X33" s="84">
        <v>0.0</v>
      </c>
      <c r="Y33" s="84">
        <v>0.0</v>
      </c>
      <c r="Z33" s="84">
        <v>0.0</v>
      </c>
      <c r="AA33" s="84">
        <v>0.0</v>
      </c>
      <c r="AB33" s="84">
        <v>0.0</v>
      </c>
      <c r="AC33" s="91">
        <v>0.005108556832694764</v>
      </c>
      <c r="AD33" s="84">
        <v>0.0</v>
      </c>
      <c r="AE33" s="84">
        <v>0.0</v>
      </c>
      <c r="AF33" s="84">
        <v>0.0</v>
      </c>
      <c r="AG33" s="84">
        <v>0.0</v>
      </c>
      <c r="AH33" s="84">
        <v>0.0</v>
      </c>
      <c r="AI33" s="84">
        <v>0.0</v>
      </c>
      <c r="AJ33" s="84">
        <v>0.0</v>
      </c>
      <c r="AK33" s="84">
        <v>0.0</v>
      </c>
      <c r="AL33" s="84">
        <v>0.0</v>
      </c>
      <c r="AM33" s="84">
        <v>0.0</v>
      </c>
      <c r="AN33" s="93">
        <f t="shared" si="1"/>
        <v>0.009957041681</v>
      </c>
      <c r="AO33" s="84">
        <f t="shared" si="2"/>
        <v>0</v>
      </c>
    </row>
    <row r="34" ht="12.75" customHeight="1">
      <c r="A34" s="84" t="s">
        <v>4378</v>
      </c>
      <c r="B34" s="84">
        <v>0.0</v>
      </c>
      <c r="C34" s="84">
        <v>0.0</v>
      </c>
      <c r="D34" s="84">
        <v>0.0</v>
      </c>
      <c r="E34" s="84">
        <v>0.0</v>
      </c>
      <c r="F34" s="84">
        <v>0.0</v>
      </c>
      <c r="G34" s="84">
        <v>0.0</v>
      </c>
      <c r="H34" s="84">
        <v>0.0</v>
      </c>
      <c r="I34" s="91">
        <v>0.0048484848484848485</v>
      </c>
      <c r="J34" s="84">
        <v>0.0</v>
      </c>
      <c r="K34" s="84">
        <v>0.0</v>
      </c>
      <c r="L34" s="84">
        <v>0.0</v>
      </c>
      <c r="M34" s="84">
        <v>0.0</v>
      </c>
      <c r="N34" s="84">
        <v>0.0</v>
      </c>
      <c r="O34" s="84">
        <v>0.0</v>
      </c>
      <c r="P34" s="84">
        <v>0.0</v>
      </c>
      <c r="Q34" s="84">
        <v>0.0</v>
      </c>
      <c r="R34" s="84">
        <v>0.0</v>
      </c>
      <c r="S34" s="84">
        <v>0.0</v>
      </c>
      <c r="T34" s="84">
        <v>0.0</v>
      </c>
      <c r="U34" s="84">
        <v>0.0</v>
      </c>
      <c r="V34" s="84">
        <v>0.0</v>
      </c>
      <c r="W34" s="84">
        <v>0.0</v>
      </c>
      <c r="X34" s="84">
        <v>0.0</v>
      </c>
      <c r="Y34" s="84">
        <v>0.0</v>
      </c>
      <c r="Z34" s="84">
        <v>0.0</v>
      </c>
      <c r="AA34" s="84">
        <v>0.0</v>
      </c>
      <c r="AB34" s="84">
        <v>0.0</v>
      </c>
      <c r="AC34" s="91">
        <v>0.005108556832694764</v>
      </c>
      <c r="AD34" s="84">
        <v>0.0</v>
      </c>
      <c r="AE34" s="84">
        <v>0.0</v>
      </c>
      <c r="AF34" s="84">
        <v>0.0</v>
      </c>
      <c r="AG34" s="84">
        <v>0.0</v>
      </c>
      <c r="AH34" s="84">
        <v>0.0</v>
      </c>
      <c r="AI34" s="84">
        <v>0.0</v>
      </c>
      <c r="AJ34" s="84">
        <v>0.0</v>
      </c>
      <c r="AK34" s="84">
        <v>0.0</v>
      </c>
      <c r="AL34" s="84">
        <v>0.0</v>
      </c>
      <c r="AM34" s="84">
        <v>0.0</v>
      </c>
      <c r="AN34" s="93">
        <f t="shared" si="1"/>
        <v>0.009957041681</v>
      </c>
      <c r="AO34" s="84">
        <f t="shared" si="2"/>
        <v>0</v>
      </c>
    </row>
    <row r="35" ht="12.75" customHeight="1">
      <c r="A35" s="84" t="s">
        <v>4426</v>
      </c>
      <c r="B35" s="84">
        <v>0.0</v>
      </c>
      <c r="C35" s="84">
        <v>0.0</v>
      </c>
      <c r="D35" s="84">
        <v>0.0</v>
      </c>
      <c r="E35" s="84">
        <v>0.0</v>
      </c>
      <c r="F35" s="84">
        <v>0.0</v>
      </c>
      <c r="G35" s="84">
        <v>0.0</v>
      </c>
      <c r="H35" s="84">
        <v>0.0</v>
      </c>
      <c r="I35" s="91">
        <v>0.0048484848484848485</v>
      </c>
      <c r="J35" s="84">
        <v>0.0</v>
      </c>
      <c r="K35" s="84">
        <v>0.0</v>
      </c>
      <c r="L35" s="84">
        <v>0.0</v>
      </c>
      <c r="M35" s="84">
        <v>0.0</v>
      </c>
      <c r="N35" s="84">
        <v>0.0</v>
      </c>
      <c r="O35" s="84">
        <v>0.0</v>
      </c>
      <c r="P35" s="84">
        <v>0.0</v>
      </c>
      <c r="Q35" s="84">
        <v>0.0</v>
      </c>
      <c r="R35" s="84">
        <v>0.0</v>
      </c>
      <c r="S35" s="84">
        <v>0.0</v>
      </c>
      <c r="T35" s="84">
        <v>0.0</v>
      </c>
      <c r="U35" s="84">
        <v>0.0</v>
      </c>
      <c r="V35" s="84">
        <v>0.0</v>
      </c>
      <c r="W35" s="84">
        <v>0.0</v>
      </c>
      <c r="X35" s="84">
        <v>0.0</v>
      </c>
      <c r="Y35" s="84">
        <v>0.0</v>
      </c>
      <c r="Z35" s="84">
        <v>0.0</v>
      </c>
      <c r="AA35" s="84">
        <v>0.0</v>
      </c>
      <c r="AB35" s="84">
        <v>0.0</v>
      </c>
      <c r="AC35" s="91">
        <v>0.007662835249042145</v>
      </c>
      <c r="AD35" s="84">
        <v>0.0</v>
      </c>
      <c r="AE35" s="84">
        <v>0.0</v>
      </c>
      <c r="AF35" s="84">
        <v>0.0</v>
      </c>
      <c r="AG35" s="84">
        <v>0.0</v>
      </c>
      <c r="AH35" s="84">
        <v>0.0</v>
      </c>
      <c r="AI35" s="84">
        <v>0.0</v>
      </c>
      <c r="AJ35" s="84">
        <v>0.0</v>
      </c>
      <c r="AK35" s="84">
        <v>0.0</v>
      </c>
      <c r="AL35" s="84">
        <v>0.0</v>
      </c>
      <c r="AM35" s="84">
        <v>0.0</v>
      </c>
      <c r="AN35" s="93">
        <f t="shared" si="1"/>
        <v>0.0125113201</v>
      </c>
      <c r="AO35" s="84">
        <f t="shared" si="2"/>
        <v>0</v>
      </c>
    </row>
    <row r="36" ht="12.75" customHeight="1">
      <c r="A36" s="84" t="s">
        <v>4397</v>
      </c>
      <c r="B36" s="84">
        <v>0.0</v>
      </c>
      <c r="C36" s="84">
        <v>0.0</v>
      </c>
      <c r="D36" s="84">
        <v>0.0</v>
      </c>
      <c r="E36" s="84">
        <v>0.0</v>
      </c>
      <c r="F36" s="84">
        <v>0.0</v>
      </c>
      <c r="G36" s="84">
        <v>0.0</v>
      </c>
      <c r="H36" s="84">
        <v>0.0</v>
      </c>
      <c r="I36" s="91">
        <v>0.0048484848484848485</v>
      </c>
      <c r="J36" s="84">
        <v>0.0</v>
      </c>
      <c r="K36" s="84">
        <v>0.0</v>
      </c>
      <c r="L36" s="84">
        <v>0.0</v>
      </c>
      <c r="M36" s="84">
        <v>0.0</v>
      </c>
      <c r="N36" s="84">
        <v>0.0</v>
      </c>
      <c r="O36" s="84">
        <v>0.0</v>
      </c>
      <c r="P36" s="84">
        <v>0.0</v>
      </c>
      <c r="Q36" s="84">
        <v>0.0</v>
      </c>
      <c r="R36" s="84">
        <v>0.0</v>
      </c>
      <c r="S36" s="84">
        <v>0.0</v>
      </c>
      <c r="T36" s="84">
        <v>0.0</v>
      </c>
      <c r="U36" s="84">
        <v>0.0</v>
      </c>
      <c r="V36" s="84">
        <v>0.0</v>
      </c>
      <c r="W36" s="84">
        <v>0.0</v>
      </c>
      <c r="X36" s="84">
        <v>0.0</v>
      </c>
      <c r="Y36" s="84">
        <v>0.0</v>
      </c>
      <c r="Z36" s="84">
        <v>0.0</v>
      </c>
      <c r="AA36" s="84">
        <v>0.0</v>
      </c>
      <c r="AB36" s="84">
        <v>0.0</v>
      </c>
      <c r="AC36" s="91">
        <v>0.007662835249042145</v>
      </c>
      <c r="AD36" s="84">
        <v>0.0</v>
      </c>
      <c r="AE36" s="84">
        <v>0.0</v>
      </c>
      <c r="AF36" s="84">
        <v>0.0</v>
      </c>
      <c r="AG36" s="84">
        <v>0.0</v>
      </c>
      <c r="AH36" s="84">
        <v>0.0</v>
      </c>
      <c r="AI36" s="84">
        <v>0.0</v>
      </c>
      <c r="AJ36" s="84">
        <v>0.0</v>
      </c>
      <c r="AK36" s="84">
        <v>0.0</v>
      </c>
      <c r="AL36" s="84">
        <v>0.0</v>
      </c>
      <c r="AM36" s="84">
        <v>0.0</v>
      </c>
      <c r="AN36" s="93">
        <f t="shared" si="1"/>
        <v>0.0125113201</v>
      </c>
      <c r="AO36" s="84">
        <f t="shared" si="2"/>
        <v>0</v>
      </c>
    </row>
    <row r="37" ht="12.75" customHeight="1">
      <c r="A37" s="84" t="s">
        <v>4401</v>
      </c>
      <c r="B37" s="84">
        <v>0.0</v>
      </c>
      <c r="C37" s="84">
        <v>0.0</v>
      </c>
      <c r="D37" s="84">
        <v>0.0</v>
      </c>
      <c r="E37" s="84">
        <v>0.0</v>
      </c>
      <c r="F37" s="84">
        <v>0.0</v>
      </c>
      <c r="G37" s="84">
        <v>0.0</v>
      </c>
      <c r="H37" s="84">
        <v>0.0</v>
      </c>
      <c r="I37" s="91">
        <v>0.0048484848484848485</v>
      </c>
      <c r="J37" s="84">
        <v>0.0</v>
      </c>
      <c r="K37" s="84">
        <v>0.0</v>
      </c>
      <c r="L37" s="84">
        <v>0.0</v>
      </c>
      <c r="M37" s="84">
        <v>0.0</v>
      </c>
      <c r="N37" s="84">
        <v>0.0</v>
      </c>
      <c r="O37" s="84">
        <v>0.0</v>
      </c>
      <c r="P37" s="84">
        <v>0.0</v>
      </c>
      <c r="Q37" s="84">
        <v>0.0</v>
      </c>
      <c r="R37" s="84">
        <v>0.0</v>
      </c>
      <c r="S37" s="84">
        <v>0.0</v>
      </c>
      <c r="T37" s="84">
        <v>0.0</v>
      </c>
      <c r="U37" s="84">
        <v>0.0</v>
      </c>
      <c r="V37" s="84">
        <v>0.0</v>
      </c>
      <c r="W37" s="84">
        <v>0.0</v>
      </c>
      <c r="X37" s="84">
        <v>0.0</v>
      </c>
      <c r="Y37" s="84">
        <v>0.0</v>
      </c>
      <c r="Z37" s="84">
        <v>0.0</v>
      </c>
      <c r="AA37" s="84">
        <v>0.0</v>
      </c>
      <c r="AB37" s="84">
        <v>0.0</v>
      </c>
      <c r="AC37" s="91">
        <v>0.005108556832694764</v>
      </c>
      <c r="AD37" s="84">
        <v>0.0</v>
      </c>
      <c r="AE37" s="84">
        <v>0.0</v>
      </c>
      <c r="AF37" s="84">
        <v>0.0</v>
      </c>
      <c r="AG37" s="84">
        <v>0.0</v>
      </c>
      <c r="AH37" s="84">
        <v>0.0</v>
      </c>
      <c r="AI37" s="84">
        <v>0.0</v>
      </c>
      <c r="AJ37" s="84">
        <v>0.0</v>
      </c>
      <c r="AK37" s="84">
        <v>0.0</v>
      </c>
      <c r="AL37" s="84">
        <v>0.0</v>
      </c>
      <c r="AM37" s="84">
        <v>0.0</v>
      </c>
      <c r="AN37" s="93">
        <f t="shared" si="1"/>
        <v>0.009957041681</v>
      </c>
      <c r="AO37" s="84">
        <f t="shared" si="2"/>
        <v>0</v>
      </c>
    </row>
    <row r="38" ht="12.75" customHeight="1">
      <c r="A38" s="84" t="s">
        <v>4357</v>
      </c>
      <c r="B38" s="84">
        <v>0.0</v>
      </c>
      <c r="C38" s="84">
        <v>0.0</v>
      </c>
      <c r="D38" s="84">
        <v>0.0</v>
      </c>
      <c r="E38" s="84">
        <v>0.0</v>
      </c>
      <c r="F38" s="84">
        <v>0.0</v>
      </c>
      <c r="G38" s="84">
        <v>0.0</v>
      </c>
      <c r="H38" s="84">
        <v>0.0</v>
      </c>
      <c r="I38" s="91">
        <v>0.0048484848484848485</v>
      </c>
      <c r="J38" s="84">
        <v>0.0</v>
      </c>
      <c r="K38" s="84">
        <v>0.0</v>
      </c>
      <c r="L38" s="84">
        <v>0.0</v>
      </c>
      <c r="M38" s="84">
        <v>0.0</v>
      </c>
      <c r="N38" s="84">
        <v>0.0</v>
      </c>
      <c r="O38" s="84">
        <v>0.0</v>
      </c>
      <c r="P38" s="84">
        <v>0.0</v>
      </c>
      <c r="Q38" s="84">
        <v>0.0</v>
      </c>
      <c r="R38" s="84">
        <v>0.0</v>
      </c>
      <c r="S38" s="84">
        <v>0.0</v>
      </c>
      <c r="T38" s="84">
        <v>0.0</v>
      </c>
      <c r="U38" s="84">
        <v>0.0</v>
      </c>
      <c r="V38" s="84">
        <v>0.0</v>
      </c>
      <c r="W38" s="84">
        <v>0.0</v>
      </c>
      <c r="X38" s="84">
        <v>0.0</v>
      </c>
      <c r="Y38" s="84">
        <v>0.0</v>
      </c>
      <c r="Z38" s="84">
        <v>0.0</v>
      </c>
      <c r="AA38" s="84">
        <v>0.0</v>
      </c>
      <c r="AB38" s="84">
        <v>0.0</v>
      </c>
      <c r="AC38" s="91">
        <v>0.006385696040868455</v>
      </c>
      <c r="AD38" s="84">
        <v>0.0</v>
      </c>
      <c r="AE38" s="84">
        <v>0.0</v>
      </c>
      <c r="AF38" s="84">
        <v>0.0</v>
      </c>
      <c r="AG38" s="84">
        <v>0.0</v>
      </c>
      <c r="AH38" s="84">
        <v>0.0</v>
      </c>
      <c r="AI38" s="84">
        <v>0.0</v>
      </c>
      <c r="AJ38" s="84">
        <v>0.0</v>
      </c>
      <c r="AK38" s="84">
        <v>0.0</v>
      </c>
      <c r="AL38" s="84">
        <v>0.0</v>
      </c>
      <c r="AM38" s="84">
        <v>0.0</v>
      </c>
      <c r="AN38" s="93">
        <f t="shared" si="1"/>
        <v>0.01123418089</v>
      </c>
      <c r="AO38" s="84">
        <f t="shared" si="2"/>
        <v>0</v>
      </c>
    </row>
    <row r="39" ht="12.75" customHeight="1">
      <c r="A39" s="84" t="s">
        <v>4383</v>
      </c>
      <c r="B39" s="84">
        <v>0.0</v>
      </c>
      <c r="C39" s="84">
        <v>0.0</v>
      </c>
      <c r="D39" s="84">
        <v>0.0</v>
      </c>
      <c r="E39" s="84">
        <v>0.0</v>
      </c>
      <c r="F39" s="84">
        <v>0.0</v>
      </c>
      <c r="G39" s="84">
        <v>0.0</v>
      </c>
      <c r="H39" s="84">
        <v>0.0</v>
      </c>
      <c r="I39" s="91">
        <v>0.0048484848484848485</v>
      </c>
      <c r="J39" s="84">
        <v>0.0</v>
      </c>
      <c r="K39" s="84">
        <v>0.0</v>
      </c>
      <c r="L39" s="84">
        <v>0.0</v>
      </c>
      <c r="M39" s="84">
        <v>0.0</v>
      </c>
      <c r="N39" s="84">
        <v>0.0</v>
      </c>
      <c r="O39" s="84">
        <v>0.0</v>
      </c>
      <c r="P39" s="84">
        <v>0.0</v>
      </c>
      <c r="Q39" s="84">
        <v>0.0</v>
      </c>
      <c r="R39" s="84">
        <v>0.0</v>
      </c>
      <c r="S39" s="84">
        <v>0.0</v>
      </c>
      <c r="T39" s="84">
        <v>0.0</v>
      </c>
      <c r="U39" s="84">
        <v>0.0</v>
      </c>
      <c r="V39" s="84">
        <v>0.0</v>
      </c>
      <c r="W39" s="84">
        <v>0.0</v>
      </c>
      <c r="X39" s="84">
        <v>0.0</v>
      </c>
      <c r="Y39" s="84">
        <v>0.0</v>
      </c>
      <c r="Z39" s="84">
        <v>0.0</v>
      </c>
      <c r="AA39" s="84">
        <v>0.0</v>
      </c>
      <c r="AB39" s="84">
        <v>0.0</v>
      </c>
      <c r="AC39" s="91">
        <v>0.005108556832694764</v>
      </c>
      <c r="AD39" s="84">
        <v>0.0</v>
      </c>
      <c r="AE39" s="84">
        <v>0.0</v>
      </c>
      <c r="AF39" s="84">
        <v>0.0</v>
      </c>
      <c r="AG39" s="84">
        <v>0.0</v>
      </c>
      <c r="AH39" s="84">
        <v>0.0</v>
      </c>
      <c r="AI39" s="84">
        <v>0.0</v>
      </c>
      <c r="AJ39" s="84">
        <v>0.0</v>
      </c>
      <c r="AK39" s="84">
        <v>0.0</v>
      </c>
      <c r="AL39" s="84">
        <v>0.0</v>
      </c>
      <c r="AM39" s="84">
        <v>0.0</v>
      </c>
      <c r="AN39" s="93">
        <f t="shared" si="1"/>
        <v>0.009957041681</v>
      </c>
      <c r="AO39" s="84">
        <f t="shared" si="2"/>
        <v>0</v>
      </c>
    </row>
    <row r="40" ht="12.75" customHeight="1">
      <c r="A40" s="84" t="s">
        <v>4421</v>
      </c>
      <c r="B40" s="84">
        <v>0.0</v>
      </c>
      <c r="C40" s="84">
        <v>0.0</v>
      </c>
      <c r="D40" s="84">
        <v>0.0</v>
      </c>
      <c r="E40" s="84">
        <v>0.0</v>
      </c>
      <c r="F40" s="84">
        <v>0.0</v>
      </c>
      <c r="G40" s="84">
        <v>0.0</v>
      </c>
      <c r="H40" s="84">
        <v>0.0</v>
      </c>
      <c r="I40" s="91">
        <v>0.0048484848484848485</v>
      </c>
      <c r="J40" s="84">
        <v>0.0</v>
      </c>
      <c r="K40" s="84">
        <v>0.0</v>
      </c>
      <c r="L40" s="84">
        <v>0.0</v>
      </c>
      <c r="M40" s="84">
        <v>0.0</v>
      </c>
      <c r="N40" s="84">
        <v>0.0</v>
      </c>
      <c r="O40" s="84">
        <v>0.0</v>
      </c>
      <c r="P40" s="84">
        <v>0.0</v>
      </c>
      <c r="Q40" s="84">
        <v>0.0</v>
      </c>
      <c r="R40" s="84">
        <v>0.0</v>
      </c>
      <c r="S40" s="84">
        <v>0.0</v>
      </c>
      <c r="T40" s="84">
        <v>0.0</v>
      </c>
      <c r="U40" s="84">
        <v>0.0</v>
      </c>
      <c r="V40" s="84">
        <v>0.0</v>
      </c>
      <c r="W40" s="84">
        <v>0.0</v>
      </c>
      <c r="X40" s="84">
        <v>0.0</v>
      </c>
      <c r="Y40" s="84">
        <v>0.0</v>
      </c>
      <c r="Z40" s="84">
        <v>0.0</v>
      </c>
      <c r="AA40" s="84">
        <v>0.0</v>
      </c>
      <c r="AB40" s="84">
        <v>0.0</v>
      </c>
      <c r="AC40" s="91">
        <v>0.005108556832694764</v>
      </c>
      <c r="AD40" s="84">
        <v>0.0</v>
      </c>
      <c r="AE40" s="84">
        <v>0.0</v>
      </c>
      <c r="AF40" s="84">
        <v>0.0</v>
      </c>
      <c r="AG40" s="84">
        <v>0.0</v>
      </c>
      <c r="AH40" s="84">
        <v>0.0</v>
      </c>
      <c r="AI40" s="84">
        <v>0.0</v>
      </c>
      <c r="AJ40" s="84">
        <v>0.0</v>
      </c>
      <c r="AK40" s="84">
        <v>0.0</v>
      </c>
      <c r="AL40" s="84">
        <v>0.0</v>
      </c>
      <c r="AM40" s="84">
        <v>0.0</v>
      </c>
      <c r="AN40" s="93">
        <f t="shared" si="1"/>
        <v>0.009957041681</v>
      </c>
      <c r="AO40" s="84">
        <f t="shared" si="2"/>
        <v>0</v>
      </c>
    </row>
    <row r="41" ht="12.75" customHeight="1">
      <c r="A41" s="84" t="s">
        <v>4393</v>
      </c>
      <c r="B41" s="84">
        <v>0.0</v>
      </c>
      <c r="C41" s="84">
        <v>0.0</v>
      </c>
      <c r="D41" s="84">
        <v>0.0</v>
      </c>
      <c r="E41" s="84">
        <v>0.0</v>
      </c>
      <c r="F41" s="84">
        <v>0.0</v>
      </c>
      <c r="G41" s="84">
        <v>0.0</v>
      </c>
      <c r="H41" s="84">
        <v>0.0</v>
      </c>
      <c r="I41" s="91">
        <v>0.0048484848484848485</v>
      </c>
      <c r="J41" s="84">
        <v>0.0</v>
      </c>
      <c r="K41" s="84">
        <v>0.0</v>
      </c>
      <c r="L41" s="84">
        <v>0.0</v>
      </c>
      <c r="M41" s="84">
        <v>0.0</v>
      </c>
      <c r="N41" s="84">
        <v>0.0</v>
      </c>
      <c r="O41" s="84">
        <v>0.0</v>
      </c>
      <c r="P41" s="84">
        <v>0.0</v>
      </c>
      <c r="Q41" s="84">
        <v>0.0</v>
      </c>
      <c r="R41" s="84">
        <v>0.0</v>
      </c>
      <c r="S41" s="84">
        <v>0.0</v>
      </c>
      <c r="T41" s="84">
        <v>0.0</v>
      </c>
      <c r="U41" s="84">
        <v>0.0</v>
      </c>
      <c r="V41" s="84">
        <v>0.0</v>
      </c>
      <c r="W41" s="84">
        <v>0.0</v>
      </c>
      <c r="X41" s="84">
        <v>0.0</v>
      </c>
      <c r="Y41" s="84">
        <v>0.0</v>
      </c>
      <c r="Z41" s="84">
        <v>0.0</v>
      </c>
      <c r="AA41" s="84">
        <v>0.0</v>
      </c>
      <c r="AB41" s="84">
        <v>0.0</v>
      </c>
      <c r="AC41" s="91">
        <v>0.005108556832694764</v>
      </c>
      <c r="AD41" s="84">
        <v>0.0</v>
      </c>
      <c r="AE41" s="84">
        <v>0.0</v>
      </c>
      <c r="AF41" s="84">
        <v>0.0</v>
      </c>
      <c r="AG41" s="84">
        <v>0.0</v>
      </c>
      <c r="AH41" s="84">
        <v>0.0</v>
      </c>
      <c r="AI41" s="84">
        <v>0.0</v>
      </c>
      <c r="AJ41" s="84">
        <v>0.0</v>
      </c>
      <c r="AK41" s="84">
        <v>0.0</v>
      </c>
      <c r="AL41" s="84">
        <v>0.0</v>
      </c>
      <c r="AM41" s="84">
        <v>0.0</v>
      </c>
      <c r="AN41" s="93">
        <f t="shared" si="1"/>
        <v>0.009957041681</v>
      </c>
      <c r="AO41" s="84">
        <f t="shared" si="2"/>
        <v>0</v>
      </c>
    </row>
    <row r="42" ht="12.75" customHeight="1">
      <c r="A42" s="84" t="s">
        <v>4119</v>
      </c>
      <c r="B42" s="84">
        <v>0.0</v>
      </c>
      <c r="C42" s="84">
        <v>0.0</v>
      </c>
      <c r="D42" s="84">
        <v>0.0</v>
      </c>
      <c r="E42" s="84">
        <v>0.0</v>
      </c>
      <c r="F42" s="84">
        <v>0.0</v>
      </c>
      <c r="G42" s="84">
        <v>0.0</v>
      </c>
      <c r="H42" s="84">
        <v>0.0</v>
      </c>
      <c r="I42" s="91">
        <v>0.0048484848484848485</v>
      </c>
      <c r="J42" s="84">
        <v>0.0</v>
      </c>
      <c r="K42" s="84">
        <v>0.0</v>
      </c>
      <c r="L42" s="84">
        <v>0.0</v>
      </c>
      <c r="M42" s="84">
        <v>0.0</v>
      </c>
      <c r="N42" s="84">
        <v>0.0</v>
      </c>
      <c r="O42" s="84">
        <v>0.0</v>
      </c>
      <c r="P42" s="84">
        <v>0.0</v>
      </c>
      <c r="Q42" s="84">
        <v>0.0</v>
      </c>
      <c r="R42" s="84">
        <v>0.0</v>
      </c>
      <c r="S42" s="84">
        <v>0.0</v>
      </c>
      <c r="T42" s="84">
        <v>0.0</v>
      </c>
      <c r="U42" s="84">
        <v>0.0</v>
      </c>
      <c r="V42" s="84">
        <v>0.0</v>
      </c>
      <c r="W42" s="84">
        <v>0.0</v>
      </c>
      <c r="X42" s="84">
        <v>0.0</v>
      </c>
      <c r="Y42" s="84">
        <v>0.0</v>
      </c>
      <c r="Z42" s="84">
        <v>0.0</v>
      </c>
      <c r="AA42" s="84">
        <v>0.0</v>
      </c>
      <c r="AB42" s="84">
        <v>0.0</v>
      </c>
      <c r="AC42" s="91">
        <v>0.0038314176245210726</v>
      </c>
      <c r="AD42" s="84">
        <v>0.0</v>
      </c>
      <c r="AE42" s="84">
        <v>0.0</v>
      </c>
      <c r="AF42" s="84">
        <v>0.0</v>
      </c>
      <c r="AG42" s="84">
        <v>0.0</v>
      </c>
      <c r="AH42" s="84">
        <v>0.0</v>
      </c>
      <c r="AI42" s="84">
        <v>0.0</v>
      </c>
      <c r="AJ42" s="84">
        <v>0.0</v>
      </c>
      <c r="AK42" s="84">
        <v>0.0</v>
      </c>
      <c r="AL42" s="84">
        <v>0.0</v>
      </c>
      <c r="AM42" s="84">
        <v>0.0</v>
      </c>
      <c r="AN42" s="93">
        <f t="shared" si="1"/>
        <v>0.008679902473</v>
      </c>
      <c r="AO42" s="84">
        <f t="shared" si="2"/>
        <v>0</v>
      </c>
    </row>
    <row r="43" ht="12.75" customHeight="1">
      <c r="A43" s="84" t="s">
        <v>4409</v>
      </c>
      <c r="B43" s="84">
        <v>0.0</v>
      </c>
      <c r="C43" s="84">
        <v>0.0</v>
      </c>
      <c r="D43" s="84">
        <v>0.0</v>
      </c>
      <c r="E43" s="84">
        <v>0.0</v>
      </c>
      <c r="F43" s="84">
        <v>0.0</v>
      </c>
      <c r="G43" s="84">
        <v>0.0</v>
      </c>
      <c r="H43" s="84">
        <v>0.0</v>
      </c>
      <c r="I43" s="91">
        <v>0.0048484848484848485</v>
      </c>
      <c r="J43" s="84">
        <v>0.0</v>
      </c>
      <c r="K43" s="84">
        <v>0.0</v>
      </c>
      <c r="L43" s="84">
        <v>0.0</v>
      </c>
      <c r="M43" s="84">
        <v>0.0</v>
      </c>
      <c r="N43" s="84">
        <v>0.0</v>
      </c>
      <c r="O43" s="84">
        <v>0.0</v>
      </c>
      <c r="P43" s="84">
        <v>0.0</v>
      </c>
      <c r="Q43" s="84">
        <v>0.0</v>
      </c>
      <c r="R43" s="84">
        <v>0.0</v>
      </c>
      <c r="S43" s="84">
        <v>0.0</v>
      </c>
      <c r="T43" s="84">
        <v>0.0</v>
      </c>
      <c r="U43" s="84">
        <v>0.0</v>
      </c>
      <c r="V43" s="84">
        <v>0.0</v>
      </c>
      <c r="W43" s="84">
        <v>0.0</v>
      </c>
      <c r="X43" s="84">
        <v>0.0</v>
      </c>
      <c r="Y43" s="84">
        <v>0.0</v>
      </c>
      <c r="Z43" s="84">
        <v>0.0</v>
      </c>
      <c r="AA43" s="84">
        <v>0.0</v>
      </c>
      <c r="AB43" s="84">
        <v>0.0</v>
      </c>
      <c r="AC43" s="91">
        <v>0.005108556832694764</v>
      </c>
      <c r="AD43" s="84">
        <v>0.0</v>
      </c>
      <c r="AE43" s="84">
        <v>0.0</v>
      </c>
      <c r="AF43" s="84">
        <v>0.0</v>
      </c>
      <c r="AG43" s="84">
        <v>0.0</v>
      </c>
      <c r="AH43" s="84">
        <v>0.0</v>
      </c>
      <c r="AI43" s="84">
        <v>0.0</v>
      </c>
      <c r="AJ43" s="84">
        <v>0.0</v>
      </c>
      <c r="AK43" s="84">
        <v>0.0</v>
      </c>
      <c r="AL43" s="84">
        <v>0.0</v>
      </c>
      <c r="AM43" s="84">
        <v>0.0</v>
      </c>
      <c r="AN43" s="93">
        <f t="shared" si="1"/>
        <v>0.009957041681</v>
      </c>
      <c r="AO43" s="84">
        <f t="shared" si="2"/>
        <v>0</v>
      </c>
    </row>
    <row r="44" ht="12.75" customHeight="1">
      <c r="A44" s="84" t="s">
        <v>4369</v>
      </c>
      <c r="B44" s="84">
        <v>0.0</v>
      </c>
      <c r="C44" s="84">
        <v>0.0</v>
      </c>
      <c r="D44" s="84">
        <v>0.0</v>
      </c>
      <c r="E44" s="84">
        <v>0.0</v>
      </c>
      <c r="F44" s="84">
        <v>0.0</v>
      </c>
      <c r="G44" s="84">
        <v>0.0</v>
      </c>
      <c r="H44" s="84">
        <v>0.0</v>
      </c>
      <c r="I44" s="91">
        <v>0.0048484848484848485</v>
      </c>
      <c r="J44" s="84">
        <v>0.0</v>
      </c>
      <c r="K44" s="84">
        <v>0.0</v>
      </c>
      <c r="L44" s="84">
        <v>0.0</v>
      </c>
      <c r="M44" s="84">
        <v>0.0</v>
      </c>
      <c r="N44" s="84">
        <v>0.0</v>
      </c>
      <c r="O44" s="84">
        <v>0.0</v>
      </c>
      <c r="P44" s="84">
        <v>0.0</v>
      </c>
      <c r="Q44" s="84">
        <v>0.0</v>
      </c>
      <c r="R44" s="84">
        <v>0.0</v>
      </c>
      <c r="S44" s="84">
        <v>0.0</v>
      </c>
      <c r="T44" s="84">
        <v>0.0</v>
      </c>
      <c r="U44" s="84">
        <v>0.0</v>
      </c>
      <c r="V44" s="84">
        <v>0.0</v>
      </c>
      <c r="W44" s="84">
        <v>0.0</v>
      </c>
      <c r="X44" s="84">
        <v>0.0</v>
      </c>
      <c r="Y44" s="84">
        <v>0.0</v>
      </c>
      <c r="Z44" s="84">
        <v>0.0</v>
      </c>
      <c r="AA44" s="84">
        <v>0.0</v>
      </c>
      <c r="AB44" s="84">
        <v>0.0</v>
      </c>
      <c r="AC44" s="91">
        <v>0.005108556832694764</v>
      </c>
      <c r="AD44" s="84">
        <v>0.0</v>
      </c>
      <c r="AE44" s="84">
        <v>0.0</v>
      </c>
      <c r="AF44" s="84">
        <v>0.0</v>
      </c>
      <c r="AG44" s="84">
        <v>0.0</v>
      </c>
      <c r="AH44" s="84">
        <v>0.0</v>
      </c>
      <c r="AI44" s="84">
        <v>0.0</v>
      </c>
      <c r="AJ44" s="84">
        <v>0.0</v>
      </c>
      <c r="AK44" s="84">
        <v>0.0</v>
      </c>
      <c r="AL44" s="84">
        <v>0.0</v>
      </c>
      <c r="AM44" s="84">
        <v>0.0</v>
      </c>
      <c r="AN44" s="93">
        <f t="shared" si="1"/>
        <v>0.009957041681</v>
      </c>
      <c r="AO44" s="84">
        <f t="shared" si="2"/>
        <v>0</v>
      </c>
    </row>
    <row r="45" ht="12.75" customHeight="1">
      <c r="A45" s="84" t="s">
        <v>4082</v>
      </c>
      <c r="B45" s="84">
        <v>0.0</v>
      </c>
      <c r="C45" s="84">
        <v>0.0</v>
      </c>
      <c r="D45" s="84">
        <v>0.0</v>
      </c>
      <c r="E45" s="84">
        <v>0.0</v>
      </c>
      <c r="F45" s="84">
        <v>0.0</v>
      </c>
      <c r="G45" s="84">
        <v>0.0</v>
      </c>
      <c r="H45" s="84">
        <v>0.0</v>
      </c>
      <c r="I45" s="91">
        <v>0.0048484848484848485</v>
      </c>
      <c r="J45" s="84">
        <v>0.0</v>
      </c>
      <c r="K45" s="84">
        <v>0.0</v>
      </c>
      <c r="L45" s="84">
        <v>0.0</v>
      </c>
      <c r="M45" s="84">
        <v>0.0</v>
      </c>
      <c r="N45" s="84">
        <v>0.0</v>
      </c>
      <c r="O45" s="84">
        <v>0.0</v>
      </c>
      <c r="P45" s="84">
        <v>0.0</v>
      </c>
      <c r="Q45" s="84">
        <v>0.0</v>
      </c>
      <c r="R45" s="84">
        <v>0.0</v>
      </c>
      <c r="S45" s="84">
        <v>0.0</v>
      </c>
      <c r="T45" s="84">
        <v>0.0</v>
      </c>
      <c r="U45" s="84">
        <v>0.0</v>
      </c>
      <c r="V45" s="84">
        <v>0.0</v>
      </c>
      <c r="W45" s="84">
        <v>0.0</v>
      </c>
      <c r="X45" s="84">
        <v>0.0</v>
      </c>
      <c r="Y45" s="84">
        <v>0.0</v>
      </c>
      <c r="Z45" s="84">
        <v>0.0</v>
      </c>
      <c r="AA45" s="84">
        <v>0.0</v>
      </c>
      <c r="AB45" s="84">
        <v>0.0</v>
      </c>
      <c r="AC45" s="91">
        <v>0.002554278416347382</v>
      </c>
      <c r="AD45" s="84">
        <v>0.0</v>
      </c>
      <c r="AE45" s="84">
        <v>0.0</v>
      </c>
      <c r="AF45" s="84">
        <v>0.0</v>
      </c>
      <c r="AG45" s="84">
        <v>0.0</v>
      </c>
      <c r="AH45" s="84">
        <v>0.0</v>
      </c>
      <c r="AI45" s="84">
        <v>0.0</v>
      </c>
      <c r="AJ45" s="84">
        <v>0.0</v>
      </c>
      <c r="AK45" s="84">
        <v>0.0</v>
      </c>
      <c r="AL45" s="84">
        <v>0.0</v>
      </c>
      <c r="AM45" s="84">
        <v>0.0</v>
      </c>
      <c r="AN45" s="93">
        <f t="shared" si="1"/>
        <v>0.007402763265</v>
      </c>
      <c r="AO45" s="84">
        <f t="shared" si="2"/>
        <v>0</v>
      </c>
    </row>
    <row r="46" ht="12.75" customHeight="1">
      <c r="A46" s="84" t="s">
        <v>4270</v>
      </c>
      <c r="B46" s="84">
        <v>0.0</v>
      </c>
      <c r="C46" s="84">
        <v>0.0</v>
      </c>
      <c r="D46" s="84">
        <v>0.0</v>
      </c>
      <c r="E46" s="84">
        <v>0.0</v>
      </c>
      <c r="F46" s="84">
        <v>0.0</v>
      </c>
      <c r="G46" s="84">
        <v>0.0</v>
      </c>
      <c r="H46" s="84">
        <v>0.0</v>
      </c>
      <c r="I46" s="91">
        <v>0.0048484848484848485</v>
      </c>
      <c r="J46" s="84">
        <v>0.0</v>
      </c>
      <c r="K46" s="84">
        <v>0.0</v>
      </c>
      <c r="L46" s="84">
        <v>0.0</v>
      </c>
      <c r="M46" s="84">
        <v>0.0</v>
      </c>
      <c r="N46" s="84">
        <v>0.0</v>
      </c>
      <c r="O46" s="84">
        <v>0.0</v>
      </c>
      <c r="P46" s="84">
        <v>0.0</v>
      </c>
      <c r="Q46" s="84">
        <v>0.0</v>
      </c>
      <c r="R46" s="84">
        <v>0.0</v>
      </c>
      <c r="S46" s="84">
        <v>0.0</v>
      </c>
      <c r="T46" s="84">
        <v>0.0</v>
      </c>
      <c r="U46" s="84">
        <v>0.0</v>
      </c>
      <c r="V46" s="84">
        <v>0.0</v>
      </c>
      <c r="W46" s="84">
        <v>0.0</v>
      </c>
      <c r="X46" s="84">
        <v>0.0</v>
      </c>
      <c r="Y46" s="84">
        <v>0.0</v>
      </c>
      <c r="Z46" s="84">
        <v>0.0</v>
      </c>
      <c r="AA46" s="84">
        <v>0.0</v>
      </c>
      <c r="AB46" s="84">
        <v>0.0</v>
      </c>
      <c r="AC46" s="91">
        <v>0.002554278416347382</v>
      </c>
      <c r="AD46" s="84">
        <v>0.0</v>
      </c>
      <c r="AE46" s="84">
        <v>0.0</v>
      </c>
      <c r="AF46" s="84">
        <v>0.0</v>
      </c>
      <c r="AG46" s="84">
        <v>0.0</v>
      </c>
      <c r="AH46" s="84">
        <v>0.0</v>
      </c>
      <c r="AI46" s="84">
        <v>0.0</v>
      </c>
      <c r="AJ46" s="84">
        <v>0.0</v>
      </c>
      <c r="AK46" s="84">
        <v>0.0</v>
      </c>
      <c r="AL46" s="84">
        <v>0.0</v>
      </c>
      <c r="AM46" s="84">
        <v>0.0</v>
      </c>
      <c r="AN46" s="93">
        <f t="shared" si="1"/>
        <v>0.007402763265</v>
      </c>
      <c r="AO46" s="84">
        <f t="shared" si="2"/>
        <v>0</v>
      </c>
    </row>
    <row r="47" ht="12.75" customHeight="1">
      <c r="A47" s="84" t="s">
        <v>4283</v>
      </c>
      <c r="B47" s="84">
        <v>0.0</v>
      </c>
      <c r="C47" s="84">
        <v>0.0</v>
      </c>
      <c r="D47" s="84">
        <v>0.0</v>
      </c>
      <c r="E47" s="84">
        <v>0.0</v>
      </c>
      <c r="F47" s="84">
        <v>0.0</v>
      </c>
      <c r="G47" s="84">
        <v>0.0</v>
      </c>
      <c r="H47" s="84">
        <v>0.0</v>
      </c>
      <c r="I47" s="91">
        <v>0.0048484848484848485</v>
      </c>
      <c r="J47" s="84">
        <v>0.0</v>
      </c>
      <c r="K47" s="84">
        <v>0.0</v>
      </c>
      <c r="L47" s="84">
        <v>0.0</v>
      </c>
      <c r="M47" s="84">
        <v>0.0</v>
      </c>
      <c r="N47" s="84">
        <v>0.0</v>
      </c>
      <c r="O47" s="84">
        <v>0.0</v>
      </c>
      <c r="P47" s="84">
        <v>0.0</v>
      </c>
      <c r="Q47" s="84">
        <v>0.0</v>
      </c>
      <c r="R47" s="84">
        <v>0.0</v>
      </c>
      <c r="S47" s="84">
        <v>0.0</v>
      </c>
      <c r="T47" s="84">
        <v>0.0</v>
      </c>
      <c r="U47" s="84">
        <v>0.0</v>
      </c>
      <c r="V47" s="84">
        <v>0.0</v>
      </c>
      <c r="W47" s="84">
        <v>0.0</v>
      </c>
      <c r="X47" s="84">
        <v>0.0</v>
      </c>
      <c r="Y47" s="84">
        <v>0.0</v>
      </c>
      <c r="Z47" s="84">
        <v>0.0</v>
      </c>
      <c r="AA47" s="84">
        <v>0.0</v>
      </c>
      <c r="AB47" s="84">
        <v>0.0</v>
      </c>
      <c r="AC47" s="91">
        <v>0.0</v>
      </c>
      <c r="AD47" s="84">
        <v>0.0</v>
      </c>
      <c r="AE47" s="84">
        <v>0.0</v>
      </c>
      <c r="AF47" s="84">
        <v>0.0</v>
      </c>
      <c r="AG47" s="84">
        <v>0.0</v>
      </c>
      <c r="AH47" s="84">
        <v>0.0</v>
      </c>
      <c r="AI47" s="84">
        <v>0.0</v>
      </c>
      <c r="AJ47" s="84">
        <v>0.0</v>
      </c>
      <c r="AK47" s="84">
        <v>0.0</v>
      </c>
      <c r="AL47" s="84">
        <v>0.0</v>
      </c>
      <c r="AM47" s="84">
        <v>0.0</v>
      </c>
      <c r="AN47" s="93">
        <f t="shared" si="1"/>
        <v>0.004848484848</v>
      </c>
      <c r="AO47" s="84">
        <f t="shared" si="2"/>
        <v>0</v>
      </c>
    </row>
    <row r="48" ht="12.75" customHeight="1">
      <c r="A48" s="84" t="s">
        <v>4419</v>
      </c>
      <c r="B48" s="84">
        <v>0.0</v>
      </c>
      <c r="C48" s="84">
        <v>0.0</v>
      </c>
      <c r="D48" s="84">
        <v>0.0</v>
      </c>
      <c r="E48" s="84">
        <v>0.0</v>
      </c>
      <c r="F48" s="84">
        <v>0.0</v>
      </c>
      <c r="G48" s="84">
        <v>0.0</v>
      </c>
      <c r="H48" s="84">
        <v>0.0</v>
      </c>
      <c r="I48" s="91">
        <v>0.0048484848484848485</v>
      </c>
      <c r="J48" s="84">
        <v>0.0</v>
      </c>
      <c r="K48" s="84">
        <v>0.0</v>
      </c>
      <c r="L48" s="84">
        <v>0.0</v>
      </c>
      <c r="M48" s="84">
        <v>0.0</v>
      </c>
      <c r="N48" s="84">
        <v>0.0</v>
      </c>
      <c r="O48" s="84">
        <v>0.0</v>
      </c>
      <c r="P48" s="84">
        <v>0.0</v>
      </c>
      <c r="Q48" s="84">
        <v>0.0</v>
      </c>
      <c r="R48" s="84">
        <v>0.0</v>
      </c>
      <c r="S48" s="84">
        <v>0.0</v>
      </c>
      <c r="T48" s="84">
        <v>0.0</v>
      </c>
      <c r="U48" s="84">
        <v>0.0</v>
      </c>
      <c r="V48" s="84">
        <v>0.0</v>
      </c>
      <c r="W48" s="84">
        <v>0.0</v>
      </c>
      <c r="X48" s="84">
        <v>0.0</v>
      </c>
      <c r="Y48" s="84">
        <v>0.0</v>
      </c>
      <c r="Z48" s="84">
        <v>0.0</v>
      </c>
      <c r="AA48" s="84">
        <v>0.0</v>
      </c>
      <c r="AB48" s="84">
        <v>0.0</v>
      </c>
      <c r="AC48" s="91">
        <v>0.0</v>
      </c>
      <c r="AD48" s="84">
        <v>0.0</v>
      </c>
      <c r="AE48" s="84">
        <v>0.0</v>
      </c>
      <c r="AF48" s="84">
        <v>0.0</v>
      </c>
      <c r="AG48" s="84">
        <v>0.0</v>
      </c>
      <c r="AH48" s="84">
        <v>0.0</v>
      </c>
      <c r="AI48" s="84">
        <v>0.0</v>
      </c>
      <c r="AJ48" s="84">
        <v>0.0</v>
      </c>
      <c r="AK48" s="84">
        <v>0.0</v>
      </c>
      <c r="AL48" s="84">
        <v>0.0</v>
      </c>
      <c r="AM48" s="84">
        <v>0.0</v>
      </c>
      <c r="AN48" s="93">
        <f t="shared" si="1"/>
        <v>0.004848484848</v>
      </c>
      <c r="AO48" s="84">
        <f t="shared" si="2"/>
        <v>0</v>
      </c>
    </row>
    <row r="49" ht="12.75" customHeight="1">
      <c r="A49" s="84" t="s">
        <v>4284</v>
      </c>
      <c r="B49" s="84">
        <v>0.0</v>
      </c>
      <c r="C49" s="84">
        <v>0.0</v>
      </c>
      <c r="D49" s="84">
        <v>0.0</v>
      </c>
      <c r="E49" s="84">
        <v>0.0</v>
      </c>
      <c r="F49" s="84">
        <v>0.0</v>
      </c>
      <c r="G49" s="84">
        <v>0.0</v>
      </c>
      <c r="H49" s="84">
        <v>0.0</v>
      </c>
      <c r="I49" s="91">
        <v>0.0048484848484848485</v>
      </c>
      <c r="J49" s="84">
        <v>0.0</v>
      </c>
      <c r="K49" s="84">
        <v>0.0</v>
      </c>
      <c r="L49" s="84">
        <v>0.0</v>
      </c>
      <c r="M49" s="84">
        <v>0.0</v>
      </c>
      <c r="N49" s="84">
        <v>0.0</v>
      </c>
      <c r="O49" s="84">
        <v>0.0</v>
      </c>
      <c r="P49" s="84">
        <v>0.0</v>
      </c>
      <c r="Q49" s="84">
        <v>0.0</v>
      </c>
      <c r="R49" s="84">
        <v>0.0</v>
      </c>
      <c r="S49" s="84">
        <v>0.0</v>
      </c>
      <c r="T49" s="84">
        <v>0.0</v>
      </c>
      <c r="U49" s="84">
        <v>0.0</v>
      </c>
      <c r="V49" s="84">
        <v>0.0</v>
      </c>
      <c r="W49" s="84">
        <v>0.0</v>
      </c>
      <c r="X49" s="84">
        <v>0.0</v>
      </c>
      <c r="Y49" s="84">
        <v>0.0</v>
      </c>
      <c r="Z49" s="84">
        <v>0.0</v>
      </c>
      <c r="AA49" s="84">
        <v>0.0</v>
      </c>
      <c r="AB49" s="84">
        <v>0.0</v>
      </c>
      <c r="AC49" s="91">
        <v>0.0</v>
      </c>
      <c r="AD49" s="84">
        <v>0.0</v>
      </c>
      <c r="AE49" s="84">
        <v>0.0</v>
      </c>
      <c r="AF49" s="84">
        <v>0.0</v>
      </c>
      <c r="AG49" s="84">
        <v>0.0</v>
      </c>
      <c r="AH49" s="84">
        <v>0.0</v>
      </c>
      <c r="AI49" s="84">
        <v>0.0</v>
      </c>
      <c r="AJ49" s="84">
        <v>0.0</v>
      </c>
      <c r="AK49" s="84">
        <v>0.0</v>
      </c>
      <c r="AL49" s="84">
        <v>0.0</v>
      </c>
      <c r="AM49" s="84">
        <v>0.0</v>
      </c>
      <c r="AN49" s="93">
        <f t="shared" si="1"/>
        <v>0.004848484848</v>
      </c>
      <c r="AO49" s="84">
        <f t="shared" si="2"/>
        <v>0</v>
      </c>
    </row>
    <row r="50" ht="12.75" customHeight="1">
      <c r="A50" s="84" t="s">
        <v>4407</v>
      </c>
      <c r="B50" s="84">
        <v>0.0</v>
      </c>
      <c r="C50" s="84">
        <v>0.0</v>
      </c>
      <c r="D50" s="84">
        <v>0.0</v>
      </c>
      <c r="E50" s="84">
        <v>0.0</v>
      </c>
      <c r="F50" s="84">
        <v>0.0</v>
      </c>
      <c r="G50" s="84">
        <v>0.0</v>
      </c>
      <c r="H50" s="84">
        <v>0.0</v>
      </c>
      <c r="I50" s="91">
        <v>0.0036363636363636364</v>
      </c>
      <c r="J50" s="84">
        <v>0.0</v>
      </c>
      <c r="K50" s="84">
        <v>0.0</v>
      </c>
      <c r="L50" s="84">
        <v>0.0</v>
      </c>
      <c r="M50" s="84">
        <v>0.0</v>
      </c>
      <c r="N50" s="84">
        <v>0.0</v>
      </c>
      <c r="O50" s="84">
        <v>0.0</v>
      </c>
      <c r="P50" s="84">
        <v>0.0</v>
      </c>
      <c r="Q50" s="84">
        <v>0.0</v>
      </c>
      <c r="R50" s="84">
        <v>0.0</v>
      </c>
      <c r="S50" s="84">
        <v>0.0</v>
      </c>
      <c r="T50" s="84">
        <v>0.0</v>
      </c>
      <c r="U50" s="84">
        <v>0.0</v>
      </c>
      <c r="V50" s="84">
        <v>0.0</v>
      </c>
      <c r="W50" s="84">
        <v>0.0</v>
      </c>
      <c r="X50" s="84">
        <v>0.0</v>
      </c>
      <c r="Y50" s="84">
        <v>0.0</v>
      </c>
      <c r="Z50" s="84">
        <v>0.0</v>
      </c>
      <c r="AA50" s="84">
        <v>0.0</v>
      </c>
      <c r="AB50" s="84">
        <v>0.0</v>
      </c>
      <c r="AC50" s="91">
        <v>0.007662835249042145</v>
      </c>
      <c r="AD50" s="84">
        <v>0.0</v>
      </c>
      <c r="AE50" s="84">
        <v>0.0</v>
      </c>
      <c r="AF50" s="84">
        <v>0.0</v>
      </c>
      <c r="AG50" s="84">
        <v>0.0</v>
      </c>
      <c r="AH50" s="84">
        <v>0.0</v>
      </c>
      <c r="AI50" s="84">
        <v>0.0</v>
      </c>
      <c r="AJ50" s="84">
        <v>0.0</v>
      </c>
      <c r="AK50" s="84">
        <v>0.0</v>
      </c>
      <c r="AL50" s="84">
        <v>0.0</v>
      </c>
      <c r="AM50" s="84">
        <v>0.0</v>
      </c>
      <c r="AN50" s="93">
        <f t="shared" si="1"/>
        <v>0.01129919889</v>
      </c>
      <c r="AO50" s="84">
        <f t="shared" si="2"/>
        <v>0</v>
      </c>
    </row>
    <row r="51" ht="12.75" customHeight="1">
      <c r="A51" s="84" t="s">
        <v>4365</v>
      </c>
      <c r="B51" s="84">
        <v>0.0</v>
      </c>
      <c r="C51" s="84">
        <v>0.0</v>
      </c>
      <c r="D51" s="84">
        <v>0.0</v>
      </c>
      <c r="E51" s="84">
        <v>0.0</v>
      </c>
      <c r="F51" s="84">
        <v>0.0</v>
      </c>
      <c r="G51" s="84">
        <v>0.0</v>
      </c>
      <c r="H51" s="84">
        <v>0.0</v>
      </c>
      <c r="I51" s="91">
        <v>0.0036363636363636364</v>
      </c>
      <c r="J51" s="84">
        <v>0.0</v>
      </c>
      <c r="K51" s="84">
        <v>0.0</v>
      </c>
      <c r="L51" s="84">
        <v>0.0</v>
      </c>
      <c r="M51" s="84">
        <v>0.0</v>
      </c>
      <c r="N51" s="84">
        <v>0.0</v>
      </c>
      <c r="O51" s="84">
        <v>0.0</v>
      </c>
      <c r="P51" s="84">
        <v>0.0</v>
      </c>
      <c r="Q51" s="84">
        <v>0.0</v>
      </c>
      <c r="R51" s="84">
        <v>0.0</v>
      </c>
      <c r="S51" s="84">
        <v>0.0</v>
      </c>
      <c r="T51" s="84">
        <v>0.0</v>
      </c>
      <c r="U51" s="84">
        <v>0.0</v>
      </c>
      <c r="V51" s="84">
        <v>0.0</v>
      </c>
      <c r="W51" s="84">
        <v>0.0</v>
      </c>
      <c r="X51" s="84">
        <v>0.0</v>
      </c>
      <c r="Y51" s="84">
        <v>0.0</v>
      </c>
      <c r="Z51" s="84">
        <v>0.0</v>
      </c>
      <c r="AA51" s="84">
        <v>0.0</v>
      </c>
      <c r="AB51" s="84">
        <v>0.0</v>
      </c>
      <c r="AC51" s="91">
        <v>0.007662835249042145</v>
      </c>
      <c r="AD51" s="84">
        <v>0.0</v>
      </c>
      <c r="AE51" s="84">
        <v>0.0</v>
      </c>
      <c r="AF51" s="84">
        <v>0.0</v>
      </c>
      <c r="AG51" s="84">
        <v>0.0</v>
      </c>
      <c r="AH51" s="84">
        <v>0.0</v>
      </c>
      <c r="AI51" s="84">
        <v>0.0</v>
      </c>
      <c r="AJ51" s="84">
        <v>0.0</v>
      </c>
      <c r="AK51" s="84">
        <v>0.0</v>
      </c>
      <c r="AL51" s="84">
        <v>0.0</v>
      </c>
      <c r="AM51" s="84">
        <v>0.0</v>
      </c>
      <c r="AN51" s="93">
        <f t="shared" si="1"/>
        <v>0.01129919889</v>
      </c>
      <c r="AO51" s="84">
        <f t="shared" si="2"/>
        <v>0</v>
      </c>
    </row>
    <row r="52" ht="12.75" customHeight="1">
      <c r="A52" s="84" t="s">
        <v>4358</v>
      </c>
      <c r="B52" s="84">
        <v>0.0</v>
      </c>
      <c r="C52" s="84">
        <v>0.0</v>
      </c>
      <c r="D52" s="84">
        <v>0.0</v>
      </c>
      <c r="E52" s="84">
        <v>0.0</v>
      </c>
      <c r="F52" s="84">
        <v>0.0</v>
      </c>
      <c r="G52" s="84">
        <v>0.0</v>
      </c>
      <c r="H52" s="84">
        <v>0.0</v>
      </c>
      <c r="I52" s="91">
        <v>0.0036363636363636364</v>
      </c>
      <c r="J52" s="84">
        <v>0.0</v>
      </c>
      <c r="K52" s="84">
        <v>0.0</v>
      </c>
      <c r="L52" s="84">
        <v>0.0</v>
      </c>
      <c r="M52" s="84">
        <v>0.0</v>
      </c>
      <c r="N52" s="84">
        <v>0.0</v>
      </c>
      <c r="O52" s="84">
        <v>0.0</v>
      </c>
      <c r="P52" s="84">
        <v>0.0</v>
      </c>
      <c r="Q52" s="84">
        <v>0.0</v>
      </c>
      <c r="R52" s="84">
        <v>0.0</v>
      </c>
      <c r="S52" s="84">
        <v>0.0</v>
      </c>
      <c r="T52" s="84">
        <v>0.0</v>
      </c>
      <c r="U52" s="84">
        <v>0.0</v>
      </c>
      <c r="V52" s="84">
        <v>0.0</v>
      </c>
      <c r="W52" s="84">
        <v>0.0</v>
      </c>
      <c r="X52" s="84">
        <v>0.0</v>
      </c>
      <c r="Y52" s="84">
        <v>0.0</v>
      </c>
      <c r="Z52" s="84">
        <v>0.0</v>
      </c>
      <c r="AA52" s="84">
        <v>0.0</v>
      </c>
      <c r="AB52" s="84">
        <v>0.0</v>
      </c>
      <c r="AC52" s="91">
        <v>0.006385696040868455</v>
      </c>
      <c r="AD52" s="84">
        <v>0.0</v>
      </c>
      <c r="AE52" s="84">
        <v>0.0</v>
      </c>
      <c r="AF52" s="84">
        <v>0.0</v>
      </c>
      <c r="AG52" s="84">
        <v>0.0</v>
      </c>
      <c r="AH52" s="84">
        <v>0.0</v>
      </c>
      <c r="AI52" s="84">
        <v>0.0</v>
      </c>
      <c r="AJ52" s="84">
        <v>0.0</v>
      </c>
      <c r="AK52" s="84">
        <v>0.0</v>
      </c>
      <c r="AL52" s="84">
        <v>0.0</v>
      </c>
      <c r="AM52" s="84">
        <v>0.0</v>
      </c>
      <c r="AN52" s="93">
        <f t="shared" si="1"/>
        <v>0.01002205968</v>
      </c>
      <c r="AO52" s="84">
        <f t="shared" si="2"/>
        <v>0</v>
      </c>
    </row>
    <row r="53" ht="12.75" customHeight="1">
      <c r="A53" s="84" t="s">
        <v>4415</v>
      </c>
      <c r="B53" s="84">
        <v>0.0</v>
      </c>
      <c r="C53" s="84">
        <v>0.0</v>
      </c>
      <c r="D53" s="84">
        <v>0.0</v>
      </c>
      <c r="E53" s="84">
        <v>0.0</v>
      </c>
      <c r="F53" s="84">
        <v>0.0</v>
      </c>
      <c r="G53" s="84">
        <v>0.0</v>
      </c>
      <c r="H53" s="84">
        <v>0.0</v>
      </c>
      <c r="I53" s="91">
        <v>0.0036363636363636364</v>
      </c>
      <c r="J53" s="84">
        <v>0.0</v>
      </c>
      <c r="K53" s="84">
        <v>0.0</v>
      </c>
      <c r="L53" s="84">
        <v>0.0</v>
      </c>
      <c r="M53" s="84">
        <v>0.0</v>
      </c>
      <c r="N53" s="84">
        <v>0.0</v>
      </c>
      <c r="O53" s="84">
        <v>0.0</v>
      </c>
      <c r="P53" s="84">
        <v>0.0</v>
      </c>
      <c r="Q53" s="84">
        <v>0.0</v>
      </c>
      <c r="R53" s="84">
        <v>0.0</v>
      </c>
      <c r="S53" s="84">
        <v>0.0</v>
      </c>
      <c r="T53" s="84">
        <v>0.0</v>
      </c>
      <c r="U53" s="84">
        <v>0.0</v>
      </c>
      <c r="V53" s="84">
        <v>0.0</v>
      </c>
      <c r="W53" s="84">
        <v>0.0</v>
      </c>
      <c r="X53" s="84">
        <v>0.0</v>
      </c>
      <c r="Y53" s="84">
        <v>0.0</v>
      </c>
      <c r="Z53" s="84">
        <v>0.0</v>
      </c>
      <c r="AA53" s="84">
        <v>0.0</v>
      </c>
      <c r="AB53" s="84">
        <v>0.0</v>
      </c>
      <c r="AC53" s="91">
        <v>0.006385696040868455</v>
      </c>
      <c r="AD53" s="84">
        <v>0.0</v>
      </c>
      <c r="AE53" s="84">
        <v>0.0</v>
      </c>
      <c r="AF53" s="84">
        <v>0.0</v>
      </c>
      <c r="AG53" s="84">
        <v>0.0</v>
      </c>
      <c r="AH53" s="84">
        <v>0.0</v>
      </c>
      <c r="AI53" s="84">
        <v>0.0</v>
      </c>
      <c r="AJ53" s="84">
        <v>0.0</v>
      </c>
      <c r="AK53" s="84">
        <v>0.0</v>
      </c>
      <c r="AL53" s="84">
        <v>0.0</v>
      </c>
      <c r="AM53" s="84">
        <v>0.0</v>
      </c>
      <c r="AN53" s="93">
        <f t="shared" si="1"/>
        <v>0.01002205968</v>
      </c>
      <c r="AO53" s="84">
        <f t="shared" si="2"/>
        <v>0</v>
      </c>
    </row>
    <row r="54" ht="12.75" customHeight="1">
      <c r="A54" s="84" t="s">
        <v>4411</v>
      </c>
      <c r="B54" s="84">
        <v>0.0</v>
      </c>
      <c r="C54" s="84">
        <v>0.0</v>
      </c>
      <c r="D54" s="84">
        <v>0.0</v>
      </c>
      <c r="E54" s="84">
        <v>0.0</v>
      </c>
      <c r="F54" s="84">
        <v>0.0</v>
      </c>
      <c r="G54" s="84">
        <v>0.0</v>
      </c>
      <c r="H54" s="84">
        <v>0.0</v>
      </c>
      <c r="I54" s="91">
        <v>0.0036363636363636364</v>
      </c>
      <c r="J54" s="84">
        <v>0.0</v>
      </c>
      <c r="K54" s="84">
        <v>0.0</v>
      </c>
      <c r="L54" s="84">
        <v>0.0</v>
      </c>
      <c r="M54" s="84">
        <v>0.0</v>
      </c>
      <c r="N54" s="84">
        <v>0.0</v>
      </c>
      <c r="O54" s="84">
        <v>0.0</v>
      </c>
      <c r="P54" s="84">
        <v>0.0</v>
      </c>
      <c r="Q54" s="84">
        <v>0.0</v>
      </c>
      <c r="R54" s="84">
        <v>0.0</v>
      </c>
      <c r="S54" s="84">
        <v>0.0</v>
      </c>
      <c r="T54" s="84">
        <v>0.0</v>
      </c>
      <c r="U54" s="84">
        <v>0.0</v>
      </c>
      <c r="V54" s="84">
        <v>0.0</v>
      </c>
      <c r="W54" s="84">
        <v>0.0</v>
      </c>
      <c r="X54" s="84">
        <v>0.0</v>
      </c>
      <c r="Y54" s="84">
        <v>0.0</v>
      </c>
      <c r="Z54" s="84">
        <v>0.0</v>
      </c>
      <c r="AA54" s="84">
        <v>0.0</v>
      </c>
      <c r="AB54" s="84">
        <v>0.0</v>
      </c>
      <c r="AC54" s="91">
        <v>0.005108556832694764</v>
      </c>
      <c r="AD54" s="84">
        <v>0.0</v>
      </c>
      <c r="AE54" s="84">
        <v>0.0</v>
      </c>
      <c r="AF54" s="84">
        <v>0.0</v>
      </c>
      <c r="AG54" s="84">
        <v>0.0</v>
      </c>
      <c r="AH54" s="84">
        <v>0.0</v>
      </c>
      <c r="AI54" s="84">
        <v>0.0</v>
      </c>
      <c r="AJ54" s="84">
        <v>0.0</v>
      </c>
      <c r="AK54" s="84">
        <v>0.0</v>
      </c>
      <c r="AL54" s="84">
        <v>0.0</v>
      </c>
      <c r="AM54" s="84">
        <v>0.0</v>
      </c>
      <c r="AN54" s="93">
        <f t="shared" si="1"/>
        <v>0.008744920469</v>
      </c>
      <c r="AO54" s="84">
        <f t="shared" si="2"/>
        <v>0</v>
      </c>
    </row>
    <row r="55" ht="12.75" customHeight="1">
      <c r="A55" s="84" t="s">
        <v>4360</v>
      </c>
      <c r="B55" s="84">
        <v>0.0</v>
      </c>
      <c r="C55" s="84">
        <v>0.0</v>
      </c>
      <c r="D55" s="84">
        <v>0.0</v>
      </c>
      <c r="E55" s="84">
        <v>0.0</v>
      </c>
      <c r="F55" s="84">
        <v>0.0</v>
      </c>
      <c r="G55" s="84">
        <v>0.0</v>
      </c>
      <c r="H55" s="84">
        <v>0.0</v>
      </c>
      <c r="I55" s="91">
        <v>0.0036363636363636364</v>
      </c>
      <c r="J55" s="84">
        <v>0.0</v>
      </c>
      <c r="K55" s="84">
        <v>0.0</v>
      </c>
      <c r="L55" s="84">
        <v>0.0</v>
      </c>
      <c r="M55" s="84">
        <v>0.0</v>
      </c>
      <c r="N55" s="84">
        <v>0.0</v>
      </c>
      <c r="O55" s="84">
        <v>0.0</v>
      </c>
      <c r="P55" s="84">
        <v>0.0</v>
      </c>
      <c r="Q55" s="84">
        <v>0.0</v>
      </c>
      <c r="R55" s="84">
        <v>0.0</v>
      </c>
      <c r="S55" s="84">
        <v>0.0</v>
      </c>
      <c r="T55" s="84">
        <v>0.0</v>
      </c>
      <c r="U55" s="84">
        <v>0.0</v>
      </c>
      <c r="V55" s="84">
        <v>0.0</v>
      </c>
      <c r="W55" s="84">
        <v>0.0</v>
      </c>
      <c r="X55" s="84">
        <v>0.0</v>
      </c>
      <c r="Y55" s="84">
        <v>0.0</v>
      </c>
      <c r="Z55" s="84">
        <v>0.0</v>
      </c>
      <c r="AA55" s="84">
        <v>0.0</v>
      </c>
      <c r="AB55" s="84">
        <v>0.0</v>
      </c>
      <c r="AC55" s="91">
        <v>0.006385696040868455</v>
      </c>
      <c r="AD55" s="84">
        <v>0.0</v>
      </c>
      <c r="AE55" s="84">
        <v>0.0</v>
      </c>
      <c r="AF55" s="84">
        <v>0.0</v>
      </c>
      <c r="AG55" s="84">
        <v>0.0</v>
      </c>
      <c r="AH55" s="84">
        <v>0.0</v>
      </c>
      <c r="AI55" s="84">
        <v>0.0</v>
      </c>
      <c r="AJ55" s="84">
        <v>0.0</v>
      </c>
      <c r="AK55" s="84">
        <v>0.0</v>
      </c>
      <c r="AL55" s="84">
        <v>0.0</v>
      </c>
      <c r="AM55" s="84">
        <v>0.0</v>
      </c>
      <c r="AN55" s="93">
        <f t="shared" si="1"/>
        <v>0.01002205968</v>
      </c>
      <c r="AO55" s="84">
        <f t="shared" si="2"/>
        <v>0</v>
      </c>
    </row>
    <row r="56" ht="12.75" customHeight="1">
      <c r="A56" s="84" t="s">
        <v>4372</v>
      </c>
      <c r="B56" s="84">
        <v>0.0</v>
      </c>
      <c r="C56" s="84">
        <v>0.0</v>
      </c>
      <c r="D56" s="84">
        <v>0.0</v>
      </c>
      <c r="E56" s="84">
        <v>0.0</v>
      </c>
      <c r="F56" s="84">
        <v>0.0</v>
      </c>
      <c r="G56" s="84">
        <v>0.0</v>
      </c>
      <c r="H56" s="84">
        <v>0.0</v>
      </c>
      <c r="I56" s="91">
        <v>0.0036363636363636364</v>
      </c>
      <c r="J56" s="84">
        <v>0.0</v>
      </c>
      <c r="K56" s="84">
        <v>0.0</v>
      </c>
      <c r="L56" s="84">
        <v>0.0</v>
      </c>
      <c r="M56" s="84">
        <v>0.0</v>
      </c>
      <c r="N56" s="84">
        <v>0.0</v>
      </c>
      <c r="O56" s="84">
        <v>0.0</v>
      </c>
      <c r="P56" s="84">
        <v>0.0</v>
      </c>
      <c r="Q56" s="84">
        <v>0.0</v>
      </c>
      <c r="R56" s="84">
        <v>0.0</v>
      </c>
      <c r="S56" s="84">
        <v>0.0</v>
      </c>
      <c r="T56" s="84">
        <v>0.0</v>
      </c>
      <c r="U56" s="84">
        <v>0.0</v>
      </c>
      <c r="V56" s="84">
        <v>0.0</v>
      </c>
      <c r="W56" s="84">
        <v>0.0</v>
      </c>
      <c r="X56" s="84">
        <v>0.0</v>
      </c>
      <c r="Y56" s="84">
        <v>0.0</v>
      </c>
      <c r="Z56" s="84">
        <v>0.0</v>
      </c>
      <c r="AA56" s="84">
        <v>0.0</v>
      </c>
      <c r="AB56" s="84">
        <v>0.0</v>
      </c>
      <c r="AC56" s="91">
        <v>0.007662835249042145</v>
      </c>
      <c r="AD56" s="84">
        <v>0.0</v>
      </c>
      <c r="AE56" s="84">
        <v>0.0</v>
      </c>
      <c r="AF56" s="84">
        <v>0.0</v>
      </c>
      <c r="AG56" s="84">
        <v>0.0</v>
      </c>
      <c r="AH56" s="84">
        <v>0.0</v>
      </c>
      <c r="AI56" s="84">
        <v>0.0</v>
      </c>
      <c r="AJ56" s="84">
        <v>0.0</v>
      </c>
      <c r="AK56" s="84">
        <v>0.0</v>
      </c>
      <c r="AL56" s="84">
        <v>0.0</v>
      </c>
      <c r="AM56" s="84">
        <v>0.0</v>
      </c>
      <c r="AN56" s="93">
        <f t="shared" si="1"/>
        <v>0.01129919889</v>
      </c>
      <c r="AO56" s="84">
        <f t="shared" si="2"/>
        <v>0</v>
      </c>
    </row>
    <row r="57" ht="12.75" customHeight="1">
      <c r="A57" s="84" t="s">
        <v>4434</v>
      </c>
      <c r="B57" s="84">
        <v>0.0</v>
      </c>
      <c r="C57" s="84">
        <v>0.0</v>
      </c>
      <c r="D57" s="84">
        <v>0.0</v>
      </c>
      <c r="E57" s="84">
        <v>0.0</v>
      </c>
      <c r="F57" s="84">
        <v>0.0</v>
      </c>
      <c r="G57" s="84">
        <v>0.0</v>
      </c>
      <c r="H57" s="84">
        <v>0.0</v>
      </c>
      <c r="I57" s="91">
        <v>0.0036363636363636364</v>
      </c>
      <c r="J57" s="84">
        <v>0.0</v>
      </c>
      <c r="K57" s="84">
        <v>0.0</v>
      </c>
      <c r="L57" s="84">
        <v>0.0</v>
      </c>
      <c r="M57" s="84">
        <v>0.0</v>
      </c>
      <c r="N57" s="84">
        <v>0.0</v>
      </c>
      <c r="O57" s="84">
        <v>0.0</v>
      </c>
      <c r="P57" s="84">
        <v>0.0</v>
      </c>
      <c r="Q57" s="84">
        <v>0.0</v>
      </c>
      <c r="R57" s="84">
        <v>0.0</v>
      </c>
      <c r="S57" s="84">
        <v>0.0</v>
      </c>
      <c r="T57" s="84">
        <v>0.0</v>
      </c>
      <c r="U57" s="84">
        <v>0.0</v>
      </c>
      <c r="V57" s="84">
        <v>0.0</v>
      </c>
      <c r="W57" s="84">
        <v>0.0</v>
      </c>
      <c r="X57" s="84">
        <v>0.0</v>
      </c>
      <c r="Y57" s="84">
        <v>0.0</v>
      </c>
      <c r="Z57" s="84">
        <v>0.0</v>
      </c>
      <c r="AA57" s="84">
        <v>0.0</v>
      </c>
      <c r="AB57" s="84">
        <v>0.0</v>
      </c>
      <c r="AC57" s="91">
        <v>0.007662835249042145</v>
      </c>
      <c r="AD57" s="84">
        <v>0.0</v>
      </c>
      <c r="AE57" s="84">
        <v>0.0</v>
      </c>
      <c r="AF57" s="84">
        <v>0.0</v>
      </c>
      <c r="AG57" s="84">
        <v>0.0</v>
      </c>
      <c r="AH57" s="84">
        <v>0.0</v>
      </c>
      <c r="AI57" s="84">
        <v>0.0</v>
      </c>
      <c r="AJ57" s="84">
        <v>0.0</v>
      </c>
      <c r="AK57" s="84">
        <v>0.0</v>
      </c>
      <c r="AL57" s="84">
        <v>0.0</v>
      </c>
      <c r="AM57" s="84">
        <v>0.0</v>
      </c>
      <c r="AN57" s="93">
        <f t="shared" si="1"/>
        <v>0.01129919889</v>
      </c>
      <c r="AO57" s="84">
        <f t="shared" si="2"/>
        <v>0</v>
      </c>
    </row>
    <row r="58" ht="12.75" customHeight="1">
      <c r="A58" s="84" t="s">
        <v>4374</v>
      </c>
      <c r="B58" s="84">
        <v>0.0</v>
      </c>
      <c r="C58" s="84">
        <v>0.0</v>
      </c>
      <c r="D58" s="84">
        <v>0.0</v>
      </c>
      <c r="E58" s="84">
        <v>0.0</v>
      </c>
      <c r="F58" s="84">
        <v>0.0</v>
      </c>
      <c r="G58" s="84">
        <v>0.0</v>
      </c>
      <c r="H58" s="84">
        <v>0.0</v>
      </c>
      <c r="I58" s="91">
        <v>0.0036363636363636364</v>
      </c>
      <c r="J58" s="84">
        <v>0.0</v>
      </c>
      <c r="K58" s="84">
        <v>0.0</v>
      </c>
      <c r="L58" s="84">
        <v>0.0</v>
      </c>
      <c r="M58" s="84">
        <v>0.0</v>
      </c>
      <c r="N58" s="84">
        <v>0.0</v>
      </c>
      <c r="O58" s="84">
        <v>0.0</v>
      </c>
      <c r="P58" s="84">
        <v>0.0</v>
      </c>
      <c r="Q58" s="84">
        <v>0.0</v>
      </c>
      <c r="R58" s="84">
        <v>0.0</v>
      </c>
      <c r="S58" s="84">
        <v>0.0</v>
      </c>
      <c r="T58" s="84">
        <v>0.0</v>
      </c>
      <c r="U58" s="84">
        <v>0.0</v>
      </c>
      <c r="V58" s="84">
        <v>0.0</v>
      </c>
      <c r="W58" s="84">
        <v>0.0</v>
      </c>
      <c r="X58" s="84">
        <v>0.0</v>
      </c>
      <c r="Y58" s="84">
        <v>0.0</v>
      </c>
      <c r="Z58" s="84">
        <v>0.0</v>
      </c>
      <c r="AA58" s="84">
        <v>0.0</v>
      </c>
      <c r="AB58" s="84">
        <v>0.0</v>
      </c>
      <c r="AC58" s="91">
        <v>0.005108556832694764</v>
      </c>
      <c r="AD58" s="84">
        <v>0.0</v>
      </c>
      <c r="AE58" s="84">
        <v>0.0</v>
      </c>
      <c r="AF58" s="84">
        <v>0.0</v>
      </c>
      <c r="AG58" s="84">
        <v>0.0</v>
      </c>
      <c r="AH58" s="84">
        <v>0.0</v>
      </c>
      <c r="AI58" s="84">
        <v>0.0</v>
      </c>
      <c r="AJ58" s="84">
        <v>0.0</v>
      </c>
      <c r="AK58" s="84">
        <v>0.0</v>
      </c>
      <c r="AL58" s="84">
        <v>0.0</v>
      </c>
      <c r="AM58" s="84">
        <v>0.0</v>
      </c>
      <c r="AN58" s="93">
        <f t="shared" si="1"/>
        <v>0.008744920469</v>
      </c>
      <c r="AO58" s="84">
        <f t="shared" si="2"/>
        <v>0</v>
      </c>
    </row>
    <row r="59" ht="12.75" customHeight="1">
      <c r="A59" s="84" t="s">
        <v>4375</v>
      </c>
      <c r="B59" s="84">
        <v>0.0</v>
      </c>
      <c r="C59" s="84">
        <v>0.0</v>
      </c>
      <c r="D59" s="84">
        <v>0.0</v>
      </c>
      <c r="E59" s="84">
        <v>0.0</v>
      </c>
      <c r="F59" s="84">
        <v>0.0</v>
      </c>
      <c r="G59" s="84">
        <v>0.0</v>
      </c>
      <c r="H59" s="84">
        <v>0.0</v>
      </c>
      <c r="I59" s="91">
        <v>0.0036363636363636364</v>
      </c>
      <c r="J59" s="84">
        <v>0.0</v>
      </c>
      <c r="K59" s="84">
        <v>0.0</v>
      </c>
      <c r="L59" s="84">
        <v>0.0</v>
      </c>
      <c r="M59" s="84">
        <v>0.0</v>
      </c>
      <c r="N59" s="84">
        <v>0.0</v>
      </c>
      <c r="O59" s="84">
        <v>0.0</v>
      </c>
      <c r="P59" s="84">
        <v>0.0</v>
      </c>
      <c r="Q59" s="84">
        <v>0.0</v>
      </c>
      <c r="R59" s="84">
        <v>0.0</v>
      </c>
      <c r="S59" s="84">
        <v>0.0</v>
      </c>
      <c r="T59" s="84">
        <v>0.0</v>
      </c>
      <c r="U59" s="84">
        <v>0.0</v>
      </c>
      <c r="V59" s="84">
        <v>0.0</v>
      </c>
      <c r="W59" s="84">
        <v>0.0</v>
      </c>
      <c r="X59" s="84">
        <v>0.0</v>
      </c>
      <c r="Y59" s="84">
        <v>0.0</v>
      </c>
      <c r="Z59" s="84">
        <v>0.0</v>
      </c>
      <c r="AA59" s="84">
        <v>0.0</v>
      </c>
      <c r="AB59" s="84">
        <v>0.0</v>
      </c>
      <c r="AC59" s="91">
        <v>0.007662835249042145</v>
      </c>
      <c r="AD59" s="84">
        <v>0.0</v>
      </c>
      <c r="AE59" s="84">
        <v>0.0</v>
      </c>
      <c r="AF59" s="84">
        <v>0.0</v>
      </c>
      <c r="AG59" s="84">
        <v>0.0</v>
      </c>
      <c r="AH59" s="84">
        <v>0.0</v>
      </c>
      <c r="AI59" s="84">
        <v>0.0</v>
      </c>
      <c r="AJ59" s="84">
        <v>0.0</v>
      </c>
      <c r="AK59" s="84">
        <v>0.0</v>
      </c>
      <c r="AL59" s="84">
        <v>0.0</v>
      </c>
      <c r="AM59" s="84">
        <v>0.0</v>
      </c>
      <c r="AN59" s="93">
        <f t="shared" si="1"/>
        <v>0.01129919889</v>
      </c>
      <c r="AO59" s="84">
        <f t="shared" si="2"/>
        <v>0</v>
      </c>
    </row>
    <row r="60" ht="12.75" customHeight="1">
      <c r="A60" s="84" t="s">
        <v>4388</v>
      </c>
      <c r="B60" s="84">
        <v>0.0</v>
      </c>
      <c r="C60" s="84">
        <v>0.0</v>
      </c>
      <c r="D60" s="84">
        <v>0.0</v>
      </c>
      <c r="E60" s="84">
        <v>0.0</v>
      </c>
      <c r="F60" s="84">
        <v>0.0</v>
      </c>
      <c r="G60" s="84">
        <v>0.0</v>
      </c>
      <c r="H60" s="84">
        <v>0.0</v>
      </c>
      <c r="I60" s="91">
        <v>0.0036363636363636364</v>
      </c>
      <c r="J60" s="84">
        <v>0.0</v>
      </c>
      <c r="K60" s="84">
        <v>0.0</v>
      </c>
      <c r="L60" s="84">
        <v>0.0</v>
      </c>
      <c r="M60" s="84">
        <v>0.0</v>
      </c>
      <c r="N60" s="84">
        <v>0.0</v>
      </c>
      <c r="O60" s="84">
        <v>0.0</v>
      </c>
      <c r="P60" s="84">
        <v>0.0</v>
      </c>
      <c r="Q60" s="84">
        <v>0.0</v>
      </c>
      <c r="R60" s="84">
        <v>0.0</v>
      </c>
      <c r="S60" s="84">
        <v>0.0</v>
      </c>
      <c r="T60" s="84">
        <v>0.0</v>
      </c>
      <c r="U60" s="84">
        <v>0.0</v>
      </c>
      <c r="V60" s="84">
        <v>0.0</v>
      </c>
      <c r="W60" s="84">
        <v>0.0</v>
      </c>
      <c r="X60" s="84">
        <v>0.0</v>
      </c>
      <c r="Y60" s="84">
        <v>0.0</v>
      </c>
      <c r="Z60" s="84">
        <v>0.0</v>
      </c>
      <c r="AA60" s="84">
        <v>0.0</v>
      </c>
      <c r="AB60" s="84">
        <v>0.0</v>
      </c>
      <c r="AC60" s="91">
        <v>0.005108556832694764</v>
      </c>
      <c r="AD60" s="84">
        <v>0.0</v>
      </c>
      <c r="AE60" s="84">
        <v>0.0</v>
      </c>
      <c r="AF60" s="84">
        <v>0.0</v>
      </c>
      <c r="AG60" s="84">
        <v>0.0</v>
      </c>
      <c r="AH60" s="84">
        <v>0.0</v>
      </c>
      <c r="AI60" s="84">
        <v>0.0</v>
      </c>
      <c r="AJ60" s="84">
        <v>0.0</v>
      </c>
      <c r="AK60" s="84">
        <v>0.0</v>
      </c>
      <c r="AL60" s="84">
        <v>0.0</v>
      </c>
      <c r="AM60" s="84">
        <v>0.0</v>
      </c>
      <c r="AN60" s="93">
        <f t="shared" si="1"/>
        <v>0.008744920469</v>
      </c>
      <c r="AO60" s="84">
        <f t="shared" si="2"/>
        <v>0</v>
      </c>
    </row>
    <row r="61" ht="12.75" customHeight="1">
      <c r="A61" s="84" t="s">
        <v>4414</v>
      </c>
      <c r="B61" s="84">
        <v>0.0</v>
      </c>
      <c r="C61" s="84">
        <v>0.0</v>
      </c>
      <c r="D61" s="84">
        <v>0.0</v>
      </c>
      <c r="E61" s="84">
        <v>0.0</v>
      </c>
      <c r="F61" s="84">
        <v>0.0</v>
      </c>
      <c r="G61" s="84">
        <v>0.0</v>
      </c>
      <c r="H61" s="84">
        <v>0.0</v>
      </c>
      <c r="I61" s="91">
        <v>0.0036363636363636364</v>
      </c>
      <c r="J61" s="84">
        <v>0.0</v>
      </c>
      <c r="K61" s="84">
        <v>0.0</v>
      </c>
      <c r="L61" s="84">
        <v>0.0</v>
      </c>
      <c r="M61" s="84">
        <v>0.0</v>
      </c>
      <c r="N61" s="84">
        <v>0.0</v>
      </c>
      <c r="O61" s="84">
        <v>0.0</v>
      </c>
      <c r="P61" s="84">
        <v>0.0</v>
      </c>
      <c r="Q61" s="84">
        <v>0.0</v>
      </c>
      <c r="R61" s="84">
        <v>0.0</v>
      </c>
      <c r="S61" s="84">
        <v>0.0</v>
      </c>
      <c r="T61" s="84">
        <v>0.0</v>
      </c>
      <c r="U61" s="84">
        <v>0.0</v>
      </c>
      <c r="V61" s="84">
        <v>0.0</v>
      </c>
      <c r="W61" s="84">
        <v>0.0</v>
      </c>
      <c r="X61" s="84">
        <v>0.0</v>
      </c>
      <c r="Y61" s="84">
        <v>0.0</v>
      </c>
      <c r="Z61" s="84">
        <v>0.0</v>
      </c>
      <c r="AA61" s="84">
        <v>0.0</v>
      </c>
      <c r="AB61" s="84">
        <v>0.0</v>
      </c>
      <c r="AC61" s="91">
        <v>0.005108556832694764</v>
      </c>
      <c r="AD61" s="84">
        <v>0.0</v>
      </c>
      <c r="AE61" s="84">
        <v>0.0</v>
      </c>
      <c r="AF61" s="84">
        <v>0.0</v>
      </c>
      <c r="AG61" s="84">
        <v>0.0</v>
      </c>
      <c r="AH61" s="84">
        <v>0.0</v>
      </c>
      <c r="AI61" s="84">
        <v>0.0</v>
      </c>
      <c r="AJ61" s="84">
        <v>0.0</v>
      </c>
      <c r="AK61" s="84">
        <v>0.0</v>
      </c>
      <c r="AL61" s="84">
        <v>0.0</v>
      </c>
      <c r="AM61" s="84">
        <v>0.0</v>
      </c>
      <c r="AN61" s="93">
        <f t="shared" si="1"/>
        <v>0.008744920469</v>
      </c>
      <c r="AO61" s="84">
        <f t="shared" si="2"/>
        <v>0</v>
      </c>
    </row>
    <row r="62" ht="12.75" customHeight="1">
      <c r="A62" s="84" t="s">
        <v>4416</v>
      </c>
      <c r="B62" s="84">
        <v>0.0</v>
      </c>
      <c r="C62" s="84">
        <v>0.0</v>
      </c>
      <c r="D62" s="84">
        <v>0.0</v>
      </c>
      <c r="E62" s="84">
        <v>0.0</v>
      </c>
      <c r="F62" s="84">
        <v>0.0</v>
      </c>
      <c r="G62" s="84">
        <v>0.0</v>
      </c>
      <c r="H62" s="84">
        <v>0.0</v>
      </c>
      <c r="I62" s="91">
        <v>0.0036363636363636364</v>
      </c>
      <c r="J62" s="84">
        <v>0.0</v>
      </c>
      <c r="K62" s="84">
        <v>0.0</v>
      </c>
      <c r="L62" s="84">
        <v>0.0</v>
      </c>
      <c r="M62" s="84">
        <v>0.0</v>
      </c>
      <c r="N62" s="84">
        <v>0.0</v>
      </c>
      <c r="O62" s="84">
        <v>0.0</v>
      </c>
      <c r="P62" s="84">
        <v>0.0</v>
      </c>
      <c r="Q62" s="84">
        <v>0.0</v>
      </c>
      <c r="R62" s="84">
        <v>0.0</v>
      </c>
      <c r="S62" s="84">
        <v>0.0</v>
      </c>
      <c r="T62" s="84">
        <v>0.0</v>
      </c>
      <c r="U62" s="84">
        <v>0.0</v>
      </c>
      <c r="V62" s="84">
        <v>0.0</v>
      </c>
      <c r="W62" s="84">
        <v>0.0</v>
      </c>
      <c r="X62" s="84">
        <v>0.0</v>
      </c>
      <c r="Y62" s="84">
        <v>0.0</v>
      </c>
      <c r="Z62" s="84">
        <v>0.0</v>
      </c>
      <c r="AA62" s="84">
        <v>0.0</v>
      </c>
      <c r="AB62" s="84">
        <v>0.0</v>
      </c>
      <c r="AC62" s="91">
        <v>0.007662835249042145</v>
      </c>
      <c r="AD62" s="84">
        <v>0.0</v>
      </c>
      <c r="AE62" s="84">
        <v>0.0</v>
      </c>
      <c r="AF62" s="84">
        <v>0.0</v>
      </c>
      <c r="AG62" s="84">
        <v>0.0</v>
      </c>
      <c r="AH62" s="84">
        <v>0.0</v>
      </c>
      <c r="AI62" s="84">
        <v>0.0</v>
      </c>
      <c r="AJ62" s="84">
        <v>0.0</v>
      </c>
      <c r="AK62" s="84">
        <v>0.0</v>
      </c>
      <c r="AL62" s="84">
        <v>0.0</v>
      </c>
      <c r="AM62" s="84">
        <v>0.0</v>
      </c>
      <c r="AN62" s="93">
        <f t="shared" si="1"/>
        <v>0.01129919889</v>
      </c>
      <c r="AO62" s="84">
        <f t="shared" si="2"/>
        <v>0</v>
      </c>
    </row>
    <row r="63" ht="12.75" customHeight="1">
      <c r="A63" s="84" t="s">
        <v>4438</v>
      </c>
      <c r="B63" s="84">
        <v>0.0</v>
      </c>
      <c r="C63" s="84">
        <v>0.0</v>
      </c>
      <c r="D63" s="84">
        <v>0.0</v>
      </c>
      <c r="E63" s="84">
        <v>0.0</v>
      </c>
      <c r="F63" s="84">
        <v>0.0</v>
      </c>
      <c r="G63" s="84">
        <v>0.0</v>
      </c>
      <c r="H63" s="84">
        <v>0.0</v>
      </c>
      <c r="I63" s="91">
        <v>0.0036363636363636364</v>
      </c>
      <c r="J63" s="84">
        <v>0.0</v>
      </c>
      <c r="K63" s="84">
        <v>0.0</v>
      </c>
      <c r="L63" s="84">
        <v>0.0</v>
      </c>
      <c r="M63" s="84">
        <v>0.0</v>
      </c>
      <c r="N63" s="84">
        <v>0.0</v>
      </c>
      <c r="O63" s="84">
        <v>0.0</v>
      </c>
      <c r="P63" s="84">
        <v>0.0</v>
      </c>
      <c r="Q63" s="84">
        <v>0.0</v>
      </c>
      <c r="R63" s="84">
        <v>0.0</v>
      </c>
      <c r="S63" s="84">
        <v>0.0</v>
      </c>
      <c r="T63" s="84">
        <v>0.0</v>
      </c>
      <c r="U63" s="84">
        <v>0.0</v>
      </c>
      <c r="V63" s="84">
        <v>0.0</v>
      </c>
      <c r="W63" s="84">
        <v>0.0</v>
      </c>
      <c r="X63" s="84">
        <v>0.0</v>
      </c>
      <c r="Y63" s="84">
        <v>0.0</v>
      </c>
      <c r="Z63" s="84">
        <v>0.0</v>
      </c>
      <c r="AA63" s="84">
        <v>0.0</v>
      </c>
      <c r="AB63" s="84">
        <v>0.0</v>
      </c>
      <c r="AC63" s="91">
        <v>0.007662835249042145</v>
      </c>
      <c r="AD63" s="84">
        <v>0.0</v>
      </c>
      <c r="AE63" s="84">
        <v>0.0</v>
      </c>
      <c r="AF63" s="84">
        <v>0.0</v>
      </c>
      <c r="AG63" s="84">
        <v>0.0</v>
      </c>
      <c r="AH63" s="84">
        <v>0.0</v>
      </c>
      <c r="AI63" s="84">
        <v>0.0</v>
      </c>
      <c r="AJ63" s="84">
        <v>0.0</v>
      </c>
      <c r="AK63" s="84">
        <v>0.0</v>
      </c>
      <c r="AL63" s="84">
        <v>0.0</v>
      </c>
      <c r="AM63" s="84">
        <v>0.0</v>
      </c>
      <c r="AN63" s="93">
        <f t="shared" si="1"/>
        <v>0.01129919889</v>
      </c>
      <c r="AO63" s="84">
        <f t="shared" si="2"/>
        <v>0</v>
      </c>
    </row>
    <row r="64" ht="12.75" customHeight="1">
      <c r="A64" s="84" t="s">
        <v>4380</v>
      </c>
      <c r="B64" s="84">
        <v>0.0</v>
      </c>
      <c r="C64" s="84">
        <v>0.0</v>
      </c>
      <c r="D64" s="84">
        <v>0.0</v>
      </c>
      <c r="E64" s="84">
        <v>0.0</v>
      </c>
      <c r="F64" s="84">
        <v>0.0</v>
      </c>
      <c r="G64" s="84">
        <v>0.0</v>
      </c>
      <c r="H64" s="84">
        <v>0.0</v>
      </c>
      <c r="I64" s="91">
        <v>0.0036363636363636364</v>
      </c>
      <c r="J64" s="84">
        <v>0.0</v>
      </c>
      <c r="K64" s="84">
        <v>0.0</v>
      </c>
      <c r="L64" s="84">
        <v>0.0</v>
      </c>
      <c r="M64" s="84">
        <v>0.0</v>
      </c>
      <c r="N64" s="84">
        <v>0.0</v>
      </c>
      <c r="O64" s="84">
        <v>0.0</v>
      </c>
      <c r="P64" s="84">
        <v>0.0</v>
      </c>
      <c r="Q64" s="84">
        <v>0.0</v>
      </c>
      <c r="R64" s="84">
        <v>0.0</v>
      </c>
      <c r="S64" s="84">
        <v>0.0</v>
      </c>
      <c r="T64" s="84">
        <v>0.0</v>
      </c>
      <c r="U64" s="84">
        <v>0.0</v>
      </c>
      <c r="V64" s="84">
        <v>0.0</v>
      </c>
      <c r="W64" s="84">
        <v>0.0</v>
      </c>
      <c r="X64" s="84">
        <v>0.0</v>
      </c>
      <c r="Y64" s="84">
        <v>0.0</v>
      </c>
      <c r="Z64" s="84">
        <v>0.0</v>
      </c>
      <c r="AA64" s="84">
        <v>0.0</v>
      </c>
      <c r="AB64" s="84">
        <v>0.0</v>
      </c>
      <c r="AC64" s="91">
        <v>0.006385696040868455</v>
      </c>
      <c r="AD64" s="84">
        <v>0.0</v>
      </c>
      <c r="AE64" s="84">
        <v>0.0</v>
      </c>
      <c r="AF64" s="84">
        <v>0.0</v>
      </c>
      <c r="AG64" s="84">
        <v>0.0</v>
      </c>
      <c r="AH64" s="84">
        <v>0.0</v>
      </c>
      <c r="AI64" s="84">
        <v>0.0</v>
      </c>
      <c r="AJ64" s="84">
        <v>0.0</v>
      </c>
      <c r="AK64" s="84">
        <v>0.0</v>
      </c>
      <c r="AL64" s="84">
        <v>0.0</v>
      </c>
      <c r="AM64" s="84">
        <v>0.0</v>
      </c>
      <c r="AN64" s="93">
        <f t="shared" si="1"/>
        <v>0.01002205968</v>
      </c>
      <c r="AO64" s="84">
        <f t="shared" si="2"/>
        <v>0</v>
      </c>
    </row>
    <row r="65" ht="12.75" customHeight="1">
      <c r="A65" s="84" t="s">
        <v>4381</v>
      </c>
      <c r="B65" s="84">
        <v>0.0</v>
      </c>
      <c r="C65" s="84">
        <v>0.0</v>
      </c>
      <c r="D65" s="84">
        <v>0.0</v>
      </c>
      <c r="E65" s="84">
        <v>0.0</v>
      </c>
      <c r="F65" s="84">
        <v>0.0</v>
      </c>
      <c r="G65" s="84">
        <v>0.0</v>
      </c>
      <c r="H65" s="84">
        <v>0.0</v>
      </c>
      <c r="I65" s="91">
        <v>0.0036363636363636364</v>
      </c>
      <c r="J65" s="84">
        <v>0.0</v>
      </c>
      <c r="K65" s="84">
        <v>0.0</v>
      </c>
      <c r="L65" s="84">
        <v>0.0</v>
      </c>
      <c r="M65" s="84">
        <v>0.0</v>
      </c>
      <c r="N65" s="84">
        <v>0.0</v>
      </c>
      <c r="O65" s="84">
        <v>0.0</v>
      </c>
      <c r="P65" s="84">
        <v>0.0</v>
      </c>
      <c r="Q65" s="84">
        <v>0.0</v>
      </c>
      <c r="R65" s="84">
        <v>0.0</v>
      </c>
      <c r="S65" s="84">
        <v>0.0</v>
      </c>
      <c r="T65" s="84">
        <v>0.0</v>
      </c>
      <c r="U65" s="84">
        <v>0.0</v>
      </c>
      <c r="V65" s="84">
        <v>0.0</v>
      </c>
      <c r="W65" s="84">
        <v>0.0</v>
      </c>
      <c r="X65" s="84">
        <v>0.0</v>
      </c>
      <c r="Y65" s="84">
        <v>0.0</v>
      </c>
      <c r="Z65" s="84">
        <v>0.0</v>
      </c>
      <c r="AA65" s="84">
        <v>0.0</v>
      </c>
      <c r="AB65" s="84">
        <v>0.0</v>
      </c>
      <c r="AC65" s="91">
        <v>0.005108556832694764</v>
      </c>
      <c r="AD65" s="84">
        <v>0.0</v>
      </c>
      <c r="AE65" s="84">
        <v>0.0</v>
      </c>
      <c r="AF65" s="84">
        <v>0.0</v>
      </c>
      <c r="AG65" s="84">
        <v>0.0</v>
      </c>
      <c r="AH65" s="84">
        <v>0.0</v>
      </c>
      <c r="AI65" s="84">
        <v>0.0</v>
      </c>
      <c r="AJ65" s="84">
        <v>0.0</v>
      </c>
      <c r="AK65" s="84">
        <v>0.0</v>
      </c>
      <c r="AL65" s="84">
        <v>0.0</v>
      </c>
      <c r="AM65" s="84">
        <v>0.0</v>
      </c>
      <c r="AN65" s="93">
        <f t="shared" si="1"/>
        <v>0.008744920469</v>
      </c>
      <c r="AO65" s="84">
        <f t="shared" si="2"/>
        <v>0</v>
      </c>
    </row>
    <row r="66" ht="12.75" customHeight="1">
      <c r="A66" s="84" t="s">
        <v>4110</v>
      </c>
      <c r="B66" s="84">
        <v>0.0</v>
      </c>
      <c r="C66" s="84">
        <v>0.0</v>
      </c>
      <c r="D66" s="84">
        <v>0.0</v>
      </c>
      <c r="E66" s="84">
        <v>0.0</v>
      </c>
      <c r="F66" s="84">
        <v>0.0</v>
      </c>
      <c r="G66" s="84">
        <v>0.0</v>
      </c>
      <c r="H66" s="84">
        <v>0.0</v>
      </c>
      <c r="I66" s="91">
        <v>0.0036363636363636364</v>
      </c>
      <c r="J66" s="84">
        <v>0.0</v>
      </c>
      <c r="K66" s="84">
        <v>0.0</v>
      </c>
      <c r="L66" s="84">
        <v>0.0</v>
      </c>
      <c r="M66" s="84">
        <v>0.0</v>
      </c>
      <c r="N66" s="84">
        <v>0.0</v>
      </c>
      <c r="O66" s="84">
        <v>0.0</v>
      </c>
      <c r="P66" s="84">
        <v>0.0</v>
      </c>
      <c r="Q66" s="84">
        <v>0.0</v>
      </c>
      <c r="R66" s="84">
        <v>0.0</v>
      </c>
      <c r="S66" s="84">
        <v>0.0</v>
      </c>
      <c r="T66" s="84">
        <v>0.0</v>
      </c>
      <c r="U66" s="84">
        <v>0.0</v>
      </c>
      <c r="V66" s="84">
        <v>0.0</v>
      </c>
      <c r="W66" s="84">
        <v>0.0</v>
      </c>
      <c r="X66" s="84">
        <v>0.0</v>
      </c>
      <c r="Y66" s="84">
        <v>0.0</v>
      </c>
      <c r="Z66" s="84">
        <v>0.0</v>
      </c>
      <c r="AA66" s="84">
        <v>0.0</v>
      </c>
      <c r="AB66" s="84">
        <v>0.0</v>
      </c>
      <c r="AC66" s="91">
        <v>0.0038314176245210726</v>
      </c>
      <c r="AD66" s="84">
        <v>0.0</v>
      </c>
      <c r="AE66" s="84">
        <v>0.0</v>
      </c>
      <c r="AF66" s="84">
        <v>0.0</v>
      </c>
      <c r="AG66" s="84">
        <v>0.0</v>
      </c>
      <c r="AH66" s="84">
        <v>0.0</v>
      </c>
      <c r="AI66" s="84">
        <v>0.0</v>
      </c>
      <c r="AJ66" s="84">
        <v>0.0</v>
      </c>
      <c r="AK66" s="84">
        <v>0.0</v>
      </c>
      <c r="AL66" s="84">
        <v>0.0</v>
      </c>
      <c r="AM66" s="84">
        <v>0.0</v>
      </c>
      <c r="AN66" s="93">
        <f t="shared" si="1"/>
        <v>0.007467781261</v>
      </c>
      <c r="AO66" s="84">
        <f t="shared" si="2"/>
        <v>0</v>
      </c>
    </row>
    <row r="67" ht="12.75" customHeight="1">
      <c r="A67" s="84" t="s">
        <v>4108</v>
      </c>
      <c r="B67" s="84">
        <v>0.0</v>
      </c>
      <c r="C67" s="84">
        <v>0.0</v>
      </c>
      <c r="D67" s="84">
        <v>0.0</v>
      </c>
      <c r="E67" s="84">
        <v>0.0</v>
      </c>
      <c r="F67" s="84">
        <v>0.0</v>
      </c>
      <c r="G67" s="84">
        <v>0.0</v>
      </c>
      <c r="H67" s="84">
        <v>0.0</v>
      </c>
      <c r="I67" s="91">
        <v>0.0036363636363636364</v>
      </c>
      <c r="J67" s="84">
        <v>0.0</v>
      </c>
      <c r="K67" s="84">
        <v>0.0</v>
      </c>
      <c r="L67" s="84">
        <v>0.0</v>
      </c>
      <c r="M67" s="84">
        <v>0.0</v>
      </c>
      <c r="N67" s="84">
        <v>0.0</v>
      </c>
      <c r="O67" s="84">
        <v>0.0</v>
      </c>
      <c r="P67" s="84">
        <v>0.0</v>
      </c>
      <c r="Q67" s="84">
        <v>0.0</v>
      </c>
      <c r="R67" s="84">
        <v>0.0</v>
      </c>
      <c r="S67" s="84">
        <v>0.0</v>
      </c>
      <c r="T67" s="84">
        <v>0.0</v>
      </c>
      <c r="U67" s="84">
        <v>0.0</v>
      </c>
      <c r="V67" s="84">
        <v>0.0</v>
      </c>
      <c r="W67" s="84">
        <v>0.0</v>
      </c>
      <c r="X67" s="84">
        <v>0.0</v>
      </c>
      <c r="Y67" s="84">
        <v>0.0</v>
      </c>
      <c r="Z67" s="84">
        <v>0.0</v>
      </c>
      <c r="AA67" s="84">
        <v>0.0</v>
      </c>
      <c r="AB67" s="84">
        <v>0.0</v>
      </c>
      <c r="AC67" s="91">
        <v>0.0038314176245210726</v>
      </c>
      <c r="AD67" s="84">
        <v>0.0</v>
      </c>
      <c r="AE67" s="84">
        <v>0.0</v>
      </c>
      <c r="AF67" s="84">
        <v>0.0</v>
      </c>
      <c r="AG67" s="84">
        <v>0.0</v>
      </c>
      <c r="AH67" s="84">
        <v>0.0</v>
      </c>
      <c r="AI67" s="84">
        <v>0.0</v>
      </c>
      <c r="AJ67" s="84">
        <v>0.0</v>
      </c>
      <c r="AK67" s="84">
        <v>0.0</v>
      </c>
      <c r="AL67" s="84">
        <v>0.0</v>
      </c>
      <c r="AM67" s="84">
        <v>0.0</v>
      </c>
      <c r="AN67" s="93">
        <f t="shared" si="1"/>
        <v>0.007467781261</v>
      </c>
      <c r="AO67" s="84">
        <f t="shared" si="2"/>
        <v>0</v>
      </c>
    </row>
    <row r="68" ht="12.75" customHeight="1">
      <c r="A68" s="84" t="s">
        <v>4412</v>
      </c>
      <c r="B68" s="84">
        <v>0.0</v>
      </c>
      <c r="C68" s="84">
        <v>0.0</v>
      </c>
      <c r="D68" s="84">
        <v>0.0</v>
      </c>
      <c r="E68" s="84">
        <v>0.0</v>
      </c>
      <c r="F68" s="84">
        <v>0.0</v>
      </c>
      <c r="G68" s="84">
        <v>0.0</v>
      </c>
      <c r="H68" s="84">
        <v>0.0</v>
      </c>
      <c r="I68" s="91">
        <v>0.0036363636363636364</v>
      </c>
      <c r="J68" s="84">
        <v>0.0</v>
      </c>
      <c r="K68" s="84">
        <v>0.0</v>
      </c>
      <c r="L68" s="84">
        <v>0.0</v>
      </c>
      <c r="M68" s="84">
        <v>0.0</v>
      </c>
      <c r="N68" s="84">
        <v>0.0</v>
      </c>
      <c r="O68" s="84">
        <v>0.0</v>
      </c>
      <c r="P68" s="84">
        <v>0.0</v>
      </c>
      <c r="Q68" s="84">
        <v>0.0</v>
      </c>
      <c r="R68" s="84">
        <v>0.0</v>
      </c>
      <c r="S68" s="84">
        <v>0.0</v>
      </c>
      <c r="T68" s="84">
        <v>0.0</v>
      </c>
      <c r="U68" s="84">
        <v>0.0</v>
      </c>
      <c r="V68" s="84">
        <v>0.0</v>
      </c>
      <c r="W68" s="84">
        <v>0.0</v>
      </c>
      <c r="X68" s="84">
        <v>0.0</v>
      </c>
      <c r="Y68" s="84">
        <v>0.0</v>
      </c>
      <c r="Z68" s="84">
        <v>0.0</v>
      </c>
      <c r="AA68" s="84">
        <v>0.0</v>
      </c>
      <c r="AB68" s="84">
        <v>0.0</v>
      </c>
      <c r="AC68" s="91">
        <v>0.006385696040868455</v>
      </c>
      <c r="AD68" s="84">
        <v>0.0</v>
      </c>
      <c r="AE68" s="84">
        <v>0.0</v>
      </c>
      <c r="AF68" s="84">
        <v>0.0</v>
      </c>
      <c r="AG68" s="84">
        <v>0.0</v>
      </c>
      <c r="AH68" s="84">
        <v>0.0</v>
      </c>
      <c r="AI68" s="84">
        <v>0.0</v>
      </c>
      <c r="AJ68" s="84">
        <v>0.0</v>
      </c>
      <c r="AK68" s="84">
        <v>0.0</v>
      </c>
      <c r="AL68" s="84">
        <v>0.0</v>
      </c>
      <c r="AM68" s="84">
        <v>0.0</v>
      </c>
      <c r="AN68" s="93">
        <f t="shared" si="1"/>
        <v>0.01002205968</v>
      </c>
      <c r="AO68" s="84">
        <f t="shared" si="2"/>
        <v>0</v>
      </c>
    </row>
    <row r="69" ht="12.75" customHeight="1">
      <c r="A69" s="84" t="s">
        <v>4171</v>
      </c>
      <c r="B69" s="84">
        <v>0.0</v>
      </c>
      <c r="C69" s="84">
        <v>0.0</v>
      </c>
      <c r="D69" s="84">
        <v>0.0</v>
      </c>
      <c r="E69" s="84">
        <v>0.0</v>
      </c>
      <c r="F69" s="84">
        <v>0.0</v>
      </c>
      <c r="G69" s="84">
        <v>0.0</v>
      </c>
      <c r="H69" s="84">
        <v>0.0</v>
      </c>
      <c r="I69" s="91">
        <v>0.0036363636363636364</v>
      </c>
      <c r="J69" s="84">
        <v>0.0</v>
      </c>
      <c r="K69" s="84">
        <v>0.0</v>
      </c>
      <c r="L69" s="84">
        <v>0.0</v>
      </c>
      <c r="M69" s="84">
        <v>0.0</v>
      </c>
      <c r="N69" s="84">
        <v>0.0</v>
      </c>
      <c r="O69" s="84">
        <v>0.0</v>
      </c>
      <c r="P69" s="84">
        <v>0.0</v>
      </c>
      <c r="Q69" s="84">
        <v>0.0</v>
      </c>
      <c r="R69" s="84">
        <v>0.0</v>
      </c>
      <c r="S69" s="84">
        <v>0.0</v>
      </c>
      <c r="T69" s="84">
        <v>0.0</v>
      </c>
      <c r="U69" s="84">
        <v>0.0</v>
      </c>
      <c r="V69" s="84">
        <v>0.0</v>
      </c>
      <c r="W69" s="84">
        <v>0.0</v>
      </c>
      <c r="X69" s="84">
        <v>0.0</v>
      </c>
      <c r="Y69" s="84">
        <v>0.0</v>
      </c>
      <c r="Z69" s="84">
        <v>0.0</v>
      </c>
      <c r="AA69" s="84">
        <v>0.0</v>
      </c>
      <c r="AB69" s="84">
        <v>0.0</v>
      </c>
      <c r="AC69" s="91">
        <v>0.002554278416347382</v>
      </c>
      <c r="AD69" s="84">
        <v>0.0</v>
      </c>
      <c r="AE69" s="84">
        <v>0.0</v>
      </c>
      <c r="AF69" s="84">
        <v>0.0</v>
      </c>
      <c r="AG69" s="84">
        <v>0.0</v>
      </c>
      <c r="AH69" s="84">
        <v>0.0</v>
      </c>
      <c r="AI69" s="84">
        <v>0.0</v>
      </c>
      <c r="AJ69" s="84">
        <v>0.0</v>
      </c>
      <c r="AK69" s="84">
        <v>0.0</v>
      </c>
      <c r="AL69" s="84">
        <v>0.0</v>
      </c>
      <c r="AM69" s="84">
        <v>0.0</v>
      </c>
      <c r="AN69" s="93">
        <f t="shared" si="1"/>
        <v>0.006190642053</v>
      </c>
      <c r="AO69" s="84">
        <f t="shared" si="2"/>
        <v>0</v>
      </c>
    </row>
    <row r="70" ht="12.75" customHeight="1">
      <c r="A70" s="84" t="s">
        <v>4385</v>
      </c>
      <c r="B70" s="84">
        <v>0.0</v>
      </c>
      <c r="C70" s="84">
        <v>0.0</v>
      </c>
      <c r="D70" s="84">
        <v>0.0</v>
      </c>
      <c r="E70" s="84">
        <v>0.0</v>
      </c>
      <c r="F70" s="84">
        <v>0.0</v>
      </c>
      <c r="G70" s="84">
        <v>0.0</v>
      </c>
      <c r="H70" s="84">
        <v>0.0</v>
      </c>
      <c r="I70" s="91">
        <v>0.0036363636363636364</v>
      </c>
      <c r="J70" s="84">
        <v>0.0</v>
      </c>
      <c r="K70" s="84">
        <v>0.0</v>
      </c>
      <c r="L70" s="84">
        <v>0.0</v>
      </c>
      <c r="M70" s="84">
        <v>0.0</v>
      </c>
      <c r="N70" s="84">
        <v>0.0</v>
      </c>
      <c r="O70" s="84">
        <v>0.0</v>
      </c>
      <c r="P70" s="84">
        <v>0.0</v>
      </c>
      <c r="Q70" s="84">
        <v>0.0</v>
      </c>
      <c r="R70" s="84">
        <v>0.0</v>
      </c>
      <c r="S70" s="84">
        <v>0.0</v>
      </c>
      <c r="T70" s="84">
        <v>0.0</v>
      </c>
      <c r="U70" s="84">
        <v>0.0</v>
      </c>
      <c r="V70" s="84">
        <v>0.0</v>
      </c>
      <c r="W70" s="84">
        <v>0.0</v>
      </c>
      <c r="X70" s="84">
        <v>0.0</v>
      </c>
      <c r="Y70" s="84">
        <v>0.0</v>
      </c>
      <c r="Z70" s="84">
        <v>0.0</v>
      </c>
      <c r="AA70" s="84">
        <v>0.0</v>
      </c>
      <c r="AB70" s="84">
        <v>0.0</v>
      </c>
      <c r="AC70" s="91">
        <v>0.006385696040868455</v>
      </c>
      <c r="AD70" s="84">
        <v>0.0</v>
      </c>
      <c r="AE70" s="84">
        <v>0.0</v>
      </c>
      <c r="AF70" s="84">
        <v>0.0</v>
      </c>
      <c r="AG70" s="84">
        <v>0.0</v>
      </c>
      <c r="AH70" s="84">
        <v>0.0</v>
      </c>
      <c r="AI70" s="84">
        <v>0.0</v>
      </c>
      <c r="AJ70" s="84">
        <v>0.0</v>
      </c>
      <c r="AK70" s="84">
        <v>0.0</v>
      </c>
      <c r="AL70" s="84">
        <v>0.0</v>
      </c>
      <c r="AM70" s="84">
        <v>0.0</v>
      </c>
      <c r="AN70" s="93">
        <f t="shared" si="1"/>
        <v>0.01002205968</v>
      </c>
      <c r="AO70" s="84">
        <f t="shared" si="2"/>
        <v>0</v>
      </c>
    </row>
    <row r="71" ht="12.75" customHeight="1">
      <c r="A71" s="84" t="s">
        <v>4117</v>
      </c>
      <c r="B71" s="84">
        <v>0.0</v>
      </c>
      <c r="C71" s="84">
        <v>0.0</v>
      </c>
      <c r="D71" s="84">
        <v>0.0</v>
      </c>
      <c r="E71" s="84">
        <v>0.0</v>
      </c>
      <c r="F71" s="84">
        <v>0.0</v>
      </c>
      <c r="G71" s="84">
        <v>0.0</v>
      </c>
      <c r="H71" s="84">
        <v>0.0</v>
      </c>
      <c r="I71" s="91">
        <v>0.0036363636363636364</v>
      </c>
      <c r="J71" s="84">
        <v>0.0</v>
      </c>
      <c r="K71" s="84">
        <v>0.0</v>
      </c>
      <c r="L71" s="84">
        <v>0.0</v>
      </c>
      <c r="M71" s="84">
        <v>0.0</v>
      </c>
      <c r="N71" s="84">
        <v>0.0</v>
      </c>
      <c r="O71" s="84">
        <v>0.0</v>
      </c>
      <c r="P71" s="84">
        <v>0.0</v>
      </c>
      <c r="Q71" s="84">
        <v>0.0</v>
      </c>
      <c r="R71" s="84">
        <v>0.0</v>
      </c>
      <c r="S71" s="84">
        <v>0.0</v>
      </c>
      <c r="T71" s="84">
        <v>0.0</v>
      </c>
      <c r="U71" s="84">
        <v>0.0</v>
      </c>
      <c r="V71" s="84">
        <v>0.0</v>
      </c>
      <c r="W71" s="84">
        <v>0.0</v>
      </c>
      <c r="X71" s="84">
        <v>0.0</v>
      </c>
      <c r="Y71" s="84">
        <v>0.0</v>
      </c>
      <c r="Z71" s="84">
        <v>0.0</v>
      </c>
      <c r="AA71" s="84">
        <v>0.0</v>
      </c>
      <c r="AB71" s="84">
        <v>0.0</v>
      </c>
      <c r="AC71" s="91">
        <v>0.002554278416347382</v>
      </c>
      <c r="AD71" s="84">
        <v>0.0</v>
      </c>
      <c r="AE71" s="84">
        <v>0.0</v>
      </c>
      <c r="AF71" s="84">
        <v>0.0</v>
      </c>
      <c r="AG71" s="84">
        <v>0.0</v>
      </c>
      <c r="AH71" s="84">
        <v>0.0</v>
      </c>
      <c r="AI71" s="84">
        <v>0.0</v>
      </c>
      <c r="AJ71" s="84">
        <v>0.0</v>
      </c>
      <c r="AK71" s="84">
        <v>0.0</v>
      </c>
      <c r="AL71" s="84">
        <v>0.0</v>
      </c>
      <c r="AM71" s="84">
        <v>0.0</v>
      </c>
      <c r="AN71" s="93">
        <f t="shared" si="1"/>
        <v>0.006190642053</v>
      </c>
      <c r="AO71" s="84">
        <f t="shared" si="2"/>
        <v>0</v>
      </c>
    </row>
    <row r="72" ht="12.75" customHeight="1">
      <c r="A72" s="84" t="s">
        <v>4078</v>
      </c>
      <c r="B72" s="84">
        <v>0.0</v>
      </c>
      <c r="C72" s="84">
        <v>0.0</v>
      </c>
      <c r="D72" s="84">
        <v>0.0</v>
      </c>
      <c r="E72" s="84">
        <v>0.0</v>
      </c>
      <c r="F72" s="84">
        <v>0.0</v>
      </c>
      <c r="G72" s="84">
        <v>0.0</v>
      </c>
      <c r="H72" s="84">
        <v>0.0</v>
      </c>
      <c r="I72" s="91">
        <v>0.0036363636363636364</v>
      </c>
      <c r="J72" s="84">
        <v>0.0</v>
      </c>
      <c r="K72" s="84">
        <v>0.0</v>
      </c>
      <c r="L72" s="84">
        <v>0.0</v>
      </c>
      <c r="M72" s="84">
        <v>0.0</v>
      </c>
      <c r="N72" s="84">
        <v>0.0</v>
      </c>
      <c r="O72" s="84">
        <v>0.0</v>
      </c>
      <c r="P72" s="84">
        <v>0.0</v>
      </c>
      <c r="Q72" s="84">
        <v>0.0</v>
      </c>
      <c r="R72" s="84">
        <v>0.0</v>
      </c>
      <c r="S72" s="84">
        <v>0.0</v>
      </c>
      <c r="T72" s="84">
        <v>0.0</v>
      </c>
      <c r="U72" s="84">
        <v>0.0</v>
      </c>
      <c r="V72" s="84">
        <v>0.0</v>
      </c>
      <c r="W72" s="84">
        <v>0.0</v>
      </c>
      <c r="X72" s="84">
        <v>0.0</v>
      </c>
      <c r="Y72" s="84">
        <v>0.0</v>
      </c>
      <c r="Z72" s="84">
        <v>0.0</v>
      </c>
      <c r="AA72" s="84">
        <v>0.0</v>
      </c>
      <c r="AB72" s="84">
        <v>0.0</v>
      </c>
      <c r="AC72" s="91">
        <v>0.002554278416347382</v>
      </c>
      <c r="AD72" s="84">
        <v>0.0</v>
      </c>
      <c r="AE72" s="84">
        <v>0.0</v>
      </c>
      <c r="AF72" s="84">
        <v>0.0</v>
      </c>
      <c r="AG72" s="84">
        <v>0.0</v>
      </c>
      <c r="AH72" s="84">
        <v>0.0</v>
      </c>
      <c r="AI72" s="84">
        <v>0.0</v>
      </c>
      <c r="AJ72" s="84">
        <v>0.0</v>
      </c>
      <c r="AK72" s="84">
        <v>0.0</v>
      </c>
      <c r="AL72" s="84">
        <v>0.0</v>
      </c>
      <c r="AM72" s="84">
        <v>0.0</v>
      </c>
      <c r="AN72" s="93">
        <f t="shared" si="1"/>
        <v>0.006190642053</v>
      </c>
      <c r="AO72" s="84">
        <f t="shared" si="2"/>
        <v>0</v>
      </c>
    </row>
    <row r="73" ht="12.75" customHeight="1">
      <c r="A73" s="84" t="s">
        <v>4366</v>
      </c>
      <c r="B73" s="84">
        <v>0.0</v>
      </c>
      <c r="C73" s="84">
        <v>0.0</v>
      </c>
      <c r="D73" s="84">
        <v>0.0</v>
      </c>
      <c r="E73" s="84">
        <v>0.0</v>
      </c>
      <c r="F73" s="84">
        <v>0.0</v>
      </c>
      <c r="G73" s="84">
        <v>0.0</v>
      </c>
      <c r="H73" s="84">
        <v>0.0</v>
      </c>
      <c r="I73" s="91">
        <v>0.0036363636363636364</v>
      </c>
      <c r="J73" s="84">
        <v>0.0</v>
      </c>
      <c r="K73" s="84">
        <v>0.0</v>
      </c>
      <c r="L73" s="84">
        <v>0.0</v>
      </c>
      <c r="M73" s="84">
        <v>0.0</v>
      </c>
      <c r="N73" s="84">
        <v>0.0</v>
      </c>
      <c r="O73" s="84">
        <v>0.0</v>
      </c>
      <c r="P73" s="84">
        <v>0.0</v>
      </c>
      <c r="Q73" s="84">
        <v>0.0</v>
      </c>
      <c r="R73" s="84">
        <v>0.0</v>
      </c>
      <c r="S73" s="84">
        <v>0.0</v>
      </c>
      <c r="T73" s="84">
        <v>0.0</v>
      </c>
      <c r="U73" s="84">
        <v>0.0</v>
      </c>
      <c r="V73" s="84">
        <v>0.0</v>
      </c>
      <c r="W73" s="84">
        <v>0.0</v>
      </c>
      <c r="X73" s="84">
        <v>0.0</v>
      </c>
      <c r="Y73" s="84">
        <v>0.0</v>
      </c>
      <c r="Z73" s="84">
        <v>0.0</v>
      </c>
      <c r="AA73" s="84">
        <v>0.0</v>
      </c>
      <c r="AB73" s="84">
        <v>0.0</v>
      </c>
      <c r="AC73" s="91">
        <v>0.005108556832694764</v>
      </c>
      <c r="AD73" s="84">
        <v>0.0</v>
      </c>
      <c r="AE73" s="84">
        <v>0.0</v>
      </c>
      <c r="AF73" s="84">
        <v>0.0</v>
      </c>
      <c r="AG73" s="84">
        <v>0.0</v>
      </c>
      <c r="AH73" s="84">
        <v>0.0</v>
      </c>
      <c r="AI73" s="84">
        <v>0.0</v>
      </c>
      <c r="AJ73" s="84">
        <v>0.0</v>
      </c>
      <c r="AK73" s="84">
        <v>0.0</v>
      </c>
      <c r="AL73" s="84">
        <v>0.0</v>
      </c>
      <c r="AM73" s="84">
        <v>0.0</v>
      </c>
      <c r="AN73" s="93">
        <f t="shared" si="1"/>
        <v>0.008744920469</v>
      </c>
      <c r="AO73" s="84">
        <f t="shared" si="2"/>
        <v>0</v>
      </c>
    </row>
    <row r="74" ht="12.75" customHeight="1">
      <c r="A74" s="84" t="s">
        <v>4159</v>
      </c>
      <c r="B74" s="84">
        <v>0.0</v>
      </c>
      <c r="C74" s="84">
        <v>0.0</v>
      </c>
      <c r="D74" s="84">
        <v>0.0</v>
      </c>
      <c r="E74" s="84">
        <v>0.0</v>
      </c>
      <c r="F74" s="84">
        <v>0.0</v>
      </c>
      <c r="G74" s="84">
        <v>0.0</v>
      </c>
      <c r="H74" s="84">
        <v>0.0</v>
      </c>
      <c r="I74" s="91">
        <v>0.0036363636363636364</v>
      </c>
      <c r="J74" s="84">
        <v>0.0</v>
      </c>
      <c r="K74" s="84">
        <v>0.0</v>
      </c>
      <c r="L74" s="84">
        <v>0.0</v>
      </c>
      <c r="M74" s="84">
        <v>0.0</v>
      </c>
      <c r="N74" s="84">
        <v>0.0</v>
      </c>
      <c r="O74" s="84">
        <v>0.0</v>
      </c>
      <c r="P74" s="84">
        <v>0.0</v>
      </c>
      <c r="Q74" s="84">
        <v>0.0</v>
      </c>
      <c r="R74" s="84">
        <v>0.0</v>
      </c>
      <c r="S74" s="84">
        <v>0.0</v>
      </c>
      <c r="T74" s="84">
        <v>0.0</v>
      </c>
      <c r="U74" s="84">
        <v>0.0</v>
      </c>
      <c r="V74" s="84">
        <v>0.0</v>
      </c>
      <c r="W74" s="84">
        <v>0.0</v>
      </c>
      <c r="X74" s="84">
        <v>0.0</v>
      </c>
      <c r="Y74" s="84">
        <v>0.0</v>
      </c>
      <c r="Z74" s="84">
        <v>0.0</v>
      </c>
      <c r="AA74" s="84">
        <v>0.0</v>
      </c>
      <c r="AB74" s="84">
        <v>0.0</v>
      </c>
      <c r="AC74" s="91">
        <v>0.0038314176245210726</v>
      </c>
      <c r="AD74" s="84">
        <v>0.0</v>
      </c>
      <c r="AE74" s="84">
        <v>0.0</v>
      </c>
      <c r="AF74" s="84">
        <v>0.0</v>
      </c>
      <c r="AG74" s="84">
        <v>0.0</v>
      </c>
      <c r="AH74" s="84">
        <v>0.0</v>
      </c>
      <c r="AI74" s="84">
        <v>0.0</v>
      </c>
      <c r="AJ74" s="84">
        <v>0.0</v>
      </c>
      <c r="AK74" s="84">
        <v>0.0</v>
      </c>
      <c r="AL74" s="84">
        <v>0.0</v>
      </c>
      <c r="AM74" s="84">
        <v>0.0</v>
      </c>
      <c r="AN74" s="93">
        <f t="shared" si="1"/>
        <v>0.007467781261</v>
      </c>
      <c r="AO74" s="84">
        <f t="shared" si="2"/>
        <v>0</v>
      </c>
    </row>
    <row r="75" ht="12.75" customHeight="1">
      <c r="A75" s="84" t="s">
        <v>4436</v>
      </c>
      <c r="B75" s="84">
        <v>0.0</v>
      </c>
      <c r="C75" s="84">
        <v>0.0</v>
      </c>
      <c r="D75" s="84">
        <v>0.0</v>
      </c>
      <c r="E75" s="84">
        <v>0.0</v>
      </c>
      <c r="F75" s="84">
        <v>0.0</v>
      </c>
      <c r="G75" s="84">
        <v>0.0</v>
      </c>
      <c r="H75" s="84">
        <v>0.0</v>
      </c>
      <c r="I75" s="91">
        <v>0.0036363636363636364</v>
      </c>
      <c r="J75" s="84">
        <v>0.0</v>
      </c>
      <c r="K75" s="84">
        <v>0.0</v>
      </c>
      <c r="L75" s="84">
        <v>0.0</v>
      </c>
      <c r="M75" s="84">
        <v>0.0</v>
      </c>
      <c r="N75" s="84">
        <v>0.0</v>
      </c>
      <c r="O75" s="84">
        <v>0.0</v>
      </c>
      <c r="P75" s="84">
        <v>0.0</v>
      </c>
      <c r="Q75" s="84">
        <v>0.0</v>
      </c>
      <c r="R75" s="84">
        <v>0.0</v>
      </c>
      <c r="S75" s="84">
        <v>0.0</v>
      </c>
      <c r="T75" s="84">
        <v>0.0</v>
      </c>
      <c r="U75" s="84">
        <v>0.0</v>
      </c>
      <c r="V75" s="84">
        <v>0.0</v>
      </c>
      <c r="W75" s="84">
        <v>0.0</v>
      </c>
      <c r="X75" s="84">
        <v>0.0</v>
      </c>
      <c r="Y75" s="84">
        <v>0.0</v>
      </c>
      <c r="Z75" s="84">
        <v>0.0</v>
      </c>
      <c r="AA75" s="84">
        <v>0.0</v>
      </c>
      <c r="AB75" s="84">
        <v>0.0</v>
      </c>
      <c r="AC75" s="91">
        <v>0.007662835249042145</v>
      </c>
      <c r="AD75" s="84">
        <v>0.0</v>
      </c>
      <c r="AE75" s="84">
        <v>0.0</v>
      </c>
      <c r="AF75" s="84">
        <v>0.0</v>
      </c>
      <c r="AG75" s="84">
        <v>0.0</v>
      </c>
      <c r="AH75" s="84">
        <v>0.0</v>
      </c>
      <c r="AI75" s="84">
        <v>0.0</v>
      </c>
      <c r="AJ75" s="84">
        <v>0.0</v>
      </c>
      <c r="AK75" s="84">
        <v>0.0</v>
      </c>
      <c r="AL75" s="84">
        <v>0.0</v>
      </c>
      <c r="AM75" s="84">
        <v>0.0</v>
      </c>
      <c r="AN75" s="93">
        <f t="shared" si="1"/>
        <v>0.01129919889</v>
      </c>
      <c r="AO75" s="84">
        <f t="shared" si="2"/>
        <v>0</v>
      </c>
    </row>
    <row r="76" ht="12.75" customHeight="1">
      <c r="A76" s="84" t="s">
        <v>4423</v>
      </c>
      <c r="B76" s="84">
        <v>0.0</v>
      </c>
      <c r="C76" s="84">
        <v>0.0</v>
      </c>
      <c r="D76" s="84">
        <v>0.0</v>
      </c>
      <c r="E76" s="84">
        <v>0.0</v>
      </c>
      <c r="F76" s="84">
        <v>0.0</v>
      </c>
      <c r="G76" s="84">
        <v>0.0</v>
      </c>
      <c r="H76" s="84">
        <v>0.0</v>
      </c>
      <c r="I76" s="91">
        <v>0.0036363636363636364</v>
      </c>
      <c r="J76" s="84">
        <v>0.0</v>
      </c>
      <c r="K76" s="84">
        <v>0.0</v>
      </c>
      <c r="L76" s="84">
        <v>0.0</v>
      </c>
      <c r="M76" s="84">
        <v>0.0</v>
      </c>
      <c r="N76" s="84">
        <v>0.0</v>
      </c>
      <c r="O76" s="84">
        <v>0.0</v>
      </c>
      <c r="P76" s="84">
        <v>0.0</v>
      </c>
      <c r="Q76" s="84">
        <v>0.0</v>
      </c>
      <c r="R76" s="84">
        <v>0.0</v>
      </c>
      <c r="S76" s="84">
        <v>0.0</v>
      </c>
      <c r="T76" s="84">
        <v>0.0</v>
      </c>
      <c r="U76" s="84">
        <v>0.0</v>
      </c>
      <c r="V76" s="84">
        <v>0.0</v>
      </c>
      <c r="W76" s="84">
        <v>0.0</v>
      </c>
      <c r="X76" s="84">
        <v>0.0</v>
      </c>
      <c r="Y76" s="84">
        <v>0.0</v>
      </c>
      <c r="Z76" s="84">
        <v>0.0</v>
      </c>
      <c r="AA76" s="84">
        <v>0.0</v>
      </c>
      <c r="AB76" s="84">
        <v>0.0</v>
      </c>
      <c r="AC76" s="91">
        <v>0.005108556832694764</v>
      </c>
      <c r="AD76" s="84">
        <v>0.0</v>
      </c>
      <c r="AE76" s="84">
        <v>0.0</v>
      </c>
      <c r="AF76" s="84">
        <v>0.0</v>
      </c>
      <c r="AG76" s="84">
        <v>0.0</v>
      </c>
      <c r="AH76" s="84">
        <v>0.0</v>
      </c>
      <c r="AI76" s="84">
        <v>0.0</v>
      </c>
      <c r="AJ76" s="84">
        <v>0.0</v>
      </c>
      <c r="AK76" s="84">
        <v>0.0</v>
      </c>
      <c r="AL76" s="84">
        <v>0.0</v>
      </c>
      <c r="AM76" s="84">
        <v>0.0</v>
      </c>
      <c r="AN76" s="93">
        <f t="shared" si="1"/>
        <v>0.008744920469</v>
      </c>
      <c r="AO76" s="84">
        <f t="shared" si="2"/>
        <v>0</v>
      </c>
    </row>
    <row r="77" ht="12.75" customHeight="1">
      <c r="A77" s="84" t="s">
        <v>4379</v>
      </c>
      <c r="B77" s="84">
        <v>0.0</v>
      </c>
      <c r="C77" s="84">
        <v>0.0</v>
      </c>
      <c r="D77" s="84">
        <v>0.0</v>
      </c>
      <c r="E77" s="84">
        <v>0.0</v>
      </c>
      <c r="F77" s="84">
        <v>0.0</v>
      </c>
      <c r="G77" s="84">
        <v>0.0</v>
      </c>
      <c r="H77" s="84">
        <v>0.0</v>
      </c>
      <c r="I77" s="91">
        <v>0.0036363636363636364</v>
      </c>
      <c r="J77" s="84">
        <v>0.0</v>
      </c>
      <c r="K77" s="84">
        <v>0.0</v>
      </c>
      <c r="L77" s="84">
        <v>0.0</v>
      </c>
      <c r="M77" s="84">
        <v>0.0</v>
      </c>
      <c r="N77" s="84">
        <v>0.0</v>
      </c>
      <c r="O77" s="84">
        <v>0.0</v>
      </c>
      <c r="P77" s="84">
        <v>0.0</v>
      </c>
      <c r="Q77" s="84">
        <v>0.0</v>
      </c>
      <c r="R77" s="84">
        <v>0.0</v>
      </c>
      <c r="S77" s="84">
        <v>0.0</v>
      </c>
      <c r="T77" s="84">
        <v>0.0</v>
      </c>
      <c r="U77" s="84">
        <v>0.0</v>
      </c>
      <c r="V77" s="84">
        <v>0.0</v>
      </c>
      <c r="W77" s="84">
        <v>0.0</v>
      </c>
      <c r="X77" s="84">
        <v>0.0</v>
      </c>
      <c r="Y77" s="84">
        <v>0.0</v>
      </c>
      <c r="Z77" s="84">
        <v>0.0</v>
      </c>
      <c r="AA77" s="84">
        <v>0.0</v>
      </c>
      <c r="AB77" s="84">
        <v>0.0</v>
      </c>
      <c r="AC77" s="91">
        <v>0.005108556832694764</v>
      </c>
      <c r="AD77" s="84">
        <v>0.0</v>
      </c>
      <c r="AE77" s="84">
        <v>0.0</v>
      </c>
      <c r="AF77" s="84">
        <v>0.0</v>
      </c>
      <c r="AG77" s="84">
        <v>0.0</v>
      </c>
      <c r="AH77" s="84">
        <v>0.0</v>
      </c>
      <c r="AI77" s="84">
        <v>0.0</v>
      </c>
      <c r="AJ77" s="84">
        <v>0.0</v>
      </c>
      <c r="AK77" s="84">
        <v>0.0</v>
      </c>
      <c r="AL77" s="84">
        <v>0.0</v>
      </c>
      <c r="AM77" s="84">
        <v>0.0</v>
      </c>
      <c r="AN77" s="93">
        <f t="shared" si="1"/>
        <v>0.008744920469</v>
      </c>
      <c r="AO77" s="84">
        <f t="shared" si="2"/>
        <v>0</v>
      </c>
    </row>
    <row r="78" ht="12.75" customHeight="1">
      <c r="A78" s="84" t="s">
        <v>4097</v>
      </c>
      <c r="B78" s="84">
        <v>0.0</v>
      </c>
      <c r="C78" s="84">
        <v>0.0</v>
      </c>
      <c r="D78" s="84">
        <v>0.0</v>
      </c>
      <c r="E78" s="84">
        <v>0.0</v>
      </c>
      <c r="F78" s="84">
        <v>0.0</v>
      </c>
      <c r="G78" s="84">
        <v>0.0</v>
      </c>
      <c r="H78" s="84">
        <v>0.0</v>
      </c>
      <c r="I78" s="91">
        <v>0.0036363636363636364</v>
      </c>
      <c r="J78" s="84">
        <v>0.0</v>
      </c>
      <c r="K78" s="84">
        <v>0.0</v>
      </c>
      <c r="L78" s="84">
        <v>0.0</v>
      </c>
      <c r="M78" s="84">
        <v>0.0</v>
      </c>
      <c r="N78" s="84">
        <v>0.0</v>
      </c>
      <c r="O78" s="84">
        <v>0.0</v>
      </c>
      <c r="P78" s="84">
        <v>0.0</v>
      </c>
      <c r="Q78" s="84">
        <v>0.0</v>
      </c>
      <c r="R78" s="84">
        <v>0.0</v>
      </c>
      <c r="S78" s="84">
        <v>0.0</v>
      </c>
      <c r="T78" s="84">
        <v>0.0</v>
      </c>
      <c r="U78" s="84">
        <v>0.0</v>
      </c>
      <c r="V78" s="84">
        <v>0.0</v>
      </c>
      <c r="W78" s="84">
        <v>0.0</v>
      </c>
      <c r="X78" s="84">
        <v>0.0</v>
      </c>
      <c r="Y78" s="84">
        <v>0.0</v>
      </c>
      <c r="Z78" s="84">
        <v>0.0</v>
      </c>
      <c r="AA78" s="84">
        <v>0.0</v>
      </c>
      <c r="AB78" s="84">
        <v>0.0</v>
      </c>
      <c r="AC78" s="91">
        <v>0.002554278416347382</v>
      </c>
      <c r="AD78" s="84">
        <v>0.0</v>
      </c>
      <c r="AE78" s="84">
        <v>0.0</v>
      </c>
      <c r="AF78" s="84">
        <v>0.0</v>
      </c>
      <c r="AG78" s="84">
        <v>0.0</v>
      </c>
      <c r="AH78" s="84">
        <v>0.0</v>
      </c>
      <c r="AI78" s="84">
        <v>0.0</v>
      </c>
      <c r="AJ78" s="84">
        <v>0.0</v>
      </c>
      <c r="AK78" s="84">
        <v>0.0</v>
      </c>
      <c r="AL78" s="84">
        <v>0.0</v>
      </c>
      <c r="AM78" s="84">
        <v>0.0</v>
      </c>
      <c r="AN78" s="93">
        <f t="shared" si="1"/>
        <v>0.006190642053</v>
      </c>
      <c r="AO78" s="84">
        <f t="shared" si="2"/>
        <v>0</v>
      </c>
    </row>
    <row r="79" ht="12.75" customHeight="1">
      <c r="A79" s="84" t="s">
        <v>4201</v>
      </c>
      <c r="B79" s="84">
        <v>0.0</v>
      </c>
      <c r="C79" s="84">
        <v>0.0</v>
      </c>
      <c r="D79" s="84">
        <v>0.0</v>
      </c>
      <c r="E79" s="84">
        <v>0.0</v>
      </c>
      <c r="F79" s="84">
        <v>0.0</v>
      </c>
      <c r="G79" s="84">
        <v>0.0</v>
      </c>
      <c r="H79" s="84">
        <v>0.0</v>
      </c>
      <c r="I79" s="91">
        <v>0.0036363636363636364</v>
      </c>
      <c r="J79" s="84">
        <v>0.0</v>
      </c>
      <c r="K79" s="84">
        <v>0.0</v>
      </c>
      <c r="L79" s="84">
        <v>0.0</v>
      </c>
      <c r="M79" s="84">
        <v>0.0</v>
      </c>
      <c r="N79" s="84">
        <v>0.0</v>
      </c>
      <c r="O79" s="84">
        <v>0.0</v>
      </c>
      <c r="P79" s="84">
        <v>0.0</v>
      </c>
      <c r="Q79" s="84">
        <v>0.0</v>
      </c>
      <c r="R79" s="84">
        <v>0.0</v>
      </c>
      <c r="S79" s="84">
        <v>0.0</v>
      </c>
      <c r="T79" s="84">
        <v>0.0</v>
      </c>
      <c r="U79" s="84">
        <v>0.0</v>
      </c>
      <c r="V79" s="84">
        <v>0.0</v>
      </c>
      <c r="W79" s="84">
        <v>0.0</v>
      </c>
      <c r="X79" s="84">
        <v>0.0</v>
      </c>
      <c r="Y79" s="84">
        <v>0.0</v>
      </c>
      <c r="Z79" s="84">
        <v>0.0</v>
      </c>
      <c r="AA79" s="84">
        <v>0.0</v>
      </c>
      <c r="AB79" s="84">
        <v>0.0</v>
      </c>
      <c r="AC79" s="91">
        <v>0.002554278416347382</v>
      </c>
      <c r="AD79" s="84">
        <v>0.0</v>
      </c>
      <c r="AE79" s="84">
        <v>0.0</v>
      </c>
      <c r="AF79" s="84">
        <v>0.0</v>
      </c>
      <c r="AG79" s="84">
        <v>0.0</v>
      </c>
      <c r="AH79" s="84">
        <v>0.0</v>
      </c>
      <c r="AI79" s="84">
        <v>0.0</v>
      </c>
      <c r="AJ79" s="84">
        <v>0.0</v>
      </c>
      <c r="AK79" s="84">
        <v>0.0</v>
      </c>
      <c r="AL79" s="84">
        <v>0.0</v>
      </c>
      <c r="AM79" s="84">
        <v>0.0</v>
      </c>
      <c r="AN79" s="93">
        <f t="shared" si="1"/>
        <v>0.006190642053</v>
      </c>
      <c r="AO79" s="84">
        <f t="shared" si="2"/>
        <v>0</v>
      </c>
    </row>
    <row r="80" ht="12.75" customHeight="1">
      <c r="A80" s="84" t="s">
        <v>4406</v>
      </c>
      <c r="B80" s="84">
        <v>0.0</v>
      </c>
      <c r="C80" s="84">
        <v>0.0</v>
      </c>
      <c r="D80" s="84">
        <v>0.0</v>
      </c>
      <c r="E80" s="84">
        <v>0.0</v>
      </c>
      <c r="F80" s="84">
        <v>0.0</v>
      </c>
      <c r="G80" s="84">
        <v>0.0</v>
      </c>
      <c r="H80" s="84">
        <v>0.0</v>
      </c>
      <c r="I80" s="91">
        <v>0.0036363636363636364</v>
      </c>
      <c r="J80" s="84">
        <v>0.0</v>
      </c>
      <c r="K80" s="84">
        <v>0.0</v>
      </c>
      <c r="L80" s="84">
        <v>0.0</v>
      </c>
      <c r="M80" s="84">
        <v>0.0</v>
      </c>
      <c r="N80" s="84">
        <v>0.0</v>
      </c>
      <c r="O80" s="84">
        <v>0.0</v>
      </c>
      <c r="P80" s="84">
        <v>0.0</v>
      </c>
      <c r="Q80" s="84">
        <v>0.0</v>
      </c>
      <c r="R80" s="84">
        <v>0.0</v>
      </c>
      <c r="S80" s="84">
        <v>0.0</v>
      </c>
      <c r="T80" s="84">
        <v>0.0</v>
      </c>
      <c r="U80" s="84">
        <v>0.0</v>
      </c>
      <c r="V80" s="84">
        <v>0.0</v>
      </c>
      <c r="W80" s="84">
        <v>0.0</v>
      </c>
      <c r="X80" s="84">
        <v>0.0</v>
      </c>
      <c r="Y80" s="84">
        <v>0.0</v>
      </c>
      <c r="Z80" s="84">
        <v>0.0</v>
      </c>
      <c r="AA80" s="84">
        <v>0.0</v>
      </c>
      <c r="AB80" s="84">
        <v>0.0</v>
      </c>
      <c r="AC80" s="91">
        <v>0.005108556832694764</v>
      </c>
      <c r="AD80" s="84">
        <v>0.0</v>
      </c>
      <c r="AE80" s="84">
        <v>0.0</v>
      </c>
      <c r="AF80" s="84">
        <v>0.0</v>
      </c>
      <c r="AG80" s="84">
        <v>0.0</v>
      </c>
      <c r="AH80" s="84">
        <v>0.0</v>
      </c>
      <c r="AI80" s="84">
        <v>0.0</v>
      </c>
      <c r="AJ80" s="84">
        <v>0.0</v>
      </c>
      <c r="AK80" s="84">
        <v>0.0</v>
      </c>
      <c r="AL80" s="84">
        <v>0.0</v>
      </c>
      <c r="AM80" s="84">
        <v>0.0</v>
      </c>
      <c r="AN80" s="93">
        <f t="shared" si="1"/>
        <v>0.008744920469</v>
      </c>
      <c r="AO80" s="84">
        <f t="shared" si="2"/>
        <v>0</v>
      </c>
    </row>
    <row r="81" ht="12.75" customHeight="1">
      <c r="A81" s="84" t="s">
        <v>4158</v>
      </c>
      <c r="B81" s="84">
        <v>0.0</v>
      </c>
      <c r="C81" s="84">
        <v>0.0</v>
      </c>
      <c r="D81" s="84">
        <v>0.0</v>
      </c>
      <c r="E81" s="84">
        <v>0.0</v>
      </c>
      <c r="F81" s="84">
        <v>0.0</v>
      </c>
      <c r="G81" s="84">
        <v>0.0</v>
      </c>
      <c r="H81" s="84">
        <v>0.0</v>
      </c>
      <c r="I81" s="91">
        <v>0.0036363636363636364</v>
      </c>
      <c r="J81" s="84">
        <v>0.0</v>
      </c>
      <c r="K81" s="84">
        <v>0.0</v>
      </c>
      <c r="L81" s="84">
        <v>0.0</v>
      </c>
      <c r="M81" s="84">
        <v>0.0</v>
      </c>
      <c r="N81" s="84">
        <v>0.0</v>
      </c>
      <c r="O81" s="84">
        <v>0.0</v>
      </c>
      <c r="P81" s="84">
        <v>0.0</v>
      </c>
      <c r="Q81" s="84">
        <v>0.0</v>
      </c>
      <c r="R81" s="84">
        <v>0.0</v>
      </c>
      <c r="S81" s="84">
        <v>0.0</v>
      </c>
      <c r="T81" s="84">
        <v>0.0</v>
      </c>
      <c r="U81" s="84">
        <v>0.0</v>
      </c>
      <c r="V81" s="84">
        <v>0.0</v>
      </c>
      <c r="W81" s="84">
        <v>0.0</v>
      </c>
      <c r="X81" s="84">
        <v>0.0</v>
      </c>
      <c r="Y81" s="84">
        <v>0.0</v>
      </c>
      <c r="Z81" s="84">
        <v>0.0</v>
      </c>
      <c r="AA81" s="84">
        <v>0.0</v>
      </c>
      <c r="AB81" s="84">
        <v>0.0</v>
      </c>
      <c r="AC81" s="91">
        <v>0.002554278416347382</v>
      </c>
      <c r="AD81" s="84">
        <v>0.0</v>
      </c>
      <c r="AE81" s="84">
        <v>0.0</v>
      </c>
      <c r="AF81" s="84">
        <v>0.0</v>
      </c>
      <c r="AG81" s="84">
        <v>0.0</v>
      </c>
      <c r="AH81" s="84">
        <v>0.0</v>
      </c>
      <c r="AI81" s="84">
        <v>0.0</v>
      </c>
      <c r="AJ81" s="84">
        <v>0.0</v>
      </c>
      <c r="AK81" s="84">
        <v>0.0</v>
      </c>
      <c r="AL81" s="84">
        <v>0.0</v>
      </c>
      <c r="AM81" s="84">
        <v>0.0</v>
      </c>
      <c r="AN81" s="93">
        <f t="shared" si="1"/>
        <v>0.006190642053</v>
      </c>
      <c r="AO81" s="84">
        <f t="shared" si="2"/>
        <v>0</v>
      </c>
    </row>
    <row r="82" ht="12.75" customHeight="1">
      <c r="A82" s="84" t="s">
        <v>4103</v>
      </c>
      <c r="B82" s="84">
        <v>0.0</v>
      </c>
      <c r="C82" s="84">
        <v>0.0</v>
      </c>
      <c r="D82" s="84">
        <v>0.0</v>
      </c>
      <c r="E82" s="84">
        <v>0.0</v>
      </c>
      <c r="F82" s="84">
        <v>0.0</v>
      </c>
      <c r="G82" s="84">
        <v>0.0</v>
      </c>
      <c r="H82" s="84">
        <v>0.0</v>
      </c>
      <c r="I82" s="91">
        <v>0.0036363636363636364</v>
      </c>
      <c r="J82" s="84">
        <v>0.0</v>
      </c>
      <c r="K82" s="84">
        <v>0.0</v>
      </c>
      <c r="L82" s="84">
        <v>0.0</v>
      </c>
      <c r="M82" s="84">
        <v>0.0</v>
      </c>
      <c r="N82" s="84">
        <v>0.0</v>
      </c>
      <c r="O82" s="84">
        <v>0.0</v>
      </c>
      <c r="P82" s="84">
        <v>0.0</v>
      </c>
      <c r="Q82" s="84">
        <v>0.0</v>
      </c>
      <c r="R82" s="84">
        <v>0.0</v>
      </c>
      <c r="S82" s="84">
        <v>0.0</v>
      </c>
      <c r="T82" s="84">
        <v>0.0</v>
      </c>
      <c r="U82" s="84">
        <v>0.0</v>
      </c>
      <c r="V82" s="84">
        <v>0.0</v>
      </c>
      <c r="W82" s="84">
        <v>0.0</v>
      </c>
      <c r="X82" s="84">
        <v>0.0</v>
      </c>
      <c r="Y82" s="84">
        <v>0.0</v>
      </c>
      <c r="Z82" s="84">
        <v>0.0</v>
      </c>
      <c r="AA82" s="84">
        <v>0.0</v>
      </c>
      <c r="AB82" s="84">
        <v>0.0</v>
      </c>
      <c r="AC82" s="91">
        <v>0.002554278416347382</v>
      </c>
      <c r="AD82" s="84">
        <v>0.0</v>
      </c>
      <c r="AE82" s="84">
        <v>0.0</v>
      </c>
      <c r="AF82" s="84">
        <v>0.0</v>
      </c>
      <c r="AG82" s="84">
        <v>0.0</v>
      </c>
      <c r="AH82" s="84">
        <v>0.0</v>
      </c>
      <c r="AI82" s="84">
        <v>0.0</v>
      </c>
      <c r="AJ82" s="84">
        <v>0.0</v>
      </c>
      <c r="AK82" s="84">
        <v>0.0</v>
      </c>
      <c r="AL82" s="84">
        <v>0.0</v>
      </c>
      <c r="AM82" s="84">
        <v>0.0</v>
      </c>
      <c r="AN82" s="93">
        <f t="shared" si="1"/>
        <v>0.006190642053</v>
      </c>
      <c r="AO82" s="84">
        <f t="shared" si="2"/>
        <v>0</v>
      </c>
    </row>
    <row r="83" ht="12.75" customHeight="1">
      <c r="A83" s="84" t="s">
        <v>4211</v>
      </c>
      <c r="B83" s="84">
        <v>0.0</v>
      </c>
      <c r="C83" s="84">
        <v>0.0</v>
      </c>
      <c r="D83" s="84">
        <v>0.0</v>
      </c>
      <c r="E83" s="84">
        <v>0.0</v>
      </c>
      <c r="F83" s="84">
        <v>0.0</v>
      </c>
      <c r="G83" s="84">
        <v>0.0</v>
      </c>
      <c r="H83" s="84">
        <v>0.0</v>
      </c>
      <c r="I83" s="91">
        <v>0.0036363636363636364</v>
      </c>
      <c r="J83" s="84">
        <v>0.0</v>
      </c>
      <c r="K83" s="84">
        <v>0.0</v>
      </c>
      <c r="L83" s="84">
        <v>0.0</v>
      </c>
      <c r="M83" s="84">
        <v>0.0</v>
      </c>
      <c r="N83" s="84">
        <v>0.0</v>
      </c>
      <c r="O83" s="84">
        <v>0.0</v>
      </c>
      <c r="P83" s="84">
        <v>0.0</v>
      </c>
      <c r="Q83" s="84">
        <v>0.0</v>
      </c>
      <c r="R83" s="84">
        <v>0.0</v>
      </c>
      <c r="S83" s="84">
        <v>0.0</v>
      </c>
      <c r="T83" s="84">
        <v>0.0</v>
      </c>
      <c r="U83" s="84">
        <v>0.0</v>
      </c>
      <c r="V83" s="84">
        <v>0.0</v>
      </c>
      <c r="W83" s="84">
        <v>0.0</v>
      </c>
      <c r="X83" s="84">
        <v>0.0</v>
      </c>
      <c r="Y83" s="84">
        <v>0.0</v>
      </c>
      <c r="Z83" s="84">
        <v>0.0</v>
      </c>
      <c r="AA83" s="84">
        <v>0.0</v>
      </c>
      <c r="AB83" s="84">
        <v>0.0</v>
      </c>
      <c r="AC83" s="91">
        <v>0.0038314176245210726</v>
      </c>
      <c r="AD83" s="84">
        <v>0.0</v>
      </c>
      <c r="AE83" s="84">
        <v>0.0</v>
      </c>
      <c r="AF83" s="84">
        <v>0.0</v>
      </c>
      <c r="AG83" s="84">
        <v>0.0</v>
      </c>
      <c r="AH83" s="84">
        <v>0.0</v>
      </c>
      <c r="AI83" s="84">
        <v>0.0</v>
      </c>
      <c r="AJ83" s="84">
        <v>0.0</v>
      </c>
      <c r="AK83" s="84">
        <v>0.0</v>
      </c>
      <c r="AL83" s="84">
        <v>0.0</v>
      </c>
      <c r="AM83" s="84">
        <v>0.0</v>
      </c>
      <c r="AN83" s="93">
        <f t="shared" si="1"/>
        <v>0.007467781261</v>
      </c>
      <c r="AO83" s="84">
        <f t="shared" si="2"/>
        <v>0</v>
      </c>
    </row>
    <row r="84" ht="12.75" customHeight="1">
      <c r="A84" s="84" t="s">
        <v>4098</v>
      </c>
      <c r="B84" s="84">
        <v>0.0</v>
      </c>
      <c r="C84" s="84">
        <v>0.0</v>
      </c>
      <c r="D84" s="84">
        <v>0.0</v>
      </c>
      <c r="E84" s="84">
        <v>0.0</v>
      </c>
      <c r="F84" s="84">
        <v>0.0</v>
      </c>
      <c r="G84" s="84">
        <v>0.0</v>
      </c>
      <c r="H84" s="84">
        <v>0.0</v>
      </c>
      <c r="I84" s="91">
        <v>0.0036363636363636364</v>
      </c>
      <c r="J84" s="84">
        <v>0.0</v>
      </c>
      <c r="K84" s="84">
        <v>0.0</v>
      </c>
      <c r="L84" s="84">
        <v>0.0</v>
      </c>
      <c r="M84" s="84">
        <v>0.0</v>
      </c>
      <c r="N84" s="84">
        <v>0.0</v>
      </c>
      <c r="O84" s="84">
        <v>0.0</v>
      </c>
      <c r="P84" s="84">
        <v>0.0</v>
      </c>
      <c r="Q84" s="84">
        <v>0.0</v>
      </c>
      <c r="R84" s="84">
        <v>0.0</v>
      </c>
      <c r="S84" s="84">
        <v>0.0</v>
      </c>
      <c r="T84" s="84">
        <v>0.0</v>
      </c>
      <c r="U84" s="84">
        <v>0.0</v>
      </c>
      <c r="V84" s="84">
        <v>0.0</v>
      </c>
      <c r="W84" s="84">
        <v>0.0</v>
      </c>
      <c r="X84" s="84">
        <v>0.0</v>
      </c>
      <c r="Y84" s="84">
        <v>0.0</v>
      </c>
      <c r="Z84" s="84">
        <v>0.0</v>
      </c>
      <c r="AA84" s="84">
        <v>0.0</v>
      </c>
      <c r="AB84" s="84">
        <v>0.0</v>
      </c>
      <c r="AC84" s="91">
        <v>0.002554278416347382</v>
      </c>
      <c r="AD84" s="84">
        <v>0.0</v>
      </c>
      <c r="AE84" s="84">
        <v>0.0</v>
      </c>
      <c r="AF84" s="84">
        <v>0.0</v>
      </c>
      <c r="AG84" s="84">
        <v>0.0</v>
      </c>
      <c r="AH84" s="84">
        <v>0.0</v>
      </c>
      <c r="AI84" s="84">
        <v>0.0</v>
      </c>
      <c r="AJ84" s="84">
        <v>0.0</v>
      </c>
      <c r="AK84" s="84">
        <v>0.0</v>
      </c>
      <c r="AL84" s="84">
        <v>0.0</v>
      </c>
      <c r="AM84" s="84">
        <v>0.0</v>
      </c>
      <c r="AN84" s="93">
        <f t="shared" si="1"/>
        <v>0.006190642053</v>
      </c>
      <c r="AO84" s="84">
        <f t="shared" si="2"/>
        <v>0</v>
      </c>
    </row>
    <row r="85" ht="12.75" customHeight="1">
      <c r="A85" s="84" t="s">
        <v>4260</v>
      </c>
      <c r="B85" s="84">
        <v>0.0</v>
      </c>
      <c r="C85" s="84">
        <v>0.0</v>
      </c>
      <c r="D85" s="84">
        <v>0.0</v>
      </c>
      <c r="E85" s="84">
        <v>0.0</v>
      </c>
      <c r="F85" s="84">
        <v>0.0</v>
      </c>
      <c r="G85" s="84">
        <v>0.0</v>
      </c>
      <c r="H85" s="84">
        <v>0.0</v>
      </c>
      <c r="I85" s="91">
        <v>0.0036363636363636364</v>
      </c>
      <c r="J85" s="84">
        <v>0.0</v>
      </c>
      <c r="K85" s="84">
        <v>0.0</v>
      </c>
      <c r="L85" s="84">
        <v>0.0</v>
      </c>
      <c r="M85" s="84">
        <v>0.0</v>
      </c>
      <c r="N85" s="84">
        <v>0.0</v>
      </c>
      <c r="O85" s="84">
        <v>0.0</v>
      </c>
      <c r="P85" s="84">
        <v>0.0</v>
      </c>
      <c r="Q85" s="84">
        <v>0.0</v>
      </c>
      <c r="R85" s="84">
        <v>0.0</v>
      </c>
      <c r="S85" s="84">
        <v>0.0</v>
      </c>
      <c r="T85" s="84">
        <v>0.0</v>
      </c>
      <c r="U85" s="84">
        <v>0.0</v>
      </c>
      <c r="V85" s="84">
        <v>0.0</v>
      </c>
      <c r="W85" s="84">
        <v>0.0</v>
      </c>
      <c r="X85" s="84">
        <v>0.0</v>
      </c>
      <c r="Y85" s="84">
        <v>0.0</v>
      </c>
      <c r="Z85" s="84">
        <v>0.0</v>
      </c>
      <c r="AA85" s="84">
        <v>0.0</v>
      </c>
      <c r="AB85" s="84">
        <v>0.0</v>
      </c>
      <c r="AC85" s="91">
        <v>0.002554278416347382</v>
      </c>
      <c r="AD85" s="84">
        <v>0.0</v>
      </c>
      <c r="AE85" s="84">
        <v>0.0</v>
      </c>
      <c r="AF85" s="84">
        <v>0.0</v>
      </c>
      <c r="AG85" s="84">
        <v>0.0</v>
      </c>
      <c r="AH85" s="84">
        <v>0.0</v>
      </c>
      <c r="AI85" s="84">
        <v>0.0</v>
      </c>
      <c r="AJ85" s="84">
        <v>0.0</v>
      </c>
      <c r="AK85" s="84">
        <v>0.0</v>
      </c>
      <c r="AL85" s="84">
        <v>0.0</v>
      </c>
      <c r="AM85" s="84">
        <v>0.0</v>
      </c>
      <c r="AN85" s="93">
        <f t="shared" si="1"/>
        <v>0.006190642053</v>
      </c>
      <c r="AO85" s="84">
        <f t="shared" si="2"/>
        <v>0</v>
      </c>
    </row>
    <row r="86" ht="12.75" customHeight="1">
      <c r="A86" s="84" t="s">
        <v>4090</v>
      </c>
      <c r="B86" s="84">
        <v>0.0</v>
      </c>
      <c r="C86" s="84">
        <v>0.0</v>
      </c>
      <c r="D86" s="84">
        <v>0.0</v>
      </c>
      <c r="E86" s="84">
        <v>0.0</v>
      </c>
      <c r="F86" s="84">
        <v>0.0</v>
      </c>
      <c r="G86" s="84">
        <v>0.0</v>
      </c>
      <c r="H86" s="84">
        <v>0.0</v>
      </c>
      <c r="I86" s="91">
        <v>0.0036363636363636364</v>
      </c>
      <c r="J86" s="84">
        <v>0.0</v>
      </c>
      <c r="K86" s="84">
        <v>0.0</v>
      </c>
      <c r="L86" s="84">
        <v>0.0</v>
      </c>
      <c r="M86" s="84">
        <v>0.0</v>
      </c>
      <c r="N86" s="84">
        <v>0.0</v>
      </c>
      <c r="O86" s="84">
        <v>0.0</v>
      </c>
      <c r="P86" s="84">
        <v>0.0</v>
      </c>
      <c r="Q86" s="84">
        <v>0.0</v>
      </c>
      <c r="R86" s="84">
        <v>0.0</v>
      </c>
      <c r="S86" s="84">
        <v>0.0</v>
      </c>
      <c r="T86" s="84">
        <v>0.0</v>
      </c>
      <c r="U86" s="84">
        <v>0.0</v>
      </c>
      <c r="V86" s="84">
        <v>0.0</v>
      </c>
      <c r="W86" s="84">
        <v>0.0</v>
      </c>
      <c r="X86" s="84">
        <v>0.0</v>
      </c>
      <c r="Y86" s="84">
        <v>0.0</v>
      </c>
      <c r="Z86" s="84">
        <v>0.0</v>
      </c>
      <c r="AA86" s="84">
        <v>0.0</v>
      </c>
      <c r="AB86" s="84">
        <v>0.0</v>
      </c>
      <c r="AC86" s="91">
        <v>0.002554278416347382</v>
      </c>
      <c r="AD86" s="84">
        <v>0.0</v>
      </c>
      <c r="AE86" s="84">
        <v>0.0</v>
      </c>
      <c r="AF86" s="84">
        <v>0.0</v>
      </c>
      <c r="AG86" s="84">
        <v>0.0</v>
      </c>
      <c r="AH86" s="84">
        <v>0.0</v>
      </c>
      <c r="AI86" s="84">
        <v>0.0</v>
      </c>
      <c r="AJ86" s="84">
        <v>0.0</v>
      </c>
      <c r="AK86" s="84">
        <v>0.0</v>
      </c>
      <c r="AL86" s="84">
        <v>0.0</v>
      </c>
      <c r="AM86" s="84">
        <v>0.0</v>
      </c>
      <c r="AN86" s="93">
        <f t="shared" si="1"/>
        <v>0.006190642053</v>
      </c>
      <c r="AO86" s="84">
        <f t="shared" si="2"/>
        <v>0</v>
      </c>
    </row>
    <row r="87" ht="12.75" customHeight="1">
      <c r="A87" s="84" t="s">
        <v>4282</v>
      </c>
      <c r="B87" s="84">
        <v>0.0</v>
      </c>
      <c r="C87" s="84">
        <v>0.0</v>
      </c>
      <c r="D87" s="84">
        <v>0.0</v>
      </c>
      <c r="E87" s="84">
        <v>0.0</v>
      </c>
      <c r="F87" s="84">
        <v>0.0</v>
      </c>
      <c r="G87" s="84">
        <v>0.0</v>
      </c>
      <c r="H87" s="84">
        <v>1.0</v>
      </c>
      <c r="I87" s="91">
        <v>0.0036363636363636364</v>
      </c>
      <c r="J87" s="84">
        <v>0.0</v>
      </c>
      <c r="K87" s="84">
        <v>0.0</v>
      </c>
      <c r="L87" s="84">
        <v>0.0</v>
      </c>
      <c r="M87" s="84">
        <v>0.0</v>
      </c>
      <c r="N87" s="84">
        <v>0.0</v>
      </c>
      <c r="O87" s="84">
        <v>0.0</v>
      </c>
      <c r="P87" s="84">
        <v>0.0</v>
      </c>
      <c r="Q87" s="84">
        <v>0.0</v>
      </c>
      <c r="R87" s="84">
        <v>0.0</v>
      </c>
      <c r="S87" s="84">
        <v>0.0</v>
      </c>
      <c r="T87" s="84">
        <v>0.0</v>
      </c>
      <c r="U87" s="84">
        <v>0.0</v>
      </c>
      <c r="V87" s="84">
        <v>0.0</v>
      </c>
      <c r="W87" s="84">
        <v>0.0</v>
      </c>
      <c r="X87" s="84">
        <v>0.0</v>
      </c>
      <c r="Y87" s="84">
        <v>0.0</v>
      </c>
      <c r="Z87" s="84">
        <v>0.0</v>
      </c>
      <c r="AA87" s="84">
        <v>0.0</v>
      </c>
      <c r="AB87" s="84">
        <v>1.0</v>
      </c>
      <c r="AC87" s="91">
        <v>0.002554278416347382</v>
      </c>
      <c r="AD87" s="84">
        <v>0.0</v>
      </c>
      <c r="AE87" s="84">
        <v>0.0</v>
      </c>
      <c r="AF87" s="84">
        <v>0.0</v>
      </c>
      <c r="AG87" s="84">
        <v>0.0</v>
      </c>
      <c r="AH87" s="84">
        <v>0.0</v>
      </c>
      <c r="AI87" s="84">
        <v>0.0</v>
      </c>
      <c r="AJ87" s="84">
        <v>0.0</v>
      </c>
      <c r="AK87" s="84">
        <v>0.0</v>
      </c>
      <c r="AL87" s="84">
        <v>0.0</v>
      </c>
      <c r="AM87" s="84">
        <v>0.0</v>
      </c>
      <c r="AN87" s="93">
        <f t="shared" si="1"/>
        <v>0.006190642053</v>
      </c>
      <c r="AO87" s="84">
        <f t="shared" si="2"/>
        <v>0</v>
      </c>
    </row>
    <row r="88" ht="12.75" customHeight="1">
      <c r="A88" s="84" t="s">
        <v>4139</v>
      </c>
      <c r="B88" s="84">
        <v>0.0</v>
      </c>
      <c r="C88" s="84">
        <v>0.0</v>
      </c>
      <c r="D88" s="84">
        <v>0.0</v>
      </c>
      <c r="E88" s="84">
        <v>0.0</v>
      </c>
      <c r="F88" s="84">
        <v>0.0</v>
      </c>
      <c r="G88" s="84">
        <v>0.0</v>
      </c>
      <c r="H88" s="84">
        <v>0.0</v>
      </c>
      <c r="I88" s="91">
        <v>0.0036363636363636364</v>
      </c>
      <c r="J88" s="84">
        <v>0.0</v>
      </c>
      <c r="K88" s="84">
        <v>0.0</v>
      </c>
      <c r="L88" s="84">
        <v>0.0</v>
      </c>
      <c r="M88" s="84">
        <v>0.0</v>
      </c>
      <c r="N88" s="84">
        <v>0.0</v>
      </c>
      <c r="O88" s="84">
        <v>0.0</v>
      </c>
      <c r="P88" s="84">
        <v>0.0</v>
      </c>
      <c r="Q88" s="84">
        <v>0.0</v>
      </c>
      <c r="R88" s="84">
        <v>0.0</v>
      </c>
      <c r="S88" s="84">
        <v>0.0</v>
      </c>
      <c r="T88" s="84">
        <v>0.0</v>
      </c>
      <c r="U88" s="84">
        <v>0.0</v>
      </c>
      <c r="V88" s="84">
        <v>0.0</v>
      </c>
      <c r="W88" s="84">
        <v>0.0</v>
      </c>
      <c r="X88" s="84">
        <v>0.0</v>
      </c>
      <c r="Y88" s="84">
        <v>0.0</v>
      </c>
      <c r="Z88" s="84">
        <v>0.0</v>
      </c>
      <c r="AA88" s="84">
        <v>0.0</v>
      </c>
      <c r="AB88" s="84">
        <v>0.0</v>
      </c>
      <c r="AC88" s="91">
        <v>0.002554278416347382</v>
      </c>
      <c r="AD88" s="84">
        <v>0.0</v>
      </c>
      <c r="AE88" s="84">
        <v>0.0</v>
      </c>
      <c r="AF88" s="84">
        <v>0.0</v>
      </c>
      <c r="AG88" s="84">
        <v>0.0</v>
      </c>
      <c r="AH88" s="84">
        <v>0.0</v>
      </c>
      <c r="AI88" s="84">
        <v>0.0</v>
      </c>
      <c r="AJ88" s="84">
        <v>0.0</v>
      </c>
      <c r="AK88" s="84">
        <v>0.0</v>
      </c>
      <c r="AL88" s="84">
        <v>0.0</v>
      </c>
      <c r="AM88" s="84">
        <v>0.0</v>
      </c>
      <c r="AN88" s="93">
        <f t="shared" si="1"/>
        <v>0.006190642053</v>
      </c>
      <c r="AO88" s="84">
        <f t="shared" si="2"/>
        <v>0</v>
      </c>
    </row>
    <row r="89" ht="12.75" customHeight="1">
      <c r="A89" s="84" t="s">
        <v>4118</v>
      </c>
      <c r="B89" s="84">
        <v>0.0</v>
      </c>
      <c r="C89" s="84">
        <v>0.0</v>
      </c>
      <c r="D89" s="84">
        <v>0.0</v>
      </c>
      <c r="E89" s="84">
        <v>0.0</v>
      </c>
      <c r="F89" s="84">
        <v>0.0</v>
      </c>
      <c r="G89" s="84">
        <v>0.0</v>
      </c>
      <c r="H89" s="84">
        <v>0.0</v>
      </c>
      <c r="I89" s="91">
        <v>0.0036363636363636364</v>
      </c>
      <c r="J89" s="84">
        <v>0.0</v>
      </c>
      <c r="K89" s="84">
        <v>0.0</v>
      </c>
      <c r="L89" s="84">
        <v>0.0</v>
      </c>
      <c r="M89" s="84">
        <v>0.0</v>
      </c>
      <c r="N89" s="84">
        <v>0.0</v>
      </c>
      <c r="O89" s="84">
        <v>0.0</v>
      </c>
      <c r="P89" s="84">
        <v>0.0</v>
      </c>
      <c r="Q89" s="84">
        <v>0.0</v>
      </c>
      <c r="R89" s="84">
        <v>0.0</v>
      </c>
      <c r="S89" s="84">
        <v>0.0</v>
      </c>
      <c r="T89" s="84">
        <v>0.0</v>
      </c>
      <c r="U89" s="84">
        <v>0.0</v>
      </c>
      <c r="V89" s="84">
        <v>0.0</v>
      </c>
      <c r="W89" s="84">
        <v>0.0</v>
      </c>
      <c r="X89" s="84">
        <v>0.0</v>
      </c>
      <c r="Y89" s="84">
        <v>0.0</v>
      </c>
      <c r="Z89" s="84">
        <v>0.0</v>
      </c>
      <c r="AA89" s="84">
        <v>0.0</v>
      </c>
      <c r="AB89" s="84">
        <v>0.0</v>
      </c>
      <c r="AC89" s="91">
        <v>0.002554278416347382</v>
      </c>
      <c r="AD89" s="84">
        <v>0.0</v>
      </c>
      <c r="AE89" s="84">
        <v>0.0</v>
      </c>
      <c r="AF89" s="84">
        <v>0.0</v>
      </c>
      <c r="AG89" s="84">
        <v>0.0</v>
      </c>
      <c r="AH89" s="84">
        <v>0.0</v>
      </c>
      <c r="AI89" s="84">
        <v>0.0</v>
      </c>
      <c r="AJ89" s="84">
        <v>0.0</v>
      </c>
      <c r="AK89" s="84">
        <v>0.0</v>
      </c>
      <c r="AL89" s="84">
        <v>0.0</v>
      </c>
      <c r="AM89" s="84">
        <v>0.0</v>
      </c>
      <c r="AN89" s="93">
        <f t="shared" si="1"/>
        <v>0.006190642053</v>
      </c>
      <c r="AO89" s="84">
        <f t="shared" si="2"/>
        <v>0</v>
      </c>
    </row>
    <row r="90" ht="12.75" customHeight="1">
      <c r="A90" s="84" t="s">
        <v>4064</v>
      </c>
      <c r="B90" s="84">
        <v>0.0</v>
      </c>
      <c r="C90" s="84">
        <v>0.0</v>
      </c>
      <c r="D90" s="84">
        <v>0.0</v>
      </c>
      <c r="E90" s="84">
        <v>0.0</v>
      </c>
      <c r="F90" s="84">
        <v>0.0</v>
      </c>
      <c r="G90" s="84">
        <v>0.0</v>
      </c>
      <c r="H90" s="84">
        <v>0.0</v>
      </c>
      <c r="I90" s="91">
        <v>0.0036363636363636364</v>
      </c>
      <c r="J90" s="84">
        <v>0.0</v>
      </c>
      <c r="K90" s="84">
        <v>0.0</v>
      </c>
      <c r="L90" s="84">
        <v>0.0</v>
      </c>
      <c r="M90" s="84">
        <v>0.0</v>
      </c>
      <c r="N90" s="84">
        <v>0.0</v>
      </c>
      <c r="O90" s="84">
        <v>0.0</v>
      </c>
      <c r="P90" s="84">
        <v>0.0</v>
      </c>
      <c r="Q90" s="84">
        <v>0.0</v>
      </c>
      <c r="R90" s="84">
        <v>0.0</v>
      </c>
      <c r="S90" s="84">
        <v>0.0</v>
      </c>
      <c r="T90" s="84">
        <v>0.0</v>
      </c>
      <c r="U90" s="84">
        <v>0.0</v>
      </c>
      <c r="V90" s="84">
        <v>0.0</v>
      </c>
      <c r="W90" s="84">
        <v>0.0</v>
      </c>
      <c r="X90" s="84">
        <v>0.0</v>
      </c>
      <c r="Y90" s="84">
        <v>0.0</v>
      </c>
      <c r="Z90" s="84">
        <v>0.0</v>
      </c>
      <c r="AA90" s="84">
        <v>0.0</v>
      </c>
      <c r="AB90" s="84">
        <v>0.0</v>
      </c>
      <c r="AC90" s="91">
        <v>0.002554278416347382</v>
      </c>
      <c r="AD90" s="84">
        <v>0.0</v>
      </c>
      <c r="AE90" s="84">
        <v>0.0</v>
      </c>
      <c r="AF90" s="84">
        <v>0.0</v>
      </c>
      <c r="AG90" s="84">
        <v>0.0</v>
      </c>
      <c r="AH90" s="84">
        <v>0.0</v>
      </c>
      <c r="AI90" s="84">
        <v>0.0</v>
      </c>
      <c r="AJ90" s="84">
        <v>0.0</v>
      </c>
      <c r="AK90" s="84">
        <v>0.0</v>
      </c>
      <c r="AL90" s="84">
        <v>0.0</v>
      </c>
      <c r="AM90" s="84">
        <v>0.0</v>
      </c>
      <c r="AN90" s="93">
        <f t="shared" si="1"/>
        <v>0.006190642053</v>
      </c>
      <c r="AO90" s="84">
        <f t="shared" si="2"/>
        <v>0</v>
      </c>
    </row>
    <row r="91" ht="12.75" customHeight="1">
      <c r="A91" s="84" t="s">
        <v>4069</v>
      </c>
      <c r="B91" s="84">
        <v>0.0</v>
      </c>
      <c r="C91" s="84">
        <v>0.0</v>
      </c>
      <c r="D91" s="84">
        <v>0.0</v>
      </c>
      <c r="E91" s="84">
        <v>0.0</v>
      </c>
      <c r="F91" s="84">
        <v>0.0</v>
      </c>
      <c r="G91" s="84">
        <v>0.0</v>
      </c>
      <c r="H91" s="84">
        <v>0.0</v>
      </c>
      <c r="I91" s="91">
        <v>0.0036363636363636364</v>
      </c>
      <c r="J91" s="84">
        <v>0.0</v>
      </c>
      <c r="K91" s="84">
        <v>0.0</v>
      </c>
      <c r="L91" s="84">
        <v>0.0</v>
      </c>
      <c r="M91" s="84">
        <v>0.0</v>
      </c>
      <c r="N91" s="84">
        <v>0.0</v>
      </c>
      <c r="O91" s="84">
        <v>0.0</v>
      </c>
      <c r="P91" s="84">
        <v>0.0</v>
      </c>
      <c r="Q91" s="84">
        <v>0.0</v>
      </c>
      <c r="R91" s="84">
        <v>0.0</v>
      </c>
      <c r="S91" s="84">
        <v>0.0</v>
      </c>
      <c r="T91" s="84">
        <v>0.0</v>
      </c>
      <c r="U91" s="84">
        <v>0.0</v>
      </c>
      <c r="V91" s="84">
        <v>0.0</v>
      </c>
      <c r="W91" s="84">
        <v>0.0</v>
      </c>
      <c r="X91" s="84">
        <v>0.0</v>
      </c>
      <c r="Y91" s="84">
        <v>0.0</v>
      </c>
      <c r="Z91" s="84">
        <v>0.0</v>
      </c>
      <c r="AA91" s="84">
        <v>0.0</v>
      </c>
      <c r="AB91" s="84">
        <v>0.0</v>
      </c>
      <c r="AC91" s="91">
        <v>0.002554278416347382</v>
      </c>
      <c r="AD91" s="84">
        <v>0.0</v>
      </c>
      <c r="AE91" s="84">
        <v>0.0</v>
      </c>
      <c r="AF91" s="84">
        <v>0.0</v>
      </c>
      <c r="AG91" s="84">
        <v>0.0</v>
      </c>
      <c r="AH91" s="84">
        <v>0.0</v>
      </c>
      <c r="AI91" s="84">
        <v>0.0</v>
      </c>
      <c r="AJ91" s="84">
        <v>0.0</v>
      </c>
      <c r="AK91" s="84">
        <v>0.0</v>
      </c>
      <c r="AL91" s="84">
        <v>0.0</v>
      </c>
      <c r="AM91" s="84">
        <v>0.0</v>
      </c>
      <c r="AN91" s="93">
        <f t="shared" si="1"/>
        <v>0.006190642053</v>
      </c>
      <c r="AO91" s="84">
        <f t="shared" si="2"/>
        <v>0</v>
      </c>
    </row>
    <row r="92" ht="12.75" customHeight="1">
      <c r="A92" s="84" t="s">
        <v>4289</v>
      </c>
      <c r="B92" s="84">
        <v>0.0</v>
      </c>
      <c r="C92" s="84">
        <v>0.0</v>
      </c>
      <c r="D92" s="84">
        <v>0.0</v>
      </c>
      <c r="E92" s="84">
        <v>0.0</v>
      </c>
      <c r="F92" s="84">
        <v>0.0</v>
      </c>
      <c r="G92" s="84">
        <v>0.0</v>
      </c>
      <c r="H92" s="84">
        <v>0.0</v>
      </c>
      <c r="I92" s="91">
        <v>0.0036363636363636364</v>
      </c>
      <c r="J92" s="84">
        <v>0.0</v>
      </c>
      <c r="K92" s="84">
        <v>0.0</v>
      </c>
      <c r="L92" s="84">
        <v>0.0</v>
      </c>
      <c r="M92" s="84">
        <v>0.0</v>
      </c>
      <c r="N92" s="84">
        <v>0.0</v>
      </c>
      <c r="O92" s="84">
        <v>0.0</v>
      </c>
      <c r="P92" s="84">
        <v>0.0</v>
      </c>
      <c r="Q92" s="84">
        <v>0.0</v>
      </c>
      <c r="R92" s="84">
        <v>0.0</v>
      </c>
      <c r="S92" s="84">
        <v>0.0</v>
      </c>
      <c r="T92" s="84">
        <v>0.0</v>
      </c>
      <c r="U92" s="84">
        <v>0.0</v>
      </c>
      <c r="V92" s="84">
        <v>0.0</v>
      </c>
      <c r="W92" s="84">
        <v>0.0</v>
      </c>
      <c r="X92" s="84">
        <v>0.0</v>
      </c>
      <c r="Y92" s="84">
        <v>0.0</v>
      </c>
      <c r="Z92" s="84">
        <v>0.0</v>
      </c>
      <c r="AA92" s="84">
        <v>0.0</v>
      </c>
      <c r="AB92" s="84">
        <v>0.0</v>
      </c>
      <c r="AC92" s="91">
        <v>0.0</v>
      </c>
      <c r="AD92" s="84">
        <v>0.0</v>
      </c>
      <c r="AE92" s="84">
        <v>0.0</v>
      </c>
      <c r="AF92" s="84">
        <v>0.0</v>
      </c>
      <c r="AG92" s="84">
        <v>0.0</v>
      </c>
      <c r="AH92" s="84">
        <v>0.0</v>
      </c>
      <c r="AI92" s="84">
        <v>0.0</v>
      </c>
      <c r="AJ92" s="84">
        <v>0.0</v>
      </c>
      <c r="AK92" s="84">
        <v>0.0</v>
      </c>
      <c r="AL92" s="84">
        <v>0.0</v>
      </c>
      <c r="AM92" s="84">
        <v>0.0</v>
      </c>
      <c r="AN92" s="93">
        <f t="shared" si="1"/>
        <v>0.003636363636</v>
      </c>
      <c r="AO92" s="84">
        <f t="shared" si="2"/>
        <v>0</v>
      </c>
    </row>
    <row r="93" ht="12.75" customHeight="1">
      <c r="A93" s="84" t="s">
        <v>4396</v>
      </c>
      <c r="B93" s="84">
        <v>0.0</v>
      </c>
      <c r="C93" s="84">
        <v>0.0</v>
      </c>
      <c r="D93" s="84">
        <v>0.0</v>
      </c>
      <c r="E93" s="84">
        <v>0.0</v>
      </c>
      <c r="F93" s="84">
        <v>0.0</v>
      </c>
      <c r="G93" s="84">
        <v>0.0</v>
      </c>
      <c r="H93" s="84">
        <v>0.0</v>
      </c>
      <c r="I93" s="91">
        <v>0.0036363636363636364</v>
      </c>
      <c r="J93" s="84">
        <v>0.0</v>
      </c>
      <c r="K93" s="84">
        <v>0.0</v>
      </c>
      <c r="L93" s="84">
        <v>0.0</v>
      </c>
      <c r="M93" s="84">
        <v>0.0</v>
      </c>
      <c r="N93" s="84">
        <v>0.0</v>
      </c>
      <c r="O93" s="84">
        <v>0.0</v>
      </c>
      <c r="P93" s="84">
        <v>0.0</v>
      </c>
      <c r="Q93" s="84">
        <v>0.0</v>
      </c>
      <c r="R93" s="84">
        <v>0.0</v>
      </c>
      <c r="S93" s="84">
        <v>0.0</v>
      </c>
      <c r="T93" s="84">
        <v>0.0</v>
      </c>
      <c r="U93" s="84">
        <v>0.0</v>
      </c>
      <c r="V93" s="84">
        <v>0.0</v>
      </c>
      <c r="W93" s="84">
        <v>0.0</v>
      </c>
      <c r="X93" s="84">
        <v>0.0</v>
      </c>
      <c r="Y93" s="84">
        <v>0.0</v>
      </c>
      <c r="Z93" s="84">
        <v>0.0</v>
      </c>
      <c r="AA93" s="84">
        <v>0.0</v>
      </c>
      <c r="AB93" s="84">
        <v>0.0</v>
      </c>
      <c r="AC93" s="91">
        <v>0.005108556832694764</v>
      </c>
      <c r="AD93" s="84">
        <v>0.0</v>
      </c>
      <c r="AE93" s="84">
        <v>0.0</v>
      </c>
      <c r="AF93" s="84">
        <v>0.0</v>
      </c>
      <c r="AG93" s="84">
        <v>0.0</v>
      </c>
      <c r="AH93" s="84">
        <v>0.0</v>
      </c>
      <c r="AI93" s="84">
        <v>0.0</v>
      </c>
      <c r="AJ93" s="84">
        <v>0.0</v>
      </c>
      <c r="AK93" s="84">
        <v>0.0</v>
      </c>
      <c r="AL93" s="84">
        <v>0.0</v>
      </c>
      <c r="AM93" s="84">
        <v>0.0</v>
      </c>
      <c r="AN93" s="93">
        <f t="shared" si="1"/>
        <v>0.008744920469</v>
      </c>
      <c r="AO93" s="84">
        <f t="shared" si="2"/>
        <v>0</v>
      </c>
    </row>
    <row r="94" ht="12.75" customHeight="1">
      <c r="A94" s="84" t="s">
        <v>4371</v>
      </c>
      <c r="B94" s="84">
        <v>0.0</v>
      </c>
      <c r="C94" s="84">
        <v>0.0</v>
      </c>
      <c r="D94" s="84">
        <v>0.0</v>
      </c>
      <c r="E94" s="84">
        <v>0.0</v>
      </c>
      <c r="F94" s="84">
        <v>0.0</v>
      </c>
      <c r="G94" s="84">
        <v>0.0</v>
      </c>
      <c r="H94" s="84">
        <v>0.0</v>
      </c>
      <c r="I94" s="91">
        <v>0.0024242424242424242</v>
      </c>
      <c r="J94" s="84">
        <v>0.0</v>
      </c>
      <c r="K94" s="84">
        <v>0.0</v>
      </c>
      <c r="L94" s="84">
        <v>0.0</v>
      </c>
      <c r="M94" s="84">
        <v>0.0</v>
      </c>
      <c r="N94" s="84">
        <v>0.0</v>
      </c>
      <c r="O94" s="84">
        <v>0.0</v>
      </c>
      <c r="P94" s="84">
        <v>0.0</v>
      </c>
      <c r="Q94" s="84">
        <v>0.0</v>
      </c>
      <c r="R94" s="84">
        <v>0.0</v>
      </c>
      <c r="S94" s="84">
        <v>0.0</v>
      </c>
      <c r="T94" s="84">
        <v>0.0</v>
      </c>
      <c r="U94" s="84">
        <v>0.0</v>
      </c>
      <c r="V94" s="84">
        <v>0.0</v>
      </c>
      <c r="W94" s="84">
        <v>0.0</v>
      </c>
      <c r="X94" s="84">
        <v>0.0</v>
      </c>
      <c r="Y94" s="84">
        <v>0.0</v>
      </c>
      <c r="Z94" s="84">
        <v>0.0</v>
      </c>
      <c r="AA94" s="84">
        <v>0.0</v>
      </c>
      <c r="AB94" s="84">
        <v>0.0</v>
      </c>
      <c r="AC94" s="91">
        <v>0.007662835249042145</v>
      </c>
      <c r="AD94" s="84">
        <v>0.0</v>
      </c>
      <c r="AE94" s="84">
        <v>0.0</v>
      </c>
      <c r="AF94" s="84">
        <v>0.0</v>
      </c>
      <c r="AG94" s="84">
        <v>0.0</v>
      </c>
      <c r="AH94" s="84">
        <v>0.0</v>
      </c>
      <c r="AI94" s="84">
        <v>0.0</v>
      </c>
      <c r="AJ94" s="84">
        <v>0.0</v>
      </c>
      <c r="AK94" s="84">
        <v>0.0</v>
      </c>
      <c r="AL94" s="84">
        <v>0.0</v>
      </c>
      <c r="AM94" s="84">
        <v>0.0</v>
      </c>
      <c r="AN94" s="93">
        <f t="shared" si="1"/>
        <v>0.01008707767</v>
      </c>
      <c r="AO94" s="84">
        <f t="shared" si="2"/>
        <v>0</v>
      </c>
    </row>
    <row r="95" ht="12.75" customHeight="1">
      <c r="A95" s="84" t="s">
        <v>4390</v>
      </c>
      <c r="B95" s="84">
        <v>0.0</v>
      </c>
      <c r="C95" s="84">
        <v>0.0</v>
      </c>
      <c r="D95" s="84">
        <v>0.0</v>
      </c>
      <c r="E95" s="84">
        <v>0.0</v>
      </c>
      <c r="F95" s="84">
        <v>0.0</v>
      </c>
      <c r="G95" s="84">
        <v>0.0</v>
      </c>
      <c r="H95" s="84">
        <v>0.0</v>
      </c>
      <c r="I95" s="91">
        <v>0.0024242424242424242</v>
      </c>
      <c r="J95" s="84">
        <v>0.0</v>
      </c>
      <c r="K95" s="84">
        <v>0.0</v>
      </c>
      <c r="L95" s="84">
        <v>0.0</v>
      </c>
      <c r="M95" s="84">
        <v>0.0</v>
      </c>
      <c r="N95" s="84">
        <v>0.0</v>
      </c>
      <c r="O95" s="84">
        <v>0.0</v>
      </c>
      <c r="P95" s="84">
        <v>0.0</v>
      </c>
      <c r="Q95" s="84">
        <v>0.0</v>
      </c>
      <c r="R95" s="84">
        <v>0.0</v>
      </c>
      <c r="S95" s="84">
        <v>0.0</v>
      </c>
      <c r="T95" s="84">
        <v>0.0</v>
      </c>
      <c r="U95" s="84">
        <v>0.0</v>
      </c>
      <c r="V95" s="84">
        <v>0.0</v>
      </c>
      <c r="W95" s="84">
        <v>0.0</v>
      </c>
      <c r="X95" s="84">
        <v>0.0</v>
      </c>
      <c r="Y95" s="84">
        <v>0.0</v>
      </c>
      <c r="Z95" s="84">
        <v>0.0</v>
      </c>
      <c r="AA95" s="84">
        <v>0.0</v>
      </c>
      <c r="AB95" s="84">
        <v>0.0</v>
      </c>
      <c r="AC95" s="91">
        <v>0.005108556832694764</v>
      </c>
      <c r="AD95" s="84">
        <v>0.0</v>
      </c>
      <c r="AE95" s="84">
        <v>0.0</v>
      </c>
      <c r="AF95" s="84">
        <v>0.0</v>
      </c>
      <c r="AG95" s="84">
        <v>0.0</v>
      </c>
      <c r="AH95" s="84">
        <v>0.0</v>
      </c>
      <c r="AI95" s="84">
        <v>0.0</v>
      </c>
      <c r="AJ95" s="84">
        <v>0.0</v>
      </c>
      <c r="AK95" s="84">
        <v>0.0</v>
      </c>
      <c r="AL95" s="84">
        <v>0.0</v>
      </c>
      <c r="AM95" s="84">
        <v>0.0</v>
      </c>
      <c r="AN95" s="93">
        <f t="shared" si="1"/>
        <v>0.007532799257</v>
      </c>
      <c r="AO95" s="84">
        <f t="shared" si="2"/>
        <v>0</v>
      </c>
    </row>
    <row r="96" ht="12.75" customHeight="1">
      <c r="A96" s="84" t="s">
        <v>4418</v>
      </c>
      <c r="B96" s="84">
        <v>0.0</v>
      </c>
      <c r="C96" s="84">
        <v>0.0</v>
      </c>
      <c r="D96" s="84">
        <v>0.0</v>
      </c>
      <c r="E96" s="84">
        <v>0.0</v>
      </c>
      <c r="F96" s="84">
        <v>0.0</v>
      </c>
      <c r="G96" s="84">
        <v>0.0</v>
      </c>
      <c r="H96" s="84">
        <v>0.0</v>
      </c>
      <c r="I96" s="91">
        <v>0.0024242424242424242</v>
      </c>
      <c r="J96" s="84">
        <v>0.0</v>
      </c>
      <c r="K96" s="84">
        <v>0.0</v>
      </c>
      <c r="L96" s="84">
        <v>0.0</v>
      </c>
      <c r="M96" s="84">
        <v>0.0</v>
      </c>
      <c r="N96" s="84">
        <v>0.0</v>
      </c>
      <c r="O96" s="84">
        <v>0.0</v>
      </c>
      <c r="P96" s="84">
        <v>0.0</v>
      </c>
      <c r="Q96" s="84">
        <v>0.0</v>
      </c>
      <c r="R96" s="84">
        <v>0.0</v>
      </c>
      <c r="S96" s="84">
        <v>0.0</v>
      </c>
      <c r="T96" s="84">
        <v>0.0</v>
      </c>
      <c r="U96" s="84">
        <v>0.0</v>
      </c>
      <c r="V96" s="84">
        <v>0.0</v>
      </c>
      <c r="W96" s="84">
        <v>0.0</v>
      </c>
      <c r="X96" s="84">
        <v>0.0</v>
      </c>
      <c r="Y96" s="84">
        <v>0.0</v>
      </c>
      <c r="Z96" s="84">
        <v>0.0</v>
      </c>
      <c r="AA96" s="84">
        <v>0.0</v>
      </c>
      <c r="AB96" s="84">
        <v>0.0</v>
      </c>
      <c r="AC96" s="91">
        <v>0.006385696040868455</v>
      </c>
      <c r="AD96" s="84">
        <v>0.0</v>
      </c>
      <c r="AE96" s="84">
        <v>0.0</v>
      </c>
      <c r="AF96" s="84">
        <v>0.0</v>
      </c>
      <c r="AG96" s="84">
        <v>0.0</v>
      </c>
      <c r="AH96" s="84">
        <v>0.0</v>
      </c>
      <c r="AI96" s="84">
        <v>0.0</v>
      </c>
      <c r="AJ96" s="84">
        <v>0.0</v>
      </c>
      <c r="AK96" s="84">
        <v>0.0</v>
      </c>
      <c r="AL96" s="84">
        <v>0.0</v>
      </c>
      <c r="AM96" s="84">
        <v>0.0</v>
      </c>
      <c r="AN96" s="93">
        <f t="shared" si="1"/>
        <v>0.008809938465</v>
      </c>
      <c r="AO96" s="84">
        <f t="shared" si="2"/>
        <v>0</v>
      </c>
    </row>
    <row r="97" ht="12.75" customHeight="1">
      <c r="A97" s="84" t="s">
        <v>4376</v>
      </c>
      <c r="B97" s="84">
        <v>0.0</v>
      </c>
      <c r="C97" s="84">
        <v>0.0</v>
      </c>
      <c r="D97" s="84">
        <v>0.0</v>
      </c>
      <c r="E97" s="84">
        <v>0.0</v>
      </c>
      <c r="F97" s="84">
        <v>0.0</v>
      </c>
      <c r="G97" s="84">
        <v>0.0</v>
      </c>
      <c r="H97" s="84">
        <v>0.0</v>
      </c>
      <c r="I97" s="91">
        <v>0.0024242424242424242</v>
      </c>
      <c r="J97" s="84">
        <v>0.0</v>
      </c>
      <c r="K97" s="84">
        <v>0.0</v>
      </c>
      <c r="L97" s="84">
        <v>0.0</v>
      </c>
      <c r="M97" s="84">
        <v>0.0</v>
      </c>
      <c r="N97" s="84">
        <v>0.0</v>
      </c>
      <c r="O97" s="84">
        <v>0.0</v>
      </c>
      <c r="P97" s="84">
        <v>0.0</v>
      </c>
      <c r="Q97" s="84">
        <v>0.0</v>
      </c>
      <c r="R97" s="84">
        <v>0.0</v>
      </c>
      <c r="S97" s="84">
        <v>0.0</v>
      </c>
      <c r="T97" s="84">
        <v>0.0</v>
      </c>
      <c r="U97" s="84">
        <v>0.0</v>
      </c>
      <c r="V97" s="84">
        <v>0.0</v>
      </c>
      <c r="W97" s="84">
        <v>0.0</v>
      </c>
      <c r="X97" s="84">
        <v>0.0</v>
      </c>
      <c r="Y97" s="84">
        <v>0.0</v>
      </c>
      <c r="Z97" s="84">
        <v>0.0</v>
      </c>
      <c r="AA97" s="84">
        <v>0.0</v>
      </c>
      <c r="AB97" s="84">
        <v>0.0</v>
      </c>
      <c r="AC97" s="91">
        <v>0.005108556832694764</v>
      </c>
      <c r="AD97" s="84">
        <v>0.0</v>
      </c>
      <c r="AE97" s="84">
        <v>0.0</v>
      </c>
      <c r="AF97" s="84">
        <v>0.0</v>
      </c>
      <c r="AG97" s="84">
        <v>0.0</v>
      </c>
      <c r="AH97" s="84">
        <v>0.0</v>
      </c>
      <c r="AI97" s="84">
        <v>0.0</v>
      </c>
      <c r="AJ97" s="84">
        <v>0.0</v>
      </c>
      <c r="AK97" s="84">
        <v>0.0</v>
      </c>
      <c r="AL97" s="84">
        <v>0.0</v>
      </c>
      <c r="AM97" s="84">
        <v>0.0</v>
      </c>
      <c r="AN97" s="93">
        <f t="shared" si="1"/>
        <v>0.007532799257</v>
      </c>
      <c r="AO97" s="84">
        <f t="shared" si="2"/>
        <v>0</v>
      </c>
    </row>
    <row r="98" ht="12.75" customHeight="1">
      <c r="A98" s="84" t="s">
        <v>4359</v>
      </c>
      <c r="B98" s="84">
        <v>0.0</v>
      </c>
      <c r="C98" s="84">
        <v>0.0</v>
      </c>
      <c r="D98" s="84">
        <v>0.0</v>
      </c>
      <c r="E98" s="84">
        <v>0.0</v>
      </c>
      <c r="F98" s="84">
        <v>0.0</v>
      </c>
      <c r="G98" s="84">
        <v>0.0</v>
      </c>
      <c r="H98" s="84">
        <v>0.0</v>
      </c>
      <c r="I98" s="91">
        <v>0.0024242424242424242</v>
      </c>
      <c r="J98" s="84">
        <v>0.0</v>
      </c>
      <c r="K98" s="84">
        <v>0.0</v>
      </c>
      <c r="L98" s="84">
        <v>0.0</v>
      </c>
      <c r="M98" s="84">
        <v>0.0</v>
      </c>
      <c r="N98" s="84">
        <v>0.0</v>
      </c>
      <c r="O98" s="84">
        <v>0.0</v>
      </c>
      <c r="P98" s="84">
        <v>0.0</v>
      </c>
      <c r="Q98" s="84">
        <v>0.0</v>
      </c>
      <c r="R98" s="84">
        <v>0.0</v>
      </c>
      <c r="S98" s="84">
        <v>0.0</v>
      </c>
      <c r="T98" s="84">
        <v>0.0</v>
      </c>
      <c r="U98" s="84">
        <v>0.0</v>
      </c>
      <c r="V98" s="84">
        <v>0.0</v>
      </c>
      <c r="W98" s="84">
        <v>0.0</v>
      </c>
      <c r="X98" s="84">
        <v>0.0</v>
      </c>
      <c r="Y98" s="84">
        <v>0.0</v>
      </c>
      <c r="Z98" s="84">
        <v>0.0</v>
      </c>
      <c r="AA98" s="84">
        <v>0.0</v>
      </c>
      <c r="AB98" s="84">
        <v>0.0</v>
      </c>
      <c r="AC98" s="91">
        <v>0.007662835249042145</v>
      </c>
      <c r="AD98" s="84">
        <v>0.0</v>
      </c>
      <c r="AE98" s="84">
        <v>0.0</v>
      </c>
      <c r="AF98" s="84">
        <v>0.0</v>
      </c>
      <c r="AG98" s="84">
        <v>0.0</v>
      </c>
      <c r="AH98" s="84">
        <v>0.0</v>
      </c>
      <c r="AI98" s="84">
        <v>0.0</v>
      </c>
      <c r="AJ98" s="84">
        <v>0.0</v>
      </c>
      <c r="AK98" s="84">
        <v>0.0</v>
      </c>
      <c r="AL98" s="84">
        <v>0.0</v>
      </c>
      <c r="AM98" s="84">
        <v>0.0</v>
      </c>
      <c r="AN98" s="93">
        <f t="shared" si="1"/>
        <v>0.01008707767</v>
      </c>
      <c r="AO98" s="84">
        <f t="shared" si="2"/>
        <v>0</v>
      </c>
    </row>
    <row r="99" ht="12.75" customHeight="1">
      <c r="A99" s="84" t="s">
        <v>4405</v>
      </c>
      <c r="B99" s="84">
        <v>0.0</v>
      </c>
      <c r="C99" s="84">
        <v>0.0</v>
      </c>
      <c r="D99" s="84">
        <v>0.0</v>
      </c>
      <c r="E99" s="84">
        <v>0.0</v>
      </c>
      <c r="F99" s="84">
        <v>0.0</v>
      </c>
      <c r="G99" s="84">
        <v>0.0</v>
      </c>
      <c r="H99" s="84">
        <v>0.0</v>
      </c>
      <c r="I99" s="91">
        <v>0.0024242424242424242</v>
      </c>
      <c r="J99" s="84">
        <v>0.0</v>
      </c>
      <c r="K99" s="84">
        <v>0.0</v>
      </c>
      <c r="L99" s="84">
        <v>0.0</v>
      </c>
      <c r="M99" s="84">
        <v>0.0</v>
      </c>
      <c r="N99" s="84">
        <v>0.0</v>
      </c>
      <c r="O99" s="84">
        <v>0.0</v>
      </c>
      <c r="P99" s="84">
        <v>0.0</v>
      </c>
      <c r="Q99" s="84">
        <v>0.0</v>
      </c>
      <c r="R99" s="84">
        <v>0.0</v>
      </c>
      <c r="S99" s="84">
        <v>0.0</v>
      </c>
      <c r="T99" s="84">
        <v>0.0</v>
      </c>
      <c r="U99" s="84">
        <v>0.0</v>
      </c>
      <c r="V99" s="84">
        <v>0.0</v>
      </c>
      <c r="W99" s="84">
        <v>0.0</v>
      </c>
      <c r="X99" s="84">
        <v>0.0</v>
      </c>
      <c r="Y99" s="84">
        <v>0.0</v>
      </c>
      <c r="Z99" s="84">
        <v>0.0</v>
      </c>
      <c r="AA99" s="84">
        <v>0.0</v>
      </c>
      <c r="AB99" s="84">
        <v>0.0</v>
      </c>
      <c r="AC99" s="91">
        <v>0.007662835249042145</v>
      </c>
      <c r="AD99" s="84">
        <v>0.0</v>
      </c>
      <c r="AE99" s="84">
        <v>0.0</v>
      </c>
      <c r="AF99" s="84">
        <v>0.0</v>
      </c>
      <c r="AG99" s="84">
        <v>0.0</v>
      </c>
      <c r="AH99" s="84">
        <v>0.0</v>
      </c>
      <c r="AI99" s="84">
        <v>0.0</v>
      </c>
      <c r="AJ99" s="84">
        <v>0.0</v>
      </c>
      <c r="AK99" s="84">
        <v>0.0</v>
      </c>
      <c r="AL99" s="84">
        <v>0.0</v>
      </c>
      <c r="AM99" s="84">
        <v>0.0</v>
      </c>
      <c r="AN99" s="93">
        <f t="shared" si="1"/>
        <v>0.01008707767</v>
      </c>
      <c r="AO99" s="84">
        <f t="shared" si="2"/>
        <v>0</v>
      </c>
    </row>
    <row r="100" ht="12.75" customHeight="1">
      <c r="A100" s="84" t="s">
        <v>4131</v>
      </c>
      <c r="B100" s="84">
        <v>0.0</v>
      </c>
      <c r="C100" s="84">
        <v>0.0</v>
      </c>
      <c r="D100" s="84">
        <v>0.0</v>
      </c>
      <c r="E100" s="84">
        <v>0.0</v>
      </c>
      <c r="F100" s="84">
        <v>0.0</v>
      </c>
      <c r="G100" s="84">
        <v>0.0</v>
      </c>
      <c r="H100" s="84">
        <v>0.0</v>
      </c>
      <c r="I100" s="91">
        <v>0.0024242424242424242</v>
      </c>
      <c r="J100" s="84">
        <v>0.0</v>
      </c>
      <c r="K100" s="84">
        <v>0.0</v>
      </c>
      <c r="L100" s="84">
        <v>0.0</v>
      </c>
      <c r="M100" s="84">
        <v>0.0</v>
      </c>
      <c r="N100" s="84">
        <v>0.0</v>
      </c>
      <c r="O100" s="84">
        <v>0.0</v>
      </c>
      <c r="P100" s="84">
        <v>0.0</v>
      </c>
      <c r="Q100" s="84">
        <v>0.0</v>
      </c>
      <c r="R100" s="84">
        <v>0.0</v>
      </c>
      <c r="S100" s="84">
        <v>0.0</v>
      </c>
      <c r="T100" s="84">
        <v>0.0</v>
      </c>
      <c r="U100" s="84">
        <v>0.0</v>
      </c>
      <c r="V100" s="84">
        <v>0.0</v>
      </c>
      <c r="W100" s="84">
        <v>0.0</v>
      </c>
      <c r="X100" s="84">
        <v>0.0</v>
      </c>
      <c r="Y100" s="84">
        <v>0.0</v>
      </c>
      <c r="Z100" s="84">
        <v>0.0</v>
      </c>
      <c r="AA100" s="84">
        <v>0.0</v>
      </c>
      <c r="AB100" s="84">
        <v>0.0</v>
      </c>
      <c r="AC100" s="91">
        <v>0.0038314176245210726</v>
      </c>
      <c r="AD100" s="84">
        <v>0.0</v>
      </c>
      <c r="AE100" s="84">
        <v>0.0</v>
      </c>
      <c r="AF100" s="84">
        <v>0.0</v>
      </c>
      <c r="AG100" s="84">
        <v>0.0</v>
      </c>
      <c r="AH100" s="84">
        <v>0.0</v>
      </c>
      <c r="AI100" s="84">
        <v>0.0</v>
      </c>
      <c r="AJ100" s="84">
        <v>0.0</v>
      </c>
      <c r="AK100" s="84">
        <v>0.0</v>
      </c>
      <c r="AL100" s="84">
        <v>0.0</v>
      </c>
      <c r="AM100" s="84">
        <v>0.0</v>
      </c>
      <c r="AN100" s="93">
        <f t="shared" si="1"/>
        <v>0.006255660049</v>
      </c>
      <c r="AO100" s="84">
        <f t="shared" si="2"/>
        <v>0</v>
      </c>
    </row>
    <row r="101" ht="12.75" customHeight="1">
      <c r="A101" s="84" t="s">
        <v>4355</v>
      </c>
      <c r="B101" s="84">
        <v>0.0</v>
      </c>
      <c r="C101" s="84">
        <v>0.0</v>
      </c>
      <c r="D101" s="84">
        <v>0.0</v>
      </c>
      <c r="E101" s="84">
        <v>0.0</v>
      </c>
      <c r="F101" s="84">
        <v>0.0</v>
      </c>
      <c r="G101" s="84">
        <v>0.0</v>
      </c>
      <c r="H101" s="84">
        <v>0.0</v>
      </c>
      <c r="I101" s="91">
        <v>0.0024242424242424242</v>
      </c>
      <c r="J101" s="84">
        <v>0.0</v>
      </c>
      <c r="K101" s="84">
        <v>0.0</v>
      </c>
      <c r="L101" s="84">
        <v>0.0</v>
      </c>
      <c r="M101" s="84">
        <v>0.0</v>
      </c>
      <c r="N101" s="84">
        <v>0.0</v>
      </c>
      <c r="O101" s="84">
        <v>0.0</v>
      </c>
      <c r="P101" s="84">
        <v>0.0</v>
      </c>
      <c r="Q101" s="84">
        <v>0.0</v>
      </c>
      <c r="R101" s="84">
        <v>0.0</v>
      </c>
      <c r="S101" s="84">
        <v>0.0</v>
      </c>
      <c r="T101" s="84">
        <v>0.0</v>
      </c>
      <c r="U101" s="84">
        <v>0.0</v>
      </c>
      <c r="V101" s="84">
        <v>0.0</v>
      </c>
      <c r="W101" s="84">
        <v>0.0</v>
      </c>
      <c r="X101" s="84">
        <v>0.0</v>
      </c>
      <c r="Y101" s="84">
        <v>0.0</v>
      </c>
      <c r="Z101" s="84">
        <v>0.0</v>
      </c>
      <c r="AA101" s="84">
        <v>0.0</v>
      </c>
      <c r="AB101" s="84">
        <v>0.0</v>
      </c>
      <c r="AC101" s="91">
        <v>0.005108556832694764</v>
      </c>
      <c r="AD101" s="84">
        <v>0.0</v>
      </c>
      <c r="AE101" s="84">
        <v>0.0</v>
      </c>
      <c r="AF101" s="84">
        <v>0.0</v>
      </c>
      <c r="AG101" s="84">
        <v>0.0</v>
      </c>
      <c r="AH101" s="84">
        <v>0.0</v>
      </c>
      <c r="AI101" s="84">
        <v>0.0</v>
      </c>
      <c r="AJ101" s="84">
        <v>0.0</v>
      </c>
      <c r="AK101" s="84">
        <v>0.0</v>
      </c>
      <c r="AL101" s="84">
        <v>0.0</v>
      </c>
      <c r="AM101" s="84">
        <v>0.0</v>
      </c>
      <c r="AN101" s="93">
        <f t="shared" si="1"/>
        <v>0.007532799257</v>
      </c>
      <c r="AO101" s="84">
        <f t="shared" si="2"/>
        <v>0</v>
      </c>
    </row>
    <row r="102" ht="12.75" customHeight="1">
      <c r="A102" s="84" t="s">
        <v>4189</v>
      </c>
      <c r="B102" s="84">
        <v>0.0</v>
      </c>
      <c r="C102" s="84">
        <v>0.0</v>
      </c>
      <c r="D102" s="84">
        <v>0.0</v>
      </c>
      <c r="E102" s="84">
        <v>0.0</v>
      </c>
      <c r="F102" s="84">
        <v>0.0</v>
      </c>
      <c r="G102" s="84">
        <v>0.0</v>
      </c>
      <c r="H102" s="84">
        <v>0.0</v>
      </c>
      <c r="I102" s="91">
        <v>0.0024242424242424242</v>
      </c>
      <c r="J102" s="84">
        <v>0.0</v>
      </c>
      <c r="K102" s="84">
        <v>0.0</v>
      </c>
      <c r="L102" s="84">
        <v>0.0</v>
      </c>
      <c r="M102" s="84">
        <v>0.0</v>
      </c>
      <c r="N102" s="84">
        <v>0.0</v>
      </c>
      <c r="O102" s="84">
        <v>0.0</v>
      </c>
      <c r="P102" s="84">
        <v>0.0</v>
      </c>
      <c r="Q102" s="84">
        <v>0.0</v>
      </c>
      <c r="R102" s="84">
        <v>0.0</v>
      </c>
      <c r="S102" s="84">
        <v>0.0</v>
      </c>
      <c r="T102" s="84">
        <v>0.0</v>
      </c>
      <c r="U102" s="84">
        <v>0.0</v>
      </c>
      <c r="V102" s="84">
        <v>0.0</v>
      </c>
      <c r="W102" s="84">
        <v>0.0</v>
      </c>
      <c r="X102" s="84">
        <v>0.0</v>
      </c>
      <c r="Y102" s="84">
        <v>0.0</v>
      </c>
      <c r="Z102" s="84">
        <v>0.0</v>
      </c>
      <c r="AA102" s="84">
        <v>0.0</v>
      </c>
      <c r="AB102" s="84">
        <v>0.0</v>
      </c>
      <c r="AC102" s="91">
        <v>0.0038314176245210726</v>
      </c>
      <c r="AD102" s="84">
        <v>0.0</v>
      </c>
      <c r="AE102" s="84">
        <v>0.0</v>
      </c>
      <c r="AF102" s="84">
        <v>0.0</v>
      </c>
      <c r="AG102" s="84">
        <v>0.0</v>
      </c>
      <c r="AH102" s="84">
        <v>0.0</v>
      </c>
      <c r="AI102" s="84">
        <v>0.0</v>
      </c>
      <c r="AJ102" s="84">
        <v>0.0</v>
      </c>
      <c r="AK102" s="84">
        <v>0.0</v>
      </c>
      <c r="AL102" s="84">
        <v>0.0</v>
      </c>
      <c r="AM102" s="84">
        <v>0.0</v>
      </c>
      <c r="AN102" s="93">
        <f t="shared" si="1"/>
        <v>0.006255660049</v>
      </c>
      <c r="AO102" s="84">
        <f t="shared" si="2"/>
        <v>0</v>
      </c>
    </row>
    <row r="103" ht="12.75" customHeight="1">
      <c r="A103" s="84" t="s">
        <v>4280</v>
      </c>
      <c r="B103" s="84">
        <v>0.0</v>
      </c>
      <c r="C103" s="84">
        <v>0.0</v>
      </c>
      <c r="D103" s="84">
        <v>0.0</v>
      </c>
      <c r="E103" s="84">
        <v>0.0</v>
      </c>
      <c r="F103" s="84">
        <v>0.0</v>
      </c>
      <c r="G103" s="84">
        <v>0.0</v>
      </c>
      <c r="H103" s="84">
        <v>0.0</v>
      </c>
      <c r="I103" s="91">
        <v>0.0024242424242424242</v>
      </c>
      <c r="J103" s="84">
        <v>0.0</v>
      </c>
      <c r="K103" s="84">
        <v>0.0</v>
      </c>
      <c r="L103" s="84">
        <v>0.0</v>
      </c>
      <c r="M103" s="84">
        <v>0.0</v>
      </c>
      <c r="N103" s="84">
        <v>0.0</v>
      </c>
      <c r="O103" s="84">
        <v>0.0</v>
      </c>
      <c r="P103" s="84">
        <v>0.0</v>
      </c>
      <c r="Q103" s="84">
        <v>0.0</v>
      </c>
      <c r="R103" s="84">
        <v>0.0</v>
      </c>
      <c r="S103" s="84">
        <v>0.0</v>
      </c>
      <c r="T103" s="84">
        <v>0.0</v>
      </c>
      <c r="U103" s="84">
        <v>0.0</v>
      </c>
      <c r="V103" s="84">
        <v>0.0</v>
      </c>
      <c r="W103" s="84">
        <v>0.0</v>
      </c>
      <c r="X103" s="84">
        <v>0.0</v>
      </c>
      <c r="Y103" s="84">
        <v>0.0</v>
      </c>
      <c r="Z103" s="84">
        <v>0.0</v>
      </c>
      <c r="AA103" s="84">
        <v>0.0</v>
      </c>
      <c r="AB103" s="84">
        <v>0.0</v>
      </c>
      <c r="AC103" s="91">
        <v>0.0038314176245210726</v>
      </c>
      <c r="AD103" s="84">
        <v>0.0</v>
      </c>
      <c r="AE103" s="84">
        <v>0.0</v>
      </c>
      <c r="AF103" s="84">
        <v>0.0</v>
      </c>
      <c r="AG103" s="84">
        <v>0.0</v>
      </c>
      <c r="AH103" s="84">
        <v>0.0</v>
      </c>
      <c r="AI103" s="84">
        <v>0.0</v>
      </c>
      <c r="AJ103" s="84">
        <v>0.0</v>
      </c>
      <c r="AK103" s="84">
        <v>0.0</v>
      </c>
      <c r="AL103" s="84">
        <v>0.0</v>
      </c>
      <c r="AM103" s="84">
        <v>0.0</v>
      </c>
      <c r="AN103" s="93">
        <f t="shared" si="1"/>
        <v>0.006255660049</v>
      </c>
      <c r="AO103" s="84">
        <f t="shared" si="2"/>
        <v>0</v>
      </c>
    </row>
    <row r="104" ht="12.75" customHeight="1">
      <c r="A104" s="84" t="s">
        <v>4218</v>
      </c>
      <c r="B104" s="84">
        <v>0.0</v>
      </c>
      <c r="C104" s="84">
        <v>0.0</v>
      </c>
      <c r="D104" s="84">
        <v>0.0</v>
      </c>
      <c r="E104" s="84">
        <v>0.0</v>
      </c>
      <c r="F104" s="84">
        <v>0.0</v>
      </c>
      <c r="G104" s="84">
        <v>0.0</v>
      </c>
      <c r="H104" s="84">
        <v>0.0</v>
      </c>
      <c r="I104" s="91">
        <v>0.0024242424242424242</v>
      </c>
      <c r="J104" s="84">
        <v>0.0</v>
      </c>
      <c r="K104" s="84">
        <v>0.0</v>
      </c>
      <c r="L104" s="84">
        <v>0.0</v>
      </c>
      <c r="M104" s="84">
        <v>0.0</v>
      </c>
      <c r="N104" s="84">
        <v>0.0</v>
      </c>
      <c r="O104" s="84">
        <v>0.0</v>
      </c>
      <c r="P104" s="84">
        <v>0.0</v>
      </c>
      <c r="Q104" s="84">
        <v>0.0</v>
      </c>
      <c r="R104" s="84">
        <v>0.0</v>
      </c>
      <c r="S104" s="84">
        <v>0.0</v>
      </c>
      <c r="T104" s="84">
        <v>0.0</v>
      </c>
      <c r="U104" s="84">
        <v>0.0</v>
      </c>
      <c r="V104" s="84">
        <v>0.0</v>
      </c>
      <c r="W104" s="84">
        <v>0.0</v>
      </c>
      <c r="X104" s="84">
        <v>0.0</v>
      </c>
      <c r="Y104" s="84">
        <v>0.0</v>
      </c>
      <c r="Z104" s="84">
        <v>0.0</v>
      </c>
      <c r="AA104" s="84">
        <v>0.0</v>
      </c>
      <c r="AB104" s="84">
        <v>0.0</v>
      </c>
      <c r="AC104" s="91">
        <v>0.0038314176245210726</v>
      </c>
      <c r="AD104" s="84">
        <v>0.0</v>
      </c>
      <c r="AE104" s="84">
        <v>0.0</v>
      </c>
      <c r="AF104" s="84">
        <v>0.0</v>
      </c>
      <c r="AG104" s="84">
        <v>0.0</v>
      </c>
      <c r="AH104" s="84">
        <v>0.0</v>
      </c>
      <c r="AI104" s="84">
        <v>0.0</v>
      </c>
      <c r="AJ104" s="84">
        <v>0.0</v>
      </c>
      <c r="AK104" s="84">
        <v>0.0</v>
      </c>
      <c r="AL104" s="84">
        <v>0.0</v>
      </c>
      <c r="AM104" s="84">
        <v>0.0</v>
      </c>
      <c r="AN104" s="93">
        <f t="shared" si="1"/>
        <v>0.006255660049</v>
      </c>
      <c r="AO104" s="84">
        <f t="shared" si="2"/>
        <v>0</v>
      </c>
    </row>
    <row r="105" ht="12.75" customHeight="1">
      <c r="A105" s="84" t="s">
        <v>4167</v>
      </c>
      <c r="B105" s="84">
        <v>0.0</v>
      </c>
      <c r="C105" s="84">
        <v>0.0</v>
      </c>
      <c r="D105" s="84">
        <v>0.0</v>
      </c>
      <c r="E105" s="84">
        <v>0.0</v>
      </c>
      <c r="F105" s="84">
        <v>0.0</v>
      </c>
      <c r="G105" s="84">
        <v>0.0</v>
      </c>
      <c r="H105" s="84">
        <v>0.0</v>
      </c>
      <c r="I105" s="91">
        <v>0.0024242424242424242</v>
      </c>
      <c r="J105" s="84">
        <v>0.0</v>
      </c>
      <c r="K105" s="84">
        <v>0.0</v>
      </c>
      <c r="L105" s="84">
        <v>0.0</v>
      </c>
      <c r="M105" s="84">
        <v>0.0</v>
      </c>
      <c r="N105" s="84">
        <v>0.0</v>
      </c>
      <c r="O105" s="84">
        <v>0.0</v>
      </c>
      <c r="P105" s="84">
        <v>0.0</v>
      </c>
      <c r="Q105" s="84">
        <v>0.0</v>
      </c>
      <c r="R105" s="84">
        <v>0.0</v>
      </c>
      <c r="S105" s="84">
        <v>0.0</v>
      </c>
      <c r="T105" s="84">
        <v>0.0</v>
      </c>
      <c r="U105" s="84">
        <v>0.0</v>
      </c>
      <c r="V105" s="84">
        <v>0.0</v>
      </c>
      <c r="W105" s="84">
        <v>0.0</v>
      </c>
      <c r="X105" s="84">
        <v>0.0</v>
      </c>
      <c r="Y105" s="84">
        <v>0.0</v>
      </c>
      <c r="Z105" s="84">
        <v>0.0</v>
      </c>
      <c r="AA105" s="84">
        <v>0.0</v>
      </c>
      <c r="AB105" s="84">
        <v>0.0</v>
      </c>
      <c r="AC105" s="91">
        <v>0.0038314176245210726</v>
      </c>
      <c r="AD105" s="84">
        <v>0.0</v>
      </c>
      <c r="AE105" s="84">
        <v>0.0</v>
      </c>
      <c r="AF105" s="84">
        <v>0.0</v>
      </c>
      <c r="AG105" s="84">
        <v>0.0</v>
      </c>
      <c r="AH105" s="84">
        <v>0.0</v>
      </c>
      <c r="AI105" s="84">
        <v>0.0</v>
      </c>
      <c r="AJ105" s="84">
        <v>0.0</v>
      </c>
      <c r="AK105" s="84">
        <v>0.0</v>
      </c>
      <c r="AL105" s="84">
        <v>0.0</v>
      </c>
      <c r="AM105" s="84">
        <v>0.0</v>
      </c>
      <c r="AN105" s="93">
        <f t="shared" si="1"/>
        <v>0.006255660049</v>
      </c>
      <c r="AO105" s="84">
        <f t="shared" si="2"/>
        <v>0</v>
      </c>
    </row>
    <row r="106" ht="12.75" customHeight="1">
      <c r="A106" s="84" t="s">
        <v>4195</v>
      </c>
      <c r="B106" s="84">
        <v>0.0</v>
      </c>
      <c r="C106" s="84">
        <v>0.0</v>
      </c>
      <c r="D106" s="84">
        <v>0.0</v>
      </c>
      <c r="E106" s="84">
        <v>0.0</v>
      </c>
      <c r="F106" s="84">
        <v>0.0</v>
      </c>
      <c r="G106" s="84">
        <v>0.0</v>
      </c>
      <c r="H106" s="84">
        <v>0.0</v>
      </c>
      <c r="I106" s="91">
        <v>0.0024242424242424242</v>
      </c>
      <c r="J106" s="84">
        <v>0.0</v>
      </c>
      <c r="K106" s="84">
        <v>0.0</v>
      </c>
      <c r="L106" s="84">
        <v>0.0</v>
      </c>
      <c r="M106" s="84">
        <v>0.0</v>
      </c>
      <c r="N106" s="84">
        <v>0.0</v>
      </c>
      <c r="O106" s="84">
        <v>0.0</v>
      </c>
      <c r="P106" s="84">
        <v>0.0</v>
      </c>
      <c r="Q106" s="84">
        <v>0.0</v>
      </c>
      <c r="R106" s="84">
        <v>0.0</v>
      </c>
      <c r="S106" s="84">
        <v>0.0</v>
      </c>
      <c r="T106" s="84">
        <v>0.0</v>
      </c>
      <c r="U106" s="84">
        <v>0.0</v>
      </c>
      <c r="V106" s="84">
        <v>0.0</v>
      </c>
      <c r="W106" s="84">
        <v>0.0</v>
      </c>
      <c r="X106" s="84">
        <v>0.0</v>
      </c>
      <c r="Y106" s="84">
        <v>0.0</v>
      </c>
      <c r="Z106" s="84">
        <v>0.0</v>
      </c>
      <c r="AA106" s="84">
        <v>0.0</v>
      </c>
      <c r="AB106" s="84">
        <v>0.0</v>
      </c>
      <c r="AC106" s="91">
        <v>0.0038314176245210726</v>
      </c>
      <c r="AD106" s="84">
        <v>0.0</v>
      </c>
      <c r="AE106" s="84">
        <v>0.0</v>
      </c>
      <c r="AF106" s="84">
        <v>0.0</v>
      </c>
      <c r="AG106" s="84">
        <v>0.0</v>
      </c>
      <c r="AH106" s="84">
        <v>0.0</v>
      </c>
      <c r="AI106" s="84">
        <v>0.0</v>
      </c>
      <c r="AJ106" s="84">
        <v>0.0</v>
      </c>
      <c r="AK106" s="84">
        <v>0.0</v>
      </c>
      <c r="AL106" s="84">
        <v>0.0</v>
      </c>
      <c r="AM106" s="84">
        <v>0.0</v>
      </c>
      <c r="AN106" s="93">
        <f t="shared" si="1"/>
        <v>0.006255660049</v>
      </c>
      <c r="AO106" s="84">
        <f t="shared" si="2"/>
        <v>0</v>
      </c>
    </row>
    <row r="107" ht="12.75" customHeight="1">
      <c r="A107" s="84" t="s">
        <v>4141</v>
      </c>
      <c r="B107" s="84">
        <v>0.0</v>
      </c>
      <c r="C107" s="84">
        <v>0.0</v>
      </c>
      <c r="D107" s="84">
        <v>0.0</v>
      </c>
      <c r="E107" s="84">
        <v>0.0</v>
      </c>
      <c r="F107" s="84">
        <v>0.0</v>
      </c>
      <c r="G107" s="84">
        <v>0.0</v>
      </c>
      <c r="H107" s="84">
        <v>0.0</v>
      </c>
      <c r="I107" s="91">
        <v>0.0024242424242424242</v>
      </c>
      <c r="J107" s="84">
        <v>0.0</v>
      </c>
      <c r="K107" s="84">
        <v>0.0</v>
      </c>
      <c r="L107" s="84">
        <v>0.0</v>
      </c>
      <c r="M107" s="84">
        <v>0.0</v>
      </c>
      <c r="N107" s="84">
        <v>0.0</v>
      </c>
      <c r="O107" s="84">
        <v>0.0</v>
      </c>
      <c r="P107" s="84">
        <v>0.0</v>
      </c>
      <c r="Q107" s="84">
        <v>0.0</v>
      </c>
      <c r="R107" s="84">
        <v>0.0</v>
      </c>
      <c r="S107" s="84">
        <v>0.0</v>
      </c>
      <c r="T107" s="84">
        <v>0.0</v>
      </c>
      <c r="U107" s="84">
        <v>0.0</v>
      </c>
      <c r="V107" s="84">
        <v>0.0</v>
      </c>
      <c r="W107" s="84">
        <v>0.0</v>
      </c>
      <c r="X107" s="84">
        <v>0.0</v>
      </c>
      <c r="Y107" s="84">
        <v>0.0</v>
      </c>
      <c r="Z107" s="84">
        <v>0.0</v>
      </c>
      <c r="AA107" s="84">
        <v>0.0</v>
      </c>
      <c r="AB107" s="84">
        <v>0.0</v>
      </c>
      <c r="AC107" s="91">
        <v>0.0038314176245210726</v>
      </c>
      <c r="AD107" s="84">
        <v>0.0</v>
      </c>
      <c r="AE107" s="84">
        <v>0.0</v>
      </c>
      <c r="AF107" s="84">
        <v>0.0</v>
      </c>
      <c r="AG107" s="84">
        <v>0.0</v>
      </c>
      <c r="AH107" s="84">
        <v>0.0</v>
      </c>
      <c r="AI107" s="84">
        <v>0.0</v>
      </c>
      <c r="AJ107" s="84">
        <v>0.0</v>
      </c>
      <c r="AK107" s="84">
        <v>0.0</v>
      </c>
      <c r="AL107" s="84">
        <v>0.0</v>
      </c>
      <c r="AM107" s="84">
        <v>0.0</v>
      </c>
      <c r="AN107" s="93">
        <f t="shared" si="1"/>
        <v>0.006255660049</v>
      </c>
      <c r="AO107" s="84">
        <f t="shared" si="2"/>
        <v>0</v>
      </c>
    </row>
    <row r="108" ht="12.75" customHeight="1">
      <c r="A108" s="84" t="s">
        <v>4279</v>
      </c>
      <c r="B108" s="84">
        <v>0.0</v>
      </c>
      <c r="C108" s="84">
        <v>0.0</v>
      </c>
      <c r="D108" s="84">
        <v>0.0</v>
      </c>
      <c r="E108" s="84">
        <v>0.0</v>
      </c>
      <c r="F108" s="84">
        <v>0.0</v>
      </c>
      <c r="G108" s="84">
        <v>0.0</v>
      </c>
      <c r="H108" s="84">
        <v>0.0</v>
      </c>
      <c r="I108" s="91">
        <v>0.0024242424242424242</v>
      </c>
      <c r="J108" s="84">
        <v>0.0</v>
      </c>
      <c r="K108" s="84">
        <v>0.0</v>
      </c>
      <c r="L108" s="84">
        <v>0.0</v>
      </c>
      <c r="M108" s="84">
        <v>0.0</v>
      </c>
      <c r="N108" s="84">
        <v>0.0</v>
      </c>
      <c r="O108" s="84">
        <v>0.0</v>
      </c>
      <c r="P108" s="84">
        <v>0.0</v>
      </c>
      <c r="Q108" s="84">
        <v>0.0</v>
      </c>
      <c r="R108" s="84">
        <v>0.0</v>
      </c>
      <c r="S108" s="84">
        <v>0.0</v>
      </c>
      <c r="T108" s="84">
        <v>0.0</v>
      </c>
      <c r="U108" s="84">
        <v>0.0</v>
      </c>
      <c r="V108" s="84">
        <v>0.0</v>
      </c>
      <c r="W108" s="84">
        <v>0.0</v>
      </c>
      <c r="X108" s="84">
        <v>0.0</v>
      </c>
      <c r="Y108" s="84">
        <v>0.0</v>
      </c>
      <c r="Z108" s="84">
        <v>0.0</v>
      </c>
      <c r="AA108" s="84">
        <v>0.0</v>
      </c>
      <c r="AB108" s="84">
        <v>0.0</v>
      </c>
      <c r="AC108" s="91">
        <v>0.005108556832694764</v>
      </c>
      <c r="AD108" s="84">
        <v>0.0</v>
      </c>
      <c r="AE108" s="84">
        <v>0.0</v>
      </c>
      <c r="AF108" s="84">
        <v>0.0</v>
      </c>
      <c r="AG108" s="84">
        <v>0.0</v>
      </c>
      <c r="AH108" s="84">
        <v>0.0</v>
      </c>
      <c r="AI108" s="84">
        <v>0.0</v>
      </c>
      <c r="AJ108" s="84">
        <v>0.0</v>
      </c>
      <c r="AK108" s="84">
        <v>0.0</v>
      </c>
      <c r="AL108" s="84">
        <v>0.0</v>
      </c>
      <c r="AM108" s="84">
        <v>0.0</v>
      </c>
      <c r="AN108" s="93">
        <f t="shared" si="1"/>
        <v>0.007532799257</v>
      </c>
      <c r="AO108" s="84">
        <f t="shared" si="2"/>
        <v>0</v>
      </c>
    </row>
    <row r="109" ht="12.75" customHeight="1">
      <c r="A109" s="84" t="s">
        <v>4204</v>
      </c>
      <c r="B109" s="84">
        <v>0.0</v>
      </c>
      <c r="C109" s="84">
        <v>0.0</v>
      </c>
      <c r="D109" s="84">
        <v>0.0</v>
      </c>
      <c r="E109" s="84">
        <v>0.0</v>
      </c>
      <c r="F109" s="84">
        <v>0.0</v>
      </c>
      <c r="G109" s="84">
        <v>0.0</v>
      </c>
      <c r="H109" s="84">
        <v>0.0</v>
      </c>
      <c r="I109" s="91">
        <v>0.0024242424242424242</v>
      </c>
      <c r="J109" s="84">
        <v>0.0</v>
      </c>
      <c r="K109" s="84">
        <v>0.0</v>
      </c>
      <c r="L109" s="84">
        <v>0.0</v>
      </c>
      <c r="M109" s="84">
        <v>0.0</v>
      </c>
      <c r="N109" s="84">
        <v>0.0</v>
      </c>
      <c r="O109" s="84">
        <v>0.0</v>
      </c>
      <c r="P109" s="84">
        <v>0.0</v>
      </c>
      <c r="Q109" s="84">
        <v>0.0</v>
      </c>
      <c r="R109" s="84">
        <v>0.0</v>
      </c>
      <c r="S109" s="84">
        <v>0.0</v>
      </c>
      <c r="T109" s="84">
        <v>0.0</v>
      </c>
      <c r="U109" s="84">
        <v>0.0</v>
      </c>
      <c r="V109" s="84">
        <v>0.0</v>
      </c>
      <c r="W109" s="84">
        <v>0.0</v>
      </c>
      <c r="X109" s="84">
        <v>0.0</v>
      </c>
      <c r="Y109" s="84">
        <v>0.0</v>
      </c>
      <c r="Z109" s="84">
        <v>0.0</v>
      </c>
      <c r="AA109" s="84">
        <v>0.0</v>
      </c>
      <c r="AB109" s="84">
        <v>0.0</v>
      </c>
      <c r="AC109" s="91">
        <v>0.0038314176245210726</v>
      </c>
      <c r="AD109" s="84">
        <v>0.0</v>
      </c>
      <c r="AE109" s="84">
        <v>0.0</v>
      </c>
      <c r="AF109" s="84">
        <v>0.0</v>
      </c>
      <c r="AG109" s="84">
        <v>0.0</v>
      </c>
      <c r="AH109" s="84">
        <v>0.0</v>
      </c>
      <c r="AI109" s="84">
        <v>0.0</v>
      </c>
      <c r="AJ109" s="84">
        <v>0.0</v>
      </c>
      <c r="AK109" s="84">
        <v>0.0</v>
      </c>
      <c r="AL109" s="84">
        <v>0.0</v>
      </c>
      <c r="AM109" s="84">
        <v>0.0</v>
      </c>
      <c r="AN109" s="93">
        <f t="shared" si="1"/>
        <v>0.006255660049</v>
      </c>
      <c r="AO109" s="84">
        <f t="shared" si="2"/>
        <v>0</v>
      </c>
    </row>
    <row r="110" ht="12.75" customHeight="1">
      <c r="A110" s="84" t="s">
        <v>3987</v>
      </c>
      <c r="B110" s="84">
        <v>0.0</v>
      </c>
      <c r="C110" s="84">
        <v>0.0</v>
      </c>
      <c r="D110" s="84">
        <v>0.0</v>
      </c>
      <c r="E110" s="84">
        <v>0.0</v>
      </c>
      <c r="F110" s="84">
        <v>0.0</v>
      </c>
      <c r="G110" s="84">
        <v>0.0</v>
      </c>
      <c r="H110" s="84">
        <v>0.0</v>
      </c>
      <c r="I110" s="91">
        <v>0.0024242424242424242</v>
      </c>
      <c r="J110" s="84">
        <v>0.0</v>
      </c>
      <c r="K110" s="84">
        <v>0.0</v>
      </c>
      <c r="L110" s="84">
        <v>0.0</v>
      </c>
      <c r="M110" s="84">
        <v>0.0</v>
      </c>
      <c r="N110" s="84">
        <v>0.0</v>
      </c>
      <c r="O110" s="84">
        <v>0.0</v>
      </c>
      <c r="P110" s="84">
        <v>0.0</v>
      </c>
      <c r="Q110" s="84">
        <v>0.0</v>
      </c>
      <c r="R110" s="84">
        <v>0.0</v>
      </c>
      <c r="S110" s="84">
        <v>0.0</v>
      </c>
      <c r="T110" s="84">
        <v>0.0</v>
      </c>
      <c r="U110" s="84">
        <v>0.0</v>
      </c>
      <c r="V110" s="84">
        <v>0.0</v>
      </c>
      <c r="W110" s="84">
        <v>0.0</v>
      </c>
      <c r="X110" s="84">
        <v>0.0</v>
      </c>
      <c r="Y110" s="84">
        <v>0.0</v>
      </c>
      <c r="Z110" s="84">
        <v>0.0</v>
      </c>
      <c r="AA110" s="84">
        <v>0.0</v>
      </c>
      <c r="AB110" s="84">
        <v>0.0</v>
      </c>
      <c r="AC110" s="91">
        <v>0.0038314176245210726</v>
      </c>
      <c r="AD110" s="84">
        <v>0.0</v>
      </c>
      <c r="AE110" s="84">
        <v>0.0</v>
      </c>
      <c r="AF110" s="84">
        <v>0.0</v>
      </c>
      <c r="AG110" s="84">
        <v>0.0</v>
      </c>
      <c r="AH110" s="84">
        <v>0.0</v>
      </c>
      <c r="AI110" s="84">
        <v>0.0</v>
      </c>
      <c r="AJ110" s="84">
        <v>0.0</v>
      </c>
      <c r="AK110" s="84">
        <v>0.0</v>
      </c>
      <c r="AL110" s="84">
        <v>0.0</v>
      </c>
      <c r="AM110" s="84">
        <v>0.0</v>
      </c>
      <c r="AN110" s="93">
        <f t="shared" si="1"/>
        <v>0.006255660049</v>
      </c>
      <c r="AO110" s="84">
        <f t="shared" si="2"/>
        <v>0</v>
      </c>
    </row>
    <row r="111" ht="12.75" customHeight="1">
      <c r="A111" s="84" t="s">
        <v>4138</v>
      </c>
      <c r="B111" s="84">
        <v>0.0</v>
      </c>
      <c r="C111" s="84">
        <v>0.0</v>
      </c>
      <c r="D111" s="84">
        <v>0.0</v>
      </c>
      <c r="E111" s="84">
        <v>0.0</v>
      </c>
      <c r="F111" s="84">
        <v>0.0</v>
      </c>
      <c r="G111" s="84">
        <v>0.0</v>
      </c>
      <c r="H111" s="84">
        <v>0.0</v>
      </c>
      <c r="I111" s="91">
        <v>0.0024242424242424242</v>
      </c>
      <c r="J111" s="84">
        <v>0.0</v>
      </c>
      <c r="K111" s="84">
        <v>0.0</v>
      </c>
      <c r="L111" s="84">
        <v>0.0</v>
      </c>
      <c r="M111" s="84">
        <v>0.0</v>
      </c>
      <c r="N111" s="84">
        <v>0.0</v>
      </c>
      <c r="O111" s="84">
        <v>0.0</v>
      </c>
      <c r="P111" s="84">
        <v>0.0</v>
      </c>
      <c r="Q111" s="84">
        <v>0.0</v>
      </c>
      <c r="R111" s="84">
        <v>0.0</v>
      </c>
      <c r="S111" s="84">
        <v>0.0</v>
      </c>
      <c r="T111" s="84">
        <v>0.0</v>
      </c>
      <c r="U111" s="84">
        <v>0.0</v>
      </c>
      <c r="V111" s="84">
        <v>0.0</v>
      </c>
      <c r="W111" s="84">
        <v>0.0</v>
      </c>
      <c r="X111" s="84">
        <v>0.0</v>
      </c>
      <c r="Y111" s="84">
        <v>0.0</v>
      </c>
      <c r="Z111" s="84">
        <v>0.0</v>
      </c>
      <c r="AA111" s="84">
        <v>0.0</v>
      </c>
      <c r="AB111" s="84">
        <v>0.0</v>
      </c>
      <c r="AC111" s="91">
        <v>0.0038314176245210726</v>
      </c>
      <c r="AD111" s="84">
        <v>0.0</v>
      </c>
      <c r="AE111" s="84">
        <v>0.0</v>
      </c>
      <c r="AF111" s="84">
        <v>0.0</v>
      </c>
      <c r="AG111" s="84">
        <v>0.0</v>
      </c>
      <c r="AH111" s="84">
        <v>0.0</v>
      </c>
      <c r="AI111" s="84">
        <v>0.0</v>
      </c>
      <c r="AJ111" s="84">
        <v>0.0</v>
      </c>
      <c r="AK111" s="84">
        <v>0.0</v>
      </c>
      <c r="AL111" s="84">
        <v>0.0</v>
      </c>
      <c r="AM111" s="84">
        <v>0.0</v>
      </c>
      <c r="AN111" s="93">
        <f t="shared" si="1"/>
        <v>0.006255660049</v>
      </c>
      <c r="AO111" s="84">
        <f t="shared" si="2"/>
        <v>0</v>
      </c>
    </row>
    <row r="112" ht="12.75" customHeight="1">
      <c r="A112" s="84" t="s">
        <v>4021</v>
      </c>
      <c r="B112" s="84">
        <v>0.0</v>
      </c>
      <c r="C112" s="84">
        <v>0.0</v>
      </c>
      <c r="D112" s="84">
        <v>0.0</v>
      </c>
      <c r="E112" s="84">
        <v>0.0</v>
      </c>
      <c r="F112" s="84">
        <v>0.0</v>
      </c>
      <c r="G112" s="84">
        <v>0.0</v>
      </c>
      <c r="H112" s="84">
        <v>0.0</v>
      </c>
      <c r="I112" s="91">
        <v>0.0024242424242424242</v>
      </c>
      <c r="J112" s="84">
        <v>0.0</v>
      </c>
      <c r="K112" s="84">
        <v>0.0</v>
      </c>
      <c r="L112" s="84">
        <v>0.0</v>
      </c>
      <c r="M112" s="84">
        <v>0.0</v>
      </c>
      <c r="N112" s="84">
        <v>0.0</v>
      </c>
      <c r="O112" s="84">
        <v>0.0</v>
      </c>
      <c r="P112" s="84">
        <v>0.0</v>
      </c>
      <c r="Q112" s="84">
        <v>0.0</v>
      </c>
      <c r="R112" s="84">
        <v>0.0</v>
      </c>
      <c r="S112" s="84">
        <v>0.0</v>
      </c>
      <c r="T112" s="84">
        <v>0.0</v>
      </c>
      <c r="U112" s="84">
        <v>0.0</v>
      </c>
      <c r="V112" s="84">
        <v>0.0</v>
      </c>
      <c r="W112" s="84">
        <v>0.0</v>
      </c>
      <c r="X112" s="84">
        <v>0.0</v>
      </c>
      <c r="Y112" s="84">
        <v>0.0</v>
      </c>
      <c r="Z112" s="84">
        <v>0.0</v>
      </c>
      <c r="AA112" s="84">
        <v>0.0</v>
      </c>
      <c r="AB112" s="84">
        <v>0.0</v>
      </c>
      <c r="AC112" s="91">
        <v>0.0038314176245210726</v>
      </c>
      <c r="AD112" s="84">
        <v>0.0</v>
      </c>
      <c r="AE112" s="84">
        <v>0.0</v>
      </c>
      <c r="AF112" s="84">
        <v>0.0</v>
      </c>
      <c r="AG112" s="84">
        <v>0.0</v>
      </c>
      <c r="AH112" s="84">
        <v>0.0</v>
      </c>
      <c r="AI112" s="84">
        <v>0.0</v>
      </c>
      <c r="AJ112" s="84">
        <v>0.0</v>
      </c>
      <c r="AK112" s="84">
        <v>0.0</v>
      </c>
      <c r="AL112" s="84">
        <v>0.0</v>
      </c>
      <c r="AM112" s="84">
        <v>0.0</v>
      </c>
      <c r="AN112" s="93">
        <f t="shared" si="1"/>
        <v>0.006255660049</v>
      </c>
      <c r="AO112" s="84">
        <f t="shared" si="2"/>
        <v>0</v>
      </c>
    </row>
    <row r="113" ht="12.75" customHeight="1">
      <c r="A113" s="84" t="s">
        <v>4225</v>
      </c>
      <c r="B113" s="84">
        <v>0.0</v>
      </c>
      <c r="C113" s="84">
        <v>0.0</v>
      </c>
      <c r="D113" s="84">
        <v>0.0</v>
      </c>
      <c r="E113" s="84">
        <v>0.0</v>
      </c>
      <c r="F113" s="84">
        <v>0.0</v>
      </c>
      <c r="G113" s="84">
        <v>0.0</v>
      </c>
      <c r="H113" s="84">
        <v>0.0</v>
      </c>
      <c r="I113" s="91">
        <v>0.0024242424242424242</v>
      </c>
      <c r="J113" s="84">
        <v>0.0</v>
      </c>
      <c r="K113" s="84">
        <v>0.0</v>
      </c>
      <c r="L113" s="84">
        <v>0.0</v>
      </c>
      <c r="M113" s="84">
        <v>0.0</v>
      </c>
      <c r="N113" s="84">
        <v>0.0</v>
      </c>
      <c r="O113" s="84">
        <v>0.0</v>
      </c>
      <c r="P113" s="84">
        <v>0.0</v>
      </c>
      <c r="Q113" s="84">
        <v>0.0</v>
      </c>
      <c r="R113" s="84">
        <v>0.0</v>
      </c>
      <c r="S113" s="84">
        <v>0.0</v>
      </c>
      <c r="T113" s="84">
        <v>0.0</v>
      </c>
      <c r="U113" s="84">
        <v>0.0</v>
      </c>
      <c r="V113" s="84">
        <v>0.0</v>
      </c>
      <c r="W113" s="84">
        <v>0.0</v>
      </c>
      <c r="X113" s="84">
        <v>0.0</v>
      </c>
      <c r="Y113" s="84">
        <v>0.0</v>
      </c>
      <c r="Z113" s="84">
        <v>0.0</v>
      </c>
      <c r="AA113" s="84">
        <v>0.0</v>
      </c>
      <c r="AB113" s="84">
        <v>0.0</v>
      </c>
      <c r="AC113" s="91">
        <v>0.0038314176245210726</v>
      </c>
      <c r="AD113" s="84">
        <v>0.0</v>
      </c>
      <c r="AE113" s="84">
        <v>0.0</v>
      </c>
      <c r="AF113" s="84">
        <v>0.0</v>
      </c>
      <c r="AG113" s="84">
        <v>0.0</v>
      </c>
      <c r="AH113" s="84">
        <v>0.0</v>
      </c>
      <c r="AI113" s="84">
        <v>0.0</v>
      </c>
      <c r="AJ113" s="84">
        <v>0.0</v>
      </c>
      <c r="AK113" s="84">
        <v>0.0</v>
      </c>
      <c r="AL113" s="84">
        <v>0.0</v>
      </c>
      <c r="AM113" s="84">
        <v>0.0</v>
      </c>
      <c r="AN113" s="93">
        <f t="shared" si="1"/>
        <v>0.006255660049</v>
      </c>
      <c r="AO113" s="84">
        <f t="shared" si="2"/>
        <v>0</v>
      </c>
    </row>
    <row r="114" ht="12.75" customHeight="1">
      <c r="A114" s="84" t="s">
        <v>4281</v>
      </c>
      <c r="B114" s="84">
        <v>0.0</v>
      </c>
      <c r="C114" s="84">
        <v>0.0</v>
      </c>
      <c r="D114" s="84">
        <v>0.0</v>
      </c>
      <c r="E114" s="84">
        <v>0.0</v>
      </c>
      <c r="F114" s="84">
        <v>0.0</v>
      </c>
      <c r="G114" s="84">
        <v>0.0</v>
      </c>
      <c r="H114" s="84">
        <v>0.0</v>
      </c>
      <c r="I114" s="91">
        <v>0.0024242424242424242</v>
      </c>
      <c r="J114" s="84">
        <v>0.0</v>
      </c>
      <c r="K114" s="84">
        <v>0.0</v>
      </c>
      <c r="L114" s="84">
        <v>0.0</v>
      </c>
      <c r="M114" s="84">
        <v>0.0</v>
      </c>
      <c r="N114" s="84">
        <v>0.0</v>
      </c>
      <c r="O114" s="84">
        <v>0.0</v>
      </c>
      <c r="P114" s="84">
        <v>0.0</v>
      </c>
      <c r="Q114" s="84">
        <v>0.0</v>
      </c>
      <c r="R114" s="84">
        <v>0.0</v>
      </c>
      <c r="S114" s="84">
        <v>0.0</v>
      </c>
      <c r="T114" s="84">
        <v>0.0</v>
      </c>
      <c r="U114" s="84">
        <v>0.0</v>
      </c>
      <c r="V114" s="84">
        <v>0.0</v>
      </c>
      <c r="W114" s="84">
        <v>0.0</v>
      </c>
      <c r="X114" s="84">
        <v>0.0</v>
      </c>
      <c r="Y114" s="84">
        <v>0.0</v>
      </c>
      <c r="Z114" s="84">
        <v>0.0</v>
      </c>
      <c r="AA114" s="84">
        <v>0.0</v>
      </c>
      <c r="AB114" s="84">
        <v>0.0</v>
      </c>
      <c r="AC114" s="91">
        <v>0.0038314176245210726</v>
      </c>
      <c r="AD114" s="84">
        <v>0.0</v>
      </c>
      <c r="AE114" s="84">
        <v>0.0</v>
      </c>
      <c r="AF114" s="84">
        <v>0.0</v>
      </c>
      <c r="AG114" s="84">
        <v>0.0</v>
      </c>
      <c r="AH114" s="84">
        <v>0.0</v>
      </c>
      <c r="AI114" s="84">
        <v>0.0</v>
      </c>
      <c r="AJ114" s="84">
        <v>0.0</v>
      </c>
      <c r="AK114" s="84">
        <v>0.0</v>
      </c>
      <c r="AL114" s="84">
        <v>0.0</v>
      </c>
      <c r="AM114" s="84">
        <v>0.0</v>
      </c>
      <c r="AN114" s="93">
        <f t="shared" si="1"/>
        <v>0.006255660049</v>
      </c>
      <c r="AO114" s="84">
        <f t="shared" si="2"/>
        <v>0</v>
      </c>
    </row>
    <row r="115" ht="12.75" customHeight="1">
      <c r="A115" s="84" t="s">
        <v>4227</v>
      </c>
      <c r="B115" s="84">
        <v>0.0</v>
      </c>
      <c r="C115" s="84">
        <v>0.0</v>
      </c>
      <c r="D115" s="84">
        <v>0.0</v>
      </c>
      <c r="E115" s="84">
        <v>0.0</v>
      </c>
      <c r="F115" s="84">
        <v>0.0</v>
      </c>
      <c r="G115" s="84">
        <v>0.0</v>
      </c>
      <c r="H115" s="84">
        <v>0.0</v>
      </c>
      <c r="I115" s="91">
        <v>0.0024242424242424242</v>
      </c>
      <c r="J115" s="84">
        <v>0.0</v>
      </c>
      <c r="K115" s="84">
        <v>0.0</v>
      </c>
      <c r="L115" s="84">
        <v>0.0</v>
      </c>
      <c r="M115" s="84">
        <v>0.0</v>
      </c>
      <c r="N115" s="84">
        <v>0.0</v>
      </c>
      <c r="O115" s="84">
        <v>0.0</v>
      </c>
      <c r="P115" s="84">
        <v>0.0</v>
      </c>
      <c r="Q115" s="84">
        <v>0.0</v>
      </c>
      <c r="R115" s="84">
        <v>0.0</v>
      </c>
      <c r="S115" s="84">
        <v>0.0</v>
      </c>
      <c r="T115" s="84">
        <v>0.0</v>
      </c>
      <c r="U115" s="84">
        <v>0.0</v>
      </c>
      <c r="V115" s="84">
        <v>0.0</v>
      </c>
      <c r="W115" s="84">
        <v>0.0</v>
      </c>
      <c r="X115" s="84">
        <v>0.0</v>
      </c>
      <c r="Y115" s="84">
        <v>0.0</v>
      </c>
      <c r="Z115" s="84">
        <v>0.0</v>
      </c>
      <c r="AA115" s="84">
        <v>0.0</v>
      </c>
      <c r="AB115" s="84">
        <v>0.0</v>
      </c>
      <c r="AC115" s="91">
        <v>0.0038314176245210726</v>
      </c>
      <c r="AD115" s="84">
        <v>0.0</v>
      </c>
      <c r="AE115" s="84">
        <v>0.0</v>
      </c>
      <c r="AF115" s="84">
        <v>0.0</v>
      </c>
      <c r="AG115" s="84">
        <v>0.0</v>
      </c>
      <c r="AH115" s="84">
        <v>0.0</v>
      </c>
      <c r="AI115" s="84">
        <v>0.0</v>
      </c>
      <c r="AJ115" s="84">
        <v>0.0</v>
      </c>
      <c r="AK115" s="84">
        <v>0.0</v>
      </c>
      <c r="AL115" s="84">
        <v>0.0</v>
      </c>
      <c r="AM115" s="84">
        <v>0.0</v>
      </c>
      <c r="AN115" s="93">
        <f t="shared" si="1"/>
        <v>0.006255660049</v>
      </c>
      <c r="AO115" s="84">
        <f t="shared" si="2"/>
        <v>0</v>
      </c>
    </row>
    <row r="116" ht="12.75" customHeight="1">
      <c r="A116" s="84" t="s">
        <v>4006</v>
      </c>
      <c r="B116" s="84">
        <v>0.0</v>
      </c>
      <c r="C116" s="84">
        <v>0.0</v>
      </c>
      <c r="D116" s="84">
        <v>0.0</v>
      </c>
      <c r="E116" s="84">
        <v>0.0</v>
      </c>
      <c r="F116" s="84">
        <v>0.0</v>
      </c>
      <c r="G116" s="84">
        <v>0.0</v>
      </c>
      <c r="H116" s="84">
        <v>0.0</v>
      </c>
      <c r="I116" s="91">
        <v>0.0024242424242424242</v>
      </c>
      <c r="J116" s="84">
        <v>0.0</v>
      </c>
      <c r="K116" s="84">
        <v>0.0</v>
      </c>
      <c r="L116" s="84">
        <v>0.0</v>
      </c>
      <c r="M116" s="84">
        <v>0.0</v>
      </c>
      <c r="N116" s="84">
        <v>0.0</v>
      </c>
      <c r="O116" s="84">
        <v>0.0</v>
      </c>
      <c r="P116" s="84">
        <v>0.0</v>
      </c>
      <c r="Q116" s="84">
        <v>0.0</v>
      </c>
      <c r="R116" s="84">
        <v>0.0</v>
      </c>
      <c r="S116" s="84">
        <v>0.0</v>
      </c>
      <c r="T116" s="84">
        <v>0.0</v>
      </c>
      <c r="U116" s="84">
        <v>0.0</v>
      </c>
      <c r="V116" s="84">
        <v>0.0</v>
      </c>
      <c r="W116" s="84">
        <v>0.0</v>
      </c>
      <c r="X116" s="84">
        <v>0.0</v>
      </c>
      <c r="Y116" s="84">
        <v>0.0</v>
      </c>
      <c r="Z116" s="84">
        <v>0.0</v>
      </c>
      <c r="AA116" s="84">
        <v>0.0</v>
      </c>
      <c r="AB116" s="84">
        <v>1.0</v>
      </c>
      <c r="AC116" s="91">
        <v>0.0038314176245210726</v>
      </c>
      <c r="AD116" s="84">
        <v>0.0</v>
      </c>
      <c r="AE116" s="84">
        <v>0.0</v>
      </c>
      <c r="AF116" s="84">
        <v>0.0</v>
      </c>
      <c r="AG116" s="84">
        <v>0.0</v>
      </c>
      <c r="AH116" s="84">
        <v>0.0</v>
      </c>
      <c r="AI116" s="84">
        <v>0.0</v>
      </c>
      <c r="AJ116" s="84">
        <v>0.0</v>
      </c>
      <c r="AK116" s="84">
        <v>0.0</v>
      </c>
      <c r="AL116" s="84">
        <v>0.0</v>
      </c>
      <c r="AM116" s="84">
        <v>0.0</v>
      </c>
      <c r="AN116" s="93">
        <f t="shared" si="1"/>
        <v>0.006255660049</v>
      </c>
      <c r="AO116" s="84">
        <f t="shared" si="2"/>
        <v>0</v>
      </c>
    </row>
    <row r="117" ht="12.75" customHeight="1">
      <c r="A117" s="84" t="s">
        <v>4061</v>
      </c>
      <c r="B117" s="84">
        <v>0.0</v>
      </c>
      <c r="C117" s="84">
        <v>0.0</v>
      </c>
      <c r="D117" s="84">
        <v>0.0</v>
      </c>
      <c r="E117" s="84">
        <v>0.0</v>
      </c>
      <c r="F117" s="84">
        <v>0.0</v>
      </c>
      <c r="G117" s="84">
        <v>0.0</v>
      </c>
      <c r="H117" s="84">
        <v>0.0</v>
      </c>
      <c r="I117" s="91">
        <v>0.0024242424242424242</v>
      </c>
      <c r="J117" s="84">
        <v>0.0</v>
      </c>
      <c r="K117" s="84">
        <v>0.0</v>
      </c>
      <c r="L117" s="84">
        <v>0.0</v>
      </c>
      <c r="M117" s="84">
        <v>0.0</v>
      </c>
      <c r="N117" s="84">
        <v>0.0</v>
      </c>
      <c r="O117" s="84">
        <v>0.0</v>
      </c>
      <c r="P117" s="84">
        <v>0.0</v>
      </c>
      <c r="Q117" s="84">
        <v>0.0</v>
      </c>
      <c r="R117" s="84">
        <v>0.0</v>
      </c>
      <c r="S117" s="84">
        <v>0.0</v>
      </c>
      <c r="T117" s="84">
        <v>0.0</v>
      </c>
      <c r="U117" s="84">
        <v>0.0</v>
      </c>
      <c r="V117" s="84">
        <v>0.0</v>
      </c>
      <c r="W117" s="84">
        <v>0.0</v>
      </c>
      <c r="X117" s="84">
        <v>0.0</v>
      </c>
      <c r="Y117" s="84">
        <v>0.0</v>
      </c>
      <c r="Z117" s="84">
        <v>0.0</v>
      </c>
      <c r="AA117" s="84">
        <v>0.0</v>
      </c>
      <c r="AB117" s="84">
        <v>0.0</v>
      </c>
      <c r="AC117" s="91">
        <v>0.0038314176245210726</v>
      </c>
      <c r="AD117" s="84">
        <v>0.0</v>
      </c>
      <c r="AE117" s="84">
        <v>0.0</v>
      </c>
      <c r="AF117" s="84">
        <v>0.0</v>
      </c>
      <c r="AG117" s="84">
        <v>0.0</v>
      </c>
      <c r="AH117" s="84">
        <v>0.0</v>
      </c>
      <c r="AI117" s="84">
        <v>0.0</v>
      </c>
      <c r="AJ117" s="84">
        <v>0.0</v>
      </c>
      <c r="AK117" s="84">
        <v>0.0</v>
      </c>
      <c r="AL117" s="84">
        <v>0.0</v>
      </c>
      <c r="AM117" s="84">
        <v>0.0</v>
      </c>
      <c r="AN117" s="93">
        <f t="shared" si="1"/>
        <v>0.006255660049</v>
      </c>
      <c r="AO117" s="84">
        <f t="shared" si="2"/>
        <v>0</v>
      </c>
    </row>
    <row r="118" ht="12.75" customHeight="1">
      <c r="A118" s="84" t="s">
        <v>4130</v>
      </c>
      <c r="B118" s="84">
        <v>0.0</v>
      </c>
      <c r="C118" s="84">
        <v>0.0</v>
      </c>
      <c r="D118" s="84">
        <v>0.0</v>
      </c>
      <c r="E118" s="84">
        <v>0.0</v>
      </c>
      <c r="F118" s="84">
        <v>0.0</v>
      </c>
      <c r="G118" s="84">
        <v>0.0</v>
      </c>
      <c r="H118" s="84">
        <v>0.0</v>
      </c>
      <c r="I118" s="91">
        <v>0.0024242424242424242</v>
      </c>
      <c r="J118" s="84">
        <v>0.0</v>
      </c>
      <c r="K118" s="84">
        <v>0.0</v>
      </c>
      <c r="L118" s="84">
        <v>0.0</v>
      </c>
      <c r="M118" s="84">
        <v>0.0</v>
      </c>
      <c r="N118" s="84">
        <v>0.0</v>
      </c>
      <c r="O118" s="84">
        <v>0.0</v>
      </c>
      <c r="P118" s="84">
        <v>0.0</v>
      </c>
      <c r="Q118" s="84">
        <v>0.0</v>
      </c>
      <c r="R118" s="84">
        <v>0.0</v>
      </c>
      <c r="S118" s="84">
        <v>0.0</v>
      </c>
      <c r="T118" s="84">
        <v>0.0</v>
      </c>
      <c r="U118" s="84">
        <v>0.0</v>
      </c>
      <c r="V118" s="84">
        <v>0.0</v>
      </c>
      <c r="W118" s="84">
        <v>0.0</v>
      </c>
      <c r="X118" s="84">
        <v>0.0</v>
      </c>
      <c r="Y118" s="84">
        <v>0.0</v>
      </c>
      <c r="Z118" s="84">
        <v>0.0</v>
      </c>
      <c r="AA118" s="84">
        <v>0.0</v>
      </c>
      <c r="AB118" s="84">
        <v>0.0</v>
      </c>
      <c r="AC118" s="91">
        <v>0.0038314176245210726</v>
      </c>
      <c r="AD118" s="84">
        <v>0.0</v>
      </c>
      <c r="AE118" s="84">
        <v>0.0</v>
      </c>
      <c r="AF118" s="84">
        <v>0.0</v>
      </c>
      <c r="AG118" s="84">
        <v>0.0</v>
      </c>
      <c r="AH118" s="84">
        <v>0.0</v>
      </c>
      <c r="AI118" s="84">
        <v>0.0</v>
      </c>
      <c r="AJ118" s="84">
        <v>0.0</v>
      </c>
      <c r="AK118" s="84">
        <v>0.0</v>
      </c>
      <c r="AL118" s="84">
        <v>0.0</v>
      </c>
      <c r="AM118" s="84">
        <v>0.0</v>
      </c>
      <c r="AN118" s="93">
        <f t="shared" si="1"/>
        <v>0.006255660049</v>
      </c>
      <c r="AO118" s="84">
        <f t="shared" si="2"/>
        <v>0</v>
      </c>
    </row>
    <row r="119" ht="12.75" customHeight="1">
      <c r="A119" s="84" t="s">
        <v>4043</v>
      </c>
      <c r="B119" s="84">
        <v>0.0</v>
      </c>
      <c r="C119" s="84">
        <v>0.0</v>
      </c>
      <c r="D119" s="84">
        <v>0.0</v>
      </c>
      <c r="E119" s="84">
        <v>0.0</v>
      </c>
      <c r="F119" s="84">
        <v>0.0</v>
      </c>
      <c r="G119" s="84">
        <v>0.0</v>
      </c>
      <c r="H119" s="84">
        <v>0.0</v>
      </c>
      <c r="I119" s="91">
        <v>0.0024242424242424242</v>
      </c>
      <c r="J119" s="84">
        <v>0.0</v>
      </c>
      <c r="K119" s="84">
        <v>0.0</v>
      </c>
      <c r="L119" s="84">
        <v>0.0</v>
      </c>
      <c r="M119" s="84">
        <v>0.0</v>
      </c>
      <c r="N119" s="84">
        <v>0.0</v>
      </c>
      <c r="O119" s="84">
        <v>0.0</v>
      </c>
      <c r="P119" s="84">
        <v>0.0</v>
      </c>
      <c r="Q119" s="84">
        <v>0.0</v>
      </c>
      <c r="R119" s="84">
        <v>0.0</v>
      </c>
      <c r="S119" s="84">
        <v>0.0</v>
      </c>
      <c r="T119" s="84">
        <v>0.0</v>
      </c>
      <c r="U119" s="84">
        <v>0.0</v>
      </c>
      <c r="V119" s="84">
        <v>0.0</v>
      </c>
      <c r="W119" s="84">
        <v>0.0</v>
      </c>
      <c r="X119" s="84">
        <v>0.0</v>
      </c>
      <c r="Y119" s="84">
        <v>0.0</v>
      </c>
      <c r="Z119" s="84">
        <v>0.0</v>
      </c>
      <c r="AA119" s="84">
        <v>0.0</v>
      </c>
      <c r="AB119" s="84">
        <v>0.0</v>
      </c>
      <c r="AC119" s="91">
        <v>0.0038314176245210726</v>
      </c>
      <c r="AD119" s="84">
        <v>0.0</v>
      </c>
      <c r="AE119" s="84">
        <v>0.0</v>
      </c>
      <c r="AF119" s="84">
        <v>0.0</v>
      </c>
      <c r="AG119" s="84">
        <v>0.0</v>
      </c>
      <c r="AH119" s="84">
        <v>0.0</v>
      </c>
      <c r="AI119" s="84">
        <v>0.0</v>
      </c>
      <c r="AJ119" s="84">
        <v>0.0</v>
      </c>
      <c r="AK119" s="84">
        <v>0.0</v>
      </c>
      <c r="AL119" s="84">
        <v>0.0</v>
      </c>
      <c r="AM119" s="84">
        <v>0.0</v>
      </c>
      <c r="AN119" s="93">
        <f t="shared" si="1"/>
        <v>0.006255660049</v>
      </c>
      <c r="AO119" s="84">
        <f t="shared" si="2"/>
        <v>0</v>
      </c>
    </row>
    <row r="120" ht="12.75" customHeight="1">
      <c r="A120" s="84" t="s">
        <v>3988</v>
      </c>
      <c r="B120" s="84">
        <v>0.0</v>
      </c>
      <c r="C120" s="84">
        <v>0.0</v>
      </c>
      <c r="D120" s="84">
        <v>0.0</v>
      </c>
      <c r="E120" s="84">
        <v>0.0</v>
      </c>
      <c r="F120" s="84">
        <v>0.0</v>
      </c>
      <c r="G120" s="84">
        <v>0.0</v>
      </c>
      <c r="H120" s="84">
        <v>0.0</v>
      </c>
      <c r="I120" s="91">
        <v>0.0024242424242424242</v>
      </c>
      <c r="J120" s="84">
        <v>0.0</v>
      </c>
      <c r="K120" s="84">
        <v>0.0</v>
      </c>
      <c r="L120" s="84">
        <v>0.0</v>
      </c>
      <c r="M120" s="84">
        <v>0.0</v>
      </c>
      <c r="N120" s="84">
        <v>0.0</v>
      </c>
      <c r="O120" s="84">
        <v>0.0</v>
      </c>
      <c r="P120" s="84">
        <v>0.0</v>
      </c>
      <c r="Q120" s="84">
        <v>0.0</v>
      </c>
      <c r="R120" s="84">
        <v>0.0</v>
      </c>
      <c r="S120" s="84">
        <v>0.0</v>
      </c>
      <c r="T120" s="84">
        <v>0.0</v>
      </c>
      <c r="U120" s="84">
        <v>0.0</v>
      </c>
      <c r="V120" s="84">
        <v>0.0</v>
      </c>
      <c r="W120" s="84">
        <v>0.0</v>
      </c>
      <c r="X120" s="84">
        <v>0.0</v>
      </c>
      <c r="Y120" s="84">
        <v>0.0</v>
      </c>
      <c r="Z120" s="84">
        <v>0.0</v>
      </c>
      <c r="AA120" s="84">
        <v>0.0</v>
      </c>
      <c r="AB120" s="84">
        <v>0.0</v>
      </c>
      <c r="AC120" s="91">
        <v>0.0038314176245210726</v>
      </c>
      <c r="AD120" s="84">
        <v>0.0</v>
      </c>
      <c r="AE120" s="84">
        <v>0.0</v>
      </c>
      <c r="AF120" s="84">
        <v>0.0</v>
      </c>
      <c r="AG120" s="84">
        <v>0.0</v>
      </c>
      <c r="AH120" s="84">
        <v>0.0</v>
      </c>
      <c r="AI120" s="84">
        <v>0.0</v>
      </c>
      <c r="AJ120" s="84">
        <v>0.0</v>
      </c>
      <c r="AK120" s="84">
        <v>0.0</v>
      </c>
      <c r="AL120" s="84">
        <v>0.0</v>
      </c>
      <c r="AM120" s="84">
        <v>0.0</v>
      </c>
      <c r="AN120" s="93">
        <f t="shared" si="1"/>
        <v>0.006255660049</v>
      </c>
      <c r="AO120" s="84">
        <f t="shared" si="2"/>
        <v>0</v>
      </c>
    </row>
    <row r="121" ht="12.75" customHeight="1">
      <c r="A121" s="84" t="s">
        <v>4115</v>
      </c>
      <c r="B121" s="84">
        <v>0.0</v>
      </c>
      <c r="C121" s="84">
        <v>0.0</v>
      </c>
      <c r="D121" s="84">
        <v>0.0</v>
      </c>
      <c r="E121" s="84">
        <v>0.0</v>
      </c>
      <c r="F121" s="84">
        <v>0.0</v>
      </c>
      <c r="G121" s="84">
        <v>0.0</v>
      </c>
      <c r="H121" s="84">
        <v>0.0</v>
      </c>
      <c r="I121" s="91">
        <v>0.0024242424242424242</v>
      </c>
      <c r="J121" s="84">
        <v>0.0</v>
      </c>
      <c r="K121" s="84">
        <v>0.0</v>
      </c>
      <c r="L121" s="84">
        <v>0.0</v>
      </c>
      <c r="M121" s="84">
        <v>0.0</v>
      </c>
      <c r="N121" s="84">
        <v>0.0</v>
      </c>
      <c r="O121" s="84">
        <v>0.0</v>
      </c>
      <c r="P121" s="84">
        <v>0.0</v>
      </c>
      <c r="Q121" s="84">
        <v>0.0</v>
      </c>
      <c r="R121" s="84">
        <v>0.0</v>
      </c>
      <c r="S121" s="84">
        <v>0.0</v>
      </c>
      <c r="T121" s="84">
        <v>0.0</v>
      </c>
      <c r="U121" s="84">
        <v>0.0</v>
      </c>
      <c r="V121" s="84">
        <v>0.0</v>
      </c>
      <c r="W121" s="84">
        <v>0.0</v>
      </c>
      <c r="X121" s="84">
        <v>0.0</v>
      </c>
      <c r="Y121" s="84">
        <v>0.0</v>
      </c>
      <c r="Z121" s="84">
        <v>0.0</v>
      </c>
      <c r="AA121" s="84">
        <v>0.0</v>
      </c>
      <c r="AB121" s="84">
        <v>0.0</v>
      </c>
      <c r="AC121" s="91">
        <v>0.0038314176245210726</v>
      </c>
      <c r="AD121" s="84">
        <v>0.0</v>
      </c>
      <c r="AE121" s="84">
        <v>0.0</v>
      </c>
      <c r="AF121" s="84">
        <v>0.0</v>
      </c>
      <c r="AG121" s="84">
        <v>0.0</v>
      </c>
      <c r="AH121" s="84">
        <v>0.0</v>
      </c>
      <c r="AI121" s="84">
        <v>0.0</v>
      </c>
      <c r="AJ121" s="84">
        <v>0.0</v>
      </c>
      <c r="AK121" s="84">
        <v>0.0</v>
      </c>
      <c r="AL121" s="84">
        <v>0.0</v>
      </c>
      <c r="AM121" s="84">
        <v>0.0</v>
      </c>
      <c r="AN121" s="93">
        <f t="shared" si="1"/>
        <v>0.006255660049</v>
      </c>
      <c r="AO121" s="84">
        <f t="shared" si="2"/>
        <v>0</v>
      </c>
    </row>
    <row r="122" ht="12.75" customHeight="1">
      <c r="A122" s="84" t="s">
        <v>4133</v>
      </c>
      <c r="B122" s="84">
        <v>0.0</v>
      </c>
      <c r="C122" s="84">
        <v>0.0</v>
      </c>
      <c r="D122" s="84">
        <v>0.0</v>
      </c>
      <c r="E122" s="84">
        <v>0.0</v>
      </c>
      <c r="F122" s="84">
        <v>0.0</v>
      </c>
      <c r="G122" s="84">
        <v>0.0</v>
      </c>
      <c r="H122" s="84">
        <v>0.0</v>
      </c>
      <c r="I122" s="91">
        <v>0.0024242424242424242</v>
      </c>
      <c r="J122" s="84">
        <v>0.0</v>
      </c>
      <c r="K122" s="84">
        <v>0.0</v>
      </c>
      <c r="L122" s="84">
        <v>0.0</v>
      </c>
      <c r="M122" s="84">
        <v>0.0</v>
      </c>
      <c r="N122" s="84">
        <v>0.0</v>
      </c>
      <c r="O122" s="84">
        <v>0.0</v>
      </c>
      <c r="P122" s="84">
        <v>0.0</v>
      </c>
      <c r="Q122" s="84">
        <v>0.0</v>
      </c>
      <c r="R122" s="84">
        <v>0.0</v>
      </c>
      <c r="S122" s="84">
        <v>0.0</v>
      </c>
      <c r="T122" s="84">
        <v>0.0</v>
      </c>
      <c r="U122" s="84">
        <v>0.0</v>
      </c>
      <c r="V122" s="84">
        <v>0.0</v>
      </c>
      <c r="W122" s="84">
        <v>0.0</v>
      </c>
      <c r="X122" s="84">
        <v>0.0</v>
      </c>
      <c r="Y122" s="84">
        <v>0.0</v>
      </c>
      <c r="Z122" s="84">
        <v>0.0</v>
      </c>
      <c r="AA122" s="84">
        <v>0.0</v>
      </c>
      <c r="AB122" s="84">
        <v>0.0</v>
      </c>
      <c r="AC122" s="91">
        <v>0.0038314176245210726</v>
      </c>
      <c r="AD122" s="84">
        <v>0.0</v>
      </c>
      <c r="AE122" s="84">
        <v>0.0</v>
      </c>
      <c r="AF122" s="84">
        <v>0.0</v>
      </c>
      <c r="AG122" s="84">
        <v>0.0</v>
      </c>
      <c r="AH122" s="84">
        <v>0.0</v>
      </c>
      <c r="AI122" s="84">
        <v>0.0</v>
      </c>
      <c r="AJ122" s="84">
        <v>0.0</v>
      </c>
      <c r="AK122" s="84">
        <v>0.0</v>
      </c>
      <c r="AL122" s="84">
        <v>0.0</v>
      </c>
      <c r="AM122" s="84">
        <v>0.0</v>
      </c>
      <c r="AN122" s="93">
        <f t="shared" si="1"/>
        <v>0.006255660049</v>
      </c>
      <c r="AO122" s="84">
        <f t="shared" si="2"/>
        <v>0</v>
      </c>
    </row>
    <row r="123" ht="12.75" customHeight="1">
      <c r="A123" s="84" t="s">
        <v>4017</v>
      </c>
      <c r="B123" s="84">
        <v>0.0</v>
      </c>
      <c r="C123" s="84">
        <v>0.0</v>
      </c>
      <c r="D123" s="84">
        <v>0.0</v>
      </c>
      <c r="E123" s="84">
        <v>0.0</v>
      </c>
      <c r="F123" s="84">
        <v>0.0</v>
      </c>
      <c r="G123" s="84">
        <v>0.0</v>
      </c>
      <c r="H123" s="84">
        <v>0.0</v>
      </c>
      <c r="I123" s="91">
        <v>0.0024242424242424242</v>
      </c>
      <c r="J123" s="84">
        <v>0.0</v>
      </c>
      <c r="K123" s="84">
        <v>0.0</v>
      </c>
      <c r="L123" s="84">
        <v>0.0</v>
      </c>
      <c r="M123" s="84">
        <v>0.0</v>
      </c>
      <c r="N123" s="84">
        <v>0.0</v>
      </c>
      <c r="O123" s="84">
        <v>0.0</v>
      </c>
      <c r="P123" s="84">
        <v>0.0</v>
      </c>
      <c r="Q123" s="84">
        <v>0.0</v>
      </c>
      <c r="R123" s="84">
        <v>0.0</v>
      </c>
      <c r="S123" s="84">
        <v>0.0</v>
      </c>
      <c r="T123" s="84">
        <v>0.0</v>
      </c>
      <c r="U123" s="84">
        <v>0.0</v>
      </c>
      <c r="V123" s="84">
        <v>0.0</v>
      </c>
      <c r="W123" s="84">
        <v>0.0</v>
      </c>
      <c r="X123" s="84">
        <v>0.0</v>
      </c>
      <c r="Y123" s="84">
        <v>0.0</v>
      </c>
      <c r="Z123" s="84">
        <v>0.0</v>
      </c>
      <c r="AA123" s="84">
        <v>0.0</v>
      </c>
      <c r="AB123" s="84">
        <v>0.0</v>
      </c>
      <c r="AC123" s="91">
        <v>0.0038314176245210726</v>
      </c>
      <c r="AD123" s="84">
        <v>0.0</v>
      </c>
      <c r="AE123" s="84">
        <v>0.0</v>
      </c>
      <c r="AF123" s="84">
        <v>0.0</v>
      </c>
      <c r="AG123" s="84">
        <v>0.0</v>
      </c>
      <c r="AH123" s="84">
        <v>0.0</v>
      </c>
      <c r="AI123" s="84">
        <v>0.0</v>
      </c>
      <c r="AJ123" s="84">
        <v>0.0</v>
      </c>
      <c r="AK123" s="84">
        <v>0.0</v>
      </c>
      <c r="AL123" s="84">
        <v>0.0</v>
      </c>
      <c r="AM123" s="84">
        <v>0.0</v>
      </c>
      <c r="AN123" s="93">
        <f t="shared" si="1"/>
        <v>0.006255660049</v>
      </c>
      <c r="AO123" s="84">
        <f t="shared" si="2"/>
        <v>0</v>
      </c>
    </row>
    <row r="124" ht="12.75" customHeight="1">
      <c r="A124" s="84" t="s">
        <v>3982</v>
      </c>
      <c r="B124" s="84">
        <v>0.0</v>
      </c>
      <c r="C124" s="84">
        <v>0.0</v>
      </c>
      <c r="D124" s="84">
        <v>0.0</v>
      </c>
      <c r="E124" s="84">
        <v>0.0</v>
      </c>
      <c r="F124" s="84">
        <v>0.0</v>
      </c>
      <c r="G124" s="84">
        <v>0.0</v>
      </c>
      <c r="H124" s="84">
        <v>0.0</v>
      </c>
      <c r="I124" s="91">
        <v>0.0024242424242424242</v>
      </c>
      <c r="J124" s="84">
        <v>0.0</v>
      </c>
      <c r="K124" s="84">
        <v>0.0</v>
      </c>
      <c r="L124" s="84">
        <v>0.0</v>
      </c>
      <c r="M124" s="84">
        <v>0.0</v>
      </c>
      <c r="N124" s="84">
        <v>0.0</v>
      </c>
      <c r="O124" s="84">
        <v>0.0</v>
      </c>
      <c r="P124" s="84">
        <v>0.0</v>
      </c>
      <c r="Q124" s="84">
        <v>0.0</v>
      </c>
      <c r="R124" s="84">
        <v>0.0</v>
      </c>
      <c r="S124" s="84">
        <v>0.0</v>
      </c>
      <c r="T124" s="84">
        <v>0.0</v>
      </c>
      <c r="U124" s="84">
        <v>0.0</v>
      </c>
      <c r="V124" s="84">
        <v>0.0</v>
      </c>
      <c r="W124" s="84">
        <v>0.0</v>
      </c>
      <c r="X124" s="84">
        <v>0.0</v>
      </c>
      <c r="Y124" s="84">
        <v>0.0</v>
      </c>
      <c r="Z124" s="84">
        <v>0.0</v>
      </c>
      <c r="AA124" s="84">
        <v>0.0</v>
      </c>
      <c r="AB124" s="84">
        <v>0.0</v>
      </c>
      <c r="AC124" s="91">
        <v>0.0038314176245210726</v>
      </c>
      <c r="AD124" s="84">
        <v>0.0</v>
      </c>
      <c r="AE124" s="84">
        <v>0.0</v>
      </c>
      <c r="AF124" s="84">
        <v>0.0</v>
      </c>
      <c r="AG124" s="84">
        <v>0.0</v>
      </c>
      <c r="AH124" s="84">
        <v>0.0</v>
      </c>
      <c r="AI124" s="84">
        <v>0.0</v>
      </c>
      <c r="AJ124" s="84">
        <v>0.0</v>
      </c>
      <c r="AK124" s="84">
        <v>0.0</v>
      </c>
      <c r="AL124" s="84">
        <v>0.0</v>
      </c>
      <c r="AM124" s="84">
        <v>0.0</v>
      </c>
      <c r="AN124" s="93">
        <f t="shared" si="1"/>
        <v>0.006255660049</v>
      </c>
      <c r="AO124" s="84">
        <f t="shared" si="2"/>
        <v>0</v>
      </c>
    </row>
    <row r="125" ht="12.75" customHeight="1">
      <c r="A125" s="84" t="s">
        <v>4252</v>
      </c>
      <c r="B125" s="84">
        <v>0.0</v>
      </c>
      <c r="C125" s="84">
        <v>0.0</v>
      </c>
      <c r="D125" s="84">
        <v>0.0</v>
      </c>
      <c r="E125" s="84">
        <v>0.0</v>
      </c>
      <c r="F125" s="84">
        <v>0.0</v>
      </c>
      <c r="G125" s="84">
        <v>0.0</v>
      </c>
      <c r="H125" s="84">
        <v>0.0</v>
      </c>
      <c r="I125" s="91">
        <v>0.0024242424242424242</v>
      </c>
      <c r="J125" s="84">
        <v>0.0</v>
      </c>
      <c r="K125" s="84">
        <v>0.0</v>
      </c>
      <c r="L125" s="84">
        <v>0.0</v>
      </c>
      <c r="M125" s="84">
        <v>0.0</v>
      </c>
      <c r="N125" s="84">
        <v>0.0</v>
      </c>
      <c r="O125" s="84">
        <v>0.0</v>
      </c>
      <c r="P125" s="84">
        <v>0.0</v>
      </c>
      <c r="Q125" s="84">
        <v>0.0</v>
      </c>
      <c r="R125" s="84">
        <v>0.0</v>
      </c>
      <c r="S125" s="84">
        <v>0.0</v>
      </c>
      <c r="T125" s="84">
        <v>0.0</v>
      </c>
      <c r="U125" s="84">
        <v>0.0</v>
      </c>
      <c r="V125" s="84">
        <v>0.0</v>
      </c>
      <c r="W125" s="84">
        <v>0.0</v>
      </c>
      <c r="X125" s="84">
        <v>0.0</v>
      </c>
      <c r="Y125" s="84">
        <v>0.0</v>
      </c>
      <c r="Z125" s="84">
        <v>0.0</v>
      </c>
      <c r="AA125" s="84">
        <v>0.0</v>
      </c>
      <c r="AB125" s="84">
        <v>0.0</v>
      </c>
      <c r="AC125" s="91">
        <v>0.0038314176245210726</v>
      </c>
      <c r="AD125" s="84">
        <v>0.0</v>
      </c>
      <c r="AE125" s="84">
        <v>0.0</v>
      </c>
      <c r="AF125" s="84">
        <v>0.0</v>
      </c>
      <c r="AG125" s="84">
        <v>0.0</v>
      </c>
      <c r="AH125" s="84">
        <v>0.0</v>
      </c>
      <c r="AI125" s="84">
        <v>0.0</v>
      </c>
      <c r="AJ125" s="84">
        <v>0.0</v>
      </c>
      <c r="AK125" s="84">
        <v>0.0</v>
      </c>
      <c r="AL125" s="84">
        <v>0.0</v>
      </c>
      <c r="AM125" s="84">
        <v>0.0</v>
      </c>
      <c r="AN125" s="93">
        <f t="shared" si="1"/>
        <v>0.006255660049</v>
      </c>
      <c r="AO125" s="84">
        <f t="shared" si="2"/>
        <v>0</v>
      </c>
    </row>
    <row r="126" ht="12.75" customHeight="1">
      <c r="A126" s="84" t="s">
        <v>4439</v>
      </c>
      <c r="B126" s="84">
        <v>0.0</v>
      </c>
      <c r="C126" s="84">
        <v>0.0</v>
      </c>
      <c r="D126" s="84">
        <v>0.0</v>
      </c>
      <c r="E126" s="84">
        <v>0.0</v>
      </c>
      <c r="F126" s="84">
        <v>0.0</v>
      </c>
      <c r="G126" s="84">
        <v>0.0</v>
      </c>
      <c r="H126" s="84">
        <v>0.0</v>
      </c>
      <c r="I126" s="91">
        <v>0.0024242424242424242</v>
      </c>
      <c r="J126" s="84">
        <v>0.0</v>
      </c>
      <c r="K126" s="84">
        <v>0.0</v>
      </c>
      <c r="L126" s="84">
        <v>0.0</v>
      </c>
      <c r="M126" s="84">
        <v>0.0</v>
      </c>
      <c r="N126" s="84">
        <v>0.0</v>
      </c>
      <c r="O126" s="84">
        <v>0.0</v>
      </c>
      <c r="P126" s="84">
        <v>0.0</v>
      </c>
      <c r="Q126" s="84">
        <v>0.0</v>
      </c>
      <c r="R126" s="84">
        <v>0.0</v>
      </c>
      <c r="S126" s="84">
        <v>0.0</v>
      </c>
      <c r="T126" s="84">
        <v>0.0</v>
      </c>
      <c r="U126" s="84">
        <v>0.0</v>
      </c>
      <c r="V126" s="84">
        <v>0.0</v>
      </c>
      <c r="W126" s="84">
        <v>0.0</v>
      </c>
      <c r="X126" s="84">
        <v>0.0</v>
      </c>
      <c r="Y126" s="84">
        <v>0.0</v>
      </c>
      <c r="Z126" s="84">
        <v>0.0</v>
      </c>
      <c r="AA126" s="84">
        <v>0.0</v>
      </c>
      <c r="AB126" s="84">
        <v>1.0</v>
      </c>
      <c r="AC126" s="91">
        <v>0.005108556832694764</v>
      </c>
      <c r="AD126" s="84">
        <v>0.0</v>
      </c>
      <c r="AE126" s="84">
        <v>0.0</v>
      </c>
      <c r="AF126" s="84">
        <v>0.0</v>
      </c>
      <c r="AG126" s="84">
        <v>0.0</v>
      </c>
      <c r="AH126" s="84">
        <v>0.0</v>
      </c>
      <c r="AI126" s="84">
        <v>0.0</v>
      </c>
      <c r="AJ126" s="84">
        <v>0.0</v>
      </c>
      <c r="AK126" s="84">
        <v>0.0</v>
      </c>
      <c r="AL126" s="84">
        <v>0.0</v>
      </c>
      <c r="AM126" s="84">
        <v>0.0</v>
      </c>
      <c r="AN126" s="93">
        <f t="shared" si="1"/>
        <v>0.007532799257</v>
      </c>
      <c r="AO126" s="84">
        <f t="shared" si="2"/>
        <v>0</v>
      </c>
    </row>
    <row r="127" ht="12.75" customHeight="1">
      <c r="A127" s="84" t="s">
        <v>4186</v>
      </c>
      <c r="B127" s="84">
        <v>0.0</v>
      </c>
      <c r="C127" s="84">
        <v>0.0</v>
      </c>
      <c r="D127" s="84">
        <v>0.0</v>
      </c>
      <c r="E127" s="84">
        <v>0.0</v>
      </c>
      <c r="F127" s="84">
        <v>0.0</v>
      </c>
      <c r="G127" s="84">
        <v>0.0</v>
      </c>
      <c r="H127" s="84">
        <v>0.0</v>
      </c>
      <c r="I127" s="91">
        <v>0.0024242424242424242</v>
      </c>
      <c r="J127" s="84">
        <v>0.0</v>
      </c>
      <c r="K127" s="84">
        <v>0.0</v>
      </c>
      <c r="L127" s="84">
        <v>0.0</v>
      </c>
      <c r="M127" s="84">
        <v>0.0</v>
      </c>
      <c r="N127" s="84">
        <v>0.0</v>
      </c>
      <c r="O127" s="84">
        <v>0.0</v>
      </c>
      <c r="P127" s="84">
        <v>0.0</v>
      </c>
      <c r="Q127" s="84">
        <v>0.0</v>
      </c>
      <c r="R127" s="84">
        <v>0.0</v>
      </c>
      <c r="S127" s="84">
        <v>0.0</v>
      </c>
      <c r="T127" s="84">
        <v>0.0</v>
      </c>
      <c r="U127" s="84">
        <v>0.0</v>
      </c>
      <c r="V127" s="84">
        <v>0.0</v>
      </c>
      <c r="W127" s="84">
        <v>0.0</v>
      </c>
      <c r="X127" s="84">
        <v>0.0</v>
      </c>
      <c r="Y127" s="84">
        <v>0.0</v>
      </c>
      <c r="Z127" s="84">
        <v>0.0</v>
      </c>
      <c r="AA127" s="84">
        <v>0.0</v>
      </c>
      <c r="AB127" s="84">
        <v>0.0</v>
      </c>
      <c r="AC127" s="91">
        <v>0.002554278416347382</v>
      </c>
      <c r="AD127" s="84">
        <v>0.0</v>
      </c>
      <c r="AE127" s="84">
        <v>0.0</v>
      </c>
      <c r="AF127" s="84">
        <v>0.0</v>
      </c>
      <c r="AG127" s="84">
        <v>0.0</v>
      </c>
      <c r="AH127" s="84">
        <v>0.0</v>
      </c>
      <c r="AI127" s="84">
        <v>0.0</v>
      </c>
      <c r="AJ127" s="84">
        <v>0.0</v>
      </c>
      <c r="AK127" s="84">
        <v>0.0</v>
      </c>
      <c r="AL127" s="84">
        <v>0.0</v>
      </c>
      <c r="AM127" s="84">
        <v>0.0</v>
      </c>
      <c r="AN127" s="93">
        <f t="shared" si="1"/>
        <v>0.004978520841</v>
      </c>
      <c r="AO127" s="84">
        <f t="shared" si="2"/>
        <v>0</v>
      </c>
    </row>
    <row r="128" ht="12.75" customHeight="1">
      <c r="A128" s="84" t="s">
        <v>4149</v>
      </c>
      <c r="B128" s="84">
        <v>0.0</v>
      </c>
      <c r="C128" s="84">
        <v>0.0</v>
      </c>
      <c r="D128" s="84">
        <v>0.0</v>
      </c>
      <c r="E128" s="84">
        <v>0.0</v>
      </c>
      <c r="F128" s="84">
        <v>0.0</v>
      </c>
      <c r="G128" s="84">
        <v>0.0</v>
      </c>
      <c r="H128" s="84">
        <v>0.0</v>
      </c>
      <c r="I128" s="91">
        <v>0.0024242424242424242</v>
      </c>
      <c r="J128" s="84">
        <v>0.0</v>
      </c>
      <c r="K128" s="84">
        <v>0.0</v>
      </c>
      <c r="L128" s="84">
        <v>0.0</v>
      </c>
      <c r="M128" s="84">
        <v>0.0</v>
      </c>
      <c r="N128" s="84">
        <v>0.0</v>
      </c>
      <c r="O128" s="84">
        <v>0.0</v>
      </c>
      <c r="P128" s="84">
        <v>0.0</v>
      </c>
      <c r="Q128" s="84">
        <v>0.0</v>
      </c>
      <c r="R128" s="84">
        <v>0.0</v>
      </c>
      <c r="S128" s="84">
        <v>0.0</v>
      </c>
      <c r="T128" s="84">
        <v>0.0</v>
      </c>
      <c r="U128" s="84">
        <v>0.0</v>
      </c>
      <c r="V128" s="84">
        <v>0.0</v>
      </c>
      <c r="W128" s="84">
        <v>0.0</v>
      </c>
      <c r="X128" s="84">
        <v>0.0</v>
      </c>
      <c r="Y128" s="84">
        <v>0.0</v>
      </c>
      <c r="Z128" s="84">
        <v>0.0</v>
      </c>
      <c r="AA128" s="84">
        <v>0.0</v>
      </c>
      <c r="AB128" s="84">
        <v>0.0</v>
      </c>
      <c r="AC128" s="91">
        <v>0.002554278416347382</v>
      </c>
      <c r="AD128" s="84">
        <v>0.0</v>
      </c>
      <c r="AE128" s="84">
        <v>0.0</v>
      </c>
      <c r="AF128" s="84">
        <v>0.0</v>
      </c>
      <c r="AG128" s="84">
        <v>0.0</v>
      </c>
      <c r="AH128" s="84">
        <v>0.0</v>
      </c>
      <c r="AI128" s="84">
        <v>0.0</v>
      </c>
      <c r="AJ128" s="84">
        <v>0.0</v>
      </c>
      <c r="AK128" s="84">
        <v>0.0</v>
      </c>
      <c r="AL128" s="84">
        <v>0.0</v>
      </c>
      <c r="AM128" s="84">
        <v>0.0</v>
      </c>
      <c r="AN128" s="93">
        <f t="shared" si="1"/>
        <v>0.004978520841</v>
      </c>
      <c r="AO128" s="84">
        <f t="shared" si="2"/>
        <v>0</v>
      </c>
    </row>
    <row r="129" ht="12.75" customHeight="1">
      <c r="A129" s="84" t="s">
        <v>4067</v>
      </c>
      <c r="B129" s="84">
        <v>0.0</v>
      </c>
      <c r="C129" s="84">
        <v>0.0</v>
      </c>
      <c r="D129" s="84">
        <v>0.0</v>
      </c>
      <c r="E129" s="84">
        <v>0.0</v>
      </c>
      <c r="F129" s="84">
        <v>0.0</v>
      </c>
      <c r="G129" s="84">
        <v>0.0</v>
      </c>
      <c r="H129" s="84">
        <v>0.0</v>
      </c>
      <c r="I129" s="91">
        <v>0.0024242424242424242</v>
      </c>
      <c r="J129" s="84">
        <v>0.0</v>
      </c>
      <c r="K129" s="84">
        <v>0.0</v>
      </c>
      <c r="L129" s="84">
        <v>0.0</v>
      </c>
      <c r="M129" s="84">
        <v>0.0</v>
      </c>
      <c r="N129" s="84">
        <v>0.0</v>
      </c>
      <c r="O129" s="84">
        <v>0.0</v>
      </c>
      <c r="P129" s="84">
        <v>0.0</v>
      </c>
      <c r="Q129" s="84">
        <v>0.0</v>
      </c>
      <c r="R129" s="84">
        <v>0.0</v>
      </c>
      <c r="S129" s="84">
        <v>0.0</v>
      </c>
      <c r="T129" s="84">
        <v>0.0</v>
      </c>
      <c r="U129" s="84">
        <v>0.0</v>
      </c>
      <c r="V129" s="84">
        <v>0.0</v>
      </c>
      <c r="W129" s="84">
        <v>0.0</v>
      </c>
      <c r="X129" s="84">
        <v>0.0</v>
      </c>
      <c r="Y129" s="84">
        <v>0.0</v>
      </c>
      <c r="Z129" s="84">
        <v>0.0</v>
      </c>
      <c r="AA129" s="84">
        <v>0.0</v>
      </c>
      <c r="AB129" s="84">
        <v>0.0</v>
      </c>
      <c r="AC129" s="91">
        <v>0.002554278416347382</v>
      </c>
      <c r="AD129" s="84">
        <v>0.0</v>
      </c>
      <c r="AE129" s="84">
        <v>0.0</v>
      </c>
      <c r="AF129" s="84">
        <v>0.0</v>
      </c>
      <c r="AG129" s="84">
        <v>0.0</v>
      </c>
      <c r="AH129" s="84">
        <v>0.0</v>
      </c>
      <c r="AI129" s="84">
        <v>0.0</v>
      </c>
      <c r="AJ129" s="84">
        <v>0.0</v>
      </c>
      <c r="AK129" s="84">
        <v>0.0</v>
      </c>
      <c r="AL129" s="84">
        <v>0.0</v>
      </c>
      <c r="AM129" s="84">
        <v>0.0</v>
      </c>
      <c r="AN129" s="93">
        <f t="shared" si="1"/>
        <v>0.004978520841</v>
      </c>
      <c r="AO129" s="84">
        <f t="shared" si="2"/>
        <v>0</v>
      </c>
    </row>
    <row r="130" ht="12.75" customHeight="1">
      <c r="A130" s="84" t="s">
        <v>4364</v>
      </c>
      <c r="B130" s="84">
        <v>0.0</v>
      </c>
      <c r="C130" s="84">
        <v>0.0</v>
      </c>
      <c r="D130" s="84">
        <v>0.0</v>
      </c>
      <c r="E130" s="84">
        <v>0.0</v>
      </c>
      <c r="F130" s="84">
        <v>0.0</v>
      </c>
      <c r="G130" s="84">
        <v>0.0</v>
      </c>
      <c r="H130" s="84">
        <v>0.0</v>
      </c>
      <c r="I130" s="91">
        <v>0.0024242424242424242</v>
      </c>
      <c r="J130" s="84">
        <v>0.0</v>
      </c>
      <c r="K130" s="84">
        <v>0.0</v>
      </c>
      <c r="L130" s="84">
        <v>0.0</v>
      </c>
      <c r="M130" s="84">
        <v>0.0</v>
      </c>
      <c r="N130" s="84">
        <v>0.0</v>
      </c>
      <c r="O130" s="84">
        <v>0.0</v>
      </c>
      <c r="P130" s="84">
        <v>0.0</v>
      </c>
      <c r="Q130" s="84">
        <v>0.0</v>
      </c>
      <c r="R130" s="84">
        <v>0.0</v>
      </c>
      <c r="S130" s="84">
        <v>0.0</v>
      </c>
      <c r="T130" s="84">
        <v>0.0</v>
      </c>
      <c r="U130" s="84">
        <v>0.0</v>
      </c>
      <c r="V130" s="84">
        <v>0.0</v>
      </c>
      <c r="W130" s="84">
        <v>0.0</v>
      </c>
      <c r="X130" s="84">
        <v>0.0</v>
      </c>
      <c r="Y130" s="84">
        <v>0.0</v>
      </c>
      <c r="Z130" s="84">
        <v>0.0</v>
      </c>
      <c r="AA130" s="84">
        <v>0.0</v>
      </c>
      <c r="AB130" s="84">
        <v>0.0</v>
      </c>
      <c r="AC130" s="91">
        <v>0.007662835249042145</v>
      </c>
      <c r="AD130" s="84">
        <v>0.0</v>
      </c>
      <c r="AE130" s="84">
        <v>0.0</v>
      </c>
      <c r="AF130" s="84">
        <v>0.0</v>
      </c>
      <c r="AG130" s="84">
        <v>0.0</v>
      </c>
      <c r="AH130" s="84">
        <v>0.0</v>
      </c>
      <c r="AI130" s="84">
        <v>0.0</v>
      </c>
      <c r="AJ130" s="84">
        <v>0.0</v>
      </c>
      <c r="AK130" s="84">
        <v>0.0</v>
      </c>
      <c r="AL130" s="84">
        <v>0.0</v>
      </c>
      <c r="AM130" s="84">
        <v>0.0</v>
      </c>
      <c r="AN130" s="93">
        <f t="shared" si="1"/>
        <v>0.01008707767</v>
      </c>
      <c r="AO130" s="84">
        <f t="shared" si="2"/>
        <v>0</v>
      </c>
    </row>
    <row r="131" ht="12.75" customHeight="1">
      <c r="A131" s="84" t="s">
        <v>4095</v>
      </c>
      <c r="B131" s="84">
        <v>0.0</v>
      </c>
      <c r="C131" s="84">
        <v>0.0</v>
      </c>
      <c r="D131" s="84">
        <v>0.0</v>
      </c>
      <c r="E131" s="84">
        <v>0.0</v>
      </c>
      <c r="F131" s="84">
        <v>0.0</v>
      </c>
      <c r="G131" s="84">
        <v>0.0</v>
      </c>
      <c r="H131" s="84">
        <v>0.0</v>
      </c>
      <c r="I131" s="91">
        <v>0.0024242424242424242</v>
      </c>
      <c r="J131" s="84">
        <v>0.0</v>
      </c>
      <c r="K131" s="84">
        <v>0.0</v>
      </c>
      <c r="L131" s="84">
        <v>0.0</v>
      </c>
      <c r="M131" s="84">
        <v>0.0</v>
      </c>
      <c r="N131" s="84">
        <v>0.0</v>
      </c>
      <c r="O131" s="84">
        <v>0.0</v>
      </c>
      <c r="P131" s="84">
        <v>0.0</v>
      </c>
      <c r="Q131" s="84">
        <v>0.0</v>
      </c>
      <c r="R131" s="84">
        <v>0.0</v>
      </c>
      <c r="S131" s="84">
        <v>0.0</v>
      </c>
      <c r="T131" s="84">
        <v>0.0</v>
      </c>
      <c r="U131" s="84">
        <v>0.0</v>
      </c>
      <c r="V131" s="84">
        <v>0.0</v>
      </c>
      <c r="W131" s="84">
        <v>0.0</v>
      </c>
      <c r="X131" s="84">
        <v>0.0</v>
      </c>
      <c r="Y131" s="84">
        <v>0.0</v>
      </c>
      <c r="Z131" s="84">
        <v>0.0</v>
      </c>
      <c r="AA131" s="84">
        <v>0.0</v>
      </c>
      <c r="AB131" s="84">
        <v>0.0</v>
      </c>
      <c r="AC131" s="91">
        <v>0.0038314176245210726</v>
      </c>
      <c r="AD131" s="84">
        <v>0.0</v>
      </c>
      <c r="AE131" s="84">
        <v>0.0</v>
      </c>
      <c r="AF131" s="84">
        <v>0.0</v>
      </c>
      <c r="AG131" s="84">
        <v>0.0</v>
      </c>
      <c r="AH131" s="84">
        <v>0.0</v>
      </c>
      <c r="AI131" s="84">
        <v>0.0</v>
      </c>
      <c r="AJ131" s="84">
        <v>0.0</v>
      </c>
      <c r="AK131" s="84">
        <v>0.0</v>
      </c>
      <c r="AL131" s="84">
        <v>0.0</v>
      </c>
      <c r="AM131" s="84">
        <v>0.0</v>
      </c>
      <c r="AN131" s="93">
        <f t="shared" si="1"/>
        <v>0.006255660049</v>
      </c>
      <c r="AO131" s="84">
        <f t="shared" si="2"/>
        <v>0</v>
      </c>
    </row>
    <row r="132" ht="12.75" customHeight="1">
      <c r="A132" s="84" t="s">
        <v>4183</v>
      </c>
      <c r="B132" s="84">
        <v>0.0</v>
      </c>
      <c r="C132" s="84">
        <v>0.0</v>
      </c>
      <c r="D132" s="84">
        <v>0.0</v>
      </c>
      <c r="E132" s="84">
        <v>0.0</v>
      </c>
      <c r="F132" s="84">
        <v>0.0</v>
      </c>
      <c r="G132" s="84">
        <v>0.0</v>
      </c>
      <c r="H132" s="84">
        <v>0.0</v>
      </c>
      <c r="I132" s="91">
        <v>0.0024242424242424242</v>
      </c>
      <c r="J132" s="84">
        <v>0.0</v>
      </c>
      <c r="K132" s="84">
        <v>0.0</v>
      </c>
      <c r="L132" s="84">
        <v>0.0</v>
      </c>
      <c r="M132" s="84">
        <v>0.0</v>
      </c>
      <c r="N132" s="84">
        <v>0.0</v>
      </c>
      <c r="O132" s="84">
        <v>0.0</v>
      </c>
      <c r="P132" s="84">
        <v>0.0</v>
      </c>
      <c r="Q132" s="84">
        <v>0.0</v>
      </c>
      <c r="R132" s="84">
        <v>0.0</v>
      </c>
      <c r="S132" s="84">
        <v>0.0</v>
      </c>
      <c r="T132" s="84">
        <v>0.0</v>
      </c>
      <c r="U132" s="84">
        <v>0.0</v>
      </c>
      <c r="V132" s="84">
        <v>0.0</v>
      </c>
      <c r="W132" s="84">
        <v>0.0</v>
      </c>
      <c r="X132" s="84">
        <v>0.0</v>
      </c>
      <c r="Y132" s="84">
        <v>0.0</v>
      </c>
      <c r="Z132" s="84">
        <v>0.0</v>
      </c>
      <c r="AA132" s="84">
        <v>0.0</v>
      </c>
      <c r="AB132" s="84">
        <v>0.0</v>
      </c>
      <c r="AC132" s="91">
        <v>0.002554278416347382</v>
      </c>
      <c r="AD132" s="84">
        <v>0.0</v>
      </c>
      <c r="AE132" s="84">
        <v>0.0</v>
      </c>
      <c r="AF132" s="84">
        <v>0.0</v>
      </c>
      <c r="AG132" s="84">
        <v>0.0</v>
      </c>
      <c r="AH132" s="84">
        <v>0.0</v>
      </c>
      <c r="AI132" s="84">
        <v>0.0</v>
      </c>
      <c r="AJ132" s="84">
        <v>0.0</v>
      </c>
      <c r="AK132" s="84">
        <v>0.0</v>
      </c>
      <c r="AL132" s="84">
        <v>0.0</v>
      </c>
      <c r="AM132" s="84">
        <v>0.0</v>
      </c>
      <c r="AN132" s="93">
        <f t="shared" si="1"/>
        <v>0.004978520841</v>
      </c>
      <c r="AO132" s="84">
        <f t="shared" si="2"/>
        <v>0</v>
      </c>
    </row>
    <row r="133" ht="12.75" customHeight="1">
      <c r="A133" s="84" t="s">
        <v>4002</v>
      </c>
      <c r="B133" s="84">
        <v>0.0</v>
      </c>
      <c r="C133" s="84">
        <v>0.0</v>
      </c>
      <c r="D133" s="84">
        <v>0.0</v>
      </c>
      <c r="E133" s="84">
        <v>0.0</v>
      </c>
      <c r="F133" s="84">
        <v>0.0</v>
      </c>
      <c r="G133" s="84">
        <v>0.0</v>
      </c>
      <c r="H133" s="84">
        <v>0.0</v>
      </c>
      <c r="I133" s="91">
        <v>0.0024242424242424242</v>
      </c>
      <c r="J133" s="84">
        <v>0.0</v>
      </c>
      <c r="K133" s="84">
        <v>0.0</v>
      </c>
      <c r="L133" s="84">
        <v>0.0</v>
      </c>
      <c r="M133" s="84">
        <v>0.0</v>
      </c>
      <c r="N133" s="84">
        <v>0.0</v>
      </c>
      <c r="O133" s="84">
        <v>0.0</v>
      </c>
      <c r="P133" s="84">
        <v>0.0</v>
      </c>
      <c r="Q133" s="84">
        <v>0.0</v>
      </c>
      <c r="R133" s="84">
        <v>0.0</v>
      </c>
      <c r="S133" s="84">
        <v>0.0</v>
      </c>
      <c r="T133" s="84">
        <v>0.0</v>
      </c>
      <c r="U133" s="84">
        <v>0.0</v>
      </c>
      <c r="V133" s="84">
        <v>0.0</v>
      </c>
      <c r="W133" s="84">
        <v>0.0</v>
      </c>
      <c r="X133" s="84">
        <v>0.0</v>
      </c>
      <c r="Y133" s="84">
        <v>0.0</v>
      </c>
      <c r="Z133" s="84">
        <v>0.0</v>
      </c>
      <c r="AA133" s="84">
        <v>0.0</v>
      </c>
      <c r="AB133" s="84">
        <v>0.0</v>
      </c>
      <c r="AC133" s="91">
        <v>0.002554278416347382</v>
      </c>
      <c r="AD133" s="84">
        <v>0.0</v>
      </c>
      <c r="AE133" s="84">
        <v>0.0</v>
      </c>
      <c r="AF133" s="84">
        <v>0.0</v>
      </c>
      <c r="AG133" s="84">
        <v>0.0</v>
      </c>
      <c r="AH133" s="84">
        <v>0.0</v>
      </c>
      <c r="AI133" s="84">
        <v>0.0</v>
      </c>
      <c r="AJ133" s="84">
        <v>0.0</v>
      </c>
      <c r="AK133" s="84">
        <v>0.0</v>
      </c>
      <c r="AL133" s="84">
        <v>0.0</v>
      </c>
      <c r="AM133" s="84">
        <v>0.0</v>
      </c>
      <c r="AN133" s="93">
        <f t="shared" si="1"/>
        <v>0.004978520841</v>
      </c>
      <c r="AO133" s="84">
        <f t="shared" si="2"/>
        <v>0</v>
      </c>
    </row>
    <row r="134" ht="12.75" customHeight="1">
      <c r="A134" s="84" t="s">
        <v>4040</v>
      </c>
      <c r="B134" s="84">
        <v>0.0</v>
      </c>
      <c r="C134" s="84">
        <v>0.0</v>
      </c>
      <c r="D134" s="84">
        <v>0.0</v>
      </c>
      <c r="E134" s="84">
        <v>0.0</v>
      </c>
      <c r="F134" s="84">
        <v>0.0</v>
      </c>
      <c r="G134" s="84">
        <v>0.0</v>
      </c>
      <c r="H134" s="84">
        <v>0.0</v>
      </c>
      <c r="I134" s="91">
        <v>0.0024242424242424242</v>
      </c>
      <c r="J134" s="84">
        <v>0.0</v>
      </c>
      <c r="K134" s="84">
        <v>0.0</v>
      </c>
      <c r="L134" s="84">
        <v>0.0</v>
      </c>
      <c r="M134" s="84">
        <v>0.0</v>
      </c>
      <c r="N134" s="84">
        <v>0.0</v>
      </c>
      <c r="O134" s="84">
        <v>0.0</v>
      </c>
      <c r="P134" s="84">
        <v>0.0</v>
      </c>
      <c r="Q134" s="84">
        <v>0.0</v>
      </c>
      <c r="R134" s="84">
        <v>0.0</v>
      </c>
      <c r="S134" s="84">
        <v>0.0</v>
      </c>
      <c r="T134" s="84">
        <v>0.0</v>
      </c>
      <c r="U134" s="84">
        <v>0.0</v>
      </c>
      <c r="V134" s="84">
        <v>0.0</v>
      </c>
      <c r="W134" s="84">
        <v>0.0</v>
      </c>
      <c r="X134" s="84">
        <v>0.0</v>
      </c>
      <c r="Y134" s="84">
        <v>0.0</v>
      </c>
      <c r="Z134" s="84">
        <v>0.0</v>
      </c>
      <c r="AA134" s="84">
        <v>0.0</v>
      </c>
      <c r="AB134" s="84">
        <v>0.0</v>
      </c>
      <c r="AC134" s="91">
        <v>0.0038314176245210726</v>
      </c>
      <c r="AD134" s="84">
        <v>0.0</v>
      </c>
      <c r="AE134" s="84">
        <v>0.0</v>
      </c>
      <c r="AF134" s="84">
        <v>0.0</v>
      </c>
      <c r="AG134" s="84">
        <v>0.0</v>
      </c>
      <c r="AH134" s="84">
        <v>0.0</v>
      </c>
      <c r="AI134" s="84">
        <v>0.0</v>
      </c>
      <c r="AJ134" s="84">
        <v>0.0</v>
      </c>
      <c r="AK134" s="84">
        <v>0.0</v>
      </c>
      <c r="AL134" s="84">
        <v>0.0</v>
      </c>
      <c r="AM134" s="84">
        <v>0.0</v>
      </c>
      <c r="AN134" s="93">
        <f t="shared" si="1"/>
        <v>0.006255660049</v>
      </c>
      <c r="AO134" s="84">
        <f t="shared" si="2"/>
        <v>0</v>
      </c>
    </row>
    <row r="135" ht="12.75" customHeight="1">
      <c r="A135" s="84" t="s">
        <v>4116</v>
      </c>
      <c r="B135" s="84">
        <v>0.0</v>
      </c>
      <c r="C135" s="84">
        <v>0.0</v>
      </c>
      <c r="D135" s="84">
        <v>0.0</v>
      </c>
      <c r="E135" s="84">
        <v>0.0</v>
      </c>
      <c r="F135" s="84">
        <v>0.0</v>
      </c>
      <c r="G135" s="84">
        <v>0.0</v>
      </c>
      <c r="H135" s="84">
        <v>0.0</v>
      </c>
      <c r="I135" s="91">
        <v>0.0024242424242424242</v>
      </c>
      <c r="J135" s="84">
        <v>0.0</v>
      </c>
      <c r="K135" s="84">
        <v>0.0</v>
      </c>
      <c r="L135" s="84">
        <v>0.0</v>
      </c>
      <c r="M135" s="84">
        <v>0.0</v>
      </c>
      <c r="N135" s="84">
        <v>0.0</v>
      </c>
      <c r="O135" s="84">
        <v>0.0</v>
      </c>
      <c r="P135" s="84">
        <v>0.0</v>
      </c>
      <c r="Q135" s="84">
        <v>0.0</v>
      </c>
      <c r="R135" s="84">
        <v>0.0</v>
      </c>
      <c r="S135" s="84">
        <v>0.0</v>
      </c>
      <c r="T135" s="84">
        <v>0.0</v>
      </c>
      <c r="U135" s="84">
        <v>0.0</v>
      </c>
      <c r="V135" s="84">
        <v>0.0</v>
      </c>
      <c r="W135" s="84">
        <v>0.0</v>
      </c>
      <c r="X135" s="84">
        <v>0.0</v>
      </c>
      <c r="Y135" s="84">
        <v>0.0</v>
      </c>
      <c r="Z135" s="84">
        <v>0.0</v>
      </c>
      <c r="AA135" s="84">
        <v>0.0</v>
      </c>
      <c r="AB135" s="84">
        <v>0.0</v>
      </c>
      <c r="AC135" s="91">
        <v>0.0038314176245210726</v>
      </c>
      <c r="AD135" s="84">
        <v>0.0</v>
      </c>
      <c r="AE135" s="84">
        <v>0.0</v>
      </c>
      <c r="AF135" s="84">
        <v>0.0</v>
      </c>
      <c r="AG135" s="84">
        <v>0.0</v>
      </c>
      <c r="AH135" s="84">
        <v>0.0</v>
      </c>
      <c r="AI135" s="84">
        <v>0.0</v>
      </c>
      <c r="AJ135" s="84">
        <v>0.0</v>
      </c>
      <c r="AK135" s="84">
        <v>0.0</v>
      </c>
      <c r="AL135" s="84">
        <v>0.0</v>
      </c>
      <c r="AM135" s="84">
        <v>0.0</v>
      </c>
      <c r="AN135" s="93">
        <f t="shared" si="1"/>
        <v>0.006255660049</v>
      </c>
      <c r="AO135" s="84">
        <f t="shared" si="2"/>
        <v>0</v>
      </c>
    </row>
    <row r="136" ht="12.75" customHeight="1">
      <c r="A136" s="84" t="s">
        <v>4190</v>
      </c>
      <c r="B136" s="84">
        <v>0.0</v>
      </c>
      <c r="C136" s="84">
        <v>0.0</v>
      </c>
      <c r="D136" s="84">
        <v>0.0</v>
      </c>
      <c r="E136" s="84">
        <v>0.0</v>
      </c>
      <c r="F136" s="84">
        <v>0.0</v>
      </c>
      <c r="G136" s="84">
        <v>0.0</v>
      </c>
      <c r="H136" s="84">
        <v>0.0</v>
      </c>
      <c r="I136" s="91">
        <v>0.0024242424242424242</v>
      </c>
      <c r="J136" s="84">
        <v>0.0</v>
      </c>
      <c r="K136" s="84">
        <v>0.0</v>
      </c>
      <c r="L136" s="84">
        <v>0.0</v>
      </c>
      <c r="M136" s="84">
        <v>0.0</v>
      </c>
      <c r="N136" s="84">
        <v>0.0</v>
      </c>
      <c r="O136" s="84">
        <v>0.0</v>
      </c>
      <c r="P136" s="84">
        <v>0.0</v>
      </c>
      <c r="Q136" s="84">
        <v>0.0</v>
      </c>
      <c r="R136" s="84">
        <v>0.0</v>
      </c>
      <c r="S136" s="84">
        <v>0.0</v>
      </c>
      <c r="T136" s="84">
        <v>0.0</v>
      </c>
      <c r="U136" s="84">
        <v>0.0</v>
      </c>
      <c r="V136" s="84">
        <v>0.0</v>
      </c>
      <c r="W136" s="84">
        <v>0.0</v>
      </c>
      <c r="X136" s="84">
        <v>0.0</v>
      </c>
      <c r="Y136" s="84">
        <v>0.0</v>
      </c>
      <c r="Z136" s="84">
        <v>0.0</v>
      </c>
      <c r="AA136" s="84">
        <v>0.0</v>
      </c>
      <c r="AB136" s="84">
        <v>0.0</v>
      </c>
      <c r="AC136" s="91">
        <v>0.002554278416347382</v>
      </c>
      <c r="AD136" s="84">
        <v>0.0</v>
      </c>
      <c r="AE136" s="84">
        <v>0.0</v>
      </c>
      <c r="AF136" s="84">
        <v>0.0</v>
      </c>
      <c r="AG136" s="84">
        <v>0.0</v>
      </c>
      <c r="AH136" s="84">
        <v>0.0</v>
      </c>
      <c r="AI136" s="84">
        <v>0.0</v>
      </c>
      <c r="AJ136" s="84">
        <v>0.0</v>
      </c>
      <c r="AK136" s="84">
        <v>0.0</v>
      </c>
      <c r="AL136" s="84">
        <v>0.0</v>
      </c>
      <c r="AM136" s="84">
        <v>0.0</v>
      </c>
      <c r="AN136" s="93">
        <f t="shared" si="1"/>
        <v>0.004978520841</v>
      </c>
      <c r="AO136" s="84">
        <f t="shared" si="2"/>
        <v>0</v>
      </c>
    </row>
    <row r="137" ht="12.75" customHeight="1">
      <c r="A137" s="84" t="s">
        <v>4237</v>
      </c>
      <c r="B137" s="84">
        <v>0.0</v>
      </c>
      <c r="C137" s="84">
        <v>0.0</v>
      </c>
      <c r="D137" s="84">
        <v>0.0</v>
      </c>
      <c r="E137" s="84">
        <v>0.0</v>
      </c>
      <c r="F137" s="84">
        <v>0.0</v>
      </c>
      <c r="G137" s="84">
        <v>0.0</v>
      </c>
      <c r="H137" s="84">
        <v>0.0</v>
      </c>
      <c r="I137" s="91">
        <v>0.0024242424242424242</v>
      </c>
      <c r="J137" s="84">
        <v>0.0</v>
      </c>
      <c r="K137" s="84">
        <v>0.0</v>
      </c>
      <c r="L137" s="84">
        <v>0.0</v>
      </c>
      <c r="M137" s="84">
        <v>0.0</v>
      </c>
      <c r="N137" s="84">
        <v>0.0</v>
      </c>
      <c r="O137" s="84">
        <v>0.0</v>
      </c>
      <c r="P137" s="84">
        <v>0.0</v>
      </c>
      <c r="Q137" s="84">
        <v>0.0</v>
      </c>
      <c r="R137" s="84">
        <v>0.0</v>
      </c>
      <c r="S137" s="84">
        <v>0.0</v>
      </c>
      <c r="T137" s="84">
        <v>0.0</v>
      </c>
      <c r="U137" s="84">
        <v>0.0</v>
      </c>
      <c r="V137" s="84">
        <v>0.0</v>
      </c>
      <c r="W137" s="84">
        <v>0.0</v>
      </c>
      <c r="X137" s="84">
        <v>0.0</v>
      </c>
      <c r="Y137" s="84">
        <v>0.0</v>
      </c>
      <c r="Z137" s="84">
        <v>0.0</v>
      </c>
      <c r="AA137" s="84">
        <v>0.0</v>
      </c>
      <c r="AB137" s="84">
        <v>0.0</v>
      </c>
      <c r="AC137" s="91">
        <v>0.002554278416347382</v>
      </c>
      <c r="AD137" s="84">
        <v>0.0</v>
      </c>
      <c r="AE137" s="84">
        <v>0.0</v>
      </c>
      <c r="AF137" s="84">
        <v>0.0</v>
      </c>
      <c r="AG137" s="84">
        <v>0.0</v>
      </c>
      <c r="AH137" s="84">
        <v>0.0</v>
      </c>
      <c r="AI137" s="84">
        <v>0.0</v>
      </c>
      <c r="AJ137" s="84">
        <v>0.0</v>
      </c>
      <c r="AK137" s="84">
        <v>0.0</v>
      </c>
      <c r="AL137" s="84">
        <v>0.0</v>
      </c>
      <c r="AM137" s="84">
        <v>0.0</v>
      </c>
      <c r="AN137" s="93">
        <f t="shared" si="1"/>
        <v>0.004978520841</v>
      </c>
      <c r="AO137" s="84">
        <f t="shared" si="2"/>
        <v>0</v>
      </c>
    </row>
    <row r="138" ht="12.75" customHeight="1">
      <c r="A138" s="84" t="s">
        <v>4267</v>
      </c>
      <c r="B138" s="84">
        <v>0.0</v>
      </c>
      <c r="C138" s="84">
        <v>0.0</v>
      </c>
      <c r="D138" s="84">
        <v>0.0</v>
      </c>
      <c r="E138" s="84">
        <v>0.0</v>
      </c>
      <c r="F138" s="84">
        <v>0.0</v>
      </c>
      <c r="G138" s="84">
        <v>0.0</v>
      </c>
      <c r="H138" s="84">
        <v>0.0</v>
      </c>
      <c r="I138" s="91">
        <v>0.0024242424242424242</v>
      </c>
      <c r="J138" s="84">
        <v>0.0</v>
      </c>
      <c r="K138" s="84">
        <v>0.0</v>
      </c>
      <c r="L138" s="84">
        <v>0.0</v>
      </c>
      <c r="M138" s="84">
        <v>0.0</v>
      </c>
      <c r="N138" s="84">
        <v>0.0</v>
      </c>
      <c r="O138" s="84">
        <v>0.0</v>
      </c>
      <c r="P138" s="84">
        <v>0.0</v>
      </c>
      <c r="Q138" s="84">
        <v>0.0</v>
      </c>
      <c r="R138" s="84">
        <v>0.0</v>
      </c>
      <c r="S138" s="84">
        <v>0.0</v>
      </c>
      <c r="T138" s="84">
        <v>0.0</v>
      </c>
      <c r="U138" s="84">
        <v>0.0</v>
      </c>
      <c r="V138" s="84">
        <v>0.0</v>
      </c>
      <c r="W138" s="84">
        <v>0.0</v>
      </c>
      <c r="X138" s="84">
        <v>0.0</v>
      </c>
      <c r="Y138" s="84">
        <v>0.0</v>
      </c>
      <c r="Z138" s="84">
        <v>0.0</v>
      </c>
      <c r="AA138" s="84">
        <v>0.0</v>
      </c>
      <c r="AB138" s="84">
        <v>0.0</v>
      </c>
      <c r="AC138" s="91">
        <v>0.002554278416347382</v>
      </c>
      <c r="AD138" s="84">
        <v>0.0</v>
      </c>
      <c r="AE138" s="84">
        <v>0.0</v>
      </c>
      <c r="AF138" s="84">
        <v>0.0</v>
      </c>
      <c r="AG138" s="84">
        <v>0.0</v>
      </c>
      <c r="AH138" s="84">
        <v>0.0</v>
      </c>
      <c r="AI138" s="84">
        <v>0.0</v>
      </c>
      <c r="AJ138" s="84">
        <v>0.0</v>
      </c>
      <c r="AK138" s="84">
        <v>0.0</v>
      </c>
      <c r="AL138" s="84">
        <v>0.0</v>
      </c>
      <c r="AM138" s="84">
        <v>0.0</v>
      </c>
      <c r="AN138" s="93">
        <f t="shared" si="1"/>
        <v>0.004978520841</v>
      </c>
      <c r="AO138" s="84">
        <f t="shared" si="2"/>
        <v>0</v>
      </c>
    </row>
    <row r="139" ht="12.75" customHeight="1">
      <c r="A139" s="84" t="s">
        <v>4024</v>
      </c>
      <c r="B139" s="84">
        <v>0.0</v>
      </c>
      <c r="C139" s="84">
        <v>0.0</v>
      </c>
      <c r="D139" s="84">
        <v>0.0</v>
      </c>
      <c r="E139" s="84">
        <v>0.0</v>
      </c>
      <c r="F139" s="84">
        <v>0.0</v>
      </c>
      <c r="G139" s="84">
        <v>0.0</v>
      </c>
      <c r="H139" s="84">
        <v>0.0</v>
      </c>
      <c r="I139" s="91">
        <v>0.0024242424242424242</v>
      </c>
      <c r="J139" s="84">
        <v>0.0</v>
      </c>
      <c r="K139" s="84">
        <v>0.0</v>
      </c>
      <c r="L139" s="84">
        <v>0.0</v>
      </c>
      <c r="M139" s="84">
        <v>0.0</v>
      </c>
      <c r="N139" s="84">
        <v>0.0</v>
      </c>
      <c r="O139" s="84">
        <v>0.0</v>
      </c>
      <c r="P139" s="84">
        <v>0.0</v>
      </c>
      <c r="Q139" s="84">
        <v>0.0</v>
      </c>
      <c r="R139" s="84">
        <v>0.0</v>
      </c>
      <c r="S139" s="84">
        <v>0.0</v>
      </c>
      <c r="T139" s="84">
        <v>0.0</v>
      </c>
      <c r="U139" s="84">
        <v>0.0</v>
      </c>
      <c r="V139" s="84">
        <v>0.0</v>
      </c>
      <c r="W139" s="84">
        <v>0.0</v>
      </c>
      <c r="X139" s="84">
        <v>0.0</v>
      </c>
      <c r="Y139" s="84">
        <v>0.0</v>
      </c>
      <c r="Z139" s="84">
        <v>0.0</v>
      </c>
      <c r="AA139" s="84">
        <v>0.0</v>
      </c>
      <c r="AB139" s="84">
        <v>0.0</v>
      </c>
      <c r="AC139" s="91">
        <v>0.0038314176245210726</v>
      </c>
      <c r="AD139" s="84">
        <v>0.0</v>
      </c>
      <c r="AE139" s="84">
        <v>0.0</v>
      </c>
      <c r="AF139" s="84">
        <v>0.0</v>
      </c>
      <c r="AG139" s="84">
        <v>0.0</v>
      </c>
      <c r="AH139" s="84">
        <v>0.0</v>
      </c>
      <c r="AI139" s="84">
        <v>0.0</v>
      </c>
      <c r="AJ139" s="84">
        <v>0.0</v>
      </c>
      <c r="AK139" s="84">
        <v>0.0</v>
      </c>
      <c r="AL139" s="84">
        <v>0.0</v>
      </c>
      <c r="AM139" s="84">
        <v>0.0</v>
      </c>
      <c r="AN139" s="93">
        <f t="shared" si="1"/>
        <v>0.006255660049</v>
      </c>
      <c r="AO139" s="84">
        <f t="shared" si="2"/>
        <v>0</v>
      </c>
    </row>
    <row r="140" ht="12.75" customHeight="1">
      <c r="A140" s="84" t="s">
        <v>3978</v>
      </c>
      <c r="B140" s="84">
        <v>0.0</v>
      </c>
      <c r="C140" s="84">
        <v>0.0</v>
      </c>
      <c r="D140" s="84">
        <v>0.0</v>
      </c>
      <c r="E140" s="84">
        <v>0.0</v>
      </c>
      <c r="F140" s="84">
        <v>0.0</v>
      </c>
      <c r="G140" s="84">
        <v>0.0</v>
      </c>
      <c r="H140" s="84">
        <v>0.0</v>
      </c>
      <c r="I140" s="91">
        <v>0.0024242424242424242</v>
      </c>
      <c r="J140" s="84">
        <v>0.0</v>
      </c>
      <c r="K140" s="84">
        <v>0.0</v>
      </c>
      <c r="L140" s="84">
        <v>0.0</v>
      </c>
      <c r="M140" s="84">
        <v>0.0</v>
      </c>
      <c r="N140" s="84">
        <v>0.0</v>
      </c>
      <c r="O140" s="84">
        <v>0.0</v>
      </c>
      <c r="P140" s="84">
        <v>0.0</v>
      </c>
      <c r="Q140" s="84">
        <v>0.0</v>
      </c>
      <c r="R140" s="84">
        <v>0.0</v>
      </c>
      <c r="S140" s="84">
        <v>0.0</v>
      </c>
      <c r="T140" s="84">
        <v>0.0</v>
      </c>
      <c r="U140" s="84">
        <v>0.0</v>
      </c>
      <c r="V140" s="84">
        <v>0.0</v>
      </c>
      <c r="W140" s="84">
        <v>0.0</v>
      </c>
      <c r="X140" s="84">
        <v>0.0</v>
      </c>
      <c r="Y140" s="84">
        <v>0.0</v>
      </c>
      <c r="Z140" s="84">
        <v>0.0</v>
      </c>
      <c r="AA140" s="84">
        <v>0.0</v>
      </c>
      <c r="AB140" s="84">
        <v>0.0</v>
      </c>
      <c r="AC140" s="91">
        <v>0.0038314176245210726</v>
      </c>
      <c r="AD140" s="84">
        <v>0.0</v>
      </c>
      <c r="AE140" s="84">
        <v>0.0</v>
      </c>
      <c r="AF140" s="84">
        <v>0.0</v>
      </c>
      <c r="AG140" s="84">
        <v>0.0</v>
      </c>
      <c r="AH140" s="84">
        <v>0.0</v>
      </c>
      <c r="AI140" s="84">
        <v>0.0</v>
      </c>
      <c r="AJ140" s="84">
        <v>0.0</v>
      </c>
      <c r="AK140" s="84">
        <v>0.0</v>
      </c>
      <c r="AL140" s="84">
        <v>0.0</v>
      </c>
      <c r="AM140" s="84">
        <v>0.0</v>
      </c>
      <c r="AN140" s="93">
        <f t="shared" si="1"/>
        <v>0.006255660049</v>
      </c>
      <c r="AO140" s="84">
        <f t="shared" si="2"/>
        <v>0</v>
      </c>
    </row>
    <row r="141" ht="12.75" customHeight="1">
      <c r="A141" s="84" t="s">
        <v>4125</v>
      </c>
      <c r="B141" s="84">
        <v>0.0</v>
      </c>
      <c r="C141" s="84">
        <v>0.0</v>
      </c>
      <c r="D141" s="84">
        <v>0.0</v>
      </c>
      <c r="E141" s="84">
        <v>0.0</v>
      </c>
      <c r="F141" s="84">
        <v>0.0</v>
      </c>
      <c r="G141" s="84">
        <v>0.0</v>
      </c>
      <c r="H141" s="84">
        <v>0.0</v>
      </c>
      <c r="I141" s="91">
        <v>0.0024242424242424242</v>
      </c>
      <c r="J141" s="84">
        <v>0.0</v>
      </c>
      <c r="K141" s="84">
        <v>0.0</v>
      </c>
      <c r="L141" s="84">
        <v>0.0</v>
      </c>
      <c r="M141" s="84">
        <v>0.0</v>
      </c>
      <c r="N141" s="84">
        <v>0.0</v>
      </c>
      <c r="O141" s="84">
        <v>0.0</v>
      </c>
      <c r="P141" s="84">
        <v>0.0</v>
      </c>
      <c r="Q141" s="84">
        <v>0.0</v>
      </c>
      <c r="R141" s="84">
        <v>0.0</v>
      </c>
      <c r="S141" s="84">
        <v>0.0</v>
      </c>
      <c r="T141" s="84">
        <v>0.0</v>
      </c>
      <c r="U141" s="84">
        <v>0.0</v>
      </c>
      <c r="V141" s="84">
        <v>0.0</v>
      </c>
      <c r="W141" s="84">
        <v>0.0</v>
      </c>
      <c r="X141" s="84">
        <v>0.0</v>
      </c>
      <c r="Y141" s="84">
        <v>0.0</v>
      </c>
      <c r="Z141" s="84">
        <v>0.0</v>
      </c>
      <c r="AA141" s="84">
        <v>0.0</v>
      </c>
      <c r="AB141" s="84">
        <v>0.0</v>
      </c>
      <c r="AC141" s="91">
        <v>0.002554278416347382</v>
      </c>
      <c r="AD141" s="84">
        <v>0.0</v>
      </c>
      <c r="AE141" s="84">
        <v>0.0</v>
      </c>
      <c r="AF141" s="84">
        <v>0.0</v>
      </c>
      <c r="AG141" s="84">
        <v>0.0</v>
      </c>
      <c r="AH141" s="84">
        <v>0.0</v>
      </c>
      <c r="AI141" s="84">
        <v>0.0</v>
      </c>
      <c r="AJ141" s="84">
        <v>0.0</v>
      </c>
      <c r="AK141" s="84">
        <v>0.0</v>
      </c>
      <c r="AL141" s="84">
        <v>0.0</v>
      </c>
      <c r="AM141" s="84">
        <v>0.0</v>
      </c>
      <c r="AN141" s="93">
        <f t="shared" si="1"/>
        <v>0.004978520841</v>
      </c>
      <c r="AO141" s="84">
        <f t="shared" si="2"/>
        <v>0</v>
      </c>
    </row>
    <row r="142" ht="12.75" customHeight="1">
      <c r="A142" s="84" t="s">
        <v>4249</v>
      </c>
      <c r="B142" s="84">
        <v>0.0</v>
      </c>
      <c r="C142" s="84">
        <v>0.0</v>
      </c>
      <c r="D142" s="84">
        <v>0.0</v>
      </c>
      <c r="E142" s="84">
        <v>0.0</v>
      </c>
      <c r="F142" s="84">
        <v>0.0</v>
      </c>
      <c r="G142" s="84">
        <v>0.0</v>
      </c>
      <c r="H142" s="84">
        <v>0.0</v>
      </c>
      <c r="I142" s="91">
        <v>0.0024242424242424242</v>
      </c>
      <c r="J142" s="84">
        <v>0.0</v>
      </c>
      <c r="K142" s="84">
        <v>0.0</v>
      </c>
      <c r="L142" s="84">
        <v>0.0</v>
      </c>
      <c r="M142" s="84">
        <v>0.0</v>
      </c>
      <c r="N142" s="84">
        <v>0.0</v>
      </c>
      <c r="O142" s="84">
        <v>0.0</v>
      </c>
      <c r="P142" s="84">
        <v>0.0</v>
      </c>
      <c r="Q142" s="84">
        <v>0.0</v>
      </c>
      <c r="R142" s="84">
        <v>0.0</v>
      </c>
      <c r="S142" s="84">
        <v>0.0</v>
      </c>
      <c r="T142" s="84">
        <v>0.0</v>
      </c>
      <c r="U142" s="84">
        <v>0.0</v>
      </c>
      <c r="V142" s="84">
        <v>0.0</v>
      </c>
      <c r="W142" s="84">
        <v>0.0</v>
      </c>
      <c r="X142" s="84">
        <v>0.0</v>
      </c>
      <c r="Y142" s="84">
        <v>0.0</v>
      </c>
      <c r="Z142" s="84">
        <v>0.0</v>
      </c>
      <c r="AA142" s="84">
        <v>0.0</v>
      </c>
      <c r="AB142" s="84">
        <v>0.0</v>
      </c>
      <c r="AC142" s="91">
        <v>0.002554278416347382</v>
      </c>
      <c r="AD142" s="84">
        <v>0.0</v>
      </c>
      <c r="AE142" s="84">
        <v>0.0</v>
      </c>
      <c r="AF142" s="84">
        <v>0.0</v>
      </c>
      <c r="AG142" s="84">
        <v>0.0</v>
      </c>
      <c r="AH142" s="84">
        <v>0.0</v>
      </c>
      <c r="AI142" s="84">
        <v>0.0</v>
      </c>
      <c r="AJ142" s="84">
        <v>0.0</v>
      </c>
      <c r="AK142" s="84">
        <v>0.0</v>
      </c>
      <c r="AL142" s="84">
        <v>0.0</v>
      </c>
      <c r="AM142" s="84">
        <v>0.0</v>
      </c>
      <c r="AN142" s="93">
        <f t="shared" si="1"/>
        <v>0.004978520841</v>
      </c>
      <c r="AO142" s="84">
        <f t="shared" si="2"/>
        <v>0</v>
      </c>
    </row>
    <row r="143" ht="12.75" customHeight="1">
      <c r="A143" s="84" t="s">
        <v>4234</v>
      </c>
      <c r="B143" s="84">
        <v>0.0</v>
      </c>
      <c r="C143" s="84">
        <v>0.0</v>
      </c>
      <c r="D143" s="84">
        <v>0.0</v>
      </c>
      <c r="E143" s="84">
        <v>0.0</v>
      </c>
      <c r="F143" s="84">
        <v>0.0</v>
      </c>
      <c r="G143" s="84">
        <v>0.0</v>
      </c>
      <c r="H143" s="84">
        <v>0.0</v>
      </c>
      <c r="I143" s="91">
        <v>0.0024242424242424242</v>
      </c>
      <c r="J143" s="84">
        <v>0.0</v>
      </c>
      <c r="K143" s="84">
        <v>0.0</v>
      </c>
      <c r="L143" s="84">
        <v>0.0</v>
      </c>
      <c r="M143" s="84">
        <v>0.0</v>
      </c>
      <c r="N143" s="84">
        <v>0.0</v>
      </c>
      <c r="O143" s="84">
        <v>0.0</v>
      </c>
      <c r="P143" s="84">
        <v>0.0</v>
      </c>
      <c r="Q143" s="84">
        <v>0.0</v>
      </c>
      <c r="R143" s="84">
        <v>0.0</v>
      </c>
      <c r="S143" s="84">
        <v>0.0</v>
      </c>
      <c r="T143" s="84">
        <v>0.0</v>
      </c>
      <c r="U143" s="84">
        <v>0.0</v>
      </c>
      <c r="V143" s="84">
        <v>0.0</v>
      </c>
      <c r="W143" s="84">
        <v>0.0</v>
      </c>
      <c r="X143" s="84">
        <v>0.0</v>
      </c>
      <c r="Y143" s="84">
        <v>0.0</v>
      </c>
      <c r="Z143" s="84">
        <v>0.0</v>
      </c>
      <c r="AA143" s="84">
        <v>0.0</v>
      </c>
      <c r="AB143" s="84">
        <v>0.0</v>
      </c>
      <c r="AC143" s="91">
        <v>0.002554278416347382</v>
      </c>
      <c r="AD143" s="84">
        <v>0.0</v>
      </c>
      <c r="AE143" s="84">
        <v>0.0</v>
      </c>
      <c r="AF143" s="84">
        <v>0.0</v>
      </c>
      <c r="AG143" s="84">
        <v>0.0</v>
      </c>
      <c r="AH143" s="84">
        <v>0.0</v>
      </c>
      <c r="AI143" s="84">
        <v>0.0</v>
      </c>
      <c r="AJ143" s="84">
        <v>0.0</v>
      </c>
      <c r="AK143" s="84">
        <v>0.0</v>
      </c>
      <c r="AL143" s="84">
        <v>0.0</v>
      </c>
      <c r="AM143" s="84">
        <v>0.0</v>
      </c>
      <c r="AN143" s="93">
        <f t="shared" si="1"/>
        <v>0.004978520841</v>
      </c>
      <c r="AO143" s="84">
        <f t="shared" si="2"/>
        <v>0</v>
      </c>
    </row>
    <row r="144" ht="12.75" customHeight="1">
      <c r="A144" s="84" t="s">
        <v>4099</v>
      </c>
      <c r="B144" s="84">
        <v>0.0</v>
      </c>
      <c r="C144" s="84">
        <v>0.0</v>
      </c>
      <c r="D144" s="84">
        <v>0.0</v>
      </c>
      <c r="E144" s="84">
        <v>0.0</v>
      </c>
      <c r="F144" s="84">
        <v>0.0</v>
      </c>
      <c r="G144" s="84">
        <v>0.0</v>
      </c>
      <c r="H144" s="84">
        <v>0.0</v>
      </c>
      <c r="I144" s="91">
        <v>0.0024242424242424242</v>
      </c>
      <c r="J144" s="84">
        <v>0.0</v>
      </c>
      <c r="K144" s="84">
        <v>0.0</v>
      </c>
      <c r="L144" s="84">
        <v>0.0</v>
      </c>
      <c r="M144" s="84">
        <v>0.0</v>
      </c>
      <c r="N144" s="84">
        <v>0.0</v>
      </c>
      <c r="O144" s="84">
        <v>0.0</v>
      </c>
      <c r="P144" s="84">
        <v>0.0</v>
      </c>
      <c r="Q144" s="84">
        <v>0.0</v>
      </c>
      <c r="R144" s="84">
        <v>0.0</v>
      </c>
      <c r="S144" s="84">
        <v>0.0</v>
      </c>
      <c r="T144" s="84">
        <v>0.0</v>
      </c>
      <c r="U144" s="84">
        <v>0.0</v>
      </c>
      <c r="V144" s="84">
        <v>0.0</v>
      </c>
      <c r="W144" s="84">
        <v>0.0</v>
      </c>
      <c r="X144" s="84">
        <v>0.0</v>
      </c>
      <c r="Y144" s="84">
        <v>0.0</v>
      </c>
      <c r="Z144" s="84">
        <v>0.0</v>
      </c>
      <c r="AA144" s="84">
        <v>0.0</v>
      </c>
      <c r="AB144" s="84">
        <v>0.0</v>
      </c>
      <c r="AC144" s="91">
        <v>0.002554278416347382</v>
      </c>
      <c r="AD144" s="84">
        <v>0.0</v>
      </c>
      <c r="AE144" s="84">
        <v>0.0</v>
      </c>
      <c r="AF144" s="84">
        <v>0.0</v>
      </c>
      <c r="AG144" s="84">
        <v>0.0</v>
      </c>
      <c r="AH144" s="84">
        <v>0.0</v>
      </c>
      <c r="AI144" s="84">
        <v>0.0</v>
      </c>
      <c r="AJ144" s="84">
        <v>0.0</v>
      </c>
      <c r="AK144" s="84">
        <v>0.0</v>
      </c>
      <c r="AL144" s="84">
        <v>0.0</v>
      </c>
      <c r="AM144" s="84">
        <v>0.0</v>
      </c>
      <c r="AN144" s="93">
        <f t="shared" si="1"/>
        <v>0.004978520841</v>
      </c>
      <c r="AO144" s="84">
        <f t="shared" si="2"/>
        <v>0</v>
      </c>
    </row>
    <row r="145" ht="12.75" customHeight="1">
      <c r="A145" s="84" t="s">
        <v>3986</v>
      </c>
      <c r="B145" s="84">
        <v>0.0</v>
      </c>
      <c r="C145" s="84">
        <v>0.0</v>
      </c>
      <c r="D145" s="84">
        <v>0.0</v>
      </c>
      <c r="E145" s="84">
        <v>0.0</v>
      </c>
      <c r="F145" s="84">
        <v>0.0</v>
      </c>
      <c r="G145" s="84">
        <v>0.0</v>
      </c>
      <c r="H145" s="84">
        <v>0.0</v>
      </c>
      <c r="I145" s="91">
        <v>0.0024242424242424242</v>
      </c>
      <c r="J145" s="84">
        <v>0.0</v>
      </c>
      <c r="K145" s="84">
        <v>0.0</v>
      </c>
      <c r="L145" s="84">
        <v>0.0</v>
      </c>
      <c r="M145" s="84">
        <v>0.0</v>
      </c>
      <c r="N145" s="84">
        <v>0.0</v>
      </c>
      <c r="O145" s="84">
        <v>0.0</v>
      </c>
      <c r="P145" s="84">
        <v>0.0</v>
      </c>
      <c r="Q145" s="84">
        <v>0.0</v>
      </c>
      <c r="R145" s="84">
        <v>0.0</v>
      </c>
      <c r="S145" s="84">
        <v>0.0</v>
      </c>
      <c r="T145" s="84">
        <v>0.0</v>
      </c>
      <c r="U145" s="84">
        <v>0.0</v>
      </c>
      <c r="V145" s="84">
        <v>0.0</v>
      </c>
      <c r="W145" s="84">
        <v>0.0</v>
      </c>
      <c r="X145" s="84">
        <v>0.0</v>
      </c>
      <c r="Y145" s="84">
        <v>0.0</v>
      </c>
      <c r="Z145" s="84">
        <v>0.0</v>
      </c>
      <c r="AA145" s="84">
        <v>0.0</v>
      </c>
      <c r="AB145" s="84">
        <v>0.0</v>
      </c>
      <c r="AC145" s="91">
        <v>0.0038314176245210726</v>
      </c>
      <c r="AD145" s="84">
        <v>0.0</v>
      </c>
      <c r="AE145" s="84">
        <v>0.0</v>
      </c>
      <c r="AF145" s="84">
        <v>0.0</v>
      </c>
      <c r="AG145" s="84">
        <v>0.0</v>
      </c>
      <c r="AH145" s="84">
        <v>0.0</v>
      </c>
      <c r="AI145" s="84">
        <v>0.0</v>
      </c>
      <c r="AJ145" s="84">
        <v>0.0</v>
      </c>
      <c r="AK145" s="84">
        <v>0.0</v>
      </c>
      <c r="AL145" s="84">
        <v>0.0</v>
      </c>
      <c r="AM145" s="84">
        <v>0.0</v>
      </c>
      <c r="AN145" s="93">
        <f t="shared" si="1"/>
        <v>0.006255660049</v>
      </c>
      <c r="AO145" s="84">
        <f t="shared" si="2"/>
        <v>0</v>
      </c>
    </row>
    <row r="146" ht="12.75" customHeight="1">
      <c r="A146" s="84" t="s">
        <v>4155</v>
      </c>
      <c r="B146" s="84">
        <v>0.0</v>
      </c>
      <c r="C146" s="84">
        <v>0.0</v>
      </c>
      <c r="D146" s="84">
        <v>0.0</v>
      </c>
      <c r="E146" s="84">
        <v>0.0</v>
      </c>
      <c r="F146" s="84">
        <v>0.0</v>
      </c>
      <c r="G146" s="84">
        <v>0.0</v>
      </c>
      <c r="H146" s="84">
        <v>0.0</v>
      </c>
      <c r="I146" s="91">
        <v>0.0024242424242424242</v>
      </c>
      <c r="J146" s="84">
        <v>0.0</v>
      </c>
      <c r="K146" s="84">
        <v>0.0</v>
      </c>
      <c r="L146" s="84">
        <v>0.0</v>
      </c>
      <c r="M146" s="84">
        <v>0.0</v>
      </c>
      <c r="N146" s="84">
        <v>0.0</v>
      </c>
      <c r="O146" s="84">
        <v>0.0</v>
      </c>
      <c r="P146" s="84">
        <v>0.0</v>
      </c>
      <c r="Q146" s="84">
        <v>0.0</v>
      </c>
      <c r="R146" s="84">
        <v>0.0</v>
      </c>
      <c r="S146" s="84">
        <v>0.0</v>
      </c>
      <c r="T146" s="84">
        <v>0.0</v>
      </c>
      <c r="U146" s="84">
        <v>0.0</v>
      </c>
      <c r="V146" s="84">
        <v>0.0</v>
      </c>
      <c r="W146" s="84">
        <v>0.0</v>
      </c>
      <c r="X146" s="84">
        <v>0.0</v>
      </c>
      <c r="Y146" s="84">
        <v>0.0</v>
      </c>
      <c r="Z146" s="84">
        <v>0.0</v>
      </c>
      <c r="AA146" s="84">
        <v>0.0</v>
      </c>
      <c r="AB146" s="84">
        <v>0.0</v>
      </c>
      <c r="AC146" s="91">
        <v>0.002554278416347382</v>
      </c>
      <c r="AD146" s="84">
        <v>0.0</v>
      </c>
      <c r="AE146" s="84">
        <v>0.0</v>
      </c>
      <c r="AF146" s="84">
        <v>0.0</v>
      </c>
      <c r="AG146" s="84">
        <v>0.0</v>
      </c>
      <c r="AH146" s="84">
        <v>0.0</v>
      </c>
      <c r="AI146" s="84">
        <v>0.0</v>
      </c>
      <c r="AJ146" s="84">
        <v>0.0</v>
      </c>
      <c r="AK146" s="84">
        <v>0.0</v>
      </c>
      <c r="AL146" s="84">
        <v>0.0</v>
      </c>
      <c r="AM146" s="84">
        <v>0.0</v>
      </c>
      <c r="AN146" s="93">
        <f t="shared" si="1"/>
        <v>0.004978520841</v>
      </c>
      <c r="AO146" s="84">
        <f t="shared" si="2"/>
        <v>0</v>
      </c>
    </row>
    <row r="147" ht="12.75" customHeight="1">
      <c r="A147" s="84" t="s">
        <v>4029</v>
      </c>
      <c r="B147" s="84">
        <v>0.0</v>
      </c>
      <c r="C147" s="84">
        <v>0.0</v>
      </c>
      <c r="D147" s="84">
        <v>0.0</v>
      </c>
      <c r="E147" s="84">
        <v>0.0</v>
      </c>
      <c r="F147" s="84">
        <v>0.0</v>
      </c>
      <c r="G147" s="84">
        <v>0.0</v>
      </c>
      <c r="H147" s="84">
        <v>0.0</v>
      </c>
      <c r="I147" s="91">
        <v>0.0024242424242424242</v>
      </c>
      <c r="J147" s="84">
        <v>0.0</v>
      </c>
      <c r="K147" s="84">
        <v>0.0</v>
      </c>
      <c r="L147" s="84">
        <v>0.0</v>
      </c>
      <c r="M147" s="84">
        <v>0.0</v>
      </c>
      <c r="N147" s="84">
        <v>0.0</v>
      </c>
      <c r="O147" s="84">
        <v>0.0</v>
      </c>
      <c r="P147" s="84">
        <v>0.0</v>
      </c>
      <c r="Q147" s="84">
        <v>0.0</v>
      </c>
      <c r="R147" s="84">
        <v>0.0</v>
      </c>
      <c r="S147" s="84">
        <v>0.0</v>
      </c>
      <c r="T147" s="84">
        <v>0.0</v>
      </c>
      <c r="U147" s="84">
        <v>0.0</v>
      </c>
      <c r="V147" s="84">
        <v>0.0</v>
      </c>
      <c r="W147" s="84">
        <v>0.0</v>
      </c>
      <c r="X147" s="84">
        <v>0.0</v>
      </c>
      <c r="Y147" s="84">
        <v>0.0</v>
      </c>
      <c r="Z147" s="84">
        <v>0.0</v>
      </c>
      <c r="AA147" s="84">
        <v>0.0</v>
      </c>
      <c r="AB147" s="84">
        <v>0.0</v>
      </c>
      <c r="AC147" s="91">
        <v>0.002554278416347382</v>
      </c>
      <c r="AD147" s="84">
        <v>0.0</v>
      </c>
      <c r="AE147" s="84">
        <v>0.0</v>
      </c>
      <c r="AF147" s="84">
        <v>0.0</v>
      </c>
      <c r="AG147" s="84">
        <v>0.0</v>
      </c>
      <c r="AH147" s="84">
        <v>0.0</v>
      </c>
      <c r="AI147" s="84">
        <v>0.0</v>
      </c>
      <c r="AJ147" s="84">
        <v>0.0</v>
      </c>
      <c r="AK147" s="84">
        <v>0.0</v>
      </c>
      <c r="AL147" s="84">
        <v>0.0</v>
      </c>
      <c r="AM147" s="84">
        <v>0.0</v>
      </c>
      <c r="AN147" s="93">
        <f t="shared" si="1"/>
        <v>0.004978520841</v>
      </c>
      <c r="AO147" s="84">
        <f t="shared" si="2"/>
        <v>0</v>
      </c>
    </row>
    <row r="148" ht="12.75" customHeight="1">
      <c r="A148" s="84" t="s">
        <v>4194</v>
      </c>
      <c r="B148" s="84">
        <v>0.0</v>
      </c>
      <c r="C148" s="84">
        <v>0.0</v>
      </c>
      <c r="D148" s="84">
        <v>0.0</v>
      </c>
      <c r="E148" s="84">
        <v>0.0</v>
      </c>
      <c r="F148" s="84">
        <v>0.0</v>
      </c>
      <c r="G148" s="84">
        <v>0.0</v>
      </c>
      <c r="H148" s="84">
        <v>0.0</v>
      </c>
      <c r="I148" s="91">
        <v>0.0024242424242424242</v>
      </c>
      <c r="J148" s="84">
        <v>0.0</v>
      </c>
      <c r="K148" s="84">
        <v>0.0</v>
      </c>
      <c r="L148" s="84">
        <v>0.0</v>
      </c>
      <c r="M148" s="84">
        <v>0.0</v>
      </c>
      <c r="N148" s="84">
        <v>0.0</v>
      </c>
      <c r="O148" s="84">
        <v>0.0</v>
      </c>
      <c r="P148" s="84">
        <v>0.0</v>
      </c>
      <c r="Q148" s="84">
        <v>0.0</v>
      </c>
      <c r="R148" s="84">
        <v>0.0</v>
      </c>
      <c r="S148" s="84">
        <v>0.0</v>
      </c>
      <c r="T148" s="84">
        <v>0.0</v>
      </c>
      <c r="U148" s="84">
        <v>0.0</v>
      </c>
      <c r="V148" s="84">
        <v>0.0</v>
      </c>
      <c r="W148" s="84">
        <v>0.0</v>
      </c>
      <c r="X148" s="84">
        <v>0.0</v>
      </c>
      <c r="Y148" s="84">
        <v>0.0</v>
      </c>
      <c r="Z148" s="84">
        <v>0.0</v>
      </c>
      <c r="AA148" s="84">
        <v>0.0</v>
      </c>
      <c r="AB148" s="84">
        <v>0.0</v>
      </c>
      <c r="AC148" s="91">
        <v>0.002554278416347382</v>
      </c>
      <c r="AD148" s="84">
        <v>0.0</v>
      </c>
      <c r="AE148" s="84">
        <v>0.0</v>
      </c>
      <c r="AF148" s="84">
        <v>0.0</v>
      </c>
      <c r="AG148" s="84">
        <v>0.0</v>
      </c>
      <c r="AH148" s="84">
        <v>0.0</v>
      </c>
      <c r="AI148" s="84">
        <v>0.0</v>
      </c>
      <c r="AJ148" s="84">
        <v>0.0</v>
      </c>
      <c r="AK148" s="84">
        <v>0.0</v>
      </c>
      <c r="AL148" s="84">
        <v>0.0</v>
      </c>
      <c r="AM148" s="84">
        <v>0.0</v>
      </c>
      <c r="AN148" s="93">
        <f t="shared" si="1"/>
        <v>0.004978520841</v>
      </c>
      <c r="AO148" s="84">
        <f t="shared" si="2"/>
        <v>0</v>
      </c>
    </row>
    <row r="149" ht="12.75" customHeight="1">
      <c r="A149" s="84" t="s">
        <v>3993</v>
      </c>
      <c r="B149" s="84">
        <v>0.0</v>
      </c>
      <c r="C149" s="84">
        <v>0.0</v>
      </c>
      <c r="D149" s="84">
        <v>0.0</v>
      </c>
      <c r="E149" s="84">
        <v>0.0</v>
      </c>
      <c r="F149" s="84">
        <v>0.0</v>
      </c>
      <c r="G149" s="84">
        <v>0.0</v>
      </c>
      <c r="H149" s="84">
        <v>0.0</v>
      </c>
      <c r="I149" s="91">
        <v>0.0024242424242424242</v>
      </c>
      <c r="J149" s="84">
        <v>0.0</v>
      </c>
      <c r="K149" s="84">
        <v>0.0</v>
      </c>
      <c r="L149" s="84">
        <v>0.0</v>
      </c>
      <c r="M149" s="84">
        <v>0.0</v>
      </c>
      <c r="N149" s="84">
        <v>0.0</v>
      </c>
      <c r="O149" s="84">
        <v>0.0</v>
      </c>
      <c r="P149" s="84">
        <v>0.0</v>
      </c>
      <c r="Q149" s="84">
        <v>0.0</v>
      </c>
      <c r="R149" s="84">
        <v>0.0</v>
      </c>
      <c r="S149" s="84">
        <v>0.0</v>
      </c>
      <c r="T149" s="84">
        <v>0.0</v>
      </c>
      <c r="U149" s="84">
        <v>0.0</v>
      </c>
      <c r="V149" s="84">
        <v>0.0</v>
      </c>
      <c r="W149" s="84">
        <v>0.0</v>
      </c>
      <c r="X149" s="84">
        <v>0.0</v>
      </c>
      <c r="Y149" s="84">
        <v>0.0</v>
      </c>
      <c r="Z149" s="84">
        <v>0.0</v>
      </c>
      <c r="AA149" s="84">
        <v>0.0</v>
      </c>
      <c r="AB149" s="84">
        <v>0.0</v>
      </c>
      <c r="AC149" s="91">
        <v>0.002554278416347382</v>
      </c>
      <c r="AD149" s="84">
        <v>0.0</v>
      </c>
      <c r="AE149" s="84">
        <v>0.0</v>
      </c>
      <c r="AF149" s="84">
        <v>0.0</v>
      </c>
      <c r="AG149" s="84">
        <v>0.0</v>
      </c>
      <c r="AH149" s="84">
        <v>0.0</v>
      </c>
      <c r="AI149" s="84">
        <v>0.0</v>
      </c>
      <c r="AJ149" s="84">
        <v>0.0</v>
      </c>
      <c r="AK149" s="84">
        <v>0.0</v>
      </c>
      <c r="AL149" s="84">
        <v>0.0</v>
      </c>
      <c r="AM149" s="84">
        <v>0.0</v>
      </c>
      <c r="AN149" s="93">
        <f t="shared" si="1"/>
        <v>0.004978520841</v>
      </c>
      <c r="AO149" s="84">
        <f t="shared" si="2"/>
        <v>0</v>
      </c>
    </row>
    <row r="150" ht="12.75" customHeight="1">
      <c r="A150" s="84" t="s">
        <v>4163</v>
      </c>
      <c r="B150" s="84">
        <v>0.0</v>
      </c>
      <c r="C150" s="84">
        <v>0.0</v>
      </c>
      <c r="D150" s="84">
        <v>0.0</v>
      </c>
      <c r="E150" s="84">
        <v>0.0</v>
      </c>
      <c r="F150" s="84">
        <v>0.0</v>
      </c>
      <c r="G150" s="84">
        <v>0.0</v>
      </c>
      <c r="H150" s="84">
        <v>0.0</v>
      </c>
      <c r="I150" s="91">
        <v>0.0024242424242424242</v>
      </c>
      <c r="J150" s="84">
        <v>0.0</v>
      </c>
      <c r="K150" s="84">
        <v>0.0</v>
      </c>
      <c r="L150" s="84">
        <v>0.0</v>
      </c>
      <c r="M150" s="84">
        <v>0.0</v>
      </c>
      <c r="N150" s="84">
        <v>0.0</v>
      </c>
      <c r="O150" s="84">
        <v>0.0</v>
      </c>
      <c r="P150" s="84">
        <v>0.0</v>
      </c>
      <c r="Q150" s="84">
        <v>0.0</v>
      </c>
      <c r="R150" s="84">
        <v>0.0</v>
      </c>
      <c r="S150" s="84">
        <v>0.0</v>
      </c>
      <c r="T150" s="84">
        <v>0.0</v>
      </c>
      <c r="U150" s="84">
        <v>0.0</v>
      </c>
      <c r="V150" s="84">
        <v>0.0</v>
      </c>
      <c r="W150" s="84">
        <v>0.0</v>
      </c>
      <c r="X150" s="84">
        <v>0.0</v>
      </c>
      <c r="Y150" s="84">
        <v>0.0</v>
      </c>
      <c r="Z150" s="84">
        <v>0.0</v>
      </c>
      <c r="AA150" s="84">
        <v>0.0</v>
      </c>
      <c r="AB150" s="84">
        <v>0.0</v>
      </c>
      <c r="AC150" s="91">
        <v>0.002554278416347382</v>
      </c>
      <c r="AD150" s="84">
        <v>0.0</v>
      </c>
      <c r="AE150" s="84">
        <v>0.0</v>
      </c>
      <c r="AF150" s="84">
        <v>0.0</v>
      </c>
      <c r="AG150" s="84">
        <v>0.0</v>
      </c>
      <c r="AH150" s="84">
        <v>0.0</v>
      </c>
      <c r="AI150" s="84">
        <v>0.0</v>
      </c>
      <c r="AJ150" s="84">
        <v>0.0</v>
      </c>
      <c r="AK150" s="84">
        <v>0.0</v>
      </c>
      <c r="AL150" s="84">
        <v>0.0</v>
      </c>
      <c r="AM150" s="84">
        <v>0.0</v>
      </c>
      <c r="AN150" s="93">
        <f t="shared" si="1"/>
        <v>0.004978520841</v>
      </c>
      <c r="AO150" s="84">
        <f t="shared" si="2"/>
        <v>0</v>
      </c>
    </row>
    <row r="151" ht="12.75" customHeight="1">
      <c r="A151" s="84" t="s">
        <v>4076</v>
      </c>
      <c r="B151" s="84">
        <v>0.0</v>
      </c>
      <c r="C151" s="84">
        <v>0.0</v>
      </c>
      <c r="D151" s="84">
        <v>0.0</v>
      </c>
      <c r="E151" s="84">
        <v>0.0</v>
      </c>
      <c r="F151" s="84">
        <v>0.0</v>
      </c>
      <c r="G151" s="84">
        <v>0.0</v>
      </c>
      <c r="H151" s="84">
        <v>0.0</v>
      </c>
      <c r="I151" s="91">
        <v>0.0024242424242424242</v>
      </c>
      <c r="J151" s="84">
        <v>0.0</v>
      </c>
      <c r="K151" s="84">
        <v>0.0</v>
      </c>
      <c r="L151" s="84">
        <v>0.0</v>
      </c>
      <c r="M151" s="84">
        <v>0.0</v>
      </c>
      <c r="N151" s="84">
        <v>0.0</v>
      </c>
      <c r="O151" s="84">
        <v>0.0</v>
      </c>
      <c r="P151" s="84">
        <v>0.0</v>
      </c>
      <c r="Q151" s="84">
        <v>0.0</v>
      </c>
      <c r="R151" s="84">
        <v>0.0</v>
      </c>
      <c r="S151" s="84">
        <v>0.0</v>
      </c>
      <c r="T151" s="84">
        <v>0.0</v>
      </c>
      <c r="U151" s="84">
        <v>0.0</v>
      </c>
      <c r="V151" s="84">
        <v>0.0</v>
      </c>
      <c r="W151" s="84">
        <v>0.0</v>
      </c>
      <c r="X151" s="84">
        <v>0.0</v>
      </c>
      <c r="Y151" s="84">
        <v>0.0</v>
      </c>
      <c r="Z151" s="84">
        <v>0.0</v>
      </c>
      <c r="AA151" s="84">
        <v>0.0</v>
      </c>
      <c r="AB151" s="84">
        <v>0.0</v>
      </c>
      <c r="AC151" s="91">
        <v>0.002554278416347382</v>
      </c>
      <c r="AD151" s="84">
        <v>0.0</v>
      </c>
      <c r="AE151" s="84">
        <v>0.0</v>
      </c>
      <c r="AF151" s="84">
        <v>0.0</v>
      </c>
      <c r="AG151" s="84">
        <v>0.0</v>
      </c>
      <c r="AH151" s="84">
        <v>0.0</v>
      </c>
      <c r="AI151" s="84">
        <v>0.0</v>
      </c>
      <c r="AJ151" s="84">
        <v>0.0</v>
      </c>
      <c r="AK151" s="84">
        <v>0.0</v>
      </c>
      <c r="AL151" s="84">
        <v>0.0</v>
      </c>
      <c r="AM151" s="84">
        <v>0.0</v>
      </c>
      <c r="AN151" s="93">
        <f t="shared" si="1"/>
        <v>0.004978520841</v>
      </c>
      <c r="AO151" s="84">
        <f t="shared" si="2"/>
        <v>0</v>
      </c>
    </row>
    <row r="152" ht="12.75" customHeight="1">
      <c r="A152" s="84" t="s">
        <v>4367</v>
      </c>
      <c r="B152" s="84">
        <v>0.0</v>
      </c>
      <c r="C152" s="84">
        <v>0.0</v>
      </c>
      <c r="D152" s="84">
        <v>0.0</v>
      </c>
      <c r="E152" s="84">
        <v>0.0</v>
      </c>
      <c r="F152" s="84">
        <v>0.0</v>
      </c>
      <c r="G152" s="84">
        <v>0.0</v>
      </c>
      <c r="H152" s="84">
        <v>0.0</v>
      </c>
      <c r="I152" s="91">
        <v>0.0024242424242424242</v>
      </c>
      <c r="J152" s="84">
        <v>0.0</v>
      </c>
      <c r="K152" s="84">
        <v>0.0</v>
      </c>
      <c r="L152" s="84">
        <v>0.0</v>
      </c>
      <c r="M152" s="84">
        <v>0.0</v>
      </c>
      <c r="N152" s="84">
        <v>0.0</v>
      </c>
      <c r="O152" s="84">
        <v>0.0</v>
      </c>
      <c r="P152" s="84">
        <v>0.0</v>
      </c>
      <c r="Q152" s="84">
        <v>0.0</v>
      </c>
      <c r="R152" s="84">
        <v>0.0</v>
      </c>
      <c r="S152" s="84">
        <v>0.0</v>
      </c>
      <c r="T152" s="84">
        <v>0.0</v>
      </c>
      <c r="U152" s="84">
        <v>0.0</v>
      </c>
      <c r="V152" s="84">
        <v>0.0</v>
      </c>
      <c r="W152" s="84">
        <v>0.0</v>
      </c>
      <c r="X152" s="84">
        <v>0.0</v>
      </c>
      <c r="Y152" s="84">
        <v>0.0</v>
      </c>
      <c r="Z152" s="84">
        <v>0.0</v>
      </c>
      <c r="AA152" s="84">
        <v>0.0</v>
      </c>
      <c r="AB152" s="84">
        <v>0.0</v>
      </c>
      <c r="AC152" s="91">
        <v>0.005108556832694764</v>
      </c>
      <c r="AD152" s="84">
        <v>0.0</v>
      </c>
      <c r="AE152" s="84">
        <v>0.0</v>
      </c>
      <c r="AF152" s="84">
        <v>0.0</v>
      </c>
      <c r="AG152" s="84">
        <v>0.0</v>
      </c>
      <c r="AH152" s="84">
        <v>0.0</v>
      </c>
      <c r="AI152" s="84">
        <v>0.0</v>
      </c>
      <c r="AJ152" s="84">
        <v>0.0</v>
      </c>
      <c r="AK152" s="84">
        <v>0.0</v>
      </c>
      <c r="AL152" s="84">
        <v>0.0</v>
      </c>
      <c r="AM152" s="84">
        <v>0.0</v>
      </c>
      <c r="AN152" s="93">
        <f t="shared" si="1"/>
        <v>0.007532799257</v>
      </c>
      <c r="AO152" s="84">
        <f t="shared" si="2"/>
        <v>0</v>
      </c>
    </row>
    <row r="153" ht="12.75" customHeight="1">
      <c r="A153" s="84" t="s">
        <v>4081</v>
      </c>
      <c r="B153" s="84">
        <v>0.0</v>
      </c>
      <c r="C153" s="84">
        <v>0.0</v>
      </c>
      <c r="D153" s="84">
        <v>0.0</v>
      </c>
      <c r="E153" s="84">
        <v>0.0</v>
      </c>
      <c r="F153" s="84">
        <v>0.0</v>
      </c>
      <c r="G153" s="84">
        <v>0.0</v>
      </c>
      <c r="H153" s="84">
        <v>0.0</v>
      </c>
      <c r="I153" s="91">
        <v>0.0024242424242424242</v>
      </c>
      <c r="J153" s="84">
        <v>0.0</v>
      </c>
      <c r="K153" s="84">
        <v>0.0</v>
      </c>
      <c r="L153" s="84">
        <v>0.0</v>
      </c>
      <c r="M153" s="84">
        <v>0.0</v>
      </c>
      <c r="N153" s="84">
        <v>0.0</v>
      </c>
      <c r="O153" s="84">
        <v>0.0</v>
      </c>
      <c r="P153" s="84">
        <v>0.0</v>
      </c>
      <c r="Q153" s="84">
        <v>0.0</v>
      </c>
      <c r="R153" s="84">
        <v>0.0</v>
      </c>
      <c r="S153" s="84">
        <v>0.0</v>
      </c>
      <c r="T153" s="84">
        <v>0.0</v>
      </c>
      <c r="U153" s="84">
        <v>0.0</v>
      </c>
      <c r="V153" s="84">
        <v>0.0</v>
      </c>
      <c r="W153" s="84">
        <v>0.0</v>
      </c>
      <c r="X153" s="84">
        <v>0.0</v>
      </c>
      <c r="Y153" s="84">
        <v>0.0</v>
      </c>
      <c r="Z153" s="84">
        <v>0.0</v>
      </c>
      <c r="AA153" s="84">
        <v>0.0</v>
      </c>
      <c r="AB153" s="84">
        <v>0.0</v>
      </c>
      <c r="AC153" s="91">
        <v>0.002554278416347382</v>
      </c>
      <c r="AD153" s="84">
        <v>0.0</v>
      </c>
      <c r="AE153" s="84">
        <v>0.0</v>
      </c>
      <c r="AF153" s="84">
        <v>0.0</v>
      </c>
      <c r="AG153" s="84">
        <v>0.0</v>
      </c>
      <c r="AH153" s="84">
        <v>0.0</v>
      </c>
      <c r="AI153" s="84">
        <v>0.0</v>
      </c>
      <c r="AJ153" s="84">
        <v>0.0</v>
      </c>
      <c r="AK153" s="84">
        <v>0.0</v>
      </c>
      <c r="AL153" s="84">
        <v>0.0</v>
      </c>
      <c r="AM153" s="84">
        <v>0.0</v>
      </c>
      <c r="AN153" s="93">
        <f t="shared" si="1"/>
        <v>0.004978520841</v>
      </c>
      <c r="AO153" s="84">
        <f t="shared" si="2"/>
        <v>0</v>
      </c>
    </row>
    <row r="154" ht="12.75" customHeight="1">
      <c r="A154" s="84" t="s">
        <v>4192</v>
      </c>
      <c r="B154" s="84">
        <v>0.0</v>
      </c>
      <c r="C154" s="84">
        <v>0.0</v>
      </c>
      <c r="D154" s="84">
        <v>0.0</v>
      </c>
      <c r="E154" s="84">
        <v>0.0</v>
      </c>
      <c r="F154" s="84">
        <v>0.0</v>
      </c>
      <c r="G154" s="84">
        <v>0.0</v>
      </c>
      <c r="H154" s="84">
        <v>0.0</v>
      </c>
      <c r="I154" s="91">
        <v>0.0024242424242424242</v>
      </c>
      <c r="J154" s="84">
        <v>0.0</v>
      </c>
      <c r="K154" s="84">
        <v>0.0</v>
      </c>
      <c r="L154" s="84">
        <v>0.0</v>
      </c>
      <c r="M154" s="84">
        <v>0.0</v>
      </c>
      <c r="N154" s="84">
        <v>0.0</v>
      </c>
      <c r="O154" s="84">
        <v>0.0</v>
      </c>
      <c r="P154" s="84">
        <v>0.0</v>
      </c>
      <c r="Q154" s="84">
        <v>0.0</v>
      </c>
      <c r="R154" s="84">
        <v>0.0</v>
      </c>
      <c r="S154" s="84">
        <v>0.0</v>
      </c>
      <c r="T154" s="84">
        <v>0.0</v>
      </c>
      <c r="U154" s="84">
        <v>0.0</v>
      </c>
      <c r="V154" s="84">
        <v>0.0</v>
      </c>
      <c r="W154" s="84">
        <v>0.0</v>
      </c>
      <c r="X154" s="84">
        <v>0.0</v>
      </c>
      <c r="Y154" s="84">
        <v>0.0</v>
      </c>
      <c r="Z154" s="84">
        <v>0.0</v>
      </c>
      <c r="AA154" s="84">
        <v>0.0</v>
      </c>
      <c r="AB154" s="84">
        <v>0.0</v>
      </c>
      <c r="AC154" s="91">
        <v>0.002554278416347382</v>
      </c>
      <c r="AD154" s="84">
        <v>0.0</v>
      </c>
      <c r="AE154" s="84">
        <v>0.0</v>
      </c>
      <c r="AF154" s="84">
        <v>0.0</v>
      </c>
      <c r="AG154" s="84">
        <v>0.0</v>
      </c>
      <c r="AH154" s="84">
        <v>0.0</v>
      </c>
      <c r="AI154" s="84">
        <v>0.0</v>
      </c>
      <c r="AJ154" s="84">
        <v>0.0</v>
      </c>
      <c r="AK154" s="84">
        <v>0.0</v>
      </c>
      <c r="AL154" s="84">
        <v>0.0</v>
      </c>
      <c r="AM154" s="84">
        <v>0.0</v>
      </c>
      <c r="AN154" s="93">
        <f t="shared" si="1"/>
        <v>0.004978520841</v>
      </c>
      <c r="AO154" s="84">
        <f t="shared" si="2"/>
        <v>0</v>
      </c>
    </row>
    <row r="155" ht="12.75" customHeight="1">
      <c r="A155" s="84" t="s">
        <v>3979</v>
      </c>
      <c r="B155" s="84">
        <v>0.0</v>
      </c>
      <c r="C155" s="84">
        <v>0.0</v>
      </c>
      <c r="D155" s="84">
        <v>0.0</v>
      </c>
      <c r="E155" s="84">
        <v>0.0</v>
      </c>
      <c r="F155" s="84">
        <v>0.0</v>
      </c>
      <c r="G155" s="84">
        <v>0.0</v>
      </c>
      <c r="H155" s="84">
        <v>0.0</v>
      </c>
      <c r="I155" s="91">
        <v>0.0024242424242424242</v>
      </c>
      <c r="J155" s="84">
        <v>0.0</v>
      </c>
      <c r="K155" s="84">
        <v>0.0</v>
      </c>
      <c r="L155" s="84">
        <v>0.0</v>
      </c>
      <c r="M155" s="84">
        <v>0.0</v>
      </c>
      <c r="N155" s="84">
        <v>0.0</v>
      </c>
      <c r="O155" s="84">
        <v>0.0</v>
      </c>
      <c r="P155" s="84">
        <v>0.0</v>
      </c>
      <c r="Q155" s="84">
        <v>0.0</v>
      </c>
      <c r="R155" s="84">
        <v>0.0</v>
      </c>
      <c r="S155" s="84">
        <v>0.0</v>
      </c>
      <c r="T155" s="84">
        <v>0.0</v>
      </c>
      <c r="U155" s="84">
        <v>0.0</v>
      </c>
      <c r="V155" s="84">
        <v>0.0</v>
      </c>
      <c r="W155" s="84">
        <v>0.0</v>
      </c>
      <c r="X155" s="84">
        <v>0.0</v>
      </c>
      <c r="Y155" s="84">
        <v>0.0</v>
      </c>
      <c r="Z155" s="84">
        <v>0.0</v>
      </c>
      <c r="AA155" s="84">
        <v>0.0</v>
      </c>
      <c r="AB155" s="84">
        <v>0.0</v>
      </c>
      <c r="AC155" s="91">
        <v>0.0038314176245210726</v>
      </c>
      <c r="AD155" s="84">
        <v>0.0</v>
      </c>
      <c r="AE155" s="84">
        <v>0.0</v>
      </c>
      <c r="AF155" s="84">
        <v>0.0</v>
      </c>
      <c r="AG155" s="84">
        <v>0.0</v>
      </c>
      <c r="AH155" s="84">
        <v>0.0</v>
      </c>
      <c r="AI155" s="84">
        <v>0.0</v>
      </c>
      <c r="AJ155" s="84">
        <v>0.0</v>
      </c>
      <c r="AK155" s="84">
        <v>0.0</v>
      </c>
      <c r="AL155" s="84">
        <v>0.0</v>
      </c>
      <c r="AM155" s="84">
        <v>0.0</v>
      </c>
      <c r="AN155" s="93">
        <f t="shared" si="1"/>
        <v>0.006255660049</v>
      </c>
      <c r="AO155" s="84">
        <f t="shared" si="2"/>
        <v>0</v>
      </c>
    </row>
    <row r="156" ht="12.75" customHeight="1">
      <c r="A156" s="84" t="s">
        <v>4121</v>
      </c>
      <c r="B156" s="84">
        <v>0.0</v>
      </c>
      <c r="C156" s="84">
        <v>0.0</v>
      </c>
      <c r="D156" s="84">
        <v>0.0</v>
      </c>
      <c r="E156" s="84">
        <v>0.0</v>
      </c>
      <c r="F156" s="84">
        <v>0.0</v>
      </c>
      <c r="G156" s="84">
        <v>0.0</v>
      </c>
      <c r="H156" s="84">
        <v>0.0</v>
      </c>
      <c r="I156" s="91">
        <v>0.0024242424242424242</v>
      </c>
      <c r="J156" s="84">
        <v>0.0</v>
      </c>
      <c r="K156" s="84">
        <v>0.0</v>
      </c>
      <c r="L156" s="84">
        <v>0.0</v>
      </c>
      <c r="M156" s="84">
        <v>0.0</v>
      </c>
      <c r="N156" s="84">
        <v>0.0</v>
      </c>
      <c r="O156" s="84">
        <v>0.0</v>
      </c>
      <c r="P156" s="84">
        <v>0.0</v>
      </c>
      <c r="Q156" s="84">
        <v>0.0</v>
      </c>
      <c r="R156" s="84">
        <v>0.0</v>
      </c>
      <c r="S156" s="84">
        <v>0.0</v>
      </c>
      <c r="T156" s="84">
        <v>0.0</v>
      </c>
      <c r="U156" s="84">
        <v>0.0</v>
      </c>
      <c r="V156" s="84">
        <v>0.0</v>
      </c>
      <c r="W156" s="84">
        <v>0.0</v>
      </c>
      <c r="X156" s="84">
        <v>0.0</v>
      </c>
      <c r="Y156" s="84">
        <v>0.0</v>
      </c>
      <c r="Z156" s="84">
        <v>0.0</v>
      </c>
      <c r="AA156" s="84">
        <v>0.0</v>
      </c>
      <c r="AB156" s="84">
        <v>0.0</v>
      </c>
      <c r="AC156" s="91">
        <v>0.002554278416347382</v>
      </c>
      <c r="AD156" s="84">
        <v>0.0</v>
      </c>
      <c r="AE156" s="84">
        <v>0.0</v>
      </c>
      <c r="AF156" s="84">
        <v>0.0</v>
      </c>
      <c r="AG156" s="84">
        <v>0.0</v>
      </c>
      <c r="AH156" s="84">
        <v>0.0</v>
      </c>
      <c r="AI156" s="84">
        <v>0.0</v>
      </c>
      <c r="AJ156" s="84">
        <v>0.0</v>
      </c>
      <c r="AK156" s="84">
        <v>0.0</v>
      </c>
      <c r="AL156" s="84">
        <v>0.0</v>
      </c>
      <c r="AM156" s="84">
        <v>0.0</v>
      </c>
      <c r="AN156" s="93">
        <f t="shared" si="1"/>
        <v>0.004978520841</v>
      </c>
      <c r="AO156" s="84">
        <f t="shared" si="2"/>
        <v>0</v>
      </c>
    </row>
    <row r="157" ht="12.75" customHeight="1">
      <c r="A157" s="84" t="s">
        <v>3989</v>
      </c>
      <c r="B157" s="84">
        <v>0.0</v>
      </c>
      <c r="C157" s="84">
        <v>0.0</v>
      </c>
      <c r="D157" s="84">
        <v>0.0</v>
      </c>
      <c r="E157" s="84">
        <v>0.0</v>
      </c>
      <c r="F157" s="84">
        <v>0.0</v>
      </c>
      <c r="G157" s="84">
        <v>0.0</v>
      </c>
      <c r="H157" s="84">
        <v>0.0</v>
      </c>
      <c r="I157" s="91">
        <v>0.0024242424242424242</v>
      </c>
      <c r="J157" s="84">
        <v>0.0</v>
      </c>
      <c r="K157" s="84">
        <v>0.0</v>
      </c>
      <c r="L157" s="84">
        <v>0.0</v>
      </c>
      <c r="M157" s="84">
        <v>0.0</v>
      </c>
      <c r="N157" s="84">
        <v>0.0</v>
      </c>
      <c r="O157" s="84">
        <v>0.0</v>
      </c>
      <c r="P157" s="84">
        <v>0.0</v>
      </c>
      <c r="Q157" s="84">
        <v>0.0</v>
      </c>
      <c r="R157" s="84">
        <v>0.0</v>
      </c>
      <c r="S157" s="84">
        <v>0.0</v>
      </c>
      <c r="T157" s="84">
        <v>0.0</v>
      </c>
      <c r="U157" s="84">
        <v>0.0</v>
      </c>
      <c r="V157" s="84">
        <v>0.0</v>
      </c>
      <c r="W157" s="84">
        <v>0.0</v>
      </c>
      <c r="X157" s="84">
        <v>0.0</v>
      </c>
      <c r="Y157" s="84">
        <v>0.0</v>
      </c>
      <c r="Z157" s="84">
        <v>0.0</v>
      </c>
      <c r="AA157" s="84">
        <v>0.0</v>
      </c>
      <c r="AB157" s="84">
        <v>1.0</v>
      </c>
      <c r="AC157" s="91">
        <v>0.002554278416347382</v>
      </c>
      <c r="AD157" s="84">
        <v>0.0</v>
      </c>
      <c r="AE157" s="84">
        <v>0.0</v>
      </c>
      <c r="AF157" s="84">
        <v>0.0</v>
      </c>
      <c r="AG157" s="84">
        <v>0.0</v>
      </c>
      <c r="AH157" s="84">
        <v>0.0</v>
      </c>
      <c r="AI157" s="84">
        <v>0.0</v>
      </c>
      <c r="AJ157" s="84">
        <v>0.0</v>
      </c>
      <c r="AK157" s="84">
        <v>0.0</v>
      </c>
      <c r="AL157" s="84">
        <v>0.0</v>
      </c>
      <c r="AM157" s="84">
        <v>0.0</v>
      </c>
      <c r="AN157" s="93">
        <f t="shared" si="1"/>
        <v>0.004978520841</v>
      </c>
      <c r="AO157" s="84">
        <f t="shared" si="2"/>
        <v>0</v>
      </c>
    </row>
    <row r="158" ht="12.75" customHeight="1">
      <c r="A158" s="84" t="s">
        <v>4199</v>
      </c>
      <c r="B158" s="84">
        <v>0.0</v>
      </c>
      <c r="C158" s="84">
        <v>0.0</v>
      </c>
      <c r="D158" s="84">
        <v>0.0</v>
      </c>
      <c r="E158" s="84">
        <v>0.0</v>
      </c>
      <c r="F158" s="84">
        <v>0.0</v>
      </c>
      <c r="G158" s="84">
        <v>0.0</v>
      </c>
      <c r="H158" s="84">
        <v>0.0</v>
      </c>
      <c r="I158" s="91">
        <v>0.0024242424242424242</v>
      </c>
      <c r="J158" s="84">
        <v>0.0</v>
      </c>
      <c r="K158" s="84">
        <v>0.0</v>
      </c>
      <c r="L158" s="84">
        <v>0.0</v>
      </c>
      <c r="M158" s="84">
        <v>0.0</v>
      </c>
      <c r="N158" s="84">
        <v>0.0</v>
      </c>
      <c r="O158" s="84">
        <v>0.0</v>
      </c>
      <c r="P158" s="84">
        <v>0.0</v>
      </c>
      <c r="Q158" s="84">
        <v>0.0</v>
      </c>
      <c r="R158" s="84">
        <v>0.0</v>
      </c>
      <c r="S158" s="84">
        <v>0.0</v>
      </c>
      <c r="T158" s="84">
        <v>0.0</v>
      </c>
      <c r="U158" s="84">
        <v>0.0</v>
      </c>
      <c r="V158" s="84">
        <v>0.0</v>
      </c>
      <c r="W158" s="84">
        <v>0.0</v>
      </c>
      <c r="X158" s="84">
        <v>0.0</v>
      </c>
      <c r="Y158" s="84">
        <v>0.0</v>
      </c>
      <c r="Z158" s="84">
        <v>0.0</v>
      </c>
      <c r="AA158" s="84">
        <v>0.0</v>
      </c>
      <c r="AB158" s="84">
        <v>0.0</v>
      </c>
      <c r="AC158" s="91">
        <v>0.002554278416347382</v>
      </c>
      <c r="AD158" s="84">
        <v>0.0</v>
      </c>
      <c r="AE158" s="84">
        <v>0.0</v>
      </c>
      <c r="AF158" s="84">
        <v>0.0</v>
      </c>
      <c r="AG158" s="84">
        <v>0.0</v>
      </c>
      <c r="AH158" s="84">
        <v>0.0</v>
      </c>
      <c r="AI158" s="84">
        <v>0.0</v>
      </c>
      <c r="AJ158" s="84">
        <v>0.0</v>
      </c>
      <c r="AK158" s="84">
        <v>0.0</v>
      </c>
      <c r="AL158" s="84">
        <v>0.0</v>
      </c>
      <c r="AM158" s="84">
        <v>0.0</v>
      </c>
      <c r="AN158" s="93">
        <f t="shared" si="1"/>
        <v>0.004978520841</v>
      </c>
      <c r="AO158" s="84">
        <f t="shared" si="2"/>
        <v>0</v>
      </c>
    </row>
    <row r="159" ht="12.75" customHeight="1">
      <c r="A159" s="84" t="s">
        <v>4168</v>
      </c>
      <c r="B159" s="84">
        <v>0.0</v>
      </c>
      <c r="C159" s="84">
        <v>0.0</v>
      </c>
      <c r="D159" s="84">
        <v>0.0</v>
      </c>
      <c r="E159" s="84">
        <v>0.0</v>
      </c>
      <c r="F159" s="84">
        <v>0.0</v>
      </c>
      <c r="G159" s="84">
        <v>0.0</v>
      </c>
      <c r="H159" s="84">
        <v>0.0</v>
      </c>
      <c r="I159" s="91">
        <v>0.0024242424242424242</v>
      </c>
      <c r="J159" s="84">
        <v>0.0</v>
      </c>
      <c r="K159" s="84">
        <v>0.0</v>
      </c>
      <c r="L159" s="84">
        <v>0.0</v>
      </c>
      <c r="M159" s="84">
        <v>0.0</v>
      </c>
      <c r="N159" s="84">
        <v>0.0</v>
      </c>
      <c r="O159" s="84">
        <v>0.0</v>
      </c>
      <c r="P159" s="84">
        <v>0.0</v>
      </c>
      <c r="Q159" s="84">
        <v>0.0</v>
      </c>
      <c r="R159" s="84">
        <v>0.0</v>
      </c>
      <c r="S159" s="84">
        <v>0.0</v>
      </c>
      <c r="T159" s="84">
        <v>0.0</v>
      </c>
      <c r="U159" s="84">
        <v>0.0</v>
      </c>
      <c r="V159" s="84">
        <v>0.0</v>
      </c>
      <c r="W159" s="84">
        <v>0.0</v>
      </c>
      <c r="X159" s="84">
        <v>0.0</v>
      </c>
      <c r="Y159" s="84">
        <v>0.0</v>
      </c>
      <c r="Z159" s="84">
        <v>0.0</v>
      </c>
      <c r="AA159" s="84">
        <v>0.0</v>
      </c>
      <c r="AB159" s="84">
        <v>0.0</v>
      </c>
      <c r="AC159" s="91">
        <v>0.005108556832694764</v>
      </c>
      <c r="AD159" s="84">
        <v>0.0</v>
      </c>
      <c r="AE159" s="84">
        <v>0.0</v>
      </c>
      <c r="AF159" s="84">
        <v>0.0</v>
      </c>
      <c r="AG159" s="84">
        <v>0.0</v>
      </c>
      <c r="AH159" s="84">
        <v>0.0</v>
      </c>
      <c r="AI159" s="84">
        <v>0.0</v>
      </c>
      <c r="AJ159" s="84">
        <v>0.0</v>
      </c>
      <c r="AK159" s="84">
        <v>0.0</v>
      </c>
      <c r="AL159" s="84">
        <v>0.0</v>
      </c>
      <c r="AM159" s="84">
        <v>0.0</v>
      </c>
      <c r="AN159" s="93">
        <f t="shared" si="1"/>
        <v>0.007532799257</v>
      </c>
      <c r="AO159" s="84">
        <f t="shared" si="2"/>
        <v>0</v>
      </c>
    </row>
    <row r="160" ht="12.75" customHeight="1">
      <c r="A160" s="84" t="s">
        <v>3999</v>
      </c>
      <c r="B160" s="84">
        <v>0.0</v>
      </c>
      <c r="C160" s="84">
        <v>0.0</v>
      </c>
      <c r="D160" s="84">
        <v>0.0</v>
      </c>
      <c r="E160" s="84">
        <v>0.0</v>
      </c>
      <c r="F160" s="84">
        <v>0.0</v>
      </c>
      <c r="G160" s="84">
        <v>0.0</v>
      </c>
      <c r="H160" s="84">
        <v>0.0</v>
      </c>
      <c r="I160" s="91">
        <v>0.0024242424242424242</v>
      </c>
      <c r="J160" s="84">
        <v>0.0</v>
      </c>
      <c r="K160" s="84">
        <v>0.0</v>
      </c>
      <c r="L160" s="84">
        <v>0.0</v>
      </c>
      <c r="M160" s="84">
        <v>0.0</v>
      </c>
      <c r="N160" s="84">
        <v>0.0</v>
      </c>
      <c r="O160" s="84">
        <v>0.0</v>
      </c>
      <c r="P160" s="84">
        <v>0.0</v>
      </c>
      <c r="Q160" s="84">
        <v>0.0</v>
      </c>
      <c r="R160" s="84">
        <v>0.0</v>
      </c>
      <c r="S160" s="84">
        <v>0.0</v>
      </c>
      <c r="T160" s="84">
        <v>0.0</v>
      </c>
      <c r="U160" s="84">
        <v>0.0</v>
      </c>
      <c r="V160" s="84">
        <v>0.0</v>
      </c>
      <c r="W160" s="84">
        <v>0.0</v>
      </c>
      <c r="X160" s="84">
        <v>0.0</v>
      </c>
      <c r="Y160" s="84">
        <v>0.0</v>
      </c>
      <c r="Z160" s="84">
        <v>0.0</v>
      </c>
      <c r="AA160" s="84">
        <v>0.0</v>
      </c>
      <c r="AB160" s="84">
        <v>0.0</v>
      </c>
      <c r="AC160" s="91">
        <v>0.002554278416347382</v>
      </c>
      <c r="AD160" s="84">
        <v>0.0</v>
      </c>
      <c r="AE160" s="84">
        <v>0.0</v>
      </c>
      <c r="AF160" s="84">
        <v>0.0</v>
      </c>
      <c r="AG160" s="84">
        <v>0.0</v>
      </c>
      <c r="AH160" s="84">
        <v>0.0</v>
      </c>
      <c r="AI160" s="84">
        <v>0.0</v>
      </c>
      <c r="AJ160" s="84">
        <v>0.0</v>
      </c>
      <c r="AK160" s="84">
        <v>0.0</v>
      </c>
      <c r="AL160" s="84">
        <v>0.0</v>
      </c>
      <c r="AM160" s="84">
        <v>0.0</v>
      </c>
      <c r="AN160" s="93">
        <f t="shared" si="1"/>
        <v>0.004978520841</v>
      </c>
      <c r="AO160" s="84">
        <f t="shared" si="2"/>
        <v>0</v>
      </c>
    </row>
    <row r="161" ht="12.75" customHeight="1">
      <c r="A161" s="84" t="s">
        <v>4034</v>
      </c>
      <c r="B161" s="84">
        <v>0.0</v>
      </c>
      <c r="C161" s="84">
        <v>0.0</v>
      </c>
      <c r="D161" s="84">
        <v>0.0</v>
      </c>
      <c r="E161" s="84">
        <v>0.0</v>
      </c>
      <c r="F161" s="84">
        <v>0.0</v>
      </c>
      <c r="G161" s="84">
        <v>0.0</v>
      </c>
      <c r="H161" s="84">
        <v>0.0</v>
      </c>
      <c r="I161" s="91">
        <v>0.0024242424242424242</v>
      </c>
      <c r="J161" s="84">
        <v>0.0</v>
      </c>
      <c r="K161" s="84">
        <v>0.0</v>
      </c>
      <c r="L161" s="84">
        <v>0.0</v>
      </c>
      <c r="M161" s="84">
        <v>0.0</v>
      </c>
      <c r="N161" s="84">
        <v>0.0</v>
      </c>
      <c r="O161" s="84">
        <v>0.0</v>
      </c>
      <c r="P161" s="84">
        <v>0.0</v>
      </c>
      <c r="Q161" s="84">
        <v>0.0</v>
      </c>
      <c r="R161" s="84">
        <v>0.0</v>
      </c>
      <c r="S161" s="84">
        <v>0.0</v>
      </c>
      <c r="T161" s="84">
        <v>0.0</v>
      </c>
      <c r="U161" s="84">
        <v>0.0</v>
      </c>
      <c r="V161" s="84">
        <v>0.0</v>
      </c>
      <c r="W161" s="84">
        <v>0.0</v>
      </c>
      <c r="X161" s="84">
        <v>0.0</v>
      </c>
      <c r="Y161" s="84">
        <v>0.0</v>
      </c>
      <c r="Z161" s="84">
        <v>0.0</v>
      </c>
      <c r="AA161" s="84">
        <v>0.0</v>
      </c>
      <c r="AB161" s="84">
        <v>0.0</v>
      </c>
      <c r="AC161" s="91">
        <v>0.002554278416347382</v>
      </c>
      <c r="AD161" s="84">
        <v>0.0</v>
      </c>
      <c r="AE161" s="84">
        <v>0.0</v>
      </c>
      <c r="AF161" s="84">
        <v>0.0</v>
      </c>
      <c r="AG161" s="84">
        <v>0.0</v>
      </c>
      <c r="AH161" s="84">
        <v>0.0</v>
      </c>
      <c r="AI161" s="84">
        <v>0.0</v>
      </c>
      <c r="AJ161" s="84">
        <v>0.0</v>
      </c>
      <c r="AK161" s="84">
        <v>0.0</v>
      </c>
      <c r="AL161" s="84">
        <v>0.0</v>
      </c>
      <c r="AM161" s="84">
        <v>0.0</v>
      </c>
      <c r="AN161" s="93">
        <f t="shared" si="1"/>
        <v>0.004978520841</v>
      </c>
      <c r="AO161" s="84">
        <f t="shared" si="2"/>
        <v>0</v>
      </c>
    </row>
    <row r="162" ht="12.75" customHeight="1">
      <c r="A162" s="84" t="s">
        <v>4004</v>
      </c>
      <c r="B162" s="84">
        <v>0.0</v>
      </c>
      <c r="C162" s="84">
        <v>0.0</v>
      </c>
      <c r="D162" s="84">
        <v>0.0</v>
      </c>
      <c r="E162" s="84">
        <v>0.0</v>
      </c>
      <c r="F162" s="84">
        <v>0.0</v>
      </c>
      <c r="G162" s="84">
        <v>0.0</v>
      </c>
      <c r="H162" s="84">
        <v>0.0</v>
      </c>
      <c r="I162" s="91">
        <v>0.0024242424242424242</v>
      </c>
      <c r="J162" s="84">
        <v>0.0</v>
      </c>
      <c r="K162" s="84">
        <v>0.0</v>
      </c>
      <c r="L162" s="84">
        <v>0.0</v>
      </c>
      <c r="M162" s="84">
        <v>0.0</v>
      </c>
      <c r="N162" s="84">
        <v>0.0</v>
      </c>
      <c r="O162" s="84">
        <v>0.0</v>
      </c>
      <c r="P162" s="84">
        <v>0.0</v>
      </c>
      <c r="Q162" s="84">
        <v>0.0</v>
      </c>
      <c r="R162" s="84">
        <v>0.0</v>
      </c>
      <c r="S162" s="84">
        <v>0.0</v>
      </c>
      <c r="T162" s="84">
        <v>0.0</v>
      </c>
      <c r="U162" s="84">
        <v>0.0</v>
      </c>
      <c r="V162" s="84">
        <v>0.0</v>
      </c>
      <c r="W162" s="84">
        <v>0.0</v>
      </c>
      <c r="X162" s="84">
        <v>0.0</v>
      </c>
      <c r="Y162" s="84">
        <v>0.0</v>
      </c>
      <c r="Z162" s="84">
        <v>0.0</v>
      </c>
      <c r="AA162" s="84">
        <v>0.0</v>
      </c>
      <c r="AB162" s="84">
        <v>0.0</v>
      </c>
      <c r="AC162" s="91">
        <v>0.0038314176245210726</v>
      </c>
      <c r="AD162" s="84">
        <v>0.0</v>
      </c>
      <c r="AE162" s="84">
        <v>0.0</v>
      </c>
      <c r="AF162" s="84">
        <v>0.0</v>
      </c>
      <c r="AG162" s="84">
        <v>0.0</v>
      </c>
      <c r="AH162" s="84">
        <v>0.0</v>
      </c>
      <c r="AI162" s="84">
        <v>0.0</v>
      </c>
      <c r="AJ162" s="84">
        <v>0.0</v>
      </c>
      <c r="AK162" s="84">
        <v>0.0</v>
      </c>
      <c r="AL162" s="84">
        <v>0.0</v>
      </c>
      <c r="AM162" s="84">
        <v>0.0</v>
      </c>
      <c r="AN162" s="93">
        <f t="shared" si="1"/>
        <v>0.006255660049</v>
      </c>
      <c r="AO162" s="84">
        <f t="shared" si="2"/>
        <v>0</v>
      </c>
    </row>
    <row r="163" ht="12.75" customHeight="1">
      <c r="A163" s="84" t="s">
        <v>4105</v>
      </c>
      <c r="B163" s="84">
        <v>0.0</v>
      </c>
      <c r="C163" s="84">
        <v>0.0</v>
      </c>
      <c r="D163" s="84">
        <v>0.0</v>
      </c>
      <c r="E163" s="84">
        <v>0.0</v>
      </c>
      <c r="F163" s="84">
        <v>0.0</v>
      </c>
      <c r="G163" s="84">
        <v>0.0</v>
      </c>
      <c r="H163" s="84">
        <v>0.0</v>
      </c>
      <c r="I163" s="91">
        <v>0.0024242424242424242</v>
      </c>
      <c r="J163" s="84">
        <v>0.0</v>
      </c>
      <c r="K163" s="84">
        <v>0.0</v>
      </c>
      <c r="L163" s="84">
        <v>0.0</v>
      </c>
      <c r="M163" s="84">
        <v>0.0</v>
      </c>
      <c r="N163" s="84">
        <v>0.0</v>
      </c>
      <c r="O163" s="84">
        <v>0.0</v>
      </c>
      <c r="P163" s="84">
        <v>0.0</v>
      </c>
      <c r="Q163" s="84">
        <v>0.0</v>
      </c>
      <c r="R163" s="84">
        <v>0.0</v>
      </c>
      <c r="S163" s="84">
        <v>0.0</v>
      </c>
      <c r="T163" s="84">
        <v>0.0</v>
      </c>
      <c r="U163" s="84">
        <v>0.0</v>
      </c>
      <c r="V163" s="84">
        <v>0.0</v>
      </c>
      <c r="W163" s="84">
        <v>0.0</v>
      </c>
      <c r="X163" s="84">
        <v>0.0</v>
      </c>
      <c r="Y163" s="84">
        <v>0.0</v>
      </c>
      <c r="Z163" s="84">
        <v>0.0</v>
      </c>
      <c r="AA163" s="84">
        <v>0.0</v>
      </c>
      <c r="AB163" s="84">
        <v>0.0</v>
      </c>
      <c r="AC163" s="91">
        <v>0.002554278416347382</v>
      </c>
      <c r="AD163" s="84">
        <v>0.0</v>
      </c>
      <c r="AE163" s="84">
        <v>0.0</v>
      </c>
      <c r="AF163" s="84">
        <v>0.0</v>
      </c>
      <c r="AG163" s="84">
        <v>0.0</v>
      </c>
      <c r="AH163" s="84">
        <v>0.0</v>
      </c>
      <c r="AI163" s="84">
        <v>0.0</v>
      </c>
      <c r="AJ163" s="84">
        <v>0.0</v>
      </c>
      <c r="AK163" s="84">
        <v>0.0</v>
      </c>
      <c r="AL163" s="84">
        <v>0.0</v>
      </c>
      <c r="AM163" s="84">
        <v>0.0</v>
      </c>
      <c r="AN163" s="93">
        <f t="shared" si="1"/>
        <v>0.004978520841</v>
      </c>
      <c r="AO163" s="84">
        <f t="shared" si="2"/>
        <v>0</v>
      </c>
    </row>
    <row r="164" ht="12.75" customHeight="1">
      <c r="A164" s="84" t="s">
        <v>4151</v>
      </c>
      <c r="B164" s="84">
        <v>0.0</v>
      </c>
      <c r="C164" s="84">
        <v>0.0</v>
      </c>
      <c r="D164" s="84">
        <v>0.0</v>
      </c>
      <c r="E164" s="84">
        <v>0.0</v>
      </c>
      <c r="F164" s="84">
        <v>0.0</v>
      </c>
      <c r="G164" s="84">
        <v>0.0</v>
      </c>
      <c r="H164" s="84">
        <v>0.0</v>
      </c>
      <c r="I164" s="91">
        <v>0.0024242424242424242</v>
      </c>
      <c r="J164" s="84">
        <v>0.0</v>
      </c>
      <c r="K164" s="84">
        <v>0.0</v>
      </c>
      <c r="L164" s="84">
        <v>0.0</v>
      </c>
      <c r="M164" s="84">
        <v>0.0</v>
      </c>
      <c r="N164" s="84">
        <v>0.0</v>
      </c>
      <c r="O164" s="84">
        <v>0.0</v>
      </c>
      <c r="P164" s="84">
        <v>0.0</v>
      </c>
      <c r="Q164" s="84">
        <v>0.0</v>
      </c>
      <c r="R164" s="84">
        <v>0.0</v>
      </c>
      <c r="S164" s="84">
        <v>0.0</v>
      </c>
      <c r="T164" s="84">
        <v>0.0</v>
      </c>
      <c r="U164" s="84">
        <v>0.0</v>
      </c>
      <c r="V164" s="84">
        <v>0.0</v>
      </c>
      <c r="W164" s="84">
        <v>0.0</v>
      </c>
      <c r="X164" s="84">
        <v>0.0</v>
      </c>
      <c r="Y164" s="84">
        <v>0.0</v>
      </c>
      <c r="Z164" s="84">
        <v>0.0</v>
      </c>
      <c r="AA164" s="84">
        <v>0.0</v>
      </c>
      <c r="AB164" s="84">
        <v>0.0</v>
      </c>
      <c r="AC164" s="91">
        <v>0.002554278416347382</v>
      </c>
      <c r="AD164" s="84">
        <v>0.0</v>
      </c>
      <c r="AE164" s="84">
        <v>0.0</v>
      </c>
      <c r="AF164" s="84">
        <v>0.0</v>
      </c>
      <c r="AG164" s="84">
        <v>0.0</v>
      </c>
      <c r="AH164" s="84">
        <v>0.0</v>
      </c>
      <c r="AI164" s="84">
        <v>0.0</v>
      </c>
      <c r="AJ164" s="84">
        <v>0.0</v>
      </c>
      <c r="AK164" s="84">
        <v>0.0</v>
      </c>
      <c r="AL164" s="84">
        <v>0.0</v>
      </c>
      <c r="AM164" s="84">
        <v>0.0</v>
      </c>
      <c r="AN164" s="93">
        <f t="shared" si="1"/>
        <v>0.004978520841</v>
      </c>
      <c r="AO164" s="84">
        <f t="shared" si="2"/>
        <v>0</v>
      </c>
    </row>
    <row r="165" ht="12.75" customHeight="1">
      <c r="A165" s="84" t="s">
        <v>3983</v>
      </c>
      <c r="B165" s="84">
        <v>0.0</v>
      </c>
      <c r="C165" s="84">
        <v>0.0</v>
      </c>
      <c r="D165" s="84">
        <v>0.0</v>
      </c>
      <c r="E165" s="84">
        <v>0.0</v>
      </c>
      <c r="F165" s="84">
        <v>0.0</v>
      </c>
      <c r="G165" s="84">
        <v>0.0</v>
      </c>
      <c r="H165" s="84">
        <v>0.0</v>
      </c>
      <c r="I165" s="91">
        <v>0.0024242424242424242</v>
      </c>
      <c r="J165" s="84">
        <v>0.0</v>
      </c>
      <c r="K165" s="84">
        <v>0.0</v>
      </c>
      <c r="L165" s="84">
        <v>0.0</v>
      </c>
      <c r="M165" s="84">
        <v>0.0</v>
      </c>
      <c r="N165" s="84">
        <v>0.0</v>
      </c>
      <c r="O165" s="84">
        <v>0.0</v>
      </c>
      <c r="P165" s="84">
        <v>0.0</v>
      </c>
      <c r="Q165" s="84">
        <v>0.0</v>
      </c>
      <c r="R165" s="84">
        <v>0.0</v>
      </c>
      <c r="S165" s="84">
        <v>0.0</v>
      </c>
      <c r="T165" s="84">
        <v>0.0</v>
      </c>
      <c r="U165" s="84">
        <v>0.0</v>
      </c>
      <c r="V165" s="84">
        <v>0.0</v>
      </c>
      <c r="W165" s="84">
        <v>0.0</v>
      </c>
      <c r="X165" s="84">
        <v>0.0</v>
      </c>
      <c r="Y165" s="84">
        <v>0.0</v>
      </c>
      <c r="Z165" s="84">
        <v>0.0</v>
      </c>
      <c r="AA165" s="84">
        <v>0.0</v>
      </c>
      <c r="AB165" s="84">
        <v>0.0</v>
      </c>
      <c r="AC165" s="91">
        <v>0.0038314176245210726</v>
      </c>
      <c r="AD165" s="84">
        <v>0.0</v>
      </c>
      <c r="AE165" s="84">
        <v>0.0</v>
      </c>
      <c r="AF165" s="84">
        <v>0.0</v>
      </c>
      <c r="AG165" s="84">
        <v>0.0</v>
      </c>
      <c r="AH165" s="84">
        <v>0.0</v>
      </c>
      <c r="AI165" s="84">
        <v>0.0</v>
      </c>
      <c r="AJ165" s="84">
        <v>0.0</v>
      </c>
      <c r="AK165" s="84">
        <v>0.0</v>
      </c>
      <c r="AL165" s="84">
        <v>0.0</v>
      </c>
      <c r="AM165" s="84">
        <v>0.0</v>
      </c>
      <c r="AN165" s="93">
        <f t="shared" si="1"/>
        <v>0.006255660049</v>
      </c>
      <c r="AO165" s="84">
        <f t="shared" si="2"/>
        <v>0</v>
      </c>
    </row>
    <row r="166" ht="12.75" customHeight="1">
      <c r="A166" s="84" t="s">
        <v>4248</v>
      </c>
      <c r="B166" s="84">
        <v>0.0</v>
      </c>
      <c r="C166" s="84">
        <v>0.0</v>
      </c>
      <c r="D166" s="84">
        <v>0.0</v>
      </c>
      <c r="E166" s="84">
        <v>0.0</v>
      </c>
      <c r="F166" s="84">
        <v>0.0</v>
      </c>
      <c r="G166" s="84">
        <v>0.0</v>
      </c>
      <c r="H166" s="84">
        <v>0.0</v>
      </c>
      <c r="I166" s="91">
        <v>0.0024242424242424242</v>
      </c>
      <c r="J166" s="84">
        <v>0.0</v>
      </c>
      <c r="K166" s="84">
        <v>0.0</v>
      </c>
      <c r="L166" s="84">
        <v>0.0</v>
      </c>
      <c r="M166" s="84">
        <v>0.0</v>
      </c>
      <c r="N166" s="84">
        <v>0.0</v>
      </c>
      <c r="O166" s="84">
        <v>0.0</v>
      </c>
      <c r="P166" s="84">
        <v>0.0</v>
      </c>
      <c r="Q166" s="84">
        <v>0.0</v>
      </c>
      <c r="R166" s="84">
        <v>0.0</v>
      </c>
      <c r="S166" s="84">
        <v>0.0</v>
      </c>
      <c r="T166" s="84">
        <v>0.0</v>
      </c>
      <c r="U166" s="84">
        <v>0.0</v>
      </c>
      <c r="V166" s="84">
        <v>0.0</v>
      </c>
      <c r="W166" s="84">
        <v>0.0</v>
      </c>
      <c r="X166" s="84">
        <v>0.0</v>
      </c>
      <c r="Y166" s="84">
        <v>0.0</v>
      </c>
      <c r="Z166" s="84">
        <v>0.0</v>
      </c>
      <c r="AA166" s="84">
        <v>0.0</v>
      </c>
      <c r="AB166" s="84">
        <v>0.0</v>
      </c>
      <c r="AC166" s="91">
        <v>0.002554278416347382</v>
      </c>
      <c r="AD166" s="84">
        <v>0.0</v>
      </c>
      <c r="AE166" s="84">
        <v>0.0</v>
      </c>
      <c r="AF166" s="84">
        <v>0.0</v>
      </c>
      <c r="AG166" s="84">
        <v>0.0</v>
      </c>
      <c r="AH166" s="84">
        <v>0.0</v>
      </c>
      <c r="AI166" s="84">
        <v>0.0</v>
      </c>
      <c r="AJ166" s="84">
        <v>0.0</v>
      </c>
      <c r="AK166" s="84">
        <v>0.0</v>
      </c>
      <c r="AL166" s="84">
        <v>0.0</v>
      </c>
      <c r="AM166" s="84">
        <v>0.0</v>
      </c>
      <c r="AN166" s="93">
        <f t="shared" si="1"/>
        <v>0.004978520841</v>
      </c>
      <c r="AO166" s="84">
        <f t="shared" si="2"/>
        <v>0</v>
      </c>
    </row>
    <row r="167" ht="12.75" customHeight="1">
      <c r="A167" s="84" t="s">
        <v>4264</v>
      </c>
      <c r="B167" s="84">
        <v>0.0</v>
      </c>
      <c r="C167" s="84">
        <v>0.0</v>
      </c>
      <c r="D167" s="84">
        <v>0.0</v>
      </c>
      <c r="E167" s="84">
        <v>0.0</v>
      </c>
      <c r="F167" s="84">
        <v>0.0</v>
      </c>
      <c r="G167" s="84">
        <v>0.0</v>
      </c>
      <c r="H167" s="84">
        <v>0.0</v>
      </c>
      <c r="I167" s="91">
        <v>0.0024242424242424242</v>
      </c>
      <c r="J167" s="84">
        <v>0.0</v>
      </c>
      <c r="K167" s="84">
        <v>0.0</v>
      </c>
      <c r="L167" s="84">
        <v>0.0</v>
      </c>
      <c r="M167" s="84">
        <v>0.0</v>
      </c>
      <c r="N167" s="84">
        <v>0.0</v>
      </c>
      <c r="O167" s="84">
        <v>0.0</v>
      </c>
      <c r="P167" s="84">
        <v>0.0</v>
      </c>
      <c r="Q167" s="84">
        <v>0.0</v>
      </c>
      <c r="R167" s="84">
        <v>0.0</v>
      </c>
      <c r="S167" s="84">
        <v>0.0</v>
      </c>
      <c r="T167" s="84">
        <v>0.0</v>
      </c>
      <c r="U167" s="84">
        <v>0.0</v>
      </c>
      <c r="V167" s="84">
        <v>0.0</v>
      </c>
      <c r="W167" s="84">
        <v>0.0</v>
      </c>
      <c r="X167" s="84">
        <v>0.0</v>
      </c>
      <c r="Y167" s="84">
        <v>0.0</v>
      </c>
      <c r="Z167" s="84">
        <v>0.0</v>
      </c>
      <c r="AA167" s="84">
        <v>0.0</v>
      </c>
      <c r="AB167" s="84">
        <v>0.0</v>
      </c>
      <c r="AC167" s="91">
        <v>0.002554278416347382</v>
      </c>
      <c r="AD167" s="84">
        <v>0.0</v>
      </c>
      <c r="AE167" s="84">
        <v>0.0</v>
      </c>
      <c r="AF167" s="84">
        <v>0.0</v>
      </c>
      <c r="AG167" s="84">
        <v>0.0</v>
      </c>
      <c r="AH167" s="84">
        <v>0.0</v>
      </c>
      <c r="AI167" s="84">
        <v>0.0</v>
      </c>
      <c r="AJ167" s="84">
        <v>0.0</v>
      </c>
      <c r="AK167" s="84">
        <v>0.0</v>
      </c>
      <c r="AL167" s="84">
        <v>0.0</v>
      </c>
      <c r="AM167" s="84">
        <v>0.0</v>
      </c>
      <c r="AN167" s="93">
        <f t="shared" si="1"/>
        <v>0.004978520841</v>
      </c>
      <c r="AO167" s="84">
        <f t="shared" si="2"/>
        <v>0</v>
      </c>
    </row>
    <row r="168" ht="12.75" customHeight="1">
      <c r="A168" s="84" t="s">
        <v>4062</v>
      </c>
      <c r="B168" s="84">
        <v>0.0</v>
      </c>
      <c r="C168" s="84">
        <v>0.0</v>
      </c>
      <c r="D168" s="84">
        <v>0.0</v>
      </c>
      <c r="E168" s="84">
        <v>0.0</v>
      </c>
      <c r="F168" s="84">
        <v>0.0</v>
      </c>
      <c r="G168" s="84">
        <v>0.0</v>
      </c>
      <c r="H168" s="84">
        <v>0.0</v>
      </c>
      <c r="I168" s="91">
        <v>0.0024242424242424242</v>
      </c>
      <c r="J168" s="84">
        <v>0.0</v>
      </c>
      <c r="K168" s="84">
        <v>0.0</v>
      </c>
      <c r="L168" s="84">
        <v>0.0</v>
      </c>
      <c r="M168" s="84">
        <v>0.0</v>
      </c>
      <c r="N168" s="84">
        <v>0.0</v>
      </c>
      <c r="O168" s="84">
        <v>0.0</v>
      </c>
      <c r="P168" s="84">
        <v>0.0</v>
      </c>
      <c r="Q168" s="84">
        <v>0.0</v>
      </c>
      <c r="R168" s="84">
        <v>0.0</v>
      </c>
      <c r="S168" s="84">
        <v>0.0</v>
      </c>
      <c r="T168" s="84">
        <v>0.0</v>
      </c>
      <c r="U168" s="84">
        <v>0.0</v>
      </c>
      <c r="V168" s="84">
        <v>0.0</v>
      </c>
      <c r="W168" s="84">
        <v>0.0</v>
      </c>
      <c r="X168" s="84">
        <v>0.0</v>
      </c>
      <c r="Y168" s="84">
        <v>0.0</v>
      </c>
      <c r="Z168" s="84">
        <v>0.0</v>
      </c>
      <c r="AA168" s="84">
        <v>0.0</v>
      </c>
      <c r="AB168" s="84">
        <v>0.0</v>
      </c>
      <c r="AC168" s="91">
        <v>0.002554278416347382</v>
      </c>
      <c r="AD168" s="84">
        <v>0.0</v>
      </c>
      <c r="AE168" s="84">
        <v>0.0</v>
      </c>
      <c r="AF168" s="84">
        <v>0.0</v>
      </c>
      <c r="AG168" s="84">
        <v>0.0</v>
      </c>
      <c r="AH168" s="84">
        <v>0.0</v>
      </c>
      <c r="AI168" s="84">
        <v>0.0</v>
      </c>
      <c r="AJ168" s="84">
        <v>0.0</v>
      </c>
      <c r="AK168" s="84">
        <v>0.0</v>
      </c>
      <c r="AL168" s="84">
        <v>0.0</v>
      </c>
      <c r="AM168" s="84">
        <v>0.0</v>
      </c>
      <c r="AN168" s="93">
        <f t="shared" si="1"/>
        <v>0.004978520841</v>
      </c>
      <c r="AO168" s="84">
        <f t="shared" si="2"/>
        <v>0</v>
      </c>
    </row>
    <row r="169" ht="12.75" customHeight="1">
      <c r="A169" s="84" t="s">
        <v>4046</v>
      </c>
      <c r="B169" s="84">
        <v>0.0</v>
      </c>
      <c r="C169" s="84">
        <v>0.0</v>
      </c>
      <c r="D169" s="84">
        <v>0.0</v>
      </c>
      <c r="E169" s="84">
        <v>0.0</v>
      </c>
      <c r="F169" s="84">
        <v>0.0</v>
      </c>
      <c r="G169" s="84">
        <v>0.0</v>
      </c>
      <c r="H169" s="84">
        <v>0.0</v>
      </c>
      <c r="I169" s="91">
        <v>0.0024242424242424242</v>
      </c>
      <c r="J169" s="84">
        <v>0.0</v>
      </c>
      <c r="K169" s="84">
        <v>0.0</v>
      </c>
      <c r="L169" s="84">
        <v>0.0</v>
      </c>
      <c r="M169" s="84">
        <v>0.0</v>
      </c>
      <c r="N169" s="84">
        <v>0.0</v>
      </c>
      <c r="O169" s="84">
        <v>0.0</v>
      </c>
      <c r="P169" s="84">
        <v>0.0</v>
      </c>
      <c r="Q169" s="84">
        <v>0.0</v>
      </c>
      <c r="R169" s="84">
        <v>0.0</v>
      </c>
      <c r="S169" s="84">
        <v>0.0</v>
      </c>
      <c r="T169" s="84">
        <v>0.0</v>
      </c>
      <c r="U169" s="84">
        <v>0.0</v>
      </c>
      <c r="V169" s="84">
        <v>0.0</v>
      </c>
      <c r="W169" s="84">
        <v>0.0</v>
      </c>
      <c r="X169" s="84">
        <v>0.0</v>
      </c>
      <c r="Y169" s="84">
        <v>0.0</v>
      </c>
      <c r="Z169" s="84">
        <v>0.0</v>
      </c>
      <c r="AA169" s="84">
        <v>0.0</v>
      </c>
      <c r="AB169" s="84">
        <v>0.0</v>
      </c>
      <c r="AC169" s="91">
        <v>0.002554278416347382</v>
      </c>
      <c r="AD169" s="84">
        <v>0.0</v>
      </c>
      <c r="AE169" s="84">
        <v>0.0</v>
      </c>
      <c r="AF169" s="84">
        <v>0.0</v>
      </c>
      <c r="AG169" s="84">
        <v>0.0</v>
      </c>
      <c r="AH169" s="84">
        <v>0.0</v>
      </c>
      <c r="AI169" s="84">
        <v>0.0</v>
      </c>
      <c r="AJ169" s="84">
        <v>0.0</v>
      </c>
      <c r="AK169" s="84">
        <v>0.0</v>
      </c>
      <c r="AL169" s="84">
        <v>0.0</v>
      </c>
      <c r="AM169" s="84">
        <v>0.0</v>
      </c>
      <c r="AN169" s="93">
        <f t="shared" si="1"/>
        <v>0.004978520841</v>
      </c>
      <c r="AO169" s="84">
        <f t="shared" si="2"/>
        <v>0</v>
      </c>
    </row>
    <row r="170" ht="12.75" customHeight="1">
      <c r="A170" s="84" t="s">
        <v>4003</v>
      </c>
      <c r="B170" s="84">
        <v>0.0</v>
      </c>
      <c r="C170" s="84">
        <v>0.0</v>
      </c>
      <c r="D170" s="84">
        <v>0.0</v>
      </c>
      <c r="E170" s="84">
        <v>0.0</v>
      </c>
      <c r="F170" s="84">
        <v>0.0</v>
      </c>
      <c r="G170" s="84">
        <v>0.0</v>
      </c>
      <c r="H170" s="84">
        <v>0.0</v>
      </c>
      <c r="I170" s="91">
        <v>0.0024242424242424242</v>
      </c>
      <c r="J170" s="84">
        <v>0.0</v>
      </c>
      <c r="K170" s="84">
        <v>0.0</v>
      </c>
      <c r="L170" s="84">
        <v>0.0</v>
      </c>
      <c r="M170" s="84">
        <v>0.0</v>
      </c>
      <c r="N170" s="84">
        <v>0.0</v>
      </c>
      <c r="O170" s="84">
        <v>0.0</v>
      </c>
      <c r="P170" s="84">
        <v>0.0</v>
      </c>
      <c r="Q170" s="84">
        <v>0.0</v>
      </c>
      <c r="R170" s="84">
        <v>0.0</v>
      </c>
      <c r="S170" s="84">
        <v>0.0</v>
      </c>
      <c r="T170" s="84">
        <v>0.0</v>
      </c>
      <c r="U170" s="84">
        <v>0.0</v>
      </c>
      <c r="V170" s="84">
        <v>0.0</v>
      </c>
      <c r="W170" s="84">
        <v>0.0</v>
      </c>
      <c r="X170" s="84">
        <v>0.0</v>
      </c>
      <c r="Y170" s="84">
        <v>0.0</v>
      </c>
      <c r="Z170" s="84">
        <v>0.0</v>
      </c>
      <c r="AA170" s="84">
        <v>0.0</v>
      </c>
      <c r="AB170" s="84">
        <v>0.0</v>
      </c>
      <c r="AC170" s="91">
        <v>0.0038314176245210726</v>
      </c>
      <c r="AD170" s="84">
        <v>0.0</v>
      </c>
      <c r="AE170" s="84">
        <v>0.0</v>
      </c>
      <c r="AF170" s="84">
        <v>0.0</v>
      </c>
      <c r="AG170" s="84">
        <v>0.0</v>
      </c>
      <c r="AH170" s="84">
        <v>0.0</v>
      </c>
      <c r="AI170" s="84">
        <v>0.0</v>
      </c>
      <c r="AJ170" s="84">
        <v>0.0</v>
      </c>
      <c r="AK170" s="84">
        <v>0.0</v>
      </c>
      <c r="AL170" s="84">
        <v>0.0</v>
      </c>
      <c r="AM170" s="84">
        <v>0.0</v>
      </c>
      <c r="AN170" s="93">
        <f t="shared" si="1"/>
        <v>0.006255660049</v>
      </c>
      <c r="AO170" s="84">
        <f t="shared" si="2"/>
        <v>0</v>
      </c>
    </row>
    <row r="171" ht="12.75" customHeight="1">
      <c r="A171" s="84" t="s">
        <v>4080</v>
      </c>
      <c r="B171" s="84">
        <v>0.0</v>
      </c>
      <c r="C171" s="84">
        <v>0.0</v>
      </c>
      <c r="D171" s="84">
        <v>0.0</v>
      </c>
      <c r="E171" s="84">
        <v>0.0</v>
      </c>
      <c r="F171" s="84">
        <v>0.0</v>
      </c>
      <c r="G171" s="84">
        <v>0.0</v>
      </c>
      <c r="H171" s="84">
        <v>0.0</v>
      </c>
      <c r="I171" s="91">
        <v>0.0024242424242424242</v>
      </c>
      <c r="J171" s="84">
        <v>0.0</v>
      </c>
      <c r="K171" s="84">
        <v>0.0</v>
      </c>
      <c r="L171" s="84">
        <v>0.0</v>
      </c>
      <c r="M171" s="84">
        <v>0.0</v>
      </c>
      <c r="N171" s="84">
        <v>0.0</v>
      </c>
      <c r="O171" s="84">
        <v>0.0</v>
      </c>
      <c r="P171" s="84">
        <v>0.0</v>
      </c>
      <c r="Q171" s="84">
        <v>0.0</v>
      </c>
      <c r="R171" s="84">
        <v>0.0</v>
      </c>
      <c r="S171" s="84">
        <v>0.0</v>
      </c>
      <c r="T171" s="84">
        <v>0.0</v>
      </c>
      <c r="U171" s="84">
        <v>0.0</v>
      </c>
      <c r="V171" s="84">
        <v>0.0</v>
      </c>
      <c r="W171" s="84">
        <v>0.0</v>
      </c>
      <c r="X171" s="84">
        <v>0.0</v>
      </c>
      <c r="Y171" s="84">
        <v>0.0</v>
      </c>
      <c r="Z171" s="84">
        <v>0.0</v>
      </c>
      <c r="AA171" s="84">
        <v>0.0</v>
      </c>
      <c r="AB171" s="84">
        <v>0.0</v>
      </c>
      <c r="AC171" s="91">
        <v>0.002554278416347382</v>
      </c>
      <c r="AD171" s="84">
        <v>0.0</v>
      </c>
      <c r="AE171" s="84">
        <v>0.0</v>
      </c>
      <c r="AF171" s="84">
        <v>0.0</v>
      </c>
      <c r="AG171" s="84">
        <v>0.0</v>
      </c>
      <c r="AH171" s="84">
        <v>0.0</v>
      </c>
      <c r="AI171" s="84">
        <v>0.0</v>
      </c>
      <c r="AJ171" s="84">
        <v>0.0</v>
      </c>
      <c r="AK171" s="84">
        <v>0.0</v>
      </c>
      <c r="AL171" s="84">
        <v>0.0</v>
      </c>
      <c r="AM171" s="84">
        <v>0.0</v>
      </c>
      <c r="AN171" s="93">
        <f t="shared" si="1"/>
        <v>0.004978520841</v>
      </c>
      <c r="AO171" s="84">
        <f t="shared" si="2"/>
        <v>0</v>
      </c>
    </row>
    <row r="172" ht="12.75" customHeight="1">
      <c r="A172" s="84" t="s">
        <v>4178</v>
      </c>
      <c r="B172" s="84">
        <v>0.0</v>
      </c>
      <c r="C172" s="84">
        <v>0.0</v>
      </c>
      <c r="D172" s="84">
        <v>0.0</v>
      </c>
      <c r="E172" s="84">
        <v>0.0</v>
      </c>
      <c r="F172" s="84">
        <v>0.0</v>
      </c>
      <c r="G172" s="84">
        <v>0.0</v>
      </c>
      <c r="H172" s="84">
        <v>0.0</v>
      </c>
      <c r="I172" s="91">
        <v>0.0024242424242424242</v>
      </c>
      <c r="J172" s="84">
        <v>0.0</v>
      </c>
      <c r="K172" s="84">
        <v>0.0</v>
      </c>
      <c r="L172" s="84">
        <v>0.0</v>
      </c>
      <c r="M172" s="84">
        <v>0.0</v>
      </c>
      <c r="N172" s="84">
        <v>0.0</v>
      </c>
      <c r="O172" s="84">
        <v>0.0</v>
      </c>
      <c r="P172" s="84">
        <v>0.0</v>
      </c>
      <c r="Q172" s="84">
        <v>0.0</v>
      </c>
      <c r="R172" s="84">
        <v>0.0</v>
      </c>
      <c r="S172" s="84">
        <v>0.0</v>
      </c>
      <c r="T172" s="84">
        <v>0.0</v>
      </c>
      <c r="U172" s="84">
        <v>0.0</v>
      </c>
      <c r="V172" s="84">
        <v>0.0</v>
      </c>
      <c r="W172" s="84">
        <v>0.0</v>
      </c>
      <c r="X172" s="84">
        <v>0.0</v>
      </c>
      <c r="Y172" s="84">
        <v>0.0</v>
      </c>
      <c r="Z172" s="84">
        <v>0.0</v>
      </c>
      <c r="AA172" s="84">
        <v>0.0</v>
      </c>
      <c r="AB172" s="84">
        <v>0.0</v>
      </c>
      <c r="AC172" s="91">
        <v>0.002554278416347382</v>
      </c>
      <c r="AD172" s="84">
        <v>0.0</v>
      </c>
      <c r="AE172" s="84">
        <v>0.0</v>
      </c>
      <c r="AF172" s="84">
        <v>0.0</v>
      </c>
      <c r="AG172" s="84">
        <v>0.0</v>
      </c>
      <c r="AH172" s="84">
        <v>0.0</v>
      </c>
      <c r="AI172" s="84">
        <v>0.0</v>
      </c>
      <c r="AJ172" s="84">
        <v>0.0</v>
      </c>
      <c r="AK172" s="84">
        <v>0.0</v>
      </c>
      <c r="AL172" s="84">
        <v>0.0</v>
      </c>
      <c r="AM172" s="84">
        <v>0.0</v>
      </c>
      <c r="AN172" s="93">
        <f t="shared" si="1"/>
        <v>0.004978520841</v>
      </c>
      <c r="AO172" s="84">
        <f t="shared" si="2"/>
        <v>0</v>
      </c>
    </row>
    <row r="173" ht="12.75" customHeight="1">
      <c r="A173" s="84" t="s">
        <v>3977</v>
      </c>
      <c r="B173" s="84">
        <v>0.0</v>
      </c>
      <c r="C173" s="84">
        <v>0.0</v>
      </c>
      <c r="D173" s="84">
        <v>0.0</v>
      </c>
      <c r="E173" s="84">
        <v>0.0</v>
      </c>
      <c r="F173" s="84">
        <v>0.0</v>
      </c>
      <c r="G173" s="84">
        <v>0.0</v>
      </c>
      <c r="H173" s="84">
        <v>0.0</v>
      </c>
      <c r="I173" s="91">
        <v>0.0024242424242424242</v>
      </c>
      <c r="J173" s="84">
        <v>0.0</v>
      </c>
      <c r="K173" s="84">
        <v>0.0</v>
      </c>
      <c r="L173" s="84">
        <v>0.0</v>
      </c>
      <c r="M173" s="84">
        <v>0.0</v>
      </c>
      <c r="N173" s="84">
        <v>0.0</v>
      </c>
      <c r="O173" s="84">
        <v>0.0</v>
      </c>
      <c r="P173" s="84">
        <v>0.0</v>
      </c>
      <c r="Q173" s="84">
        <v>0.0</v>
      </c>
      <c r="R173" s="84">
        <v>0.0</v>
      </c>
      <c r="S173" s="84">
        <v>0.0</v>
      </c>
      <c r="T173" s="84">
        <v>0.0</v>
      </c>
      <c r="U173" s="84">
        <v>0.0</v>
      </c>
      <c r="V173" s="84">
        <v>0.0</v>
      </c>
      <c r="W173" s="84">
        <v>0.0</v>
      </c>
      <c r="X173" s="84">
        <v>0.0</v>
      </c>
      <c r="Y173" s="84">
        <v>0.0</v>
      </c>
      <c r="Z173" s="84">
        <v>0.0</v>
      </c>
      <c r="AA173" s="84">
        <v>0.0</v>
      </c>
      <c r="AB173" s="84">
        <v>0.0</v>
      </c>
      <c r="AC173" s="91">
        <v>0.002554278416347382</v>
      </c>
      <c r="AD173" s="84">
        <v>0.0</v>
      </c>
      <c r="AE173" s="84">
        <v>0.0</v>
      </c>
      <c r="AF173" s="84">
        <v>0.0</v>
      </c>
      <c r="AG173" s="84">
        <v>0.0</v>
      </c>
      <c r="AH173" s="84">
        <v>0.0</v>
      </c>
      <c r="AI173" s="84">
        <v>0.0</v>
      </c>
      <c r="AJ173" s="84">
        <v>0.0</v>
      </c>
      <c r="AK173" s="84">
        <v>0.0</v>
      </c>
      <c r="AL173" s="84">
        <v>0.0</v>
      </c>
      <c r="AM173" s="84">
        <v>0.0</v>
      </c>
      <c r="AN173" s="93">
        <f t="shared" si="1"/>
        <v>0.004978520841</v>
      </c>
      <c r="AO173" s="84">
        <f t="shared" si="2"/>
        <v>0</v>
      </c>
    </row>
    <row r="174" ht="12.75" customHeight="1">
      <c r="A174" s="84" t="s">
        <v>4229</v>
      </c>
      <c r="B174" s="84">
        <v>0.0</v>
      </c>
      <c r="C174" s="84">
        <v>0.0</v>
      </c>
      <c r="D174" s="84">
        <v>0.0</v>
      </c>
      <c r="E174" s="84">
        <v>0.0</v>
      </c>
      <c r="F174" s="84">
        <v>0.0</v>
      </c>
      <c r="G174" s="84">
        <v>0.0</v>
      </c>
      <c r="H174" s="84">
        <v>0.0</v>
      </c>
      <c r="I174" s="91">
        <v>0.0024242424242424242</v>
      </c>
      <c r="J174" s="84">
        <v>0.0</v>
      </c>
      <c r="K174" s="84">
        <v>0.0</v>
      </c>
      <c r="L174" s="84">
        <v>0.0</v>
      </c>
      <c r="M174" s="84">
        <v>0.0</v>
      </c>
      <c r="N174" s="84">
        <v>0.0</v>
      </c>
      <c r="O174" s="84">
        <v>0.0</v>
      </c>
      <c r="P174" s="84">
        <v>0.0</v>
      </c>
      <c r="Q174" s="84">
        <v>0.0</v>
      </c>
      <c r="R174" s="84">
        <v>0.0</v>
      </c>
      <c r="S174" s="84">
        <v>0.0</v>
      </c>
      <c r="T174" s="84">
        <v>0.0</v>
      </c>
      <c r="U174" s="84">
        <v>0.0</v>
      </c>
      <c r="V174" s="84">
        <v>0.0</v>
      </c>
      <c r="W174" s="84">
        <v>0.0</v>
      </c>
      <c r="X174" s="84">
        <v>0.0</v>
      </c>
      <c r="Y174" s="84">
        <v>0.0</v>
      </c>
      <c r="Z174" s="84">
        <v>0.0</v>
      </c>
      <c r="AA174" s="84">
        <v>0.0</v>
      </c>
      <c r="AB174" s="84">
        <v>0.0</v>
      </c>
      <c r="AC174" s="91">
        <v>0.0038314176245210726</v>
      </c>
      <c r="AD174" s="84">
        <v>0.0</v>
      </c>
      <c r="AE174" s="84">
        <v>0.0</v>
      </c>
      <c r="AF174" s="84">
        <v>0.0</v>
      </c>
      <c r="AG174" s="84">
        <v>0.0</v>
      </c>
      <c r="AH174" s="84">
        <v>0.0</v>
      </c>
      <c r="AI174" s="84">
        <v>0.0</v>
      </c>
      <c r="AJ174" s="84">
        <v>0.0</v>
      </c>
      <c r="AK174" s="84">
        <v>0.0</v>
      </c>
      <c r="AL174" s="84">
        <v>0.0</v>
      </c>
      <c r="AM174" s="84">
        <v>0.0</v>
      </c>
      <c r="AN174" s="93">
        <f t="shared" si="1"/>
        <v>0.006255660049</v>
      </c>
      <c r="AO174" s="84">
        <f t="shared" si="2"/>
        <v>0</v>
      </c>
    </row>
    <row r="175" ht="12.75" customHeight="1">
      <c r="A175" s="84" t="s">
        <v>4278</v>
      </c>
      <c r="B175" s="84">
        <v>0.0</v>
      </c>
      <c r="C175" s="84">
        <v>0.0</v>
      </c>
      <c r="D175" s="84">
        <v>0.0</v>
      </c>
      <c r="E175" s="84">
        <v>0.0</v>
      </c>
      <c r="F175" s="84">
        <v>0.0</v>
      </c>
      <c r="G175" s="84">
        <v>0.0</v>
      </c>
      <c r="H175" s="84">
        <v>0.0</v>
      </c>
      <c r="I175" s="91">
        <v>0.0024242424242424242</v>
      </c>
      <c r="J175" s="84">
        <v>0.0</v>
      </c>
      <c r="K175" s="84">
        <v>0.0</v>
      </c>
      <c r="L175" s="84">
        <v>0.0</v>
      </c>
      <c r="M175" s="84">
        <v>0.0</v>
      </c>
      <c r="N175" s="84">
        <v>0.0</v>
      </c>
      <c r="O175" s="84">
        <v>0.0</v>
      </c>
      <c r="P175" s="84">
        <v>0.0</v>
      </c>
      <c r="Q175" s="84">
        <v>0.0</v>
      </c>
      <c r="R175" s="84">
        <v>0.0</v>
      </c>
      <c r="S175" s="84">
        <v>0.0</v>
      </c>
      <c r="T175" s="84">
        <v>0.0</v>
      </c>
      <c r="U175" s="84">
        <v>0.0</v>
      </c>
      <c r="V175" s="84">
        <v>0.0</v>
      </c>
      <c r="W175" s="84">
        <v>0.0</v>
      </c>
      <c r="X175" s="84">
        <v>0.0</v>
      </c>
      <c r="Y175" s="84">
        <v>0.0</v>
      </c>
      <c r="Z175" s="84">
        <v>0.0</v>
      </c>
      <c r="AA175" s="84">
        <v>0.0</v>
      </c>
      <c r="AB175" s="84">
        <v>0.0</v>
      </c>
      <c r="AC175" s="91">
        <v>0.002554278416347382</v>
      </c>
      <c r="AD175" s="84">
        <v>0.0</v>
      </c>
      <c r="AE175" s="84">
        <v>0.0</v>
      </c>
      <c r="AF175" s="84">
        <v>0.0</v>
      </c>
      <c r="AG175" s="84">
        <v>0.0</v>
      </c>
      <c r="AH175" s="84">
        <v>0.0</v>
      </c>
      <c r="AI175" s="84">
        <v>0.0</v>
      </c>
      <c r="AJ175" s="84">
        <v>0.0</v>
      </c>
      <c r="AK175" s="84">
        <v>0.0</v>
      </c>
      <c r="AL175" s="84">
        <v>0.0</v>
      </c>
      <c r="AM175" s="84">
        <v>0.0</v>
      </c>
      <c r="AN175" s="93">
        <f t="shared" si="1"/>
        <v>0.004978520841</v>
      </c>
      <c r="AO175" s="84">
        <f t="shared" si="2"/>
        <v>0</v>
      </c>
    </row>
    <row r="176" ht="12.75" customHeight="1">
      <c r="A176" s="84" t="s">
        <v>4086</v>
      </c>
      <c r="B176" s="84">
        <v>0.0</v>
      </c>
      <c r="C176" s="84">
        <v>0.0</v>
      </c>
      <c r="D176" s="84">
        <v>0.0</v>
      </c>
      <c r="E176" s="84">
        <v>0.0</v>
      </c>
      <c r="F176" s="84">
        <v>0.0</v>
      </c>
      <c r="G176" s="84">
        <v>0.0</v>
      </c>
      <c r="H176" s="84">
        <v>0.0</v>
      </c>
      <c r="I176" s="91">
        <v>0.0024242424242424242</v>
      </c>
      <c r="J176" s="84">
        <v>0.0</v>
      </c>
      <c r="K176" s="84">
        <v>0.0</v>
      </c>
      <c r="L176" s="84">
        <v>0.0</v>
      </c>
      <c r="M176" s="84">
        <v>0.0</v>
      </c>
      <c r="N176" s="84">
        <v>0.0</v>
      </c>
      <c r="O176" s="84">
        <v>0.0</v>
      </c>
      <c r="P176" s="84">
        <v>0.0</v>
      </c>
      <c r="Q176" s="84">
        <v>0.0</v>
      </c>
      <c r="R176" s="84">
        <v>0.0</v>
      </c>
      <c r="S176" s="84">
        <v>0.0</v>
      </c>
      <c r="T176" s="84">
        <v>0.0</v>
      </c>
      <c r="U176" s="84">
        <v>0.0</v>
      </c>
      <c r="V176" s="84">
        <v>0.0</v>
      </c>
      <c r="W176" s="84">
        <v>0.0</v>
      </c>
      <c r="X176" s="84">
        <v>0.0</v>
      </c>
      <c r="Y176" s="84">
        <v>0.0</v>
      </c>
      <c r="Z176" s="84">
        <v>0.0</v>
      </c>
      <c r="AA176" s="84">
        <v>0.0</v>
      </c>
      <c r="AB176" s="84">
        <v>0.0</v>
      </c>
      <c r="AC176" s="91">
        <v>0.002554278416347382</v>
      </c>
      <c r="AD176" s="84">
        <v>0.0</v>
      </c>
      <c r="AE176" s="84">
        <v>0.0</v>
      </c>
      <c r="AF176" s="84">
        <v>0.0</v>
      </c>
      <c r="AG176" s="84">
        <v>0.0</v>
      </c>
      <c r="AH176" s="84">
        <v>0.0</v>
      </c>
      <c r="AI176" s="84">
        <v>0.0</v>
      </c>
      <c r="AJ176" s="84">
        <v>0.0</v>
      </c>
      <c r="AK176" s="84">
        <v>0.0</v>
      </c>
      <c r="AL176" s="84">
        <v>0.0</v>
      </c>
      <c r="AM176" s="84">
        <v>0.0</v>
      </c>
      <c r="AN176" s="93">
        <f t="shared" si="1"/>
        <v>0.004978520841</v>
      </c>
      <c r="AO176" s="84">
        <f t="shared" si="2"/>
        <v>0</v>
      </c>
    </row>
    <row r="177" ht="12.75" customHeight="1">
      <c r="A177" s="84" t="s">
        <v>4000</v>
      </c>
      <c r="B177" s="84">
        <v>0.0</v>
      </c>
      <c r="C177" s="84">
        <v>0.0</v>
      </c>
      <c r="D177" s="84">
        <v>0.0</v>
      </c>
      <c r="E177" s="84">
        <v>0.0</v>
      </c>
      <c r="F177" s="84">
        <v>0.0</v>
      </c>
      <c r="G177" s="84">
        <v>0.0</v>
      </c>
      <c r="H177" s="84">
        <v>0.0</v>
      </c>
      <c r="I177" s="91">
        <v>0.0024242424242424242</v>
      </c>
      <c r="J177" s="84">
        <v>0.0</v>
      </c>
      <c r="K177" s="84">
        <v>0.0</v>
      </c>
      <c r="L177" s="84">
        <v>0.0</v>
      </c>
      <c r="M177" s="84">
        <v>0.0</v>
      </c>
      <c r="N177" s="84">
        <v>0.0</v>
      </c>
      <c r="O177" s="84">
        <v>0.0</v>
      </c>
      <c r="P177" s="84">
        <v>0.0</v>
      </c>
      <c r="Q177" s="84">
        <v>0.0</v>
      </c>
      <c r="R177" s="84">
        <v>0.0</v>
      </c>
      <c r="S177" s="84">
        <v>0.0</v>
      </c>
      <c r="T177" s="84">
        <v>0.0</v>
      </c>
      <c r="U177" s="84">
        <v>0.0</v>
      </c>
      <c r="V177" s="84">
        <v>0.0</v>
      </c>
      <c r="W177" s="84">
        <v>0.0</v>
      </c>
      <c r="X177" s="84">
        <v>0.0</v>
      </c>
      <c r="Y177" s="84">
        <v>0.0</v>
      </c>
      <c r="Z177" s="84">
        <v>0.0</v>
      </c>
      <c r="AA177" s="84">
        <v>0.0</v>
      </c>
      <c r="AB177" s="84">
        <v>0.0</v>
      </c>
      <c r="AC177" s="91">
        <v>0.002554278416347382</v>
      </c>
      <c r="AD177" s="84">
        <v>0.0</v>
      </c>
      <c r="AE177" s="84">
        <v>0.0</v>
      </c>
      <c r="AF177" s="84">
        <v>0.0</v>
      </c>
      <c r="AG177" s="84">
        <v>0.0</v>
      </c>
      <c r="AH177" s="84">
        <v>0.0</v>
      </c>
      <c r="AI177" s="84">
        <v>0.0</v>
      </c>
      <c r="AJ177" s="84">
        <v>0.0</v>
      </c>
      <c r="AK177" s="84">
        <v>0.0</v>
      </c>
      <c r="AL177" s="84">
        <v>0.0</v>
      </c>
      <c r="AM177" s="84">
        <v>0.0</v>
      </c>
      <c r="AN177" s="93">
        <f t="shared" si="1"/>
        <v>0.004978520841</v>
      </c>
      <c r="AO177" s="84">
        <f t="shared" si="2"/>
        <v>0</v>
      </c>
    </row>
    <row r="178" ht="12.75" customHeight="1">
      <c r="A178" s="84" t="s">
        <v>3995</v>
      </c>
      <c r="B178" s="84">
        <v>0.0</v>
      </c>
      <c r="C178" s="84">
        <v>0.0</v>
      </c>
      <c r="D178" s="84">
        <v>0.0</v>
      </c>
      <c r="E178" s="84">
        <v>0.0</v>
      </c>
      <c r="F178" s="84">
        <v>0.0</v>
      </c>
      <c r="G178" s="84">
        <v>0.0</v>
      </c>
      <c r="H178" s="84">
        <v>0.0</v>
      </c>
      <c r="I178" s="91">
        <v>0.0024242424242424242</v>
      </c>
      <c r="J178" s="84">
        <v>0.0</v>
      </c>
      <c r="K178" s="84">
        <v>0.0</v>
      </c>
      <c r="L178" s="84">
        <v>0.0</v>
      </c>
      <c r="M178" s="84">
        <v>0.0</v>
      </c>
      <c r="N178" s="84">
        <v>0.0</v>
      </c>
      <c r="O178" s="84">
        <v>0.0</v>
      </c>
      <c r="P178" s="84">
        <v>0.0</v>
      </c>
      <c r="Q178" s="84">
        <v>0.0</v>
      </c>
      <c r="R178" s="84">
        <v>0.0</v>
      </c>
      <c r="S178" s="84">
        <v>0.0</v>
      </c>
      <c r="T178" s="84">
        <v>0.0</v>
      </c>
      <c r="U178" s="84">
        <v>0.0</v>
      </c>
      <c r="V178" s="84">
        <v>0.0</v>
      </c>
      <c r="W178" s="84">
        <v>0.0</v>
      </c>
      <c r="X178" s="84">
        <v>0.0</v>
      </c>
      <c r="Y178" s="84">
        <v>0.0</v>
      </c>
      <c r="Z178" s="84">
        <v>0.0</v>
      </c>
      <c r="AA178" s="84">
        <v>0.0</v>
      </c>
      <c r="AB178" s="84">
        <v>0.0</v>
      </c>
      <c r="AC178" s="91">
        <v>0.0038314176245210726</v>
      </c>
      <c r="AD178" s="84">
        <v>0.0</v>
      </c>
      <c r="AE178" s="84">
        <v>0.0</v>
      </c>
      <c r="AF178" s="84">
        <v>0.0</v>
      </c>
      <c r="AG178" s="84">
        <v>0.0</v>
      </c>
      <c r="AH178" s="84">
        <v>0.0</v>
      </c>
      <c r="AI178" s="84">
        <v>0.0</v>
      </c>
      <c r="AJ178" s="84">
        <v>0.0</v>
      </c>
      <c r="AK178" s="84">
        <v>0.0</v>
      </c>
      <c r="AL178" s="84">
        <v>0.0</v>
      </c>
      <c r="AM178" s="84">
        <v>0.0</v>
      </c>
      <c r="AN178" s="93">
        <f t="shared" si="1"/>
        <v>0.006255660049</v>
      </c>
      <c r="AO178" s="84">
        <f t="shared" si="2"/>
        <v>0</v>
      </c>
    </row>
    <row r="179" ht="12.75" customHeight="1">
      <c r="A179" s="84" t="s">
        <v>4058</v>
      </c>
      <c r="B179" s="84">
        <v>0.0</v>
      </c>
      <c r="C179" s="84">
        <v>0.0</v>
      </c>
      <c r="D179" s="84">
        <v>0.0</v>
      </c>
      <c r="E179" s="84">
        <v>0.0</v>
      </c>
      <c r="F179" s="84">
        <v>0.0</v>
      </c>
      <c r="G179" s="84">
        <v>0.0</v>
      </c>
      <c r="H179" s="84">
        <v>0.0</v>
      </c>
      <c r="I179" s="91">
        <v>0.0024242424242424242</v>
      </c>
      <c r="J179" s="84">
        <v>0.0</v>
      </c>
      <c r="K179" s="84">
        <v>0.0</v>
      </c>
      <c r="L179" s="84">
        <v>0.0</v>
      </c>
      <c r="M179" s="84">
        <v>0.0</v>
      </c>
      <c r="N179" s="84">
        <v>0.0</v>
      </c>
      <c r="O179" s="84">
        <v>0.0</v>
      </c>
      <c r="P179" s="84">
        <v>0.0</v>
      </c>
      <c r="Q179" s="84">
        <v>0.0</v>
      </c>
      <c r="R179" s="84">
        <v>0.0</v>
      </c>
      <c r="S179" s="84">
        <v>0.0</v>
      </c>
      <c r="T179" s="84">
        <v>0.0</v>
      </c>
      <c r="U179" s="84">
        <v>0.0</v>
      </c>
      <c r="V179" s="84">
        <v>0.0</v>
      </c>
      <c r="W179" s="84">
        <v>0.0</v>
      </c>
      <c r="X179" s="84">
        <v>0.0</v>
      </c>
      <c r="Y179" s="84">
        <v>0.0</v>
      </c>
      <c r="Z179" s="84">
        <v>0.0</v>
      </c>
      <c r="AA179" s="84">
        <v>0.0</v>
      </c>
      <c r="AB179" s="84">
        <v>0.0</v>
      </c>
      <c r="AC179" s="91">
        <v>0.002554278416347382</v>
      </c>
      <c r="AD179" s="84">
        <v>0.0</v>
      </c>
      <c r="AE179" s="84">
        <v>0.0</v>
      </c>
      <c r="AF179" s="84">
        <v>0.0</v>
      </c>
      <c r="AG179" s="84">
        <v>0.0</v>
      </c>
      <c r="AH179" s="84">
        <v>0.0</v>
      </c>
      <c r="AI179" s="84">
        <v>0.0</v>
      </c>
      <c r="AJ179" s="84">
        <v>0.0</v>
      </c>
      <c r="AK179" s="84">
        <v>0.0</v>
      </c>
      <c r="AL179" s="84">
        <v>0.0</v>
      </c>
      <c r="AM179" s="84">
        <v>0.0</v>
      </c>
      <c r="AN179" s="93">
        <f t="shared" si="1"/>
        <v>0.004978520841</v>
      </c>
      <c r="AO179" s="84">
        <f t="shared" si="2"/>
        <v>0</v>
      </c>
    </row>
    <row r="180" ht="12.75" customHeight="1">
      <c r="A180" s="84" t="s">
        <v>4127</v>
      </c>
      <c r="B180" s="84">
        <v>0.0</v>
      </c>
      <c r="C180" s="84">
        <v>0.0</v>
      </c>
      <c r="D180" s="84">
        <v>0.0</v>
      </c>
      <c r="E180" s="84">
        <v>0.0</v>
      </c>
      <c r="F180" s="84">
        <v>0.0</v>
      </c>
      <c r="G180" s="84">
        <v>0.0</v>
      </c>
      <c r="H180" s="84">
        <v>0.0</v>
      </c>
      <c r="I180" s="91">
        <v>0.0024242424242424242</v>
      </c>
      <c r="J180" s="84">
        <v>0.0</v>
      </c>
      <c r="K180" s="84">
        <v>0.0</v>
      </c>
      <c r="L180" s="84">
        <v>0.0</v>
      </c>
      <c r="M180" s="84">
        <v>0.0</v>
      </c>
      <c r="N180" s="84">
        <v>0.0</v>
      </c>
      <c r="O180" s="84">
        <v>0.0</v>
      </c>
      <c r="P180" s="84">
        <v>0.0</v>
      </c>
      <c r="Q180" s="84">
        <v>0.0</v>
      </c>
      <c r="R180" s="84">
        <v>0.0</v>
      </c>
      <c r="S180" s="84">
        <v>0.0</v>
      </c>
      <c r="T180" s="84">
        <v>0.0</v>
      </c>
      <c r="U180" s="84">
        <v>0.0</v>
      </c>
      <c r="V180" s="84">
        <v>0.0</v>
      </c>
      <c r="W180" s="84">
        <v>0.0</v>
      </c>
      <c r="X180" s="84">
        <v>0.0</v>
      </c>
      <c r="Y180" s="84">
        <v>0.0</v>
      </c>
      <c r="Z180" s="84">
        <v>0.0</v>
      </c>
      <c r="AA180" s="84">
        <v>0.0</v>
      </c>
      <c r="AB180" s="84">
        <v>0.0</v>
      </c>
      <c r="AC180" s="91">
        <v>0.002554278416347382</v>
      </c>
      <c r="AD180" s="84">
        <v>0.0</v>
      </c>
      <c r="AE180" s="84">
        <v>0.0</v>
      </c>
      <c r="AF180" s="84">
        <v>0.0</v>
      </c>
      <c r="AG180" s="84">
        <v>0.0</v>
      </c>
      <c r="AH180" s="84">
        <v>0.0</v>
      </c>
      <c r="AI180" s="84">
        <v>0.0</v>
      </c>
      <c r="AJ180" s="84">
        <v>0.0</v>
      </c>
      <c r="AK180" s="84">
        <v>0.0</v>
      </c>
      <c r="AL180" s="84">
        <v>0.0</v>
      </c>
      <c r="AM180" s="84">
        <v>0.0</v>
      </c>
      <c r="AN180" s="93">
        <f t="shared" si="1"/>
        <v>0.004978520841</v>
      </c>
      <c r="AO180" s="84">
        <f t="shared" si="2"/>
        <v>0</v>
      </c>
    </row>
    <row r="181" ht="12.75" customHeight="1">
      <c r="A181" s="84" t="s">
        <v>4120</v>
      </c>
      <c r="B181" s="84">
        <v>0.0</v>
      </c>
      <c r="C181" s="84">
        <v>0.0</v>
      </c>
      <c r="D181" s="84">
        <v>0.0</v>
      </c>
      <c r="E181" s="84">
        <v>0.0</v>
      </c>
      <c r="F181" s="84">
        <v>0.0</v>
      </c>
      <c r="G181" s="84">
        <v>0.0</v>
      </c>
      <c r="H181" s="84">
        <v>0.0</v>
      </c>
      <c r="I181" s="91">
        <v>0.0024242424242424242</v>
      </c>
      <c r="J181" s="84">
        <v>0.0</v>
      </c>
      <c r="K181" s="84">
        <v>0.0</v>
      </c>
      <c r="L181" s="84">
        <v>0.0</v>
      </c>
      <c r="M181" s="84">
        <v>0.0</v>
      </c>
      <c r="N181" s="84">
        <v>0.0</v>
      </c>
      <c r="O181" s="84">
        <v>0.0</v>
      </c>
      <c r="P181" s="84">
        <v>0.0</v>
      </c>
      <c r="Q181" s="84">
        <v>0.0</v>
      </c>
      <c r="R181" s="84">
        <v>0.0</v>
      </c>
      <c r="S181" s="84">
        <v>0.0</v>
      </c>
      <c r="T181" s="84">
        <v>0.0</v>
      </c>
      <c r="U181" s="84">
        <v>0.0</v>
      </c>
      <c r="V181" s="84">
        <v>0.0</v>
      </c>
      <c r="W181" s="84">
        <v>0.0</v>
      </c>
      <c r="X181" s="84">
        <v>0.0</v>
      </c>
      <c r="Y181" s="84">
        <v>0.0</v>
      </c>
      <c r="Z181" s="84">
        <v>0.0</v>
      </c>
      <c r="AA181" s="84">
        <v>0.0</v>
      </c>
      <c r="AB181" s="84">
        <v>0.0</v>
      </c>
      <c r="AC181" s="91">
        <v>0.002554278416347382</v>
      </c>
      <c r="AD181" s="84">
        <v>0.0</v>
      </c>
      <c r="AE181" s="84">
        <v>0.0</v>
      </c>
      <c r="AF181" s="84">
        <v>0.0</v>
      </c>
      <c r="AG181" s="84">
        <v>0.0</v>
      </c>
      <c r="AH181" s="84">
        <v>0.0</v>
      </c>
      <c r="AI181" s="84">
        <v>0.0</v>
      </c>
      <c r="AJ181" s="84">
        <v>0.0</v>
      </c>
      <c r="AK181" s="84">
        <v>0.0</v>
      </c>
      <c r="AL181" s="84">
        <v>0.0</v>
      </c>
      <c r="AM181" s="84">
        <v>0.0</v>
      </c>
      <c r="AN181" s="93">
        <f t="shared" si="1"/>
        <v>0.004978520841</v>
      </c>
      <c r="AO181" s="84">
        <f t="shared" si="2"/>
        <v>0</v>
      </c>
    </row>
    <row r="182" ht="12.75" customHeight="1">
      <c r="A182" s="84" t="s">
        <v>4193</v>
      </c>
      <c r="B182" s="84">
        <v>0.0</v>
      </c>
      <c r="C182" s="84">
        <v>0.0</v>
      </c>
      <c r="D182" s="84">
        <v>0.0</v>
      </c>
      <c r="E182" s="84">
        <v>0.0</v>
      </c>
      <c r="F182" s="84">
        <v>0.0</v>
      </c>
      <c r="G182" s="84">
        <v>0.0</v>
      </c>
      <c r="H182" s="84">
        <v>0.0</v>
      </c>
      <c r="I182" s="91">
        <v>0.0024242424242424242</v>
      </c>
      <c r="J182" s="84">
        <v>0.0</v>
      </c>
      <c r="K182" s="84">
        <v>0.0</v>
      </c>
      <c r="L182" s="84">
        <v>0.0</v>
      </c>
      <c r="M182" s="84">
        <v>0.0</v>
      </c>
      <c r="N182" s="84">
        <v>0.0</v>
      </c>
      <c r="O182" s="84">
        <v>0.0</v>
      </c>
      <c r="P182" s="84">
        <v>0.0</v>
      </c>
      <c r="Q182" s="84">
        <v>0.0</v>
      </c>
      <c r="R182" s="84">
        <v>0.0</v>
      </c>
      <c r="S182" s="84">
        <v>0.0</v>
      </c>
      <c r="T182" s="84">
        <v>0.0</v>
      </c>
      <c r="U182" s="84">
        <v>0.0</v>
      </c>
      <c r="V182" s="84">
        <v>0.0</v>
      </c>
      <c r="W182" s="84">
        <v>0.0</v>
      </c>
      <c r="X182" s="84">
        <v>0.0</v>
      </c>
      <c r="Y182" s="84">
        <v>0.0</v>
      </c>
      <c r="Z182" s="84">
        <v>0.0</v>
      </c>
      <c r="AA182" s="84">
        <v>0.0</v>
      </c>
      <c r="AB182" s="84">
        <v>0.0</v>
      </c>
      <c r="AC182" s="91">
        <v>0.0038314176245210726</v>
      </c>
      <c r="AD182" s="84">
        <v>0.0</v>
      </c>
      <c r="AE182" s="84">
        <v>0.0</v>
      </c>
      <c r="AF182" s="84">
        <v>0.0</v>
      </c>
      <c r="AG182" s="84">
        <v>0.0</v>
      </c>
      <c r="AH182" s="84">
        <v>0.0</v>
      </c>
      <c r="AI182" s="84">
        <v>0.0</v>
      </c>
      <c r="AJ182" s="84">
        <v>0.0</v>
      </c>
      <c r="AK182" s="84">
        <v>0.0</v>
      </c>
      <c r="AL182" s="84">
        <v>0.0</v>
      </c>
      <c r="AM182" s="84">
        <v>0.0</v>
      </c>
      <c r="AN182" s="93">
        <f t="shared" si="1"/>
        <v>0.006255660049</v>
      </c>
      <c r="AO182" s="84">
        <f t="shared" si="2"/>
        <v>0</v>
      </c>
    </row>
    <row r="183" ht="12.75" customHeight="1">
      <c r="A183" s="84" t="s">
        <v>4269</v>
      </c>
      <c r="B183" s="84">
        <v>0.0</v>
      </c>
      <c r="C183" s="84">
        <v>0.0</v>
      </c>
      <c r="D183" s="84">
        <v>0.0</v>
      </c>
      <c r="E183" s="84">
        <v>0.0</v>
      </c>
      <c r="F183" s="84">
        <v>0.0</v>
      </c>
      <c r="G183" s="84">
        <v>0.0</v>
      </c>
      <c r="H183" s="84">
        <v>0.0</v>
      </c>
      <c r="I183" s="91">
        <v>0.0024242424242424242</v>
      </c>
      <c r="J183" s="84">
        <v>0.0</v>
      </c>
      <c r="K183" s="84">
        <v>0.0</v>
      </c>
      <c r="L183" s="84">
        <v>0.0</v>
      </c>
      <c r="M183" s="84">
        <v>0.0</v>
      </c>
      <c r="N183" s="84">
        <v>0.0</v>
      </c>
      <c r="O183" s="84">
        <v>0.0</v>
      </c>
      <c r="P183" s="84">
        <v>0.0</v>
      </c>
      <c r="Q183" s="84">
        <v>0.0</v>
      </c>
      <c r="R183" s="84">
        <v>0.0</v>
      </c>
      <c r="S183" s="84">
        <v>0.0</v>
      </c>
      <c r="T183" s="84">
        <v>0.0</v>
      </c>
      <c r="U183" s="84">
        <v>0.0</v>
      </c>
      <c r="V183" s="84">
        <v>0.0</v>
      </c>
      <c r="W183" s="84">
        <v>0.0</v>
      </c>
      <c r="X183" s="84">
        <v>0.0</v>
      </c>
      <c r="Y183" s="84">
        <v>0.0</v>
      </c>
      <c r="Z183" s="84">
        <v>0.0</v>
      </c>
      <c r="AA183" s="84">
        <v>0.0</v>
      </c>
      <c r="AB183" s="84">
        <v>0.0</v>
      </c>
      <c r="AC183" s="91">
        <v>0.002554278416347382</v>
      </c>
      <c r="AD183" s="84">
        <v>0.0</v>
      </c>
      <c r="AE183" s="84">
        <v>0.0</v>
      </c>
      <c r="AF183" s="84">
        <v>0.0</v>
      </c>
      <c r="AG183" s="84">
        <v>0.0</v>
      </c>
      <c r="AH183" s="84">
        <v>0.0</v>
      </c>
      <c r="AI183" s="84">
        <v>0.0</v>
      </c>
      <c r="AJ183" s="84">
        <v>0.0</v>
      </c>
      <c r="AK183" s="84">
        <v>0.0</v>
      </c>
      <c r="AL183" s="84">
        <v>0.0</v>
      </c>
      <c r="AM183" s="84">
        <v>0.0</v>
      </c>
      <c r="AN183" s="93">
        <f t="shared" si="1"/>
        <v>0.004978520841</v>
      </c>
      <c r="AO183" s="84">
        <f t="shared" si="2"/>
        <v>0</v>
      </c>
    </row>
    <row r="184" ht="12.75" customHeight="1">
      <c r="A184" s="84" t="s">
        <v>4214</v>
      </c>
      <c r="B184" s="84">
        <v>0.0</v>
      </c>
      <c r="C184" s="84">
        <v>0.0</v>
      </c>
      <c r="D184" s="84">
        <v>0.0</v>
      </c>
      <c r="E184" s="84">
        <v>0.0</v>
      </c>
      <c r="F184" s="84">
        <v>0.0</v>
      </c>
      <c r="G184" s="84">
        <v>0.0</v>
      </c>
      <c r="H184" s="84">
        <v>0.0</v>
      </c>
      <c r="I184" s="91">
        <v>0.0024242424242424242</v>
      </c>
      <c r="J184" s="84">
        <v>0.0</v>
      </c>
      <c r="K184" s="84">
        <v>0.0</v>
      </c>
      <c r="L184" s="84">
        <v>0.0</v>
      </c>
      <c r="M184" s="84">
        <v>0.0</v>
      </c>
      <c r="N184" s="84">
        <v>0.0</v>
      </c>
      <c r="O184" s="84">
        <v>0.0</v>
      </c>
      <c r="P184" s="84">
        <v>0.0</v>
      </c>
      <c r="Q184" s="84">
        <v>0.0</v>
      </c>
      <c r="R184" s="84">
        <v>0.0</v>
      </c>
      <c r="S184" s="84">
        <v>0.0</v>
      </c>
      <c r="T184" s="84">
        <v>0.0</v>
      </c>
      <c r="U184" s="84">
        <v>0.0</v>
      </c>
      <c r="V184" s="84">
        <v>0.0</v>
      </c>
      <c r="W184" s="84">
        <v>0.0</v>
      </c>
      <c r="X184" s="84">
        <v>0.0</v>
      </c>
      <c r="Y184" s="84">
        <v>0.0</v>
      </c>
      <c r="Z184" s="84">
        <v>0.0</v>
      </c>
      <c r="AA184" s="84">
        <v>0.0</v>
      </c>
      <c r="AB184" s="84">
        <v>0.0</v>
      </c>
      <c r="AC184" s="91">
        <v>0.002554278416347382</v>
      </c>
      <c r="AD184" s="84">
        <v>0.0</v>
      </c>
      <c r="AE184" s="84">
        <v>0.0</v>
      </c>
      <c r="AF184" s="84">
        <v>0.0</v>
      </c>
      <c r="AG184" s="84">
        <v>0.0</v>
      </c>
      <c r="AH184" s="84">
        <v>0.0</v>
      </c>
      <c r="AI184" s="84">
        <v>0.0</v>
      </c>
      <c r="AJ184" s="84">
        <v>0.0</v>
      </c>
      <c r="AK184" s="84">
        <v>0.0</v>
      </c>
      <c r="AL184" s="84">
        <v>0.0</v>
      </c>
      <c r="AM184" s="84">
        <v>0.0</v>
      </c>
      <c r="AN184" s="93">
        <f t="shared" si="1"/>
        <v>0.004978520841</v>
      </c>
      <c r="AO184" s="84">
        <f t="shared" si="2"/>
        <v>0</v>
      </c>
    </row>
    <row r="185" ht="12.75" customHeight="1">
      <c r="A185" s="84" t="s">
        <v>4239</v>
      </c>
      <c r="B185" s="84">
        <v>0.0</v>
      </c>
      <c r="C185" s="84">
        <v>0.0</v>
      </c>
      <c r="D185" s="84">
        <v>0.0</v>
      </c>
      <c r="E185" s="84">
        <v>0.0</v>
      </c>
      <c r="F185" s="84">
        <v>0.0</v>
      </c>
      <c r="G185" s="84">
        <v>0.0</v>
      </c>
      <c r="H185" s="84">
        <v>0.0</v>
      </c>
      <c r="I185" s="91">
        <v>0.0024242424242424242</v>
      </c>
      <c r="J185" s="84">
        <v>0.0</v>
      </c>
      <c r="K185" s="84">
        <v>0.0</v>
      </c>
      <c r="L185" s="84">
        <v>0.0</v>
      </c>
      <c r="M185" s="84">
        <v>0.0</v>
      </c>
      <c r="N185" s="84">
        <v>0.0</v>
      </c>
      <c r="O185" s="84">
        <v>0.0</v>
      </c>
      <c r="P185" s="84">
        <v>0.0</v>
      </c>
      <c r="Q185" s="84">
        <v>0.0</v>
      </c>
      <c r="R185" s="84">
        <v>0.0</v>
      </c>
      <c r="S185" s="84">
        <v>0.0</v>
      </c>
      <c r="T185" s="84">
        <v>0.0</v>
      </c>
      <c r="U185" s="84">
        <v>0.0</v>
      </c>
      <c r="V185" s="84">
        <v>0.0</v>
      </c>
      <c r="W185" s="84">
        <v>0.0</v>
      </c>
      <c r="X185" s="84">
        <v>0.0</v>
      </c>
      <c r="Y185" s="84">
        <v>0.0</v>
      </c>
      <c r="Z185" s="84">
        <v>0.0</v>
      </c>
      <c r="AA185" s="84">
        <v>0.0</v>
      </c>
      <c r="AB185" s="84">
        <v>0.0</v>
      </c>
      <c r="AC185" s="91">
        <v>0.0038314176245210726</v>
      </c>
      <c r="AD185" s="84">
        <v>0.0</v>
      </c>
      <c r="AE185" s="84">
        <v>0.0</v>
      </c>
      <c r="AF185" s="84">
        <v>0.0</v>
      </c>
      <c r="AG185" s="84">
        <v>0.0</v>
      </c>
      <c r="AH185" s="84">
        <v>0.0</v>
      </c>
      <c r="AI185" s="84">
        <v>0.0</v>
      </c>
      <c r="AJ185" s="84">
        <v>0.0</v>
      </c>
      <c r="AK185" s="84">
        <v>0.0</v>
      </c>
      <c r="AL185" s="84">
        <v>0.0</v>
      </c>
      <c r="AM185" s="84">
        <v>0.0</v>
      </c>
      <c r="AN185" s="93">
        <f t="shared" si="1"/>
        <v>0.006255660049</v>
      </c>
      <c r="AO185" s="84">
        <f t="shared" si="2"/>
        <v>0</v>
      </c>
    </row>
    <row r="186" ht="12.75" customHeight="1">
      <c r="A186" s="84" t="s">
        <v>4037</v>
      </c>
      <c r="B186" s="84">
        <v>0.0</v>
      </c>
      <c r="C186" s="84">
        <v>0.0</v>
      </c>
      <c r="D186" s="84">
        <v>0.0</v>
      </c>
      <c r="E186" s="84">
        <v>0.0</v>
      </c>
      <c r="F186" s="84">
        <v>0.0</v>
      </c>
      <c r="G186" s="84">
        <v>0.0</v>
      </c>
      <c r="H186" s="84">
        <v>0.0</v>
      </c>
      <c r="I186" s="91">
        <v>0.0024242424242424242</v>
      </c>
      <c r="J186" s="84">
        <v>0.0</v>
      </c>
      <c r="K186" s="84">
        <v>0.0</v>
      </c>
      <c r="L186" s="84">
        <v>0.0</v>
      </c>
      <c r="M186" s="84">
        <v>0.0</v>
      </c>
      <c r="N186" s="84">
        <v>0.0</v>
      </c>
      <c r="O186" s="84">
        <v>0.0</v>
      </c>
      <c r="P186" s="84">
        <v>0.0</v>
      </c>
      <c r="Q186" s="84">
        <v>0.0</v>
      </c>
      <c r="R186" s="84">
        <v>0.0</v>
      </c>
      <c r="S186" s="84">
        <v>0.0</v>
      </c>
      <c r="T186" s="84">
        <v>0.0</v>
      </c>
      <c r="U186" s="84">
        <v>0.0</v>
      </c>
      <c r="V186" s="84">
        <v>0.0</v>
      </c>
      <c r="W186" s="84">
        <v>0.0</v>
      </c>
      <c r="X186" s="84">
        <v>0.0</v>
      </c>
      <c r="Y186" s="84">
        <v>0.0</v>
      </c>
      <c r="Z186" s="84">
        <v>0.0</v>
      </c>
      <c r="AA186" s="84">
        <v>0.0</v>
      </c>
      <c r="AB186" s="84">
        <v>0.0</v>
      </c>
      <c r="AC186" s="91">
        <v>0.002554278416347382</v>
      </c>
      <c r="AD186" s="84">
        <v>0.0</v>
      </c>
      <c r="AE186" s="84">
        <v>0.0</v>
      </c>
      <c r="AF186" s="84">
        <v>0.0</v>
      </c>
      <c r="AG186" s="84">
        <v>0.0</v>
      </c>
      <c r="AH186" s="84">
        <v>0.0</v>
      </c>
      <c r="AI186" s="84">
        <v>0.0</v>
      </c>
      <c r="AJ186" s="84">
        <v>0.0</v>
      </c>
      <c r="AK186" s="84">
        <v>0.0</v>
      </c>
      <c r="AL186" s="84">
        <v>0.0</v>
      </c>
      <c r="AM186" s="84">
        <v>0.0</v>
      </c>
      <c r="AN186" s="93">
        <f t="shared" si="1"/>
        <v>0.004978520841</v>
      </c>
      <c r="AO186" s="84">
        <f t="shared" si="2"/>
        <v>0</v>
      </c>
    </row>
    <row r="187" ht="12.75" customHeight="1">
      <c r="A187" s="84" t="s">
        <v>4188</v>
      </c>
      <c r="B187" s="84">
        <v>0.0</v>
      </c>
      <c r="C187" s="84">
        <v>0.0</v>
      </c>
      <c r="D187" s="84">
        <v>0.0</v>
      </c>
      <c r="E187" s="84">
        <v>0.0</v>
      </c>
      <c r="F187" s="84">
        <v>0.0</v>
      </c>
      <c r="G187" s="84">
        <v>0.0</v>
      </c>
      <c r="H187" s="84">
        <v>0.0</v>
      </c>
      <c r="I187" s="91">
        <v>0.0024242424242424242</v>
      </c>
      <c r="J187" s="84">
        <v>0.0</v>
      </c>
      <c r="K187" s="84">
        <v>0.0</v>
      </c>
      <c r="L187" s="84">
        <v>0.0</v>
      </c>
      <c r="M187" s="84">
        <v>0.0</v>
      </c>
      <c r="N187" s="84">
        <v>0.0</v>
      </c>
      <c r="O187" s="84">
        <v>0.0</v>
      </c>
      <c r="P187" s="84">
        <v>0.0</v>
      </c>
      <c r="Q187" s="84">
        <v>0.0</v>
      </c>
      <c r="R187" s="84">
        <v>0.0</v>
      </c>
      <c r="S187" s="84">
        <v>0.0</v>
      </c>
      <c r="T187" s="84">
        <v>0.0</v>
      </c>
      <c r="U187" s="84">
        <v>0.0</v>
      </c>
      <c r="V187" s="84">
        <v>0.0</v>
      </c>
      <c r="W187" s="84">
        <v>0.0</v>
      </c>
      <c r="X187" s="84">
        <v>0.0</v>
      </c>
      <c r="Y187" s="84">
        <v>0.0</v>
      </c>
      <c r="Z187" s="84">
        <v>0.0</v>
      </c>
      <c r="AA187" s="84">
        <v>0.0</v>
      </c>
      <c r="AB187" s="84">
        <v>0.0</v>
      </c>
      <c r="AC187" s="91">
        <v>0.0038314176245210726</v>
      </c>
      <c r="AD187" s="84">
        <v>0.0</v>
      </c>
      <c r="AE187" s="84">
        <v>0.0</v>
      </c>
      <c r="AF187" s="84">
        <v>0.0</v>
      </c>
      <c r="AG187" s="84">
        <v>0.0</v>
      </c>
      <c r="AH187" s="84">
        <v>0.0</v>
      </c>
      <c r="AI187" s="84">
        <v>0.0</v>
      </c>
      <c r="AJ187" s="84">
        <v>0.0</v>
      </c>
      <c r="AK187" s="84">
        <v>0.0</v>
      </c>
      <c r="AL187" s="84">
        <v>0.0</v>
      </c>
      <c r="AM187" s="84">
        <v>0.0</v>
      </c>
      <c r="AN187" s="93">
        <f t="shared" si="1"/>
        <v>0.006255660049</v>
      </c>
      <c r="AO187" s="84">
        <f t="shared" si="2"/>
        <v>0</v>
      </c>
    </row>
    <row r="188" ht="12.75" customHeight="1">
      <c r="A188" s="84" t="s">
        <v>4187</v>
      </c>
      <c r="B188" s="84">
        <v>0.0</v>
      </c>
      <c r="C188" s="84">
        <v>0.0</v>
      </c>
      <c r="D188" s="84">
        <v>0.0</v>
      </c>
      <c r="E188" s="84">
        <v>0.0</v>
      </c>
      <c r="F188" s="84">
        <v>0.0</v>
      </c>
      <c r="G188" s="84">
        <v>0.0</v>
      </c>
      <c r="H188" s="84">
        <v>0.0</v>
      </c>
      <c r="I188" s="91">
        <v>0.0024242424242424242</v>
      </c>
      <c r="J188" s="84">
        <v>0.0</v>
      </c>
      <c r="K188" s="84">
        <v>0.0</v>
      </c>
      <c r="L188" s="84">
        <v>0.0</v>
      </c>
      <c r="M188" s="84">
        <v>0.0</v>
      </c>
      <c r="N188" s="84">
        <v>0.0</v>
      </c>
      <c r="O188" s="84">
        <v>0.0</v>
      </c>
      <c r="P188" s="84">
        <v>0.0</v>
      </c>
      <c r="Q188" s="84">
        <v>0.0</v>
      </c>
      <c r="R188" s="84">
        <v>0.0</v>
      </c>
      <c r="S188" s="84">
        <v>0.0</v>
      </c>
      <c r="T188" s="84">
        <v>0.0</v>
      </c>
      <c r="U188" s="84">
        <v>0.0</v>
      </c>
      <c r="V188" s="84">
        <v>0.0</v>
      </c>
      <c r="W188" s="84">
        <v>0.0</v>
      </c>
      <c r="X188" s="84">
        <v>0.0</v>
      </c>
      <c r="Y188" s="84">
        <v>0.0</v>
      </c>
      <c r="Z188" s="84">
        <v>0.0</v>
      </c>
      <c r="AA188" s="84">
        <v>0.0</v>
      </c>
      <c r="AB188" s="84">
        <v>0.0</v>
      </c>
      <c r="AC188" s="91">
        <v>0.002554278416347382</v>
      </c>
      <c r="AD188" s="84">
        <v>0.0</v>
      </c>
      <c r="AE188" s="84">
        <v>0.0</v>
      </c>
      <c r="AF188" s="84">
        <v>0.0</v>
      </c>
      <c r="AG188" s="84">
        <v>0.0</v>
      </c>
      <c r="AH188" s="84">
        <v>0.0</v>
      </c>
      <c r="AI188" s="84">
        <v>0.0</v>
      </c>
      <c r="AJ188" s="84">
        <v>0.0</v>
      </c>
      <c r="AK188" s="84">
        <v>0.0</v>
      </c>
      <c r="AL188" s="84">
        <v>0.0</v>
      </c>
      <c r="AM188" s="84">
        <v>0.0</v>
      </c>
      <c r="AN188" s="93">
        <f t="shared" si="1"/>
        <v>0.004978520841</v>
      </c>
      <c r="AO188" s="84">
        <f t="shared" si="2"/>
        <v>0</v>
      </c>
    </row>
    <row r="189" ht="12.75" customHeight="1">
      <c r="A189" s="84" t="s">
        <v>4042</v>
      </c>
      <c r="B189" s="84">
        <v>0.0</v>
      </c>
      <c r="C189" s="84">
        <v>0.0</v>
      </c>
      <c r="D189" s="84">
        <v>0.0</v>
      </c>
      <c r="E189" s="84">
        <v>0.0</v>
      </c>
      <c r="F189" s="84">
        <v>0.0</v>
      </c>
      <c r="G189" s="84">
        <v>0.0</v>
      </c>
      <c r="H189" s="84">
        <v>0.0</v>
      </c>
      <c r="I189" s="91">
        <v>0.0024242424242424242</v>
      </c>
      <c r="J189" s="84">
        <v>0.0</v>
      </c>
      <c r="K189" s="84">
        <v>0.0</v>
      </c>
      <c r="L189" s="84">
        <v>0.0</v>
      </c>
      <c r="M189" s="84">
        <v>0.0</v>
      </c>
      <c r="N189" s="84">
        <v>0.0</v>
      </c>
      <c r="O189" s="84">
        <v>0.0</v>
      </c>
      <c r="P189" s="84">
        <v>0.0</v>
      </c>
      <c r="Q189" s="84">
        <v>0.0</v>
      </c>
      <c r="R189" s="84">
        <v>0.0</v>
      </c>
      <c r="S189" s="84">
        <v>0.0</v>
      </c>
      <c r="T189" s="84">
        <v>0.0</v>
      </c>
      <c r="U189" s="84">
        <v>0.0</v>
      </c>
      <c r="V189" s="84">
        <v>0.0</v>
      </c>
      <c r="W189" s="84">
        <v>0.0</v>
      </c>
      <c r="X189" s="84">
        <v>0.0</v>
      </c>
      <c r="Y189" s="84">
        <v>0.0</v>
      </c>
      <c r="Z189" s="84">
        <v>0.0</v>
      </c>
      <c r="AA189" s="84">
        <v>0.0</v>
      </c>
      <c r="AB189" s="84">
        <v>0.0</v>
      </c>
      <c r="AC189" s="91">
        <v>0.002554278416347382</v>
      </c>
      <c r="AD189" s="84">
        <v>0.0</v>
      </c>
      <c r="AE189" s="84">
        <v>0.0</v>
      </c>
      <c r="AF189" s="84">
        <v>0.0</v>
      </c>
      <c r="AG189" s="84">
        <v>0.0</v>
      </c>
      <c r="AH189" s="84">
        <v>0.0</v>
      </c>
      <c r="AI189" s="84">
        <v>0.0</v>
      </c>
      <c r="AJ189" s="84">
        <v>0.0</v>
      </c>
      <c r="AK189" s="84">
        <v>0.0</v>
      </c>
      <c r="AL189" s="84">
        <v>0.0</v>
      </c>
      <c r="AM189" s="84">
        <v>0.0</v>
      </c>
      <c r="AN189" s="93">
        <f t="shared" si="1"/>
        <v>0.004978520841</v>
      </c>
      <c r="AO189" s="84">
        <f t="shared" si="2"/>
        <v>0</v>
      </c>
    </row>
    <row r="190" ht="12.75" customHeight="1">
      <c r="A190" s="84" t="s">
        <v>4041</v>
      </c>
      <c r="B190" s="84">
        <v>0.0</v>
      </c>
      <c r="C190" s="84">
        <v>0.0</v>
      </c>
      <c r="D190" s="84">
        <v>0.0</v>
      </c>
      <c r="E190" s="84">
        <v>0.0</v>
      </c>
      <c r="F190" s="84">
        <v>0.0</v>
      </c>
      <c r="G190" s="84">
        <v>0.0</v>
      </c>
      <c r="H190" s="84">
        <v>0.0</v>
      </c>
      <c r="I190" s="91">
        <v>0.0024242424242424242</v>
      </c>
      <c r="J190" s="84">
        <v>0.0</v>
      </c>
      <c r="K190" s="84">
        <v>0.0</v>
      </c>
      <c r="L190" s="84">
        <v>0.0</v>
      </c>
      <c r="M190" s="84">
        <v>0.0</v>
      </c>
      <c r="N190" s="84">
        <v>0.0</v>
      </c>
      <c r="O190" s="84">
        <v>0.0</v>
      </c>
      <c r="P190" s="84">
        <v>0.0</v>
      </c>
      <c r="Q190" s="84">
        <v>0.0</v>
      </c>
      <c r="R190" s="84">
        <v>0.0</v>
      </c>
      <c r="S190" s="84">
        <v>0.0</v>
      </c>
      <c r="T190" s="84">
        <v>0.0</v>
      </c>
      <c r="U190" s="84">
        <v>0.0</v>
      </c>
      <c r="V190" s="84">
        <v>0.0</v>
      </c>
      <c r="W190" s="84">
        <v>0.0</v>
      </c>
      <c r="X190" s="84">
        <v>0.0</v>
      </c>
      <c r="Y190" s="84">
        <v>0.0</v>
      </c>
      <c r="Z190" s="84">
        <v>0.0</v>
      </c>
      <c r="AA190" s="84">
        <v>0.0</v>
      </c>
      <c r="AB190" s="84">
        <v>0.0</v>
      </c>
      <c r="AC190" s="91">
        <v>0.002554278416347382</v>
      </c>
      <c r="AD190" s="84">
        <v>0.0</v>
      </c>
      <c r="AE190" s="84">
        <v>0.0</v>
      </c>
      <c r="AF190" s="84">
        <v>0.0</v>
      </c>
      <c r="AG190" s="84">
        <v>0.0</v>
      </c>
      <c r="AH190" s="84">
        <v>0.0</v>
      </c>
      <c r="AI190" s="84">
        <v>0.0</v>
      </c>
      <c r="AJ190" s="84">
        <v>0.0</v>
      </c>
      <c r="AK190" s="84">
        <v>0.0</v>
      </c>
      <c r="AL190" s="84">
        <v>0.0</v>
      </c>
      <c r="AM190" s="84">
        <v>0.0</v>
      </c>
      <c r="AN190" s="93">
        <f t="shared" si="1"/>
        <v>0.004978520841</v>
      </c>
      <c r="AO190" s="84">
        <f t="shared" si="2"/>
        <v>0</v>
      </c>
    </row>
    <row r="191" ht="12.75" customHeight="1">
      <c r="A191" s="84" t="s">
        <v>4035</v>
      </c>
      <c r="B191" s="84">
        <v>0.0</v>
      </c>
      <c r="C191" s="84">
        <v>0.0</v>
      </c>
      <c r="D191" s="84">
        <v>0.0</v>
      </c>
      <c r="E191" s="84">
        <v>0.0</v>
      </c>
      <c r="F191" s="84">
        <v>0.0</v>
      </c>
      <c r="G191" s="84">
        <v>0.0</v>
      </c>
      <c r="H191" s="84">
        <v>0.0</v>
      </c>
      <c r="I191" s="91">
        <v>0.0024242424242424242</v>
      </c>
      <c r="J191" s="84">
        <v>0.0</v>
      </c>
      <c r="K191" s="84">
        <v>0.0</v>
      </c>
      <c r="L191" s="84">
        <v>0.0</v>
      </c>
      <c r="M191" s="84">
        <v>0.0</v>
      </c>
      <c r="N191" s="84">
        <v>0.0</v>
      </c>
      <c r="O191" s="84">
        <v>0.0</v>
      </c>
      <c r="P191" s="84">
        <v>0.0</v>
      </c>
      <c r="Q191" s="84">
        <v>0.0</v>
      </c>
      <c r="R191" s="84">
        <v>0.0</v>
      </c>
      <c r="S191" s="84">
        <v>0.0</v>
      </c>
      <c r="T191" s="84">
        <v>0.0</v>
      </c>
      <c r="U191" s="84">
        <v>0.0</v>
      </c>
      <c r="V191" s="84">
        <v>0.0</v>
      </c>
      <c r="W191" s="84">
        <v>0.0</v>
      </c>
      <c r="X191" s="84">
        <v>0.0</v>
      </c>
      <c r="Y191" s="84">
        <v>0.0</v>
      </c>
      <c r="Z191" s="84">
        <v>0.0</v>
      </c>
      <c r="AA191" s="84">
        <v>0.0</v>
      </c>
      <c r="AB191" s="84">
        <v>0.0</v>
      </c>
      <c r="AC191" s="91">
        <v>0.002554278416347382</v>
      </c>
      <c r="AD191" s="84">
        <v>0.0</v>
      </c>
      <c r="AE191" s="84">
        <v>0.0</v>
      </c>
      <c r="AF191" s="84">
        <v>0.0</v>
      </c>
      <c r="AG191" s="84">
        <v>0.0</v>
      </c>
      <c r="AH191" s="84">
        <v>0.0</v>
      </c>
      <c r="AI191" s="84">
        <v>0.0</v>
      </c>
      <c r="AJ191" s="84">
        <v>0.0</v>
      </c>
      <c r="AK191" s="84">
        <v>0.0</v>
      </c>
      <c r="AL191" s="84">
        <v>0.0</v>
      </c>
      <c r="AM191" s="84">
        <v>0.0</v>
      </c>
      <c r="AN191" s="93">
        <f t="shared" si="1"/>
        <v>0.004978520841</v>
      </c>
      <c r="AO191" s="84">
        <f t="shared" si="2"/>
        <v>0</v>
      </c>
    </row>
    <row r="192" ht="12.75" customHeight="1">
      <c r="A192" s="84" t="s">
        <v>4104</v>
      </c>
      <c r="B192" s="84">
        <v>0.0</v>
      </c>
      <c r="C192" s="84">
        <v>0.0</v>
      </c>
      <c r="D192" s="84">
        <v>0.0</v>
      </c>
      <c r="E192" s="84">
        <v>0.0</v>
      </c>
      <c r="F192" s="84">
        <v>0.0</v>
      </c>
      <c r="G192" s="84">
        <v>0.0</v>
      </c>
      <c r="H192" s="84">
        <v>0.0</v>
      </c>
      <c r="I192" s="91">
        <v>0.0024242424242424242</v>
      </c>
      <c r="J192" s="84">
        <v>0.0</v>
      </c>
      <c r="K192" s="84">
        <v>0.0</v>
      </c>
      <c r="L192" s="84">
        <v>0.0</v>
      </c>
      <c r="M192" s="84">
        <v>0.0</v>
      </c>
      <c r="N192" s="84">
        <v>0.0</v>
      </c>
      <c r="O192" s="84">
        <v>0.0</v>
      </c>
      <c r="P192" s="84">
        <v>0.0</v>
      </c>
      <c r="Q192" s="84">
        <v>0.0</v>
      </c>
      <c r="R192" s="84">
        <v>0.0</v>
      </c>
      <c r="S192" s="84">
        <v>0.0</v>
      </c>
      <c r="T192" s="84">
        <v>0.0</v>
      </c>
      <c r="U192" s="84">
        <v>0.0</v>
      </c>
      <c r="V192" s="84">
        <v>0.0</v>
      </c>
      <c r="W192" s="84">
        <v>0.0</v>
      </c>
      <c r="X192" s="84">
        <v>0.0</v>
      </c>
      <c r="Y192" s="84">
        <v>0.0</v>
      </c>
      <c r="Z192" s="84">
        <v>0.0</v>
      </c>
      <c r="AA192" s="84">
        <v>0.0</v>
      </c>
      <c r="AB192" s="84">
        <v>0.0</v>
      </c>
      <c r="AC192" s="91">
        <v>0.002554278416347382</v>
      </c>
      <c r="AD192" s="84">
        <v>0.0</v>
      </c>
      <c r="AE192" s="84">
        <v>0.0</v>
      </c>
      <c r="AF192" s="84">
        <v>0.0</v>
      </c>
      <c r="AG192" s="84">
        <v>0.0</v>
      </c>
      <c r="AH192" s="84">
        <v>0.0</v>
      </c>
      <c r="AI192" s="84">
        <v>0.0</v>
      </c>
      <c r="AJ192" s="84">
        <v>0.0</v>
      </c>
      <c r="AK192" s="84">
        <v>0.0</v>
      </c>
      <c r="AL192" s="84">
        <v>0.0</v>
      </c>
      <c r="AM192" s="84">
        <v>0.0</v>
      </c>
      <c r="AN192" s="93">
        <f t="shared" si="1"/>
        <v>0.004978520841</v>
      </c>
      <c r="AO192" s="84">
        <f t="shared" si="2"/>
        <v>0</v>
      </c>
    </row>
    <row r="193" ht="12.75" customHeight="1">
      <c r="A193" s="84" t="s">
        <v>4068</v>
      </c>
      <c r="B193" s="84">
        <v>0.0</v>
      </c>
      <c r="C193" s="84">
        <v>0.0</v>
      </c>
      <c r="D193" s="84">
        <v>0.0</v>
      </c>
      <c r="E193" s="84">
        <v>0.0</v>
      </c>
      <c r="F193" s="84">
        <v>0.0</v>
      </c>
      <c r="G193" s="84">
        <v>0.0</v>
      </c>
      <c r="H193" s="84">
        <v>0.0</v>
      </c>
      <c r="I193" s="91">
        <v>0.0024242424242424242</v>
      </c>
      <c r="J193" s="84">
        <v>0.0</v>
      </c>
      <c r="K193" s="84">
        <v>0.0</v>
      </c>
      <c r="L193" s="84">
        <v>0.0</v>
      </c>
      <c r="M193" s="84">
        <v>0.0</v>
      </c>
      <c r="N193" s="84">
        <v>0.0</v>
      </c>
      <c r="O193" s="84">
        <v>0.0</v>
      </c>
      <c r="P193" s="84">
        <v>0.0</v>
      </c>
      <c r="Q193" s="84">
        <v>0.0</v>
      </c>
      <c r="R193" s="84">
        <v>0.0</v>
      </c>
      <c r="S193" s="84">
        <v>0.0</v>
      </c>
      <c r="T193" s="84">
        <v>0.0</v>
      </c>
      <c r="U193" s="84">
        <v>0.0</v>
      </c>
      <c r="V193" s="84">
        <v>0.0</v>
      </c>
      <c r="W193" s="84">
        <v>0.0</v>
      </c>
      <c r="X193" s="84">
        <v>0.0</v>
      </c>
      <c r="Y193" s="84">
        <v>0.0</v>
      </c>
      <c r="Z193" s="84">
        <v>0.0</v>
      </c>
      <c r="AA193" s="84">
        <v>0.0</v>
      </c>
      <c r="AB193" s="84">
        <v>0.0</v>
      </c>
      <c r="AC193" s="91">
        <v>0.002554278416347382</v>
      </c>
      <c r="AD193" s="84">
        <v>0.0</v>
      </c>
      <c r="AE193" s="84">
        <v>0.0</v>
      </c>
      <c r="AF193" s="84">
        <v>0.0</v>
      </c>
      <c r="AG193" s="84">
        <v>0.0</v>
      </c>
      <c r="AH193" s="84">
        <v>0.0</v>
      </c>
      <c r="AI193" s="84">
        <v>0.0</v>
      </c>
      <c r="AJ193" s="84">
        <v>0.0</v>
      </c>
      <c r="AK193" s="84">
        <v>0.0</v>
      </c>
      <c r="AL193" s="84">
        <v>0.0</v>
      </c>
      <c r="AM193" s="84">
        <v>0.0</v>
      </c>
      <c r="AN193" s="93">
        <f t="shared" si="1"/>
        <v>0.004978520841</v>
      </c>
      <c r="AO193" s="84">
        <f t="shared" si="2"/>
        <v>0</v>
      </c>
    </row>
    <row r="194" ht="12.75" customHeight="1">
      <c r="A194" s="84" t="s">
        <v>3970</v>
      </c>
      <c r="B194" s="84">
        <v>0.0</v>
      </c>
      <c r="C194" s="84">
        <v>0.0</v>
      </c>
      <c r="D194" s="84">
        <v>0.0</v>
      </c>
      <c r="E194" s="84">
        <v>0.0</v>
      </c>
      <c r="F194" s="84">
        <v>0.0</v>
      </c>
      <c r="G194" s="84">
        <v>0.0</v>
      </c>
      <c r="H194" s="84">
        <v>0.0</v>
      </c>
      <c r="I194" s="91">
        <v>0.0024242424242424242</v>
      </c>
      <c r="J194" s="84">
        <v>0.0</v>
      </c>
      <c r="K194" s="84">
        <v>0.0</v>
      </c>
      <c r="L194" s="84">
        <v>0.0</v>
      </c>
      <c r="M194" s="84">
        <v>0.0</v>
      </c>
      <c r="N194" s="84">
        <v>0.0</v>
      </c>
      <c r="O194" s="84">
        <v>0.0</v>
      </c>
      <c r="P194" s="84">
        <v>0.0</v>
      </c>
      <c r="Q194" s="84">
        <v>0.0</v>
      </c>
      <c r="R194" s="84">
        <v>0.0</v>
      </c>
      <c r="S194" s="84">
        <v>0.0</v>
      </c>
      <c r="T194" s="84">
        <v>0.0</v>
      </c>
      <c r="U194" s="84">
        <v>0.0</v>
      </c>
      <c r="V194" s="84">
        <v>0.0</v>
      </c>
      <c r="W194" s="84">
        <v>0.0</v>
      </c>
      <c r="X194" s="84">
        <v>0.0</v>
      </c>
      <c r="Y194" s="84">
        <v>0.0</v>
      </c>
      <c r="Z194" s="84">
        <v>0.0</v>
      </c>
      <c r="AA194" s="84">
        <v>0.0</v>
      </c>
      <c r="AB194" s="84">
        <v>0.0</v>
      </c>
      <c r="AC194" s="91">
        <v>0.002554278416347382</v>
      </c>
      <c r="AD194" s="84">
        <v>0.0</v>
      </c>
      <c r="AE194" s="84">
        <v>0.0</v>
      </c>
      <c r="AF194" s="84">
        <v>0.0</v>
      </c>
      <c r="AG194" s="84">
        <v>0.0</v>
      </c>
      <c r="AH194" s="84">
        <v>0.0</v>
      </c>
      <c r="AI194" s="84">
        <v>0.0</v>
      </c>
      <c r="AJ194" s="84">
        <v>0.0</v>
      </c>
      <c r="AK194" s="84">
        <v>0.0</v>
      </c>
      <c r="AL194" s="84">
        <v>0.0</v>
      </c>
      <c r="AM194" s="84">
        <v>0.0</v>
      </c>
      <c r="AN194" s="93">
        <f t="shared" si="1"/>
        <v>0.004978520841</v>
      </c>
      <c r="AO194" s="84">
        <f t="shared" si="2"/>
        <v>0</v>
      </c>
    </row>
    <row r="195" ht="12.75" customHeight="1">
      <c r="A195" s="84" t="s">
        <v>4240</v>
      </c>
      <c r="B195" s="84">
        <v>0.0</v>
      </c>
      <c r="C195" s="84">
        <v>0.0</v>
      </c>
      <c r="D195" s="84">
        <v>0.0</v>
      </c>
      <c r="E195" s="84">
        <v>0.0</v>
      </c>
      <c r="F195" s="84">
        <v>0.0</v>
      </c>
      <c r="G195" s="84">
        <v>0.0</v>
      </c>
      <c r="H195" s="84">
        <v>0.0</v>
      </c>
      <c r="I195" s="91">
        <v>0.0024242424242424242</v>
      </c>
      <c r="J195" s="84">
        <v>0.0</v>
      </c>
      <c r="K195" s="84">
        <v>0.0</v>
      </c>
      <c r="L195" s="84">
        <v>0.0</v>
      </c>
      <c r="M195" s="84">
        <v>0.0</v>
      </c>
      <c r="N195" s="84">
        <v>0.0</v>
      </c>
      <c r="O195" s="84">
        <v>0.0</v>
      </c>
      <c r="P195" s="84">
        <v>0.0</v>
      </c>
      <c r="Q195" s="84">
        <v>0.0</v>
      </c>
      <c r="R195" s="84">
        <v>0.0</v>
      </c>
      <c r="S195" s="84">
        <v>0.0</v>
      </c>
      <c r="T195" s="84">
        <v>0.0</v>
      </c>
      <c r="U195" s="84">
        <v>0.0</v>
      </c>
      <c r="V195" s="84">
        <v>0.0</v>
      </c>
      <c r="W195" s="84">
        <v>0.0</v>
      </c>
      <c r="X195" s="84">
        <v>0.0</v>
      </c>
      <c r="Y195" s="84">
        <v>0.0</v>
      </c>
      <c r="Z195" s="84">
        <v>0.0</v>
      </c>
      <c r="AA195" s="84">
        <v>0.0</v>
      </c>
      <c r="AB195" s="84">
        <v>0.0</v>
      </c>
      <c r="AC195" s="91">
        <v>0.002554278416347382</v>
      </c>
      <c r="AD195" s="84">
        <v>0.0</v>
      </c>
      <c r="AE195" s="84">
        <v>0.0</v>
      </c>
      <c r="AF195" s="84">
        <v>0.0</v>
      </c>
      <c r="AG195" s="84">
        <v>0.0</v>
      </c>
      <c r="AH195" s="84">
        <v>0.0</v>
      </c>
      <c r="AI195" s="84">
        <v>0.0</v>
      </c>
      <c r="AJ195" s="84">
        <v>0.0</v>
      </c>
      <c r="AK195" s="84">
        <v>0.0</v>
      </c>
      <c r="AL195" s="84">
        <v>0.0</v>
      </c>
      <c r="AM195" s="84">
        <v>0.0</v>
      </c>
      <c r="AN195" s="93">
        <f t="shared" si="1"/>
        <v>0.004978520841</v>
      </c>
      <c r="AO195" s="84">
        <f t="shared" si="2"/>
        <v>0</v>
      </c>
    </row>
    <row r="196" ht="12.75" customHeight="1">
      <c r="A196" s="84" t="s">
        <v>4216</v>
      </c>
      <c r="B196" s="84">
        <v>0.0</v>
      </c>
      <c r="C196" s="84">
        <v>0.0</v>
      </c>
      <c r="D196" s="84">
        <v>0.0</v>
      </c>
      <c r="E196" s="84">
        <v>0.0</v>
      </c>
      <c r="F196" s="84">
        <v>0.0</v>
      </c>
      <c r="G196" s="84">
        <v>0.0</v>
      </c>
      <c r="H196" s="84">
        <v>0.0</v>
      </c>
      <c r="I196" s="91">
        <v>0.0024242424242424242</v>
      </c>
      <c r="J196" s="84">
        <v>0.0</v>
      </c>
      <c r="K196" s="84">
        <v>0.0</v>
      </c>
      <c r="L196" s="84">
        <v>0.0</v>
      </c>
      <c r="M196" s="84">
        <v>0.0</v>
      </c>
      <c r="N196" s="84">
        <v>0.0</v>
      </c>
      <c r="O196" s="84">
        <v>0.0</v>
      </c>
      <c r="P196" s="84">
        <v>0.0</v>
      </c>
      <c r="Q196" s="84">
        <v>0.0</v>
      </c>
      <c r="R196" s="84">
        <v>0.0</v>
      </c>
      <c r="S196" s="84">
        <v>0.0</v>
      </c>
      <c r="T196" s="84">
        <v>0.0</v>
      </c>
      <c r="U196" s="84">
        <v>0.0</v>
      </c>
      <c r="V196" s="84">
        <v>0.0</v>
      </c>
      <c r="W196" s="84">
        <v>0.0</v>
      </c>
      <c r="X196" s="84">
        <v>0.0</v>
      </c>
      <c r="Y196" s="84">
        <v>0.0</v>
      </c>
      <c r="Z196" s="84">
        <v>0.0</v>
      </c>
      <c r="AA196" s="84">
        <v>0.0</v>
      </c>
      <c r="AB196" s="84">
        <v>0.0</v>
      </c>
      <c r="AC196" s="91">
        <v>0.0038314176245210726</v>
      </c>
      <c r="AD196" s="84">
        <v>0.0</v>
      </c>
      <c r="AE196" s="84">
        <v>0.0</v>
      </c>
      <c r="AF196" s="84">
        <v>0.0</v>
      </c>
      <c r="AG196" s="84">
        <v>0.0</v>
      </c>
      <c r="AH196" s="84">
        <v>0.0</v>
      </c>
      <c r="AI196" s="84">
        <v>0.0</v>
      </c>
      <c r="AJ196" s="84">
        <v>0.0</v>
      </c>
      <c r="AK196" s="84">
        <v>0.0</v>
      </c>
      <c r="AL196" s="84">
        <v>0.0</v>
      </c>
      <c r="AM196" s="84">
        <v>0.0</v>
      </c>
      <c r="AN196" s="93">
        <f t="shared" si="1"/>
        <v>0.006255660049</v>
      </c>
      <c r="AO196" s="84">
        <f t="shared" si="2"/>
        <v>0</v>
      </c>
    </row>
    <row r="197" ht="12.75" customHeight="1">
      <c r="A197" s="84" t="s">
        <v>4254</v>
      </c>
      <c r="B197" s="84">
        <v>0.0</v>
      </c>
      <c r="C197" s="84">
        <v>0.0</v>
      </c>
      <c r="D197" s="84">
        <v>0.0</v>
      </c>
      <c r="E197" s="84">
        <v>0.0</v>
      </c>
      <c r="F197" s="84">
        <v>0.0</v>
      </c>
      <c r="G197" s="84">
        <v>0.0</v>
      </c>
      <c r="H197" s="84">
        <v>0.0</v>
      </c>
      <c r="I197" s="91">
        <v>0.0024242424242424242</v>
      </c>
      <c r="J197" s="84">
        <v>0.0</v>
      </c>
      <c r="K197" s="84">
        <v>0.0</v>
      </c>
      <c r="L197" s="84">
        <v>0.0</v>
      </c>
      <c r="M197" s="84">
        <v>0.0</v>
      </c>
      <c r="N197" s="84">
        <v>0.0</v>
      </c>
      <c r="O197" s="84">
        <v>0.0</v>
      </c>
      <c r="P197" s="84">
        <v>0.0</v>
      </c>
      <c r="Q197" s="84">
        <v>0.0</v>
      </c>
      <c r="R197" s="84">
        <v>0.0</v>
      </c>
      <c r="S197" s="84">
        <v>0.0</v>
      </c>
      <c r="T197" s="84">
        <v>0.0</v>
      </c>
      <c r="U197" s="84">
        <v>0.0</v>
      </c>
      <c r="V197" s="84">
        <v>0.0</v>
      </c>
      <c r="W197" s="84">
        <v>0.0</v>
      </c>
      <c r="X197" s="84">
        <v>0.0</v>
      </c>
      <c r="Y197" s="84">
        <v>0.0</v>
      </c>
      <c r="Z197" s="84">
        <v>0.0</v>
      </c>
      <c r="AA197" s="84">
        <v>0.0</v>
      </c>
      <c r="AB197" s="84">
        <v>0.0</v>
      </c>
      <c r="AC197" s="91">
        <v>0.0038314176245210726</v>
      </c>
      <c r="AD197" s="84">
        <v>0.0</v>
      </c>
      <c r="AE197" s="84">
        <v>0.0</v>
      </c>
      <c r="AF197" s="84">
        <v>0.0</v>
      </c>
      <c r="AG197" s="84">
        <v>0.0</v>
      </c>
      <c r="AH197" s="84">
        <v>0.0</v>
      </c>
      <c r="AI197" s="84">
        <v>0.0</v>
      </c>
      <c r="AJ197" s="84">
        <v>0.0</v>
      </c>
      <c r="AK197" s="84">
        <v>0.0</v>
      </c>
      <c r="AL197" s="84">
        <v>0.0</v>
      </c>
      <c r="AM197" s="84">
        <v>0.0</v>
      </c>
      <c r="AN197" s="93">
        <f t="shared" si="1"/>
        <v>0.006255660049</v>
      </c>
      <c r="AO197" s="84">
        <f t="shared" si="2"/>
        <v>0</v>
      </c>
    </row>
    <row r="198" ht="12.75" customHeight="1">
      <c r="A198" s="84" t="s">
        <v>4036</v>
      </c>
      <c r="B198" s="84">
        <v>0.0</v>
      </c>
      <c r="C198" s="84">
        <v>0.0</v>
      </c>
      <c r="D198" s="84">
        <v>0.0</v>
      </c>
      <c r="E198" s="84">
        <v>0.0</v>
      </c>
      <c r="F198" s="84">
        <v>0.0</v>
      </c>
      <c r="G198" s="84">
        <v>0.0</v>
      </c>
      <c r="H198" s="84">
        <v>0.0</v>
      </c>
      <c r="I198" s="91">
        <v>0.0024242424242424242</v>
      </c>
      <c r="J198" s="84">
        <v>0.0</v>
      </c>
      <c r="K198" s="84">
        <v>0.0</v>
      </c>
      <c r="L198" s="84">
        <v>0.0</v>
      </c>
      <c r="M198" s="84">
        <v>0.0</v>
      </c>
      <c r="N198" s="84">
        <v>0.0</v>
      </c>
      <c r="O198" s="84">
        <v>0.0</v>
      </c>
      <c r="P198" s="84">
        <v>0.0</v>
      </c>
      <c r="Q198" s="84">
        <v>0.0</v>
      </c>
      <c r="R198" s="84">
        <v>0.0</v>
      </c>
      <c r="S198" s="84">
        <v>0.0</v>
      </c>
      <c r="T198" s="84">
        <v>0.0</v>
      </c>
      <c r="U198" s="84">
        <v>0.0</v>
      </c>
      <c r="V198" s="84">
        <v>0.0</v>
      </c>
      <c r="W198" s="84">
        <v>0.0</v>
      </c>
      <c r="X198" s="84">
        <v>0.0</v>
      </c>
      <c r="Y198" s="84">
        <v>0.0</v>
      </c>
      <c r="Z198" s="84">
        <v>0.0</v>
      </c>
      <c r="AA198" s="84">
        <v>0.0</v>
      </c>
      <c r="AB198" s="84">
        <v>0.0</v>
      </c>
      <c r="AC198" s="91">
        <v>0.002554278416347382</v>
      </c>
      <c r="AD198" s="84">
        <v>0.0</v>
      </c>
      <c r="AE198" s="84">
        <v>0.0</v>
      </c>
      <c r="AF198" s="84">
        <v>0.0</v>
      </c>
      <c r="AG198" s="84">
        <v>0.0</v>
      </c>
      <c r="AH198" s="84">
        <v>0.0</v>
      </c>
      <c r="AI198" s="84">
        <v>0.0</v>
      </c>
      <c r="AJ198" s="84">
        <v>0.0</v>
      </c>
      <c r="AK198" s="84">
        <v>0.0</v>
      </c>
      <c r="AL198" s="84">
        <v>0.0</v>
      </c>
      <c r="AM198" s="84">
        <v>0.0</v>
      </c>
      <c r="AN198" s="93">
        <f t="shared" si="1"/>
        <v>0.004978520841</v>
      </c>
      <c r="AO198" s="84">
        <f t="shared" si="2"/>
        <v>0</v>
      </c>
    </row>
    <row r="199" ht="12.75" customHeight="1">
      <c r="A199" s="84" t="s">
        <v>4197</v>
      </c>
      <c r="B199" s="84">
        <v>0.0</v>
      </c>
      <c r="C199" s="84">
        <v>0.0</v>
      </c>
      <c r="D199" s="84">
        <v>0.0</v>
      </c>
      <c r="E199" s="84">
        <v>0.0</v>
      </c>
      <c r="F199" s="84">
        <v>0.0</v>
      </c>
      <c r="G199" s="84">
        <v>0.0</v>
      </c>
      <c r="H199" s="84">
        <v>0.0</v>
      </c>
      <c r="I199" s="91">
        <v>0.0024242424242424242</v>
      </c>
      <c r="J199" s="84">
        <v>0.0</v>
      </c>
      <c r="K199" s="84">
        <v>0.0</v>
      </c>
      <c r="L199" s="84">
        <v>0.0</v>
      </c>
      <c r="M199" s="84">
        <v>0.0</v>
      </c>
      <c r="N199" s="84">
        <v>0.0</v>
      </c>
      <c r="O199" s="84">
        <v>0.0</v>
      </c>
      <c r="P199" s="84">
        <v>0.0</v>
      </c>
      <c r="Q199" s="84">
        <v>0.0</v>
      </c>
      <c r="R199" s="84">
        <v>0.0</v>
      </c>
      <c r="S199" s="84">
        <v>0.0</v>
      </c>
      <c r="T199" s="84">
        <v>0.0</v>
      </c>
      <c r="U199" s="84">
        <v>0.0</v>
      </c>
      <c r="V199" s="84">
        <v>0.0</v>
      </c>
      <c r="W199" s="84">
        <v>0.0</v>
      </c>
      <c r="X199" s="84">
        <v>0.0</v>
      </c>
      <c r="Y199" s="84">
        <v>0.0</v>
      </c>
      <c r="Z199" s="84">
        <v>0.0</v>
      </c>
      <c r="AA199" s="84">
        <v>0.0</v>
      </c>
      <c r="AB199" s="84">
        <v>0.0</v>
      </c>
      <c r="AC199" s="91">
        <v>0.002554278416347382</v>
      </c>
      <c r="AD199" s="84">
        <v>0.0</v>
      </c>
      <c r="AE199" s="84">
        <v>0.0</v>
      </c>
      <c r="AF199" s="84">
        <v>0.0</v>
      </c>
      <c r="AG199" s="84">
        <v>0.0</v>
      </c>
      <c r="AH199" s="84">
        <v>0.0</v>
      </c>
      <c r="AI199" s="84">
        <v>0.0</v>
      </c>
      <c r="AJ199" s="84">
        <v>0.0</v>
      </c>
      <c r="AK199" s="84">
        <v>0.0</v>
      </c>
      <c r="AL199" s="84">
        <v>0.0</v>
      </c>
      <c r="AM199" s="84">
        <v>0.0</v>
      </c>
      <c r="AN199" s="93">
        <f t="shared" si="1"/>
        <v>0.004978520841</v>
      </c>
      <c r="AO199" s="84">
        <f t="shared" si="2"/>
        <v>0</v>
      </c>
    </row>
    <row r="200" ht="12.75" customHeight="1">
      <c r="A200" s="84" t="s">
        <v>4244</v>
      </c>
      <c r="B200" s="84">
        <v>0.0</v>
      </c>
      <c r="C200" s="84">
        <v>0.0</v>
      </c>
      <c r="D200" s="84">
        <v>0.0</v>
      </c>
      <c r="E200" s="84">
        <v>0.0</v>
      </c>
      <c r="F200" s="84">
        <v>0.0</v>
      </c>
      <c r="G200" s="84">
        <v>0.0</v>
      </c>
      <c r="H200" s="84">
        <v>0.0</v>
      </c>
      <c r="I200" s="91">
        <v>0.0024242424242424242</v>
      </c>
      <c r="J200" s="84">
        <v>0.0</v>
      </c>
      <c r="K200" s="84">
        <v>0.0</v>
      </c>
      <c r="L200" s="84">
        <v>0.0</v>
      </c>
      <c r="M200" s="84">
        <v>0.0</v>
      </c>
      <c r="N200" s="84">
        <v>0.0</v>
      </c>
      <c r="O200" s="84">
        <v>0.0</v>
      </c>
      <c r="P200" s="84">
        <v>0.0</v>
      </c>
      <c r="Q200" s="84">
        <v>0.0</v>
      </c>
      <c r="R200" s="84">
        <v>0.0</v>
      </c>
      <c r="S200" s="84">
        <v>0.0</v>
      </c>
      <c r="T200" s="84">
        <v>0.0</v>
      </c>
      <c r="U200" s="84">
        <v>0.0</v>
      </c>
      <c r="V200" s="84">
        <v>0.0</v>
      </c>
      <c r="W200" s="84">
        <v>0.0</v>
      </c>
      <c r="X200" s="84">
        <v>0.0</v>
      </c>
      <c r="Y200" s="84">
        <v>0.0</v>
      </c>
      <c r="Z200" s="84">
        <v>0.0</v>
      </c>
      <c r="AA200" s="84">
        <v>0.0</v>
      </c>
      <c r="AB200" s="84">
        <v>0.0</v>
      </c>
      <c r="AC200" s="91">
        <v>0.002554278416347382</v>
      </c>
      <c r="AD200" s="84">
        <v>0.0</v>
      </c>
      <c r="AE200" s="84">
        <v>0.0</v>
      </c>
      <c r="AF200" s="84">
        <v>0.0</v>
      </c>
      <c r="AG200" s="84">
        <v>0.0</v>
      </c>
      <c r="AH200" s="84">
        <v>0.0</v>
      </c>
      <c r="AI200" s="84">
        <v>0.0</v>
      </c>
      <c r="AJ200" s="84">
        <v>0.0</v>
      </c>
      <c r="AK200" s="84">
        <v>0.0</v>
      </c>
      <c r="AL200" s="84">
        <v>0.0</v>
      </c>
      <c r="AM200" s="84">
        <v>0.0</v>
      </c>
      <c r="AN200" s="93">
        <f t="shared" si="1"/>
        <v>0.004978520841</v>
      </c>
      <c r="AO200" s="84">
        <f t="shared" si="2"/>
        <v>0</v>
      </c>
    </row>
    <row r="201" ht="12.75" customHeight="1">
      <c r="A201" s="84" t="s">
        <v>4266</v>
      </c>
      <c r="B201" s="84">
        <v>0.0</v>
      </c>
      <c r="C201" s="84">
        <v>0.0</v>
      </c>
      <c r="D201" s="84">
        <v>0.0</v>
      </c>
      <c r="E201" s="84">
        <v>0.0</v>
      </c>
      <c r="F201" s="84">
        <v>0.0</v>
      </c>
      <c r="G201" s="84">
        <v>0.0</v>
      </c>
      <c r="H201" s="84">
        <v>0.0</v>
      </c>
      <c r="I201" s="91">
        <v>0.0024242424242424242</v>
      </c>
      <c r="J201" s="84">
        <v>0.0</v>
      </c>
      <c r="K201" s="84">
        <v>0.0</v>
      </c>
      <c r="L201" s="84">
        <v>0.0</v>
      </c>
      <c r="M201" s="84">
        <v>0.0</v>
      </c>
      <c r="N201" s="84">
        <v>0.0</v>
      </c>
      <c r="O201" s="84">
        <v>0.0</v>
      </c>
      <c r="P201" s="84">
        <v>0.0</v>
      </c>
      <c r="Q201" s="84">
        <v>0.0</v>
      </c>
      <c r="R201" s="84">
        <v>0.0</v>
      </c>
      <c r="S201" s="84">
        <v>0.0</v>
      </c>
      <c r="T201" s="84">
        <v>0.0</v>
      </c>
      <c r="U201" s="84">
        <v>0.0</v>
      </c>
      <c r="V201" s="84">
        <v>0.0</v>
      </c>
      <c r="W201" s="84">
        <v>0.0</v>
      </c>
      <c r="X201" s="84">
        <v>0.0</v>
      </c>
      <c r="Y201" s="84">
        <v>0.0</v>
      </c>
      <c r="Z201" s="84">
        <v>0.0</v>
      </c>
      <c r="AA201" s="84">
        <v>0.0</v>
      </c>
      <c r="AB201" s="84">
        <v>0.0</v>
      </c>
      <c r="AC201" s="91">
        <v>0.0038314176245210726</v>
      </c>
      <c r="AD201" s="84">
        <v>0.0</v>
      </c>
      <c r="AE201" s="84">
        <v>0.0</v>
      </c>
      <c r="AF201" s="84">
        <v>0.0</v>
      </c>
      <c r="AG201" s="84">
        <v>0.0</v>
      </c>
      <c r="AH201" s="84">
        <v>0.0</v>
      </c>
      <c r="AI201" s="84">
        <v>0.0</v>
      </c>
      <c r="AJ201" s="84">
        <v>0.0</v>
      </c>
      <c r="AK201" s="84">
        <v>0.0</v>
      </c>
      <c r="AL201" s="84">
        <v>0.0</v>
      </c>
      <c r="AM201" s="84">
        <v>0.0</v>
      </c>
      <c r="AN201" s="93">
        <f t="shared" si="1"/>
        <v>0.006255660049</v>
      </c>
      <c r="AO201" s="84">
        <f t="shared" si="2"/>
        <v>0</v>
      </c>
    </row>
    <row r="202" ht="12.75" customHeight="1">
      <c r="A202" s="84" t="s">
        <v>4273</v>
      </c>
      <c r="B202" s="84">
        <v>0.0</v>
      </c>
      <c r="C202" s="84">
        <v>0.0</v>
      </c>
      <c r="D202" s="84">
        <v>0.0</v>
      </c>
      <c r="E202" s="84">
        <v>0.0</v>
      </c>
      <c r="F202" s="84">
        <v>0.0</v>
      </c>
      <c r="G202" s="84">
        <v>0.0</v>
      </c>
      <c r="H202" s="84">
        <v>0.0</v>
      </c>
      <c r="I202" s="91">
        <v>0.0024242424242424242</v>
      </c>
      <c r="J202" s="84">
        <v>0.0</v>
      </c>
      <c r="K202" s="84">
        <v>0.0</v>
      </c>
      <c r="L202" s="84">
        <v>0.0</v>
      </c>
      <c r="M202" s="84">
        <v>0.0</v>
      </c>
      <c r="N202" s="84">
        <v>0.0</v>
      </c>
      <c r="O202" s="84">
        <v>0.0</v>
      </c>
      <c r="P202" s="84">
        <v>0.0</v>
      </c>
      <c r="Q202" s="84">
        <v>0.0</v>
      </c>
      <c r="R202" s="84">
        <v>0.0</v>
      </c>
      <c r="S202" s="84">
        <v>0.0</v>
      </c>
      <c r="T202" s="84">
        <v>0.0</v>
      </c>
      <c r="U202" s="84">
        <v>0.0</v>
      </c>
      <c r="V202" s="84">
        <v>0.0</v>
      </c>
      <c r="W202" s="84">
        <v>0.0</v>
      </c>
      <c r="X202" s="84">
        <v>0.0</v>
      </c>
      <c r="Y202" s="84">
        <v>0.0</v>
      </c>
      <c r="Z202" s="84">
        <v>0.0</v>
      </c>
      <c r="AA202" s="84">
        <v>0.0</v>
      </c>
      <c r="AB202" s="84">
        <v>0.0</v>
      </c>
      <c r="AC202" s="91">
        <v>0.002554278416347382</v>
      </c>
      <c r="AD202" s="84">
        <v>0.0</v>
      </c>
      <c r="AE202" s="84">
        <v>0.0</v>
      </c>
      <c r="AF202" s="84">
        <v>0.0</v>
      </c>
      <c r="AG202" s="84">
        <v>0.0</v>
      </c>
      <c r="AH202" s="84">
        <v>0.0</v>
      </c>
      <c r="AI202" s="84">
        <v>0.0</v>
      </c>
      <c r="AJ202" s="84">
        <v>0.0</v>
      </c>
      <c r="AK202" s="84">
        <v>0.0</v>
      </c>
      <c r="AL202" s="84">
        <v>0.0</v>
      </c>
      <c r="AM202" s="84">
        <v>0.0</v>
      </c>
      <c r="AN202" s="93">
        <f t="shared" si="1"/>
        <v>0.004978520841</v>
      </c>
      <c r="AO202" s="84">
        <f t="shared" si="2"/>
        <v>0</v>
      </c>
    </row>
    <row r="203" ht="12.75" customHeight="1">
      <c r="A203" s="84" t="s">
        <v>4243</v>
      </c>
      <c r="B203" s="84">
        <v>0.0</v>
      </c>
      <c r="C203" s="84">
        <v>0.0</v>
      </c>
      <c r="D203" s="84">
        <v>0.0</v>
      </c>
      <c r="E203" s="84">
        <v>0.0</v>
      </c>
      <c r="F203" s="84">
        <v>0.0</v>
      </c>
      <c r="G203" s="84">
        <v>0.0</v>
      </c>
      <c r="H203" s="84">
        <v>0.0</v>
      </c>
      <c r="I203" s="91">
        <v>0.0024242424242424242</v>
      </c>
      <c r="J203" s="84">
        <v>0.0</v>
      </c>
      <c r="K203" s="84">
        <v>0.0</v>
      </c>
      <c r="L203" s="84">
        <v>0.0</v>
      </c>
      <c r="M203" s="84">
        <v>0.0</v>
      </c>
      <c r="N203" s="84">
        <v>0.0</v>
      </c>
      <c r="O203" s="84">
        <v>0.0</v>
      </c>
      <c r="P203" s="84">
        <v>0.0</v>
      </c>
      <c r="Q203" s="84">
        <v>0.0</v>
      </c>
      <c r="R203" s="84">
        <v>0.0</v>
      </c>
      <c r="S203" s="84">
        <v>0.0</v>
      </c>
      <c r="T203" s="84">
        <v>0.0</v>
      </c>
      <c r="U203" s="84">
        <v>0.0</v>
      </c>
      <c r="V203" s="84">
        <v>0.0</v>
      </c>
      <c r="W203" s="84">
        <v>0.0</v>
      </c>
      <c r="X203" s="84">
        <v>0.0</v>
      </c>
      <c r="Y203" s="84">
        <v>0.0</v>
      </c>
      <c r="Z203" s="84">
        <v>0.0</v>
      </c>
      <c r="AA203" s="84">
        <v>0.0</v>
      </c>
      <c r="AB203" s="84">
        <v>0.0</v>
      </c>
      <c r="AC203" s="91">
        <v>0.002554278416347382</v>
      </c>
      <c r="AD203" s="84">
        <v>0.0</v>
      </c>
      <c r="AE203" s="84">
        <v>0.0</v>
      </c>
      <c r="AF203" s="84">
        <v>0.0</v>
      </c>
      <c r="AG203" s="84">
        <v>0.0</v>
      </c>
      <c r="AH203" s="84">
        <v>0.0</v>
      </c>
      <c r="AI203" s="84">
        <v>0.0</v>
      </c>
      <c r="AJ203" s="84">
        <v>0.0</v>
      </c>
      <c r="AK203" s="84">
        <v>0.0</v>
      </c>
      <c r="AL203" s="84">
        <v>0.0</v>
      </c>
      <c r="AM203" s="84">
        <v>0.0</v>
      </c>
      <c r="AN203" s="93">
        <f t="shared" si="1"/>
        <v>0.004978520841</v>
      </c>
      <c r="AO203" s="84">
        <f t="shared" si="2"/>
        <v>0</v>
      </c>
    </row>
    <row r="204" ht="12.75" customHeight="1">
      <c r="A204" s="84" t="s">
        <v>4245</v>
      </c>
      <c r="B204" s="84">
        <v>0.0</v>
      </c>
      <c r="C204" s="84">
        <v>0.0</v>
      </c>
      <c r="D204" s="84">
        <v>0.0</v>
      </c>
      <c r="E204" s="84">
        <v>0.0</v>
      </c>
      <c r="F204" s="84">
        <v>0.0</v>
      </c>
      <c r="G204" s="84">
        <v>0.0</v>
      </c>
      <c r="H204" s="84">
        <v>0.0</v>
      </c>
      <c r="I204" s="91">
        <v>0.0024242424242424242</v>
      </c>
      <c r="J204" s="84">
        <v>0.0</v>
      </c>
      <c r="K204" s="84">
        <v>0.0</v>
      </c>
      <c r="L204" s="84">
        <v>0.0</v>
      </c>
      <c r="M204" s="84">
        <v>0.0</v>
      </c>
      <c r="N204" s="84">
        <v>0.0</v>
      </c>
      <c r="O204" s="84">
        <v>0.0</v>
      </c>
      <c r="P204" s="84">
        <v>0.0</v>
      </c>
      <c r="Q204" s="84">
        <v>0.0</v>
      </c>
      <c r="R204" s="84">
        <v>0.0</v>
      </c>
      <c r="S204" s="84">
        <v>0.0</v>
      </c>
      <c r="T204" s="84">
        <v>0.0</v>
      </c>
      <c r="U204" s="84">
        <v>0.0</v>
      </c>
      <c r="V204" s="84">
        <v>0.0</v>
      </c>
      <c r="W204" s="84">
        <v>0.0</v>
      </c>
      <c r="X204" s="84">
        <v>0.0</v>
      </c>
      <c r="Y204" s="84">
        <v>0.0</v>
      </c>
      <c r="Z204" s="84">
        <v>0.0</v>
      </c>
      <c r="AA204" s="84">
        <v>0.0</v>
      </c>
      <c r="AB204" s="84">
        <v>0.0</v>
      </c>
      <c r="AC204" s="91">
        <v>0.0038314176245210726</v>
      </c>
      <c r="AD204" s="84">
        <v>0.0</v>
      </c>
      <c r="AE204" s="84">
        <v>0.0</v>
      </c>
      <c r="AF204" s="84">
        <v>0.0</v>
      </c>
      <c r="AG204" s="84">
        <v>0.0</v>
      </c>
      <c r="AH204" s="84">
        <v>0.0</v>
      </c>
      <c r="AI204" s="84">
        <v>0.0</v>
      </c>
      <c r="AJ204" s="84">
        <v>0.0</v>
      </c>
      <c r="AK204" s="84">
        <v>0.0</v>
      </c>
      <c r="AL204" s="84">
        <v>0.0</v>
      </c>
      <c r="AM204" s="84">
        <v>0.0</v>
      </c>
      <c r="AN204" s="93">
        <f t="shared" si="1"/>
        <v>0.006255660049</v>
      </c>
      <c r="AO204" s="84">
        <f t="shared" si="2"/>
        <v>0</v>
      </c>
    </row>
    <row r="205" ht="12.75" customHeight="1">
      <c r="A205" s="84" t="s">
        <v>4275</v>
      </c>
      <c r="B205" s="84">
        <v>0.0</v>
      </c>
      <c r="C205" s="84">
        <v>0.0</v>
      </c>
      <c r="D205" s="84">
        <v>0.0</v>
      </c>
      <c r="E205" s="84">
        <v>0.0</v>
      </c>
      <c r="F205" s="84">
        <v>0.0</v>
      </c>
      <c r="G205" s="84">
        <v>0.0</v>
      </c>
      <c r="H205" s="84">
        <v>0.0</v>
      </c>
      <c r="I205" s="91">
        <v>0.0024242424242424242</v>
      </c>
      <c r="J205" s="84">
        <v>0.0</v>
      </c>
      <c r="K205" s="84">
        <v>0.0</v>
      </c>
      <c r="L205" s="84">
        <v>0.0</v>
      </c>
      <c r="M205" s="84">
        <v>0.0</v>
      </c>
      <c r="N205" s="84">
        <v>0.0</v>
      </c>
      <c r="O205" s="84">
        <v>0.0</v>
      </c>
      <c r="P205" s="84">
        <v>0.0</v>
      </c>
      <c r="Q205" s="84">
        <v>0.0</v>
      </c>
      <c r="R205" s="84">
        <v>0.0</v>
      </c>
      <c r="S205" s="84">
        <v>0.0</v>
      </c>
      <c r="T205" s="84">
        <v>0.0</v>
      </c>
      <c r="U205" s="84">
        <v>0.0</v>
      </c>
      <c r="V205" s="84">
        <v>0.0</v>
      </c>
      <c r="W205" s="84">
        <v>0.0</v>
      </c>
      <c r="X205" s="84">
        <v>0.0</v>
      </c>
      <c r="Y205" s="84">
        <v>0.0</v>
      </c>
      <c r="Z205" s="84">
        <v>0.0</v>
      </c>
      <c r="AA205" s="84">
        <v>0.0</v>
      </c>
      <c r="AB205" s="84">
        <v>0.0</v>
      </c>
      <c r="AC205" s="91">
        <v>0.002554278416347382</v>
      </c>
      <c r="AD205" s="84">
        <v>0.0</v>
      </c>
      <c r="AE205" s="84">
        <v>0.0</v>
      </c>
      <c r="AF205" s="84">
        <v>0.0</v>
      </c>
      <c r="AG205" s="84">
        <v>0.0</v>
      </c>
      <c r="AH205" s="84">
        <v>0.0</v>
      </c>
      <c r="AI205" s="84">
        <v>0.0</v>
      </c>
      <c r="AJ205" s="84">
        <v>0.0</v>
      </c>
      <c r="AK205" s="84">
        <v>0.0</v>
      </c>
      <c r="AL205" s="84">
        <v>0.0</v>
      </c>
      <c r="AM205" s="84">
        <v>0.0</v>
      </c>
      <c r="AN205" s="93">
        <f t="shared" si="1"/>
        <v>0.004978520841</v>
      </c>
      <c r="AO205" s="84">
        <f t="shared" si="2"/>
        <v>0</v>
      </c>
    </row>
    <row r="206" ht="12.75" customHeight="1">
      <c r="A206" s="84" t="s">
        <v>4175</v>
      </c>
      <c r="B206" s="84">
        <v>0.0</v>
      </c>
      <c r="C206" s="84">
        <v>0.0</v>
      </c>
      <c r="D206" s="84">
        <v>0.0</v>
      </c>
      <c r="E206" s="84">
        <v>0.0</v>
      </c>
      <c r="F206" s="84">
        <v>0.0</v>
      </c>
      <c r="G206" s="84">
        <v>0.0</v>
      </c>
      <c r="H206" s="84">
        <v>0.0</v>
      </c>
      <c r="I206" s="91">
        <v>0.0024242424242424242</v>
      </c>
      <c r="J206" s="84">
        <v>0.0</v>
      </c>
      <c r="K206" s="84">
        <v>0.0</v>
      </c>
      <c r="L206" s="84">
        <v>0.0</v>
      </c>
      <c r="M206" s="84">
        <v>0.0</v>
      </c>
      <c r="N206" s="84">
        <v>0.0</v>
      </c>
      <c r="O206" s="84">
        <v>0.0</v>
      </c>
      <c r="P206" s="84">
        <v>0.0</v>
      </c>
      <c r="Q206" s="84">
        <v>0.0</v>
      </c>
      <c r="R206" s="84">
        <v>0.0</v>
      </c>
      <c r="S206" s="84">
        <v>0.0</v>
      </c>
      <c r="T206" s="84">
        <v>0.0</v>
      </c>
      <c r="U206" s="84">
        <v>0.0</v>
      </c>
      <c r="V206" s="84">
        <v>0.0</v>
      </c>
      <c r="W206" s="84">
        <v>0.0</v>
      </c>
      <c r="X206" s="84">
        <v>0.0</v>
      </c>
      <c r="Y206" s="84">
        <v>0.0</v>
      </c>
      <c r="Z206" s="84">
        <v>0.0</v>
      </c>
      <c r="AA206" s="84">
        <v>0.0</v>
      </c>
      <c r="AB206" s="84">
        <v>0.0</v>
      </c>
      <c r="AC206" s="91">
        <v>0.002554278416347382</v>
      </c>
      <c r="AD206" s="84">
        <v>0.0</v>
      </c>
      <c r="AE206" s="84">
        <v>0.0</v>
      </c>
      <c r="AF206" s="84">
        <v>0.0</v>
      </c>
      <c r="AG206" s="84">
        <v>0.0</v>
      </c>
      <c r="AH206" s="84">
        <v>0.0</v>
      </c>
      <c r="AI206" s="84">
        <v>0.0</v>
      </c>
      <c r="AJ206" s="84">
        <v>0.0</v>
      </c>
      <c r="AK206" s="84">
        <v>0.0</v>
      </c>
      <c r="AL206" s="84">
        <v>0.0</v>
      </c>
      <c r="AM206" s="84">
        <v>0.0</v>
      </c>
      <c r="AN206" s="93">
        <f t="shared" si="1"/>
        <v>0.004978520841</v>
      </c>
      <c r="AO206" s="84">
        <f t="shared" si="2"/>
        <v>0</v>
      </c>
    </row>
    <row r="207" ht="12.75" customHeight="1">
      <c r="A207" s="84" t="s">
        <v>4101</v>
      </c>
      <c r="B207" s="84">
        <v>0.0</v>
      </c>
      <c r="C207" s="84">
        <v>0.0</v>
      </c>
      <c r="D207" s="84">
        <v>0.0</v>
      </c>
      <c r="E207" s="84">
        <v>0.0</v>
      </c>
      <c r="F207" s="84">
        <v>0.0</v>
      </c>
      <c r="G207" s="84">
        <v>0.0</v>
      </c>
      <c r="H207" s="84">
        <v>0.0</v>
      </c>
      <c r="I207" s="91">
        <v>0.0024242424242424242</v>
      </c>
      <c r="J207" s="84">
        <v>0.0</v>
      </c>
      <c r="K207" s="84">
        <v>0.0</v>
      </c>
      <c r="L207" s="84">
        <v>0.0</v>
      </c>
      <c r="M207" s="84">
        <v>0.0</v>
      </c>
      <c r="N207" s="84">
        <v>0.0</v>
      </c>
      <c r="O207" s="84">
        <v>0.0</v>
      </c>
      <c r="P207" s="84">
        <v>0.0</v>
      </c>
      <c r="Q207" s="84">
        <v>0.0</v>
      </c>
      <c r="R207" s="84">
        <v>0.0</v>
      </c>
      <c r="S207" s="84">
        <v>0.0</v>
      </c>
      <c r="T207" s="84">
        <v>0.0</v>
      </c>
      <c r="U207" s="84">
        <v>0.0</v>
      </c>
      <c r="V207" s="84">
        <v>0.0</v>
      </c>
      <c r="W207" s="84">
        <v>0.0</v>
      </c>
      <c r="X207" s="84">
        <v>0.0</v>
      </c>
      <c r="Y207" s="84">
        <v>0.0</v>
      </c>
      <c r="Z207" s="84">
        <v>0.0</v>
      </c>
      <c r="AA207" s="84">
        <v>0.0</v>
      </c>
      <c r="AB207" s="84">
        <v>0.0</v>
      </c>
      <c r="AC207" s="91">
        <v>0.002554278416347382</v>
      </c>
      <c r="AD207" s="84">
        <v>0.0</v>
      </c>
      <c r="AE207" s="84">
        <v>0.0</v>
      </c>
      <c r="AF207" s="84">
        <v>0.0</v>
      </c>
      <c r="AG207" s="84">
        <v>0.0</v>
      </c>
      <c r="AH207" s="84">
        <v>0.0</v>
      </c>
      <c r="AI207" s="84">
        <v>0.0</v>
      </c>
      <c r="AJ207" s="84">
        <v>0.0</v>
      </c>
      <c r="AK207" s="84">
        <v>0.0</v>
      </c>
      <c r="AL207" s="84">
        <v>0.0</v>
      </c>
      <c r="AM207" s="84">
        <v>0.0</v>
      </c>
      <c r="AN207" s="93">
        <f t="shared" si="1"/>
        <v>0.004978520841</v>
      </c>
      <c r="AO207" s="84">
        <f t="shared" si="2"/>
        <v>0</v>
      </c>
    </row>
    <row r="208" ht="12.75" customHeight="1">
      <c r="A208" s="84" t="s">
        <v>3997</v>
      </c>
      <c r="B208" s="84">
        <v>0.0</v>
      </c>
      <c r="C208" s="84">
        <v>0.0</v>
      </c>
      <c r="D208" s="84">
        <v>0.0</v>
      </c>
      <c r="E208" s="84">
        <v>0.0</v>
      </c>
      <c r="F208" s="84">
        <v>0.0</v>
      </c>
      <c r="G208" s="84">
        <v>0.0</v>
      </c>
      <c r="H208" s="84">
        <v>0.0</v>
      </c>
      <c r="I208" s="91">
        <v>0.0024242424242424242</v>
      </c>
      <c r="J208" s="84">
        <v>0.0</v>
      </c>
      <c r="K208" s="84">
        <v>0.0</v>
      </c>
      <c r="L208" s="84">
        <v>0.0</v>
      </c>
      <c r="M208" s="84">
        <v>0.0</v>
      </c>
      <c r="N208" s="84">
        <v>0.0</v>
      </c>
      <c r="O208" s="84">
        <v>0.0</v>
      </c>
      <c r="P208" s="84">
        <v>0.0</v>
      </c>
      <c r="Q208" s="84">
        <v>0.0</v>
      </c>
      <c r="R208" s="84">
        <v>0.0</v>
      </c>
      <c r="S208" s="84">
        <v>0.0</v>
      </c>
      <c r="T208" s="84">
        <v>0.0</v>
      </c>
      <c r="U208" s="84">
        <v>0.0</v>
      </c>
      <c r="V208" s="84">
        <v>0.0</v>
      </c>
      <c r="W208" s="84">
        <v>0.0</v>
      </c>
      <c r="X208" s="84">
        <v>0.0</v>
      </c>
      <c r="Y208" s="84">
        <v>0.0</v>
      </c>
      <c r="Z208" s="84">
        <v>0.0</v>
      </c>
      <c r="AA208" s="84">
        <v>0.0</v>
      </c>
      <c r="AB208" s="84">
        <v>0.0</v>
      </c>
      <c r="AC208" s="91">
        <v>0.002554278416347382</v>
      </c>
      <c r="AD208" s="84">
        <v>0.0</v>
      </c>
      <c r="AE208" s="84">
        <v>0.0</v>
      </c>
      <c r="AF208" s="84">
        <v>0.0</v>
      </c>
      <c r="AG208" s="84">
        <v>0.0</v>
      </c>
      <c r="AH208" s="84">
        <v>0.0</v>
      </c>
      <c r="AI208" s="84">
        <v>0.0</v>
      </c>
      <c r="AJ208" s="84">
        <v>0.0</v>
      </c>
      <c r="AK208" s="84">
        <v>0.0</v>
      </c>
      <c r="AL208" s="84">
        <v>0.0</v>
      </c>
      <c r="AM208" s="84">
        <v>0.0</v>
      </c>
      <c r="AN208" s="93">
        <f t="shared" si="1"/>
        <v>0.004978520841</v>
      </c>
      <c r="AO208" s="84">
        <f t="shared" si="2"/>
        <v>0</v>
      </c>
    </row>
    <row r="209" ht="12.75" customHeight="1">
      <c r="A209" s="84" t="s">
        <v>4077</v>
      </c>
      <c r="B209" s="84">
        <v>0.0</v>
      </c>
      <c r="C209" s="84">
        <v>0.0</v>
      </c>
      <c r="D209" s="84">
        <v>0.0</v>
      </c>
      <c r="E209" s="84">
        <v>0.0</v>
      </c>
      <c r="F209" s="84">
        <v>0.0</v>
      </c>
      <c r="G209" s="84">
        <v>0.0</v>
      </c>
      <c r="H209" s="84">
        <v>0.0</v>
      </c>
      <c r="I209" s="91">
        <v>0.0024242424242424242</v>
      </c>
      <c r="J209" s="84">
        <v>0.0</v>
      </c>
      <c r="K209" s="84">
        <v>0.0</v>
      </c>
      <c r="L209" s="84">
        <v>0.0</v>
      </c>
      <c r="M209" s="84">
        <v>0.0</v>
      </c>
      <c r="N209" s="84">
        <v>0.0</v>
      </c>
      <c r="O209" s="84">
        <v>0.0</v>
      </c>
      <c r="P209" s="84">
        <v>0.0</v>
      </c>
      <c r="Q209" s="84">
        <v>0.0</v>
      </c>
      <c r="R209" s="84">
        <v>0.0</v>
      </c>
      <c r="S209" s="84">
        <v>0.0</v>
      </c>
      <c r="T209" s="84">
        <v>0.0</v>
      </c>
      <c r="U209" s="84">
        <v>0.0</v>
      </c>
      <c r="V209" s="84">
        <v>0.0</v>
      </c>
      <c r="W209" s="84">
        <v>0.0</v>
      </c>
      <c r="X209" s="84">
        <v>0.0</v>
      </c>
      <c r="Y209" s="84">
        <v>0.0</v>
      </c>
      <c r="Z209" s="84">
        <v>0.0</v>
      </c>
      <c r="AA209" s="84">
        <v>0.0</v>
      </c>
      <c r="AB209" s="84">
        <v>0.0</v>
      </c>
      <c r="AC209" s="91">
        <v>0.002554278416347382</v>
      </c>
      <c r="AD209" s="84">
        <v>0.0</v>
      </c>
      <c r="AE209" s="84">
        <v>0.0</v>
      </c>
      <c r="AF209" s="84">
        <v>0.0</v>
      </c>
      <c r="AG209" s="84">
        <v>0.0</v>
      </c>
      <c r="AH209" s="84">
        <v>0.0</v>
      </c>
      <c r="AI209" s="84">
        <v>0.0</v>
      </c>
      <c r="AJ209" s="84">
        <v>0.0</v>
      </c>
      <c r="AK209" s="84">
        <v>0.0</v>
      </c>
      <c r="AL209" s="84">
        <v>0.0</v>
      </c>
      <c r="AM209" s="84">
        <v>0.0</v>
      </c>
      <c r="AN209" s="93">
        <f t="shared" si="1"/>
        <v>0.004978520841</v>
      </c>
      <c r="AO209" s="84">
        <f t="shared" si="2"/>
        <v>0</v>
      </c>
    </row>
    <row r="210" ht="12.75" customHeight="1">
      <c r="A210" s="84" t="s">
        <v>4361</v>
      </c>
      <c r="B210" s="84">
        <v>0.0</v>
      </c>
      <c r="C210" s="84">
        <v>0.0</v>
      </c>
      <c r="D210" s="84">
        <v>0.0</v>
      </c>
      <c r="E210" s="84">
        <v>0.0</v>
      </c>
      <c r="F210" s="84">
        <v>0.0</v>
      </c>
      <c r="G210" s="84">
        <v>0.0</v>
      </c>
      <c r="H210" s="84">
        <v>0.0</v>
      </c>
      <c r="I210" s="91">
        <v>0.0024242424242424242</v>
      </c>
      <c r="J210" s="84">
        <v>0.0</v>
      </c>
      <c r="K210" s="84">
        <v>0.0</v>
      </c>
      <c r="L210" s="84">
        <v>0.0</v>
      </c>
      <c r="M210" s="84">
        <v>0.0</v>
      </c>
      <c r="N210" s="84">
        <v>0.0</v>
      </c>
      <c r="O210" s="84">
        <v>0.0</v>
      </c>
      <c r="P210" s="84">
        <v>0.0</v>
      </c>
      <c r="Q210" s="84">
        <v>0.0</v>
      </c>
      <c r="R210" s="84">
        <v>0.0</v>
      </c>
      <c r="S210" s="84">
        <v>0.0</v>
      </c>
      <c r="T210" s="84">
        <v>0.0</v>
      </c>
      <c r="U210" s="84">
        <v>0.0</v>
      </c>
      <c r="V210" s="84">
        <v>0.0</v>
      </c>
      <c r="W210" s="84">
        <v>0.0</v>
      </c>
      <c r="X210" s="84">
        <v>0.0</v>
      </c>
      <c r="Y210" s="84">
        <v>0.0</v>
      </c>
      <c r="Z210" s="84">
        <v>0.0</v>
      </c>
      <c r="AA210" s="84">
        <v>0.0</v>
      </c>
      <c r="AB210" s="84">
        <v>0.0</v>
      </c>
      <c r="AC210" s="91">
        <v>0.005108556832694764</v>
      </c>
      <c r="AD210" s="84">
        <v>0.0</v>
      </c>
      <c r="AE210" s="84">
        <v>0.0</v>
      </c>
      <c r="AF210" s="84">
        <v>0.0</v>
      </c>
      <c r="AG210" s="84">
        <v>0.0</v>
      </c>
      <c r="AH210" s="84">
        <v>0.0</v>
      </c>
      <c r="AI210" s="84">
        <v>0.0</v>
      </c>
      <c r="AJ210" s="84">
        <v>0.0</v>
      </c>
      <c r="AK210" s="84">
        <v>0.0</v>
      </c>
      <c r="AL210" s="84">
        <v>0.0</v>
      </c>
      <c r="AM210" s="84">
        <v>0.0</v>
      </c>
      <c r="AN210" s="93">
        <f t="shared" si="1"/>
        <v>0.007532799257</v>
      </c>
      <c r="AO210" s="84">
        <f t="shared" si="2"/>
        <v>0</v>
      </c>
    </row>
    <row r="211" ht="12.75" customHeight="1">
      <c r="A211" s="84" t="s">
        <v>4256</v>
      </c>
      <c r="B211" s="84">
        <v>0.0</v>
      </c>
      <c r="C211" s="84">
        <v>0.0</v>
      </c>
      <c r="D211" s="84">
        <v>0.0</v>
      </c>
      <c r="E211" s="84">
        <v>0.0</v>
      </c>
      <c r="F211" s="84">
        <v>0.0</v>
      </c>
      <c r="G211" s="84">
        <v>0.0</v>
      </c>
      <c r="H211" s="84">
        <v>0.0</v>
      </c>
      <c r="I211" s="91">
        <v>0.0024242424242424242</v>
      </c>
      <c r="J211" s="84">
        <v>0.0</v>
      </c>
      <c r="K211" s="84">
        <v>0.0</v>
      </c>
      <c r="L211" s="84">
        <v>0.0</v>
      </c>
      <c r="M211" s="84">
        <v>0.0</v>
      </c>
      <c r="N211" s="84">
        <v>0.0</v>
      </c>
      <c r="O211" s="84">
        <v>0.0</v>
      </c>
      <c r="P211" s="84">
        <v>0.0</v>
      </c>
      <c r="Q211" s="84">
        <v>0.0</v>
      </c>
      <c r="R211" s="84">
        <v>0.0</v>
      </c>
      <c r="S211" s="84">
        <v>0.0</v>
      </c>
      <c r="T211" s="84">
        <v>0.0</v>
      </c>
      <c r="U211" s="84">
        <v>0.0</v>
      </c>
      <c r="V211" s="84">
        <v>0.0</v>
      </c>
      <c r="W211" s="84">
        <v>0.0</v>
      </c>
      <c r="X211" s="84">
        <v>0.0</v>
      </c>
      <c r="Y211" s="84">
        <v>0.0</v>
      </c>
      <c r="Z211" s="84">
        <v>0.0</v>
      </c>
      <c r="AA211" s="84">
        <v>0.0</v>
      </c>
      <c r="AB211" s="84">
        <v>0.0</v>
      </c>
      <c r="AC211" s="91">
        <v>0.0038314176245210726</v>
      </c>
      <c r="AD211" s="84">
        <v>0.0</v>
      </c>
      <c r="AE211" s="84">
        <v>0.0</v>
      </c>
      <c r="AF211" s="84">
        <v>0.0</v>
      </c>
      <c r="AG211" s="84">
        <v>0.0</v>
      </c>
      <c r="AH211" s="84">
        <v>0.0</v>
      </c>
      <c r="AI211" s="84">
        <v>0.0</v>
      </c>
      <c r="AJ211" s="84">
        <v>0.0</v>
      </c>
      <c r="AK211" s="84">
        <v>0.0</v>
      </c>
      <c r="AL211" s="84">
        <v>0.0</v>
      </c>
      <c r="AM211" s="84">
        <v>0.0</v>
      </c>
      <c r="AN211" s="93">
        <f t="shared" si="1"/>
        <v>0.006255660049</v>
      </c>
      <c r="AO211" s="84">
        <f t="shared" si="2"/>
        <v>0</v>
      </c>
    </row>
    <row r="212" ht="12.75" customHeight="1">
      <c r="A212" s="84" t="s">
        <v>4242</v>
      </c>
      <c r="B212" s="84">
        <v>0.0</v>
      </c>
      <c r="C212" s="84">
        <v>0.0</v>
      </c>
      <c r="D212" s="84">
        <v>0.0</v>
      </c>
      <c r="E212" s="84">
        <v>0.0</v>
      </c>
      <c r="F212" s="84">
        <v>0.0</v>
      </c>
      <c r="G212" s="84">
        <v>0.0</v>
      </c>
      <c r="H212" s="84">
        <v>0.0</v>
      </c>
      <c r="I212" s="91">
        <v>0.0024242424242424242</v>
      </c>
      <c r="J212" s="84">
        <v>0.0</v>
      </c>
      <c r="K212" s="84">
        <v>0.0</v>
      </c>
      <c r="L212" s="84">
        <v>0.0</v>
      </c>
      <c r="M212" s="84">
        <v>0.0</v>
      </c>
      <c r="N212" s="84">
        <v>0.0</v>
      </c>
      <c r="O212" s="84">
        <v>0.0</v>
      </c>
      <c r="P212" s="84">
        <v>0.0</v>
      </c>
      <c r="Q212" s="84">
        <v>0.0</v>
      </c>
      <c r="R212" s="84">
        <v>0.0</v>
      </c>
      <c r="S212" s="84">
        <v>0.0</v>
      </c>
      <c r="T212" s="84">
        <v>0.0</v>
      </c>
      <c r="U212" s="84">
        <v>0.0</v>
      </c>
      <c r="V212" s="84">
        <v>0.0</v>
      </c>
      <c r="W212" s="84">
        <v>0.0</v>
      </c>
      <c r="X212" s="84">
        <v>0.0</v>
      </c>
      <c r="Y212" s="84">
        <v>0.0</v>
      </c>
      <c r="Z212" s="84">
        <v>0.0</v>
      </c>
      <c r="AA212" s="84">
        <v>0.0</v>
      </c>
      <c r="AB212" s="84">
        <v>0.0</v>
      </c>
      <c r="AC212" s="91">
        <v>0.002554278416347382</v>
      </c>
      <c r="AD212" s="84">
        <v>0.0</v>
      </c>
      <c r="AE212" s="84">
        <v>0.0</v>
      </c>
      <c r="AF212" s="84">
        <v>0.0</v>
      </c>
      <c r="AG212" s="84">
        <v>0.0</v>
      </c>
      <c r="AH212" s="84">
        <v>0.0</v>
      </c>
      <c r="AI212" s="84">
        <v>0.0</v>
      </c>
      <c r="AJ212" s="84">
        <v>0.0</v>
      </c>
      <c r="AK212" s="84">
        <v>0.0</v>
      </c>
      <c r="AL212" s="84">
        <v>0.0</v>
      </c>
      <c r="AM212" s="84">
        <v>0.0</v>
      </c>
      <c r="AN212" s="93">
        <f t="shared" si="1"/>
        <v>0.004978520841</v>
      </c>
      <c r="AO212" s="84">
        <f t="shared" si="2"/>
        <v>0</v>
      </c>
    </row>
    <row r="213" ht="12.75" customHeight="1">
      <c r="A213" s="84" t="s">
        <v>4066</v>
      </c>
      <c r="B213" s="84">
        <v>0.0</v>
      </c>
      <c r="C213" s="84">
        <v>0.0</v>
      </c>
      <c r="D213" s="84">
        <v>0.0</v>
      </c>
      <c r="E213" s="84">
        <v>0.0</v>
      </c>
      <c r="F213" s="84">
        <v>0.0</v>
      </c>
      <c r="G213" s="84">
        <v>0.0</v>
      </c>
      <c r="H213" s="84">
        <v>0.0</v>
      </c>
      <c r="I213" s="91">
        <v>0.0024242424242424242</v>
      </c>
      <c r="J213" s="84">
        <v>0.0</v>
      </c>
      <c r="K213" s="84">
        <v>0.0</v>
      </c>
      <c r="L213" s="84">
        <v>0.0</v>
      </c>
      <c r="M213" s="84">
        <v>0.0</v>
      </c>
      <c r="N213" s="84">
        <v>0.0</v>
      </c>
      <c r="O213" s="84">
        <v>0.0</v>
      </c>
      <c r="P213" s="84">
        <v>0.0</v>
      </c>
      <c r="Q213" s="84">
        <v>0.0</v>
      </c>
      <c r="R213" s="84">
        <v>0.0</v>
      </c>
      <c r="S213" s="84">
        <v>0.0</v>
      </c>
      <c r="T213" s="84">
        <v>0.0</v>
      </c>
      <c r="U213" s="84">
        <v>0.0</v>
      </c>
      <c r="V213" s="84">
        <v>0.0</v>
      </c>
      <c r="W213" s="84">
        <v>0.0</v>
      </c>
      <c r="X213" s="84">
        <v>0.0</v>
      </c>
      <c r="Y213" s="84">
        <v>0.0</v>
      </c>
      <c r="Z213" s="84">
        <v>0.0</v>
      </c>
      <c r="AA213" s="84">
        <v>0.0</v>
      </c>
      <c r="AB213" s="84">
        <v>0.0</v>
      </c>
      <c r="AC213" s="91">
        <v>0.0038314176245210726</v>
      </c>
      <c r="AD213" s="84">
        <v>0.0</v>
      </c>
      <c r="AE213" s="84">
        <v>0.0</v>
      </c>
      <c r="AF213" s="84">
        <v>0.0</v>
      </c>
      <c r="AG213" s="84">
        <v>0.0</v>
      </c>
      <c r="AH213" s="84">
        <v>0.0</v>
      </c>
      <c r="AI213" s="84">
        <v>0.0</v>
      </c>
      <c r="AJ213" s="84">
        <v>0.0</v>
      </c>
      <c r="AK213" s="84">
        <v>0.0</v>
      </c>
      <c r="AL213" s="84">
        <v>0.0</v>
      </c>
      <c r="AM213" s="84">
        <v>0.0</v>
      </c>
      <c r="AN213" s="93">
        <f t="shared" si="1"/>
        <v>0.006255660049</v>
      </c>
      <c r="AO213" s="84">
        <f t="shared" si="2"/>
        <v>0</v>
      </c>
    </row>
    <row r="214" ht="12.75" customHeight="1">
      <c r="A214" s="84" t="s">
        <v>4373</v>
      </c>
      <c r="B214" s="84">
        <v>0.0</v>
      </c>
      <c r="C214" s="84">
        <v>0.0</v>
      </c>
      <c r="D214" s="84">
        <v>0.0</v>
      </c>
      <c r="E214" s="84">
        <v>0.0</v>
      </c>
      <c r="F214" s="84">
        <v>0.0</v>
      </c>
      <c r="G214" s="84">
        <v>0.0</v>
      </c>
      <c r="H214" s="84">
        <v>0.0</v>
      </c>
      <c r="I214" s="91">
        <v>0.0024242424242424242</v>
      </c>
      <c r="J214" s="84">
        <v>0.0</v>
      </c>
      <c r="K214" s="84">
        <v>0.0</v>
      </c>
      <c r="L214" s="84">
        <v>0.0</v>
      </c>
      <c r="M214" s="84">
        <v>0.0</v>
      </c>
      <c r="N214" s="84">
        <v>0.0</v>
      </c>
      <c r="O214" s="84">
        <v>0.0</v>
      </c>
      <c r="P214" s="84">
        <v>0.0</v>
      </c>
      <c r="Q214" s="84">
        <v>0.0</v>
      </c>
      <c r="R214" s="84">
        <v>0.0</v>
      </c>
      <c r="S214" s="84">
        <v>0.0</v>
      </c>
      <c r="T214" s="84">
        <v>0.0</v>
      </c>
      <c r="U214" s="84">
        <v>0.0</v>
      </c>
      <c r="V214" s="84">
        <v>0.0</v>
      </c>
      <c r="W214" s="84">
        <v>0.0</v>
      </c>
      <c r="X214" s="84">
        <v>0.0</v>
      </c>
      <c r="Y214" s="84">
        <v>0.0</v>
      </c>
      <c r="Z214" s="84">
        <v>0.0</v>
      </c>
      <c r="AA214" s="84">
        <v>0.0</v>
      </c>
      <c r="AB214" s="84">
        <v>0.0</v>
      </c>
      <c r="AC214" s="91">
        <v>0.005108556832694764</v>
      </c>
      <c r="AD214" s="84">
        <v>0.0</v>
      </c>
      <c r="AE214" s="84">
        <v>0.0</v>
      </c>
      <c r="AF214" s="84">
        <v>0.0</v>
      </c>
      <c r="AG214" s="84">
        <v>0.0</v>
      </c>
      <c r="AH214" s="84">
        <v>0.0</v>
      </c>
      <c r="AI214" s="84">
        <v>0.0</v>
      </c>
      <c r="AJ214" s="84">
        <v>0.0</v>
      </c>
      <c r="AK214" s="84">
        <v>0.0</v>
      </c>
      <c r="AL214" s="84">
        <v>0.0</v>
      </c>
      <c r="AM214" s="84">
        <v>0.0</v>
      </c>
      <c r="AN214" s="93">
        <f t="shared" si="1"/>
        <v>0.007532799257</v>
      </c>
      <c r="AO214" s="84">
        <f t="shared" si="2"/>
        <v>0</v>
      </c>
    </row>
    <row r="215" ht="12.75" customHeight="1">
      <c r="A215" s="84" t="s">
        <v>4045</v>
      </c>
      <c r="B215" s="84">
        <v>0.0</v>
      </c>
      <c r="C215" s="84">
        <v>0.0</v>
      </c>
      <c r="D215" s="84">
        <v>0.0</v>
      </c>
      <c r="E215" s="84">
        <v>0.0</v>
      </c>
      <c r="F215" s="84">
        <v>0.0</v>
      </c>
      <c r="G215" s="84">
        <v>0.0</v>
      </c>
      <c r="H215" s="84">
        <v>0.0</v>
      </c>
      <c r="I215" s="91">
        <v>0.0024242424242424242</v>
      </c>
      <c r="J215" s="84">
        <v>0.0</v>
      </c>
      <c r="K215" s="84">
        <v>0.0</v>
      </c>
      <c r="L215" s="84">
        <v>0.0</v>
      </c>
      <c r="M215" s="84">
        <v>0.0</v>
      </c>
      <c r="N215" s="84">
        <v>0.0</v>
      </c>
      <c r="O215" s="84">
        <v>0.0</v>
      </c>
      <c r="P215" s="84">
        <v>0.0</v>
      </c>
      <c r="Q215" s="84">
        <v>0.0</v>
      </c>
      <c r="R215" s="84">
        <v>0.0</v>
      </c>
      <c r="S215" s="84">
        <v>0.0</v>
      </c>
      <c r="T215" s="84">
        <v>0.0</v>
      </c>
      <c r="U215" s="84">
        <v>0.0</v>
      </c>
      <c r="V215" s="84">
        <v>0.0</v>
      </c>
      <c r="W215" s="84">
        <v>0.0</v>
      </c>
      <c r="X215" s="84">
        <v>0.0</v>
      </c>
      <c r="Y215" s="84">
        <v>0.0</v>
      </c>
      <c r="Z215" s="84">
        <v>0.0</v>
      </c>
      <c r="AA215" s="84">
        <v>0.0</v>
      </c>
      <c r="AB215" s="84">
        <v>0.0</v>
      </c>
      <c r="AC215" s="91">
        <v>0.002554278416347382</v>
      </c>
      <c r="AD215" s="84">
        <v>0.0</v>
      </c>
      <c r="AE215" s="84">
        <v>0.0</v>
      </c>
      <c r="AF215" s="84">
        <v>0.0</v>
      </c>
      <c r="AG215" s="84">
        <v>0.0</v>
      </c>
      <c r="AH215" s="84">
        <v>0.0</v>
      </c>
      <c r="AI215" s="84">
        <v>0.0</v>
      </c>
      <c r="AJ215" s="84">
        <v>0.0</v>
      </c>
      <c r="AK215" s="84">
        <v>0.0</v>
      </c>
      <c r="AL215" s="84">
        <v>0.0</v>
      </c>
      <c r="AM215" s="84">
        <v>0.0</v>
      </c>
      <c r="AN215" s="93">
        <f t="shared" si="1"/>
        <v>0.004978520841</v>
      </c>
      <c r="AO215" s="84">
        <f t="shared" si="2"/>
        <v>0</v>
      </c>
    </row>
    <row r="216" ht="12.75" customHeight="1">
      <c r="A216" s="84" t="s">
        <v>4123</v>
      </c>
      <c r="B216" s="84">
        <v>0.0</v>
      </c>
      <c r="C216" s="84">
        <v>0.0</v>
      </c>
      <c r="D216" s="84">
        <v>0.0</v>
      </c>
      <c r="E216" s="84">
        <v>0.0</v>
      </c>
      <c r="F216" s="84">
        <v>0.0</v>
      </c>
      <c r="G216" s="84">
        <v>0.0</v>
      </c>
      <c r="H216" s="84">
        <v>0.0</v>
      </c>
      <c r="I216" s="91">
        <v>0.0024242424242424242</v>
      </c>
      <c r="J216" s="84">
        <v>0.0</v>
      </c>
      <c r="K216" s="84">
        <v>0.0</v>
      </c>
      <c r="L216" s="84">
        <v>0.0</v>
      </c>
      <c r="M216" s="84">
        <v>0.0</v>
      </c>
      <c r="N216" s="84">
        <v>0.0</v>
      </c>
      <c r="O216" s="84">
        <v>0.0</v>
      </c>
      <c r="P216" s="84">
        <v>0.0</v>
      </c>
      <c r="Q216" s="84">
        <v>0.0</v>
      </c>
      <c r="R216" s="84">
        <v>0.0</v>
      </c>
      <c r="S216" s="84">
        <v>0.0</v>
      </c>
      <c r="T216" s="84">
        <v>0.0</v>
      </c>
      <c r="U216" s="84">
        <v>0.0</v>
      </c>
      <c r="V216" s="84">
        <v>0.0</v>
      </c>
      <c r="W216" s="84">
        <v>0.0</v>
      </c>
      <c r="X216" s="84">
        <v>0.0</v>
      </c>
      <c r="Y216" s="84">
        <v>0.0</v>
      </c>
      <c r="Z216" s="84">
        <v>0.0</v>
      </c>
      <c r="AA216" s="84">
        <v>0.0</v>
      </c>
      <c r="AB216" s="84">
        <v>0.0</v>
      </c>
      <c r="AC216" s="91">
        <v>0.002554278416347382</v>
      </c>
      <c r="AD216" s="84">
        <v>0.0</v>
      </c>
      <c r="AE216" s="84">
        <v>0.0</v>
      </c>
      <c r="AF216" s="84">
        <v>0.0</v>
      </c>
      <c r="AG216" s="84">
        <v>0.0</v>
      </c>
      <c r="AH216" s="84">
        <v>0.0</v>
      </c>
      <c r="AI216" s="84">
        <v>0.0</v>
      </c>
      <c r="AJ216" s="84">
        <v>0.0</v>
      </c>
      <c r="AK216" s="84">
        <v>0.0</v>
      </c>
      <c r="AL216" s="84">
        <v>0.0</v>
      </c>
      <c r="AM216" s="84">
        <v>0.0</v>
      </c>
      <c r="AN216" s="93">
        <f t="shared" si="1"/>
        <v>0.004978520841</v>
      </c>
      <c r="AO216" s="84">
        <f t="shared" si="2"/>
        <v>0</v>
      </c>
    </row>
    <row r="217" ht="12.75" customHeight="1">
      <c r="A217" s="84" t="s">
        <v>3991</v>
      </c>
      <c r="B217" s="84">
        <v>0.0</v>
      </c>
      <c r="C217" s="84">
        <v>0.0</v>
      </c>
      <c r="D217" s="84">
        <v>0.0</v>
      </c>
      <c r="E217" s="84">
        <v>0.0</v>
      </c>
      <c r="F217" s="84">
        <v>0.0</v>
      </c>
      <c r="G217" s="84">
        <v>0.0</v>
      </c>
      <c r="H217" s="84">
        <v>0.0</v>
      </c>
      <c r="I217" s="91">
        <v>0.0024242424242424242</v>
      </c>
      <c r="J217" s="84">
        <v>0.0</v>
      </c>
      <c r="K217" s="84">
        <v>0.0</v>
      </c>
      <c r="L217" s="84">
        <v>0.0</v>
      </c>
      <c r="M217" s="84">
        <v>0.0</v>
      </c>
      <c r="N217" s="84">
        <v>0.0</v>
      </c>
      <c r="O217" s="84">
        <v>0.0</v>
      </c>
      <c r="P217" s="84">
        <v>0.0</v>
      </c>
      <c r="Q217" s="84">
        <v>0.0</v>
      </c>
      <c r="R217" s="84">
        <v>0.0</v>
      </c>
      <c r="S217" s="84">
        <v>0.0</v>
      </c>
      <c r="T217" s="84">
        <v>0.0</v>
      </c>
      <c r="U217" s="84">
        <v>0.0</v>
      </c>
      <c r="V217" s="84">
        <v>0.0</v>
      </c>
      <c r="W217" s="84">
        <v>0.0</v>
      </c>
      <c r="X217" s="84">
        <v>0.0</v>
      </c>
      <c r="Y217" s="84">
        <v>0.0</v>
      </c>
      <c r="Z217" s="84">
        <v>0.0</v>
      </c>
      <c r="AA217" s="84">
        <v>0.0</v>
      </c>
      <c r="AB217" s="84">
        <v>0.0</v>
      </c>
      <c r="AC217" s="91">
        <v>0.002554278416347382</v>
      </c>
      <c r="AD217" s="84">
        <v>0.0</v>
      </c>
      <c r="AE217" s="84">
        <v>0.0</v>
      </c>
      <c r="AF217" s="84">
        <v>0.0</v>
      </c>
      <c r="AG217" s="84">
        <v>0.0</v>
      </c>
      <c r="AH217" s="84">
        <v>0.0</v>
      </c>
      <c r="AI217" s="84">
        <v>0.0</v>
      </c>
      <c r="AJ217" s="84">
        <v>0.0</v>
      </c>
      <c r="AK217" s="84">
        <v>0.0</v>
      </c>
      <c r="AL217" s="84">
        <v>0.0</v>
      </c>
      <c r="AM217" s="84">
        <v>0.0</v>
      </c>
      <c r="AN217" s="93">
        <f t="shared" si="1"/>
        <v>0.004978520841</v>
      </c>
      <c r="AO217" s="84">
        <f t="shared" si="2"/>
        <v>0</v>
      </c>
    </row>
    <row r="218" ht="12.75" customHeight="1">
      <c r="A218" s="84" t="s">
        <v>4208</v>
      </c>
      <c r="B218" s="84">
        <v>0.0</v>
      </c>
      <c r="C218" s="84">
        <v>0.0</v>
      </c>
      <c r="D218" s="84">
        <v>0.0</v>
      </c>
      <c r="E218" s="84">
        <v>0.0</v>
      </c>
      <c r="F218" s="84">
        <v>0.0</v>
      </c>
      <c r="G218" s="84">
        <v>0.0</v>
      </c>
      <c r="H218" s="84">
        <v>0.0</v>
      </c>
      <c r="I218" s="91">
        <v>0.0024242424242424242</v>
      </c>
      <c r="J218" s="84">
        <v>0.0</v>
      </c>
      <c r="K218" s="84">
        <v>0.0</v>
      </c>
      <c r="L218" s="84">
        <v>0.0</v>
      </c>
      <c r="M218" s="84">
        <v>0.0</v>
      </c>
      <c r="N218" s="84">
        <v>0.0</v>
      </c>
      <c r="O218" s="84">
        <v>0.0</v>
      </c>
      <c r="P218" s="84">
        <v>0.0</v>
      </c>
      <c r="Q218" s="84">
        <v>0.0</v>
      </c>
      <c r="R218" s="84">
        <v>0.0</v>
      </c>
      <c r="S218" s="84">
        <v>0.0</v>
      </c>
      <c r="T218" s="84">
        <v>0.0</v>
      </c>
      <c r="U218" s="84">
        <v>0.0</v>
      </c>
      <c r="V218" s="84">
        <v>0.0</v>
      </c>
      <c r="W218" s="84">
        <v>0.0</v>
      </c>
      <c r="X218" s="84">
        <v>0.0</v>
      </c>
      <c r="Y218" s="84">
        <v>0.0</v>
      </c>
      <c r="Z218" s="84">
        <v>0.0</v>
      </c>
      <c r="AA218" s="84">
        <v>0.0</v>
      </c>
      <c r="AB218" s="84">
        <v>0.0</v>
      </c>
      <c r="AC218" s="91">
        <v>0.002554278416347382</v>
      </c>
      <c r="AD218" s="84">
        <v>0.0</v>
      </c>
      <c r="AE218" s="84">
        <v>0.0</v>
      </c>
      <c r="AF218" s="84">
        <v>0.0</v>
      </c>
      <c r="AG218" s="84">
        <v>0.0</v>
      </c>
      <c r="AH218" s="84">
        <v>0.0</v>
      </c>
      <c r="AI218" s="84">
        <v>0.0</v>
      </c>
      <c r="AJ218" s="84">
        <v>0.0</v>
      </c>
      <c r="AK218" s="84">
        <v>0.0</v>
      </c>
      <c r="AL218" s="84">
        <v>0.0</v>
      </c>
      <c r="AM218" s="84">
        <v>0.0</v>
      </c>
      <c r="AN218" s="93">
        <f t="shared" si="1"/>
        <v>0.004978520841</v>
      </c>
      <c r="AO218" s="84">
        <f t="shared" si="2"/>
        <v>0</v>
      </c>
    </row>
    <row r="219" ht="12.75" customHeight="1">
      <c r="A219" s="84" t="s">
        <v>4009</v>
      </c>
      <c r="B219" s="84">
        <v>0.0</v>
      </c>
      <c r="C219" s="84">
        <v>0.0</v>
      </c>
      <c r="D219" s="84">
        <v>0.0</v>
      </c>
      <c r="E219" s="84">
        <v>0.0</v>
      </c>
      <c r="F219" s="84">
        <v>0.0</v>
      </c>
      <c r="G219" s="84">
        <v>0.0</v>
      </c>
      <c r="H219" s="84">
        <v>0.0</v>
      </c>
      <c r="I219" s="91">
        <v>0.0024242424242424242</v>
      </c>
      <c r="J219" s="84">
        <v>0.0</v>
      </c>
      <c r="K219" s="84">
        <v>0.0</v>
      </c>
      <c r="L219" s="84">
        <v>0.0</v>
      </c>
      <c r="M219" s="84">
        <v>0.0</v>
      </c>
      <c r="N219" s="84">
        <v>0.0</v>
      </c>
      <c r="O219" s="84">
        <v>0.0</v>
      </c>
      <c r="P219" s="84">
        <v>0.0</v>
      </c>
      <c r="Q219" s="84">
        <v>0.0</v>
      </c>
      <c r="R219" s="84">
        <v>0.0</v>
      </c>
      <c r="S219" s="84">
        <v>0.0</v>
      </c>
      <c r="T219" s="84">
        <v>0.0</v>
      </c>
      <c r="U219" s="84">
        <v>0.0</v>
      </c>
      <c r="V219" s="84">
        <v>0.0</v>
      </c>
      <c r="W219" s="84">
        <v>0.0</v>
      </c>
      <c r="X219" s="84">
        <v>0.0</v>
      </c>
      <c r="Y219" s="84">
        <v>0.0</v>
      </c>
      <c r="Z219" s="84">
        <v>0.0</v>
      </c>
      <c r="AA219" s="84">
        <v>0.0</v>
      </c>
      <c r="AB219" s="84">
        <v>0.0</v>
      </c>
      <c r="AC219" s="91">
        <v>0.002554278416347382</v>
      </c>
      <c r="AD219" s="84">
        <v>0.0</v>
      </c>
      <c r="AE219" s="84">
        <v>0.0</v>
      </c>
      <c r="AF219" s="84">
        <v>0.0</v>
      </c>
      <c r="AG219" s="84">
        <v>0.0</v>
      </c>
      <c r="AH219" s="84">
        <v>0.0</v>
      </c>
      <c r="AI219" s="84">
        <v>0.0</v>
      </c>
      <c r="AJ219" s="84">
        <v>0.0</v>
      </c>
      <c r="AK219" s="84">
        <v>0.0</v>
      </c>
      <c r="AL219" s="84">
        <v>0.0</v>
      </c>
      <c r="AM219" s="84">
        <v>0.0</v>
      </c>
      <c r="AN219" s="93">
        <f t="shared" si="1"/>
        <v>0.004978520841</v>
      </c>
      <c r="AO219" s="84">
        <f t="shared" si="2"/>
        <v>0</v>
      </c>
    </row>
    <row r="220" ht="12.75" customHeight="1">
      <c r="A220" s="84" t="s">
        <v>4150</v>
      </c>
      <c r="B220" s="84">
        <v>0.0</v>
      </c>
      <c r="C220" s="84">
        <v>0.0</v>
      </c>
      <c r="D220" s="84">
        <v>0.0</v>
      </c>
      <c r="E220" s="84">
        <v>0.0</v>
      </c>
      <c r="F220" s="84">
        <v>0.0</v>
      </c>
      <c r="G220" s="84">
        <v>0.0</v>
      </c>
      <c r="H220" s="84">
        <v>0.0</v>
      </c>
      <c r="I220" s="91">
        <v>0.0024242424242424242</v>
      </c>
      <c r="J220" s="84">
        <v>0.0</v>
      </c>
      <c r="K220" s="84">
        <v>0.0</v>
      </c>
      <c r="L220" s="84">
        <v>0.0</v>
      </c>
      <c r="M220" s="84">
        <v>0.0</v>
      </c>
      <c r="N220" s="84">
        <v>0.0</v>
      </c>
      <c r="O220" s="84">
        <v>0.0</v>
      </c>
      <c r="P220" s="84">
        <v>0.0</v>
      </c>
      <c r="Q220" s="84">
        <v>0.0</v>
      </c>
      <c r="R220" s="84">
        <v>0.0</v>
      </c>
      <c r="S220" s="84">
        <v>0.0</v>
      </c>
      <c r="T220" s="84">
        <v>0.0</v>
      </c>
      <c r="U220" s="84">
        <v>0.0</v>
      </c>
      <c r="V220" s="84">
        <v>0.0</v>
      </c>
      <c r="W220" s="84">
        <v>0.0</v>
      </c>
      <c r="X220" s="84">
        <v>0.0</v>
      </c>
      <c r="Y220" s="84">
        <v>0.0</v>
      </c>
      <c r="Z220" s="84">
        <v>0.0</v>
      </c>
      <c r="AA220" s="84">
        <v>0.0</v>
      </c>
      <c r="AB220" s="84">
        <v>0.0</v>
      </c>
      <c r="AC220" s="91">
        <v>0.002554278416347382</v>
      </c>
      <c r="AD220" s="84">
        <v>0.0</v>
      </c>
      <c r="AE220" s="84">
        <v>0.0</v>
      </c>
      <c r="AF220" s="84">
        <v>0.0</v>
      </c>
      <c r="AG220" s="84">
        <v>0.0</v>
      </c>
      <c r="AH220" s="84">
        <v>0.0</v>
      </c>
      <c r="AI220" s="84">
        <v>0.0</v>
      </c>
      <c r="AJ220" s="84">
        <v>0.0</v>
      </c>
      <c r="AK220" s="84">
        <v>0.0</v>
      </c>
      <c r="AL220" s="84">
        <v>0.0</v>
      </c>
      <c r="AM220" s="84">
        <v>0.0</v>
      </c>
      <c r="AN220" s="93">
        <f t="shared" si="1"/>
        <v>0.004978520841</v>
      </c>
      <c r="AO220" s="84">
        <f t="shared" si="2"/>
        <v>0</v>
      </c>
    </row>
    <row r="221" ht="12.75" customHeight="1">
      <c r="A221" s="84" t="s">
        <v>4268</v>
      </c>
      <c r="B221" s="84">
        <v>0.0</v>
      </c>
      <c r="C221" s="84">
        <v>0.0</v>
      </c>
      <c r="D221" s="84">
        <v>0.0</v>
      </c>
      <c r="E221" s="84">
        <v>0.0</v>
      </c>
      <c r="F221" s="84">
        <v>0.0</v>
      </c>
      <c r="G221" s="84">
        <v>0.0</v>
      </c>
      <c r="H221" s="84">
        <v>0.0</v>
      </c>
      <c r="I221" s="91">
        <v>0.0024242424242424242</v>
      </c>
      <c r="J221" s="84">
        <v>0.0</v>
      </c>
      <c r="K221" s="84">
        <v>0.0</v>
      </c>
      <c r="L221" s="84">
        <v>0.0</v>
      </c>
      <c r="M221" s="84">
        <v>0.0</v>
      </c>
      <c r="N221" s="84">
        <v>0.0</v>
      </c>
      <c r="O221" s="84">
        <v>0.0</v>
      </c>
      <c r="P221" s="84">
        <v>0.0</v>
      </c>
      <c r="Q221" s="84">
        <v>0.0</v>
      </c>
      <c r="R221" s="84">
        <v>0.0</v>
      </c>
      <c r="S221" s="84">
        <v>0.0</v>
      </c>
      <c r="T221" s="84">
        <v>0.0</v>
      </c>
      <c r="U221" s="84">
        <v>0.0</v>
      </c>
      <c r="V221" s="84">
        <v>0.0</v>
      </c>
      <c r="W221" s="84">
        <v>0.0</v>
      </c>
      <c r="X221" s="84">
        <v>0.0</v>
      </c>
      <c r="Y221" s="84">
        <v>0.0</v>
      </c>
      <c r="Z221" s="84">
        <v>0.0</v>
      </c>
      <c r="AA221" s="84">
        <v>0.0</v>
      </c>
      <c r="AB221" s="84">
        <v>0.0</v>
      </c>
      <c r="AC221" s="91">
        <v>0.002554278416347382</v>
      </c>
      <c r="AD221" s="84">
        <v>0.0</v>
      </c>
      <c r="AE221" s="84">
        <v>0.0</v>
      </c>
      <c r="AF221" s="84">
        <v>0.0</v>
      </c>
      <c r="AG221" s="84">
        <v>0.0</v>
      </c>
      <c r="AH221" s="84">
        <v>0.0</v>
      </c>
      <c r="AI221" s="84">
        <v>0.0</v>
      </c>
      <c r="AJ221" s="84">
        <v>0.0</v>
      </c>
      <c r="AK221" s="84">
        <v>0.0</v>
      </c>
      <c r="AL221" s="84">
        <v>0.0</v>
      </c>
      <c r="AM221" s="84">
        <v>0.0</v>
      </c>
      <c r="AN221" s="93">
        <f t="shared" si="1"/>
        <v>0.004978520841</v>
      </c>
      <c r="AO221" s="84">
        <f t="shared" si="2"/>
        <v>0</v>
      </c>
    </row>
    <row r="222" ht="12.75" customHeight="1">
      <c r="A222" s="84" t="s">
        <v>3981</v>
      </c>
      <c r="B222" s="84">
        <v>0.0</v>
      </c>
      <c r="C222" s="84">
        <v>0.0</v>
      </c>
      <c r="D222" s="84">
        <v>0.0</v>
      </c>
      <c r="E222" s="84">
        <v>0.0</v>
      </c>
      <c r="F222" s="84">
        <v>0.0</v>
      </c>
      <c r="G222" s="84">
        <v>0.0</v>
      </c>
      <c r="H222" s="84">
        <v>0.0</v>
      </c>
      <c r="I222" s="91">
        <v>0.0024242424242424242</v>
      </c>
      <c r="J222" s="84">
        <v>0.0</v>
      </c>
      <c r="K222" s="84">
        <v>0.0</v>
      </c>
      <c r="L222" s="84">
        <v>0.0</v>
      </c>
      <c r="M222" s="84">
        <v>0.0</v>
      </c>
      <c r="N222" s="84">
        <v>0.0</v>
      </c>
      <c r="O222" s="84">
        <v>0.0</v>
      </c>
      <c r="P222" s="84">
        <v>0.0</v>
      </c>
      <c r="Q222" s="84">
        <v>0.0</v>
      </c>
      <c r="R222" s="84">
        <v>0.0</v>
      </c>
      <c r="S222" s="84">
        <v>0.0</v>
      </c>
      <c r="T222" s="84">
        <v>0.0</v>
      </c>
      <c r="U222" s="84">
        <v>0.0</v>
      </c>
      <c r="V222" s="84">
        <v>0.0</v>
      </c>
      <c r="W222" s="84">
        <v>0.0</v>
      </c>
      <c r="X222" s="84">
        <v>0.0</v>
      </c>
      <c r="Y222" s="84">
        <v>0.0</v>
      </c>
      <c r="Z222" s="84">
        <v>0.0</v>
      </c>
      <c r="AA222" s="84">
        <v>0.0</v>
      </c>
      <c r="AB222" s="84">
        <v>0.0</v>
      </c>
      <c r="AC222" s="91">
        <v>0.0038314176245210726</v>
      </c>
      <c r="AD222" s="84">
        <v>0.0</v>
      </c>
      <c r="AE222" s="84">
        <v>0.0</v>
      </c>
      <c r="AF222" s="84">
        <v>0.0</v>
      </c>
      <c r="AG222" s="84">
        <v>0.0</v>
      </c>
      <c r="AH222" s="84">
        <v>0.0</v>
      </c>
      <c r="AI222" s="84">
        <v>0.0</v>
      </c>
      <c r="AJ222" s="84">
        <v>0.0</v>
      </c>
      <c r="AK222" s="84">
        <v>0.0</v>
      </c>
      <c r="AL222" s="84">
        <v>0.0</v>
      </c>
      <c r="AM222" s="84">
        <v>0.0</v>
      </c>
      <c r="AN222" s="93">
        <f t="shared" si="1"/>
        <v>0.006255660049</v>
      </c>
      <c r="AO222" s="84">
        <f t="shared" si="2"/>
        <v>0</v>
      </c>
    </row>
    <row r="223" ht="12.75" customHeight="1">
      <c r="A223" s="84" t="s">
        <v>4200</v>
      </c>
      <c r="B223" s="84">
        <v>0.0</v>
      </c>
      <c r="C223" s="84">
        <v>0.0</v>
      </c>
      <c r="D223" s="84">
        <v>0.0</v>
      </c>
      <c r="E223" s="84">
        <v>0.0</v>
      </c>
      <c r="F223" s="84">
        <v>0.0</v>
      </c>
      <c r="G223" s="84">
        <v>0.0</v>
      </c>
      <c r="H223" s="84">
        <v>0.0</v>
      </c>
      <c r="I223" s="91">
        <v>0.0024242424242424242</v>
      </c>
      <c r="J223" s="84">
        <v>0.0</v>
      </c>
      <c r="K223" s="84">
        <v>0.0</v>
      </c>
      <c r="L223" s="84">
        <v>0.0</v>
      </c>
      <c r="M223" s="84">
        <v>0.0</v>
      </c>
      <c r="N223" s="84">
        <v>0.0</v>
      </c>
      <c r="O223" s="84">
        <v>0.0</v>
      </c>
      <c r="P223" s="84">
        <v>0.0</v>
      </c>
      <c r="Q223" s="84">
        <v>0.0</v>
      </c>
      <c r="R223" s="84">
        <v>0.0</v>
      </c>
      <c r="S223" s="84">
        <v>0.0</v>
      </c>
      <c r="T223" s="84">
        <v>0.0</v>
      </c>
      <c r="U223" s="84">
        <v>0.0</v>
      </c>
      <c r="V223" s="84">
        <v>0.0</v>
      </c>
      <c r="W223" s="84">
        <v>0.0</v>
      </c>
      <c r="X223" s="84">
        <v>0.0</v>
      </c>
      <c r="Y223" s="84">
        <v>0.0</v>
      </c>
      <c r="Z223" s="84">
        <v>0.0</v>
      </c>
      <c r="AA223" s="84">
        <v>0.0</v>
      </c>
      <c r="AB223" s="84">
        <v>0.0</v>
      </c>
      <c r="AC223" s="91">
        <v>0.002554278416347382</v>
      </c>
      <c r="AD223" s="84">
        <v>0.0</v>
      </c>
      <c r="AE223" s="84">
        <v>0.0</v>
      </c>
      <c r="AF223" s="84">
        <v>0.0</v>
      </c>
      <c r="AG223" s="84">
        <v>0.0</v>
      </c>
      <c r="AH223" s="84">
        <v>0.0</v>
      </c>
      <c r="AI223" s="84">
        <v>0.0</v>
      </c>
      <c r="AJ223" s="84">
        <v>0.0</v>
      </c>
      <c r="AK223" s="84">
        <v>0.0</v>
      </c>
      <c r="AL223" s="84">
        <v>0.0</v>
      </c>
      <c r="AM223" s="84">
        <v>0.0</v>
      </c>
      <c r="AN223" s="93">
        <f t="shared" si="1"/>
        <v>0.004978520841</v>
      </c>
      <c r="AO223" s="84">
        <f t="shared" si="2"/>
        <v>0</v>
      </c>
    </row>
    <row r="224" ht="12.75" customHeight="1">
      <c r="A224" s="84" t="s">
        <v>4251</v>
      </c>
      <c r="B224" s="84">
        <v>0.0</v>
      </c>
      <c r="C224" s="84">
        <v>0.0</v>
      </c>
      <c r="D224" s="84">
        <v>0.0</v>
      </c>
      <c r="E224" s="84">
        <v>0.0</v>
      </c>
      <c r="F224" s="84">
        <v>0.0</v>
      </c>
      <c r="G224" s="84">
        <v>0.0</v>
      </c>
      <c r="H224" s="84">
        <v>0.0</v>
      </c>
      <c r="I224" s="91">
        <v>0.0024242424242424242</v>
      </c>
      <c r="J224" s="84">
        <v>0.0</v>
      </c>
      <c r="K224" s="84">
        <v>0.0</v>
      </c>
      <c r="L224" s="84">
        <v>0.0</v>
      </c>
      <c r="M224" s="84">
        <v>0.0</v>
      </c>
      <c r="N224" s="84">
        <v>0.0</v>
      </c>
      <c r="O224" s="84">
        <v>0.0</v>
      </c>
      <c r="P224" s="84">
        <v>0.0</v>
      </c>
      <c r="Q224" s="84">
        <v>0.0</v>
      </c>
      <c r="R224" s="84">
        <v>0.0</v>
      </c>
      <c r="S224" s="84">
        <v>0.0</v>
      </c>
      <c r="T224" s="84">
        <v>0.0</v>
      </c>
      <c r="U224" s="84">
        <v>0.0</v>
      </c>
      <c r="V224" s="84">
        <v>0.0</v>
      </c>
      <c r="W224" s="84">
        <v>0.0</v>
      </c>
      <c r="X224" s="84">
        <v>0.0</v>
      </c>
      <c r="Y224" s="84">
        <v>0.0</v>
      </c>
      <c r="Z224" s="84">
        <v>0.0</v>
      </c>
      <c r="AA224" s="84">
        <v>0.0</v>
      </c>
      <c r="AB224" s="84">
        <v>0.0</v>
      </c>
      <c r="AC224" s="91">
        <v>0.002554278416347382</v>
      </c>
      <c r="AD224" s="84">
        <v>0.0</v>
      </c>
      <c r="AE224" s="84">
        <v>0.0</v>
      </c>
      <c r="AF224" s="84">
        <v>0.0</v>
      </c>
      <c r="AG224" s="84">
        <v>0.0</v>
      </c>
      <c r="AH224" s="84">
        <v>0.0</v>
      </c>
      <c r="AI224" s="84">
        <v>0.0</v>
      </c>
      <c r="AJ224" s="84">
        <v>0.0</v>
      </c>
      <c r="AK224" s="84">
        <v>0.0</v>
      </c>
      <c r="AL224" s="84">
        <v>0.0</v>
      </c>
      <c r="AM224" s="84">
        <v>0.0</v>
      </c>
      <c r="AN224" s="93">
        <f t="shared" si="1"/>
        <v>0.004978520841</v>
      </c>
      <c r="AO224" s="84">
        <f t="shared" si="2"/>
        <v>0</v>
      </c>
    </row>
    <row r="225" ht="12.75" customHeight="1">
      <c r="A225" s="84" t="s">
        <v>4191</v>
      </c>
      <c r="B225" s="84">
        <v>0.0</v>
      </c>
      <c r="C225" s="84">
        <v>0.0</v>
      </c>
      <c r="D225" s="84">
        <v>0.0</v>
      </c>
      <c r="E225" s="84">
        <v>0.0</v>
      </c>
      <c r="F225" s="84">
        <v>0.0</v>
      </c>
      <c r="G225" s="84">
        <v>0.0</v>
      </c>
      <c r="H225" s="84">
        <v>0.0</v>
      </c>
      <c r="I225" s="91">
        <v>0.0024242424242424242</v>
      </c>
      <c r="J225" s="84">
        <v>0.0</v>
      </c>
      <c r="K225" s="84">
        <v>0.0</v>
      </c>
      <c r="L225" s="84">
        <v>0.0</v>
      </c>
      <c r="M225" s="84">
        <v>0.0</v>
      </c>
      <c r="N225" s="84">
        <v>0.0</v>
      </c>
      <c r="O225" s="84">
        <v>0.0</v>
      </c>
      <c r="P225" s="84">
        <v>0.0</v>
      </c>
      <c r="Q225" s="84">
        <v>0.0</v>
      </c>
      <c r="R225" s="84">
        <v>0.0</v>
      </c>
      <c r="S225" s="84">
        <v>0.0</v>
      </c>
      <c r="T225" s="84">
        <v>0.0</v>
      </c>
      <c r="U225" s="84">
        <v>0.0</v>
      </c>
      <c r="V225" s="84">
        <v>0.0</v>
      </c>
      <c r="W225" s="84">
        <v>0.0</v>
      </c>
      <c r="X225" s="84">
        <v>0.0</v>
      </c>
      <c r="Y225" s="84">
        <v>0.0</v>
      </c>
      <c r="Z225" s="84">
        <v>0.0</v>
      </c>
      <c r="AA225" s="84">
        <v>0.0</v>
      </c>
      <c r="AB225" s="84">
        <v>0.0</v>
      </c>
      <c r="AC225" s="91">
        <v>0.002554278416347382</v>
      </c>
      <c r="AD225" s="84">
        <v>0.0</v>
      </c>
      <c r="AE225" s="84">
        <v>0.0</v>
      </c>
      <c r="AF225" s="84">
        <v>0.0</v>
      </c>
      <c r="AG225" s="84">
        <v>0.0</v>
      </c>
      <c r="AH225" s="84">
        <v>0.0</v>
      </c>
      <c r="AI225" s="84">
        <v>0.0</v>
      </c>
      <c r="AJ225" s="84">
        <v>0.0</v>
      </c>
      <c r="AK225" s="84">
        <v>0.0</v>
      </c>
      <c r="AL225" s="84">
        <v>0.0</v>
      </c>
      <c r="AM225" s="84">
        <v>0.0</v>
      </c>
      <c r="AN225" s="93">
        <f t="shared" si="1"/>
        <v>0.004978520841</v>
      </c>
      <c r="AO225" s="84">
        <f t="shared" si="2"/>
        <v>0</v>
      </c>
    </row>
    <row r="226" ht="12.75" customHeight="1">
      <c r="A226" s="84" t="s">
        <v>4050</v>
      </c>
      <c r="B226" s="84">
        <v>0.0</v>
      </c>
      <c r="C226" s="84">
        <v>0.0</v>
      </c>
      <c r="D226" s="84">
        <v>0.0</v>
      </c>
      <c r="E226" s="84">
        <v>0.0</v>
      </c>
      <c r="F226" s="84">
        <v>0.0</v>
      </c>
      <c r="G226" s="84">
        <v>0.0</v>
      </c>
      <c r="H226" s="84">
        <v>0.0</v>
      </c>
      <c r="I226" s="91">
        <v>0.0024242424242424242</v>
      </c>
      <c r="J226" s="84">
        <v>0.0</v>
      </c>
      <c r="K226" s="84">
        <v>0.0</v>
      </c>
      <c r="L226" s="84">
        <v>0.0</v>
      </c>
      <c r="M226" s="84">
        <v>0.0</v>
      </c>
      <c r="N226" s="84">
        <v>0.0</v>
      </c>
      <c r="O226" s="84">
        <v>0.0</v>
      </c>
      <c r="P226" s="84">
        <v>0.0</v>
      </c>
      <c r="Q226" s="84">
        <v>0.0</v>
      </c>
      <c r="R226" s="84">
        <v>0.0</v>
      </c>
      <c r="S226" s="84">
        <v>0.0</v>
      </c>
      <c r="T226" s="84">
        <v>0.0</v>
      </c>
      <c r="U226" s="84">
        <v>0.0</v>
      </c>
      <c r="V226" s="84">
        <v>0.0</v>
      </c>
      <c r="W226" s="84">
        <v>0.0</v>
      </c>
      <c r="X226" s="84">
        <v>0.0</v>
      </c>
      <c r="Y226" s="84">
        <v>0.0</v>
      </c>
      <c r="Z226" s="84">
        <v>0.0</v>
      </c>
      <c r="AA226" s="84">
        <v>0.0</v>
      </c>
      <c r="AB226" s="84">
        <v>0.0</v>
      </c>
      <c r="AC226" s="91">
        <v>0.002554278416347382</v>
      </c>
      <c r="AD226" s="84">
        <v>0.0</v>
      </c>
      <c r="AE226" s="84">
        <v>0.0</v>
      </c>
      <c r="AF226" s="84">
        <v>0.0</v>
      </c>
      <c r="AG226" s="84">
        <v>0.0</v>
      </c>
      <c r="AH226" s="84">
        <v>0.0</v>
      </c>
      <c r="AI226" s="84">
        <v>0.0</v>
      </c>
      <c r="AJ226" s="84">
        <v>0.0</v>
      </c>
      <c r="AK226" s="84">
        <v>0.0</v>
      </c>
      <c r="AL226" s="84">
        <v>0.0</v>
      </c>
      <c r="AM226" s="84">
        <v>0.0</v>
      </c>
      <c r="AN226" s="93">
        <f t="shared" si="1"/>
        <v>0.004978520841</v>
      </c>
      <c r="AO226" s="84">
        <f t="shared" si="2"/>
        <v>0</v>
      </c>
    </row>
    <row r="227" ht="12.75" customHeight="1">
      <c r="A227" s="84" t="s">
        <v>4265</v>
      </c>
      <c r="B227" s="84">
        <v>0.0</v>
      </c>
      <c r="C227" s="84">
        <v>0.0</v>
      </c>
      <c r="D227" s="84">
        <v>0.0</v>
      </c>
      <c r="E227" s="84">
        <v>0.0</v>
      </c>
      <c r="F227" s="84">
        <v>0.0</v>
      </c>
      <c r="G227" s="84">
        <v>0.0</v>
      </c>
      <c r="H227" s="84">
        <v>0.0</v>
      </c>
      <c r="I227" s="91">
        <v>0.0024242424242424242</v>
      </c>
      <c r="J227" s="84">
        <v>0.0</v>
      </c>
      <c r="K227" s="84">
        <v>0.0</v>
      </c>
      <c r="L227" s="84">
        <v>0.0</v>
      </c>
      <c r="M227" s="84">
        <v>0.0</v>
      </c>
      <c r="N227" s="84">
        <v>0.0</v>
      </c>
      <c r="O227" s="84">
        <v>0.0</v>
      </c>
      <c r="P227" s="84">
        <v>0.0</v>
      </c>
      <c r="Q227" s="84">
        <v>0.0</v>
      </c>
      <c r="R227" s="84">
        <v>0.0</v>
      </c>
      <c r="S227" s="84">
        <v>0.0</v>
      </c>
      <c r="T227" s="84">
        <v>0.0</v>
      </c>
      <c r="U227" s="84">
        <v>0.0</v>
      </c>
      <c r="V227" s="84">
        <v>0.0</v>
      </c>
      <c r="W227" s="84">
        <v>0.0</v>
      </c>
      <c r="X227" s="84">
        <v>0.0</v>
      </c>
      <c r="Y227" s="84">
        <v>0.0</v>
      </c>
      <c r="Z227" s="84">
        <v>0.0</v>
      </c>
      <c r="AA227" s="84">
        <v>0.0</v>
      </c>
      <c r="AB227" s="84">
        <v>0.0</v>
      </c>
      <c r="AC227" s="91">
        <v>0.002554278416347382</v>
      </c>
      <c r="AD227" s="84">
        <v>0.0</v>
      </c>
      <c r="AE227" s="84">
        <v>0.0</v>
      </c>
      <c r="AF227" s="84">
        <v>0.0</v>
      </c>
      <c r="AG227" s="84">
        <v>0.0</v>
      </c>
      <c r="AH227" s="84">
        <v>0.0</v>
      </c>
      <c r="AI227" s="84">
        <v>0.0</v>
      </c>
      <c r="AJ227" s="84">
        <v>0.0</v>
      </c>
      <c r="AK227" s="84">
        <v>0.0</v>
      </c>
      <c r="AL227" s="84">
        <v>0.0</v>
      </c>
      <c r="AM227" s="84">
        <v>0.0</v>
      </c>
      <c r="AN227" s="93">
        <f t="shared" si="1"/>
        <v>0.004978520841</v>
      </c>
      <c r="AO227" s="84">
        <f t="shared" si="2"/>
        <v>0</v>
      </c>
    </row>
    <row r="228" ht="12.75" customHeight="1">
      <c r="A228" s="84" t="s">
        <v>4112</v>
      </c>
      <c r="B228" s="84">
        <v>0.0</v>
      </c>
      <c r="C228" s="84">
        <v>0.0</v>
      </c>
      <c r="D228" s="84">
        <v>0.0</v>
      </c>
      <c r="E228" s="84">
        <v>0.0</v>
      </c>
      <c r="F228" s="84">
        <v>0.0</v>
      </c>
      <c r="G228" s="84">
        <v>0.0</v>
      </c>
      <c r="H228" s="84">
        <v>0.0</v>
      </c>
      <c r="I228" s="91">
        <v>0.0024242424242424242</v>
      </c>
      <c r="J228" s="84">
        <v>0.0</v>
      </c>
      <c r="K228" s="84">
        <v>0.0</v>
      </c>
      <c r="L228" s="84">
        <v>0.0</v>
      </c>
      <c r="M228" s="84">
        <v>0.0</v>
      </c>
      <c r="N228" s="84">
        <v>0.0</v>
      </c>
      <c r="O228" s="84">
        <v>0.0</v>
      </c>
      <c r="P228" s="84">
        <v>0.0</v>
      </c>
      <c r="Q228" s="84">
        <v>0.0</v>
      </c>
      <c r="R228" s="84">
        <v>0.0</v>
      </c>
      <c r="S228" s="84">
        <v>0.0</v>
      </c>
      <c r="T228" s="84">
        <v>0.0</v>
      </c>
      <c r="U228" s="84">
        <v>0.0</v>
      </c>
      <c r="V228" s="84">
        <v>0.0</v>
      </c>
      <c r="W228" s="84">
        <v>0.0</v>
      </c>
      <c r="X228" s="84">
        <v>0.0</v>
      </c>
      <c r="Y228" s="84">
        <v>0.0</v>
      </c>
      <c r="Z228" s="84">
        <v>0.0</v>
      </c>
      <c r="AA228" s="84">
        <v>0.0</v>
      </c>
      <c r="AB228" s="84">
        <v>0.0</v>
      </c>
      <c r="AC228" s="91">
        <v>0.002554278416347382</v>
      </c>
      <c r="AD228" s="84">
        <v>0.0</v>
      </c>
      <c r="AE228" s="84">
        <v>0.0</v>
      </c>
      <c r="AF228" s="84">
        <v>0.0</v>
      </c>
      <c r="AG228" s="84">
        <v>0.0</v>
      </c>
      <c r="AH228" s="84">
        <v>0.0</v>
      </c>
      <c r="AI228" s="84">
        <v>0.0</v>
      </c>
      <c r="AJ228" s="84">
        <v>0.0</v>
      </c>
      <c r="AK228" s="84">
        <v>0.0</v>
      </c>
      <c r="AL228" s="84">
        <v>0.0</v>
      </c>
      <c r="AM228" s="84">
        <v>0.0</v>
      </c>
      <c r="AN228" s="93">
        <f t="shared" si="1"/>
        <v>0.004978520841</v>
      </c>
      <c r="AO228" s="84">
        <f t="shared" si="2"/>
        <v>0</v>
      </c>
    </row>
    <row r="229" ht="12.75" customHeight="1">
      <c r="A229" s="84" t="s">
        <v>4255</v>
      </c>
      <c r="B229" s="84">
        <v>0.0</v>
      </c>
      <c r="C229" s="84">
        <v>0.0</v>
      </c>
      <c r="D229" s="84">
        <v>0.0</v>
      </c>
      <c r="E229" s="84">
        <v>0.0</v>
      </c>
      <c r="F229" s="84">
        <v>0.0</v>
      </c>
      <c r="G229" s="84">
        <v>0.0</v>
      </c>
      <c r="H229" s="84">
        <v>0.0</v>
      </c>
      <c r="I229" s="91">
        <v>0.0024242424242424242</v>
      </c>
      <c r="J229" s="84">
        <v>0.0</v>
      </c>
      <c r="K229" s="84">
        <v>0.0</v>
      </c>
      <c r="L229" s="84">
        <v>0.0</v>
      </c>
      <c r="M229" s="84">
        <v>0.0</v>
      </c>
      <c r="N229" s="84">
        <v>0.0</v>
      </c>
      <c r="O229" s="84">
        <v>0.0</v>
      </c>
      <c r="P229" s="84">
        <v>0.0</v>
      </c>
      <c r="Q229" s="84">
        <v>0.0</v>
      </c>
      <c r="R229" s="84">
        <v>0.0</v>
      </c>
      <c r="S229" s="84">
        <v>0.0</v>
      </c>
      <c r="T229" s="84">
        <v>0.0</v>
      </c>
      <c r="U229" s="84">
        <v>0.0</v>
      </c>
      <c r="V229" s="84">
        <v>0.0</v>
      </c>
      <c r="W229" s="84">
        <v>0.0</v>
      </c>
      <c r="X229" s="84">
        <v>0.0</v>
      </c>
      <c r="Y229" s="84">
        <v>0.0</v>
      </c>
      <c r="Z229" s="84">
        <v>0.0</v>
      </c>
      <c r="AA229" s="84">
        <v>0.0</v>
      </c>
      <c r="AB229" s="84">
        <v>0.0</v>
      </c>
      <c r="AC229" s="91">
        <v>0.002554278416347382</v>
      </c>
      <c r="AD229" s="84">
        <v>0.0</v>
      </c>
      <c r="AE229" s="84">
        <v>0.0</v>
      </c>
      <c r="AF229" s="84">
        <v>0.0</v>
      </c>
      <c r="AG229" s="84">
        <v>0.0</v>
      </c>
      <c r="AH229" s="84">
        <v>0.0</v>
      </c>
      <c r="AI229" s="84">
        <v>0.0</v>
      </c>
      <c r="AJ229" s="84">
        <v>0.0</v>
      </c>
      <c r="AK229" s="84">
        <v>0.0</v>
      </c>
      <c r="AL229" s="84">
        <v>0.0</v>
      </c>
      <c r="AM229" s="84">
        <v>0.0</v>
      </c>
      <c r="AN229" s="93">
        <f t="shared" si="1"/>
        <v>0.004978520841</v>
      </c>
      <c r="AO229" s="84">
        <f t="shared" si="2"/>
        <v>0</v>
      </c>
    </row>
    <row r="230" ht="12.75" customHeight="1">
      <c r="A230" s="84" t="s">
        <v>4271</v>
      </c>
      <c r="B230" s="84">
        <v>0.0</v>
      </c>
      <c r="C230" s="84">
        <v>0.0</v>
      </c>
      <c r="D230" s="84">
        <v>0.0</v>
      </c>
      <c r="E230" s="84">
        <v>0.0</v>
      </c>
      <c r="F230" s="84">
        <v>0.0</v>
      </c>
      <c r="G230" s="84">
        <v>0.0</v>
      </c>
      <c r="H230" s="84">
        <v>0.0</v>
      </c>
      <c r="I230" s="91">
        <v>0.0024242424242424242</v>
      </c>
      <c r="J230" s="84">
        <v>0.0</v>
      </c>
      <c r="K230" s="84">
        <v>0.0</v>
      </c>
      <c r="L230" s="84">
        <v>0.0</v>
      </c>
      <c r="M230" s="84">
        <v>0.0</v>
      </c>
      <c r="N230" s="84">
        <v>0.0</v>
      </c>
      <c r="O230" s="84">
        <v>0.0</v>
      </c>
      <c r="P230" s="84">
        <v>0.0</v>
      </c>
      <c r="Q230" s="84">
        <v>0.0</v>
      </c>
      <c r="R230" s="84">
        <v>0.0</v>
      </c>
      <c r="S230" s="84">
        <v>0.0</v>
      </c>
      <c r="T230" s="84">
        <v>0.0</v>
      </c>
      <c r="U230" s="84">
        <v>0.0</v>
      </c>
      <c r="V230" s="84">
        <v>0.0</v>
      </c>
      <c r="W230" s="84">
        <v>0.0</v>
      </c>
      <c r="X230" s="84">
        <v>0.0</v>
      </c>
      <c r="Y230" s="84">
        <v>0.0</v>
      </c>
      <c r="Z230" s="84">
        <v>0.0</v>
      </c>
      <c r="AA230" s="84">
        <v>0.0</v>
      </c>
      <c r="AB230" s="84">
        <v>0.0</v>
      </c>
      <c r="AC230" s="91">
        <v>0.002554278416347382</v>
      </c>
      <c r="AD230" s="84">
        <v>0.0</v>
      </c>
      <c r="AE230" s="84">
        <v>0.0</v>
      </c>
      <c r="AF230" s="84">
        <v>0.0</v>
      </c>
      <c r="AG230" s="84">
        <v>0.0</v>
      </c>
      <c r="AH230" s="84">
        <v>0.0</v>
      </c>
      <c r="AI230" s="84">
        <v>0.0</v>
      </c>
      <c r="AJ230" s="84">
        <v>0.0</v>
      </c>
      <c r="AK230" s="84">
        <v>0.0</v>
      </c>
      <c r="AL230" s="84">
        <v>0.0</v>
      </c>
      <c r="AM230" s="84">
        <v>0.0</v>
      </c>
      <c r="AN230" s="93">
        <f t="shared" si="1"/>
        <v>0.004978520841</v>
      </c>
      <c r="AO230" s="84">
        <f t="shared" si="2"/>
        <v>0</v>
      </c>
    </row>
    <row r="231" ht="12.75" customHeight="1">
      <c r="A231" s="84" t="s">
        <v>3998</v>
      </c>
      <c r="B231" s="84">
        <v>0.0</v>
      </c>
      <c r="C231" s="84">
        <v>0.0</v>
      </c>
      <c r="D231" s="84">
        <v>0.0</v>
      </c>
      <c r="E231" s="84">
        <v>0.0</v>
      </c>
      <c r="F231" s="84">
        <v>0.0</v>
      </c>
      <c r="G231" s="84">
        <v>0.0</v>
      </c>
      <c r="H231" s="84">
        <v>0.0</v>
      </c>
      <c r="I231" s="91">
        <v>0.0024242424242424242</v>
      </c>
      <c r="J231" s="84">
        <v>0.0</v>
      </c>
      <c r="K231" s="84">
        <v>0.0</v>
      </c>
      <c r="L231" s="84">
        <v>0.0</v>
      </c>
      <c r="M231" s="84">
        <v>0.0</v>
      </c>
      <c r="N231" s="84">
        <v>0.0</v>
      </c>
      <c r="O231" s="84">
        <v>0.0</v>
      </c>
      <c r="P231" s="84">
        <v>0.0</v>
      </c>
      <c r="Q231" s="84">
        <v>0.0</v>
      </c>
      <c r="R231" s="84">
        <v>0.0</v>
      </c>
      <c r="S231" s="84">
        <v>0.0</v>
      </c>
      <c r="T231" s="84">
        <v>0.0</v>
      </c>
      <c r="U231" s="84">
        <v>0.0</v>
      </c>
      <c r="V231" s="84">
        <v>0.0</v>
      </c>
      <c r="W231" s="84">
        <v>0.0</v>
      </c>
      <c r="X231" s="84">
        <v>0.0</v>
      </c>
      <c r="Y231" s="84">
        <v>0.0</v>
      </c>
      <c r="Z231" s="84">
        <v>0.0</v>
      </c>
      <c r="AA231" s="84">
        <v>0.0</v>
      </c>
      <c r="AB231" s="84">
        <v>0.0</v>
      </c>
      <c r="AC231" s="91">
        <v>0.002554278416347382</v>
      </c>
      <c r="AD231" s="84">
        <v>0.0</v>
      </c>
      <c r="AE231" s="84">
        <v>0.0</v>
      </c>
      <c r="AF231" s="84">
        <v>0.0</v>
      </c>
      <c r="AG231" s="84">
        <v>0.0</v>
      </c>
      <c r="AH231" s="84">
        <v>0.0</v>
      </c>
      <c r="AI231" s="84">
        <v>0.0</v>
      </c>
      <c r="AJ231" s="84">
        <v>0.0</v>
      </c>
      <c r="AK231" s="84">
        <v>0.0</v>
      </c>
      <c r="AL231" s="84">
        <v>0.0</v>
      </c>
      <c r="AM231" s="84">
        <v>0.0</v>
      </c>
      <c r="AN231" s="93">
        <f t="shared" si="1"/>
        <v>0.004978520841</v>
      </c>
      <c r="AO231" s="84">
        <f t="shared" si="2"/>
        <v>0</v>
      </c>
    </row>
    <row r="232" ht="12.75" customHeight="1">
      <c r="A232" s="84" t="s">
        <v>4146</v>
      </c>
      <c r="B232" s="84">
        <v>0.0</v>
      </c>
      <c r="C232" s="84">
        <v>0.0</v>
      </c>
      <c r="D232" s="84">
        <v>0.0</v>
      </c>
      <c r="E232" s="84">
        <v>0.0</v>
      </c>
      <c r="F232" s="84">
        <v>0.0</v>
      </c>
      <c r="G232" s="84">
        <v>0.0</v>
      </c>
      <c r="H232" s="84">
        <v>0.0</v>
      </c>
      <c r="I232" s="91">
        <v>0.0024242424242424242</v>
      </c>
      <c r="J232" s="84">
        <v>0.0</v>
      </c>
      <c r="K232" s="84">
        <v>0.0</v>
      </c>
      <c r="L232" s="84">
        <v>0.0</v>
      </c>
      <c r="M232" s="84">
        <v>0.0</v>
      </c>
      <c r="N232" s="84">
        <v>0.0</v>
      </c>
      <c r="O232" s="84">
        <v>0.0</v>
      </c>
      <c r="P232" s="84">
        <v>0.0</v>
      </c>
      <c r="Q232" s="84">
        <v>0.0</v>
      </c>
      <c r="R232" s="84">
        <v>0.0</v>
      </c>
      <c r="S232" s="84">
        <v>0.0</v>
      </c>
      <c r="T232" s="84">
        <v>0.0</v>
      </c>
      <c r="U232" s="84">
        <v>0.0</v>
      </c>
      <c r="V232" s="84">
        <v>0.0</v>
      </c>
      <c r="W232" s="84">
        <v>0.0</v>
      </c>
      <c r="X232" s="84">
        <v>0.0</v>
      </c>
      <c r="Y232" s="84">
        <v>0.0</v>
      </c>
      <c r="Z232" s="84">
        <v>0.0</v>
      </c>
      <c r="AA232" s="84">
        <v>0.0</v>
      </c>
      <c r="AB232" s="84">
        <v>0.0</v>
      </c>
      <c r="AC232" s="91">
        <v>0.002554278416347382</v>
      </c>
      <c r="AD232" s="84">
        <v>0.0</v>
      </c>
      <c r="AE232" s="84">
        <v>0.0</v>
      </c>
      <c r="AF232" s="84">
        <v>0.0</v>
      </c>
      <c r="AG232" s="84">
        <v>0.0</v>
      </c>
      <c r="AH232" s="84">
        <v>0.0</v>
      </c>
      <c r="AI232" s="84">
        <v>0.0</v>
      </c>
      <c r="AJ232" s="84">
        <v>0.0</v>
      </c>
      <c r="AK232" s="84">
        <v>0.0</v>
      </c>
      <c r="AL232" s="84">
        <v>0.0</v>
      </c>
      <c r="AM232" s="84">
        <v>0.0</v>
      </c>
      <c r="AN232" s="93">
        <f t="shared" si="1"/>
        <v>0.004978520841</v>
      </c>
      <c r="AO232" s="84">
        <f t="shared" si="2"/>
        <v>0</v>
      </c>
    </row>
    <row r="233" ht="12.75" customHeight="1">
      <c r="A233" s="84" t="s">
        <v>4001</v>
      </c>
      <c r="B233" s="84">
        <v>0.0</v>
      </c>
      <c r="C233" s="84">
        <v>0.0</v>
      </c>
      <c r="D233" s="84">
        <v>0.0</v>
      </c>
      <c r="E233" s="84">
        <v>0.0</v>
      </c>
      <c r="F233" s="84">
        <v>0.0</v>
      </c>
      <c r="G233" s="84">
        <v>0.0</v>
      </c>
      <c r="H233" s="84">
        <v>0.0</v>
      </c>
      <c r="I233" s="91">
        <v>0.0024242424242424242</v>
      </c>
      <c r="J233" s="84">
        <v>0.0</v>
      </c>
      <c r="K233" s="84">
        <v>0.0</v>
      </c>
      <c r="L233" s="84">
        <v>0.0</v>
      </c>
      <c r="M233" s="84">
        <v>0.0</v>
      </c>
      <c r="N233" s="84">
        <v>0.0</v>
      </c>
      <c r="O233" s="84">
        <v>0.0</v>
      </c>
      <c r="P233" s="84">
        <v>0.0</v>
      </c>
      <c r="Q233" s="84">
        <v>0.0</v>
      </c>
      <c r="R233" s="84">
        <v>0.0</v>
      </c>
      <c r="S233" s="84">
        <v>0.0</v>
      </c>
      <c r="T233" s="84">
        <v>0.0</v>
      </c>
      <c r="U233" s="84">
        <v>0.0</v>
      </c>
      <c r="V233" s="84">
        <v>0.0</v>
      </c>
      <c r="W233" s="84">
        <v>0.0</v>
      </c>
      <c r="X233" s="84">
        <v>0.0</v>
      </c>
      <c r="Y233" s="84">
        <v>0.0</v>
      </c>
      <c r="Z233" s="84">
        <v>0.0</v>
      </c>
      <c r="AA233" s="84">
        <v>0.0</v>
      </c>
      <c r="AB233" s="84">
        <v>0.0</v>
      </c>
      <c r="AC233" s="91">
        <v>0.002554278416347382</v>
      </c>
      <c r="AD233" s="84">
        <v>0.0</v>
      </c>
      <c r="AE233" s="84">
        <v>0.0</v>
      </c>
      <c r="AF233" s="84">
        <v>0.0</v>
      </c>
      <c r="AG233" s="84">
        <v>0.0</v>
      </c>
      <c r="AH233" s="84">
        <v>0.0</v>
      </c>
      <c r="AI233" s="84">
        <v>0.0</v>
      </c>
      <c r="AJ233" s="84">
        <v>0.0</v>
      </c>
      <c r="AK233" s="84">
        <v>0.0</v>
      </c>
      <c r="AL233" s="84">
        <v>0.0</v>
      </c>
      <c r="AM233" s="84">
        <v>0.0</v>
      </c>
      <c r="AN233" s="93">
        <f t="shared" si="1"/>
        <v>0.004978520841</v>
      </c>
      <c r="AO233" s="84">
        <f t="shared" si="2"/>
        <v>0</v>
      </c>
    </row>
    <row r="234" ht="12.75" customHeight="1">
      <c r="A234" s="84" t="s">
        <v>4039</v>
      </c>
      <c r="B234" s="84">
        <v>0.0</v>
      </c>
      <c r="C234" s="84">
        <v>0.0</v>
      </c>
      <c r="D234" s="84">
        <v>0.0</v>
      </c>
      <c r="E234" s="84">
        <v>0.0</v>
      </c>
      <c r="F234" s="84">
        <v>0.0</v>
      </c>
      <c r="G234" s="84">
        <v>0.0</v>
      </c>
      <c r="H234" s="84">
        <v>0.0</v>
      </c>
      <c r="I234" s="91">
        <v>0.0024242424242424242</v>
      </c>
      <c r="J234" s="84">
        <v>0.0</v>
      </c>
      <c r="K234" s="84">
        <v>0.0</v>
      </c>
      <c r="L234" s="84">
        <v>0.0</v>
      </c>
      <c r="M234" s="84">
        <v>0.0</v>
      </c>
      <c r="N234" s="84">
        <v>0.0</v>
      </c>
      <c r="O234" s="84">
        <v>0.0</v>
      </c>
      <c r="P234" s="84">
        <v>0.0</v>
      </c>
      <c r="Q234" s="84">
        <v>0.0</v>
      </c>
      <c r="R234" s="84">
        <v>0.0</v>
      </c>
      <c r="S234" s="84">
        <v>0.0</v>
      </c>
      <c r="T234" s="84">
        <v>0.0</v>
      </c>
      <c r="U234" s="84">
        <v>0.0</v>
      </c>
      <c r="V234" s="84">
        <v>0.0</v>
      </c>
      <c r="W234" s="84">
        <v>0.0</v>
      </c>
      <c r="X234" s="84">
        <v>0.0</v>
      </c>
      <c r="Y234" s="84">
        <v>0.0</v>
      </c>
      <c r="Z234" s="84">
        <v>0.0</v>
      </c>
      <c r="AA234" s="84">
        <v>0.0</v>
      </c>
      <c r="AB234" s="84">
        <v>0.0</v>
      </c>
      <c r="AC234" s="91">
        <v>0.0038314176245210726</v>
      </c>
      <c r="AD234" s="84">
        <v>0.0</v>
      </c>
      <c r="AE234" s="84">
        <v>0.0</v>
      </c>
      <c r="AF234" s="84">
        <v>0.0</v>
      </c>
      <c r="AG234" s="84">
        <v>0.0</v>
      </c>
      <c r="AH234" s="84">
        <v>0.0</v>
      </c>
      <c r="AI234" s="84">
        <v>0.0</v>
      </c>
      <c r="AJ234" s="84">
        <v>0.0</v>
      </c>
      <c r="AK234" s="84">
        <v>0.0</v>
      </c>
      <c r="AL234" s="84">
        <v>0.0</v>
      </c>
      <c r="AM234" s="84">
        <v>0.0</v>
      </c>
      <c r="AN234" s="93">
        <f t="shared" si="1"/>
        <v>0.006255660049</v>
      </c>
      <c r="AO234" s="84">
        <f t="shared" si="2"/>
        <v>0</v>
      </c>
    </row>
    <row r="235" ht="12.75" customHeight="1">
      <c r="A235" s="84" t="s">
        <v>4088</v>
      </c>
      <c r="B235" s="84">
        <v>0.0</v>
      </c>
      <c r="C235" s="84">
        <v>0.0</v>
      </c>
      <c r="D235" s="84">
        <v>0.0</v>
      </c>
      <c r="E235" s="84">
        <v>0.0</v>
      </c>
      <c r="F235" s="84">
        <v>0.0</v>
      </c>
      <c r="G235" s="84">
        <v>0.0</v>
      </c>
      <c r="H235" s="84">
        <v>0.0</v>
      </c>
      <c r="I235" s="91">
        <v>0.0024242424242424242</v>
      </c>
      <c r="J235" s="84">
        <v>0.0</v>
      </c>
      <c r="K235" s="84">
        <v>0.0</v>
      </c>
      <c r="L235" s="84">
        <v>0.0</v>
      </c>
      <c r="M235" s="84">
        <v>0.0</v>
      </c>
      <c r="N235" s="84">
        <v>0.0</v>
      </c>
      <c r="O235" s="84">
        <v>0.0</v>
      </c>
      <c r="P235" s="84">
        <v>0.0</v>
      </c>
      <c r="Q235" s="84">
        <v>0.0</v>
      </c>
      <c r="R235" s="84">
        <v>0.0</v>
      </c>
      <c r="S235" s="84">
        <v>0.0</v>
      </c>
      <c r="T235" s="84">
        <v>0.0</v>
      </c>
      <c r="U235" s="84">
        <v>0.0</v>
      </c>
      <c r="V235" s="84">
        <v>0.0</v>
      </c>
      <c r="W235" s="84">
        <v>0.0</v>
      </c>
      <c r="X235" s="84">
        <v>0.0</v>
      </c>
      <c r="Y235" s="84">
        <v>0.0</v>
      </c>
      <c r="Z235" s="84">
        <v>0.0</v>
      </c>
      <c r="AA235" s="84">
        <v>0.0</v>
      </c>
      <c r="AB235" s="84">
        <v>0.0</v>
      </c>
      <c r="AC235" s="91">
        <v>0.002554278416347382</v>
      </c>
      <c r="AD235" s="84">
        <v>0.0</v>
      </c>
      <c r="AE235" s="84">
        <v>0.0</v>
      </c>
      <c r="AF235" s="84">
        <v>0.0</v>
      </c>
      <c r="AG235" s="84">
        <v>0.0</v>
      </c>
      <c r="AH235" s="84">
        <v>0.0</v>
      </c>
      <c r="AI235" s="84">
        <v>0.0</v>
      </c>
      <c r="AJ235" s="84">
        <v>0.0</v>
      </c>
      <c r="AK235" s="84">
        <v>0.0</v>
      </c>
      <c r="AL235" s="84">
        <v>0.0</v>
      </c>
      <c r="AM235" s="84">
        <v>0.0</v>
      </c>
      <c r="AN235" s="93">
        <f t="shared" si="1"/>
        <v>0.004978520841</v>
      </c>
      <c r="AO235" s="84">
        <f t="shared" si="2"/>
        <v>0</v>
      </c>
    </row>
    <row r="236" ht="12.75" customHeight="1">
      <c r="A236" s="84" t="s">
        <v>4065</v>
      </c>
      <c r="B236" s="84">
        <v>0.0</v>
      </c>
      <c r="C236" s="84">
        <v>0.0</v>
      </c>
      <c r="D236" s="84">
        <v>0.0</v>
      </c>
      <c r="E236" s="84">
        <v>0.0</v>
      </c>
      <c r="F236" s="84">
        <v>0.0</v>
      </c>
      <c r="G236" s="84">
        <v>0.0</v>
      </c>
      <c r="H236" s="84">
        <v>0.0</v>
      </c>
      <c r="I236" s="91">
        <v>0.0024242424242424242</v>
      </c>
      <c r="J236" s="84">
        <v>0.0</v>
      </c>
      <c r="K236" s="84">
        <v>0.0</v>
      </c>
      <c r="L236" s="84">
        <v>0.0</v>
      </c>
      <c r="M236" s="84">
        <v>0.0</v>
      </c>
      <c r="N236" s="84">
        <v>0.0</v>
      </c>
      <c r="O236" s="84">
        <v>0.0</v>
      </c>
      <c r="P236" s="84">
        <v>0.0</v>
      </c>
      <c r="Q236" s="84">
        <v>0.0</v>
      </c>
      <c r="R236" s="84">
        <v>0.0</v>
      </c>
      <c r="S236" s="84">
        <v>0.0</v>
      </c>
      <c r="T236" s="84">
        <v>0.0</v>
      </c>
      <c r="U236" s="84">
        <v>0.0</v>
      </c>
      <c r="V236" s="84">
        <v>0.0</v>
      </c>
      <c r="W236" s="84">
        <v>0.0</v>
      </c>
      <c r="X236" s="84">
        <v>0.0</v>
      </c>
      <c r="Y236" s="84">
        <v>0.0</v>
      </c>
      <c r="Z236" s="84">
        <v>0.0</v>
      </c>
      <c r="AA236" s="84">
        <v>0.0</v>
      </c>
      <c r="AB236" s="84">
        <v>0.0</v>
      </c>
      <c r="AC236" s="91">
        <v>0.0038314176245210726</v>
      </c>
      <c r="AD236" s="84">
        <v>0.0</v>
      </c>
      <c r="AE236" s="84">
        <v>0.0</v>
      </c>
      <c r="AF236" s="84">
        <v>0.0</v>
      </c>
      <c r="AG236" s="84">
        <v>0.0</v>
      </c>
      <c r="AH236" s="84">
        <v>0.0</v>
      </c>
      <c r="AI236" s="84">
        <v>0.0</v>
      </c>
      <c r="AJ236" s="84">
        <v>0.0</v>
      </c>
      <c r="AK236" s="84">
        <v>0.0</v>
      </c>
      <c r="AL236" s="84">
        <v>0.0</v>
      </c>
      <c r="AM236" s="84">
        <v>0.0</v>
      </c>
      <c r="AN236" s="93">
        <f t="shared" si="1"/>
        <v>0.006255660049</v>
      </c>
      <c r="AO236" s="84">
        <f t="shared" si="2"/>
        <v>0</v>
      </c>
    </row>
    <row r="237" ht="12.75" customHeight="1">
      <c r="A237" s="84" t="s">
        <v>3972</v>
      </c>
      <c r="B237" s="84">
        <v>0.0</v>
      </c>
      <c r="C237" s="84">
        <v>0.0</v>
      </c>
      <c r="D237" s="84">
        <v>0.0</v>
      </c>
      <c r="E237" s="84">
        <v>0.0</v>
      </c>
      <c r="F237" s="84">
        <v>0.0</v>
      </c>
      <c r="G237" s="84">
        <v>0.0</v>
      </c>
      <c r="H237" s="84">
        <v>0.0</v>
      </c>
      <c r="I237" s="91">
        <v>0.0024242424242424242</v>
      </c>
      <c r="J237" s="84">
        <v>0.0</v>
      </c>
      <c r="K237" s="84">
        <v>0.0</v>
      </c>
      <c r="L237" s="84">
        <v>0.0</v>
      </c>
      <c r="M237" s="84">
        <v>0.0</v>
      </c>
      <c r="N237" s="84">
        <v>0.0</v>
      </c>
      <c r="O237" s="84">
        <v>0.0</v>
      </c>
      <c r="P237" s="84">
        <v>0.0</v>
      </c>
      <c r="Q237" s="84">
        <v>0.0</v>
      </c>
      <c r="R237" s="84">
        <v>0.0</v>
      </c>
      <c r="S237" s="84">
        <v>0.0</v>
      </c>
      <c r="T237" s="84">
        <v>0.0</v>
      </c>
      <c r="U237" s="84">
        <v>0.0</v>
      </c>
      <c r="V237" s="84">
        <v>0.0</v>
      </c>
      <c r="W237" s="84">
        <v>0.0</v>
      </c>
      <c r="X237" s="84">
        <v>0.0</v>
      </c>
      <c r="Y237" s="84">
        <v>0.0</v>
      </c>
      <c r="Z237" s="84">
        <v>0.0</v>
      </c>
      <c r="AA237" s="84">
        <v>0.0</v>
      </c>
      <c r="AB237" s="84">
        <v>1.0</v>
      </c>
      <c r="AC237" s="91">
        <v>0.002554278416347382</v>
      </c>
      <c r="AD237" s="84">
        <v>0.0</v>
      </c>
      <c r="AE237" s="84">
        <v>0.0</v>
      </c>
      <c r="AF237" s="84">
        <v>0.0</v>
      </c>
      <c r="AG237" s="84">
        <v>0.0</v>
      </c>
      <c r="AH237" s="84">
        <v>0.0</v>
      </c>
      <c r="AI237" s="84">
        <v>0.0</v>
      </c>
      <c r="AJ237" s="84">
        <v>0.0</v>
      </c>
      <c r="AK237" s="84">
        <v>0.0</v>
      </c>
      <c r="AL237" s="84">
        <v>0.0</v>
      </c>
      <c r="AM237" s="84">
        <v>0.0</v>
      </c>
      <c r="AN237" s="93">
        <f t="shared" si="1"/>
        <v>0.004978520841</v>
      </c>
      <c r="AO237" s="84">
        <f t="shared" si="2"/>
        <v>0</v>
      </c>
    </row>
    <row r="238" ht="12.75" customHeight="1">
      <c r="A238" s="84" t="s">
        <v>4044</v>
      </c>
      <c r="B238" s="84">
        <v>0.0</v>
      </c>
      <c r="C238" s="84">
        <v>0.0</v>
      </c>
      <c r="D238" s="84">
        <v>0.0</v>
      </c>
      <c r="E238" s="84">
        <v>0.0</v>
      </c>
      <c r="F238" s="84">
        <v>0.0</v>
      </c>
      <c r="G238" s="84">
        <v>0.0</v>
      </c>
      <c r="H238" s="84">
        <v>0.0</v>
      </c>
      <c r="I238" s="91">
        <v>0.0024242424242424242</v>
      </c>
      <c r="J238" s="84">
        <v>0.0</v>
      </c>
      <c r="K238" s="84">
        <v>0.0</v>
      </c>
      <c r="L238" s="84">
        <v>0.0</v>
      </c>
      <c r="M238" s="84">
        <v>0.0</v>
      </c>
      <c r="N238" s="84">
        <v>0.0</v>
      </c>
      <c r="O238" s="84">
        <v>0.0</v>
      </c>
      <c r="P238" s="84">
        <v>0.0</v>
      </c>
      <c r="Q238" s="84">
        <v>0.0</v>
      </c>
      <c r="R238" s="84">
        <v>0.0</v>
      </c>
      <c r="S238" s="84">
        <v>0.0</v>
      </c>
      <c r="T238" s="84">
        <v>0.0</v>
      </c>
      <c r="U238" s="84">
        <v>0.0</v>
      </c>
      <c r="V238" s="84">
        <v>0.0</v>
      </c>
      <c r="W238" s="84">
        <v>0.0</v>
      </c>
      <c r="X238" s="84">
        <v>0.0</v>
      </c>
      <c r="Y238" s="84">
        <v>0.0</v>
      </c>
      <c r="Z238" s="84">
        <v>0.0</v>
      </c>
      <c r="AA238" s="84">
        <v>0.0</v>
      </c>
      <c r="AB238" s="84">
        <v>0.0</v>
      </c>
      <c r="AC238" s="91">
        <v>0.0038314176245210726</v>
      </c>
      <c r="AD238" s="84">
        <v>0.0</v>
      </c>
      <c r="AE238" s="84">
        <v>0.0</v>
      </c>
      <c r="AF238" s="84">
        <v>0.0</v>
      </c>
      <c r="AG238" s="84">
        <v>0.0</v>
      </c>
      <c r="AH238" s="84">
        <v>0.0</v>
      </c>
      <c r="AI238" s="84">
        <v>0.0</v>
      </c>
      <c r="AJ238" s="84">
        <v>0.0</v>
      </c>
      <c r="AK238" s="84">
        <v>0.0</v>
      </c>
      <c r="AL238" s="84">
        <v>0.0</v>
      </c>
      <c r="AM238" s="84">
        <v>0.0</v>
      </c>
      <c r="AN238" s="93">
        <f t="shared" si="1"/>
        <v>0.006255660049</v>
      </c>
      <c r="AO238" s="84">
        <f t="shared" si="2"/>
        <v>0</v>
      </c>
    </row>
    <row r="239" ht="12.75" customHeight="1">
      <c r="A239" s="84" t="s">
        <v>4092</v>
      </c>
      <c r="B239" s="84">
        <v>0.0</v>
      </c>
      <c r="C239" s="84">
        <v>0.0</v>
      </c>
      <c r="D239" s="84">
        <v>0.0</v>
      </c>
      <c r="E239" s="84">
        <v>0.0</v>
      </c>
      <c r="F239" s="84">
        <v>0.0</v>
      </c>
      <c r="G239" s="84">
        <v>0.0</v>
      </c>
      <c r="H239" s="84">
        <v>0.0</v>
      </c>
      <c r="I239" s="91">
        <v>0.0024242424242424242</v>
      </c>
      <c r="J239" s="84">
        <v>0.0</v>
      </c>
      <c r="K239" s="84">
        <v>0.0</v>
      </c>
      <c r="L239" s="84">
        <v>0.0</v>
      </c>
      <c r="M239" s="84">
        <v>0.0</v>
      </c>
      <c r="N239" s="84">
        <v>0.0</v>
      </c>
      <c r="O239" s="84">
        <v>0.0</v>
      </c>
      <c r="P239" s="84">
        <v>0.0</v>
      </c>
      <c r="Q239" s="84">
        <v>0.0</v>
      </c>
      <c r="R239" s="84">
        <v>0.0</v>
      </c>
      <c r="S239" s="84">
        <v>0.0</v>
      </c>
      <c r="T239" s="84">
        <v>0.0</v>
      </c>
      <c r="U239" s="84">
        <v>0.0</v>
      </c>
      <c r="V239" s="84">
        <v>0.0</v>
      </c>
      <c r="W239" s="84">
        <v>0.0</v>
      </c>
      <c r="X239" s="84">
        <v>0.0</v>
      </c>
      <c r="Y239" s="84">
        <v>0.0</v>
      </c>
      <c r="Z239" s="84">
        <v>0.0</v>
      </c>
      <c r="AA239" s="84">
        <v>0.0</v>
      </c>
      <c r="AB239" s="84">
        <v>2.0</v>
      </c>
      <c r="AC239" s="91">
        <v>0.002554278416347382</v>
      </c>
      <c r="AD239" s="84">
        <v>0.0</v>
      </c>
      <c r="AE239" s="84">
        <v>0.0</v>
      </c>
      <c r="AF239" s="84">
        <v>0.0</v>
      </c>
      <c r="AG239" s="84">
        <v>0.0</v>
      </c>
      <c r="AH239" s="84">
        <v>0.0</v>
      </c>
      <c r="AI239" s="84">
        <v>0.0</v>
      </c>
      <c r="AJ239" s="84">
        <v>0.0</v>
      </c>
      <c r="AK239" s="84">
        <v>0.0</v>
      </c>
      <c r="AL239" s="84">
        <v>0.0</v>
      </c>
      <c r="AM239" s="84">
        <v>0.0</v>
      </c>
      <c r="AN239" s="93">
        <f t="shared" si="1"/>
        <v>0.004978520841</v>
      </c>
      <c r="AO239" s="84">
        <f t="shared" si="2"/>
        <v>0</v>
      </c>
    </row>
    <row r="240" ht="12.75" customHeight="1">
      <c r="A240" s="84" t="s">
        <v>4135</v>
      </c>
      <c r="B240" s="84">
        <v>0.0</v>
      </c>
      <c r="C240" s="84">
        <v>0.0</v>
      </c>
      <c r="D240" s="84">
        <v>0.0</v>
      </c>
      <c r="E240" s="84">
        <v>0.0</v>
      </c>
      <c r="F240" s="84">
        <v>0.0</v>
      </c>
      <c r="G240" s="84">
        <v>0.0</v>
      </c>
      <c r="H240" s="84">
        <v>0.0</v>
      </c>
      <c r="I240" s="91">
        <v>0.0024242424242424242</v>
      </c>
      <c r="J240" s="84">
        <v>0.0</v>
      </c>
      <c r="K240" s="84">
        <v>0.0</v>
      </c>
      <c r="L240" s="84">
        <v>0.0</v>
      </c>
      <c r="M240" s="84">
        <v>0.0</v>
      </c>
      <c r="N240" s="84">
        <v>0.0</v>
      </c>
      <c r="O240" s="84">
        <v>0.0</v>
      </c>
      <c r="P240" s="84">
        <v>0.0</v>
      </c>
      <c r="Q240" s="84">
        <v>0.0</v>
      </c>
      <c r="R240" s="84">
        <v>0.0</v>
      </c>
      <c r="S240" s="84">
        <v>0.0</v>
      </c>
      <c r="T240" s="84">
        <v>0.0</v>
      </c>
      <c r="U240" s="84">
        <v>0.0</v>
      </c>
      <c r="V240" s="84">
        <v>0.0</v>
      </c>
      <c r="W240" s="84">
        <v>0.0</v>
      </c>
      <c r="X240" s="84">
        <v>0.0</v>
      </c>
      <c r="Y240" s="84">
        <v>0.0</v>
      </c>
      <c r="Z240" s="84">
        <v>0.0</v>
      </c>
      <c r="AA240" s="84">
        <v>0.0</v>
      </c>
      <c r="AB240" s="84">
        <v>0.0</v>
      </c>
      <c r="AC240" s="91">
        <v>0.002554278416347382</v>
      </c>
      <c r="AD240" s="84">
        <v>0.0</v>
      </c>
      <c r="AE240" s="84">
        <v>0.0</v>
      </c>
      <c r="AF240" s="84">
        <v>0.0</v>
      </c>
      <c r="AG240" s="84">
        <v>0.0</v>
      </c>
      <c r="AH240" s="84">
        <v>0.0</v>
      </c>
      <c r="AI240" s="84">
        <v>0.0</v>
      </c>
      <c r="AJ240" s="84">
        <v>0.0</v>
      </c>
      <c r="AK240" s="84">
        <v>0.0</v>
      </c>
      <c r="AL240" s="84">
        <v>0.0</v>
      </c>
      <c r="AM240" s="84">
        <v>0.0</v>
      </c>
      <c r="AN240" s="93">
        <f t="shared" si="1"/>
        <v>0.004978520841</v>
      </c>
      <c r="AO240" s="84">
        <f t="shared" si="2"/>
        <v>0</v>
      </c>
    </row>
    <row r="241" ht="12.75" customHeight="1">
      <c r="A241" s="84" t="s">
        <v>3973</v>
      </c>
      <c r="B241" s="84">
        <v>0.0</v>
      </c>
      <c r="C241" s="84">
        <v>0.0</v>
      </c>
      <c r="D241" s="84">
        <v>0.0</v>
      </c>
      <c r="E241" s="84">
        <v>0.0</v>
      </c>
      <c r="F241" s="84">
        <v>0.0</v>
      </c>
      <c r="G241" s="84">
        <v>0.0</v>
      </c>
      <c r="H241" s="84">
        <v>0.0</v>
      </c>
      <c r="I241" s="91">
        <v>0.0024242424242424242</v>
      </c>
      <c r="J241" s="84">
        <v>0.0</v>
      </c>
      <c r="K241" s="84">
        <v>0.0</v>
      </c>
      <c r="L241" s="84">
        <v>0.0</v>
      </c>
      <c r="M241" s="84">
        <v>0.0</v>
      </c>
      <c r="N241" s="84">
        <v>0.0</v>
      </c>
      <c r="O241" s="84">
        <v>0.0</v>
      </c>
      <c r="P241" s="84">
        <v>0.0</v>
      </c>
      <c r="Q241" s="84">
        <v>0.0</v>
      </c>
      <c r="R241" s="84">
        <v>0.0</v>
      </c>
      <c r="S241" s="84">
        <v>0.0</v>
      </c>
      <c r="T241" s="84">
        <v>0.0</v>
      </c>
      <c r="U241" s="84">
        <v>0.0</v>
      </c>
      <c r="V241" s="84">
        <v>0.0</v>
      </c>
      <c r="W241" s="84">
        <v>0.0</v>
      </c>
      <c r="X241" s="84">
        <v>0.0</v>
      </c>
      <c r="Y241" s="84">
        <v>0.0</v>
      </c>
      <c r="Z241" s="84">
        <v>0.0</v>
      </c>
      <c r="AA241" s="84">
        <v>0.0</v>
      </c>
      <c r="AB241" s="84">
        <v>0.0</v>
      </c>
      <c r="AC241" s="91">
        <v>0.002554278416347382</v>
      </c>
      <c r="AD241" s="84">
        <v>0.0</v>
      </c>
      <c r="AE241" s="84">
        <v>0.0</v>
      </c>
      <c r="AF241" s="84">
        <v>0.0</v>
      </c>
      <c r="AG241" s="84">
        <v>0.0</v>
      </c>
      <c r="AH241" s="84">
        <v>0.0</v>
      </c>
      <c r="AI241" s="84">
        <v>0.0</v>
      </c>
      <c r="AJ241" s="84">
        <v>0.0</v>
      </c>
      <c r="AK241" s="84">
        <v>0.0</v>
      </c>
      <c r="AL241" s="84">
        <v>0.0</v>
      </c>
      <c r="AM241" s="84">
        <v>0.0</v>
      </c>
      <c r="AN241" s="93">
        <f t="shared" si="1"/>
        <v>0.004978520841</v>
      </c>
      <c r="AO241" s="84">
        <f t="shared" si="2"/>
        <v>0</v>
      </c>
    </row>
    <row r="242" ht="12.75" customHeight="1">
      <c r="A242" s="84" t="s">
        <v>4142</v>
      </c>
      <c r="B242" s="84">
        <v>0.0</v>
      </c>
      <c r="C242" s="84">
        <v>0.0</v>
      </c>
      <c r="D242" s="84">
        <v>0.0</v>
      </c>
      <c r="E242" s="84">
        <v>0.0</v>
      </c>
      <c r="F242" s="84">
        <v>0.0</v>
      </c>
      <c r="G242" s="84">
        <v>0.0</v>
      </c>
      <c r="H242" s="84">
        <v>0.0</v>
      </c>
      <c r="I242" s="91">
        <v>0.0024242424242424242</v>
      </c>
      <c r="J242" s="84">
        <v>0.0</v>
      </c>
      <c r="K242" s="84">
        <v>0.0</v>
      </c>
      <c r="L242" s="84">
        <v>0.0</v>
      </c>
      <c r="M242" s="84">
        <v>0.0</v>
      </c>
      <c r="N242" s="84">
        <v>0.0</v>
      </c>
      <c r="O242" s="84">
        <v>0.0</v>
      </c>
      <c r="P242" s="84">
        <v>0.0</v>
      </c>
      <c r="Q242" s="84">
        <v>0.0</v>
      </c>
      <c r="R242" s="84">
        <v>0.0</v>
      </c>
      <c r="S242" s="84">
        <v>0.0</v>
      </c>
      <c r="T242" s="84">
        <v>0.0</v>
      </c>
      <c r="U242" s="84">
        <v>0.0</v>
      </c>
      <c r="V242" s="84">
        <v>0.0</v>
      </c>
      <c r="W242" s="84">
        <v>0.0</v>
      </c>
      <c r="X242" s="84">
        <v>0.0</v>
      </c>
      <c r="Y242" s="84">
        <v>0.0</v>
      </c>
      <c r="Z242" s="84">
        <v>0.0</v>
      </c>
      <c r="AA242" s="84">
        <v>0.0</v>
      </c>
      <c r="AB242" s="84">
        <v>0.0</v>
      </c>
      <c r="AC242" s="91">
        <v>0.002554278416347382</v>
      </c>
      <c r="AD242" s="84">
        <v>0.0</v>
      </c>
      <c r="AE242" s="84">
        <v>0.0</v>
      </c>
      <c r="AF242" s="84">
        <v>0.0</v>
      </c>
      <c r="AG242" s="84">
        <v>0.0</v>
      </c>
      <c r="AH242" s="84">
        <v>0.0</v>
      </c>
      <c r="AI242" s="84">
        <v>0.0</v>
      </c>
      <c r="AJ242" s="84">
        <v>0.0</v>
      </c>
      <c r="AK242" s="84">
        <v>0.0</v>
      </c>
      <c r="AL242" s="84">
        <v>0.0</v>
      </c>
      <c r="AM242" s="84">
        <v>0.0</v>
      </c>
      <c r="AN242" s="93">
        <f t="shared" si="1"/>
        <v>0.004978520841</v>
      </c>
      <c r="AO242" s="84">
        <f t="shared" si="2"/>
        <v>0</v>
      </c>
    </row>
    <row r="243" ht="12.75" customHeight="1">
      <c r="A243" s="84" t="s">
        <v>4010</v>
      </c>
      <c r="B243" s="84">
        <v>0.0</v>
      </c>
      <c r="C243" s="84">
        <v>0.0</v>
      </c>
      <c r="D243" s="84">
        <v>0.0</v>
      </c>
      <c r="E243" s="84">
        <v>0.0</v>
      </c>
      <c r="F243" s="84">
        <v>0.0</v>
      </c>
      <c r="G243" s="84">
        <v>0.0</v>
      </c>
      <c r="H243" s="84">
        <v>0.0</v>
      </c>
      <c r="I243" s="91">
        <v>0.0024242424242424242</v>
      </c>
      <c r="J243" s="84">
        <v>0.0</v>
      </c>
      <c r="K243" s="84">
        <v>0.0</v>
      </c>
      <c r="L243" s="84">
        <v>0.0</v>
      </c>
      <c r="M243" s="84">
        <v>0.0</v>
      </c>
      <c r="N243" s="84">
        <v>0.0</v>
      </c>
      <c r="O243" s="84">
        <v>0.0</v>
      </c>
      <c r="P243" s="84">
        <v>0.0</v>
      </c>
      <c r="Q243" s="84">
        <v>0.0</v>
      </c>
      <c r="R243" s="84">
        <v>0.0</v>
      </c>
      <c r="S243" s="84">
        <v>0.0</v>
      </c>
      <c r="T243" s="84">
        <v>0.0</v>
      </c>
      <c r="U243" s="84">
        <v>0.0</v>
      </c>
      <c r="V243" s="84">
        <v>0.0</v>
      </c>
      <c r="W243" s="84">
        <v>0.0</v>
      </c>
      <c r="X243" s="84">
        <v>0.0</v>
      </c>
      <c r="Y243" s="84">
        <v>0.0</v>
      </c>
      <c r="Z243" s="84">
        <v>0.0</v>
      </c>
      <c r="AA243" s="84">
        <v>0.0</v>
      </c>
      <c r="AB243" s="84">
        <v>0.0</v>
      </c>
      <c r="AC243" s="91">
        <v>0.002554278416347382</v>
      </c>
      <c r="AD243" s="84">
        <v>0.0</v>
      </c>
      <c r="AE243" s="84">
        <v>0.0</v>
      </c>
      <c r="AF243" s="84">
        <v>0.0</v>
      </c>
      <c r="AG243" s="84">
        <v>0.0</v>
      </c>
      <c r="AH243" s="84">
        <v>0.0</v>
      </c>
      <c r="AI243" s="84">
        <v>0.0</v>
      </c>
      <c r="AJ243" s="84">
        <v>0.0</v>
      </c>
      <c r="AK243" s="84">
        <v>0.0</v>
      </c>
      <c r="AL243" s="84">
        <v>0.0</v>
      </c>
      <c r="AM243" s="84">
        <v>0.0</v>
      </c>
      <c r="AN243" s="93">
        <f t="shared" si="1"/>
        <v>0.004978520841</v>
      </c>
      <c r="AO243" s="84">
        <f t="shared" si="2"/>
        <v>0</v>
      </c>
    </row>
    <row r="244" ht="12.75" customHeight="1">
      <c r="A244" s="84" t="s">
        <v>4246</v>
      </c>
      <c r="B244" s="84">
        <v>0.0</v>
      </c>
      <c r="C244" s="84">
        <v>0.0</v>
      </c>
      <c r="D244" s="84">
        <v>0.0</v>
      </c>
      <c r="E244" s="84">
        <v>0.0</v>
      </c>
      <c r="F244" s="84">
        <v>0.0</v>
      </c>
      <c r="G244" s="84">
        <v>0.0</v>
      </c>
      <c r="H244" s="84">
        <v>0.0</v>
      </c>
      <c r="I244" s="91">
        <v>0.0024242424242424242</v>
      </c>
      <c r="J244" s="84">
        <v>0.0</v>
      </c>
      <c r="K244" s="84">
        <v>0.0</v>
      </c>
      <c r="L244" s="84">
        <v>0.0</v>
      </c>
      <c r="M244" s="84">
        <v>0.0</v>
      </c>
      <c r="N244" s="84">
        <v>0.0</v>
      </c>
      <c r="O244" s="84">
        <v>0.0</v>
      </c>
      <c r="P244" s="84">
        <v>0.0</v>
      </c>
      <c r="Q244" s="84">
        <v>0.0</v>
      </c>
      <c r="R244" s="84">
        <v>0.0</v>
      </c>
      <c r="S244" s="84">
        <v>0.0</v>
      </c>
      <c r="T244" s="84">
        <v>0.0</v>
      </c>
      <c r="U244" s="84">
        <v>0.0</v>
      </c>
      <c r="V244" s="84">
        <v>0.0</v>
      </c>
      <c r="W244" s="84">
        <v>0.0</v>
      </c>
      <c r="X244" s="84">
        <v>0.0</v>
      </c>
      <c r="Y244" s="84">
        <v>0.0</v>
      </c>
      <c r="Z244" s="84">
        <v>0.0</v>
      </c>
      <c r="AA244" s="84">
        <v>0.0</v>
      </c>
      <c r="AB244" s="84">
        <v>0.0</v>
      </c>
      <c r="AC244" s="91">
        <v>0.002554278416347382</v>
      </c>
      <c r="AD244" s="84">
        <v>0.0</v>
      </c>
      <c r="AE244" s="84">
        <v>0.0</v>
      </c>
      <c r="AF244" s="84">
        <v>0.0</v>
      </c>
      <c r="AG244" s="84">
        <v>0.0</v>
      </c>
      <c r="AH244" s="84">
        <v>0.0</v>
      </c>
      <c r="AI244" s="84">
        <v>0.0</v>
      </c>
      <c r="AJ244" s="84">
        <v>0.0</v>
      </c>
      <c r="AK244" s="84">
        <v>0.0</v>
      </c>
      <c r="AL244" s="84">
        <v>0.0</v>
      </c>
      <c r="AM244" s="84">
        <v>0.0</v>
      </c>
      <c r="AN244" s="93">
        <f t="shared" si="1"/>
        <v>0.004978520841</v>
      </c>
      <c r="AO244" s="84">
        <f t="shared" si="2"/>
        <v>0</v>
      </c>
    </row>
    <row r="245" ht="12.75" customHeight="1">
      <c r="A245" s="84" t="s">
        <v>4261</v>
      </c>
      <c r="B245" s="84">
        <v>0.0</v>
      </c>
      <c r="C245" s="84">
        <v>0.0</v>
      </c>
      <c r="D245" s="84">
        <v>0.0</v>
      </c>
      <c r="E245" s="84">
        <v>0.0</v>
      </c>
      <c r="F245" s="84">
        <v>0.0</v>
      </c>
      <c r="G245" s="84">
        <v>0.0</v>
      </c>
      <c r="H245" s="84">
        <v>0.0</v>
      </c>
      <c r="I245" s="91">
        <v>0.0024242424242424242</v>
      </c>
      <c r="J245" s="84">
        <v>0.0</v>
      </c>
      <c r="K245" s="84">
        <v>0.0</v>
      </c>
      <c r="L245" s="84">
        <v>0.0</v>
      </c>
      <c r="M245" s="84">
        <v>0.0</v>
      </c>
      <c r="N245" s="84">
        <v>0.0</v>
      </c>
      <c r="O245" s="84">
        <v>0.0</v>
      </c>
      <c r="P245" s="84">
        <v>0.0</v>
      </c>
      <c r="Q245" s="84">
        <v>0.0</v>
      </c>
      <c r="R245" s="84">
        <v>0.0</v>
      </c>
      <c r="S245" s="84">
        <v>0.0</v>
      </c>
      <c r="T245" s="84">
        <v>0.0</v>
      </c>
      <c r="U245" s="84">
        <v>0.0</v>
      </c>
      <c r="V245" s="84">
        <v>0.0</v>
      </c>
      <c r="W245" s="84">
        <v>0.0</v>
      </c>
      <c r="X245" s="84">
        <v>0.0</v>
      </c>
      <c r="Y245" s="84">
        <v>0.0</v>
      </c>
      <c r="Z245" s="84">
        <v>0.0</v>
      </c>
      <c r="AA245" s="84">
        <v>0.0</v>
      </c>
      <c r="AB245" s="84">
        <v>0.0</v>
      </c>
      <c r="AC245" s="91">
        <v>0.002554278416347382</v>
      </c>
      <c r="AD245" s="84">
        <v>0.0</v>
      </c>
      <c r="AE245" s="84">
        <v>0.0</v>
      </c>
      <c r="AF245" s="84">
        <v>0.0</v>
      </c>
      <c r="AG245" s="84">
        <v>0.0</v>
      </c>
      <c r="AH245" s="84">
        <v>0.0</v>
      </c>
      <c r="AI245" s="84">
        <v>0.0</v>
      </c>
      <c r="AJ245" s="84">
        <v>0.0</v>
      </c>
      <c r="AK245" s="84">
        <v>0.0</v>
      </c>
      <c r="AL245" s="84">
        <v>0.0</v>
      </c>
      <c r="AM245" s="84">
        <v>0.0</v>
      </c>
      <c r="AN245" s="93">
        <f t="shared" si="1"/>
        <v>0.004978520841</v>
      </c>
      <c r="AO245" s="84">
        <f t="shared" si="2"/>
        <v>0</v>
      </c>
    </row>
    <row r="246" ht="12.75" customHeight="1">
      <c r="A246" s="84" t="s">
        <v>4247</v>
      </c>
      <c r="B246" s="84">
        <v>0.0</v>
      </c>
      <c r="C246" s="84">
        <v>0.0</v>
      </c>
      <c r="D246" s="84">
        <v>0.0</v>
      </c>
      <c r="E246" s="84">
        <v>0.0</v>
      </c>
      <c r="F246" s="84">
        <v>0.0</v>
      </c>
      <c r="G246" s="84">
        <v>0.0</v>
      </c>
      <c r="H246" s="84">
        <v>0.0</v>
      </c>
      <c r="I246" s="91">
        <v>0.0024242424242424242</v>
      </c>
      <c r="J246" s="84">
        <v>0.0</v>
      </c>
      <c r="K246" s="84">
        <v>0.0</v>
      </c>
      <c r="L246" s="84">
        <v>0.0</v>
      </c>
      <c r="M246" s="84">
        <v>0.0</v>
      </c>
      <c r="N246" s="84">
        <v>0.0</v>
      </c>
      <c r="O246" s="84">
        <v>0.0</v>
      </c>
      <c r="P246" s="84">
        <v>0.0</v>
      </c>
      <c r="Q246" s="84">
        <v>0.0</v>
      </c>
      <c r="R246" s="84">
        <v>0.0</v>
      </c>
      <c r="S246" s="84">
        <v>0.0</v>
      </c>
      <c r="T246" s="84">
        <v>0.0</v>
      </c>
      <c r="U246" s="84">
        <v>0.0</v>
      </c>
      <c r="V246" s="84">
        <v>0.0</v>
      </c>
      <c r="W246" s="84">
        <v>0.0</v>
      </c>
      <c r="X246" s="84">
        <v>0.0</v>
      </c>
      <c r="Y246" s="84">
        <v>0.0</v>
      </c>
      <c r="Z246" s="84">
        <v>0.0</v>
      </c>
      <c r="AA246" s="84">
        <v>0.0</v>
      </c>
      <c r="AB246" s="84">
        <v>0.0</v>
      </c>
      <c r="AC246" s="91">
        <v>0.002554278416347382</v>
      </c>
      <c r="AD246" s="84">
        <v>0.0</v>
      </c>
      <c r="AE246" s="84">
        <v>0.0</v>
      </c>
      <c r="AF246" s="84">
        <v>0.0</v>
      </c>
      <c r="AG246" s="84">
        <v>0.0</v>
      </c>
      <c r="AH246" s="84">
        <v>0.0</v>
      </c>
      <c r="AI246" s="84">
        <v>0.0</v>
      </c>
      <c r="AJ246" s="84">
        <v>0.0</v>
      </c>
      <c r="AK246" s="84">
        <v>0.0</v>
      </c>
      <c r="AL246" s="84">
        <v>0.0</v>
      </c>
      <c r="AM246" s="84">
        <v>0.0</v>
      </c>
      <c r="AN246" s="93">
        <f t="shared" si="1"/>
        <v>0.004978520841</v>
      </c>
      <c r="AO246" s="84">
        <f t="shared" si="2"/>
        <v>0</v>
      </c>
    </row>
    <row r="247" ht="12.75" customHeight="1">
      <c r="A247" s="84" t="s">
        <v>4231</v>
      </c>
      <c r="B247" s="84">
        <v>0.0</v>
      </c>
      <c r="C247" s="84">
        <v>0.0</v>
      </c>
      <c r="D247" s="84">
        <v>0.0</v>
      </c>
      <c r="E247" s="84">
        <v>0.0</v>
      </c>
      <c r="F247" s="84">
        <v>0.0</v>
      </c>
      <c r="G247" s="84">
        <v>0.0</v>
      </c>
      <c r="H247" s="84">
        <v>0.0</v>
      </c>
      <c r="I247" s="91">
        <v>0.0024242424242424242</v>
      </c>
      <c r="J247" s="84">
        <v>0.0</v>
      </c>
      <c r="K247" s="84">
        <v>0.0</v>
      </c>
      <c r="L247" s="84">
        <v>0.0</v>
      </c>
      <c r="M247" s="84">
        <v>0.0</v>
      </c>
      <c r="N247" s="84">
        <v>0.0</v>
      </c>
      <c r="O247" s="84">
        <v>0.0</v>
      </c>
      <c r="P247" s="84">
        <v>0.0</v>
      </c>
      <c r="Q247" s="84">
        <v>0.0</v>
      </c>
      <c r="R247" s="84">
        <v>0.0</v>
      </c>
      <c r="S247" s="84">
        <v>0.0</v>
      </c>
      <c r="T247" s="84">
        <v>0.0</v>
      </c>
      <c r="U247" s="84">
        <v>0.0</v>
      </c>
      <c r="V247" s="84">
        <v>0.0</v>
      </c>
      <c r="W247" s="84">
        <v>0.0</v>
      </c>
      <c r="X247" s="84">
        <v>0.0</v>
      </c>
      <c r="Y247" s="84">
        <v>0.0</v>
      </c>
      <c r="Z247" s="84">
        <v>0.0</v>
      </c>
      <c r="AA247" s="84">
        <v>0.0</v>
      </c>
      <c r="AB247" s="84">
        <v>0.0</v>
      </c>
      <c r="AC247" s="91">
        <v>0.002554278416347382</v>
      </c>
      <c r="AD247" s="84">
        <v>0.0</v>
      </c>
      <c r="AE247" s="84">
        <v>0.0</v>
      </c>
      <c r="AF247" s="84">
        <v>0.0</v>
      </c>
      <c r="AG247" s="84">
        <v>0.0</v>
      </c>
      <c r="AH247" s="84">
        <v>0.0</v>
      </c>
      <c r="AI247" s="84">
        <v>0.0</v>
      </c>
      <c r="AJ247" s="84">
        <v>0.0</v>
      </c>
      <c r="AK247" s="84">
        <v>0.0</v>
      </c>
      <c r="AL247" s="84">
        <v>0.0</v>
      </c>
      <c r="AM247" s="84">
        <v>0.0</v>
      </c>
      <c r="AN247" s="93">
        <f t="shared" si="1"/>
        <v>0.004978520841</v>
      </c>
      <c r="AO247" s="84">
        <f t="shared" si="2"/>
        <v>0</v>
      </c>
    </row>
    <row r="248" ht="12.75" customHeight="1">
      <c r="A248" s="84" t="s">
        <v>4113</v>
      </c>
      <c r="B248" s="84">
        <v>0.0</v>
      </c>
      <c r="C248" s="84">
        <v>0.0</v>
      </c>
      <c r="D248" s="84">
        <v>0.0</v>
      </c>
      <c r="E248" s="84">
        <v>0.0</v>
      </c>
      <c r="F248" s="84">
        <v>0.0</v>
      </c>
      <c r="G248" s="84">
        <v>0.0</v>
      </c>
      <c r="H248" s="84">
        <v>0.0</v>
      </c>
      <c r="I248" s="91">
        <v>0.0024242424242424242</v>
      </c>
      <c r="J248" s="84">
        <v>0.0</v>
      </c>
      <c r="K248" s="84">
        <v>0.0</v>
      </c>
      <c r="L248" s="84">
        <v>0.0</v>
      </c>
      <c r="M248" s="84">
        <v>0.0</v>
      </c>
      <c r="N248" s="84">
        <v>0.0</v>
      </c>
      <c r="O248" s="84">
        <v>0.0</v>
      </c>
      <c r="P248" s="84">
        <v>0.0</v>
      </c>
      <c r="Q248" s="84">
        <v>0.0</v>
      </c>
      <c r="R248" s="84">
        <v>0.0</v>
      </c>
      <c r="S248" s="84">
        <v>0.0</v>
      </c>
      <c r="T248" s="84">
        <v>0.0</v>
      </c>
      <c r="U248" s="84">
        <v>0.0</v>
      </c>
      <c r="V248" s="84">
        <v>0.0</v>
      </c>
      <c r="W248" s="84">
        <v>0.0</v>
      </c>
      <c r="X248" s="84">
        <v>0.0</v>
      </c>
      <c r="Y248" s="84">
        <v>0.0</v>
      </c>
      <c r="Z248" s="84">
        <v>0.0</v>
      </c>
      <c r="AA248" s="84">
        <v>0.0</v>
      </c>
      <c r="AB248" s="84">
        <v>0.0</v>
      </c>
      <c r="AC248" s="91">
        <v>0.0038314176245210726</v>
      </c>
      <c r="AD248" s="84">
        <v>0.0</v>
      </c>
      <c r="AE248" s="84">
        <v>0.0</v>
      </c>
      <c r="AF248" s="84">
        <v>0.0</v>
      </c>
      <c r="AG248" s="84">
        <v>0.0</v>
      </c>
      <c r="AH248" s="84">
        <v>0.0</v>
      </c>
      <c r="AI248" s="84">
        <v>0.0</v>
      </c>
      <c r="AJ248" s="84">
        <v>0.0</v>
      </c>
      <c r="AK248" s="84">
        <v>0.0</v>
      </c>
      <c r="AL248" s="84">
        <v>0.0</v>
      </c>
      <c r="AM248" s="84">
        <v>0.0</v>
      </c>
      <c r="AN248" s="93">
        <f t="shared" si="1"/>
        <v>0.006255660049</v>
      </c>
      <c r="AO248" s="84">
        <f t="shared" si="2"/>
        <v>0</v>
      </c>
    </row>
    <row r="249" ht="12.75" customHeight="1">
      <c r="A249" s="84" t="s">
        <v>3969</v>
      </c>
      <c r="B249" s="84">
        <v>0.0</v>
      </c>
      <c r="C249" s="84">
        <v>0.0</v>
      </c>
      <c r="D249" s="84">
        <v>0.0</v>
      </c>
      <c r="E249" s="84">
        <v>0.0</v>
      </c>
      <c r="F249" s="84">
        <v>0.0</v>
      </c>
      <c r="G249" s="84">
        <v>0.0</v>
      </c>
      <c r="H249" s="84">
        <v>0.0</v>
      </c>
      <c r="I249" s="91">
        <v>0.0024242424242424242</v>
      </c>
      <c r="J249" s="84">
        <v>0.0</v>
      </c>
      <c r="K249" s="84">
        <v>0.0</v>
      </c>
      <c r="L249" s="84">
        <v>0.0</v>
      </c>
      <c r="M249" s="84">
        <v>0.0</v>
      </c>
      <c r="N249" s="84">
        <v>0.0</v>
      </c>
      <c r="O249" s="84">
        <v>0.0</v>
      </c>
      <c r="P249" s="84">
        <v>0.0</v>
      </c>
      <c r="Q249" s="84">
        <v>0.0</v>
      </c>
      <c r="R249" s="84">
        <v>0.0</v>
      </c>
      <c r="S249" s="84">
        <v>0.0</v>
      </c>
      <c r="T249" s="84">
        <v>0.0</v>
      </c>
      <c r="U249" s="84">
        <v>0.0</v>
      </c>
      <c r="V249" s="84">
        <v>0.0</v>
      </c>
      <c r="W249" s="84">
        <v>0.0</v>
      </c>
      <c r="X249" s="84">
        <v>0.0</v>
      </c>
      <c r="Y249" s="84">
        <v>0.0</v>
      </c>
      <c r="Z249" s="84">
        <v>0.0</v>
      </c>
      <c r="AA249" s="84">
        <v>0.0</v>
      </c>
      <c r="AB249" s="84">
        <v>0.0</v>
      </c>
      <c r="AC249" s="91">
        <v>0.002554278416347382</v>
      </c>
      <c r="AD249" s="84">
        <v>0.0</v>
      </c>
      <c r="AE249" s="84">
        <v>0.0</v>
      </c>
      <c r="AF249" s="84">
        <v>0.0</v>
      </c>
      <c r="AG249" s="84">
        <v>0.0</v>
      </c>
      <c r="AH249" s="84">
        <v>0.0</v>
      </c>
      <c r="AI249" s="84">
        <v>0.0</v>
      </c>
      <c r="AJ249" s="84">
        <v>0.0</v>
      </c>
      <c r="AK249" s="84">
        <v>0.0</v>
      </c>
      <c r="AL249" s="84">
        <v>0.0</v>
      </c>
      <c r="AM249" s="84">
        <v>0.0</v>
      </c>
      <c r="AN249" s="93">
        <f t="shared" si="1"/>
        <v>0.004978520841</v>
      </c>
      <c r="AO249" s="84">
        <f t="shared" si="2"/>
        <v>0</v>
      </c>
    </row>
    <row r="250" ht="12.75" customHeight="1">
      <c r="A250" s="84" t="s">
        <v>4111</v>
      </c>
      <c r="B250" s="84">
        <v>0.0</v>
      </c>
      <c r="C250" s="84">
        <v>0.0</v>
      </c>
      <c r="D250" s="84">
        <v>0.0</v>
      </c>
      <c r="E250" s="84">
        <v>0.0</v>
      </c>
      <c r="F250" s="84">
        <v>0.0</v>
      </c>
      <c r="G250" s="84">
        <v>0.0</v>
      </c>
      <c r="H250" s="84">
        <v>0.0</v>
      </c>
      <c r="I250" s="91">
        <v>0.0024242424242424242</v>
      </c>
      <c r="J250" s="84">
        <v>0.0</v>
      </c>
      <c r="K250" s="84">
        <v>0.0</v>
      </c>
      <c r="L250" s="84">
        <v>0.0</v>
      </c>
      <c r="M250" s="84">
        <v>0.0</v>
      </c>
      <c r="N250" s="84">
        <v>0.0</v>
      </c>
      <c r="O250" s="84">
        <v>0.0</v>
      </c>
      <c r="P250" s="84">
        <v>0.0</v>
      </c>
      <c r="Q250" s="84">
        <v>0.0</v>
      </c>
      <c r="R250" s="84">
        <v>0.0</v>
      </c>
      <c r="S250" s="84">
        <v>0.0</v>
      </c>
      <c r="T250" s="84">
        <v>0.0</v>
      </c>
      <c r="U250" s="84">
        <v>0.0</v>
      </c>
      <c r="V250" s="84">
        <v>0.0</v>
      </c>
      <c r="W250" s="84">
        <v>0.0</v>
      </c>
      <c r="X250" s="84">
        <v>0.0</v>
      </c>
      <c r="Y250" s="84">
        <v>0.0</v>
      </c>
      <c r="Z250" s="84">
        <v>0.0</v>
      </c>
      <c r="AA250" s="84">
        <v>0.0</v>
      </c>
      <c r="AB250" s="84">
        <v>0.0</v>
      </c>
      <c r="AC250" s="91">
        <v>0.002554278416347382</v>
      </c>
      <c r="AD250" s="84">
        <v>0.0</v>
      </c>
      <c r="AE250" s="84">
        <v>0.0</v>
      </c>
      <c r="AF250" s="84">
        <v>0.0</v>
      </c>
      <c r="AG250" s="84">
        <v>0.0</v>
      </c>
      <c r="AH250" s="84">
        <v>0.0</v>
      </c>
      <c r="AI250" s="84">
        <v>0.0</v>
      </c>
      <c r="AJ250" s="84">
        <v>0.0</v>
      </c>
      <c r="AK250" s="84">
        <v>0.0</v>
      </c>
      <c r="AL250" s="84">
        <v>0.0</v>
      </c>
      <c r="AM250" s="84">
        <v>0.0</v>
      </c>
      <c r="AN250" s="93">
        <f t="shared" si="1"/>
        <v>0.004978520841</v>
      </c>
      <c r="AO250" s="84">
        <f t="shared" si="2"/>
        <v>0</v>
      </c>
    </row>
    <row r="251" ht="12.75" customHeight="1">
      <c r="A251" s="84" t="s">
        <v>4027</v>
      </c>
      <c r="B251" s="84">
        <v>0.0</v>
      </c>
      <c r="C251" s="84">
        <v>0.0</v>
      </c>
      <c r="D251" s="84">
        <v>0.0</v>
      </c>
      <c r="E251" s="84">
        <v>0.0</v>
      </c>
      <c r="F251" s="84">
        <v>0.0</v>
      </c>
      <c r="G251" s="84">
        <v>0.0</v>
      </c>
      <c r="H251" s="84">
        <v>0.0</v>
      </c>
      <c r="I251" s="91">
        <v>0.0024242424242424242</v>
      </c>
      <c r="J251" s="84">
        <v>0.0</v>
      </c>
      <c r="K251" s="84">
        <v>0.0</v>
      </c>
      <c r="L251" s="84">
        <v>0.0</v>
      </c>
      <c r="M251" s="84">
        <v>0.0</v>
      </c>
      <c r="N251" s="84">
        <v>0.0</v>
      </c>
      <c r="O251" s="84">
        <v>0.0</v>
      </c>
      <c r="P251" s="84">
        <v>0.0</v>
      </c>
      <c r="Q251" s="84">
        <v>0.0</v>
      </c>
      <c r="R251" s="84">
        <v>0.0</v>
      </c>
      <c r="S251" s="84">
        <v>0.0</v>
      </c>
      <c r="T251" s="84">
        <v>0.0</v>
      </c>
      <c r="U251" s="84">
        <v>0.0</v>
      </c>
      <c r="V251" s="84">
        <v>0.0</v>
      </c>
      <c r="W251" s="84">
        <v>0.0</v>
      </c>
      <c r="X251" s="84">
        <v>0.0</v>
      </c>
      <c r="Y251" s="84">
        <v>0.0</v>
      </c>
      <c r="Z251" s="84">
        <v>0.0</v>
      </c>
      <c r="AA251" s="84">
        <v>0.0</v>
      </c>
      <c r="AB251" s="84">
        <v>0.0</v>
      </c>
      <c r="AC251" s="91">
        <v>0.002554278416347382</v>
      </c>
      <c r="AD251" s="84">
        <v>0.0</v>
      </c>
      <c r="AE251" s="84">
        <v>0.0</v>
      </c>
      <c r="AF251" s="84">
        <v>0.0</v>
      </c>
      <c r="AG251" s="84">
        <v>0.0</v>
      </c>
      <c r="AH251" s="84">
        <v>0.0</v>
      </c>
      <c r="AI251" s="84">
        <v>0.0</v>
      </c>
      <c r="AJ251" s="84">
        <v>0.0</v>
      </c>
      <c r="AK251" s="84">
        <v>0.0</v>
      </c>
      <c r="AL251" s="84">
        <v>0.0</v>
      </c>
      <c r="AM251" s="84">
        <v>0.0</v>
      </c>
      <c r="AN251" s="93">
        <f t="shared" si="1"/>
        <v>0.004978520841</v>
      </c>
      <c r="AO251" s="84">
        <f t="shared" si="2"/>
        <v>0</v>
      </c>
    </row>
    <row r="252" ht="12.75" customHeight="1">
      <c r="A252" s="84" t="s">
        <v>4020</v>
      </c>
      <c r="B252" s="84">
        <v>0.0</v>
      </c>
      <c r="C252" s="84">
        <v>0.0</v>
      </c>
      <c r="D252" s="84">
        <v>0.0</v>
      </c>
      <c r="E252" s="84">
        <v>0.0</v>
      </c>
      <c r="F252" s="84">
        <v>0.0</v>
      </c>
      <c r="G252" s="84">
        <v>0.0</v>
      </c>
      <c r="H252" s="84">
        <v>0.0</v>
      </c>
      <c r="I252" s="91">
        <v>0.0024242424242424242</v>
      </c>
      <c r="J252" s="84">
        <v>0.0</v>
      </c>
      <c r="K252" s="84">
        <v>0.0</v>
      </c>
      <c r="L252" s="84">
        <v>0.0</v>
      </c>
      <c r="M252" s="84">
        <v>0.0</v>
      </c>
      <c r="N252" s="84">
        <v>0.0</v>
      </c>
      <c r="O252" s="84">
        <v>0.0</v>
      </c>
      <c r="P252" s="84">
        <v>0.0</v>
      </c>
      <c r="Q252" s="84">
        <v>0.0</v>
      </c>
      <c r="R252" s="84">
        <v>0.0</v>
      </c>
      <c r="S252" s="84">
        <v>0.0</v>
      </c>
      <c r="T252" s="84">
        <v>0.0</v>
      </c>
      <c r="U252" s="84">
        <v>0.0</v>
      </c>
      <c r="V252" s="84">
        <v>0.0</v>
      </c>
      <c r="W252" s="84">
        <v>0.0</v>
      </c>
      <c r="X252" s="84">
        <v>0.0</v>
      </c>
      <c r="Y252" s="84">
        <v>0.0</v>
      </c>
      <c r="Z252" s="84">
        <v>0.0</v>
      </c>
      <c r="AA252" s="84">
        <v>0.0</v>
      </c>
      <c r="AB252" s="84">
        <v>0.0</v>
      </c>
      <c r="AC252" s="91">
        <v>0.002554278416347382</v>
      </c>
      <c r="AD252" s="84">
        <v>0.0</v>
      </c>
      <c r="AE252" s="84">
        <v>0.0</v>
      </c>
      <c r="AF252" s="84">
        <v>0.0</v>
      </c>
      <c r="AG252" s="84">
        <v>0.0</v>
      </c>
      <c r="AH252" s="84">
        <v>0.0</v>
      </c>
      <c r="AI252" s="84">
        <v>0.0</v>
      </c>
      <c r="AJ252" s="84">
        <v>0.0</v>
      </c>
      <c r="AK252" s="84">
        <v>0.0</v>
      </c>
      <c r="AL252" s="84">
        <v>0.0</v>
      </c>
      <c r="AM252" s="84">
        <v>0.0</v>
      </c>
      <c r="AN252" s="93">
        <f t="shared" si="1"/>
        <v>0.004978520841</v>
      </c>
      <c r="AO252" s="84">
        <f t="shared" si="2"/>
        <v>0</v>
      </c>
    </row>
    <row r="253" ht="12.75" customHeight="1">
      <c r="A253" s="84" t="s">
        <v>4202</v>
      </c>
      <c r="B253" s="84">
        <v>0.0</v>
      </c>
      <c r="C253" s="84">
        <v>0.0</v>
      </c>
      <c r="D253" s="84">
        <v>0.0</v>
      </c>
      <c r="E253" s="84">
        <v>0.0</v>
      </c>
      <c r="F253" s="84">
        <v>0.0</v>
      </c>
      <c r="G253" s="84">
        <v>0.0</v>
      </c>
      <c r="H253" s="84">
        <v>0.0</v>
      </c>
      <c r="I253" s="91">
        <v>0.0024242424242424242</v>
      </c>
      <c r="J253" s="84">
        <v>0.0</v>
      </c>
      <c r="K253" s="84">
        <v>0.0</v>
      </c>
      <c r="L253" s="84">
        <v>0.0</v>
      </c>
      <c r="M253" s="84">
        <v>0.0</v>
      </c>
      <c r="N253" s="84">
        <v>0.0</v>
      </c>
      <c r="O253" s="84">
        <v>0.0</v>
      </c>
      <c r="P253" s="84">
        <v>0.0</v>
      </c>
      <c r="Q253" s="84">
        <v>0.0</v>
      </c>
      <c r="R253" s="84">
        <v>0.0</v>
      </c>
      <c r="S253" s="84">
        <v>0.0</v>
      </c>
      <c r="T253" s="84">
        <v>0.0</v>
      </c>
      <c r="U253" s="84">
        <v>0.0</v>
      </c>
      <c r="V253" s="84">
        <v>0.0</v>
      </c>
      <c r="W253" s="84">
        <v>0.0</v>
      </c>
      <c r="X253" s="84">
        <v>0.0</v>
      </c>
      <c r="Y253" s="84">
        <v>0.0</v>
      </c>
      <c r="Z253" s="84">
        <v>0.0</v>
      </c>
      <c r="AA253" s="84">
        <v>0.0</v>
      </c>
      <c r="AB253" s="84">
        <v>0.0</v>
      </c>
      <c r="AC253" s="91">
        <v>0.002554278416347382</v>
      </c>
      <c r="AD253" s="84">
        <v>0.0</v>
      </c>
      <c r="AE253" s="84">
        <v>0.0</v>
      </c>
      <c r="AF253" s="84">
        <v>0.0</v>
      </c>
      <c r="AG253" s="84">
        <v>0.0</v>
      </c>
      <c r="AH253" s="84">
        <v>0.0</v>
      </c>
      <c r="AI253" s="84">
        <v>0.0</v>
      </c>
      <c r="AJ253" s="84">
        <v>0.0</v>
      </c>
      <c r="AK253" s="84">
        <v>0.0</v>
      </c>
      <c r="AL253" s="84">
        <v>0.0</v>
      </c>
      <c r="AM253" s="84">
        <v>0.0</v>
      </c>
      <c r="AN253" s="93">
        <f t="shared" si="1"/>
        <v>0.004978520841</v>
      </c>
      <c r="AO253" s="84">
        <f t="shared" si="2"/>
        <v>0</v>
      </c>
    </row>
    <row r="254" ht="12.75" customHeight="1">
      <c r="A254" s="84" t="s">
        <v>3985</v>
      </c>
      <c r="B254" s="84">
        <v>0.0</v>
      </c>
      <c r="C254" s="84">
        <v>0.0</v>
      </c>
      <c r="D254" s="84">
        <v>0.0</v>
      </c>
      <c r="E254" s="84">
        <v>0.0</v>
      </c>
      <c r="F254" s="84">
        <v>0.0</v>
      </c>
      <c r="G254" s="84">
        <v>0.0</v>
      </c>
      <c r="H254" s="84">
        <v>0.0</v>
      </c>
      <c r="I254" s="91">
        <v>0.0024242424242424242</v>
      </c>
      <c r="J254" s="84">
        <v>0.0</v>
      </c>
      <c r="K254" s="84">
        <v>0.0</v>
      </c>
      <c r="L254" s="84">
        <v>0.0</v>
      </c>
      <c r="M254" s="84">
        <v>0.0</v>
      </c>
      <c r="N254" s="84">
        <v>0.0</v>
      </c>
      <c r="O254" s="84">
        <v>0.0</v>
      </c>
      <c r="P254" s="84">
        <v>0.0</v>
      </c>
      <c r="Q254" s="84">
        <v>0.0</v>
      </c>
      <c r="R254" s="84">
        <v>0.0</v>
      </c>
      <c r="S254" s="84">
        <v>0.0</v>
      </c>
      <c r="T254" s="84">
        <v>0.0</v>
      </c>
      <c r="U254" s="84">
        <v>0.0</v>
      </c>
      <c r="V254" s="84">
        <v>0.0</v>
      </c>
      <c r="W254" s="84">
        <v>0.0</v>
      </c>
      <c r="X254" s="84">
        <v>0.0</v>
      </c>
      <c r="Y254" s="84">
        <v>0.0</v>
      </c>
      <c r="Z254" s="84">
        <v>0.0</v>
      </c>
      <c r="AA254" s="84">
        <v>0.0</v>
      </c>
      <c r="AB254" s="84">
        <v>0.0</v>
      </c>
      <c r="AC254" s="91">
        <v>0.002554278416347382</v>
      </c>
      <c r="AD254" s="84">
        <v>0.0</v>
      </c>
      <c r="AE254" s="84">
        <v>0.0</v>
      </c>
      <c r="AF254" s="84">
        <v>0.0</v>
      </c>
      <c r="AG254" s="84">
        <v>0.0</v>
      </c>
      <c r="AH254" s="84">
        <v>0.0</v>
      </c>
      <c r="AI254" s="84">
        <v>0.0</v>
      </c>
      <c r="AJ254" s="84">
        <v>0.0</v>
      </c>
      <c r="AK254" s="84">
        <v>0.0</v>
      </c>
      <c r="AL254" s="84">
        <v>0.0</v>
      </c>
      <c r="AM254" s="84">
        <v>0.0</v>
      </c>
      <c r="AN254" s="93">
        <f t="shared" si="1"/>
        <v>0.004978520841</v>
      </c>
      <c r="AO254" s="84">
        <f t="shared" si="2"/>
        <v>0</v>
      </c>
    </row>
    <row r="255" ht="12.75" customHeight="1">
      <c r="A255" s="84" t="s">
        <v>4258</v>
      </c>
      <c r="B255" s="84">
        <v>0.0</v>
      </c>
      <c r="C255" s="84">
        <v>0.0</v>
      </c>
      <c r="D255" s="84">
        <v>0.0</v>
      </c>
      <c r="E255" s="84">
        <v>0.0</v>
      </c>
      <c r="F255" s="84">
        <v>0.0</v>
      </c>
      <c r="G255" s="84">
        <v>0.0</v>
      </c>
      <c r="H255" s="84">
        <v>0.0</v>
      </c>
      <c r="I255" s="91">
        <v>0.0024242424242424242</v>
      </c>
      <c r="J255" s="84">
        <v>0.0</v>
      </c>
      <c r="K255" s="84">
        <v>0.0</v>
      </c>
      <c r="L255" s="84">
        <v>0.0</v>
      </c>
      <c r="M255" s="84">
        <v>0.0</v>
      </c>
      <c r="N255" s="84">
        <v>0.0</v>
      </c>
      <c r="O255" s="84">
        <v>0.0</v>
      </c>
      <c r="P255" s="84">
        <v>0.0</v>
      </c>
      <c r="Q255" s="84">
        <v>0.0</v>
      </c>
      <c r="R255" s="84">
        <v>0.0</v>
      </c>
      <c r="S255" s="84">
        <v>0.0</v>
      </c>
      <c r="T255" s="84">
        <v>0.0</v>
      </c>
      <c r="U255" s="84">
        <v>0.0</v>
      </c>
      <c r="V255" s="84">
        <v>0.0</v>
      </c>
      <c r="W255" s="84">
        <v>0.0</v>
      </c>
      <c r="X255" s="84">
        <v>0.0</v>
      </c>
      <c r="Y255" s="84">
        <v>0.0</v>
      </c>
      <c r="Z255" s="84">
        <v>0.0</v>
      </c>
      <c r="AA255" s="84">
        <v>0.0</v>
      </c>
      <c r="AB255" s="84">
        <v>0.0</v>
      </c>
      <c r="AC255" s="91">
        <v>0.002554278416347382</v>
      </c>
      <c r="AD255" s="84">
        <v>0.0</v>
      </c>
      <c r="AE255" s="84">
        <v>0.0</v>
      </c>
      <c r="AF255" s="84">
        <v>0.0</v>
      </c>
      <c r="AG255" s="84">
        <v>0.0</v>
      </c>
      <c r="AH255" s="84">
        <v>0.0</v>
      </c>
      <c r="AI255" s="84">
        <v>0.0</v>
      </c>
      <c r="AJ255" s="84">
        <v>0.0</v>
      </c>
      <c r="AK255" s="84">
        <v>0.0</v>
      </c>
      <c r="AL255" s="84">
        <v>0.0</v>
      </c>
      <c r="AM255" s="84">
        <v>0.0</v>
      </c>
      <c r="AN255" s="93">
        <f t="shared" si="1"/>
        <v>0.004978520841</v>
      </c>
      <c r="AO255" s="84">
        <f t="shared" si="2"/>
        <v>0</v>
      </c>
    </row>
    <row r="256" ht="12.75" customHeight="1">
      <c r="A256" s="84" t="s">
        <v>4250</v>
      </c>
      <c r="B256" s="84">
        <v>0.0</v>
      </c>
      <c r="C256" s="84">
        <v>0.0</v>
      </c>
      <c r="D256" s="84">
        <v>0.0</v>
      </c>
      <c r="E256" s="84">
        <v>0.0</v>
      </c>
      <c r="F256" s="84">
        <v>0.0</v>
      </c>
      <c r="G256" s="84">
        <v>0.0</v>
      </c>
      <c r="H256" s="84">
        <v>0.0</v>
      </c>
      <c r="I256" s="91">
        <v>0.0024242424242424242</v>
      </c>
      <c r="J256" s="84">
        <v>0.0</v>
      </c>
      <c r="K256" s="84">
        <v>0.0</v>
      </c>
      <c r="L256" s="84">
        <v>0.0</v>
      </c>
      <c r="M256" s="84">
        <v>0.0</v>
      </c>
      <c r="N256" s="84">
        <v>0.0</v>
      </c>
      <c r="O256" s="84">
        <v>0.0</v>
      </c>
      <c r="P256" s="84">
        <v>0.0</v>
      </c>
      <c r="Q256" s="84">
        <v>0.0</v>
      </c>
      <c r="R256" s="84">
        <v>0.0</v>
      </c>
      <c r="S256" s="84">
        <v>0.0</v>
      </c>
      <c r="T256" s="84">
        <v>0.0</v>
      </c>
      <c r="U256" s="84">
        <v>0.0</v>
      </c>
      <c r="V256" s="84">
        <v>0.0</v>
      </c>
      <c r="W256" s="84">
        <v>0.0</v>
      </c>
      <c r="X256" s="84">
        <v>0.0</v>
      </c>
      <c r="Y256" s="84">
        <v>0.0</v>
      </c>
      <c r="Z256" s="84">
        <v>0.0</v>
      </c>
      <c r="AA256" s="84">
        <v>0.0</v>
      </c>
      <c r="AB256" s="84">
        <v>0.0</v>
      </c>
      <c r="AC256" s="91">
        <v>0.002554278416347382</v>
      </c>
      <c r="AD256" s="84">
        <v>0.0</v>
      </c>
      <c r="AE256" s="84">
        <v>0.0</v>
      </c>
      <c r="AF256" s="84">
        <v>0.0</v>
      </c>
      <c r="AG256" s="84">
        <v>0.0</v>
      </c>
      <c r="AH256" s="84">
        <v>0.0</v>
      </c>
      <c r="AI256" s="84">
        <v>0.0</v>
      </c>
      <c r="AJ256" s="84">
        <v>0.0</v>
      </c>
      <c r="AK256" s="84">
        <v>0.0</v>
      </c>
      <c r="AL256" s="84">
        <v>0.0</v>
      </c>
      <c r="AM256" s="84">
        <v>0.0</v>
      </c>
      <c r="AN256" s="93">
        <f t="shared" si="1"/>
        <v>0.004978520841</v>
      </c>
      <c r="AO256" s="84">
        <f t="shared" si="2"/>
        <v>0</v>
      </c>
    </row>
    <row r="257" ht="12.75" customHeight="1">
      <c r="A257" s="84" t="s">
        <v>4257</v>
      </c>
      <c r="B257" s="84">
        <v>0.0</v>
      </c>
      <c r="C257" s="84">
        <v>0.0</v>
      </c>
      <c r="D257" s="84">
        <v>0.0</v>
      </c>
      <c r="E257" s="84">
        <v>0.0</v>
      </c>
      <c r="F257" s="84">
        <v>0.0</v>
      </c>
      <c r="G257" s="84">
        <v>0.0</v>
      </c>
      <c r="H257" s="84">
        <v>0.0</v>
      </c>
      <c r="I257" s="91">
        <v>0.0024242424242424242</v>
      </c>
      <c r="J257" s="84">
        <v>0.0</v>
      </c>
      <c r="K257" s="84">
        <v>0.0</v>
      </c>
      <c r="L257" s="84">
        <v>0.0</v>
      </c>
      <c r="M257" s="84">
        <v>0.0</v>
      </c>
      <c r="N257" s="84">
        <v>0.0</v>
      </c>
      <c r="O257" s="84">
        <v>0.0</v>
      </c>
      <c r="P257" s="84">
        <v>0.0</v>
      </c>
      <c r="Q257" s="84">
        <v>0.0</v>
      </c>
      <c r="R257" s="84">
        <v>0.0</v>
      </c>
      <c r="S257" s="84">
        <v>0.0</v>
      </c>
      <c r="T257" s="84">
        <v>0.0</v>
      </c>
      <c r="U257" s="84">
        <v>0.0</v>
      </c>
      <c r="V257" s="84">
        <v>0.0</v>
      </c>
      <c r="W257" s="84">
        <v>0.0</v>
      </c>
      <c r="X257" s="84">
        <v>0.0</v>
      </c>
      <c r="Y257" s="84">
        <v>0.0</v>
      </c>
      <c r="Z257" s="84">
        <v>0.0</v>
      </c>
      <c r="AA257" s="84">
        <v>0.0</v>
      </c>
      <c r="AB257" s="84">
        <v>0.0</v>
      </c>
      <c r="AC257" s="91">
        <v>0.0038314176245210726</v>
      </c>
      <c r="AD257" s="84">
        <v>0.0</v>
      </c>
      <c r="AE257" s="84">
        <v>0.0</v>
      </c>
      <c r="AF257" s="84">
        <v>0.0</v>
      </c>
      <c r="AG257" s="84">
        <v>0.0</v>
      </c>
      <c r="AH257" s="84">
        <v>0.0</v>
      </c>
      <c r="AI257" s="84">
        <v>0.0</v>
      </c>
      <c r="AJ257" s="84">
        <v>0.0</v>
      </c>
      <c r="AK257" s="84">
        <v>0.0</v>
      </c>
      <c r="AL257" s="84">
        <v>0.0</v>
      </c>
      <c r="AM257" s="84">
        <v>0.0</v>
      </c>
      <c r="AN257" s="93">
        <f t="shared" si="1"/>
        <v>0.006255660049</v>
      </c>
      <c r="AO257" s="84">
        <f t="shared" si="2"/>
        <v>0</v>
      </c>
    </row>
    <row r="258" ht="12.75" customHeight="1">
      <c r="A258" s="84" t="s">
        <v>4223</v>
      </c>
      <c r="B258" s="84">
        <v>0.0</v>
      </c>
      <c r="C258" s="84">
        <v>0.0</v>
      </c>
      <c r="D258" s="84">
        <v>0.0</v>
      </c>
      <c r="E258" s="84">
        <v>0.0</v>
      </c>
      <c r="F258" s="84">
        <v>0.0</v>
      </c>
      <c r="G258" s="84">
        <v>0.0</v>
      </c>
      <c r="H258" s="84">
        <v>0.0</v>
      </c>
      <c r="I258" s="91">
        <v>0.0024242424242424242</v>
      </c>
      <c r="J258" s="84">
        <v>0.0</v>
      </c>
      <c r="K258" s="84">
        <v>0.0</v>
      </c>
      <c r="L258" s="84">
        <v>0.0</v>
      </c>
      <c r="M258" s="84">
        <v>0.0</v>
      </c>
      <c r="N258" s="84">
        <v>0.0</v>
      </c>
      <c r="O258" s="84">
        <v>0.0</v>
      </c>
      <c r="P258" s="84">
        <v>0.0</v>
      </c>
      <c r="Q258" s="84">
        <v>0.0</v>
      </c>
      <c r="R258" s="84">
        <v>0.0</v>
      </c>
      <c r="S258" s="84">
        <v>0.0</v>
      </c>
      <c r="T258" s="84">
        <v>0.0</v>
      </c>
      <c r="U258" s="84">
        <v>0.0</v>
      </c>
      <c r="V258" s="84">
        <v>0.0</v>
      </c>
      <c r="W258" s="84">
        <v>0.0</v>
      </c>
      <c r="X258" s="84">
        <v>0.0</v>
      </c>
      <c r="Y258" s="84">
        <v>0.0</v>
      </c>
      <c r="Z258" s="84">
        <v>0.0</v>
      </c>
      <c r="AA258" s="84">
        <v>0.0</v>
      </c>
      <c r="AB258" s="84">
        <v>0.0</v>
      </c>
      <c r="AC258" s="91">
        <v>0.002554278416347382</v>
      </c>
      <c r="AD258" s="84">
        <v>0.0</v>
      </c>
      <c r="AE258" s="84">
        <v>0.0</v>
      </c>
      <c r="AF258" s="84">
        <v>0.0</v>
      </c>
      <c r="AG258" s="84">
        <v>0.0</v>
      </c>
      <c r="AH258" s="84">
        <v>0.0</v>
      </c>
      <c r="AI258" s="84">
        <v>0.0</v>
      </c>
      <c r="AJ258" s="84">
        <v>0.0</v>
      </c>
      <c r="AK258" s="84">
        <v>0.0</v>
      </c>
      <c r="AL258" s="84">
        <v>0.0</v>
      </c>
      <c r="AM258" s="84">
        <v>0.0</v>
      </c>
      <c r="AN258" s="93">
        <f t="shared" si="1"/>
        <v>0.004978520841</v>
      </c>
      <c r="AO258" s="84">
        <f t="shared" si="2"/>
        <v>0</v>
      </c>
    </row>
    <row r="259" ht="12.75" customHeight="1">
      <c r="A259" s="84" t="s">
        <v>4259</v>
      </c>
      <c r="B259" s="84">
        <v>0.0</v>
      </c>
      <c r="C259" s="84">
        <v>0.0</v>
      </c>
      <c r="D259" s="84">
        <v>0.0</v>
      </c>
      <c r="E259" s="84">
        <v>0.0</v>
      </c>
      <c r="F259" s="84">
        <v>0.0</v>
      </c>
      <c r="G259" s="84">
        <v>0.0</v>
      </c>
      <c r="H259" s="84">
        <v>0.0</v>
      </c>
      <c r="I259" s="91">
        <v>0.0024242424242424242</v>
      </c>
      <c r="J259" s="84">
        <v>0.0</v>
      </c>
      <c r="K259" s="84">
        <v>0.0</v>
      </c>
      <c r="L259" s="84">
        <v>0.0</v>
      </c>
      <c r="M259" s="84">
        <v>0.0</v>
      </c>
      <c r="N259" s="84">
        <v>0.0</v>
      </c>
      <c r="O259" s="84">
        <v>0.0</v>
      </c>
      <c r="P259" s="84">
        <v>0.0</v>
      </c>
      <c r="Q259" s="84">
        <v>0.0</v>
      </c>
      <c r="R259" s="84">
        <v>0.0</v>
      </c>
      <c r="S259" s="84">
        <v>0.0</v>
      </c>
      <c r="T259" s="84">
        <v>0.0</v>
      </c>
      <c r="U259" s="84">
        <v>0.0</v>
      </c>
      <c r="V259" s="84">
        <v>0.0</v>
      </c>
      <c r="W259" s="84">
        <v>0.0</v>
      </c>
      <c r="X259" s="84">
        <v>0.0</v>
      </c>
      <c r="Y259" s="84">
        <v>0.0</v>
      </c>
      <c r="Z259" s="84">
        <v>0.0</v>
      </c>
      <c r="AA259" s="84">
        <v>0.0</v>
      </c>
      <c r="AB259" s="84">
        <v>0.0</v>
      </c>
      <c r="AC259" s="91">
        <v>0.002554278416347382</v>
      </c>
      <c r="AD259" s="84">
        <v>0.0</v>
      </c>
      <c r="AE259" s="84">
        <v>0.0</v>
      </c>
      <c r="AF259" s="84">
        <v>0.0</v>
      </c>
      <c r="AG259" s="84">
        <v>0.0</v>
      </c>
      <c r="AH259" s="84">
        <v>0.0</v>
      </c>
      <c r="AI259" s="84">
        <v>0.0</v>
      </c>
      <c r="AJ259" s="84">
        <v>0.0</v>
      </c>
      <c r="AK259" s="84">
        <v>0.0</v>
      </c>
      <c r="AL259" s="84">
        <v>0.0</v>
      </c>
      <c r="AM259" s="84">
        <v>0.0</v>
      </c>
      <c r="AN259" s="93">
        <f t="shared" si="1"/>
        <v>0.004978520841</v>
      </c>
      <c r="AO259" s="84">
        <f t="shared" si="2"/>
        <v>0</v>
      </c>
    </row>
    <row r="260" ht="12.75" customHeight="1">
      <c r="A260" s="84" t="s">
        <v>4166</v>
      </c>
      <c r="B260" s="84">
        <v>0.0</v>
      </c>
      <c r="C260" s="84">
        <v>0.0</v>
      </c>
      <c r="D260" s="84">
        <v>0.0</v>
      </c>
      <c r="E260" s="84">
        <v>0.0</v>
      </c>
      <c r="F260" s="84">
        <v>0.0</v>
      </c>
      <c r="G260" s="84">
        <v>0.0</v>
      </c>
      <c r="H260" s="84">
        <v>0.0</v>
      </c>
      <c r="I260" s="91">
        <v>0.0024242424242424242</v>
      </c>
      <c r="J260" s="84">
        <v>0.0</v>
      </c>
      <c r="K260" s="84">
        <v>0.0</v>
      </c>
      <c r="L260" s="84">
        <v>0.0</v>
      </c>
      <c r="M260" s="84">
        <v>0.0</v>
      </c>
      <c r="N260" s="84">
        <v>0.0</v>
      </c>
      <c r="O260" s="84">
        <v>0.0</v>
      </c>
      <c r="P260" s="84">
        <v>0.0</v>
      </c>
      <c r="Q260" s="84">
        <v>0.0</v>
      </c>
      <c r="R260" s="84">
        <v>0.0</v>
      </c>
      <c r="S260" s="84">
        <v>0.0</v>
      </c>
      <c r="T260" s="84">
        <v>0.0</v>
      </c>
      <c r="U260" s="84">
        <v>0.0</v>
      </c>
      <c r="V260" s="84">
        <v>0.0</v>
      </c>
      <c r="W260" s="84">
        <v>0.0</v>
      </c>
      <c r="X260" s="84">
        <v>0.0</v>
      </c>
      <c r="Y260" s="84">
        <v>0.0</v>
      </c>
      <c r="Z260" s="84">
        <v>0.0</v>
      </c>
      <c r="AA260" s="84">
        <v>0.0</v>
      </c>
      <c r="AB260" s="84">
        <v>0.0</v>
      </c>
      <c r="AC260" s="91">
        <v>0.0038314176245210726</v>
      </c>
      <c r="AD260" s="84">
        <v>0.0</v>
      </c>
      <c r="AE260" s="84">
        <v>0.0</v>
      </c>
      <c r="AF260" s="84">
        <v>0.0</v>
      </c>
      <c r="AG260" s="84">
        <v>0.0</v>
      </c>
      <c r="AH260" s="84">
        <v>0.0</v>
      </c>
      <c r="AI260" s="84">
        <v>0.0</v>
      </c>
      <c r="AJ260" s="84">
        <v>0.0</v>
      </c>
      <c r="AK260" s="84">
        <v>0.0</v>
      </c>
      <c r="AL260" s="84">
        <v>0.0</v>
      </c>
      <c r="AM260" s="84">
        <v>0.0</v>
      </c>
      <c r="AN260" s="93">
        <f t="shared" si="1"/>
        <v>0.006255660049</v>
      </c>
      <c r="AO260" s="84">
        <f t="shared" si="2"/>
        <v>0</v>
      </c>
    </row>
    <row r="261" ht="12.75" customHeight="1">
      <c r="A261" s="84" t="s">
        <v>4059</v>
      </c>
      <c r="B261" s="84">
        <v>0.0</v>
      </c>
      <c r="C261" s="84">
        <v>0.0</v>
      </c>
      <c r="D261" s="84">
        <v>0.0</v>
      </c>
      <c r="E261" s="84">
        <v>0.0</v>
      </c>
      <c r="F261" s="84">
        <v>0.0</v>
      </c>
      <c r="G261" s="84">
        <v>0.0</v>
      </c>
      <c r="H261" s="84">
        <v>0.0</v>
      </c>
      <c r="I261" s="91">
        <v>0.0024242424242424242</v>
      </c>
      <c r="J261" s="84">
        <v>0.0</v>
      </c>
      <c r="K261" s="84">
        <v>0.0</v>
      </c>
      <c r="L261" s="84">
        <v>0.0</v>
      </c>
      <c r="M261" s="84">
        <v>0.0</v>
      </c>
      <c r="N261" s="84">
        <v>0.0</v>
      </c>
      <c r="O261" s="84">
        <v>0.0</v>
      </c>
      <c r="P261" s="84">
        <v>0.0</v>
      </c>
      <c r="Q261" s="84">
        <v>0.0</v>
      </c>
      <c r="R261" s="84">
        <v>0.0</v>
      </c>
      <c r="S261" s="84">
        <v>0.0</v>
      </c>
      <c r="T261" s="84">
        <v>0.0</v>
      </c>
      <c r="U261" s="84">
        <v>0.0</v>
      </c>
      <c r="V261" s="84">
        <v>0.0</v>
      </c>
      <c r="W261" s="84">
        <v>0.0</v>
      </c>
      <c r="X261" s="84">
        <v>0.0</v>
      </c>
      <c r="Y261" s="84">
        <v>0.0</v>
      </c>
      <c r="Z261" s="84">
        <v>0.0</v>
      </c>
      <c r="AA261" s="84">
        <v>0.0</v>
      </c>
      <c r="AB261" s="84">
        <v>0.0</v>
      </c>
      <c r="AC261" s="91">
        <v>0.002554278416347382</v>
      </c>
      <c r="AD261" s="84">
        <v>0.0</v>
      </c>
      <c r="AE261" s="84">
        <v>0.0</v>
      </c>
      <c r="AF261" s="84">
        <v>0.0</v>
      </c>
      <c r="AG261" s="84">
        <v>0.0</v>
      </c>
      <c r="AH261" s="84">
        <v>0.0</v>
      </c>
      <c r="AI261" s="84">
        <v>0.0</v>
      </c>
      <c r="AJ261" s="84">
        <v>0.0</v>
      </c>
      <c r="AK261" s="84">
        <v>0.0</v>
      </c>
      <c r="AL261" s="84">
        <v>0.0</v>
      </c>
      <c r="AM261" s="84">
        <v>0.0</v>
      </c>
      <c r="AN261" s="93">
        <f t="shared" si="1"/>
        <v>0.004978520841</v>
      </c>
      <c r="AO261" s="84">
        <f t="shared" si="2"/>
        <v>0</v>
      </c>
    </row>
    <row r="262" ht="12.75" customHeight="1">
      <c r="A262" s="84" t="s">
        <v>3980</v>
      </c>
      <c r="B262" s="84">
        <v>0.0</v>
      </c>
      <c r="C262" s="84">
        <v>0.0</v>
      </c>
      <c r="D262" s="84">
        <v>0.0</v>
      </c>
      <c r="E262" s="84">
        <v>0.0</v>
      </c>
      <c r="F262" s="84">
        <v>0.0</v>
      </c>
      <c r="G262" s="84">
        <v>0.0</v>
      </c>
      <c r="H262" s="84">
        <v>0.0</v>
      </c>
      <c r="I262" s="91">
        <v>0.0024242424242424242</v>
      </c>
      <c r="J262" s="84">
        <v>0.0</v>
      </c>
      <c r="K262" s="84">
        <v>0.0</v>
      </c>
      <c r="L262" s="84">
        <v>0.0</v>
      </c>
      <c r="M262" s="84">
        <v>0.0</v>
      </c>
      <c r="N262" s="84">
        <v>0.0</v>
      </c>
      <c r="O262" s="84">
        <v>0.0</v>
      </c>
      <c r="P262" s="84">
        <v>0.0</v>
      </c>
      <c r="Q262" s="84">
        <v>0.0</v>
      </c>
      <c r="R262" s="84">
        <v>0.0</v>
      </c>
      <c r="S262" s="84">
        <v>0.0</v>
      </c>
      <c r="T262" s="84">
        <v>0.0</v>
      </c>
      <c r="U262" s="84">
        <v>0.0</v>
      </c>
      <c r="V262" s="84">
        <v>0.0</v>
      </c>
      <c r="W262" s="84">
        <v>0.0</v>
      </c>
      <c r="X262" s="84">
        <v>0.0</v>
      </c>
      <c r="Y262" s="84">
        <v>0.0</v>
      </c>
      <c r="Z262" s="84">
        <v>0.0</v>
      </c>
      <c r="AA262" s="84">
        <v>0.0</v>
      </c>
      <c r="AB262" s="84">
        <v>0.0</v>
      </c>
      <c r="AC262" s="91">
        <v>0.0038314176245210726</v>
      </c>
      <c r="AD262" s="84">
        <v>0.0</v>
      </c>
      <c r="AE262" s="84">
        <v>0.0</v>
      </c>
      <c r="AF262" s="84">
        <v>0.0</v>
      </c>
      <c r="AG262" s="84">
        <v>0.0</v>
      </c>
      <c r="AH262" s="84">
        <v>0.0</v>
      </c>
      <c r="AI262" s="84">
        <v>0.0</v>
      </c>
      <c r="AJ262" s="84">
        <v>0.0</v>
      </c>
      <c r="AK262" s="84">
        <v>0.0</v>
      </c>
      <c r="AL262" s="84">
        <v>0.0</v>
      </c>
      <c r="AM262" s="84">
        <v>0.0</v>
      </c>
      <c r="AN262" s="93">
        <f t="shared" si="1"/>
        <v>0.006255660049</v>
      </c>
      <c r="AO262" s="84">
        <f t="shared" si="2"/>
        <v>0</v>
      </c>
    </row>
    <row r="263" ht="12.75" customHeight="1">
      <c r="A263" s="84" t="s">
        <v>3990</v>
      </c>
      <c r="B263" s="84">
        <v>0.0</v>
      </c>
      <c r="C263" s="84">
        <v>0.0</v>
      </c>
      <c r="D263" s="84">
        <v>0.0</v>
      </c>
      <c r="E263" s="84">
        <v>0.0</v>
      </c>
      <c r="F263" s="84">
        <v>0.0</v>
      </c>
      <c r="G263" s="84">
        <v>0.0</v>
      </c>
      <c r="H263" s="84">
        <v>0.0</v>
      </c>
      <c r="I263" s="91">
        <v>0.0024242424242424242</v>
      </c>
      <c r="J263" s="84">
        <v>0.0</v>
      </c>
      <c r="K263" s="84">
        <v>0.0</v>
      </c>
      <c r="L263" s="84">
        <v>0.0</v>
      </c>
      <c r="M263" s="84">
        <v>0.0</v>
      </c>
      <c r="N263" s="84">
        <v>0.0</v>
      </c>
      <c r="O263" s="84">
        <v>0.0</v>
      </c>
      <c r="P263" s="84">
        <v>0.0</v>
      </c>
      <c r="Q263" s="84">
        <v>0.0</v>
      </c>
      <c r="R263" s="84">
        <v>0.0</v>
      </c>
      <c r="S263" s="84">
        <v>0.0</v>
      </c>
      <c r="T263" s="84">
        <v>0.0</v>
      </c>
      <c r="U263" s="84">
        <v>0.0</v>
      </c>
      <c r="V263" s="84">
        <v>0.0</v>
      </c>
      <c r="W263" s="84">
        <v>0.0</v>
      </c>
      <c r="X263" s="84">
        <v>0.0</v>
      </c>
      <c r="Y263" s="84">
        <v>0.0</v>
      </c>
      <c r="Z263" s="84">
        <v>0.0</v>
      </c>
      <c r="AA263" s="84">
        <v>0.0</v>
      </c>
      <c r="AB263" s="84">
        <v>0.0</v>
      </c>
      <c r="AC263" s="91">
        <v>0.002554278416347382</v>
      </c>
      <c r="AD263" s="84">
        <v>0.0</v>
      </c>
      <c r="AE263" s="84">
        <v>0.0</v>
      </c>
      <c r="AF263" s="84">
        <v>0.0</v>
      </c>
      <c r="AG263" s="84">
        <v>0.0</v>
      </c>
      <c r="AH263" s="84">
        <v>0.0</v>
      </c>
      <c r="AI263" s="84">
        <v>0.0</v>
      </c>
      <c r="AJ263" s="84">
        <v>0.0</v>
      </c>
      <c r="AK263" s="84">
        <v>0.0</v>
      </c>
      <c r="AL263" s="84">
        <v>0.0</v>
      </c>
      <c r="AM263" s="84">
        <v>0.0</v>
      </c>
      <c r="AN263" s="93">
        <f t="shared" si="1"/>
        <v>0.004978520841</v>
      </c>
      <c r="AO263" s="84">
        <f t="shared" si="2"/>
        <v>0</v>
      </c>
    </row>
    <row r="264" ht="12.75" customHeight="1">
      <c r="A264" s="84" t="s">
        <v>4008</v>
      </c>
      <c r="B264" s="84">
        <v>0.0</v>
      </c>
      <c r="C264" s="84">
        <v>0.0</v>
      </c>
      <c r="D264" s="84">
        <v>0.0</v>
      </c>
      <c r="E264" s="84">
        <v>0.0</v>
      </c>
      <c r="F264" s="84">
        <v>0.0</v>
      </c>
      <c r="G264" s="84">
        <v>0.0</v>
      </c>
      <c r="H264" s="84">
        <v>0.0</v>
      </c>
      <c r="I264" s="91">
        <v>0.0024242424242424242</v>
      </c>
      <c r="J264" s="84">
        <v>0.0</v>
      </c>
      <c r="K264" s="84">
        <v>0.0</v>
      </c>
      <c r="L264" s="84">
        <v>0.0</v>
      </c>
      <c r="M264" s="84">
        <v>0.0</v>
      </c>
      <c r="N264" s="84">
        <v>0.0</v>
      </c>
      <c r="O264" s="84">
        <v>0.0</v>
      </c>
      <c r="P264" s="84">
        <v>0.0</v>
      </c>
      <c r="Q264" s="84">
        <v>0.0</v>
      </c>
      <c r="R264" s="84">
        <v>0.0</v>
      </c>
      <c r="S264" s="84">
        <v>0.0</v>
      </c>
      <c r="T264" s="84">
        <v>0.0</v>
      </c>
      <c r="U264" s="84">
        <v>0.0</v>
      </c>
      <c r="V264" s="84">
        <v>0.0</v>
      </c>
      <c r="W264" s="84">
        <v>0.0</v>
      </c>
      <c r="X264" s="84">
        <v>0.0</v>
      </c>
      <c r="Y264" s="84">
        <v>0.0</v>
      </c>
      <c r="Z264" s="84">
        <v>0.0</v>
      </c>
      <c r="AA264" s="84">
        <v>0.0</v>
      </c>
      <c r="AB264" s="84">
        <v>0.0</v>
      </c>
      <c r="AC264" s="91">
        <v>0.0038314176245210726</v>
      </c>
      <c r="AD264" s="84">
        <v>0.0</v>
      </c>
      <c r="AE264" s="84">
        <v>0.0</v>
      </c>
      <c r="AF264" s="84">
        <v>0.0</v>
      </c>
      <c r="AG264" s="84">
        <v>0.0</v>
      </c>
      <c r="AH264" s="84">
        <v>0.0</v>
      </c>
      <c r="AI264" s="84">
        <v>0.0</v>
      </c>
      <c r="AJ264" s="84">
        <v>0.0</v>
      </c>
      <c r="AK264" s="84">
        <v>0.0</v>
      </c>
      <c r="AL264" s="84">
        <v>0.0</v>
      </c>
      <c r="AM264" s="84">
        <v>0.0</v>
      </c>
      <c r="AN264" s="93">
        <f t="shared" si="1"/>
        <v>0.006255660049</v>
      </c>
      <c r="AO264" s="84">
        <f t="shared" si="2"/>
        <v>0</v>
      </c>
    </row>
    <row r="265" ht="12.75" customHeight="1">
      <c r="A265" s="84" t="s">
        <v>4106</v>
      </c>
      <c r="B265" s="84">
        <v>0.0</v>
      </c>
      <c r="C265" s="84">
        <v>0.0</v>
      </c>
      <c r="D265" s="84">
        <v>0.0</v>
      </c>
      <c r="E265" s="84">
        <v>0.0</v>
      </c>
      <c r="F265" s="84">
        <v>0.0</v>
      </c>
      <c r="G265" s="84">
        <v>0.0</v>
      </c>
      <c r="H265" s="84">
        <v>0.0</v>
      </c>
      <c r="I265" s="91">
        <v>0.0024242424242424242</v>
      </c>
      <c r="J265" s="84">
        <v>0.0</v>
      </c>
      <c r="K265" s="84">
        <v>0.0</v>
      </c>
      <c r="L265" s="84">
        <v>0.0</v>
      </c>
      <c r="M265" s="84">
        <v>0.0</v>
      </c>
      <c r="N265" s="84">
        <v>0.0</v>
      </c>
      <c r="O265" s="84">
        <v>0.0</v>
      </c>
      <c r="P265" s="84">
        <v>0.0</v>
      </c>
      <c r="Q265" s="84">
        <v>0.0</v>
      </c>
      <c r="R265" s="84">
        <v>0.0</v>
      </c>
      <c r="S265" s="84">
        <v>0.0</v>
      </c>
      <c r="T265" s="84">
        <v>0.0</v>
      </c>
      <c r="U265" s="84">
        <v>0.0</v>
      </c>
      <c r="V265" s="84">
        <v>0.0</v>
      </c>
      <c r="W265" s="84">
        <v>0.0</v>
      </c>
      <c r="X265" s="84">
        <v>0.0</v>
      </c>
      <c r="Y265" s="84">
        <v>0.0</v>
      </c>
      <c r="Z265" s="84">
        <v>0.0</v>
      </c>
      <c r="AA265" s="84">
        <v>0.0</v>
      </c>
      <c r="AB265" s="84">
        <v>0.0</v>
      </c>
      <c r="AC265" s="91">
        <v>0.002554278416347382</v>
      </c>
      <c r="AD265" s="84">
        <v>0.0</v>
      </c>
      <c r="AE265" s="84">
        <v>0.0</v>
      </c>
      <c r="AF265" s="84">
        <v>0.0</v>
      </c>
      <c r="AG265" s="84">
        <v>0.0</v>
      </c>
      <c r="AH265" s="84">
        <v>0.0</v>
      </c>
      <c r="AI265" s="84">
        <v>0.0</v>
      </c>
      <c r="AJ265" s="84">
        <v>0.0</v>
      </c>
      <c r="AK265" s="84">
        <v>0.0</v>
      </c>
      <c r="AL265" s="84">
        <v>0.0</v>
      </c>
      <c r="AM265" s="84">
        <v>0.0</v>
      </c>
      <c r="AN265" s="93">
        <f t="shared" si="1"/>
        <v>0.004978520841</v>
      </c>
      <c r="AO265" s="84">
        <f t="shared" si="2"/>
        <v>0</v>
      </c>
    </row>
    <row r="266" ht="12.75" customHeight="1">
      <c r="A266" s="84" t="s">
        <v>4221</v>
      </c>
      <c r="B266" s="84">
        <v>0.0</v>
      </c>
      <c r="C266" s="84">
        <v>0.0</v>
      </c>
      <c r="D266" s="84">
        <v>0.0</v>
      </c>
      <c r="E266" s="84">
        <v>0.0</v>
      </c>
      <c r="F266" s="84">
        <v>0.0</v>
      </c>
      <c r="G266" s="84">
        <v>0.0</v>
      </c>
      <c r="H266" s="84">
        <v>0.0</v>
      </c>
      <c r="I266" s="91">
        <v>0.0024242424242424242</v>
      </c>
      <c r="J266" s="84">
        <v>0.0</v>
      </c>
      <c r="K266" s="84">
        <v>0.0</v>
      </c>
      <c r="L266" s="84">
        <v>0.0</v>
      </c>
      <c r="M266" s="84">
        <v>0.0</v>
      </c>
      <c r="N266" s="84">
        <v>0.0</v>
      </c>
      <c r="O266" s="84">
        <v>0.0</v>
      </c>
      <c r="P266" s="84">
        <v>0.0</v>
      </c>
      <c r="Q266" s="84">
        <v>0.0</v>
      </c>
      <c r="R266" s="84">
        <v>0.0</v>
      </c>
      <c r="S266" s="84">
        <v>0.0</v>
      </c>
      <c r="T266" s="84">
        <v>0.0</v>
      </c>
      <c r="U266" s="84">
        <v>0.0</v>
      </c>
      <c r="V266" s="84">
        <v>0.0</v>
      </c>
      <c r="W266" s="84">
        <v>0.0</v>
      </c>
      <c r="X266" s="84">
        <v>0.0</v>
      </c>
      <c r="Y266" s="84">
        <v>0.0</v>
      </c>
      <c r="Z266" s="84">
        <v>0.0</v>
      </c>
      <c r="AA266" s="84">
        <v>0.0</v>
      </c>
      <c r="AB266" s="84">
        <v>0.0</v>
      </c>
      <c r="AC266" s="91">
        <v>0.0038314176245210726</v>
      </c>
      <c r="AD266" s="84">
        <v>0.0</v>
      </c>
      <c r="AE266" s="84">
        <v>0.0</v>
      </c>
      <c r="AF266" s="84">
        <v>0.0</v>
      </c>
      <c r="AG266" s="84">
        <v>0.0</v>
      </c>
      <c r="AH266" s="84">
        <v>0.0</v>
      </c>
      <c r="AI266" s="84">
        <v>0.0</v>
      </c>
      <c r="AJ266" s="84">
        <v>0.0</v>
      </c>
      <c r="AK266" s="84">
        <v>0.0</v>
      </c>
      <c r="AL266" s="84">
        <v>0.0</v>
      </c>
      <c r="AM266" s="84">
        <v>0.0</v>
      </c>
      <c r="AN266" s="93">
        <f t="shared" si="1"/>
        <v>0.006255660049</v>
      </c>
      <c r="AO266" s="84">
        <f t="shared" si="2"/>
        <v>0</v>
      </c>
    </row>
    <row r="267" ht="12.75" customHeight="1">
      <c r="A267" s="84" t="s">
        <v>4084</v>
      </c>
      <c r="B267" s="84">
        <v>0.0</v>
      </c>
      <c r="C267" s="84">
        <v>0.0</v>
      </c>
      <c r="D267" s="84">
        <v>0.0</v>
      </c>
      <c r="E267" s="84">
        <v>0.0</v>
      </c>
      <c r="F267" s="84">
        <v>0.0</v>
      </c>
      <c r="G267" s="84">
        <v>0.0</v>
      </c>
      <c r="H267" s="84">
        <v>0.0</v>
      </c>
      <c r="I267" s="91">
        <v>0.0024242424242424242</v>
      </c>
      <c r="J267" s="84">
        <v>0.0</v>
      </c>
      <c r="K267" s="84">
        <v>0.0</v>
      </c>
      <c r="L267" s="84">
        <v>0.0</v>
      </c>
      <c r="M267" s="84">
        <v>0.0</v>
      </c>
      <c r="N267" s="84">
        <v>0.0</v>
      </c>
      <c r="O267" s="84">
        <v>0.0</v>
      </c>
      <c r="P267" s="84">
        <v>0.0</v>
      </c>
      <c r="Q267" s="84">
        <v>0.0</v>
      </c>
      <c r="R267" s="84">
        <v>0.0</v>
      </c>
      <c r="S267" s="84">
        <v>0.0</v>
      </c>
      <c r="T267" s="84">
        <v>0.0</v>
      </c>
      <c r="U267" s="84">
        <v>0.0</v>
      </c>
      <c r="V267" s="84">
        <v>0.0</v>
      </c>
      <c r="W267" s="84">
        <v>0.0</v>
      </c>
      <c r="X267" s="84">
        <v>0.0</v>
      </c>
      <c r="Y267" s="84">
        <v>0.0</v>
      </c>
      <c r="Z267" s="84">
        <v>0.0</v>
      </c>
      <c r="AA267" s="84">
        <v>0.0</v>
      </c>
      <c r="AB267" s="84">
        <v>0.0</v>
      </c>
      <c r="AC267" s="91">
        <v>0.002554278416347382</v>
      </c>
      <c r="AD267" s="84">
        <v>0.0</v>
      </c>
      <c r="AE267" s="84">
        <v>0.0</v>
      </c>
      <c r="AF267" s="84">
        <v>0.0</v>
      </c>
      <c r="AG267" s="84">
        <v>0.0</v>
      </c>
      <c r="AH267" s="84">
        <v>0.0</v>
      </c>
      <c r="AI267" s="84">
        <v>0.0</v>
      </c>
      <c r="AJ267" s="84">
        <v>0.0</v>
      </c>
      <c r="AK267" s="84">
        <v>0.0</v>
      </c>
      <c r="AL267" s="84">
        <v>0.0</v>
      </c>
      <c r="AM267" s="84">
        <v>0.0</v>
      </c>
      <c r="AN267" s="93">
        <f t="shared" si="1"/>
        <v>0.004978520841</v>
      </c>
      <c r="AO267" s="84">
        <f t="shared" si="2"/>
        <v>0</v>
      </c>
    </row>
    <row r="268" ht="12.75" customHeight="1">
      <c r="A268" s="84" t="s">
        <v>4161</v>
      </c>
      <c r="B268" s="84">
        <v>0.0</v>
      </c>
      <c r="C268" s="84">
        <v>0.0</v>
      </c>
      <c r="D268" s="84">
        <v>0.0</v>
      </c>
      <c r="E268" s="84">
        <v>0.0</v>
      </c>
      <c r="F268" s="84">
        <v>0.0</v>
      </c>
      <c r="G268" s="84">
        <v>0.0</v>
      </c>
      <c r="H268" s="84">
        <v>0.0</v>
      </c>
      <c r="I268" s="91">
        <v>0.0024242424242424242</v>
      </c>
      <c r="J268" s="84">
        <v>0.0</v>
      </c>
      <c r="K268" s="84">
        <v>0.0</v>
      </c>
      <c r="L268" s="84">
        <v>0.0</v>
      </c>
      <c r="M268" s="84">
        <v>0.0</v>
      </c>
      <c r="N268" s="84">
        <v>0.0</v>
      </c>
      <c r="O268" s="84">
        <v>0.0</v>
      </c>
      <c r="P268" s="84">
        <v>0.0</v>
      </c>
      <c r="Q268" s="84">
        <v>0.0</v>
      </c>
      <c r="R268" s="84">
        <v>0.0</v>
      </c>
      <c r="S268" s="84">
        <v>0.0</v>
      </c>
      <c r="T268" s="84">
        <v>0.0</v>
      </c>
      <c r="U268" s="84">
        <v>0.0</v>
      </c>
      <c r="V268" s="84">
        <v>0.0</v>
      </c>
      <c r="W268" s="84">
        <v>0.0</v>
      </c>
      <c r="X268" s="84">
        <v>0.0</v>
      </c>
      <c r="Y268" s="84">
        <v>0.0</v>
      </c>
      <c r="Z268" s="84">
        <v>0.0</v>
      </c>
      <c r="AA268" s="84">
        <v>0.0</v>
      </c>
      <c r="AB268" s="84">
        <v>0.0</v>
      </c>
      <c r="AC268" s="91">
        <v>0.002554278416347382</v>
      </c>
      <c r="AD268" s="84">
        <v>0.0</v>
      </c>
      <c r="AE268" s="84">
        <v>0.0</v>
      </c>
      <c r="AF268" s="84">
        <v>0.0</v>
      </c>
      <c r="AG268" s="84">
        <v>0.0</v>
      </c>
      <c r="AH268" s="84">
        <v>0.0</v>
      </c>
      <c r="AI268" s="84">
        <v>0.0</v>
      </c>
      <c r="AJ268" s="84">
        <v>0.0</v>
      </c>
      <c r="AK268" s="84">
        <v>0.0</v>
      </c>
      <c r="AL268" s="84">
        <v>0.0</v>
      </c>
      <c r="AM268" s="84">
        <v>0.0</v>
      </c>
      <c r="AN268" s="93">
        <f t="shared" si="1"/>
        <v>0.004978520841</v>
      </c>
      <c r="AO268" s="84">
        <f t="shared" si="2"/>
        <v>0</v>
      </c>
    </row>
    <row r="269" ht="12.75" customHeight="1">
      <c r="A269" s="84" t="s">
        <v>4052</v>
      </c>
      <c r="B269" s="84">
        <v>0.0</v>
      </c>
      <c r="C269" s="84">
        <v>0.0</v>
      </c>
      <c r="D269" s="84">
        <v>0.0</v>
      </c>
      <c r="E269" s="84">
        <v>0.0</v>
      </c>
      <c r="F269" s="84">
        <v>0.0</v>
      </c>
      <c r="G269" s="84">
        <v>0.0</v>
      </c>
      <c r="H269" s="84">
        <v>0.0</v>
      </c>
      <c r="I269" s="91">
        <v>0.0024242424242424242</v>
      </c>
      <c r="J269" s="84">
        <v>0.0</v>
      </c>
      <c r="K269" s="84">
        <v>0.0</v>
      </c>
      <c r="L269" s="84">
        <v>0.0</v>
      </c>
      <c r="M269" s="84">
        <v>0.0</v>
      </c>
      <c r="N269" s="84">
        <v>0.0</v>
      </c>
      <c r="O269" s="84">
        <v>0.0</v>
      </c>
      <c r="P269" s="84">
        <v>0.0</v>
      </c>
      <c r="Q269" s="84">
        <v>0.0</v>
      </c>
      <c r="R269" s="84">
        <v>0.0</v>
      </c>
      <c r="S269" s="84">
        <v>0.0</v>
      </c>
      <c r="T269" s="84">
        <v>0.0</v>
      </c>
      <c r="U269" s="84">
        <v>0.0</v>
      </c>
      <c r="V269" s="84">
        <v>0.0</v>
      </c>
      <c r="W269" s="84">
        <v>0.0</v>
      </c>
      <c r="X269" s="84">
        <v>0.0</v>
      </c>
      <c r="Y269" s="84">
        <v>0.0</v>
      </c>
      <c r="Z269" s="84">
        <v>0.0</v>
      </c>
      <c r="AA269" s="84">
        <v>0.0</v>
      </c>
      <c r="AB269" s="84">
        <v>0.0</v>
      </c>
      <c r="AC269" s="91">
        <v>0.002554278416347382</v>
      </c>
      <c r="AD269" s="84">
        <v>0.0</v>
      </c>
      <c r="AE269" s="84">
        <v>0.0</v>
      </c>
      <c r="AF269" s="84">
        <v>0.0</v>
      </c>
      <c r="AG269" s="84">
        <v>0.0</v>
      </c>
      <c r="AH269" s="84">
        <v>0.0</v>
      </c>
      <c r="AI269" s="84">
        <v>0.0</v>
      </c>
      <c r="AJ269" s="84">
        <v>0.0</v>
      </c>
      <c r="AK269" s="84">
        <v>0.0</v>
      </c>
      <c r="AL269" s="84">
        <v>0.0</v>
      </c>
      <c r="AM269" s="84">
        <v>0.0</v>
      </c>
      <c r="AN269" s="93">
        <f t="shared" si="1"/>
        <v>0.004978520841</v>
      </c>
      <c r="AO269" s="84">
        <f t="shared" si="2"/>
        <v>0</v>
      </c>
    </row>
    <row r="270" ht="12.75" customHeight="1">
      <c r="A270" s="84" t="s">
        <v>4313</v>
      </c>
      <c r="B270" s="84">
        <v>0.0</v>
      </c>
      <c r="C270" s="84">
        <v>0.0</v>
      </c>
      <c r="D270" s="84">
        <v>0.0</v>
      </c>
      <c r="E270" s="84">
        <v>0.0</v>
      </c>
      <c r="F270" s="84">
        <v>0.0</v>
      </c>
      <c r="G270" s="84">
        <v>0.0</v>
      </c>
      <c r="H270" s="84">
        <v>0.0</v>
      </c>
      <c r="I270" s="91">
        <v>0.0024242424242424242</v>
      </c>
      <c r="J270" s="84">
        <v>0.0</v>
      </c>
      <c r="K270" s="84">
        <v>0.0</v>
      </c>
      <c r="L270" s="84">
        <v>0.0</v>
      </c>
      <c r="M270" s="84">
        <v>0.0</v>
      </c>
      <c r="N270" s="84">
        <v>0.0</v>
      </c>
      <c r="O270" s="84">
        <v>0.0</v>
      </c>
      <c r="P270" s="84">
        <v>0.0</v>
      </c>
      <c r="Q270" s="84">
        <v>0.0</v>
      </c>
      <c r="R270" s="84">
        <v>0.0</v>
      </c>
      <c r="S270" s="84">
        <v>0.0</v>
      </c>
      <c r="T270" s="84">
        <v>0.0</v>
      </c>
      <c r="U270" s="84">
        <v>0.0</v>
      </c>
      <c r="V270" s="84">
        <v>0.0</v>
      </c>
      <c r="W270" s="84">
        <v>0.0</v>
      </c>
      <c r="X270" s="84">
        <v>0.0</v>
      </c>
      <c r="Y270" s="84">
        <v>0.0</v>
      </c>
      <c r="Z270" s="84">
        <v>0.0</v>
      </c>
      <c r="AA270" s="84">
        <v>0.0</v>
      </c>
      <c r="AB270" s="84">
        <v>0.0</v>
      </c>
      <c r="AC270" s="91">
        <v>0.0</v>
      </c>
      <c r="AD270" s="84">
        <v>0.0</v>
      </c>
      <c r="AE270" s="84">
        <v>0.0</v>
      </c>
      <c r="AF270" s="84">
        <v>0.0</v>
      </c>
      <c r="AG270" s="84">
        <v>0.0</v>
      </c>
      <c r="AH270" s="84">
        <v>0.0</v>
      </c>
      <c r="AI270" s="84">
        <v>0.0</v>
      </c>
      <c r="AJ270" s="84">
        <v>0.0</v>
      </c>
      <c r="AK270" s="84">
        <v>0.0</v>
      </c>
      <c r="AL270" s="84">
        <v>0.0</v>
      </c>
      <c r="AM270" s="84">
        <v>0.0</v>
      </c>
      <c r="AN270" s="93">
        <f t="shared" si="1"/>
        <v>0.002424242424</v>
      </c>
      <c r="AO270" s="84">
        <f t="shared" si="2"/>
        <v>0</v>
      </c>
    </row>
    <row r="271" ht="12.75" customHeight="1">
      <c r="A271" s="84" t="s">
        <v>4073</v>
      </c>
      <c r="B271" s="84">
        <v>0.0</v>
      </c>
      <c r="C271" s="84">
        <v>0.0</v>
      </c>
      <c r="D271" s="84">
        <v>0.0</v>
      </c>
      <c r="E271" s="84">
        <v>0.0</v>
      </c>
      <c r="F271" s="84">
        <v>0.0</v>
      </c>
      <c r="G271" s="84">
        <v>0.0</v>
      </c>
      <c r="H271" s="84">
        <v>0.0</v>
      </c>
      <c r="I271" s="91">
        <v>0.0024242424242424242</v>
      </c>
      <c r="J271" s="84">
        <v>0.0</v>
      </c>
      <c r="K271" s="84">
        <v>0.0</v>
      </c>
      <c r="L271" s="84">
        <v>0.0</v>
      </c>
      <c r="M271" s="84">
        <v>0.0</v>
      </c>
      <c r="N271" s="84">
        <v>0.0</v>
      </c>
      <c r="O271" s="84">
        <v>0.0</v>
      </c>
      <c r="P271" s="84">
        <v>0.0</v>
      </c>
      <c r="Q271" s="84">
        <v>0.0</v>
      </c>
      <c r="R271" s="84">
        <v>0.0</v>
      </c>
      <c r="S271" s="84">
        <v>0.0</v>
      </c>
      <c r="T271" s="84">
        <v>0.0</v>
      </c>
      <c r="U271" s="84">
        <v>0.0</v>
      </c>
      <c r="V271" s="84">
        <v>0.0</v>
      </c>
      <c r="W271" s="84">
        <v>0.0</v>
      </c>
      <c r="X271" s="84">
        <v>0.0</v>
      </c>
      <c r="Y271" s="84">
        <v>0.0</v>
      </c>
      <c r="Z271" s="84">
        <v>0.0</v>
      </c>
      <c r="AA271" s="84">
        <v>0.0</v>
      </c>
      <c r="AB271" s="84">
        <v>0.0</v>
      </c>
      <c r="AC271" s="91">
        <v>0.0038314176245210726</v>
      </c>
      <c r="AD271" s="84">
        <v>0.0</v>
      </c>
      <c r="AE271" s="84">
        <v>0.0</v>
      </c>
      <c r="AF271" s="84">
        <v>0.0</v>
      </c>
      <c r="AG271" s="84">
        <v>0.0</v>
      </c>
      <c r="AH271" s="84">
        <v>0.0</v>
      </c>
      <c r="AI271" s="84">
        <v>0.0</v>
      </c>
      <c r="AJ271" s="84">
        <v>0.0</v>
      </c>
      <c r="AK271" s="84">
        <v>0.0</v>
      </c>
      <c r="AL271" s="84">
        <v>0.0</v>
      </c>
      <c r="AM271" s="84">
        <v>0.0</v>
      </c>
      <c r="AN271" s="93">
        <f t="shared" si="1"/>
        <v>0.006255660049</v>
      </c>
      <c r="AO271" s="84">
        <f t="shared" si="2"/>
        <v>0</v>
      </c>
    </row>
    <row r="272" ht="12.75" customHeight="1">
      <c r="A272" s="84" t="s">
        <v>4285</v>
      </c>
      <c r="B272" s="84">
        <v>0.0</v>
      </c>
      <c r="C272" s="84">
        <v>0.0</v>
      </c>
      <c r="D272" s="84">
        <v>0.0</v>
      </c>
      <c r="E272" s="84">
        <v>0.0</v>
      </c>
      <c r="F272" s="84">
        <v>0.0</v>
      </c>
      <c r="G272" s="84">
        <v>0.0</v>
      </c>
      <c r="H272" s="84">
        <v>0.0</v>
      </c>
      <c r="I272" s="91">
        <v>0.0024242424242424242</v>
      </c>
      <c r="J272" s="84">
        <v>0.0</v>
      </c>
      <c r="K272" s="84">
        <v>0.0</v>
      </c>
      <c r="L272" s="84">
        <v>0.0</v>
      </c>
      <c r="M272" s="84">
        <v>0.0</v>
      </c>
      <c r="N272" s="84">
        <v>0.0</v>
      </c>
      <c r="O272" s="84">
        <v>0.0</v>
      </c>
      <c r="P272" s="84">
        <v>0.0</v>
      </c>
      <c r="Q272" s="84">
        <v>0.0</v>
      </c>
      <c r="R272" s="84">
        <v>0.0</v>
      </c>
      <c r="S272" s="84">
        <v>0.0</v>
      </c>
      <c r="T272" s="84">
        <v>0.0</v>
      </c>
      <c r="U272" s="84">
        <v>0.0</v>
      </c>
      <c r="V272" s="84">
        <v>0.0</v>
      </c>
      <c r="W272" s="84">
        <v>0.0</v>
      </c>
      <c r="X272" s="84">
        <v>0.0</v>
      </c>
      <c r="Y272" s="84">
        <v>0.0</v>
      </c>
      <c r="Z272" s="84">
        <v>0.0</v>
      </c>
      <c r="AA272" s="84">
        <v>0.0</v>
      </c>
      <c r="AB272" s="84">
        <v>0.0</v>
      </c>
      <c r="AC272" s="91">
        <v>0.0</v>
      </c>
      <c r="AD272" s="84">
        <v>0.0</v>
      </c>
      <c r="AE272" s="84">
        <v>0.0</v>
      </c>
      <c r="AF272" s="84">
        <v>0.0</v>
      </c>
      <c r="AG272" s="84">
        <v>0.0</v>
      </c>
      <c r="AH272" s="84">
        <v>0.0</v>
      </c>
      <c r="AI272" s="84">
        <v>0.0</v>
      </c>
      <c r="AJ272" s="84">
        <v>0.0</v>
      </c>
      <c r="AK272" s="84">
        <v>0.0</v>
      </c>
      <c r="AL272" s="84">
        <v>0.0</v>
      </c>
      <c r="AM272" s="84">
        <v>0.0</v>
      </c>
      <c r="AN272" s="93">
        <f t="shared" si="1"/>
        <v>0.002424242424</v>
      </c>
      <c r="AO272" s="84">
        <f t="shared" si="2"/>
        <v>0</v>
      </c>
    </row>
    <row r="273" ht="12.75" customHeight="1">
      <c r="A273" s="84" t="s">
        <v>4276</v>
      </c>
      <c r="B273" s="84">
        <v>0.0</v>
      </c>
      <c r="C273" s="84">
        <v>0.0</v>
      </c>
      <c r="D273" s="84">
        <v>0.0</v>
      </c>
      <c r="E273" s="84">
        <v>0.0</v>
      </c>
      <c r="F273" s="84">
        <v>0.0</v>
      </c>
      <c r="G273" s="84">
        <v>0.0</v>
      </c>
      <c r="H273" s="84">
        <v>0.0</v>
      </c>
      <c r="I273" s="91">
        <v>0.0024242424242424242</v>
      </c>
      <c r="J273" s="84">
        <v>0.0</v>
      </c>
      <c r="K273" s="84">
        <v>0.0</v>
      </c>
      <c r="L273" s="84">
        <v>0.0</v>
      </c>
      <c r="M273" s="84">
        <v>0.0</v>
      </c>
      <c r="N273" s="84">
        <v>0.0</v>
      </c>
      <c r="O273" s="84">
        <v>0.0</v>
      </c>
      <c r="P273" s="84">
        <v>0.0</v>
      </c>
      <c r="Q273" s="84">
        <v>0.0</v>
      </c>
      <c r="R273" s="84">
        <v>0.0</v>
      </c>
      <c r="S273" s="84">
        <v>0.0</v>
      </c>
      <c r="T273" s="84">
        <v>0.0</v>
      </c>
      <c r="U273" s="84">
        <v>0.0</v>
      </c>
      <c r="V273" s="84">
        <v>0.0</v>
      </c>
      <c r="W273" s="84">
        <v>0.0</v>
      </c>
      <c r="X273" s="84">
        <v>0.0</v>
      </c>
      <c r="Y273" s="84">
        <v>0.0</v>
      </c>
      <c r="Z273" s="84">
        <v>0.0</v>
      </c>
      <c r="AA273" s="84">
        <v>0.0</v>
      </c>
      <c r="AB273" s="84">
        <v>0.0</v>
      </c>
      <c r="AC273" s="91">
        <v>0.0038314176245210726</v>
      </c>
      <c r="AD273" s="84">
        <v>0.0</v>
      </c>
      <c r="AE273" s="84">
        <v>0.0</v>
      </c>
      <c r="AF273" s="84">
        <v>0.0</v>
      </c>
      <c r="AG273" s="84">
        <v>0.0</v>
      </c>
      <c r="AH273" s="84">
        <v>0.0</v>
      </c>
      <c r="AI273" s="84">
        <v>0.0</v>
      </c>
      <c r="AJ273" s="84">
        <v>0.0</v>
      </c>
      <c r="AK273" s="84">
        <v>0.0</v>
      </c>
      <c r="AL273" s="84">
        <v>0.0</v>
      </c>
      <c r="AM273" s="84">
        <v>0.0</v>
      </c>
      <c r="AN273" s="93">
        <f t="shared" si="1"/>
        <v>0.006255660049</v>
      </c>
      <c r="AO273" s="84">
        <f t="shared" si="2"/>
        <v>0</v>
      </c>
    </row>
    <row r="274" ht="12.75" customHeight="1">
      <c r="A274" s="84" t="s">
        <v>4299</v>
      </c>
      <c r="B274" s="84">
        <v>0.0</v>
      </c>
      <c r="C274" s="84">
        <v>0.0</v>
      </c>
      <c r="D274" s="84">
        <v>0.0</v>
      </c>
      <c r="E274" s="84">
        <v>0.0</v>
      </c>
      <c r="F274" s="84">
        <v>0.0</v>
      </c>
      <c r="G274" s="84">
        <v>0.0</v>
      </c>
      <c r="H274" s="84">
        <v>0.0</v>
      </c>
      <c r="I274" s="91">
        <v>0.0024242424242424242</v>
      </c>
      <c r="J274" s="84">
        <v>0.0</v>
      </c>
      <c r="K274" s="84">
        <v>0.0</v>
      </c>
      <c r="L274" s="84">
        <v>0.0</v>
      </c>
      <c r="M274" s="84">
        <v>0.0</v>
      </c>
      <c r="N274" s="84">
        <v>0.0</v>
      </c>
      <c r="O274" s="84">
        <v>0.0</v>
      </c>
      <c r="P274" s="84">
        <v>0.0</v>
      </c>
      <c r="Q274" s="84">
        <v>0.0</v>
      </c>
      <c r="R274" s="84">
        <v>0.0</v>
      </c>
      <c r="S274" s="84">
        <v>0.0</v>
      </c>
      <c r="T274" s="84">
        <v>0.0</v>
      </c>
      <c r="U274" s="84">
        <v>0.0</v>
      </c>
      <c r="V274" s="84">
        <v>0.0</v>
      </c>
      <c r="W274" s="84">
        <v>0.0</v>
      </c>
      <c r="X274" s="84">
        <v>0.0</v>
      </c>
      <c r="Y274" s="84">
        <v>0.0</v>
      </c>
      <c r="Z274" s="84">
        <v>0.0</v>
      </c>
      <c r="AA274" s="84">
        <v>0.0</v>
      </c>
      <c r="AB274" s="84">
        <v>0.0</v>
      </c>
      <c r="AC274" s="91">
        <v>0.0</v>
      </c>
      <c r="AD274" s="84">
        <v>0.0</v>
      </c>
      <c r="AE274" s="84">
        <v>0.0</v>
      </c>
      <c r="AF274" s="84">
        <v>0.0</v>
      </c>
      <c r="AG274" s="84">
        <v>0.0</v>
      </c>
      <c r="AH274" s="84">
        <v>0.0</v>
      </c>
      <c r="AI274" s="84">
        <v>0.0</v>
      </c>
      <c r="AJ274" s="84">
        <v>0.0</v>
      </c>
      <c r="AK274" s="84">
        <v>0.0</v>
      </c>
      <c r="AL274" s="84">
        <v>0.0</v>
      </c>
      <c r="AM274" s="84">
        <v>0.0</v>
      </c>
      <c r="AN274" s="93">
        <f t="shared" si="1"/>
        <v>0.002424242424</v>
      </c>
      <c r="AO274" s="84">
        <f t="shared" si="2"/>
        <v>0</v>
      </c>
    </row>
    <row r="275" ht="12.75" customHeight="1">
      <c r="A275" s="84" t="s">
        <v>4165</v>
      </c>
      <c r="B275" s="84">
        <v>0.0</v>
      </c>
      <c r="C275" s="84">
        <v>0.0</v>
      </c>
      <c r="D275" s="84">
        <v>0.0</v>
      </c>
      <c r="E275" s="84">
        <v>0.0</v>
      </c>
      <c r="F275" s="84">
        <v>0.0</v>
      </c>
      <c r="G275" s="84">
        <v>0.0</v>
      </c>
      <c r="H275" s="84">
        <v>0.0</v>
      </c>
      <c r="I275" s="91">
        <v>0.0024242424242424242</v>
      </c>
      <c r="J275" s="84">
        <v>0.0</v>
      </c>
      <c r="K275" s="84">
        <v>0.0</v>
      </c>
      <c r="L275" s="84">
        <v>0.0</v>
      </c>
      <c r="M275" s="84">
        <v>0.0</v>
      </c>
      <c r="N275" s="84">
        <v>0.0</v>
      </c>
      <c r="O275" s="84">
        <v>0.0</v>
      </c>
      <c r="P275" s="84">
        <v>0.0</v>
      </c>
      <c r="Q275" s="84">
        <v>0.0</v>
      </c>
      <c r="R275" s="84">
        <v>0.0</v>
      </c>
      <c r="S275" s="84">
        <v>0.0</v>
      </c>
      <c r="T275" s="84">
        <v>0.0</v>
      </c>
      <c r="U275" s="84">
        <v>0.0</v>
      </c>
      <c r="V275" s="84">
        <v>0.0</v>
      </c>
      <c r="W275" s="84">
        <v>0.0</v>
      </c>
      <c r="X275" s="84">
        <v>0.0</v>
      </c>
      <c r="Y275" s="84">
        <v>0.0</v>
      </c>
      <c r="Z275" s="84">
        <v>0.0</v>
      </c>
      <c r="AA275" s="84">
        <v>0.0</v>
      </c>
      <c r="AB275" s="84">
        <v>0.0</v>
      </c>
      <c r="AC275" s="91">
        <v>0.002554278416347382</v>
      </c>
      <c r="AD275" s="84">
        <v>0.0</v>
      </c>
      <c r="AE275" s="84">
        <v>0.0</v>
      </c>
      <c r="AF275" s="84">
        <v>0.0</v>
      </c>
      <c r="AG275" s="84">
        <v>0.0</v>
      </c>
      <c r="AH275" s="84">
        <v>0.0</v>
      </c>
      <c r="AI275" s="84">
        <v>0.0</v>
      </c>
      <c r="AJ275" s="84">
        <v>0.0</v>
      </c>
      <c r="AK275" s="84">
        <v>0.0</v>
      </c>
      <c r="AL275" s="84">
        <v>0.0</v>
      </c>
      <c r="AM275" s="84">
        <v>0.0</v>
      </c>
      <c r="AN275" s="93">
        <f t="shared" si="1"/>
        <v>0.004978520841</v>
      </c>
      <c r="AO275" s="84">
        <f t="shared" si="2"/>
        <v>0</v>
      </c>
    </row>
    <row r="276" ht="12.75" customHeight="1">
      <c r="A276" s="84" t="s">
        <v>4297</v>
      </c>
      <c r="B276" s="84">
        <v>0.0</v>
      </c>
      <c r="C276" s="84">
        <v>0.0</v>
      </c>
      <c r="D276" s="84">
        <v>0.0</v>
      </c>
      <c r="E276" s="84">
        <v>0.0</v>
      </c>
      <c r="F276" s="84">
        <v>0.0</v>
      </c>
      <c r="G276" s="84">
        <v>0.0</v>
      </c>
      <c r="H276" s="84">
        <v>0.0</v>
      </c>
      <c r="I276" s="91">
        <v>0.0024242424242424242</v>
      </c>
      <c r="J276" s="84">
        <v>0.0</v>
      </c>
      <c r="K276" s="84">
        <v>0.0</v>
      </c>
      <c r="L276" s="84">
        <v>0.0</v>
      </c>
      <c r="M276" s="84">
        <v>0.0</v>
      </c>
      <c r="N276" s="84">
        <v>0.0</v>
      </c>
      <c r="O276" s="84">
        <v>0.0</v>
      </c>
      <c r="P276" s="84">
        <v>0.0</v>
      </c>
      <c r="Q276" s="84">
        <v>0.0</v>
      </c>
      <c r="R276" s="84">
        <v>0.0</v>
      </c>
      <c r="S276" s="84">
        <v>0.0</v>
      </c>
      <c r="T276" s="84">
        <v>0.0</v>
      </c>
      <c r="U276" s="84">
        <v>0.0</v>
      </c>
      <c r="V276" s="84">
        <v>0.0</v>
      </c>
      <c r="W276" s="84">
        <v>0.0</v>
      </c>
      <c r="X276" s="84">
        <v>0.0</v>
      </c>
      <c r="Y276" s="84">
        <v>0.0</v>
      </c>
      <c r="Z276" s="84">
        <v>0.0</v>
      </c>
      <c r="AA276" s="84">
        <v>0.0</v>
      </c>
      <c r="AB276" s="84">
        <v>0.0</v>
      </c>
      <c r="AC276" s="91">
        <v>0.0</v>
      </c>
      <c r="AD276" s="84">
        <v>0.0</v>
      </c>
      <c r="AE276" s="84">
        <v>0.0</v>
      </c>
      <c r="AF276" s="84">
        <v>0.0</v>
      </c>
      <c r="AG276" s="84">
        <v>0.0</v>
      </c>
      <c r="AH276" s="84">
        <v>0.0</v>
      </c>
      <c r="AI276" s="84">
        <v>0.0</v>
      </c>
      <c r="AJ276" s="84">
        <v>0.0</v>
      </c>
      <c r="AK276" s="84">
        <v>0.0</v>
      </c>
      <c r="AL276" s="84">
        <v>0.0</v>
      </c>
      <c r="AM276" s="84">
        <v>0.0</v>
      </c>
      <c r="AN276" s="93">
        <f t="shared" si="1"/>
        <v>0.002424242424</v>
      </c>
      <c r="AO276" s="84">
        <f t="shared" si="2"/>
        <v>0</v>
      </c>
    </row>
    <row r="277" ht="12.75" customHeight="1">
      <c r="A277" s="84" t="s">
        <v>4290</v>
      </c>
      <c r="B277" s="84">
        <v>0.0</v>
      </c>
      <c r="C277" s="84">
        <v>0.0</v>
      </c>
      <c r="D277" s="84">
        <v>0.0</v>
      </c>
      <c r="E277" s="84">
        <v>0.0</v>
      </c>
      <c r="F277" s="84">
        <v>0.0</v>
      </c>
      <c r="G277" s="84">
        <v>0.0</v>
      </c>
      <c r="H277" s="84">
        <v>0.0</v>
      </c>
      <c r="I277" s="91">
        <v>0.0024242424242424242</v>
      </c>
      <c r="J277" s="84">
        <v>0.0</v>
      </c>
      <c r="K277" s="84">
        <v>0.0</v>
      </c>
      <c r="L277" s="84">
        <v>0.0</v>
      </c>
      <c r="M277" s="84">
        <v>0.0</v>
      </c>
      <c r="N277" s="84">
        <v>0.0</v>
      </c>
      <c r="O277" s="84">
        <v>0.0</v>
      </c>
      <c r="P277" s="84">
        <v>0.0</v>
      </c>
      <c r="Q277" s="84">
        <v>0.0</v>
      </c>
      <c r="R277" s="84">
        <v>0.0</v>
      </c>
      <c r="S277" s="84">
        <v>0.0</v>
      </c>
      <c r="T277" s="84">
        <v>0.0</v>
      </c>
      <c r="U277" s="84">
        <v>0.0</v>
      </c>
      <c r="V277" s="84">
        <v>0.0</v>
      </c>
      <c r="W277" s="84">
        <v>0.0</v>
      </c>
      <c r="X277" s="84">
        <v>0.0</v>
      </c>
      <c r="Y277" s="84">
        <v>0.0</v>
      </c>
      <c r="Z277" s="84">
        <v>0.0</v>
      </c>
      <c r="AA277" s="84">
        <v>0.0</v>
      </c>
      <c r="AB277" s="84">
        <v>0.0</v>
      </c>
      <c r="AC277" s="91">
        <v>0.0</v>
      </c>
      <c r="AD277" s="84">
        <v>0.0</v>
      </c>
      <c r="AE277" s="84">
        <v>0.0</v>
      </c>
      <c r="AF277" s="84">
        <v>0.0</v>
      </c>
      <c r="AG277" s="84">
        <v>0.0</v>
      </c>
      <c r="AH277" s="84">
        <v>0.0</v>
      </c>
      <c r="AI277" s="84">
        <v>0.0</v>
      </c>
      <c r="AJ277" s="84">
        <v>0.0</v>
      </c>
      <c r="AK277" s="84">
        <v>0.0</v>
      </c>
      <c r="AL277" s="84">
        <v>0.0</v>
      </c>
      <c r="AM277" s="84">
        <v>0.0</v>
      </c>
      <c r="AN277" s="93">
        <f t="shared" si="1"/>
        <v>0.002424242424</v>
      </c>
      <c r="AO277" s="84">
        <f t="shared" si="2"/>
        <v>0</v>
      </c>
    </row>
    <row r="278" ht="12.75" customHeight="1">
      <c r="A278" s="84" t="s">
        <v>3975</v>
      </c>
      <c r="B278" s="84">
        <v>0.0</v>
      </c>
      <c r="C278" s="84">
        <v>0.0</v>
      </c>
      <c r="D278" s="84">
        <v>0.0</v>
      </c>
      <c r="E278" s="84">
        <v>0.0</v>
      </c>
      <c r="F278" s="84">
        <v>0.0</v>
      </c>
      <c r="G278" s="84">
        <v>0.0</v>
      </c>
      <c r="H278" s="84">
        <v>0.0</v>
      </c>
      <c r="I278" s="91">
        <v>0.0024242424242424242</v>
      </c>
      <c r="J278" s="84">
        <v>0.0</v>
      </c>
      <c r="K278" s="84">
        <v>0.0</v>
      </c>
      <c r="L278" s="84">
        <v>0.0</v>
      </c>
      <c r="M278" s="84">
        <v>0.0</v>
      </c>
      <c r="N278" s="84">
        <v>0.0</v>
      </c>
      <c r="O278" s="84">
        <v>0.0</v>
      </c>
      <c r="P278" s="84">
        <v>0.0</v>
      </c>
      <c r="Q278" s="84">
        <v>0.0</v>
      </c>
      <c r="R278" s="84">
        <v>0.0</v>
      </c>
      <c r="S278" s="84">
        <v>0.0</v>
      </c>
      <c r="T278" s="84">
        <v>0.0</v>
      </c>
      <c r="U278" s="84">
        <v>0.0</v>
      </c>
      <c r="V278" s="84">
        <v>0.0</v>
      </c>
      <c r="W278" s="84">
        <v>0.0</v>
      </c>
      <c r="X278" s="84">
        <v>0.0</v>
      </c>
      <c r="Y278" s="84">
        <v>0.0</v>
      </c>
      <c r="Z278" s="84">
        <v>0.0</v>
      </c>
      <c r="AA278" s="84">
        <v>0.0</v>
      </c>
      <c r="AB278" s="84">
        <v>0.0</v>
      </c>
      <c r="AC278" s="91">
        <v>0.002554278416347382</v>
      </c>
      <c r="AD278" s="84">
        <v>0.0</v>
      </c>
      <c r="AE278" s="84">
        <v>0.0</v>
      </c>
      <c r="AF278" s="84">
        <v>0.0</v>
      </c>
      <c r="AG278" s="84">
        <v>0.0</v>
      </c>
      <c r="AH278" s="84">
        <v>0.0</v>
      </c>
      <c r="AI278" s="84">
        <v>0.0</v>
      </c>
      <c r="AJ278" s="84">
        <v>0.0</v>
      </c>
      <c r="AK278" s="84">
        <v>0.0</v>
      </c>
      <c r="AL278" s="84">
        <v>0.0</v>
      </c>
      <c r="AM278" s="84">
        <v>0.0</v>
      </c>
      <c r="AN278" s="93">
        <f t="shared" si="1"/>
        <v>0.004978520841</v>
      </c>
      <c r="AO278" s="84">
        <f t="shared" si="2"/>
        <v>0</v>
      </c>
    </row>
    <row r="279" ht="12.75" customHeight="1">
      <c r="A279" s="84" t="s">
        <v>4057</v>
      </c>
      <c r="B279" s="84">
        <v>0.0</v>
      </c>
      <c r="C279" s="84">
        <v>0.0</v>
      </c>
      <c r="D279" s="84">
        <v>0.0</v>
      </c>
      <c r="E279" s="84">
        <v>0.0</v>
      </c>
      <c r="F279" s="84">
        <v>0.0</v>
      </c>
      <c r="G279" s="84">
        <v>0.0</v>
      </c>
      <c r="H279" s="84">
        <v>0.0</v>
      </c>
      <c r="I279" s="91">
        <v>0.0024242424242424242</v>
      </c>
      <c r="J279" s="84">
        <v>0.0</v>
      </c>
      <c r="K279" s="84">
        <v>0.0</v>
      </c>
      <c r="L279" s="84">
        <v>0.0</v>
      </c>
      <c r="M279" s="84">
        <v>0.0</v>
      </c>
      <c r="N279" s="84">
        <v>0.0</v>
      </c>
      <c r="O279" s="84">
        <v>0.0</v>
      </c>
      <c r="P279" s="84">
        <v>0.0</v>
      </c>
      <c r="Q279" s="84">
        <v>0.0</v>
      </c>
      <c r="R279" s="84">
        <v>0.0</v>
      </c>
      <c r="S279" s="84">
        <v>0.0</v>
      </c>
      <c r="T279" s="84">
        <v>0.0</v>
      </c>
      <c r="U279" s="84">
        <v>0.0</v>
      </c>
      <c r="V279" s="84">
        <v>0.0</v>
      </c>
      <c r="W279" s="84">
        <v>0.0</v>
      </c>
      <c r="X279" s="84">
        <v>0.0</v>
      </c>
      <c r="Y279" s="84">
        <v>0.0</v>
      </c>
      <c r="Z279" s="84">
        <v>0.0</v>
      </c>
      <c r="AA279" s="84">
        <v>0.0</v>
      </c>
      <c r="AB279" s="84">
        <v>1.0</v>
      </c>
      <c r="AC279" s="91">
        <v>0.002554278416347382</v>
      </c>
      <c r="AD279" s="84">
        <v>0.0</v>
      </c>
      <c r="AE279" s="84">
        <v>0.0</v>
      </c>
      <c r="AF279" s="84">
        <v>0.0</v>
      </c>
      <c r="AG279" s="84">
        <v>0.0</v>
      </c>
      <c r="AH279" s="84">
        <v>0.0</v>
      </c>
      <c r="AI279" s="84">
        <v>0.0</v>
      </c>
      <c r="AJ279" s="84">
        <v>0.0</v>
      </c>
      <c r="AK279" s="84">
        <v>0.0</v>
      </c>
      <c r="AL279" s="84">
        <v>0.0</v>
      </c>
      <c r="AM279" s="84">
        <v>0.0</v>
      </c>
      <c r="AN279" s="93">
        <f t="shared" si="1"/>
        <v>0.004978520841</v>
      </c>
      <c r="AO279" s="84">
        <f t="shared" si="2"/>
        <v>0</v>
      </c>
    </row>
    <row r="280" ht="12.75" customHeight="1">
      <c r="A280" s="84" t="s">
        <v>4291</v>
      </c>
      <c r="B280" s="84">
        <v>0.0</v>
      </c>
      <c r="C280" s="84">
        <v>0.0</v>
      </c>
      <c r="D280" s="84">
        <v>0.0</v>
      </c>
      <c r="E280" s="84">
        <v>0.0</v>
      </c>
      <c r="F280" s="84">
        <v>0.0</v>
      </c>
      <c r="G280" s="84">
        <v>0.0</v>
      </c>
      <c r="H280" s="84">
        <v>0.0</v>
      </c>
      <c r="I280" s="91">
        <v>0.0024242424242424242</v>
      </c>
      <c r="J280" s="84">
        <v>0.0</v>
      </c>
      <c r="K280" s="84">
        <v>0.0</v>
      </c>
      <c r="L280" s="84">
        <v>0.0</v>
      </c>
      <c r="M280" s="84">
        <v>0.0</v>
      </c>
      <c r="N280" s="84">
        <v>0.0</v>
      </c>
      <c r="O280" s="84">
        <v>0.0</v>
      </c>
      <c r="P280" s="84">
        <v>0.0</v>
      </c>
      <c r="Q280" s="84">
        <v>0.0</v>
      </c>
      <c r="R280" s="84">
        <v>0.0</v>
      </c>
      <c r="S280" s="84">
        <v>0.0</v>
      </c>
      <c r="T280" s="84">
        <v>0.0</v>
      </c>
      <c r="U280" s="84">
        <v>0.0</v>
      </c>
      <c r="V280" s="84">
        <v>0.0</v>
      </c>
      <c r="W280" s="84">
        <v>0.0</v>
      </c>
      <c r="X280" s="84">
        <v>0.0</v>
      </c>
      <c r="Y280" s="84">
        <v>0.0</v>
      </c>
      <c r="Z280" s="84">
        <v>0.0</v>
      </c>
      <c r="AA280" s="84">
        <v>0.0</v>
      </c>
      <c r="AB280" s="84">
        <v>0.0</v>
      </c>
      <c r="AC280" s="91">
        <v>0.0</v>
      </c>
      <c r="AD280" s="84">
        <v>0.0</v>
      </c>
      <c r="AE280" s="84">
        <v>0.0</v>
      </c>
      <c r="AF280" s="84">
        <v>0.0</v>
      </c>
      <c r="AG280" s="84">
        <v>0.0</v>
      </c>
      <c r="AH280" s="84">
        <v>0.0</v>
      </c>
      <c r="AI280" s="84">
        <v>0.0</v>
      </c>
      <c r="AJ280" s="84">
        <v>0.0</v>
      </c>
      <c r="AK280" s="84">
        <v>0.0</v>
      </c>
      <c r="AL280" s="84">
        <v>0.0</v>
      </c>
      <c r="AM280" s="84">
        <v>0.0</v>
      </c>
      <c r="AN280" s="93">
        <f t="shared" si="1"/>
        <v>0.002424242424</v>
      </c>
      <c r="AO280" s="84">
        <f t="shared" si="2"/>
        <v>0</v>
      </c>
    </row>
    <row r="281" ht="12.75" customHeight="1">
      <c r="A281" s="84" t="s">
        <v>4311</v>
      </c>
      <c r="B281" s="84">
        <v>0.0</v>
      </c>
      <c r="C281" s="84">
        <v>0.0</v>
      </c>
      <c r="D281" s="84">
        <v>0.0</v>
      </c>
      <c r="E281" s="84">
        <v>0.0</v>
      </c>
      <c r="F281" s="84">
        <v>0.0</v>
      </c>
      <c r="G281" s="84">
        <v>0.0</v>
      </c>
      <c r="H281" s="84">
        <v>0.0</v>
      </c>
      <c r="I281" s="91">
        <v>0.0024242424242424242</v>
      </c>
      <c r="J281" s="84">
        <v>0.0</v>
      </c>
      <c r="K281" s="84">
        <v>0.0</v>
      </c>
      <c r="L281" s="84">
        <v>0.0</v>
      </c>
      <c r="M281" s="84">
        <v>0.0</v>
      </c>
      <c r="N281" s="84">
        <v>0.0</v>
      </c>
      <c r="O281" s="84">
        <v>0.0</v>
      </c>
      <c r="P281" s="84">
        <v>0.0</v>
      </c>
      <c r="Q281" s="84">
        <v>0.0</v>
      </c>
      <c r="R281" s="84">
        <v>0.0</v>
      </c>
      <c r="S281" s="84">
        <v>0.0</v>
      </c>
      <c r="T281" s="84">
        <v>0.0</v>
      </c>
      <c r="U281" s="84">
        <v>0.0</v>
      </c>
      <c r="V281" s="84">
        <v>0.0</v>
      </c>
      <c r="W281" s="84">
        <v>0.0</v>
      </c>
      <c r="X281" s="84">
        <v>0.0</v>
      </c>
      <c r="Y281" s="84">
        <v>0.0</v>
      </c>
      <c r="Z281" s="84">
        <v>0.0</v>
      </c>
      <c r="AA281" s="84">
        <v>0.0</v>
      </c>
      <c r="AB281" s="84">
        <v>0.0</v>
      </c>
      <c r="AC281" s="91">
        <v>0.0</v>
      </c>
      <c r="AD281" s="84">
        <v>0.0</v>
      </c>
      <c r="AE281" s="84">
        <v>0.0</v>
      </c>
      <c r="AF281" s="84">
        <v>0.0</v>
      </c>
      <c r="AG281" s="84">
        <v>0.0</v>
      </c>
      <c r="AH281" s="84">
        <v>0.0</v>
      </c>
      <c r="AI281" s="84">
        <v>0.0</v>
      </c>
      <c r="AJ281" s="84">
        <v>0.0</v>
      </c>
      <c r="AK281" s="84">
        <v>0.0</v>
      </c>
      <c r="AL281" s="84">
        <v>0.0</v>
      </c>
      <c r="AM281" s="84">
        <v>0.0</v>
      </c>
      <c r="AN281" s="93">
        <f t="shared" si="1"/>
        <v>0.002424242424</v>
      </c>
      <c r="AO281" s="84">
        <f t="shared" si="2"/>
        <v>0</v>
      </c>
    </row>
    <row r="282" ht="12.75" customHeight="1">
      <c r="A282" s="84" t="s">
        <v>4445</v>
      </c>
      <c r="B282" s="84">
        <v>0.0</v>
      </c>
      <c r="C282" s="84">
        <v>0.0</v>
      </c>
      <c r="D282" s="84">
        <v>0.0</v>
      </c>
      <c r="E282" s="84">
        <v>0.0</v>
      </c>
      <c r="F282" s="84">
        <v>0.0</v>
      </c>
      <c r="G282" s="84">
        <v>0.0</v>
      </c>
      <c r="H282" s="84">
        <v>0.0</v>
      </c>
      <c r="I282" s="91">
        <v>0.0024242424242424242</v>
      </c>
      <c r="J282" s="84">
        <v>0.0</v>
      </c>
      <c r="K282" s="84">
        <v>0.0</v>
      </c>
      <c r="L282" s="84">
        <v>1.0</v>
      </c>
      <c r="M282" s="84">
        <v>0.0</v>
      </c>
      <c r="N282" s="84">
        <v>0.0</v>
      </c>
      <c r="O282" s="84">
        <v>0.0</v>
      </c>
      <c r="P282" s="84">
        <v>0.0</v>
      </c>
      <c r="Q282" s="84">
        <v>0.0</v>
      </c>
      <c r="R282" s="84">
        <v>0.0</v>
      </c>
      <c r="S282" s="84">
        <v>0.0</v>
      </c>
      <c r="T282" s="84">
        <v>0.0</v>
      </c>
      <c r="U282" s="84">
        <v>0.0</v>
      </c>
      <c r="V282" s="84">
        <v>0.0</v>
      </c>
      <c r="W282" s="84">
        <v>0.0</v>
      </c>
      <c r="X282" s="84">
        <v>0.0</v>
      </c>
      <c r="Y282" s="84">
        <v>0.0</v>
      </c>
      <c r="Z282" s="84">
        <v>0.0</v>
      </c>
      <c r="AA282" s="84">
        <v>0.0</v>
      </c>
      <c r="AB282" s="84">
        <v>0.0</v>
      </c>
      <c r="AC282" s="91">
        <v>0.0</v>
      </c>
      <c r="AD282" s="84">
        <v>0.0</v>
      </c>
      <c r="AE282" s="84">
        <v>0.0</v>
      </c>
      <c r="AF282" s="84">
        <v>0.0</v>
      </c>
      <c r="AG282" s="84">
        <v>0.0</v>
      </c>
      <c r="AH282" s="84">
        <v>0.0</v>
      </c>
      <c r="AI282" s="84">
        <v>0.0</v>
      </c>
      <c r="AJ282" s="84">
        <v>0.0</v>
      </c>
      <c r="AK282" s="84">
        <v>0.0</v>
      </c>
      <c r="AL282" s="84">
        <v>0.0</v>
      </c>
      <c r="AM282" s="84">
        <v>0.0</v>
      </c>
      <c r="AN282" s="93">
        <f t="shared" si="1"/>
        <v>0.002424242424</v>
      </c>
      <c r="AO282" s="84">
        <f t="shared" si="2"/>
        <v>1</v>
      </c>
    </row>
    <row r="283" ht="12.75" customHeight="1">
      <c r="A283" s="84" t="s">
        <v>3984</v>
      </c>
      <c r="B283" s="84">
        <v>0.0</v>
      </c>
      <c r="C283" s="84">
        <v>0.0</v>
      </c>
      <c r="D283" s="84">
        <v>0.0</v>
      </c>
      <c r="E283" s="84">
        <v>0.0</v>
      </c>
      <c r="F283" s="84">
        <v>0.0</v>
      </c>
      <c r="G283" s="84">
        <v>0.0</v>
      </c>
      <c r="H283" s="84">
        <v>0.0</v>
      </c>
      <c r="I283" s="91">
        <v>0.0024242424242424242</v>
      </c>
      <c r="J283" s="84">
        <v>0.0</v>
      </c>
      <c r="K283" s="84">
        <v>0.0</v>
      </c>
      <c r="L283" s="84">
        <v>0.0</v>
      </c>
      <c r="M283" s="84">
        <v>0.0</v>
      </c>
      <c r="N283" s="84">
        <v>0.0</v>
      </c>
      <c r="O283" s="84">
        <v>0.0</v>
      </c>
      <c r="P283" s="84">
        <v>0.0</v>
      </c>
      <c r="Q283" s="84">
        <v>0.0</v>
      </c>
      <c r="R283" s="84">
        <v>0.0</v>
      </c>
      <c r="S283" s="84">
        <v>0.0</v>
      </c>
      <c r="T283" s="84">
        <v>0.0</v>
      </c>
      <c r="U283" s="84">
        <v>0.0</v>
      </c>
      <c r="V283" s="84">
        <v>0.0</v>
      </c>
      <c r="W283" s="84">
        <v>0.0</v>
      </c>
      <c r="X283" s="84">
        <v>0.0</v>
      </c>
      <c r="Y283" s="84">
        <v>0.0</v>
      </c>
      <c r="Z283" s="84">
        <v>0.0</v>
      </c>
      <c r="AA283" s="84">
        <v>0.0</v>
      </c>
      <c r="AB283" s="84">
        <v>0.0</v>
      </c>
      <c r="AC283" s="91">
        <v>0.002554278416347382</v>
      </c>
      <c r="AD283" s="84">
        <v>0.0</v>
      </c>
      <c r="AE283" s="84">
        <v>0.0</v>
      </c>
      <c r="AF283" s="84">
        <v>0.0</v>
      </c>
      <c r="AG283" s="84">
        <v>0.0</v>
      </c>
      <c r="AH283" s="84">
        <v>0.0</v>
      </c>
      <c r="AI283" s="84">
        <v>0.0</v>
      </c>
      <c r="AJ283" s="84">
        <v>0.0</v>
      </c>
      <c r="AK283" s="84">
        <v>0.0</v>
      </c>
      <c r="AL283" s="84">
        <v>0.0</v>
      </c>
      <c r="AM283" s="84">
        <v>0.0</v>
      </c>
      <c r="AN283" s="93">
        <f t="shared" si="1"/>
        <v>0.004978520841</v>
      </c>
      <c r="AO283" s="84">
        <f t="shared" si="2"/>
        <v>0</v>
      </c>
    </row>
    <row r="284" ht="12.75" customHeight="1">
      <c r="A284" s="84" t="s">
        <v>3992</v>
      </c>
      <c r="B284" s="84">
        <v>0.0</v>
      </c>
      <c r="C284" s="84">
        <v>0.0</v>
      </c>
      <c r="D284" s="84">
        <v>0.0</v>
      </c>
      <c r="E284" s="84">
        <v>0.0</v>
      </c>
      <c r="F284" s="84">
        <v>0.0</v>
      </c>
      <c r="G284" s="84">
        <v>0.0</v>
      </c>
      <c r="H284" s="84">
        <v>0.0</v>
      </c>
      <c r="I284" s="91">
        <v>0.0024242424242424242</v>
      </c>
      <c r="J284" s="84">
        <v>0.0</v>
      </c>
      <c r="K284" s="84">
        <v>0.0</v>
      </c>
      <c r="L284" s="84">
        <v>0.0</v>
      </c>
      <c r="M284" s="84">
        <v>0.0</v>
      </c>
      <c r="N284" s="84">
        <v>0.0</v>
      </c>
      <c r="O284" s="84">
        <v>0.0</v>
      </c>
      <c r="P284" s="84">
        <v>0.0</v>
      </c>
      <c r="Q284" s="84">
        <v>0.0</v>
      </c>
      <c r="R284" s="84">
        <v>0.0</v>
      </c>
      <c r="S284" s="84">
        <v>0.0</v>
      </c>
      <c r="T284" s="84">
        <v>0.0</v>
      </c>
      <c r="U284" s="84">
        <v>0.0</v>
      </c>
      <c r="V284" s="84">
        <v>0.0</v>
      </c>
      <c r="W284" s="84">
        <v>0.0</v>
      </c>
      <c r="X284" s="84">
        <v>0.0</v>
      </c>
      <c r="Y284" s="84">
        <v>0.0</v>
      </c>
      <c r="Z284" s="84">
        <v>0.0</v>
      </c>
      <c r="AA284" s="84">
        <v>0.0</v>
      </c>
      <c r="AB284" s="84">
        <v>0.0</v>
      </c>
      <c r="AC284" s="91">
        <v>0.002554278416347382</v>
      </c>
      <c r="AD284" s="84">
        <v>0.0</v>
      </c>
      <c r="AE284" s="84">
        <v>0.0</v>
      </c>
      <c r="AF284" s="84">
        <v>0.0</v>
      </c>
      <c r="AG284" s="84">
        <v>0.0</v>
      </c>
      <c r="AH284" s="84">
        <v>0.0</v>
      </c>
      <c r="AI284" s="84">
        <v>0.0</v>
      </c>
      <c r="AJ284" s="84">
        <v>0.0</v>
      </c>
      <c r="AK284" s="84">
        <v>0.0</v>
      </c>
      <c r="AL284" s="84">
        <v>0.0</v>
      </c>
      <c r="AM284" s="84">
        <v>0.0</v>
      </c>
      <c r="AN284" s="93">
        <f t="shared" si="1"/>
        <v>0.004978520841</v>
      </c>
      <c r="AO284" s="84">
        <f t="shared" si="2"/>
        <v>0</v>
      </c>
    </row>
    <row r="285" ht="12.75" customHeight="1">
      <c r="A285" s="84" t="s">
        <v>4321</v>
      </c>
      <c r="B285" s="84">
        <v>0.0</v>
      </c>
      <c r="C285" s="84">
        <v>0.0</v>
      </c>
      <c r="D285" s="84">
        <v>0.0</v>
      </c>
      <c r="E285" s="84">
        <v>0.0</v>
      </c>
      <c r="F285" s="84">
        <v>0.0</v>
      </c>
      <c r="G285" s="84">
        <v>0.0</v>
      </c>
      <c r="H285" s="84">
        <v>0.0</v>
      </c>
      <c r="I285" s="91">
        <v>0.0024242424242424242</v>
      </c>
      <c r="J285" s="84">
        <v>0.0</v>
      </c>
      <c r="K285" s="84">
        <v>0.0</v>
      </c>
      <c r="L285" s="84">
        <v>0.0</v>
      </c>
      <c r="M285" s="84">
        <v>0.0</v>
      </c>
      <c r="N285" s="84">
        <v>0.0</v>
      </c>
      <c r="O285" s="84">
        <v>0.0</v>
      </c>
      <c r="P285" s="84">
        <v>0.0</v>
      </c>
      <c r="Q285" s="84">
        <v>0.0</v>
      </c>
      <c r="R285" s="84">
        <v>0.0</v>
      </c>
      <c r="S285" s="84">
        <v>0.0</v>
      </c>
      <c r="T285" s="84">
        <v>0.0</v>
      </c>
      <c r="U285" s="84">
        <v>0.0</v>
      </c>
      <c r="V285" s="84">
        <v>0.0</v>
      </c>
      <c r="W285" s="84">
        <v>0.0</v>
      </c>
      <c r="X285" s="84">
        <v>0.0</v>
      </c>
      <c r="Y285" s="84">
        <v>0.0</v>
      </c>
      <c r="Z285" s="84">
        <v>0.0</v>
      </c>
      <c r="AA285" s="84">
        <v>0.0</v>
      </c>
      <c r="AB285" s="84">
        <v>0.0</v>
      </c>
      <c r="AC285" s="91">
        <v>0.0</v>
      </c>
      <c r="AD285" s="84">
        <v>0.0</v>
      </c>
      <c r="AE285" s="84">
        <v>0.0</v>
      </c>
      <c r="AF285" s="84">
        <v>0.0</v>
      </c>
      <c r="AG285" s="84">
        <v>0.0</v>
      </c>
      <c r="AH285" s="84">
        <v>0.0</v>
      </c>
      <c r="AI285" s="84">
        <v>0.0</v>
      </c>
      <c r="AJ285" s="84">
        <v>0.0</v>
      </c>
      <c r="AK285" s="84">
        <v>0.0</v>
      </c>
      <c r="AL285" s="84">
        <v>0.0</v>
      </c>
      <c r="AM285" s="84">
        <v>0.0</v>
      </c>
      <c r="AN285" s="93">
        <f t="shared" si="1"/>
        <v>0.002424242424</v>
      </c>
      <c r="AO285" s="84">
        <f t="shared" si="2"/>
        <v>0</v>
      </c>
    </row>
    <row r="286" ht="12.75" customHeight="1">
      <c r="A286" s="84" t="s">
        <v>4294</v>
      </c>
      <c r="B286" s="84">
        <v>0.0</v>
      </c>
      <c r="C286" s="84">
        <v>0.0</v>
      </c>
      <c r="D286" s="84">
        <v>0.0</v>
      </c>
      <c r="E286" s="84">
        <v>0.0</v>
      </c>
      <c r="F286" s="84">
        <v>0.0</v>
      </c>
      <c r="G286" s="84">
        <v>0.0</v>
      </c>
      <c r="H286" s="84">
        <v>0.0</v>
      </c>
      <c r="I286" s="91">
        <v>0.0024242424242424242</v>
      </c>
      <c r="J286" s="84">
        <v>0.0</v>
      </c>
      <c r="K286" s="84">
        <v>0.0</v>
      </c>
      <c r="L286" s="84">
        <v>0.0</v>
      </c>
      <c r="M286" s="84">
        <v>0.0</v>
      </c>
      <c r="N286" s="84">
        <v>0.0</v>
      </c>
      <c r="O286" s="84">
        <v>0.0</v>
      </c>
      <c r="P286" s="84">
        <v>0.0</v>
      </c>
      <c r="Q286" s="84">
        <v>0.0</v>
      </c>
      <c r="R286" s="84">
        <v>0.0</v>
      </c>
      <c r="S286" s="84">
        <v>0.0</v>
      </c>
      <c r="T286" s="84">
        <v>0.0</v>
      </c>
      <c r="U286" s="84">
        <v>0.0</v>
      </c>
      <c r="V286" s="84">
        <v>0.0</v>
      </c>
      <c r="W286" s="84">
        <v>0.0</v>
      </c>
      <c r="X286" s="84">
        <v>0.0</v>
      </c>
      <c r="Y286" s="84">
        <v>0.0</v>
      </c>
      <c r="Z286" s="84">
        <v>0.0</v>
      </c>
      <c r="AA286" s="84">
        <v>0.0</v>
      </c>
      <c r="AB286" s="84">
        <v>0.0</v>
      </c>
      <c r="AC286" s="91">
        <v>0.0</v>
      </c>
      <c r="AD286" s="84">
        <v>0.0</v>
      </c>
      <c r="AE286" s="84">
        <v>0.0</v>
      </c>
      <c r="AF286" s="84">
        <v>0.0</v>
      </c>
      <c r="AG286" s="84">
        <v>0.0</v>
      </c>
      <c r="AH286" s="84">
        <v>0.0</v>
      </c>
      <c r="AI286" s="84">
        <v>0.0</v>
      </c>
      <c r="AJ286" s="84">
        <v>0.0</v>
      </c>
      <c r="AK286" s="84">
        <v>0.0</v>
      </c>
      <c r="AL286" s="84">
        <v>0.0</v>
      </c>
      <c r="AM286" s="84">
        <v>0.0</v>
      </c>
      <c r="AN286" s="93">
        <f t="shared" si="1"/>
        <v>0.002424242424</v>
      </c>
      <c r="AO286" s="84">
        <f t="shared" si="2"/>
        <v>0</v>
      </c>
    </row>
    <row r="287" ht="12.75" customHeight="1">
      <c r="A287" s="84" t="s">
        <v>4417</v>
      </c>
      <c r="B287" s="84">
        <v>0.0</v>
      </c>
      <c r="C287" s="84">
        <v>0.0</v>
      </c>
      <c r="D287" s="84">
        <v>0.0</v>
      </c>
      <c r="E287" s="84">
        <v>0.0</v>
      </c>
      <c r="F287" s="84">
        <v>0.0</v>
      </c>
      <c r="G287" s="84">
        <v>0.0</v>
      </c>
      <c r="H287" s="84">
        <v>0.0</v>
      </c>
      <c r="I287" s="91">
        <v>0.0012121212121212121</v>
      </c>
      <c r="J287" s="84">
        <v>0.0</v>
      </c>
      <c r="K287" s="84">
        <v>0.0</v>
      </c>
      <c r="L287" s="84">
        <v>0.0</v>
      </c>
      <c r="M287" s="84">
        <v>0.0</v>
      </c>
      <c r="N287" s="84">
        <v>0.0</v>
      </c>
      <c r="O287" s="84">
        <v>0.0</v>
      </c>
      <c r="P287" s="84">
        <v>0.0</v>
      </c>
      <c r="Q287" s="84">
        <v>0.0</v>
      </c>
      <c r="R287" s="84">
        <v>0.0</v>
      </c>
      <c r="S287" s="84">
        <v>0.0</v>
      </c>
      <c r="T287" s="84">
        <v>0.0</v>
      </c>
      <c r="U287" s="84">
        <v>0.0</v>
      </c>
      <c r="V287" s="84">
        <v>0.0</v>
      </c>
      <c r="W287" s="84">
        <v>0.0</v>
      </c>
      <c r="X287" s="84">
        <v>0.0</v>
      </c>
      <c r="Y287" s="84">
        <v>0.0</v>
      </c>
      <c r="Z287" s="84">
        <v>0.0</v>
      </c>
      <c r="AA287" s="84">
        <v>0.0</v>
      </c>
      <c r="AB287" s="84">
        <v>0.0</v>
      </c>
      <c r="AC287" s="91">
        <v>0.007662835249042145</v>
      </c>
      <c r="AD287" s="84">
        <v>0.0</v>
      </c>
      <c r="AE287" s="84">
        <v>0.0</v>
      </c>
      <c r="AF287" s="84">
        <v>0.0</v>
      </c>
      <c r="AG287" s="84">
        <v>0.0</v>
      </c>
      <c r="AH287" s="84">
        <v>0.0</v>
      </c>
      <c r="AI287" s="84">
        <v>0.0</v>
      </c>
      <c r="AJ287" s="84">
        <v>0.0</v>
      </c>
      <c r="AK287" s="84">
        <v>0.0</v>
      </c>
      <c r="AL287" s="84">
        <v>0.0</v>
      </c>
      <c r="AM287" s="84">
        <v>0.0</v>
      </c>
      <c r="AN287" s="93">
        <f t="shared" si="1"/>
        <v>0.008874956461</v>
      </c>
      <c r="AO287" s="84">
        <f t="shared" si="2"/>
        <v>0</v>
      </c>
    </row>
    <row r="288" ht="12.75" customHeight="1">
      <c r="A288" s="84" t="s">
        <v>4432</v>
      </c>
      <c r="B288" s="84">
        <v>0.0</v>
      </c>
      <c r="C288" s="84">
        <v>0.0</v>
      </c>
      <c r="D288" s="84">
        <v>0.0</v>
      </c>
      <c r="E288" s="84">
        <v>0.0</v>
      </c>
      <c r="F288" s="84">
        <v>0.0</v>
      </c>
      <c r="G288" s="84">
        <v>0.0</v>
      </c>
      <c r="H288" s="84">
        <v>0.0</v>
      </c>
      <c r="I288" s="91">
        <v>0.0012121212121212121</v>
      </c>
      <c r="J288" s="84">
        <v>0.0</v>
      </c>
      <c r="K288" s="84">
        <v>0.0</v>
      </c>
      <c r="L288" s="84">
        <v>0.0</v>
      </c>
      <c r="M288" s="84">
        <v>0.0</v>
      </c>
      <c r="N288" s="84">
        <v>0.0</v>
      </c>
      <c r="O288" s="84">
        <v>0.0</v>
      </c>
      <c r="P288" s="84">
        <v>0.0</v>
      </c>
      <c r="Q288" s="84">
        <v>0.0</v>
      </c>
      <c r="R288" s="84">
        <v>0.0</v>
      </c>
      <c r="S288" s="84">
        <v>0.0</v>
      </c>
      <c r="T288" s="84">
        <v>0.0</v>
      </c>
      <c r="U288" s="84">
        <v>0.0</v>
      </c>
      <c r="V288" s="84">
        <v>0.0</v>
      </c>
      <c r="W288" s="84">
        <v>0.0</v>
      </c>
      <c r="X288" s="84">
        <v>0.0</v>
      </c>
      <c r="Y288" s="84">
        <v>0.0</v>
      </c>
      <c r="Z288" s="84">
        <v>0.0</v>
      </c>
      <c r="AA288" s="84">
        <v>0.0</v>
      </c>
      <c r="AB288" s="84">
        <v>0.0</v>
      </c>
      <c r="AC288" s="91">
        <v>0.007662835249042145</v>
      </c>
      <c r="AD288" s="84">
        <v>0.0</v>
      </c>
      <c r="AE288" s="84">
        <v>0.0</v>
      </c>
      <c r="AF288" s="84">
        <v>0.0</v>
      </c>
      <c r="AG288" s="84">
        <v>0.0</v>
      </c>
      <c r="AH288" s="84">
        <v>0.0</v>
      </c>
      <c r="AI288" s="84">
        <v>0.0</v>
      </c>
      <c r="AJ288" s="84">
        <v>0.0</v>
      </c>
      <c r="AK288" s="84">
        <v>0.0</v>
      </c>
      <c r="AL288" s="84">
        <v>0.0</v>
      </c>
      <c r="AM288" s="84">
        <v>0.0</v>
      </c>
      <c r="AN288" s="93">
        <f t="shared" si="1"/>
        <v>0.008874956461</v>
      </c>
      <c r="AO288" s="84">
        <f t="shared" si="2"/>
        <v>0</v>
      </c>
    </row>
    <row r="289" ht="12.75" customHeight="1">
      <c r="A289" s="84" t="s">
        <v>4377</v>
      </c>
      <c r="B289" s="84">
        <v>0.0</v>
      </c>
      <c r="C289" s="84">
        <v>0.0</v>
      </c>
      <c r="D289" s="84">
        <v>0.0</v>
      </c>
      <c r="E289" s="84">
        <v>0.0</v>
      </c>
      <c r="F289" s="84">
        <v>0.0</v>
      </c>
      <c r="G289" s="84">
        <v>0.0</v>
      </c>
      <c r="H289" s="84">
        <v>0.0</v>
      </c>
      <c r="I289" s="91">
        <v>0.0012121212121212121</v>
      </c>
      <c r="J289" s="84">
        <v>0.0</v>
      </c>
      <c r="K289" s="84">
        <v>0.0</v>
      </c>
      <c r="L289" s="84">
        <v>0.0</v>
      </c>
      <c r="M289" s="84">
        <v>0.0</v>
      </c>
      <c r="N289" s="84">
        <v>0.0</v>
      </c>
      <c r="O289" s="84">
        <v>0.0</v>
      </c>
      <c r="P289" s="84">
        <v>0.0</v>
      </c>
      <c r="Q289" s="84">
        <v>0.0</v>
      </c>
      <c r="R289" s="84">
        <v>0.0</v>
      </c>
      <c r="S289" s="84">
        <v>0.0</v>
      </c>
      <c r="T289" s="84">
        <v>0.0</v>
      </c>
      <c r="U289" s="84">
        <v>0.0</v>
      </c>
      <c r="V289" s="84">
        <v>0.0</v>
      </c>
      <c r="W289" s="84">
        <v>0.0</v>
      </c>
      <c r="X289" s="84">
        <v>0.0</v>
      </c>
      <c r="Y289" s="84">
        <v>0.0</v>
      </c>
      <c r="Z289" s="84">
        <v>0.0</v>
      </c>
      <c r="AA289" s="84">
        <v>0.0</v>
      </c>
      <c r="AB289" s="84">
        <v>0.0</v>
      </c>
      <c r="AC289" s="91">
        <v>0.007662835249042145</v>
      </c>
      <c r="AD289" s="84">
        <v>0.0</v>
      </c>
      <c r="AE289" s="84">
        <v>0.0</v>
      </c>
      <c r="AF289" s="84">
        <v>0.0</v>
      </c>
      <c r="AG289" s="84">
        <v>0.0</v>
      </c>
      <c r="AH289" s="84">
        <v>0.0</v>
      </c>
      <c r="AI289" s="84">
        <v>0.0</v>
      </c>
      <c r="AJ289" s="84">
        <v>0.0</v>
      </c>
      <c r="AK289" s="84">
        <v>0.0</v>
      </c>
      <c r="AL289" s="84">
        <v>0.0</v>
      </c>
      <c r="AM289" s="84">
        <v>0.0</v>
      </c>
      <c r="AN289" s="93">
        <f t="shared" si="1"/>
        <v>0.008874956461</v>
      </c>
      <c r="AO289" s="84">
        <f t="shared" si="2"/>
        <v>0</v>
      </c>
    </row>
    <row r="290" ht="12.75" customHeight="1">
      <c r="A290" s="84" t="s">
        <v>4018</v>
      </c>
      <c r="B290" s="84">
        <v>0.0</v>
      </c>
      <c r="C290" s="84">
        <v>0.0</v>
      </c>
      <c r="D290" s="84">
        <v>0.0</v>
      </c>
      <c r="E290" s="84">
        <v>0.0</v>
      </c>
      <c r="F290" s="84">
        <v>0.0</v>
      </c>
      <c r="G290" s="84">
        <v>0.0</v>
      </c>
      <c r="H290" s="84">
        <v>0.0</v>
      </c>
      <c r="I290" s="91">
        <v>0.0012121212121212121</v>
      </c>
      <c r="J290" s="84">
        <v>0.0</v>
      </c>
      <c r="K290" s="84">
        <v>0.0</v>
      </c>
      <c r="L290" s="84">
        <v>0.0</v>
      </c>
      <c r="M290" s="84">
        <v>0.0</v>
      </c>
      <c r="N290" s="84">
        <v>0.0</v>
      </c>
      <c r="O290" s="84">
        <v>0.0</v>
      </c>
      <c r="P290" s="84">
        <v>0.0</v>
      </c>
      <c r="Q290" s="84">
        <v>0.0</v>
      </c>
      <c r="R290" s="84">
        <v>0.0</v>
      </c>
      <c r="S290" s="84">
        <v>0.0</v>
      </c>
      <c r="T290" s="84">
        <v>0.0</v>
      </c>
      <c r="U290" s="84">
        <v>0.0</v>
      </c>
      <c r="V290" s="84">
        <v>0.0</v>
      </c>
      <c r="W290" s="84">
        <v>0.0</v>
      </c>
      <c r="X290" s="84">
        <v>0.0</v>
      </c>
      <c r="Y290" s="84">
        <v>0.0</v>
      </c>
      <c r="Z290" s="84">
        <v>0.0</v>
      </c>
      <c r="AA290" s="84">
        <v>0.0</v>
      </c>
      <c r="AB290" s="84">
        <v>0.0</v>
      </c>
      <c r="AC290" s="91">
        <v>0.0038314176245210726</v>
      </c>
      <c r="AD290" s="84">
        <v>0.0</v>
      </c>
      <c r="AE290" s="84">
        <v>0.0</v>
      </c>
      <c r="AF290" s="84">
        <v>0.0</v>
      </c>
      <c r="AG290" s="84">
        <v>0.0</v>
      </c>
      <c r="AH290" s="84">
        <v>0.0</v>
      </c>
      <c r="AI290" s="84">
        <v>0.0</v>
      </c>
      <c r="AJ290" s="84">
        <v>0.0</v>
      </c>
      <c r="AK290" s="84">
        <v>0.0</v>
      </c>
      <c r="AL290" s="84">
        <v>0.0</v>
      </c>
      <c r="AM290" s="84">
        <v>0.0</v>
      </c>
      <c r="AN290" s="93">
        <f t="shared" si="1"/>
        <v>0.005043538837</v>
      </c>
      <c r="AO290" s="84">
        <f t="shared" si="2"/>
        <v>0</v>
      </c>
    </row>
    <row r="291" ht="12.75" customHeight="1">
      <c r="A291" s="84" t="s">
        <v>4054</v>
      </c>
      <c r="B291" s="84">
        <v>0.0</v>
      </c>
      <c r="C291" s="84">
        <v>0.0</v>
      </c>
      <c r="D291" s="84">
        <v>0.0</v>
      </c>
      <c r="E291" s="84">
        <v>0.0</v>
      </c>
      <c r="F291" s="84">
        <v>0.0</v>
      </c>
      <c r="G291" s="84">
        <v>0.0</v>
      </c>
      <c r="H291" s="84">
        <v>0.0</v>
      </c>
      <c r="I291" s="91">
        <v>0.0012121212121212121</v>
      </c>
      <c r="J291" s="84">
        <v>0.0</v>
      </c>
      <c r="K291" s="84">
        <v>0.0</v>
      </c>
      <c r="L291" s="84">
        <v>0.0</v>
      </c>
      <c r="M291" s="84">
        <v>0.0</v>
      </c>
      <c r="N291" s="84">
        <v>0.0</v>
      </c>
      <c r="O291" s="84">
        <v>0.0</v>
      </c>
      <c r="P291" s="84">
        <v>0.0</v>
      </c>
      <c r="Q291" s="84">
        <v>0.0</v>
      </c>
      <c r="R291" s="84">
        <v>0.0</v>
      </c>
      <c r="S291" s="84">
        <v>0.0</v>
      </c>
      <c r="T291" s="84">
        <v>0.0</v>
      </c>
      <c r="U291" s="84">
        <v>0.0</v>
      </c>
      <c r="V291" s="84">
        <v>0.0</v>
      </c>
      <c r="W291" s="84">
        <v>0.0</v>
      </c>
      <c r="X291" s="84">
        <v>0.0</v>
      </c>
      <c r="Y291" s="84">
        <v>0.0</v>
      </c>
      <c r="Z291" s="84">
        <v>0.0</v>
      </c>
      <c r="AA291" s="84">
        <v>0.0</v>
      </c>
      <c r="AB291" s="84">
        <v>0.0</v>
      </c>
      <c r="AC291" s="91">
        <v>0.0038314176245210726</v>
      </c>
      <c r="AD291" s="84">
        <v>0.0</v>
      </c>
      <c r="AE291" s="84">
        <v>0.0</v>
      </c>
      <c r="AF291" s="84">
        <v>0.0</v>
      </c>
      <c r="AG291" s="84">
        <v>0.0</v>
      </c>
      <c r="AH291" s="84">
        <v>0.0</v>
      </c>
      <c r="AI291" s="84">
        <v>0.0</v>
      </c>
      <c r="AJ291" s="84">
        <v>0.0</v>
      </c>
      <c r="AK291" s="84">
        <v>0.0</v>
      </c>
      <c r="AL291" s="84">
        <v>0.0</v>
      </c>
      <c r="AM291" s="84">
        <v>0.0</v>
      </c>
      <c r="AN291" s="93">
        <f t="shared" si="1"/>
        <v>0.005043538837</v>
      </c>
      <c r="AO291" s="84">
        <f t="shared" si="2"/>
        <v>0</v>
      </c>
    </row>
    <row r="292" ht="12.75" customHeight="1">
      <c r="A292" s="84" t="s">
        <v>4233</v>
      </c>
      <c r="B292" s="84">
        <v>0.0</v>
      </c>
      <c r="C292" s="84">
        <v>0.0</v>
      </c>
      <c r="D292" s="84">
        <v>0.0</v>
      </c>
      <c r="E292" s="84">
        <v>0.0</v>
      </c>
      <c r="F292" s="84">
        <v>0.0</v>
      </c>
      <c r="G292" s="84">
        <v>0.0</v>
      </c>
      <c r="H292" s="84">
        <v>0.0</v>
      </c>
      <c r="I292" s="91">
        <v>0.0012121212121212121</v>
      </c>
      <c r="J292" s="84">
        <v>0.0</v>
      </c>
      <c r="K292" s="84">
        <v>0.0</v>
      </c>
      <c r="L292" s="84">
        <v>0.0</v>
      </c>
      <c r="M292" s="84">
        <v>0.0</v>
      </c>
      <c r="N292" s="84">
        <v>0.0</v>
      </c>
      <c r="O292" s="84">
        <v>0.0</v>
      </c>
      <c r="P292" s="84">
        <v>0.0</v>
      </c>
      <c r="Q292" s="84">
        <v>0.0</v>
      </c>
      <c r="R292" s="84">
        <v>0.0</v>
      </c>
      <c r="S292" s="84">
        <v>0.0</v>
      </c>
      <c r="T292" s="84">
        <v>0.0</v>
      </c>
      <c r="U292" s="84">
        <v>0.0</v>
      </c>
      <c r="V292" s="84">
        <v>0.0</v>
      </c>
      <c r="W292" s="84">
        <v>0.0</v>
      </c>
      <c r="X292" s="84">
        <v>0.0</v>
      </c>
      <c r="Y292" s="84">
        <v>0.0</v>
      </c>
      <c r="Z292" s="84">
        <v>0.0</v>
      </c>
      <c r="AA292" s="84">
        <v>0.0</v>
      </c>
      <c r="AB292" s="84">
        <v>0.0</v>
      </c>
      <c r="AC292" s="91">
        <v>0.0038314176245210726</v>
      </c>
      <c r="AD292" s="84">
        <v>0.0</v>
      </c>
      <c r="AE292" s="84">
        <v>0.0</v>
      </c>
      <c r="AF292" s="84">
        <v>0.0</v>
      </c>
      <c r="AG292" s="84">
        <v>0.0</v>
      </c>
      <c r="AH292" s="84">
        <v>0.0</v>
      </c>
      <c r="AI292" s="84">
        <v>0.0</v>
      </c>
      <c r="AJ292" s="84">
        <v>0.0</v>
      </c>
      <c r="AK292" s="84">
        <v>0.0</v>
      </c>
      <c r="AL292" s="84">
        <v>0.0</v>
      </c>
      <c r="AM292" s="84">
        <v>0.0</v>
      </c>
      <c r="AN292" s="93">
        <f t="shared" si="1"/>
        <v>0.005043538837</v>
      </c>
      <c r="AO292" s="84">
        <f t="shared" si="2"/>
        <v>0</v>
      </c>
    </row>
    <row r="293" ht="12.75" customHeight="1">
      <c r="A293" s="84" t="s">
        <v>4132</v>
      </c>
      <c r="B293" s="84">
        <v>0.0</v>
      </c>
      <c r="C293" s="84">
        <v>0.0</v>
      </c>
      <c r="D293" s="84">
        <v>0.0</v>
      </c>
      <c r="E293" s="84">
        <v>0.0</v>
      </c>
      <c r="F293" s="84">
        <v>0.0</v>
      </c>
      <c r="G293" s="84">
        <v>0.0</v>
      </c>
      <c r="H293" s="84">
        <v>0.0</v>
      </c>
      <c r="I293" s="91">
        <v>0.0012121212121212121</v>
      </c>
      <c r="J293" s="84">
        <v>0.0</v>
      </c>
      <c r="K293" s="84">
        <v>0.0</v>
      </c>
      <c r="L293" s="84">
        <v>0.0</v>
      </c>
      <c r="M293" s="84">
        <v>0.0</v>
      </c>
      <c r="N293" s="84">
        <v>0.0</v>
      </c>
      <c r="O293" s="84">
        <v>0.0</v>
      </c>
      <c r="P293" s="84">
        <v>0.0</v>
      </c>
      <c r="Q293" s="84">
        <v>0.0</v>
      </c>
      <c r="R293" s="84">
        <v>0.0</v>
      </c>
      <c r="S293" s="84">
        <v>0.0</v>
      </c>
      <c r="T293" s="84">
        <v>0.0</v>
      </c>
      <c r="U293" s="84">
        <v>0.0</v>
      </c>
      <c r="V293" s="84">
        <v>0.0</v>
      </c>
      <c r="W293" s="84">
        <v>0.0</v>
      </c>
      <c r="X293" s="84">
        <v>0.0</v>
      </c>
      <c r="Y293" s="84">
        <v>0.0</v>
      </c>
      <c r="Z293" s="84">
        <v>0.0</v>
      </c>
      <c r="AA293" s="84">
        <v>0.0</v>
      </c>
      <c r="AB293" s="84">
        <v>0.0</v>
      </c>
      <c r="AC293" s="91">
        <v>0.0038314176245210726</v>
      </c>
      <c r="AD293" s="84">
        <v>0.0</v>
      </c>
      <c r="AE293" s="84">
        <v>0.0</v>
      </c>
      <c r="AF293" s="84">
        <v>0.0</v>
      </c>
      <c r="AG293" s="84">
        <v>0.0</v>
      </c>
      <c r="AH293" s="84">
        <v>0.0</v>
      </c>
      <c r="AI293" s="84">
        <v>0.0</v>
      </c>
      <c r="AJ293" s="84">
        <v>0.0</v>
      </c>
      <c r="AK293" s="84">
        <v>0.0</v>
      </c>
      <c r="AL293" s="84">
        <v>0.0</v>
      </c>
      <c r="AM293" s="84">
        <v>0.0</v>
      </c>
      <c r="AN293" s="93">
        <f t="shared" si="1"/>
        <v>0.005043538837</v>
      </c>
      <c r="AO293" s="84">
        <f t="shared" si="2"/>
        <v>0</v>
      </c>
    </row>
    <row r="294" ht="12.75" customHeight="1">
      <c r="A294" s="84" t="s">
        <v>4011</v>
      </c>
      <c r="B294" s="84">
        <v>0.0</v>
      </c>
      <c r="C294" s="84">
        <v>0.0</v>
      </c>
      <c r="D294" s="84">
        <v>0.0</v>
      </c>
      <c r="E294" s="84">
        <v>0.0</v>
      </c>
      <c r="F294" s="84">
        <v>0.0</v>
      </c>
      <c r="G294" s="84">
        <v>0.0</v>
      </c>
      <c r="H294" s="84">
        <v>0.0</v>
      </c>
      <c r="I294" s="91">
        <v>0.0012121212121212121</v>
      </c>
      <c r="J294" s="84">
        <v>0.0</v>
      </c>
      <c r="K294" s="84">
        <v>0.0</v>
      </c>
      <c r="L294" s="84">
        <v>0.0</v>
      </c>
      <c r="M294" s="84">
        <v>0.0</v>
      </c>
      <c r="N294" s="84">
        <v>0.0</v>
      </c>
      <c r="O294" s="84">
        <v>0.0</v>
      </c>
      <c r="P294" s="84">
        <v>0.0</v>
      </c>
      <c r="Q294" s="84">
        <v>0.0</v>
      </c>
      <c r="R294" s="84">
        <v>0.0</v>
      </c>
      <c r="S294" s="84">
        <v>0.0</v>
      </c>
      <c r="T294" s="84">
        <v>0.0</v>
      </c>
      <c r="U294" s="84">
        <v>0.0</v>
      </c>
      <c r="V294" s="84">
        <v>0.0</v>
      </c>
      <c r="W294" s="84">
        <v>0.0</v>
      </c>
      <c r="X294" s="84">
        <v>0.0</v>
      </c>
      <c r="Y294" s="84">
        <v>0.0</v>
      </c>
      <c r="Z294" s="84">
        <v>0.0</v>
      </c>
      <c r="AA294" s="84">
        <v>0.0</v>
      </c>
      <c r="AB294" s="84">
        <v>0.0</v>
      </c>
      <c r="AC294" s="91">
        <v>0.0038314176245210726</v>
      </c>
      <c r="AD294" s="84">
        <v>0.0</v>
      </c>
      <c r="AE294" s="84">
        <v>0.0</v>
      </c>
      <c r="AF294" s="84">
        <v>0.0</v>
      </c>
      <c r="AG294" s="84">
        <v>0.0</v>
      </c>
      <c r="AH294" s="84">
        <v>0.0</v>
      </c>
      <c r="AI294" s="84">
        <v>0.0</v>
      </c>
      <c r="AJ294" s="84">
        <v>0.0</v>
      </c>
      <c r="AK294" s="84">
        <v>0.0</v>
      </c>
      <c r="AL294" s="84">
        <v>0.0</v>
      </c>
      <c r="AM294" s="84">
        <v>0.0</v>
      </c>
      <c r="AN294" s="93">
        <f t="shared" si="1"/>
        <v>0.005043538837</v>
      </c>
      <c r="AO294" s="84">
        <f t="shared" si="2"/>
        <v>0</v>
      </c>
    </row>
    <row r="295" ht="12.75" customHeight="1">
      <c r="A295" s="84" t="s">
        <v>4128</v>
      </c>
      <c r="B295" s="84">
        <v>0.0</v>
      </c>
      <c r="C295" s="84">
        <v>0.0</v>
      </c>
      <c r="D295" s="84">
        <v>0.0</v>
      </c>
      <c r="E295" s="84">
        <v>0.0</v>
      </c>
      <c r="F295" s="84">
        <v>0.0</v>
      </c>
      <c r="G295" s="84">
        <v>0.0</v>
      </c>
      <c r="H295" s="84">
        <v>0.0</v>
      </c>
      <c r="I295" s="91">
        <v>0.0012121212121212121</v>
      </c>
      <c r="J295" s="84">
        <v>0.0</v>
      </c>
      <c r="K295" s="84">
        <v>0.0</v>
      </c>
      <c r="L295" s="84">
        <v>0.0</v>
      </c>
      <c r="M295" s="84">
        <v>0.0</v>
      </c>
      <c r="N295" s="84">
        <v>0.0</v>
      </c>
      <c r="O295" s="84">
        <v>0.0</v>
      </c>
      <c r="P295" s="84">
        <v>0.0</v>
      </c>
      <c r="Q295" s="84">
        <v>0.0</v>
      </c>
      <c r="R295" s="84">
        <v>0.0</v>
      </c>
      <c r="S295" s="84">
        <v>0.0</v>
      </c>
      <c r="T295" s="84">
        <v>0.0</v>
      </c>
      <c r="U295" s="84">
        <v>0.0</v>
      </c>
      <c r="V295" s="84">
        <v>0.0</v>
      </c>
      <c r="W295" s="84">
        <v>0.0</v>
      </c>
      <c r="X295" s="84">
        <v>0.0</v>
      </c>
      <c r="Y295" s="84">
        <v>0.0</v>
      </c>
      <c r="Z295" s="84">
        <v>0.0</v>
      </c>
      <c r="AA295" s="84">
        <v>0.0</v>
      </c>
      <c r="AB295" s="84">
        <v>0.0</v>
      </c>
      <c r="AC295" s="91">
        <v>0.0038314176245210726</v>
      </c>
      <c r="AD295" s="84">
        <v>0.0</v>
      </c>
      <c r="AE295" s="84">
        <v>0.0</v>
      </c>
      <c r="AF295" s="84">
        <v>0.0</v>
      </c>
      <c r="AG295" s="84">
        <v>0.0</v>
      </c>
      <c r="AH295" s="84">
        <v>0.0</v>
      </c>
      <c r="AI295" s="84">
        <v>0.0</v>
      </c>
      <c r="AJ295" s="84">
        <v>0.0</v>
      </c>
      <c r="AK295" s="84">
        <v>0.0</v>
      </c>
      <c r="AL295" s="84">
        <v>0.0</v>
      </c>
      <c r="AM295" s="84">
        <v>0.0</v>
      </c>
      <c r="AN295" s="93">
        <f t="shared" si="1"/>
        <v>0.005043538837</v>
      </c>
      <c r="AO295" s="84">
        <f t="shared" si="2"/>
        <v>0</v>
      </c>
    </row>
    <row r="296" ht="12.75" customHeight="1">
      <c r="A296" s="84" t="s">
        <v>4162</v>
      </c>
      <c r="B296" s="84">
        <v>0.0</v>
      </c>
      <c r="C296" s="84">
        <v>0.0</v>
      </c>
      <c r="D296" s="84">
        <v>0.0</v>
      </c>
      <c r="E296" s="84">
        <v>0.0</v>
      </c>
      <c r="F296" s="84">
        <v>0.0</v>
      </c>
      <c r="G296" s="84">
        <v>0.0</v>
      </c>
      <c r="H296" s="84">
        <v>0.0</v>
      </c>
      <c r="I296" s="91">
        <v>0.0012121212121212121</v>
      </c>
      <c r="J296" s="84">
        <v>0.0</v>
      </c>
      <c r="K296" s="84">
        <v>0.0</v>
      </c>
      <c r="L296" s="84">
        <v>0.0</v>
      </c>
      <c r="M296" s="84">
        <v>0.0</v>
      </c>
      <c r="N296" s="84">
        <v>0.0</v>
      </c>
      <c r="O296" s="84">
        <v>0.0</v>
      </c>
      <c r="P296" s="84">
        <v>0.0</v>
      </c>
      <c r="Q296" s="84">
        <v>0.0</v>
      </c>
      <c r="R296" s="84">
        <v>0.0</v>
      </c>
      <c r="S296" s="84">
        <v>0.0</v>
      </c>
      <c r="T296" s="84">
        <v>0.0</v>
      </c>
      <c r="U296" s="84">
        <v>0.0</v>
      </c>
      <c r="V296" s="84">
        <v>0.0</v>
      </c>
      <c r="W296" s="84">
        <v>0.0</v>
      </c>
      <c r="X296" s="84">
        <v>0.0</v>
      </c>
      <c r="Y296" s="84">
        <v>0.0</v>
      </c>
      <c r="Z296" s="84">
        <v>0.0</v>
      </c>
      <c r="AA296" s="84">
        <v>0.0</v>
      </c>
      <c r="AB296" s="84">
        <v>0.0</v>
      </c>
      <c r="AC296" s="91">
        <v>0.0038314176245210726</v>
      </c>
      <c r="AD296" s="84">
        <v>0.0</v>
      </c>
      <c r="AE296" s="84">
        <v>0.0</v>
      </c>
      <c r="AF296" s="84">
        <v>0.0</v>
      </c>
      <c r="AG296" s="84">
        <v>0.0</v>
      </c>
      <c r="AH296" s="84">
        <v>0.0</v>
      </c>
      <c r="AI296" s="84">
        <v>0.0</v>
      </c>
      <c r="AJ296" s="84">
        <v>0.0</v>
      </c>
      <c r="AK296" s="84">
        <v>0.0</v>
      </c>
      <c r="AL296" s="84">
        <v>0.0</v>
      </c>
      <c r="AM296" s="84">
        <v>0.0</v>
      </c>
      <c r="AN296" s="93">
        <f t="shared" si="1"/>
        <v>0.005043538837</v>
      </c>
      <c r="AO296" s="84">
        <f t="shared" si="2"/>
        <v>0</v>
      </c>
    </row>
    <row r="297" ht="12.75" customHeight="1">
      <c r="A297" s="84" t="s">
        <v>4048</v>
      </c>
      <c r="B297" s="84">
        <v>0.0</v>
      </c>
      <c r="C297" s="84">
        <v>0.0</v>
      </c>
      <c r="D297" s="84">
        <v>0.0</v>
      </c>
      <c r="E297" s="84">
        <v>0.0</v>
      </c>
      <c r="F297" s="84">
        <v>0.0</v>
      </c>
      <c r="G297" s="84">
        <v>0.0</v>
      </c>
      <c r="H297" s="84">
        <v>0.0</v>
      </c>
      <c r="I297" s="91">
        <v>0.0012121212121212121</v>
      </c>
      <c r="J297" s="84">
        <v>0.0</v>
      </c>
      <c r="K297" s="84">
        <v>0.0</v>
      </c>
      <c r="L297" s="84">
        <v>0.0</v>
      </c>
      <c r="M297" s="84">
        <v>0.0</v>
      </c>
      <c r="N297" s="84">
        <v>0.0</v>
      </c>
      <c r="O297" s="84">
        <v>0.0</v>
      </c>
      <c r="P297" s="84">
        <v>0.0</v>
      </c>
      <c r="Q297" s="84">
        <v>0.0</v>
      </c>
      <c r="R297" s="84">
        <v>0.0</v>
      </c>
      <c r="S297" s="84">
        <v>0.0</v>
      </c>
      <c r="T297" s="84">
        <v>0.0</v>
      </c>
      <c r="U297" s="84">
        <v>0.0</v>
      </c>
      <c r="V297" s="84">
        <v>0.0</v>
      </c>
      <c r="W297" s="84">
        <v>0.0</v>
      </c>
      <c r="X297" s="84">
        <v>0.0</v>
      </c>
      <c r="Y297" s="84">
        <v>0.0</v>
      </c>
      <c r="Z297" s="84">
        <v>0.0</v>
      </c>
      <c r="AA297" s="84">
        <v>0.0</v>
      </c>
      <c r="AB297" s="84">
        <v>0.0</v>
      </c>
      <c r="AC297" s="91">
        <v>0.0038314176245210726</v>
      </c>
      <c r="AD297" s="84">
        <v>0.0</v>
      </c>
      <c r="AE297" s="84">
        <v>0.0</v>
      </c>
      <c r="AF297" s="84">
        <v>0.0</v>
      </c>
      <c r="AG297" s="84">
        <v>0.0</v>
      </c>
      <c r="AH297" s="84">
        <v>0.0</v>
      </c>
      <c r="AI297" s="84">
        <v>0.0</v>
      </c>
      <c r="AJ297" s="84">
        <v>0.0</v>
      </c>
      <c r="AK297" s="84">
        <v>0.0</v>
      </c>
      <c r="AL297" s="84">
        <v>0.0</v>
      </c>
      <c r="AM297" s="84">
        <v>0.0</v>
      </c>
      <c r="AN297" s="93">
        <f t="shared" si="1"/>
        <v>0.005043538837</v>
      </c>
      <c r="AO297" s="84">
        <f t="shared" si="2"/>
        <v>0</v>
      </c>
    </row>
    <row r="298" ht="12.75" customHeight="1">
      <c r="A298" s="84" t="s">
        <v>4096</v>
      </c>
      <c r="B298" s="84">
        <v>0.0</v>
      </c>
      <c r="C298" s="84">
        <v>0.0</v>
      </c>
      <c r="D298" s="84">
        <v>0.0</v>
      </c>
      <c r="E298" s="84">
        <v>0.0</v>
      </c>
      <c r="F298" s="84">
        <v>0.0</v>
      </c>
      <c r="G298" s="84">
        <v>0.0</v>
      </c>
      <c r="H298" s="84">
        <v>0.0</v>
      </c>
      <c r="I298" s="91">
        <v>0.0012121212121212121</v>
      </c>
      <c r="J298" s="84">
        <v>0.0</v>
      </c>
      <c r="K298" s="84">
        <v>0.0</v>
      </c>
      <c r="L298" s="84">
        <v>0.0</v>
      </c>
      <c r="M298" s="84">
        <v>0.0</v>
      </c>
      <c r="N298" s="84">
        <v>0.0</v>
      </c>
      <c r="O298" s="84">
        <v>0.0</v>
      </c>
      <c r="P298" s="84">
        <v>0.0</v>
      </c>
      <c r="Q298" s="84">
        <v>0.0</v>
      </c>
      <c r="R298" s="84">
        <v>0.0</v>
      </c>
      <c r="S298" s="84">
        <v>0.0</v>
      </c>
      <c r="T298" s="84">
        <v>0.0</v>
      </c>
      <c r="U298" s="84">
        <v>0.0</v>
      </c>
      <c r="V298" s="84">
        <v>0.0</v>
      </c>
      <c r="W298" s="84">
        <v>0.0</v>
      </c>
      <c r="X298" s="84">
        <v>0.0</v>
      </c>
      <c r="Y298" s="84">
        <v>0.0</v>
      </c>
      <c r="Z298" s="84">
        <v>0.0</v>
      </c>
      <c r="AA298" s="84">
        <v>0.0</v>
      </c>
      <c r="AB298" s="84">
        <v>0.0</v>
      </c>
      <c r="AC298" s="91">
        <v>0.0038314176245210726</v>
      </c>
      <c r="AD298" s="84">
        <v>0.0</v>
      </c>
      <c r="AE298" s="84">
        <v>0.0</v>
      </c>
      <c r="AF298" s="84">
        <v>0.0</v>
      </c>
      <c r="AG298" s="84">
        <v>0.0</v>
      </c>
      <c r="AH298" s="84">
        <v>0.0</v>
      </c>
      <c r="AI298" s="84">
        <v>0.0</v>
      </c>
      <c r="AJ298" s="84">
        <v>0.0</v>
      </c>
      <c r="AK298" s="84">
        <v>0.0</v>
      </c>
      <c r="AL298" s="84">
        <v>0.0</v>
      </c>
      <c r="AM298" s="84">
        <v>0.0</v>
      </c>
      <c r="AN298" s="93">
        <f t="shared" si="1"/>
        <v>0.005043538837</v>
      </c>
      <c r="AO298" s="84">
        <f t="shared" si="2"/>
        <v>0</v>
      </c>
    </row>
    <row r="299" ht="12.75" customHeight="1">
      <c r="A299" s="84" t="s">
        <v>4238</v>
      </c>
      <c r="B299" s="84">
        <v>0.0</v>
      </c>
      <c r="C299" s="84">
        <v>0.0</v>
      </c>
      <c r="D299" s="84">
        <v>0.0</v>
      </c>
      <c r="E299" s="84">
        <v>0.0</v>
      </c>
      <c r="F299" s="84">
        <v>0.0</v>
      </c>
      <c r="G299" s="84">
        <v>0.0</v>
      </c>
      <c r="H299" s="84">
        <v>0.0</v>
      </c>
      <c r="I299" s="91">
        <v>0.0012121212121212121</v>
      </c>
      <c r="J299" s="84">
        <v>0.0</v>
      </c>
      <c r="K299" s="84">
        <v>0.0</v>
      </c>
      <c r="L299" s="84">
        <v>0.0</v>
      </c>
      <c r="M299" s="84">
        <v>0.0</v>
      </c>
      <c r="N299" s="84">
        <v>0.0</v>
      </c>
      <c r="O299" s="84">
        <v>0.0</v>
      </c>
      <c r="P299" s="84">
        <v>0.0</v>
      </c>
      <c r="Q299" s="84">
        <v>0.0</v>
      </c>
      <c r="R299" s="84">
        <v>0.0</v>
      </c>
      <c r="S299" s="84">
        <v>0.0</v>
      </c>
      <c r="T299" s="84">
        <v>0.0</v>
      </c>
      <c r="U299" s="84">
        <v>0.0</v>
      </c>
      <c r="V299" s="84">
        <v>0.0</v>
      </c>
      <c r="W299" s="84">
        <v>0.0</v>
      </c>
      <c r="X299" s="84">
        <v>0.0</v>
      </c>
      <c r="Y299" s="84">
        <v>0.0</v>
      </c>
      <c r="Z299" s="84">
        <v>0.0</v>
      </c>
      <c r="AA299" s="84">
        <v>0.0</v>
      </c>
      <c r="AB299" s="84">
        <v>0.0</v>
      </c>
      <c r="AC299" s="91">
        <v>0.0038314176245210726</v>
      </c>
      <c r="AD299" s="84">
        <v>0.0</v>
      </c>
      <c r="AE299" s="84">
        <v>0.0</v>
      </c>
      <c r="AF299" s="84">
        <v>0.0</v>
      </c>
      <c r="AG299" s="84">
        <v>0.0</v>
      </c>
      <c r="AH299" s="84">
        <v>0.0</v>
      </c>
      <c r="AI299" s="84">
        <v>0.0</v>
      </c>
      <c r="AJ299" s="84">
        <v>0.0</v>
      </c>
      <c r="AK299" s="84">
        <v>0.0</v>
      </c>
      <c r="AL299" s="84">
        <v>0.0</v>
      </c>
      <c r="AM299" s="84">
        <v>0.0</v>
      </c>
      <c r="AN299" s="93">
        <f t="shared" si="1"/>
        <v>0.005043538837</v>
      </c>
      <c r="AO299" s="84">
        <f t="shared" si="2"/>
        <v>0</v>
      </c>
    </row>
    <row r="300" ht="12.75" customHeight="1">
      <c r="A300" s="84" t="s">
        <v>4209</v>
      </c>
      <c r="B300" s="84">
        <v>0.0</v>
      </c>
      <c r="C300" s="84">
        <v>0.0</v>
      </c>
      <c r="D300" s="84">
        <v>0.0</v>
      </c>
      <c r="E300" s="84">
        <v>0.0</v>
      </c>
      <c r="F300" s="84">
        <v>0.0</v>
      </c>
      <c r="G300" s="84">
        <v>0.0</v>
      </c>
      <c r="H300" s="84">
        <v>0.0</v>
      </c>
      <c r="I300" s="91">
        <v>0.0012121212121212121</v>
      </c>
      <c r="J300" s="84">
        <v>0.0</v>
      </c>
      <c r="K300" s="84">
        <v>0.0</v>
      </c>
      <c r="L300" s="84">
        <v>0.0</v>
      </c>
      <c r="M300" s="84">
        <v>0.0</v>
      </c>
      <c r="N300" s="84">
        <v>0.0</v>
      </c>
      <c r="O300" s="84">
        <v>0.0</v>
      </c>
      <c r="P300" s="84">
        <v>0.0</v>
      </c>
      <c r="Q300" s="84">
        <v>0.0</v>
      </c>
      <c r="R300" s="84">
        <v>0.0</v>
      </c>
      <c r="S300" s="84">
        <v>0.0</v>
      </c>
      <c r="T300" s="84">
        <v>0.0</v>
      </c>
      <c r="U300" s="84">
        <v>0.0</v>
      </c>
      <c r="V300" s="84">
        <v>0.0</v>
      </c>
      <c r="W300" s="84">
        <v>0.0</v>
      </c>
      <c r="X300" s="84">
        <v>0.0</v>
      </c>
      <c r="Y300" s="84">
        <v>0.0</v>
      </c>
      <c r="Z300" s="84">
        <v>0.0</v>
      </c>
      <c r="AA300" s="84">
        <v>0.0</v>
      </c>
      <c r="AB300" s="84">
        <v>0.0</v>
      </c>
      <c r="AC300" s="91">
        <v>0.002554278416347382</v>
      </c>
      <c r="AD300" s="84">
        <v>0.0</v>
      </c>
      <c r="AE300" s="84">
        <v>0.0</v>
      </c>
      <c r="AF300" s="84">
        <v>0.0</v>
      </c>
      <c r="AG300" s="84">
        <v>0.0</v>
      </c>
      <c r="AH300" s="84">
        <v>0.0</v>
      </c>
      <c r="AI300" s="84">
        <v>0.0</v>
      </c>
      <c r="AJ300" s="84">
        <v>0.0</v>
      </c>
      <c r="AK300" s="84">
        <v>0.0</v>
      </c>
      <c r="AL300" s="84">
        <v>0.0</v>
      </c>
      <c r="AM300" s="84">
        <v>0.0</v>
      </c>
      <c r="AN300" s="93">
        <f t="shared" si="1"/>
        <v>0.003766399628</v>
      </c>
      <c r="AO300" s="84">
        <f t="shared" si="2"/>
        <v>0</v>
      </c>
    </row>
    <row r="301" ht="12.75" customHeight="1">
      <c r="A301" s="84" t="s">
        <v>4207</v>
      </c>
      <c r="B301" s="84">
        <v>0.0</v>
      </c>
      <c r="C301" s="84">
        <v>0.0</v>
      </c>
      <c r="D301" s="84">
        <v>0.0</v>
      </c>
      <c r="E301" s="84">
        <v>0.0</v>
      </c>
      <c r="F301" s="84">
        <v>0.0</v>
      </c>
      <c r="G301" s="84">
        <v>0.0</v>
      </c>
      <c r="H301" s="84">
        <v>0.0</v>
      </c>
      <c r="I301" s="91">
        <v>0.0012121212121212121</v>
      </c>
      <c r="J301" s="84">
        <v>0.0</v>
      </c>
      <c r="K301" s="84">
        <v>0.0</v>
      </c>
      <c r="L301" s="84">
        <v>0.0</v>
      </c>
      <c r="M301" s="84">
        <v>0.0</v>
      </c>
      <c r="N301" s="84">
        <v>0.0</v>
      </c>
      <c r="O301" s="84">
        <v>0.0</v>
      </c>
      <c r="P301" s="84">
        <v>0.0</v>
      </c>
      <c r="Q301" s="84">
        <v>0.0</v>
      </c>
      <c r="R301" s="84">
        <v>0.0</v>
      </c>
      <c r="S301" s="84">
        <v>0.0</v>
      </c>
      <c r="T301" s="84">
        <v>0.0</v>
      </c>
      <c r="U301" s="84">
        <v>0.0</v>
      </c>
      <c r="V301" s="84">
        <v>0.0</v>
      </c>
      <c r="W301" s="84">
        <v>0.0</v>
      </c>
      <c r="X301" s="84">
        <v>0.0</v>
      </c>
      <c r="Y301" s="84">
        <v>0.0</v>
      </c>
      <c r="Z301" s="84">
        <v>0.0</v>
      </c>
      <c r="AA301" s="84">
        <v>0.0</v>
      </c>
      <c r="AB301" s="84">
        <v>0.0</v>
      </c>
      <c r="AC301" s="91">
        <v>0.002554278416347382</v>
      </c>
      <c r="AD301" s="84">
        <v>0.0</v>
      </c>
      <c r="AE301" s="84">
        <v>0.0</v>
      </c>
      <c r="AF301" s="84">
        <v>0.0</v>
      </c>
      <c r="AG301" s="84">
        <v>0.0</v>
      </c>
      <c r="AH301" s="84">
        <v>0.0</v>
      </c>
      <c r="AI301" s="84">
        <v>0.0</v>
      </c>
      <c r="AJ301" s="84">
        <v>0.0</v>
      </c>
      <c r="AK301" s="84">
        <v>0.0</v>
      </c>
      <c r="AL301" s="84">
        <v>0.0</v>
      </c>
      <c r="AM301" s="84">
        <v>0.0</v>
      </c>
      <c r="AN301" s="93">
        <f t="shared" si="1"/>
        <v>0.003766399628</v>
      </c>
      <c r="AO301" s="84">
        <f t="shared" si="2"/>
        <v>0</v>
      </c>
    </row>
    <row r="302" ht="12.75" customHeight="1">
      <c r="A302" s="84" t="s">
        <v>4137</v>
      </c>
      <c r="B302" s="84">
        <v>0.0</v>
      </c>
      <c r="C302" s="84">
        <v>0.0</v>
      </c>
      <c r="D302" s="84">
        <v>0.0</v>
      </c>
      <c r="E302" s="84">
        <v>0.0</v>
      </c>
      <c r="F302" s="84">
        <v>0.0</v>
      </c>
      <c r="G302" s="84">
        <v>0.0</v>
      </c>
      <c r="H302" s="84">
        <v>0.0</v>
      </c>
      <c r="I302" s="91">
        <v>0.0012121212121212121</v>
      </c>
      <c r="J302" s="84">
        <v>0.0</v>
      </c>
      <c r="K302" s="84">
        <v>0.0</v>
      </c>
      <c r="L302" s="84">
        <v>0.0</v>
      </c>
      <c r="M302" s="84">
        <v>0.0</v>
      </c>
      <c r="N302" s="84">
        <v>0.0</v>
      </c>
      <c r="O302" s="84">
        <v>0.0</v>
      </c>
      <c r="P302" s="84">
        <v>0.0</v>
      </c>
      <c r="Q302" s="84">
        <v>0.0</v>
      </c>
      <c r="R302" s="84">
        <v>0.0</v>
      </c>
      <c r="S302" s="84">
        <v>0.0</v>
      </c>
      <c r="T302" s="84">
        <v>0.0</v>
      </c>
      <c r="U302" s="84">
        <v>0.0</v>
      </c>
      <c r="V302" s="84">
        <v>0.0</v>
      </c>
      <c r="W302" s="84">
        <v>0.0</v>
      </c>
      <c r="X302" s="84">
        <v>0.0</v>
      </c>
      <c r="Y302" s="84">
        <v>0.0</v>
      </c>
      <c r="Z302" s="84">
        <v>0.0</v>
      </c>
      <c r="AA302" s="84">
        <v>0.0</v>
      </c>
      <c r="AB302" s="84">
        <v>0.0</v>
      </c>
      <c r="AC302" s="91">
        <v>0.0038314176245210726</v>
      </c>
      <c r="AD302" s="84">
        <v>0.0</v>
      </c>
      <c r="AE302" s="84">
        <v>0.0</v>
      </c>
      <c r="AF302" s="84">
        <v>0.0</v>
      </c>
      <c r="AG302" s="84">
        <v>0.0</v>
      </c>
      <c r="AH302" s="84">
        <v>0.0</v>
      </c>
      <c r="AI302" s="84">
        <v>0.0</v>
      </c>
      <c r="AJ302" s="84">
        <v>0.0</v>
      </c>
      <c r="AK302" s="84">
        <v>0.0</v>
      </c>
      <c r="AL302" s="84">
        <v>0.0</v>
      </c>
      <c r="AM302" s="84">
        <v>0.0</v>
      </c>
      <c r="AN302" s="93">
        <f t="shared" si="1"/>
        <v>0.005043538837</v>
      </c>
      <c r="AO302" s="84">
        <f t="shared" si="2"/>
        <v>0</v>
      </c>
    </row>
    <row r="303" ht="12.75" customHeight="1">
      <c r="A303" s="84" t="s">
        <v>4136</v>
      </c>
      <c r="B303" s="84">
        <v>0.0</v>
      </c>
      <c r="C303" s="84">
        <v>0.0</v>
      </c>
      <c r="D303" s="84">
        <v>0.0</v>
      </c>
      <c r="E303" s="84">
        <v>0.0</v>
      </c>
      <c r="F303" s="84">
        <v>0.0</v>
      </c>
      <c r="G303" s="84">
        <v>0.0</v>
      </c>
      <c r="H303" s="84">
        <v>0.0</v>
      </c>
      <c r="I303" s="91">
        <v>0.0012121212121212121</v>
      </c>
      <c r="J303" s="84">
        <v>0.0</v>
      </c>
      <c r="K303" s="84">
        <v>0.0</v>
      </c>
      <c r="L303" s="84">
        <v>0.0</v>
      </c>
      <c r="M303" s="84">
        <v>0.0</v>
      </c>
      <c r="N303" s="84">
        <v>0.0</v>
      </c>
      <c r="O303" s="84">
        <v>0.0</v>
      </c>
      <c r="P303" s="84">
        <v>0.0</v>
      </c>
      <c r="Q303" s="84">
        <v>0.0</v>
      </c>
      <c r="R303" s="84">
        <v>0.0</v>
      </c>
      <c r="S303" s="84">
        <v>0.0</v>
      </c>
      <c r="T303" s="84">
        <v>0.0</v>
      </c>
      <c r="U303" s="84">
        <v>0.0</v>
      </c>
      <c r="V303" s="84">
        <v>0.0</v>
      </c>
      <c r="W303" s="84">
        <v>0.0</v>
      </c>
      <c r="X303" s="84">
        <v>0.0</v>
      </c>
      <c r="Y303" s="84">
        <v>0.0</v>
      </c>
      <c r="Z303" s="84">
        <v>0.0</v>
      </c>
      <c r="AA303" s="84">
        <v>0.0</v>
      </c>
      <c r="AB303" s="84">
        <v>0.0</v>
      </c>
      <c r="AC303" s="91">
        <v>0.002554278416347382</v>
      </c>
      <c r="AD303" s="84">
        <v>0.0</v>
      </c>
      <c r="AE303" s="84">
        <v>0.0</v>
      </c>
      <c r="AF303" s="84">
        <v>0.0</v>
      </c>
      <c r="AG303" s="84">
        <v>0.0</v>
      </c>
      <c r="AH303" s="84">
        <v>0.0</v>
      </c>
      <c r="AI303" s="84">
        <v>0.0</v>
      </c>
      <c r="AJ303" s="84">
        <v>0.0</v>
      </c>
      <c r="AK303" s="84">
        <v>0.0</v>
      </c>
      <c r="AL303" s="84">
        <v>0.0</v>
      </c>
      <c r="AM303" s="84">
        <v>0.0</v>
      </c>
      <c r="AN303" s="93">
        <f t="shared" si="1"/>
        <v>0.003766399628</v>
      </c>
      <c r="AO303" s="84">
        <f t="shared" si="2"/>
        <v>0</v>
      </c>
    </row>
    <row r="304" ht="12.75" customHeight="1">
      <c r="A304" s="84" t="s">
        <v>4241</v>
      </c>
      <c r="B304" s="84">
        <v>0.0</v>
      </c>
      <c r="C304" s="84">
        <v>0.0</v>
      </c>
      <c r="D304" s="84">
        <v>0.0</v>
      </c>
      <c r="E304" s="84">
        <v>0.0</v>
      </c>
      <c r="F304" s="84">
        <v>0.0</v>
      </c>
      <c r="G304" s="84">
        <v>0.0</v>
      </c>
      <c r="H304" s="84">
        <v>0.0</v>
      </c>
      <c r="I304" s="91">
        <v>0.0012121212121212121</v>
      </c>
      <c r="J304" s="84">
        <v>0.0</v>
      </c>
      <c r="K304" s="84">
        <v>0.0</v>
      </c>
      <c r="L304" s="84">
        <v>0.0</v>
      </c>
      <c r="M304" s="84">
        <v>0.0</v>
      </c>
      <c r="N304" s="84">
        <v>0.0</v>
      </c>
      <c r="O304" s="84">
        <v>0.0</v>
      </c>
      <c r="P304" s="84">
        <v>0.0</v>
      </c>
      <c r="Q304" s="84">
        <v>0.0</v>
      </c>
      <c r="R304" s="84">
        <v>0.0</v>
      </c>
      <c r="S304" s="84">
        <v>0.0</v>
      </c>
      <c r="T304" s="84">
        <v>0.0</v>
      </c>
      <c r="U304" s="84">
        <v>0.0</v>
      </c>
      <c r="V304" s="84">
        <v>0.0</v>
      </c>
      <c r="W304" s="84">
        <v>0.0</v>
      </c>
      <c r="X304" s="84">
        <v>0.0</v>
      </c>
      <c r="Y304" s="84">
        <v>0.0</v>
      </c>
      <c r="Z304" s="84">
        <v>0.0</v>
      </c>
      <c r="AA304" s="84">
        <v>0.0</v>
      </c>
      <c r="AB304" s="84">
        <v>0.0</v>
      </c>
      <c r="AC304" s="91">
        <v>0.0038314176245210726</v>
      </c>
      <c r="AD304" s="84">
        <v>0.0</v>
      </c>
      <c r="AE304" s="84">
        <v>0.0</v>
      </c>
      <c r="AF304" s="84">
        <v>0.0</v>
      </c>
      <c r="AG304" s="84">
        <v>0.0</v>
      </c>
      <c r="AH304" s="84">
        <v>0.0</v>
      </c>
      <c r="AI304" s="84">
        <v>0.0</v>
      </c>
      <c r="AJ304" s="84">
        <v>0.0</v>
      </c>
      <c r="AK304" s="84">
        <v>0.0</v>
      </c>
      <c r="AL304" s="84">
        <v>0.0</v>
      </c>
      <c r="AM304" s="84">
        <v>0.0</v>
      </c>
      <c r="AN304" s="93">
        <f t="shared" si="1"/>
        <v>0.005043538837</v>
      </c>
      <c r="AO304" s="84">
        <f t="shared" si="2"/>
        <v>0</v>
      </c>
    </row>
    <row r="305" ht="12.75" customHeight="1">
      <c r="A305" s="84" t="s">
        <v>4170</v>
      </c>
      <c r="B305" s="84">
        <v>0.0</v>
      </c>
      <c r="C305" s="84">
        <v>0.0</v>
      </c>
      <c r="D305" s="84">
        <v>0.0</v>
      </c>
      <c r="E305" s="84">
        <v>0.0</v>
      </c>
      <c r="F305" s="84">
        <v>0.0</v>
      </c>
      <c r="G305" s="84">
        <v>0.0</v>
      </c>
      <c r="H305" s="84">
        <v>0.0</v>
      </c>
      <c r="I305" s="91">
        <v>0.0012121212121212121</v>
      </c>
      <c r="J305" s="84">
        <v>0.0</v>
      </c>
      <c r="K305" s="84">
        <v>0.0</v>
      </c>
      <c r="L305" s="84">
        <v>0.0</v>
      </c>
      <c r="M305" s="84">
        <v>0.0</v>
      </c>
      <c r="N305" s="84">
        <v>0.0</v>
      </c>
      <c r="O305" s="84">
        <v>0.0</v>
      </c>
      <c r="P305" s="84">
        <v>0.0</v>
      </c>
      <c r="Q305" s="84">
        <v>0.0</v>
      </c>
      <c r="R305" s="84">
        <v>0.0</v>
      </c>
      <c r="S305" s="84">
        <v>0.0</v>
      </c>
      <c r="T305" s="84">
        <v>0.0</v>
      </c>
      <c r="U305" s="84">
        <v>0.0</v>
      </c>
      <c r="V305" s="84">
        <v>0.0</v>
      </c>
      <c r="W305" s="84">
        <v>0.0</v>
      </c>
      <c r="X305" s="84">
        <v>0.0</v>
      </c>
      <c r="Y305" s="84">
        <v>0.0</v>
      </c>
      <c r="Z305" s="84">
        <v>0.0</v>
      </c>
      <c r="AA305" s="84">
        <v>0.0</v>
      </c>
      <c r="AB305" s="84">
        <v>0.0</v>
      </c>
      <c r="AC305" s="91">
        <v>0.002554278416347382</v>
      </c>
      <c r="AD305" s="84">
        <v>0.0</v>
      </c>
      <c r="AE305" s="84">
        <v>0.0</v>
      </c>
      <c r="AF305" s="84">
        <v>0.0</v>
      </c>
      <c r="AG305" s="84">
        <v>0.0</v>
      </c>
      <c r="AH305" s="84">
        <v>0.0</v>
      </c>
      <c r="AI305" s="84">
        <v>0.0</v>
      </c>
      <c r="AJ305" s="84">
        <v>0.0</v>
      </c>
      <c r="AK305" s="84">
        <v>0.0</v>
      </c>
      <c r="AL305" s="84">
        <v>0.0</v>
      </c>
      <c r="AM305" s="84">
        <v>0.0</v>
      </c>
      <c r="AN305" s="93">
        <f t="shared" si="1"/>
        <v>0.003766399628</v>
      </c>
      <c r="AO305" s="84">
        <f t="shared" si="2"/>
        <v>0</v>
      </c>
    </row>
    <row r="306" ht="12.75" customHeight="1">
      <c r="A306" s="84" t="s">
        <v>4174</v>
      </c>
      <c r="B306" s="84">
        <v>0.0</v>
      </c>
      <c r="C306" s="84">
        <v>0.0</v>
      </c>
      <c r="D306" s="84">
        <v>0.0</v>
      </c>
      <c r="E306" s="84">
        <v>0.0</v>
      </c>
      <c r="F306" s="84">
        <v>0.0</v>
      </c>
      <c r="G306" s="84">
        <v>0.0</v>
      </c>
      <c r="H306" s="84">
        <v>0.0</v>
      </c>
      <c r="I306" s="91">
        <v>0.0012121212121212121</v>
      </c>
      <c r="J306" s="84">
        <v>0.0</v>
      </c>
      <c r="K306" s="84">
        <v>0.0</v>
      </c>
      <c r="L306" s="84">
        <v>0.0</v>
      </c>
      <c r="M306" s="84">
        <v>0.0</v>
      </c>
      <c r="N306" s="84">
        <v>0.0</v>
      </c>
      <c r="O306" s="84">
        <v>0.0</v>
      </c>
      <c r="P306" s="84">
        <v>0.0</v>
      </c>
      <c r="Q306" s="84">
        <v>0.0</v>
      </c>
      <c r="R306" s="84">
        <v>0.0</v>
      </c>
      <c r="S306" s="84">
        <v>0.0</v>
      </c>
      <c r="T306" s="84">
        <v>0.0</v>
      </c>
      <c r="U306" s="84">
        <v>0.0</v>
      </c>
      <c r="V306" s="84">
        <v>0.0</v>
      </c>
      <c r="W306" s="84">
        <v>0.0</v>
      </c>
      <c r="X306" s="84">
        <v>0.0</v>
      </c>
      <c r="Y306" s="84">
        <v>0.0</v>
      </c>
      <c r="Z306" s="84">
        <v>0.0</v>
      </c>
      <c r="AA306" s="84">
        <v>0.0</v>
      </c>
      <c r="AB306" s="84">
        <v>0.0</v>
      </c>
      <c r="AC306" s="91">
        <v>0.0038314176245210726</v>
      </c>
      <c r="AD306" s="84">
        <v>0.0</v>
      </c>
      <c r="AE306" s="84">
        <v>0.0</v>
      </c>
      <c r="AF306" s="84">
        <v>0.0</v>
      </c>
      <c r="AG306" s="84">
        <v>0.0</v>
      </c>
      <c r="AH306" s="84">
        <v>0.0</v>
      </c>
      <c r="AI306" s="84">
        <v>0.0</v>
      </c>
      <c r="AJ306" s="84">
        <v>0.0</v>
      </c>
      <c r="AK306" s="84">
        <v>0.0</v>
      </c>
      <c r="AL306" s="84">
        <v>0.0</v>
      </c>
      <c r="AM306" s="84">
        <v>0.0</v>
      </c>
      <c r="AN306" s="93">
        <f t="shared" si="1"/>
        <v>0.005043538837</v>
      </c>
      <c r="AO306" s="84">
        <f t="shared" si="2"/>
        <v>0</v>
      </c>
    </row>
    <row r="307" ht="12.75" customHeight="1">
      <c r="A307" s="84" t="s">
        <v>4206</v>
      </c>
      <c r="B307" s="84">
        <v>0.0</v>
      </c>
      <c r="C307" s="84">
        <v>0.0</v>
      </c>
      <c r="D307" s="84">
        <v>0.0</v>
      </c>
      <c r="E307" s="84">
        <v>0.0</v>
      </c>
      <c r="F307" s="84">
        <v>0.0</v>
      </c>
      <c r="G307" s="84">
        <v>0.0</v>
      </c>
      <c r="H307" s="84">
        <v>0.0</v>
      </c>
      <c r="I307" s="91">
        <v>0.0012121212121212121</v>
      </c>
      <c r="J307" s="84">
        <v>0.0</v>
      </c>
      <c r="K307" s="84">
        <v>0.0</v>
      </c>
      <c r="L307" s="84">
        <v>0.0</v>
      </c>
      <c r="M307" s="84">
        <v>0.0</v>
      </c>
      <c r="N307" s="84">
        <v>0.0</v>
      </c>
      <c r="O307" s="84">
        <v>0.0</v>
      </c>
      <c r="P307" s="84">
        <v>0.0</v>
      </c>
      <c r="Q307" s="84">
        <v>0.0</v>
      </c>
      <c r="R307" s="84">
        <v>0.0</v>
      </c>
      <c r="S307" s="84">
        <v>0.0</v>
      </c>
      <c r="T307" s="84">
        <v>0.0</v>
      </c>
      <c r="U307" s="84">
        <v>0.0</v>
      </c>
      <c r="V307" s="84">
        <v>0.0</v>
      </c>
      <c r="W307" s="84">
        <v>0.0</v>
      </c>
      <c r="X307" s="84">
        <v>0.0</v>
      </c>
      <c r="Y307" s="84">
        <v>0.0</v>
      </c>
      <c r="Z307" s="84">
        <v>0.0</v>
      </c>
      <c r="AA307" s="84">
        <v>0.0</v>
      </c>
      <c r="AB307" s="84">
        <v>0.0</v>
      </c>
      <c r="AC307" s="91">
        <v>0.0038314176245210726</v>
      </c>
      <c r="AD307" s="84">
        <v>0.0</v>
      </c>
      <c r="AE307" s="84">
        <v>0.0</v>
      </c>
      <c r="AF307" s="84">
        <v>0.0</v>
      </c>
      <c r="AG307" s="84">
        <v>0.0</v>
      </c>
      <c r="AH307" s="84">
        <v>0.0</v>
      </c>
      <c r="AI307" s="84">
        <v>0.0</v>
      </c>
      <c r="AJ307" s="84">
        <v>0.0</v>
      </c>
      <c r="AK307" s="84">
        <v>0.0</v>
      </c>
      <c r="AL307" s="84">
        <v>0.0</v>
      </c>
      <c r="AM307" s="84">
        <v>0.0</v>
      </c>
      <c r="AN307" s="93">
        <f t="shared" si="1"/>
        <v>0.005043538837</v>
      </c>
      <c r="AO307" s="84">
        <f t="shared" si="2"/>
        <v>0</v>
      </c>
    </row>
    <row r="308" ht="12.75" customHeight="1">
      <c r="A308" s="84" t="s">
        <v>4169</v>
      </c>
      <c r="B308" s="84">
        <v>0.0</v>
      </c>
      <c r="C308" s="84">
        <v>0.0</v>
      </c>
      <c r="D308" s="84">
        <v>0.0</v>
      </c>
      <c r="E308" s="84">
        <v>0.0</v>
      </c>
      <c r="F308" s="84">
        <v>0.0</v>
      </c>
      <c r="G308" s="84">
        <v>0.0</v>
      </c>
      <c r="H308" s="84">
        <v>0.0</v>
      </c>
      <c r="I308" s="91">
        <v>0.0012121212121212121</v>
      </c>
      <c r="J308" s="84">
        <v>0.0</v>
      </c>
      <c r="K308" s="84">
        <v>0.0</v>
      </c>
      <c r="L308" s="84">
        <v>0.0</v>
      </c>
      <c r="M308" s="84">
        <v>0.0</v>
      </c>
      <c r="N308" s="84">
        <v>0.0</v>
      </c>
      <c r="O308" s="84">
        <v>0.0</v>
      </c>
      <c r="P308" s="84">
        <v>0.0</v>
      </c>
      <c r="Q308" s="84">
        <v>0.0</v>
      </c>
      <c r="R308" s="84">
        <v>0.0</v>
      </c>
      <c r="S308" s="84">
        <v>0.0</v>
      </c>
      <c r="T308" s="84">
        <v>0.0</v>
      </c>
      <c r="U308" s="84">
        <v>0.0</v>
      </c>
      <c r="V308" s="84">
        <v>0.0</v>
      </c>
      <c r="W308" s="84">
        <v>0.0</v>
      </c>
      <c r="X308" s="84">
        <v>0.0</v>
      </c>
      <c r="Y308" s="84">
        <v>0.0</v>
      </c>
      <c r="Z308" s="84">
        <v>0.0</v>
      </c>
      <c r="AA308" s="84">
        <v>0.0</v>
      </c>
      <c r="AB308" s="84">
        <v>0.0</v>
      </c>
      <c r="AC308" s="91">
        <v>0.002554278416347382</v>
      </c>
      <c r="AD308" s="84">
        <v>0.0</v>
      </c>
      <c r="AE308" s="84">
        <v>0.0</v>
      </c>
      <c r="AF308" s="84">
        <v>0.0</v>
      </c>
      <c r="AG308" s="84">
        <v>0.0</v>
      </c>
      <c r="AH308" s="84">
        <v>0.0</v>
      </c>
      <c r="AI308" s="84">
        <v>0.0</v>
      </c>
      <c r="AJ308" s="84">
        <v>0.0</v>
      </c>
      <c r="AK308" s="84">
        <v>0.0</v>
      </c>
      <c r="AL308" s="84">
        <v>0.0</v>
      </c>
      <c r="AM308" s="84">
        <v>0.0</v>
      </c>
      <c r="AN308" s="93">
        <f t="shared" si="1"/>
        <v>0.003766399628</v>
      </c>
      <c r="AO308" s="84">
        <f t="shared" si="2"/>
        <v>0</v>
      </c>
    </row>
    <row r="309" ht="12.75" customHeight="1">
      <c r="A309" s="84" t="s">
        <v>4100</v>
      </c>
      <c r="B309" s="84">
        <v>0.0</v>
      </c>
      <c r="C309" s="84">
        <v>0.0</v>
      </c>
      <c r="D309" s="84">
        <v>0.0</v>
      </c>
      <c r="E309" s="84">
        <v>0.0</v>
      </c>
      <c r="F309" s="84">
        <v>0.0</v>
      </c>
      <c r="G309" s="84">
        <v>0.0</v>
      </c>
      <c r="H309" s="84">
        <v>0.0</v>
      </c>
      <c r="I309" s="91">
        <v>0.0012121212121212121</v>
      </c>
      <c r="J309" s="84">
        <v>0.0</v>
      </c>
      <c r="K309" s="84">
        <v>0.0</v>
      </c>
      <c r="L309" s="84">
        <v>0.0</v>
      </c>
      <c r="M309" s="84">
        <v>0.0</v>
      </c>
      <c r="N309" s="84">
        <v>0.0</v>
      </c>
      <c r="O309" s="84">
        <v>0.0</v>
      </c>
      <c r="P309" s="84">
        <v>0.0</v>
      </c>
      <c r="Q309" s="84">
        <v>0.0</v>
      </c>
      <c r="R309" s="84">
        <v>0.0</v>
      </c>
      <c r="S309" s="84">
        <v>0.0</v>
      </c>
      <c r="T309" s="84">
        <v>0.0</v>
      </c>
      <c r="U309" s="84">
        <v>0.0</v>
      </c>
      <c r="V309" s="84">
        <v>0.0</v>
      </c>
      <c r="W309" s="84">
        <v>0.0</v>
      </c>
      <c r="X309" s="84">
        <v>0.0</v>
      </c>
      <c r="Y309" s="84">
        <v>0.0</v>
      </c>
      <c r="Z309" s="84">
        <v>0.0</v>
      </c>
      <c r="AA309" s="84">
        <v>0.0</v>
      </c>
      <c r="AB309" s="84">
        <v>0.0</v>
      </c>
      <c r="AC309" s="91">
        <v>0.002554278416347382</v>
      </c>
      <c r="AD309" s="84">
        <v>0.0</v>
      </c>
      <c r="AE309" s="84">
        <v>0.0</v>
      </c>
      <c r="AF309" s="84">
        <v>0.0</v>
      </c>
      <c r="AG309" s="84">
        <v>0.0</v>
      </c>
      <c r="AH309" s="84">
        <v>0.0</v>
      </c>
      <c r="AI309" s="84">
        <v>0.0</v>
      </c>
      <c r="AJ309" s="84">
        <v>0.0</v>
      </c>
      <c r="AK309" s="84">
        <v>0.0</v>
      </c>
      <c r="AL309" s="84">
        <v>0.0</v>
      </c>
      <c r="AM309" s="84">
        <v>0.0</v>
      </c>
      <c r="AN309" s="93">
        <f t="shared" si="1"/>
        <v>0.003766399628</v>
      </c>
      <c r="AO309" s="84">
        <f t="shared" si="2"/>
        <v>0</v>
      </c>
    </row>
    <row r="310" ht="12.75" customHeight="1">
      <c r="A310" s="84" t="s">
        <v>4014</v>
      </c>
      <c r="B310" s="84">
        <v>0.0</v>
      </c>
      <c r="C310" s="84">
        <v>0.0</v>
      </c>
      <c r="D310" s="84">
        <v>0.0</v>
      </c>
      <c r="E310" s="84">
        <v>0.0</v>
      </c>
      <c r="F310" s="84">
        <v>0.0</v>
      </c>
      <c r="G310" s="84">
        <v>0.0</v>
      </c>
      <c r="H310" s="84">
        <v>0.0</v>
      </c>
      <c r="I310" s="91">
        <v>0.0012121212121212121</v>
      </c>
      <c r="J310" s="84">
        <v>0.0</v>
      </c>
      <c r="K310" s="84">
        <v>0.0</v>
      </c>
      <c r="L310" s="84">
        <v>0.0</v>
      </c>
      <c r="M310" s="84">
        <v>0.0</v>
      </c>
      <c r="N310" s="84">
        <v>0.0</v>
      </c>
      <c r="O310" s="84">
        <v>0.0</v>
      </c>
      <c r="P310" s="84">
        <v>0.0</v>
      </c>
      <c r="Q310" s="84">
        <v>0.0</v>
      </c>
      <c r="R310" s="84">
        <v>0.0</v>
      </c>
      <c r="S310" s="84">
        <v>0.0</v>
      </c>
      <c r="T310" s="84">
        <v>0.0</v>
      </c>
      <c r="U310" s="84">
        <v>0.0</v>
      </c>
      <c r="V310" s="84">
        <v>0.0</v>
      </c>
      <c r="W310" s="84">
        <v>0.0</v>
      </c>
      <c r="X310" s="84">
        <v>0.0</v>
      </c>
      <c r="Y310" s="84">
        <v>0.0</v>
      </c>
      <c r="Z310" s="84">
        <v>0.0</v>
      </c>
      <c r="AA310" s="84">
        <v>0.0</v>
      </c>
      <c r="AB310" s="84">
        <v>0.0</v>
      </c>
      <c r="AC310" s="91">
        <v>0.002554278416347382</v>
      </c>
      <c r="AD310" s="84">
        <v>0.0</v>
      </c>
      <c r="AE310" s="84">
        <v>0.0</v>
      </c>
      <c r="AF310" s="84">
        <v>0.0</v>
      </c>
      <c r="AG310" s="84">
        <v>0.0</v>
      </c>
      <c r="AH310" s="84">
        <v>0.0</v>
      </c>
      <c r="AI310" s="84">
        <v>0.0</v>
      </c>
      <c r="AJ310" s="84">
        <v>0.0</v>
      </c>
      <c r="AK310" s="84">
        <v>0.0</v>
      </c>
      <c r="AL310" s="84">
        <v>0.0</v>
      </c>
      <c r="AM310" s="84">
        <v>0.0</v>
      </c>
      <c r="AN310" s="93">
        <f t="shared" si="1"/>
        <v>0.003766399628</v>
      </c>
      <c r="AO310" s="84">
        <f t="shared" si="2"/>
        <v>0</v>
      </c>
    </row>
    <row r="311" ht="12.75" customHeight="1">
      <c r="A311" s="84" t="s">
        <v>4182</v>
      </c>
      <c r="B311" s="84">
        <v>0.0</v>
      </c>
      <c r="C311" s="84">
        <v>0.0</v>
      </c>
      <c r="D311" s="84">
        <v>0.0</v>
      </c>
      <c r="E311" s="84">
        <v>0.0</v>
      </c>
      <c r="F311" s="84">
        <v>0.0</v>
      </c>
      <c r="G311" s="84">
        <v>0.0</v>
      </c>
      <c r="H311" s="84">
        <v>0.0</v>
      </c>
      <c r="I311" s="91">
        <v>0.0012121212121212121</v>
      </c>
      <c r="J311" s="84">
        <v>0.0</v>
      </c>
      <c r="K311" s="84">
        <v>0.0</v>
      </c>
      <c r="L311" s="84">
        <v>0.0</v>
      </c>
      <c r="M311" s="84">
        <v>0.0</v>
      </c>
      <c r="N311" s="84">
        <v>0.0</v>
      </c>
      <c r="O311" s="84">
        <v>0.0</v>
      </c>
      <c r="P311" s="84">
        <v>0.0</v>
      </c>
      <c r="Q311" s="84">
        <v>0.0</v>
      </c>
      <c r="R311" s="84">
        <v>0.0</v>
      </c>
      <c r="S311" s="84">
        <v>0.0</v>
      </c>
      <c r="T311" s="84">
        <v>0.0</v>
      </c>
      <c r="U311" s="84">
        <v>0.0</v>
      </c>
      <c r="V311" s="84">
        <v>0.0</v>
      </c>
      <c r="W311" s="84">
        <v>0.0</v>
      </c>
      <c r="X311" s="84">
        <v>0.0</v>
      </c>
      <c r="Y311" s="84">
        <v>0.0</v>
      </c>
      <c r="Z311" s="84">
        <v>0.0</v>
      </c>
      <c r="AA311" s="84">
        <v>0.0</v>
      </c>
      <c r="AB311" s="84">
        <v>0.0</v>
      </c>
      <c r="AC311" s="91">
        <v>0.002554278416347382</v>
      </c>
      <c r="AD311" s="84">
        <v>0.0</v>
      </c>
      <c r="AE311" s="84">
        <v>0.0</v>
      </c>
      <c r="AF311" s="84">
        <v>0.0</v>
      </c>
      <c r="AG311" s="84">
        <v>0.0</v>
      </c>
      <c r="AH311" s="84">
        <v>0.0</v>
      </c>
      <c r="AI311" s="84">
        <v>0.0</v>
      </c>
      <c r="AJ311" s="84">
        <v>0.0</v>
      </c>
      <c r="AK311" s="84">
        <v>0.0</v>
      </c>
      <c r="AL311" s="84">
        <v>0.0</v>
      </c>
      <c r="AM311" s="84">
        <v>0.0</v>
      </c>
      <c r="AN311" s="93">
        <f t="shared" si="1"/>
        <v>0.003766399628</v>
      </c>
      <c r="AO311" s="84">
        <f t="shared" si="2"/>
        <v>0</v>
      </c>
    </row>
    <row r="312" ht="12.75" customHeight="1">
      <c r="A312" s="84" t="s">
        <v>4253</v>
      </c>
      <c r="B312" s="84">
        <v>0.0</v>
      </c>
      <c r="C312" s="84">
        <v>0.0</v>
      </c>
      <c r="D312" s="84">
        <v>0.0</v>
      </c>
      <c r="E312" s="84">
        <v>0.0</v>
      </c>
      <c r="F312" s="84">
        <v>0.0</v>
      </c>
      <c r="G312" s="84">
        <v>0.0</v>
      </c>
      <c r="H312" s="84">
        <v>0.0</v>
      </c>
      <c r="I312" s="91">
        <v>0.0012121212121212121</v>
      </c>
      <c r="J312" s="84">
        <v>0.0</v>
      </c>
      <c r="K312" s="84">
        <v>0.0</v>
      </c>
      <c r="L312" s="84">
        <v>0.0</v>
      </c>
      <c r="M312" s="84">
        <v>0.0</v>
      </c>
      <c r="N312" s="84">
        <v>0.0</v>
      </c>
      <c r="O312" s="84">
        <v>0.0</v>
      </c>
      <c r="P312" s="84">
        <v>0.0</v>
      </c>
      <c r="Q312" s="84">
        <v>0.0</v>
      </c>
      <c r="R312" s="84">
        <v>0.0</v>
      </c>
      <c r="S312" s="84">
        <v>0.0</v>
      </c>
      <c r="T312" s="84">
        <v>0.0</v>
      </c>
      <c r="U312" s="84">
        <v>0.0</v>
      </c>
      <c r="V312" s="84">
        <v>0.0</v>
      </c>
      <c r="W312" s="84">
        <v>0.0</v>
      </c>
      <c r="X312" s="84">
        <v>0.0</v>
      </c>
      <c r="Y312" s="84">
        <v>0.0</v>
      </c>
      <c r="Z312" s="84">
        <v>0.0</v>
      </c>
      <c r="AA312" s="84">
        <v>0.0</v>
      </c>
      <c r="AB312" s="84">
        <v>0.0</v>
      </c>
      <c r="AC312" s="91">
        <v>0.002554278416347382</v>
      </c>
      <c r="AD312" s="84">
        <v>0.0</v>
      </c>
      <c r="AE312" s="84">
        <v>0.0</v>
      </c>
      <c r="AF312" s="84">
        <v>0.0</v>
      </c>
      <c r="AG312" s="84">
        <v>0.0</v>
      </c>
      <c r="AH312" s="84">
        <v>0.0</v>
      </c>
      <c r="AI312" s="84">
        <v>0.0</v>
      </c>
      <c r="AJ312" s="84">
        <v>0.0</v>
      </c>
      <c r="AK312" s="84">
        <v>0.0</v>
      </c>
      <c r="AL312" s="84">
        <v>0.0</v>
      </c>
      <c r="AM312" s="84">
        <v>0.0</v>
      </c>
      <c r="AN312" s="93">
        <f t="shared" si="1"/>
        <v>0.003766399628</v>
      </c>
      <c r="AO312" s="84">
        <f t="shared" si="2"/>
        <v>0</v>
      </c>
    </row>
    <row r="313" ht="12.75" customHeight="1">
      <c r="A313" s="84" t="s">
        <v>4196</v>
      </c>
      <c r="B313" s="84">
        <v>0.0</v>
      </c>
      <c r="C313" s="84">
        <v>0.0</v>
      </c>
      <c r="D313" s="84">
        <v>0.0</v>
      </c>
      <c r="E313" s="84">
        <v>0.0</v>
      </c>
      <c r="F313" s="84">
        <v>0.0</v>
      </c>
      <c r="G313" s="84">
        <v>0.0</v>
      </c>
      <c r="H313" s="84">
        <v>0.0</v>
      </c>
      <c r="I313" s="91">
        <v>0.0012121212121212121</v>
      </c>
      <c r="J313" s="84">
        <v>0.0</v>
      </c>
      <c r="K313" s="84">
        <v>0.0</v>
      </c>
      <c r="L313" s="84">
        <v>0.0</v>
      </c>
      <c r="M313" s="84">
        <v>0.0</v>
      </c>
      <c r="N313" s="84">
        <v>0.0</v>
      </c>
      <c r="O313" s="84">
        <v>0.0</v>
      </c>
      <c r="P313" s="84">
        <v>0.0</v>
      </c>
      <c r="Q313" s="84">
        <v>0.0</v>
      </c>
      <c r="R313" s="84">
        <v>0.0</v>
      </c>
      <c r="S313" s="84">
        <v>0.0</v>
      </c>
      <c r="T313" s="84">
        <v>0.0</v>
      </c>
      <c r="U313" s="84">
        <v>0.0</v>
      </c>
      <c r="V313" s="84">
        <v>0.0</v>
      </c>
      <c r="W313" s="84">
        <v>0.0</v>
      </c>
      <c r="X313" s="84">
        <v>0.0</v>
      </c>
      <c r="Y313" s="84">
        <v>0.0</v>
      </c>
      <c r="Z313" s="84">
        <v>0.0</v>
      </c>
      <c r="AA313" s="84">
        <v>0.0</v>
      </c>
      <c r="AB313" s="84">
        <v>0.0</v>
      </c>
      <c r="AC313" s="91">
        <v>0.0038314176245210726</v>
      </c>
      <c r="AD313" s="84">
        <v>0.0</v>
      </c>
      <c r="AE313" s="84">
        <v>0.0</v>
      </c>
      <c r="AF313" s="84">
        <v>0.0</v>
      </c>
      <c r="AG313" s="84">
        <v>0.0</v>
      </c>
      <c r="AH313" s="84">
        <v>0.0</v>
      </c>
      <c r="AI313" s="84">
        <v>0.0</v>
      </c>
      <c r="AJ313" s="84">
        <v>0.0</v>
      </c>
      <c r="AK313" s="84">
        <v>0.0</v>
      </c>
      <c r="AL313" s="84">
        <v>0.0</v>
      </c>
      <c r="AM313" s="84">
        <v>0.0</v>
      </c>
      <c r="AN313" s="93">
        <f t="shared" si="1"/>
        <v>0.005043538837</v>
      </c>
      <c r="AO313" s="84">
        <f t="shared" si="2"/>
        <v>0</v>
      </c>
    </row>
    <row r="314" ht="12.75" customHeight="1">
      <c r="A314" s="84" t="s">
        <v>4140</v>
      </c>
      <c r="B314" s="84">
        <v>0.0</v>
      </c>
      <c r="C314" s="84">
        <v>0.0</v>
      </c>
      <c r="D314" s="84">
        <v>0.0</v>
      </c>
      <c r="E314" s="84">
        <v>0.0</v>
      </c>
      <c r="F314" s="84">
        <v>0.0</v>
      </c>
      <c r="G314" s="84">
        <v>0.0</v>
      </c>
      <c r="H314" s="84">
        <v>0.0</v>
      </c>
      <c r="I314" s="91">
        <v>0.0012121212121212121</v>
      </c>
      <c r="J314" s="84">
        <v>0.0</v>
      </c>
      <c r="K314" s="84">
        <v>0.0</v>
      </c>
      <c r="L314" s="84">
        <v>0.0</v>
      </c>
      <c r="M314" s="84">
        <v>0.0</v>
      </c>
      <c r="N314" s="84">
        <v>0.0</v>
      </c>
      <c r="O314" s="84">
        <v>0.0</v>
      </c>
      <c r="P314" s="84">
        <v>0.0</v>
      </c>
      <c r="Q314" s="84">
        <v>0.0</v>
      </c>
      <c r="R314" s="84">
        <v>0.0</v>
      </c>
      <c r="S314" s="84">
        <v>0.0</v>
      </c>
      <c r="T314" s="84">
        <v>0.0</v>
      </c>
      <c r="U314" s="84">
        <v>0.0</v>
      </c>
      <c r="V314" s="84">
        <v>0.0</v>
      </c>
      <c r="W314" s="84">
        <v>0.0</v>
      </c>
      <c r="X314" s="84">
        <v>0.0</v>
      </c>
      <c r="Y314" s="84">
        <v>0.0</v>
      </c>
      <c r="Z314" s="84">
        <v>0.0</v>
      </c>
      <c r="AA314" s="84">
        <v>0.0</v>
      </c>
      <c r="AB314" s="84">
        <v>0.0</v>
      </c>
      <c r="AC314" s="91">
        <v>0.002554278416347382</v>
      </c>
      <c r="AD314" s="84">
        <v>0.0</v>
      </c>
      <c r="AE314" s="84">
        <v>0.0</v>
      </c>
      <c r="AF314" s="84">
        <v>0.0</v>
      </c>
      <c r="AG314" s="84">
        <v>0.0</v>
      </c>
      <c r="AH314" s="84">
        <v>0.0</v>
      </c>
      <c r="AI314" s="84">
        <v>0.0</v>
      </c>
      <c r="AJ314" s="84">
        <v>0.0</v>
      </c>
      <c r="AK314" s="84">
        <v>0.0</v>
      </c>
      <c r="AL314" s="84">
        <v>0.0</v>
      </c>
      <c r="AM314" s="84">
        <v>0.0</v>
      </c>
      <c r="AN314" s="93">
        <f t="shared" si="1"/>
        <v>0.003766399628</v>
      </c>
      <c r="AO314" s="84">
        <f t="shared" si="2"/>
        <v>0</v>
      </c>
    </row>
    <row r="315" ht="12.75" customHeight="1">
      <c r="A315" s="84" t="s">
        <v>4274</v>
      </c>
      <c r="B315" s="84">
        <v>0.0</v>
      </c>
      <c r="C315" s="84">
        <v>0.0</v>
      </c>
      <c r="D315" s="84">
        <v>0.0</v>
      </c>
      <c r="E315" s="84">
        <v>0.0</v>
      </c>
      <c r="F315" s="84">
        <v>0.0</v>
      </c>
      <c r="G315" s="84">
        <v>0.0</v>
      </c>
      <c r="H315" s="84">
        <v>0.0</v>
      </c>
      <c r="I315" s="91">
        <v>0.0012121212121212121</v>
      </c>
      <c r="J315" s="84">
        <v>0.0</v>
      </c>
      <c r="K315" s="84">
        <v>0.0</v>
      </c>
      <c r="L315" s="84">
        <v>0.0</v>
      </c>
      <c r="M315" s="84">
        <v>0.0</v>
      </c>
      <c r="N315" s="84">
        <v>0.0</v>
      </c>
      <c r="O315" s="84">
        <v>0.0</v>
      </c>
      <c r="P315" s="84">
        <v>0.0</v>
      </c>
      <c r="Q315" s="84">
        <v>0.0</v>
      </c>
      <c r="R315" s="84">
        <v>0.0</v>
      </c>
      <c r="S315" s="84">
        <v>0.0</v>
      </c>
      <c r="T315" s="84">
        <v>0.0</v>
      </c>
      <c r="U315" s="84">
        <v>0.0</v>
      </c>
      <c r="V315" s="84">
        <v>0.0</v>
      </c>
      <c r="W315" s="84">
        <v>0.0</v>
      </c>
      <c r="X315" s="84">
        <v>0.0</v>
      </c>
      <c r="Y315" s="84">
        <v>0.0</v>
      </c>
      <c r="Z315" s="84">
        <v>0.0</v>
      </c>
      <c r="AA315" s="84">
        <v>0.0</v>
      </c>
      <c r="AB315" s="84">
        <v>0.0</v>
      </c>
      <c r="AC315" s="91">
        <v>0.002554278416347382</v>
      </c>
      <c r="AD315" s="84">
        <v>0.0</v>
      </c>
      <c r="AE315" s="84">
        <v>0.0</v>
      </c>
      <c r="AF315" s="84">
        <v>0.0</v>
      </c>
      <c r="AG315" s="84">
        <v>0.0</v>
      </c>
      <c r="AH315" s="84">
        <v>0.0</v>
      </c>
      <c r="AI315" s="84">
        <v>0.0</v>
      </c>
      <c r="AJ315" s="84">
        <v>0.0</v>
      </c>
      <c r="AK315" s="84">
        <v>0.0</v>
      </c>
      <c r="AL315" s="84">
        <v>0.0</v>
      </c>
      <c r="AM315" s="84">
        <v>0.0</v>
      </c>
      <c r="AN315" s="93">
        <f t="shared" si="1"/>
        <v>0.003766399628</v>
      </c>
      <c r="AO315" s="84">
        <f t="shared" si="2"/>
        <v>0</v>
      </c>
    </row>
    <row r="316" ht="12.75" customHeight="1">
      <c r="A316" s="84" t="s">
        <v>4433</v>
      </c>
      <c r="B316" s="84">
        <v>0.0</v>
      </c>
      <c r="C316" s="84">
        <v>0.0</v>
      </c>
      <c r="D316" s="84">
        <v>0.0</v>
      </c>
      <c r="E316" s="84">
        <v>0.0</v>
      </c>
      <c r="F316" s="84">
        <v>0.0</v>
      </c>
      <c r="G316" s="84">
        <v>0.0</v>
      </c>
      <c r="H316" s="84">
        <v>0.0</v>
      </c>
      <c r="I316" s="91">
        <v>0.0012121212121212121</v>
      </c>
      <c r="J316" s="84">
        <v>0.0</v>
      </c>
      <c r="K316" s="84">
        <v>0.0</v>
      </c>
      <c r="L316" s="84">
        <v>0.0</v>
      </c>
      <c r="M316" s="84">
        <v>0.0</v>
      </c>
      <c r="N316" s="84">
        <v>0.0</v>
      </c>
      <c r="O316" s="84">
        <v>0.0</v>
      </c>
      <c r="P316" s="84">
        <v>0.0</v>
      </c>
      <c r="Q316" s="84">
        <v>0.0</v>
      </c>
      <c r="R316" s="84">
        <v>0.0</v>
      </c>
      <c r="S316" s="84">
        <v>0.0</v>
      </c>
      <c r="T316" s="84">
        <v>0.0</v>
      </c>
      <c r="U316" s="84">
        <v>0.0</v>
      </c>
      <c r="V316" s="84">
        <v>0.0</v>
      </c>
      <c r="W316" s="84">
        <v>0.0</v>
      </c>
      <c r="X316" s="84">
        <v>0.0</v>
      </c>
      <c r="Y316" s="84">
        <v>0.0</v>
      </c>
      <c r="Z316" s="84">
        <v>0.0</v>
      </c>
      <c r="AA316" s="84">
        <v>0.0</v>
      </c>
      <c r="AB316" s="84">
        <v>0.0</v>
      </c>
      <c r="AC316" s="91">
        <v>0.0038314176245210726</v>
      </c>
      <c r="AD316" s="84">
        <v>0.0</v>
      </c>
      <c r="AE316" s="84">
        <v>0.0</v>
      </c>
      <c r="AF316" s="84">
        <v>0.0</v>
      </c>
      <c r="AG316" s="84">
        <v>0.0</v>
      </c>
      <c r="AH316" s="84">
        <v>0.0</v>
      </c>
      <c r="AI316" s="84">
        <v>0.0</v>
      </c>
      <c r="AJ316" s="84">
        <v>0.0</v>
      </c>
      <c r="AK316" s="84">
        <v>0.0</v>
      </c>
      <c r="AL316" s="84">
        <v>0.0</v>
      </c>
      <c r="AM316" s="84">
        <v>0.0</v>
      </c>
      <c r="AN316" s="93">
        <f t="shared" si="1"/>
        <v>0.005043538837</v>
      </c>
      <c r="AO316" s="84">
        <f t="shared" si="2"/>
        <v>0</v>
      </c>
    </row>
    <row r="317" ht="12.75" customHeight="1">
      <c r="A317" s="84" t="s">
        <v>4203</v>
      </c>
      <c r="B317" s="84">
        <v>0.0</v>
      </c>
      <c r="C317" s="84">
        <v>0.0</v>
      </c>
      <c r="D317" s="84">
        <v>0.0</v>
      </c>
      <c r="E317" s="84">
        <v>0.0</v>
      </c>
      <c r="F317" s="84">
        <v>0.0</v>
      </c>
      <c r="G317" s="84">
        <v>0.0</v>
      </c>
      <c r="H317" s="84">
        <v>0.0</v>
      </c>
      <c r="I317" s="91">
        <v>0.0012121212121212121</v>
      </c>
      <c r="J317" s="84">
        <v>0.0</v>
      </c>
      <c r="K317" s="84">
        <v>0.0</v>
      </c>
      <c r="L317" s="84">
        <v>0.0</v>
      </c>
      <c r="M317" s="84">
        <v>0.0</v>
      </c>
      <c r="N317" s="84">
        <v>0.0</v>
      </c>
      <c r="O317" s="84">
        <v>0.0</v>
      </c>
      <c r="P317" s="84">
        <v>0.0</v>
      </c>
      <c r="Q317" s="84">
        <v>0.0</v>
      </c>
      <c r="R317" s="84">
        <v>0.0</v>
      </c>
      <c r="S317" s="84">
        <v>0.0</v>
      </c>
      <c r="T317" s="84">
        <v>0.0</v>
      </c>
      <c r="U317" s="84">
        <v>0.0</v>
      </c>
      <c r="V317" s="84">
        <v>0.0</v>
      </c>
      <c r="W317" s="84">
        <v>0.0</v>
      </c>
      <c r="X317" s="84">
        <v>0.0</v>
      </c>
      <c r="Y317" s="84">
        <v>0.0</v>
      </c>
      <c r="Z317" s="84">
        <v>0.0</v>
      </c>
      <c r="AA317" s="84">
        <v>0.0</v>
      </c>
      <c r="AB317" s="84">
        <v>0.0</v>
      </c>
      <c r="AC317" s="91">
        <v>0.002554278416347382</v>
      </c>
      <c r="AD317" s="84">
        <v>0.0</v>
      </c>
      <c r="AE317" s="84">
        <v>0.0</v>
      </c>
      <c r="AF317" s="84">
        <v>0.0</v>
      </c>
      <c r="AG317" s="84">
        <v>0.0</v>
      </c>
      <c r="AH317" s="84">
        <v>0.0</v>
      </c>
      <c r="AI317" s="84">
        <v>0.0</v>
      </c>
      <c r="AJ317" s="84">
        <v>0.0</v>
      </c>
      <c r="AK317" s="84">
        <v>0.0</v>
      </c>
      <c r="AL317" s="84">
        <v>0.0</v>
      </c>
      <c r="AM317" s="84">
        <v>0.0</v>
      </c>
      <c r="AN317" s="93">
        <f t="shared" si="1"/>
        <v>0.003766399628</v>
      </c>
      <c r="AO317" s="84">
        <f t="shared" si="2"/>
        <v>0</v>
      </c>
    </row>
    <row r="318" ht="12.75" customHeight="1">
      <c r="A318" s="84" t="s">
        <v>4147</v>
      </c>
      <c r="B318" s="84">
        <v>0.0</v>
      </c>
      <c r="C318" s="84">
        <v>0.0</v>
      </c>
      <c r="D318" s="84">
        <v>0.0</v>
      </c>
      <c r="E318" s="84">
        <v>0.0</v>
      </c>
      <c r="F318" s="84">
        <v>0.0</v>
      </c>
      <c r="G318" s="84">
        <v>0.0</v>
      </c>
      <c r="H318" s="84">
        <v>0.0</v>
      </c>
      <c r="I318" s="91">
        <v>0.0012121212121212121</v>
      </c>
      <c r="J318" s="84">
        <v>0.0</v>
      </c>
      <c r="K318" s="84">
        <v>0.0</v>
      </c>
      <c r="L318" s="84">
        <v>0.0</v>
      </c>
      <c r="M318" s="84">
        <v>0.0</v>
      </c>
      <c r="N318" s="84">
        <v>0.0</v>
      </c>
      <c r="O318" s="84">
        <v>0.0</v>
      </c>
      <c r="P318" s="84">
        <v>0.0</v>
      </c>
      <c r="Q318" s="84">
        <v>0.0</v>
      </c>
      <c r="R318" s="84">
        <v>0.0</v>
      </c>
      <c r="S318" s="84">
        <v>0.0</v>
      </c>
      <c r="T318" s="84">
        <v>0.0</v>
      </c>
      <c r="U318" s="84">
        <v>0.0</v>
      </c>
      <c r="V318" s="84">
        <v>0.0</v>
      </c>
      <c r="W318" s="84">
        <v>0.0</v>
      </c>
      <c r="X318" s="84">
        <v>0.0</v>
      </c>
      <c r="Y318" s="84">
        <v>0.0</v>
      </c>
      <c r="Z318" s="84">
        <v>0.0</v>
      </c>
      <c r="AA318" s="84">
        <v>0.0</v>
      </c>
      <c r="AB318" s="84">
        <v>0.0</v>
      </c>
      <c r="AC318" s="91">
        <v>0.002554278416347382</v>
      </c>
      <c r="AD318" s="84">
        <v>0.0</v>
      </c>
      <c r="AE318" s="84">
        <v>0.0</v>
      </c>
      <c r="AF318" s="84">
        <v>0.0</v>
      </c>
      <c r="AG318" s="84">
        <v>0.0</v>
      </c>
      <c r="AH318" s="84">
        <v>0.0</v>
      </c>
      <c r="AI318" s="84">
        <v>0.0</v>
      </c>
      <c r="AJ318" s="84">
        <v>0.0</v>
      </c>
      <c r="AK318" s="84">
        <v>0.0</v>
      </c>
      <c r="AL318" s="84">
        <v>0.0</v>
      </c>
      <c r="AM318" s="84">
        <v>0.0</v>
      </c>
      <c r="AN318" s="93">
        <f t="shared" si="1"/>
        <v>0.003766399628</v>
      </c>
      <c r="AO318" s="84">
        <f t="shared" si="2"/>
        <v>0</v>
      </c>
    </row>
    <row r="319" ht="12.75" customHeight="1">
      <c r="A319" s="84" t="s">
        <v>4122</v>
      </c>
      <c r="B319" s="84">
        <v>0.0</v>
      </c>
      <c r="C319" s="84">
        <v>0.0</v>
      </c>
      <c r="D319" s="84">
        <v>0.0</v>
      </c>
      <c r="E319" s="84">
        <v>0.0</v>
      </c>
      <c r="F319" s="84">
        <v>0.0</v>
      </c>
      <c r="G319" s="84">
        <v>0.0</v>
      </c>
      <c r="H319" s="84">
        <v>0.0</v>
      </c>
      <c r="I319" s="91">
        <v>0.0012121212121212121</v>
      </c>
      <c r="J319" s="84">
        <v>0.0</v>
      </c>
      <c r="K319" s="84">
        <v>0.0</v>
      </c>
      <c r="L319" s="84">
        <v>0.0</v>
      </c>
      <c r="M319" s="84">
        <v>0.0</v>
      </c>
      <c r="N319" s="84">
        <v>0.0</v>
      </c>
      <c r="O319" s="84">
        <v>0.0</v>
      </c>
      <c r="P319" s="84">
        <v>0.0</v>
      </c>
      <c r="Q319" s="84">
        <v>0.0</v>
      </c>
      <c r="R319" s="84">
        <v>0.0</v>
      </c>
      <c r="S319" s="84">
        <v>0.0</v>
      </c>
      <c r="T319" s="84">
        <v>0.0</v>
      </c>
      <c r="U319" s="84">
        <v>0.0</v>
      </c>
      <c r="V319" s="84">
        <v>0.0</v>
      </c>
      <c r="W319" s="84">
        <v>0.0</v>
      </c>
      <c r="X319" s="84">
        <v>0.0</v>
      </c>
      <c r="Y319" s="84">
        <v>0.0</v>
      </c>
      <c r="Z319" s="84">
        <v>0.0</v>
      </c>
      <c r="AA319" s="84">
        <v>0.0</v>
      </c>
      <c r="AB319" s="84">
        <v>0.0</v>
      </c>
      <c r="AC319" s="91">
        <v>0.0038314176245210726</v>
      </c>
      <c r="AD319" s="84">
        <v>0.0</v>
      </c>
      <c r="AE319" s="84">
        <v>0.0</v>
      </c>
      <c r="AF319" s="84">
        <v>0.0</v>
      </c>
      <c r="AG319" s="84">
        <v>0.0</v>
      </c>
      <c r="AH319" s="84">
        <v>0.0</v>
      </c>
      <c r="AI319" s="84">
        <v>0.0</v>
      </c>
      <c r="AJ319" s="84">
        <v>0.0</v>
      </c>
      <c r="AK319" s="84">
        <v>0.0</v>
      </c>
      <c r="AL319" s="84">
        <v>0.0</v>
      </c>
      <c r="AM319" s="84">
        <v>0.0</v>
      </c>
      <c r="AN319" s="93">
        <f t="shared" si="1"/>
        <v>0.005043538837</v>
      </c>
      <c r="AO319" s="84">
        <f t="shared" si="2"/>
        <v>0</v>
      </c>
    </row>
    <row r="320" ht="12.75" customHeight="1">
      <c r="A320" s="84" t="s">
        <v>4181</v>
      </c>
      <c r="B320" s="84">
        <v>0.0</v>
      </c>
      <c r="C320" s="84">
        <v>0.0</v>
      </c>
      <c r="D320" s="84">
        <v>0.0</v>
      </c>
      <c r="E320" s="84">
        <v>0.0</v>
      </c>
      <c r="F320" s="84">
        <v>0.0</v>
      </c>
      <c r="G320" s="84">
        <v>0.0</v>
      </c>
      <c r="H320" s="84">
        <v>0.0</v>
      </c>
      <c r="I320" s="91">
        <v>0.0012121212121212121</v>
      </c>
      <c r="J320" s="84">
        <v>0.0</v>
      </c>
      <c r="K320" s="84">
        <v>0.0</v>
      </c>
      <c r="L320" s="84">
        <v>0.0</v>
      </c>
      <c r="M320" s="84">
        <v>0.0</v>
      </c>
      <c r="N320" s="84">
        <v>0.0</v>
      </c>
      <c r="O320" s="84">
        <v>0.0</v>
      </c>
      <c r="P320" s="84">
        <v>0.0</v>
      </c>
      <c r="Q320" s="84">
        <v>0.0</v>
      </c>
      <c r="R320" s="84">
        <v>0.0</v>
      </c>
      <c r="S320" s="84">
        <v>0.0</v>
      </c>
      <c r="T320" s="84">
        <v>0.0</v>
      </c>
      <c r="U320" s="84">
        <v>0.0</v>
      </c>
      <c r="V320" s="84">
        <v>0.0</v>
      </c>
      <c r="W320" s="84">
        <v>0.0</v>
      </c>
      <c r="X320" s="84">
        <v>0.0</v>
      </c>
      <c r="Y320" s="84">
        <v>0.0</v>
      </c>
      <c r="Z320" s="84">
        <v>0.0</v>
      </c>
      <c r="AA320" s="84">
        <v>0.0</v>
      </c>
      <c r="AB320" s="84">
        <v>0.0</v>
      </c>
      <c r="AC320" s="91">
        <v>0.002554278416347382</v>
      </c>
      <c r="AD320" s="84">
        <v>0.0</v>
      </c>
      <c r="AE320" s="84">
        <v>0.0</v>
      </c>
      <c r="AF320" s="84">
        <v>0.0</v>
      </c>
      <c r="AG320" s="84">
        <v>0.0</v>
      </c>
      <c r="AH320" s="84">
        <v>0.0</v>
      </c>
      <c r="AI320" s="84">
        <v>0.0</v>
      </c>
      <c r="AJ320" s="84">
        <v>0.0</v>
      </c>
      <c r="AK320" s="84">
        <v>0.0</v>
      </c>
      <c r="AL320" s="84">
        <v>0.0</v>
      </c>
      <c r="AM320" s="84">
        <v>0.0</v>
      </c>
      <c r="AN320" s="93">
        <f t="shared" si="1"/>
        <v>0.003766399628</v>
      </c>
      <c r="AO320" s="84">
        <f t="shared" si="2"/>
        <v>0</v>
      </c>
    </row>
    <row r="321" ht="12.75" customHeight="1">
      <c r="A321" s="84" t="s">
        <v>4063</v>
      </c>
      <c r="B321" s="84">
        <v>0.0</v>
      </c>
      <c r="C321" s="84">
        <v>0.0</v>
      </c>
      <c r="D321" s="84">
        <v>0.0</v>
      </c>
      <c r="E321" s="84">
        <v>0.0</v>
      </c>
      <c r="F321" s="84">
        <v>0.0</v>
      </c>
      <c r="G321" s="84">
        <v>0.0</v>
      </c>
      <c r="H321" s="84">
        <v>0.0</v>
      </c>
      <c r="I321" s="91">
        <v>0.0012121212121212121</v>
      </c>
      <c r="J321" s="84">
        <v>0.0</v>
      </c>
      <c r="K321" s="84">
        <v>0.0</v>
      </c>
      <c r="L321" s="84">
        <v>0.0</v>
      </c>
      <c r="M321" s="84">
        <v>0.0</v>
      </c>
      <c r="N321" s="84">
        <v>0.0</v>
      </c>
      <c r="O321" s="84">
        <v>0.0</v>
      </c>
      <c r="P321" s="84">
        <v>0.0</v>
      </c>
      <c r="Q321" s="84">
        <v>0.0</v>
      </c>
      <c r="R321" s="84">
        <v>0.0</v>
      </c>
      <c r="S321" s="84">
        <v>0.0</v>
      </c>
      <c r="T321" s="84">
        <v>0.0</v>
      </c>
      <c r="U321" s="84">
        <v>0.0</v>
      </c>
      <c r="V321" s="84">
        <v>0.0</v>
      </c>
      <c r="W321" s="84">
        <v>0.0</v>
      </c>
      <c r="X321" s="84">
        <v>0.0</v>
      </c>
      <c r="Y321" s="84">
        <v>0.0</v>
      </c>
      <c r="Z321" s="84">
        <v>0.0</v>
      </c>
      <c r="AA321" s="84">
        <v>0.0</v>
      </c>
      <c r="AB321" s="84">
        <v>0.0</v>
      </c>
      <c r="AC321" s="91">
        <v>0.002554278416347382</v>
      </c>
      <c r="AD321" s="84">
        <v>0.0</v>
      </c>
      <c r="AE321" s="84">
        <v>0.0</v>
      </c>
      <c r="AF321" s="84">
        <v>0.0</v>
      </c>
      <c r="AG321" s="84">
        <v>0.0</v>
      </c>
      <c r="AH321" s="84">
        <v>0.0</v>
      </c>
      <c r="AI321" s="84">
        <v>0.0</v>
      </c>
      <c r="AJ321" s="84">
        <v>0.0</v>
      </c>
      <c r="AK321" s="84">
        <v>0.0</v>
      </c>
      <c r="AL321" s="84">
        <v>0.0</v>
      </c>
      <c r="AM321" s="84">
        <v>0.0</v>
      </c>
      <c r="AN321" s="93">
        <f t="shared" si="1"/>
        <v>0.003766399628</v>
      </c>
      <c r="AO321" s="84">
        <f t="shared" si="2"/>
        <v>0</v>
      </c>
    </row>
    <row r="322" ht="12.75" customHeight="1">
      <c r="A322" s="84" t="s">
        <v>4205</v>
      </c>
      <c r="B322" s="84">
        <v>0.0</v>
      </c>
      <c r="C322" s="84">
        <v>0.0</v>
      </c>
      <c r="D322" s="84">
        <v>0.0</v>
      </c>
      <c r="E322" s="84">
        <v>0.0</v>
      </c>
      <c r="F322" s="84">
        <v>0.0</v>
      </c>
      <c r="G322" s="84">
        <v>0.0</v>
      </c>
      <c r="H322" s="84">
        <v>0.0</v>
      </c>
      <c r="I322" s="91">
        <v>0.0012121212121212121</v>
      </c>
      <c r="J322" s="84">
        <v>0.0</v>
      </c>
      <c r="K322" s="84">
        <v>0.0</v>
      </c>
      <c r="L322" s="84">
        <v>0.0</v>
      </c>
      <c r="M322" s="84">
        <v>0.0</v>
      </c>
      <c r="N322" s="84">
        <v>0.0</v>
      </c>
      <c r="O322" s="84">
        <v>0.0</v>
      </c>
      <c r="P322" s="84">
        <v>0.0</v>
      </c>
      <c r="Q322" s="84">
        <v>0.0</v>
      </c>
      <c r="R322" s="84">
        <v>0.0</v>
      </c>
      <c r="S322" s="84">
        <v>0.0</v>
      </c>
      <c r="T322" s="84">
        <v>0.0</v>
      </c>
      <c r="U322" s="84">
        <v>0.0</v>
      </c>
      <c r="V322" s="84">
        <v>0.0</v>
      </c>
      <c r="W322" s="84">
        <v>0.0</v>
      </c>
      <c r="X322" s="84">
        <v>0.0</v>
      </c>
      <c r="Y322" s="84">
        <v>0.0</v>
      </c>
      <c r="Z322" s="84">
        <v>0.0</v>
      </c>
      <c r="AA322" s="84">
        <v>0.0</v>
      </c>
      <c r="AB322" s="84">
        <v>0.0</v>
      </c>
      <c r="AC322" s="91">
        <v>0.002554278416347382</v>
      </c>
      <c r="AD322" s="84">
        <v>0.0</v>
      </c>
      <c r="AE322" s="84">
        <v>0.0</v>
      </c>
      <c r="AF322" s="84">
        <v>0.0</v>
      </c>
      <c r="AG322" s="84">
        <v>0.0</v>
      </c>
      <c r="AH322" s="84">
        <v>0.0</v>
      </c>
      <c r="AI322" s="84">
        <v>0.0</v>
      </c>
      <c r="AJ322" s="84">
        <v>0.0</v>
      </c>
      <c r="AK322" s="84">
        <v>0.0</v>
      </c>
      <c r="AL322" s="84">
        <v>0.0</v>
      </c>
      <c r="AM322" s="84">
        <v>0.0</v>
      </c>
      <c r="AN322" s="93">
        <f t="shared" si="1"/>
        <v>0.003766399628</v>
      </c>
      <c r="AO322" s="84">
        <f t="shared" si="2"/>
        <v>0</v>
      </c>
    </row>
    <row r="323" ht="12.75" customHeight="1">
      <c r="A323" s="84" t="s">
        <v>4079</v>
      </c>
      <c r="B323" s="84">
        <v>0.0</v>
      </c>
      <c r="C323" s="84">
        <v>0.0</v>
      </c>
      <c r="D323" s="84">
        <v>0.0</v>
      </c>
      <c r="E323" s="84">
        <v>0.0</v>
      </c>
      <c r="F323" s="84">
        <v>0.0</v>
      </c>
      <c r="G323" s="84">
        <v>0.0</v>
      </c>
      <c r="H323" s="84">
        <v>0.0</v>
      </c>
      <c r="I323" s="91">
        <v>0.0012121212121212121</v>
      </c>
      <c r="J323" s="84">
        <v>0.0</v>
      </c>
      <c r="K323" s="84">
        <v>0.0</v>
      </c>
      <c r="L323" s="84">
        <v>0.0</v>
      </c>
      <c r="M323" s="84">
        <v>0.0</v>
      </c>
      <c r="N323" s="84">
        <v>0.0</v>
      </c>
      <c r="O323" s="84">
        <v>0.0</v>
      </c>
      <c r="P323" s="84">
        <v>0.0</v>
      </c>
      <c r="Q323" s="84">
        <v>0.0</v>
      </c>
      <c r="R323" s="84">
        <v>0.0</v>
      </c>
      <c r="S323" s="84">
        <v>0.0</v>
      </c>
      <c r="T323" s="84">
        <v>0.0</v>
      </c>
      <c r="U323" s="84">
        <v>0.0</v>
      </c>
      <c r="V323" s="84">
        <v>0.0</v>
      </c>
      <c r="W323" s="84">
        <v>0.0</v>
      </c>
      <c r="X323" s="84">
        <v>0.0</v>
      </c>
      <c r="Y323" s="84">
        <v>0.0</v>
      </c>
      <c r="Z323" s="84">
        <v>0.0</v>
      </c>
      <c r="AA323" s="84">
        <v>0.0</v>
      </c>
      <c r="AB323" s="84">
        <v>0.0</v>
      </c>
      <c r="AC323" s="91">
        <v>0.002554278416347382</v>
      </c>
      <c r="AD323" s="84">
        <v>0.0</v>
      </c>
      <c r="AE323" s="84">
        <v>0.0</v>
      </c>
      <c r="AF323" s="84">
        <v>0.0</v>
      </c>
      <c r="AG323" s="84">
        <v>0.0</v>
      </c>
      <c r="AH323" s="84">
        <v>0.0</v>
      </c>
      <c r="AI323" s="84">
        <v>0.0</v>
      </c>
      <c r="AJ323" s="84">
        <v>0.0</v>
      </c>
      <c r="AK323" s="84">
        <v>0.0</v>
      </c>
      <c r="AL323" s="84">
        <v>0.0</v>
      </c>
      <c r="AM323" s="84">
        <v>0.0</v>
      </c>
      <c r="AN323" s="93">
        <f t="shared" si="1"/>
        <v>0.003766399628</v>
      </c>
      <c r="AO323" s="84">
        <f t="shared" si="2"/>
        <v>0</v>
      </c>
    </row>
    <row r="324" ht="12.75" customHeight="1">
      <c r="A324" s="84" t="s">
        <v>4177</v>
      </c>
      <c r="B324" s="84">
        <v>0.0</v>
      </c>
      <c r="C324" s="84">
        <v>0.0</v>
      </c>
      <c r="D324" s="84">
        <v>0.0</v>
      </c>
      <c r="E324" s="84">
        <v>0.0</v>
      </c>
      <c r="F324" s="84">
        <v>0.0</v>
      </c>
      <c r="G324" s="84">
        <v>0.0</v>
      </c>
      <c r="H324" s="84">
        <v>0.0</v>
      </c>
      <c r="I324" s="91">
        <v>0.0012121212121212121</v>
      </c>
      <c r="J324" s="84">
        <v>0.0</v>
      </c>
      <c r="K324" s="84">
        <v>0.0</v>
      </c>
      <c r="L324" s="84">
        <v>0.0</v>
      </c>
      <c r="M324" s="84">
        <v>0.0</v>
      </c>
      <c r="N324" s="84">
        <v>0.0</v>
      </c>
      <c r="O324" s="84">
        <v>0.0</v>
      </c>
      <c r="P324" s="84">
        <v>0.0</v>
      </c>
      <c r="Q324" s="84">
        <v>0.0</v>
      </c>
      <c r="R324" s="84">
        <v>0.0</v>
      </c>
      <c r="S324" s="84">
        <v>0.0</v>
      </c>
      <c r="T324" s="84">
        <v>0.0</v>
      </c>
      <c r="U324" s="84">
        <v>0.0</v>
      </c>
      <c r="V324" s="84">
        <v>0.0</v>
      </c>
      <c r="W324" s="84">
        <v>0.0</v>
      </c>
      <c r="X324" s="84">
        <v>0.0</v>
      </c>
      <c r="Y324" s="84">
        <v>0.0</v>
      </c>
      <c r="Z324" s="84">
        <v>0.0</v>
      </c>
      <c r="AA324" s="84">
        <v>0.0</v>
      </c>
      <c r="AB324" s="84">
        <v>0.0</v>
      </c>
      <c r="AC324" s="91">
        <v>0.0038314176245210726</v>
      </c>
      <c r="AD324" s="84">
        <v>0.0</v>
      </c>
      <c r="AE324" s="84">
        <v>0.0</v>
      </c>
      <c r="AF324" s="84">
        <v>0.0</v>
      </c>
      <c r="AG324" s="84">
        <v>0.0</v>
      </c>
      <c r="AH324" s="84">
        <v>0.0</v>
      </c>
      <c r="AI324" s="84">
        <v>0.0</v>
      </c>
      <c r="AJ324" s="84">
        <v>0.0</v>
      </c>
      <c r="AK324" s="84">
        <v>0.0</v>
      </c>
      <c r="AL324" s="84">
        <v>0.0</v>
      </c>
      <c r="AM324" s="84">
        <v>0.0</v>
      </c>
      <c r="AN324" s="93">
        <f t="shared" si="1"/>
        <v>0.005043538837</v>
      </c>
      <c r="AO324" s="84">
        <f t="shared" si="2"/>
        <v>0</v>
      </c>
    </row>
    <row r="325" ht="12.75" customHeight="1">
      <c r="A325" s="84" t="s">
        <v>4070</v>
      </c>
      <c r="B325" s="84">
        <v>0.0</v>
      </c>
      <c r="C325" s="84">
        <v>0.0</v>
      </c>
      <c r="D325" s="84">
        <v>0.0</v>
      </c>
      <c r="E325" s="84">
        <v>0.0</v>
      </c>
      <c r="F325" s="84">
        <v>0.0</v>
      </c>
      <c r="G325" s="84">
        <v>0.0</v>
      </c>
      <c r="H325" s="84">
        <v>0.0</v>
      </c>
      <c r="I325" s="91">
        <v>0.0012121212121212121</v>
      </c>
      <c r="J325" s="84">
        <v>0.0</v>
      </c>
      <c r="K325" s="84">
        <v>0.0</v>
      </c>
      <c r="L325" s="84">
        <v>0.0</v>
      </c>
      <c r="M325" s="84">
        <v>0.0</v>
      </c>
      <c r="N325" s="84">
        <v>0.0</v>
      </c>
      <c r="O325" s="84">
        <v>0.0</v>
      </c>
      <c r="P325" s="84">
        <v>0.0</v>
      </c>
      <c r="Q325" s="84">
        <v>0.0</v>
      </c>
      <c r="R325" s="84">
        <v>0.0</v>
      </c>
      <c r="S325" s="84">
        <v>0.0</v>
      </c>
      <c r="T325" s="84">
        <v>0.0</v>
      </c>
      <c r="U325" s="84">
        <v>0.0</v>
      </c>
      <c r="V325" s="84">
        <v>0.0</v>
      </c>
      <c r="W325" s="84">
        <v>0.0</v>
      </c>
      <c r="X325" s="84">
        <v>0.0</v>
      </c>
      <c r="Y325" s="84">
        <v>0.0</v>
      </c>
      <c r="Z325" s="84">
        <v>0.0</v>
      </c>
      <c r="AA325" s="84">
        <v>0.0</v>
      </c>
      <c r="AB325" s="84">
        <v>0.0</v>
      </c>
      <c r="AC325" s="91">
        <v>0.002554278416347382</v>
      </c>
      <c r="AD325" s="84">
        <v>0.0</v>
      </c>
      <c r="AE325" s="84">
        <v>0.0</v>
      </c>
      <c r="AF325" s="84">
        <v>0.0</v>
      </c>
      <c r="AG325" s="84">
        <v>0.0</v>
      </c>
      <c r="AH325" s="84">
        <v>0.0</v>
      </c>
      <c r="AI325" s="84">
        <v>0.0</v>
      </c>
      <c r="AJ325" s="84">
        <v>0.0</v>
      </c>
      <c r="AK325" s="84">
        <v>0.0</v>
      </c>
      <c r="AL325" s="84">
        <v>0.0</v>
      </c>
      <c r="AM325" s="84">
        <v>0.0</v>
      </c>
      <c r="AN325" s="93">
        <f t="shared" si="1"/>
        <v>0.003766399628</v>
      </c>
      <c r="AO325" s="84">
        <f t="shared" si="2"/>
        <v>0</v>
      </c>
    </row>
    <row r="326" ht="12.75" customHeight="1">
      <c r="A326" s="84" t="s">
        <v>4180</v>
      </c>
      <c r="B326" s="84">
        <v>0.0</v>
      </c>
      <c r="C326" s="84">
        <v>0.0</v>
      </c>
      <c r="D326" s="84">
        <v>0.0</v>
      </c>
      <c r="E326" s="84">
        <v>0.0</v>
      </c>
      <c r="F326" s="84">
        <v>0.0</v>
      </c>
      <c r="G326" s="84">
        <v>0.0</v>
      </c>
      <c r="H326" s="84">
        <v>0.0</v>
      </c>
      <c r="I326" s="91">
        <v>0.0012121212121212121</v>
      </c>
      <c r="J326" s="84">
        <v>0.0</v>
      </c>
      <c r="K326" s="84">
        <v>0.0</v>
      </c>
      <c r="L326" s="84">
        <v>0.0</v>
      </c>
      <c r="M326" s="84">
        <v>0.0</v>
      </c>
      <c r="N326" s="84">
        <v>0.0</v>
      </c>
      <c r="O326" s="84">
        <v>0.0</v>
      </c>
      <c r="P326" s="84">
        <v>0.0</v>
      </c>
      <c r="Q326" s="84">
        <v>0.0</v>
      </c>
      <c r="R326" s="84">
        <v>0.0</v>
      </c>
      <c r="S326" s="84">
        <v>0.0</v>
      </c>
      <c r="T326" s="84">
        <v>0.0</v>
      </c>
      <c r="U326" s="84">
        <v>0.0</v>
      </c>
      <c r="V326" s="84">
        <v>0.0</v>
      </c>
      <c r="W326" s="84">
        <v>0.0</v>
      </c>
      <c r="X326" s="84">
        <v>0.0</v>
      </c>
      <c r="Y326" s="84">
        <v>0.0</v>
      </c>
      <c r="Z326" s="84">
        <v>0.0</v>
      </c>
      <c r="AA326" s="84">
        <v>0.0</v>
      </c>
      <c r="AB326" s="84">
        <v>0.0</v>
      </c>
      <c r="AC326" s="91">
        <v>0.002554278416347382</v>
      </c>
      <c r="AD326" s="84">
        <v>0.0</v>
      </c>
      <c r="AE326" s="84">
        <v>0.0</v>
      </c>
      <c r="AF326" s="84">
        <v>0.0</v>
      </c>
      <c r="AG326" s="84">
        <v>0.0</v>
      </c>
      <c r="AH326" s="84">
        <v>0.0</v>
      </c>
      <c r="AI326" s="84">
        <v>0.0</v>
      </c>
      <c r="AJ326" s="84">
        <v>0.0</v>
      </c>
      <c r="AK326" s="84">
        <v>0.0</v>
      </c>
      <c r="AL326" s="84">
        <v>0.0</v>
      </c>
      <c r="AM326" s="84">
        <v>0.0</v>
      </c>
      <c r="AN326" s="93">
        <f t="shared" si="1"/>
        <v>0.003766399628</v>
      </c>
      <c r="AO326" s="84">
        <f t="shared" si="2"/>
        <v>0</v>
      </c>
    </row>
    <row r="327" ht="12.75" customHeight="1">
      <c r="A327" s="84" t="s">
        <v>4012</v>
      </c>
      <c r="B327" s="84">
        <v>0.0</v>
      </c>
      <c r="C327" s="84">
        <v>0.0</v>
      </c>
      <c r="D327" s="84">
        <v>0.0</v>
      </c>
      <c r="E327" s="84">
        <v>0.0</v>
      </c>
      <c r="F327" s="84">
        <v>0.0</v>
      </c>
      <c r="G327" s="84">
        <v>0.0</v>
      </c>
      <c r="H327" s="84">
        <v>0.0</v>
      </c>
      <c r="I327" s="91">
        <v>0.0012121212121212121</v>
      </c>
      <c r="J327" s="84">
        <v>0.0</v>
      </c>
      <c r="K327" s="84">
        <v>0.0</v>
      </c>
      <c r="L327" s="84">
        <v>0.0</v>
      </c>
      <c r="M327" s="84">
        <v>0.0</v>
      </c>
      <c r="N327" s="84">
        <v>0.0</v>
      </c>
      <c r="O327" s="84">
        <v>0.0</v>
      </c>
      <c r="P327" s="84">
        <v>0.0</v>
      </c>
      <c r="Q327" s="84">
        <v>0.0</v>
      </c>
      <c r="R327" s="84">
        <v>0.0</v>
      </c>
      <c r="S327" s="84">
        <v>0.0</v>
      </c>
      <c r="T327" s="84">
        <v>0.0</v>
      </c>
      <c r="U327" s="84">
        <v>0.0</v>
      </c>
      <c r="V327" s="84">
        <v>0.0</v>
      </c>
      <c r="W327" s="84">
        <v>0.0</v>
      </c>
      <c r="X327" s="84">
        <v>0.0</v>
      </c>
      <c r="Y327" s="84">
        <v>0.0</v>
      </c>
      <c r="Z327" s="84">
        <v>0.0</v>
      </c>
      <c r="AA327" s="84">
        <v>0.0</v>
      </c>
      <c r="AB327" s="84">
        <v>0.0</v>
      </c>
      <c r="AC327" s="91">
        <v>0.0038314176245210726</v>
      </c>
      <c r="AD327" s="84">
        <v>0.0</v>
      </c>
      <c r="AE327" s="84">
        <v>0.0</v>
      </c>
      <c r="AF327" s="84">
        <v>0.0</v>
      </c>
      <c r="AG327" s="84">
        <v>0.0</v>
      </c>
      <c r="AH327" s="84">
        <v>0.0</v>
      </c>
      <c r="AI327" s="84">
        <v>0.0</v>
      </c>
      <c r="AJ327" s="84">
        <v>0.0</v>
      </c>
      <c r="AK327" s="84">
        <v>0.0</v>
      </c>
      <c r="AL327" s="84">
        <v>0.0</v>
      </c>
      <c r="AM327" s="84">
        <v>0.0</v>
      </c>
      <c r="AN327" s="93">
        <f t="shared" si="1"/>
        <v>0.005043538837</v>
      </c>
      <c r="AO327" s="84">
        <f t="shared" si="2"/>
        <v>0</v>
      </c>
    </row>
    <row r="328" ht="12.75" customHeight="1">
      <c r="A328" s="84" t="s">
        <v>4015</v>
      </c>
      <c r="B328" s="84">
        <v>0.0</v>
      </c>
      <c r="C328" s="84">
        <v>0.0</v>
      </c>
      <c r="D328" s="84">
        <v>0.0</v>
      </c>
      <c r="E328" s="84">
        <v>0.0</v>
      </c>
      <c r="F328" s="84">
        <v>0.0</v>
      </c>
      <c r="G328" s="84">
        <v>0.0</v>
      </c>
      <c r="H328" s="84">
        <v>0.0</v>
      </c>
      <c r="I328" s="91">
        <v>0.0012121212121212121</v>
      </c>
      <c r="J328" s="84">
        <v>0.0</v>
      </c>
      <c r="K328" s="84">
        <v>0.0</v>
      </c>
      <c r="L328" s="84">
        <v>0.0</v>
      </c>
      <c r="M328" s="84">
        <v>0.0</v>
      </c>
      <c r="N328" s="84">
        <v>0.0</v>
      </c>
      <c r="O328" s="84">
        <v>0.0</v>
      </c>
      <c r="P328" s="84">
        <v>0.0</v>
      </c>
      <c r="Q328" s="84">
        <v>0.0</v>
      </c>
      <c r="R328" s="84">
        <v>0.0</v>
      </c>
      <c r="S328" s="84">
        <v>0.0</v>
      </c>
      <c r="T328" s="84">
        <v>0.0</v>
      </c>
      <c r="U328" s="84">
        <v>0.0</v>
      </c>
      <c r="V328" s="84">
        <v>0.0</v>
      </c>
      <c r="W328" s="84">
        <v>0.0</v>
      </c>
      <c r="X328" s="84">
        <v>0.0</v>
      </c>
      <c r="Y328" s="84">
        <v>0.0</v>
      </c>
      <c r="Z328" s="84">
        <v>0.0</v>
      </c>
      <c r="AA328" s="84">
        <v>0.0</v>
      </c>
      <c r="AB328" s="84">
        <v>0.0</v>
      </c>
      <c r="AC328" s="91">
        <v>0.002554278416347382</v>
      </c>
      <c r="AD328" s="84">
        <v>0.0</v>
      </c>
      <c r="AE328" s="84">
        <v>0.0</v>
      </c>
      <c r="AF328" s="84">
        <v>0.0</v>
      </c>
      <c r="AG328" s="84">
        <v>0.0</v>
      </c>
      <c r="AH328" s="84">
        <v>0.0</v>
      </c>
      <c r="AI328" s="84">
        <v>0.0</v>
      </c>
      <c r="AJ328" s="84">
        <v>0.0</v>
      </c>
      <c r="AK328" s="84">
        <v>0.0</v>
      </c>
      <c r="AL328" s="84">
        <v>0.0</v>
      </c>
      <c r="AM328" s="84">
        <v>0.0</v>
      </c>
      <c r="AN328" s="93">
        <f t="shared" si="1"/>
        <v>0.003766399628</v>
      </c>
      <c r="AO328" s="84">
        <f t="shared" si="2"/>
        <v>0</v>
      </c>
    </row>
    <row r="329" ht="12.75" customHeight="1">
      <c r="A329" s="84" t="s">
        <v>4022</v>
      </c>
      <c r="B329" s="84">
        <v>0.0</v>
      </c>
      <c r="C329" s="84">
        <v>0.0</v>
      </c>
      <c r="D329" s="84">
        <v>0.0</v>
      </c>
      <c r="E329" s="84">
        <v>0.0</v>
      </c>
      <c r="F329" s="84">
        <v>0.0</v>
      </c>
      <c r="G329" s="84">
        <v>0.0</v>
      </c>
      <c r="H329" s="84">
        <v>0.0</v>
      </c>
      <c r="I329" s="91">
        <v>0.0012121212121212121</v>
      </c>
      <c r="J329" s="84">
        <v>0.0</v>
      </c>
      <c r="K329" s="84">
        <v>0.0</v>
      </c>
      <c r="L329" s="84">
        <v>0.0</v>
      </c>
      <c r="M329" s="84">
        <v>0.0</v>
      </c>
      <c r="N329" s="84">
        <v>0.0</v>
      </c>
      <c r="O329" s="84">
        <v>0.0</v>
      </c>
      <c r="P329" s="84">
        <v>0.0</v>
      </c>
      <c r="Q329" s="84">
        <v>0.0</v>
      </c>
      <c r="R329" s="84">
        <v>0.0</v>
      </c>
      <c r="S329" s="84">
        <v>0.0</v>
      </c>
      <c r="T329" s="84">
        <v>0.0</v>
      </c>
      <c r="U329" s="84">
        <v>0.0</v>
      </c>
      <c r="V329" s="84">
        <v>0.0</v>
      </c>
      <c r="W329" s="84">
        <v>0.0</v>
      </c>
      <c r="X329" s="84">
        <v>0.0</v>
      </c>
      <c r="Y329" s="84">
        <v>0.0</v>
      </c>
      <c r="Z329" s="84">
        <v>0.0</v>
      </c>
      <c r="AA329" s="84">
        <v>0.0</v>
      </c>
      <c r="AB329" s="84">
        <v>1.0</v>
      </c>
      <c r="AC329" s="91">
        <v>0.0038314176245210726</v>
      </c>
      <c r="AD329" s="84">
        <v>0.0</v>
      </c>
      <c r="AE329" s="84">
        <v>0.0</v>
      </c>
      <c r="AF329" s="84">
        <v>0.0</v>
      </c>
      <c r="AG329" s="84">
        <v>0.0</v>
      </c>
      <c r="AH329" s="84">
        <v>0.0</v>
      </c>
      <c r="AI329" s="84">
        <v>0.0</v>
      </c>
      <c r="AJ329" s="84">
        <v>0.0</v>
      </c>
      <c r="AK329" s="84">
        <v>0.0</v>
      </c>
      <c r="AL329" s="84">
        <v>0.0</v>
      </c>
      <c r="AM329" s="84">
        <v>0.0</v>
      </c>
      <c r="AN329" s="93">
        <f t="shared" si="1"/>
        <v>0.005043538837</v>
      </c>
      <c r="AO329" s="84">
        <f t="shared" si="2"/>
        <v>0</v>
      </c>
    </row>
    <row r="330" ht="12.75" customHeight="1">
      <c r="A330" s="84" t="s">
        <v>4094</v>
      </c>
      <c r="B330" s="84">
        <v>0.0</v>
      </c>
      <c r="C330" s="84">
        <v>0.0</v>
      </c>
      <c r="D330" s="84">
        <v>0.0</v>
      </c>
      <c r="E330" s="84">
        <v>0.0</v>
      </c>
      <c r="F330" s="84">
        <v>0.0</v>
      </c>
      <c r="G330" s="84">
        <v>0.0</v>
      </c>
      <c r="H330" s="84">
        <v>0.0</v>
      </c>
      <c r="I330" s="91">
        <v>0.0012121212121212121</v>
      </c>
      <c r="J330" s="84">
        <v>0.0</v>
      </c>
      <c r="K330" s="84">
        <v>0.0</v>
      </c>
      <c r="L330" s="84">
        <v>0.0</v>
      </c>
      <c r="M330" s="84">
        <v>0.0</v>
      </c>
      <c r="N330" s="84">
        <v>0.0</v>
      </c>
      <c r="O330" s="84">
        <v>0.0</v>
      </c>
      <c r="P330" s="84">
        <v>0.0</v>
      </c>
      <c r="Q330" s="84">
        <v>0.0</v>
      </c>
      <c r="R330" s="84">
        <v>0.0</v>
      </c>
      <c r="S330" s="84">
        <v>0.0</v>
      </c>
      <c r="T330" s="84">
        <v>0.0</v>
      </c>
      <c r="U330" s="84">
        <v>0.0</v>
      </c>
      <c r="V330" s="84">
        <v>0.0</v>
      </c>
      <c r="W330" s="84">
        <v>0.0</v>
      </c>
      <c r="X330" s="84">
        <v>0.0</v>
      </c>
      <c r="Y330" s="84">
        <v>0.0</v>
      </c>
      <c r="Z330" s="84">
        <v>0.0</v>
      </c>
      <c r="AA330" s="84">
        <v>0.0</v>
      </c>
      <c r="AB330" s="84">
        <v>0.0</v>
      </c>
      <c r="AC330" s="91">
        <v>0.002554278416347382</v>
      </c>
      <c r="AD330" s="84">
        <v>0.0</v>
      </c>
      <c r="AE330" s="84">
        <v>0.0</v>
      </c>
      <c r="AF330" s="84">
        <v>0.0</v>
      </c>
      <c r="AG330" s="84">
        <v>0.0</v>
      </c>
      <c r="AH330" s="84">
        <v>0.0</v>
      </c>
      <c r="AI330" s="84">
        <v>0.0</v>
      </c>
      <c r="AJ330" s="84">
        <v>0.0</v>
      </c>
      <c r="AK330" s="84">
        <v>0.0</v>
      </c>
      <c r="AL330" s="84">
        <v>0.0</v>
      </c>
      <c r="AM330" s="84">
        <v>0.0</v>
      </c>
      <c r="AN330" s="93">
        <f t="shared" si="1"/>
        <v>0.003766399628</v>
      </c>
      <c r="AO330" s="84">
        <f t="shared" si="2"/>
        <v>0</v>
      </c>
    </row>
    <row r="331" ht="12.75" customHeight="1">
      <c r="A331" s="84" t="s">
        <v>4129</v>
      </c>
      <c r="B331" s="84">
        <v>0.0</v>
      </c>
      <c r="C331" s="84">
        <v>0.0</v>
      </c>
      <c r="D331" s="84">
        <v>0.0</v>
      </c>
      <c r="E331" s="84">
        <v>0.0</v>
      </c>
      <c r="F331" s="84">
        <v>0.0</v>
      </c>
      <c r="G331" s="84">
        <v>0.0</v>
      </c>
      <c r="H331" s="84">
        <v>0.0</v>
      </c>
      <c r="I331" s="91">
        <v>0.0012121212121212121</v>
      </c>
      <c r="J331" s="84">
        <v>0.0</v>
      </c>
      <c r="K331" s="84">
        <v>0.0</v>
      </c>
      <c r="L331" s="84">
        <v>0.0</v>
      </c>
      <c r="M331" s="84">
        <v>0.0</v>
      </c>
      <c r="N331" s="84">
        <v>0.0</v>
      </c>
      <c r="O331" s="84">
        <v>0.0</v>
      </c>
      <c r="P331" s="84">
        <v>0.0</v>
      </c>
      <c r="Q331" s="84">
        <v>0.0</v>
      </c>
      <c r="R331" s="84">
        <v>0.0</v>
      </c>
      <c r="S331" s="84">
        <v>0.0</v>
      </c>
      <c r="T331" s="84">
        <v>0.0</v>
      </c>
      <c r="U331" s="84">
        <v>0.0</v>
      </c>
      <c r="V331" s="84">
        <v>0.0</v>
      </c>
      <c r="W331" s="84">
        <v>0.0</v>
      </c>
      <c r="X331" s="84">
        <v>0.0</v>
      </c>
      <c r="Y331" s="84">
        <v>0.0</v>
      </c>
      <c r="Z331" s="84">
        <v>0.0</v>
      </c>
      <c r="AA331" s="84">
        <v>0.0</v>
      </c>
      <c r="AB331" s="84">
        <v>0.0</v>
      </c>
      <c r="AC331" s="91">
        <v>0.002554278416347382</v>
      </c>
      <c r="AD331" s="84">
        <v>0.0</v>
      </c>
      <c r="AE331" s="84">
        <v>0.0</v>
      </c>
      <c r="AF331" s="84">
        <v>0.0</v>
      </c>
      <c r="AG331" s="84">
        <v>0.0</v>
      </c>
      <c r="AH331" s="84">
        <v>0.0</v>
      </c>
      <c r="AI331" s="84">
        <v>0.0</v>
      </c>
      <c r="AJ331" s="84">
        <v>0.0</v>
      </c>
      <c r="AK331" s="84">
        <v>0.0</v>
      </c>
      <c r="AL331" s="84">
        <v>0.0</v>
      </c>
      <c r="AM331" s="84">
        <v>0.0</v>
      </c>
      <c r="AN331" s="93">
        <f t="shared" si="1"/>
        <v>0.003766399628</v>
      </c>
      <c r="AO331" s="84">
        <f t="shared" si="2"/>
        <v>0</v>
      </c>
    </row>
    <row r="332" ht="12.75" customHeight="1">
      <c r="A332" s="84" t="s">
        <v>4026</v>
      </c>
      <c r="B332" s="84">
        <v>0.0</v>
      </c>
      <c r="C332" s="84">
        <v>0.0</v>
      </c>
      <c r="D332" s="84">
        <v>0.0</v>
      </c>
      <c r="E332" s="84">
        <v>0.0</v>
      </c>
      <c r="F332" s="84">
        <v>0.0</v>
      </c>
      <c r="G332" s="84">
        <v>0.0</v>
      </c>
      <c r="H332" s="84">
        <v>0.0</v>
      </c>
      <c r="I332" s="91">
        <v>0.0012121212121212121</v>
      </c>
      <c r="J332" s="84">
        <v>0.0</v>
      </c>
      <c r="K332" s="84">
        <v>0.0</v>
      </c>
      <c r="L332" s="84">
        <v>0.0</v>
      </c>
      <c r="M332" s="84">
        <v>0.0</v>
      </c>
      <c r="N332" s="84">
        <v>0.0</v>
      </c>
      <c r="O332" s="84">
        <v>0.0</v>
      </c>
      <c r="P332" s="84">
        <v>0.0</v>
      </c>
      <c r="Q332" s="84">
        <v>0.0</v>
      </c>
      <c r="R332" s="84">
        <v>0.0</v>
      </c>
      <c r="S332" s="84">
        <v>0.0</v>
      </c>
      <c r="T332" s="84">
        <v>0.0</v>
      </c>
      <c r="U332" s="84">
        <v>0.0</v>
      </c>
      <c r="V332" s="84">
        <v>0.0</v>
      </c>
      <c r="W332" s="84">
        <v>0.0</v>
      </c>
      <c r="X332" s="84">
        <v>0.0</v>
      </c>
      <c r="Y332" s="84">
        <v>0.0</v>
      </c>
      <c r="Z332" s="84">
        <v>0.0</v>
      </c>
      <c r="AA332" s="84">
        <v>0.0</v>
      </c>
      <c r="AB332" s="84">
        <v>0.0</v>
      </c>
      <c r="AC332" s="91">
        <v>0.002554278416347382</v>
      </c>
      <c r="AD332" s="84">
        <v>0.0</v>
      </c>
      <c r="AE332" s="84">
        <v>0.0</v>
      </c>
      <c r="AF332" s="84">
        <v>0.0</v>
      </c>
      <c r="AG332" s="84">
        <v>0.0</v>
      </c>
      <c r="AH332" s="84">
        <v>0.0</v>
      </c>
      <c r="AI332" s="84">
        <v>0.0</v>
      </c>
      <c r="AJ332" s="84">
        <v>0.0</v>
      </c>
      <c r="AK332" s="84">
        <v>0.0</v>
      </c>
      <c r="AL332" s="84">
        <v>0.0</v>
      </c>
      <c r="AM332" s="84">
        <v>0.0</v>
      </c>
      <c r="AN332" s="93">
        <f t="shared" si="1"/>
        <v>0.003766399628</v>
      </c>
      <c r="AO332" s="84">
        <f t="shared" si="2"/>
        <v>0</v>
      </c>
    </row>
    <row r="333" ht="12.75" customHeight="1">
      <c r="A333" s="84" t="s">
        <v>4173</v>
      </c>
      <c r="B333" s="84">
        <v>0.0</v>
      </c>
      <c r="C333" s="84">
        <v>0.0</v>
      </c>
      <c r="D333" s="84">
        <v>0.0</v>
      </c>
      <c r="E333" s="84">
        <v>0.0</v>
      </c>
      <c r="F333" s="84">
        <v>0.0</v>
      </c>
      <c r="G333" s="84">
        <v>0.0</v>
      </c>
      <c r="H333" s="84">
        <v>0.0</v>
      </c>
      <c r="I333" s="91">
        <v>0.0012121212121212121</v>
      </c>
      <c r="J333" s="84">
        <v>0.0</v>
      </c>
      <c r="K333" s="84">
        <v>0.0</v>
      </c>
      <c r="L333" s="84">
        <v>0.0</v>
      </c>
      <c r="M333" s="84">
        <v>0.0</v>
      </c>
      <c r="N333" s="84">
        <v>0.0</v>
      </c>
      <c r="O333" s="84">
        <v>0.0</v>
      </c>
      <c r="P333" s="84">
        <v>0.0</v>
      </c>
      <c r="Q333" s="84">
        <v>0.0</v>
      </c>
      <c r="R333" s="84">
        <v>0.0</v>
      </c>
      <c r="S333" s="84">
        <v>0.0</v>
      </c>
      <c r="T333" s="84">
        <v>0.0</v>
      </c>
      <c r="U333" s="84">
        <v>0.0</v>
      </c>
      <c r="V333" s="84">
        <v>0.0</v>
      </c>
      <c r="W333" s="84">
        <v>0.0</v>
      </c>
      <c r="X333" s="84">
        <v>0.0</v>
      </c>
      <c r="Y333" s="84">
        <v>0.0</v>
      </c>
      <c r="Z333" s="84">
        <v>0.0</v>
      </c>
      <c r="AA333" s="84">
        <v>0.0</v>
      </c>
      <c r="AB333" s="84">
        <v>0.0</v>
      </c>
      <c r="AC333" s="91">
        <v>0.002554278416347382</v>
      </c>
      <c r="AD333" s="84">
        <v>0.0</v>
      </c>
      <c r="AE333" s="84">
        <v>0.0</v>
      </c>
      <c r="AF333" s="84">
        <v>0.0</v>
      </c>
      <c r="AG333" s="84">
        <v>0.0</v>
      </c>
      <c r="AH333" s="84">
        <v>0.0</v>
      </c>
      <c r="AI333" s="84">
        <v>0.0</v>
      </c>
      <c r="AJ333" s="84">
        <v>0.0</v>
      </c>
      <c r="AK333" s="84">
        <v>0.0</v>
      </c>
      <c r="AL333" s="84">
        <v>0.0</v>
      </c>
      <c r="AM333" s="84">
        <v>0.0</v>
      </c>
      <c r="AN333" s="93">
        <f t="shared" si="1"/>
        <v>0.003766399628</v>
      </c>
      <c r="AO333" s="84">
        <f t="shared" si="2"/>
        <v>0</v>
      </c>
    </row>
    <row r="334" ht="12.75" customHeight="1">
      <c r="A334" s="84" t="s">
        <v>4144</v>
      </c>
      <c r="B334" s="84">
        <v>0.0</v>
      </c>
      <c r="C334" s="84">
        <v>0.0</v>
      </c>
      <c r="D334" s="84">
        <v>0.0</v>
      </c>
      <c r="E334" s="84">
        <v>0.0</v>
      </c>
      <c r="F334" s="84">
        <v>0.0</v>
      </c>
      <c r="G334" s="84">
        <v>0.0</v>
      </c>
      <c r="H334" s="84">
        <v>0.0</v>
      </c>
      <c r="I334" s="91">
        <v>0.0012121212121212121</v>
      </c>
      <c r="J334" s="84">
        <v>0.0</v>
      </c>
      <c r="K334" s="84">
        <v>0.0</v>
      </c>
      <c r="L334" s="84">
        <v>0.0</v>
      </c>
      <c r="M334" s="84">
        <v>0.0</v>
      </c>
      <c r="N334" s="84">
        <v>0.0</v>
      </c>
      <c r="O334" s="84">
        <v>0.0</v>
      </c>
      <c r="P334" s="84">
        <v>0.0</v>
      </c>
      <c r="Q334" s="84">
        <v>0.0</v>
      </c>
      <c r="R334" s="84">
        <v>0.0</v>
      </c>
      <c r="S334" s="84">
        <v>0.0</v>
      </c>
      <c r="T334" s="84">
        <v>0.0</v>
      </c>
      <c r="U334" s="84">
        <v>0.0</v>
      </c>
      <c r="V334" s="84">
        <v>0.0</v>
      </c>
      <c r="W334" s="84">
        <v>0.0</v>
      </c>
      <c r="X334" s="84">
        <v>0.0</v>
      </c>
      <c r="Y334" s="84">
        <v>0.0</v>
      </c>
      <c r="Z334" s="84">
        <v>0.0</v>
      </c>
      <c r="AA334" s="84">
        <v>0.0</v>
      </c>
      <c r="AB334" s="84">
        <v>0.0</v>
      </c>
      <c r="AC334" s="91">
        <v>0.002554278416347382</v>
      </c>
      <c r="AD334" s="84">
        <v>0.0</v>
      </c>
      <c r="AE334" s="84">
        <v>0.0</v>
      </c>
      <c r="AF334" s="84">
        <v>0.0</v>
      </c>
      <c r="AG334" s="84">
        <v>0.0</v>
      </c>
      <c r="AH334" s="84">
        <v>0.0</v>
      </c>
      <c r="AI334" s="84">
        <v>0.0</v>
      </c>
      <c r="AJ334" s="84">
        <v>0.0</v>
      </c>
      <c r="AK334" s="84">
        <v>0.0</v>
      </c>
      <c r="AL334" s="84">
        <v>0.0</v>
      </c>
      <c r="AM334" s="84">
        <v>0.0</v>
      </c>
      <c r="AN334" s="93">
        <f t="shared" si="1"/>
        <v>0.003766399628</v>
      </c>
      <c r="AO334" s="84">
        <f t="shared" si="2"/>
        <v>0</v>
      </c>
    </row>
    <row r="335" ht="12.75" customHeight="1">
      <c r="A335" s="84" t="s">
        <v>4156</v>
      </c>
      <c r="B335" s="84">
        <v>0.0</v>
      </c>
      <c r="C335" s="84">
        <v>0.0</v>
      </c>
      <c r="D335" s="84">
        <v>0.0</v>
      </c>
      <c r="E335" s="84">
        <v>0.0</v>
      </c>
      <c r="F335" s="84">
        <v>0.0</v>
      </c>
      <c r="G335" s="84">
        <v>0.0</v>
      </c>
      <c r="H335" s="84">
        <v>0.0</v>
      </c>
      <c r="I335" s="91">
        <v>0.0012121212121212121</v>
      </c>
      <c r="J335" s="84">
        <v>0.0</v>
      </c>
      <c r="K335" s="84">
        <v>0.0</v>
      </c>
      <c r="L335" s="84">
        <v>0.0</v>
      </c>
      <c r="M335" s="84">
        <v>0.0</v>
      </c>
      <c r="N335" s="84">
        <v>0.0</v>
      </c>
      <c r="O335" s="84">
        <v>0.0</v>
      </c>
      <c r="P335" s="84">
        <v>0.0</v>
      </c>
      <c r="Q335" s="84">
        <v>0.0</v>
      </c>
      <c r="R335" s="84">
        <v>0.0</v>
      </c>
      <c r="S335" s="84">
        <v>0.0</v>
      </c>
      <c r="T335" s="84">
        <v>0.0</v>
      </c>
      <c r="U335" s="84">
        <v>0.0</v>
      </c>
      <c r="V335" s="84">
        <v>0.0</v>
      </c>
      <c r="W335" s="84">
        <v>0.0</v>
      </c>
      <c r="X335" s="84">
        <v>0.0</v>
      </c>
      <c r="Y335" s="84">
        <v>0.0</v>
      </c>
      <c r="Z335" s="84">
        <v>0.0</v>
      </c>
      <c r="AA335" s="84">
        <v>0.0</v>
      </c>
      <c r="AB335" s="84">
        <v>0.0</v>
      </c>
      <c r="AC335" s="91">
        <v>0.002554278416347382</v>
      </c>
      <c r="AD335" s="84">
        <v>0.0</v>
      </c>
      <c r="AE335" s="84">
        <v>0.0</v>
      </c>
      <c r="AF335" s="84">
        <v>0.0</v>
      </c>
      <c r="AG335" s="84">
        <v>0.0</v>
      </c>
      <c r="AH335" s="84">
        <v>0.0</v>
      </c>
      <c r="AI335" s="84">
        <v>0.0</v>
      </c>
      <c r="AJ335" s="84">
        <v>0.0</v>
      </c>
      <c r="AK335" s="84">
        <v>0.0</v>
      </c>
      <c r="AL335" s="84">
        <v>0.0</v>
      </c>
      <c r="AM335" s="84">
        <v>0.0</v>
      </c>
      <c r="AN335" s="93">
        <f t="shared" si="1"/>
        <v>0.003766399628</v>
      </c>
      <c r="AO335" s="84">
        <f t="shared" si="2"/>
        <v>0</v>
      </c>
    </row>
    <row r="336" ht="12.75" customHeight="1">
      <c r="A336" s="84" t="s">
        <v>4198</v>
      </c>
      <c r="B336" s="84">
        <v>0.0</v>
      </c>
      <c r="C336" s="84">
        <v>0.0</v>
      </c>
      <c r="D336" s="84">
        <v>0.0</v>
      </c>
      <c r="E336" s="84">
        <v>0.0</v>
      </c>
      <c r="F336" s="84">
        <v>0.0</v>
      </c>
      <c r="G336" s="84">
        <v>0.0</v>
      </c>
      <c r="H336" s="84">
        <v>0.0</v>
      </c>
      <c r="I336" s="91">
        <v>0.0012121212121212121</v>
      </c>
      <c r="J336" s="84">
        <v>0.0</v>
      </c>
      <c r="K336" s="84">
        <v>0.0</v>
      </c>
      <c r="L336" s="84">
        <v>0.0</v>
      </c>
      <c r="M336" s="84">
        <v>0.0</v>
      </c>
      <c r="N336" s="84">
        <v>0.0</v>
      </c>
      <c r="O336" s="84">
        <v>0.0</v>
      </c>
      <c r="P336" s="84">
        <v>0.0</v>
      </c>
      <c r="Q336" s="84">
        <v>0.0</v>
      </c>
      <c r="R336" s="84">
        <v>0.0</v>
      </c>
      <c r="S336" s="84">
        <v>0.0</v>
      </c>
      <c r="T336" s="84">
        <v>0.0</v>
      </c>
      <c r="U336" s="84">
        <v>0.0</v>
      </c>
      <c r="V336" s="84">
        <v>0.0</v>
      </c>
      <c r="W336" s="84">
        <v>0.0</v>
      </c>
      <c r="X336" s="84">
        <v>0.0</v>
      </c>
      <c r="Y336" s="84">
        <v>0.0</v>
      </c>
      <c r="Z336" s="84">
        <v>0.0</v>
      </c>
      <c r="AA336" s="84">
        <v>0.0</v>
      </c>
      <c r="AB336" s="84">
        <v>0.0</v>
      </c>
      <c r="AC336" s="91">
        <v>0.002554278416347382</v>
      </c>
      <c r="AD336" s="84">
        <v>0.0</v>
      </c>
      <c r="AE336" s="84">
        <v>0.0</v>
      </c>
      <c r="AF336" s="84">
        <v>0.0</v>
      </c>
      <c r="AG336" s="84">
        <v>0.0</v>
      </c>
      <c r="AH336" s="84">
        <v>0.0</v>
      </c>
      <c r="AI336" s="84">
        <v>0.0</v>
      </c>
      <c r="AJ336" s="84">
        <v>0.0</v>
      </c>
      <c r="AK336" s="84">
        <v>0.0</v>
      </c>
      <c r="AL336" s="84">
        <v>0.0</v>
      </c>
      <c r="AM336" s="84">
        <v>0.0</v>
      </c>
      <c r="AN336" s="93">
        <f t="shared" si="1"/>
        <v>0.003766399628</v>
      </c>
      <c r="AO336" s="84">
        <f t="shared" si="2"/>
        <v>0</v>
      </c>
    </row>
    <row r="337" ht="12.75" customHeight="1">
      <c r="A337" s="84" t="s">
        <v>4093</v>
      </c>
      <c r="B337" s="84">
        <v>0.0</v>
      </c>
      <c r="C337" s="84">
        <v>0.0</v>
      </c>
      <c r="D337" s="84">
        <v>0.0</v>
      </c>
      <c r="E337" s="84">
        <v>0.0</v>
      </c>
      <c r="F337" s="84">
        <v>0.0</v>
      </c>
      <c r="G337" s="84">
        <v>0.0</v>
      </c>
      <c r="H337" s="84">
        <v>0.0</v>
      </c>
      <c r="I337" s="91">
        <v>0.0012121212121212121</v>
      </c>
      <c r="J337" s="84">
        <v>0.0</v>
      </c>
      <c r="K337" s="84">
        <v>0.0</v>
      </c>
      <c r="L337" s="84">
        <v>0.0</v>
      </c>
      <c r="M337" s="84">
        <v>0.0</v>
      </c>
      <c r="N337" s="84">
        <v>0.0</v>
      </c>
      <c r="O337" s="84">
        <v>0.0</v>
      </c>
      <c r="P337" s="84">
        <v>0.0</v>
      </c>
      <c r="Q337" s="84">
        <v>0.0</v>
      </c>
      <c r="R337" s="84">
        <v>0.0</v>
      </c>
      <c r="S337" s="84">
        <v>0.0</v>
      </c>
      <c r="T337" s="84">
        <v>0.0</v>
      </c>
      <c r="U337" s="84">
        <v>0.0</v>
      </c>
      <c r="V337" s="84">
        <v>0.0</v>
      </c>
      <c r="W337" s="84">
        <v>0.0</v>
      </c>
      <c r="X337" s="84">
        <v>0.0</v>
      </c>
      <c r="Y337" s="84">
        <v>0.0</v>
      </c>
      <c r="Z337" s="84">
        <v>0.0</v>
      </c>
      <c r="AA337" s="84">
        <v>0.0</v>
      </c>
      <c r="AB337" s="84">
        <v>0.0</v>
      </c>
      <c r="AC337" s="91">
        <v>0.002554278416347382</v>
      </c>
      <c r="AD337" s="84">
        <v>0.0</v>
      </c>
      <c r="AE337" s="84">
        <v>0.0</v>
      </c>
      <c r="AF337" s="84">
        <v>0.0</v>
      </c>
      <c r="AG337" s="84">
        <v>0.0</v>
      </c>
      <c r="AH337" s="84">
        <v>0.0</v>
      </c>
      <c r="AI337" s="84">
        <v>0.0</v>
      </c>
      <c r="AJ337" s="84">
        <v>0.0</v>
      </c>
      <c r="AK337" s="84">
        <v>0.0</v>
      </c>
      <c r="AL337" s="84">
        <v>0.0</v>
      </c>
      <c r="AM337" s="84">
        <v>0.0</v>
      </c>
      <c r="AN337" s="93">
        <f t="shared" si="1"/>
        <v>0.003766399628</v>
      </c>
      <c r="AO337" s="84">
        <f t="shared" si="2"/>
        <v>0</v>
      </c>
    </row>
    <row r="338" ht="12.75" customHeight="1">
      <c r="A338" s="84" t="s">
        <v>4051</v>
      </c>
      <c r="B338" s="84">
        <v>0.0</v>
      </c>
      <c r="C338" s="84">
        <v>0.0</v>
      </c>
      <c r="D338" s="84">
        <v>0.0</v>
      </c>
      <c r="E338" s="84">
        <v>0.0</v>
      </c>
      <c r="F338" s="84">
        <v>0.0</v>
      </c>
      <c r="G338" s="84">
        <v>0.0</v>
      </c>
      <c r="H338" s="84">
        <v>0.0</v>
      </c>
      <c r="I338" s="91">
        <v>0.0012121212121212121</v>
      </c>
      <c r="J338" s="84">
        <v>0.0</v>
      </c>
      <c r="K338" s="84">
        <v>0.0</v>
      </c>
      <c r="L338" s="84">
        <v>0.0</v>
      </c>
      <c r="M338" s="84">
        <v>0.0</v>
      </c>
      <c r="N338" s="84">
        <v>0.0</v>
      </c>
      <c r="O338" s="84">
        <v>0.0</v>
      </c>
      <c r="P338" s="84">
        <v>0.0</v>
      </c>
      <c r="Q338" s="84">
        <v>0.0</v>
      </c>
      <c r="R338" s="84">
        <v>0.0</v>
      </c>
      <c r="S338" s="84">
        <v>0.0</v>
      </c>
      <c r="T338" s="84">
        <v>0.0</v>
      </c>
      <c r="U338" s="84">
        <v>0.0</v>
      </c>
      <c r="V338" s="84">
        <v>0.0</v>
      </c>
      <c r="W338" s="84">
        <v>0.0</v>
      </c>
      <c r="X338" s="84">
        <v>0.0</v>
      </c>
      <c r="Y338" s="84">
        <v>0.0</v>
      </c>
      <c r="Z338" s="84">
        <v>0.0</v>
      </c>
      <c r="AA338" s="84">
        <v>0.0</v>
      </c>
      <c r="AB338" s="84">
        <v>0.0</v>
      </c>
      <c r="AC338" s="91">
        <v>0.002554278416347382</v>
      </c>
      <c r="AD338" s="84">
        <v>0.0</v>
      </c>
      <c r="AE338" s="84">
        <v>0.0</v>
      </c>
      <c r="AF338" s="84">
        <v>0.0</v>
      </c>
      <c r="AG338" s="84">
        <v>0.0</v>
      </c>
      <c r="AH338" s="84">
        <v>0.0</v>
      </c>
      <c r="AI338" s="84">
        <v>0.0</v>
      </c>
      <c r="AJ338" s="84">
        <v>0.0</v>
      </c>
      <c r="AK338" s="84">
        <v>0.0</v>
      </c>
      <c r="AL338" s="84">
        <v>0.0</v>
      </c>
      <c r="AM338" s="84">
        <v>0.0</v>
      </c>
      <c r="AN338" s="93">
        <f t="shared" si="1"/>
        <v>0.003766399628</v>
      </c>
      <c r="AO338" s="84">
        <f t="shared" si="2"/>
        <v>0</v>
      </c>
    </row>
    <row r="339" ht="12.75" customHeight="1">
      <c r="A339" s="84" t="s">
        <v>4236</v>
      </c>
      <c r="B339" s="84">
        <v>0.0</v>
      </c>
      <c r="C339" s="84">
        <v>0.0</v>
      </c>
      <c r="D339" s="84">
        <v>0.0</v>
      </c>
      <c r="E339" s="84">
        <v>0.0</v>
      </c>
      <c r="F339" s="84">
        <v>0.0</v>
      </c>
      <c r="G339" s="84">
        <v>0.0</v>
      </c>
      <c r="H339" s="84">
        <v>0.0</v>
      </c>
      <c r="I339" s="91">
        <v>0.0012121212121212121</v>
      </c>
      <c r="J339" s="84">
        <v>0.0</v>
      </c>
      <c r="K339" s="84">
        <v>0.0</v>
      </c>
      <c r="L339" s="84">
        <v>0.0</v>
      </c>
      <c r="M339" s="84">
        <v>0.0</v>
      </c>
      <c r="N339" s="84">
        <v>0.0</v>
      </c>
      <c r="O339" s="84">
        <v>0.0</v>
      </c>
      <c r="P339" s="84">
        <v>0.0</v>
      </c>
      <c r="Q339" s="84">
        <v>0.0</v>
      </c>
      <c r="R339" s="84">
        <v>0.0</v>
      </c>
      <c r="S339" s="84">
        <v>0.0</v>
      </c>
      <c r="T339" s="84">
        <v>0.0</v>
      </c>
      <c r="U339" s="84">
        <v>0.0</v>
      </c>
      <c r="V339" s="84">
        <v>0.0</v>
      </c>
      <c r="W339" s="84">
        <v>0.0</v>
      </c>
      <c r="X339" s="84">
        <v>0.0</v>
      </c>
      <c r="Y339" s="84">
        <v>0.0</v>
      </c>
      <c r="Z339" s="84">
        <v>0.0</v>
      </c>
      <c r="AA339" s="84">
        <v>0.0</v>
      </c>
      <c r="AB339" s="84">
        <v>0.0</v>
      </c>
      <c r="AC339" s="91">
        <v>0.002554278416347382</v>
      </c>
      <c r="AD339" s="84">
        <v>0.0</v>
      </c>
      <c r="AE339" s="84">
        <v>0.0</v>
      </c>
      <c r="AF339" s="84">
        <v>0.0</v>
      </c>
      <c r="AG339" s="84">
        <v>0.0</v>
      </c>
      <c r="AH339" s="84">
        <v>0.0</v>
      </c>
      <c r="AI339" s="84">
        <v>0.0</v>
      </c>
      <c r="AJ339" s="84">
        <v>0.0</v>
      </c>
      <c r="AK339" s="84">
        <v>0.0</v>
      </c>
      <c r="AL339" s="84">
        <v>0.0</v>
      </c>
      <c r="AM339" s="84">
        <v>0.0</v>
      </c>
      <c r="AN339" s="93">
        <f t="shared" si="1"/>
        <v>0.003766399628</v>
      </c>
      <c r="AO339" s="84">
        <f t="shared" si="2"/>
        <v>0</v>
      </c>
    </row>
    <row r="340" ht="12.75" customHeight="1">
      <c r="A340" s="84" t="s">
        <v>4160</v>
      </c>
      <c r="B340" s="84">
        <v>0.0</v>
      </c>
      <c r="C340" s="84">
        <v>0.0</v>
      </c>
      <c r="D340" s="84">
        <v>0.0</v>
      </c>
      <c r="E340" s="84">
        <v>0.0</v>
      </c>
      <c r="F340" s="84">
        <v>0.0</v>
      </c>
      <c r="G340" s="84">
        <v>0.0</v>
      </c>
      <c r="H340" s="84">
        <v>0.0</v>
      </c>
      <c r="I340" s="91">
        <v>0.0012121212121212121</v>
      </c>
      <c r="J340" s="84">
        <v>0.0</v>
      </c>
      <c r="K340" s="84">
        <v>0.0</v>
      </c>
      <c r="L340" s="84">
        <v>0.0</v>
      </c>
      <c r="M340" s="84">
        <v>0.0</v>
      </c>
      <c r="N340" s="84">
        <v>0.0</v>
      </c>
      <c r="O340" s="84">
        <v>0.0</v>
      </c>
      <c r="P340" s="84">
        <v>0.0</v>
      </c>
      <c r="Q340" s="84">
        <v>0.0</v>
      </c>
      <c r="R340" s="84">
        <v>0.0</v>
      </c>
      <c r="S340" s="84">
        <v>0.0</v>
      </c>
      <c r="T340" s="84">
        <v>0.0</v>
      </c>
      <c r="U340" s="84">
        <v>0.0</v>
      </c>
      <c r="V340" s="84">
        <v>0.0</v>
      </c>
      <c r="W340" s="84">
        <v>0.0</v>
      </c>
      <c r="X340" s="84">
        <v>0.0</v>
      </c>
      <c r="Y340" s="84">
        <v>0.0</v>
      </c>
      <c r="Z340" s="84">
        <v>0.0</v>
      </c>
      <c r="AA340" s="84">
        <v>0.0</v>
      </c>
      <c r="AB340" s="84">
        <v>0.0</v>
      </c>
      <c r="AC340" s="91">
        <v>0.002554278416347382</v>
      </c>
      <c r="AD340" s="84">
        <v>0.0</v>
      </c>
      <c r="AE340" s="84">
        <v>0.0</v>
      </c>
      <c r="AF340" s="84">
        <v>0.0</v>
      </c>
      <c r="AG340" s="84">
        <v>0.0</v>
      </c>
      <c r="AH340" s="84">
        <v>0.0</v>
      </c>
      <c r="AI340" s="84">
        <v>0.0</v>
      </c>
      <c r="AJ340" s="84">
        <v>0.0</v>
      </c>
      <c r="AK340" s="84">
        <v>0.0</v>
      </c>
      <c r="AL340" s="84">
        <v>0.0</v>
      </c>
      <c r="AM340" s="84">
        <v>0.0</v>
      </c>
      <c r="AN340" s="93">
        <f t="shared" si="1"/>
        <v>0.003766399628</v>
      </c>
      <c r="AO340" s="84">
        <f t="shared" si="2"/>
        <v>0</v>
      </c>
    </row>
    <row r="341" ht="12.75" customHeight="1">
      <c r="A341" s="84" t="s">
        <v>4176</v>
      </c>
      <c r="B341" s="84">
        <v>0.0</v>
      </c>
      <c r="C341" s="84">
        <v>0.0</v>
      </c>
      <c r="D341" s="84">
        <v>0.0</v>
      </c>
      <c r="E341" s="84">
        <v>0.0</v>
      </c>
      <c r="F341" s="84">
        <v>0.0</v>
      </c>
      <c r="G341" s="84">
        <v>0.0</v>
      </c>
      <c r="H341" s="84">
        <v>0.0</v>
      </c>
      <c r="I341" s="91">
        <v>0.0012121212121212121</v>
      </c>
      <c r="J341" s="84">
        <v>0.0</v>
      </c>
      <c r="K341" s="84">
        <v>0.0</v>
      </c>
      <c r="L341" s="84">
        <v>0.0</v>
      </c>
      <c r="M341" s="84">
        <v>0.0</v>
      </c>
      <c r="N341" s="84">
        <v>0.0</v>
      </c>
      <c r="O341" s="84">
        <v>0.0</v>
      </c>
      <c r="P341" s="84">
        <v>0.0</v>
      </c>
      <c r="Q341" s="84">
        <v>0.0</v>
      </c>
      <c r="R341" s="84">
        <v>0.0</v>
      </c>
      <c r="S341" s="84">
        <v>0.0</v>
      </c>
      <c r="T341" s="84">
        <v>0.0</v>
      </c>
      <c r="U341" s="84">
        <v>0.0</v>
      </c>
      <c r="V341" s="84">
        <v>0.0</v>
      </c>
      <c r="W341" s="84">
        <v>0.0</v>
      </c>
      <c r="X341" s="84">
        <v>0.0</v>
      </c>
      <c r="Y341" s="84">
        <v>0.0</v>
      </c>
      <c r="Z341" s="84">
        <v>0.0</v>
      </c>
      <c r="AA341" s="84">
        <v>0.0</v>
      </c>
      <c r="AB341" s="84">
        <v>0.0</v>
      </c>
      <c r="AC341" s="91">
        <v>0.002554278416347382</v>
      </c>
      <c r="AD341" s="84">
        <v>0.0</v>
      </c>
      <c r="AE341" s="84">
        <v>0.0</v>
      </c>
      <c r="AF341" s="84">
        <v>0.0</v>
      </c>
      <c r="AG341" s="84">
        <v>0.0</v>
      </c>
      <c r="AH341" s="84">
        <v>0.0</v>
      </c>
      <c r="AI341" s="84">
        <v>0.0</v>
      </c>
      <c r="AJ341" s="84">
        <v>0.0</v>
      </c>
      <c r="AK341" s="84">
        <v>0.0</v>
      </c>
      <c r="AL341" s="84">
        <v>0.0</v>
      </c>
      <c r="AM341" s="84">
        <v>0.0</v>
      </c>
      <c r="AN341" s="93">
        <f t="shared" si="1"/>
        <v>0.003766399628</v>
      </c>
      <c r="AO341" s="84">
        <f t="shared" si="2"/>
        <v>0</v>
      </c>
    </row>
    <row r="342" ht="12.75" customHeight="1">
      <c r="A342" s="84" t="s">
        <v>4013</v>
      </c>
      <c r="B342" s="84">
        <v>0.0</v>
      </c>
      <c r="C342" s="84">
        <v>0.0</v>
      </c>
      <c r="D342" s="84">
        <v>0.0</v>
      </c>
      <c r="E342" s="84">
        <v>0.0</v>
      </c>
      <c r="F342" s="84">
        <v>0.0</v>
      </c>
      <c r="G342" s="84">
        <v>0.0</v>
      </c>
      <c r="H342" s="84">
        <v>0.0</v>
      </c>
      <c r="I342" s="91">
        <v>0.0012121212121212121</v>
      </c>
      <c r="J342" s="84">
        <v>0.0</v>
      </c>
      <c r="K342" s="84">
        <v>0.0</v>
      </c>
      <c r="L342" s="84">
        <v>0.0</v>
      </c>
      <c r="M342" s="84">
        <v>0.0</v>
      </c>
      <c r="N342" s="84">
        <v>0.0</v>
      </c>
      <c r="O342" s="84">
        <v>0.0</v>
      </c>
      <c r="P342" s="84">
        <v>0.0</v>
      </c>
      <c r="Q342" s="84">
        <v>0.0</v>
      </c>
      <c r="R342" s="84">
        <v>0.0</v>
      </c>
      <c r="S342" s="84">
        <v>0.0</v>
      </c>
      <c r="T342" s="84">
        <v>0.0</v>
      </c>
      <c r="U342" s="84">
        <v>0.0</v>
      </c>
      <c r="V342" s="84">
        <v>0.0</v>
      </c>
      <c r="W342" s="84">
        <v>0.0</v>
      </c>
      <c r="X342" s="84">
        <v>0.0</v>
      </c>
      <c r="Y342" s="84">
        <v>0.0</v>
      </c>
      <c r="Z342" s="84">
        <v>0.0</v>
      </c>
      <c r="AA342" s="84">
        <v>0.0</v>
      </c>
      <c r="AB342" s="84">
        <v>0.0</v>
      </c>
      <c r="AC342" s="91">
        <v>0.002554278416347382</v>
      </c>
      <c r="AD342" s="84">
        <v>0.0</v>
      </c>
      <c r="AE342" s="84">
        <v>0.0</v>
      </c>
      <c r="AF342" s="84">
        <v>0.0</v>
      </c>
      <c r="AG342" s="84">
        <v>0.0</v>
      </c>
      <c r="AH342" s="84">
        <v>0.0</v>
      </c>
      <c r="AI342" s="84">
        <v>0.0</v>
      </c>
      <c r="AJ342" s="84">
        <v>0.0</v>
      </c>
      <c r="AK342" s="84">
        <v>0.0</v>
      </c>
      <c r="AL342" s="84">
        <v>0.0</v>
      </c>
      <c r="AM342" s="84">
        <v>0.0</v>
      </c>
      <c r="AN342" s="93">
        <f t="shared" si="1"/>
        <v>0.003766399628</v>
      </c>
      <c r="AO342" s="84">
        <f t="shared" si="2"/>
        <v>0</v>
      </c>
    </row>
    <row r="343" ht="12.75" customHeight="1">
      <c r="A343" s="84" t="s">
        <v>4179</v>
      </c>
      <c r="B343" s="84">
        <v>0.0</v>
      </c>
      <c r="C343" s="84">
        <v>0.0</v>
      </c>
      <c r="D343" s="84">
        <v>0.0</v>
      </c>
      <c r="E343" s="84">
        <v>0.0</v>
      </c>
      <c r="F343" s="84">
        <v>0.0</v>
      </c>
      <c r="G343" s="84">
        <v>0.0</v>
      </c>
      <c r="H343" s="84">
        <v>0.0</v>
      </c>
      <c r="I343" s="91">
        <v>0.0012121212121212121</v>
      </c>
      <c r="J343" s="84">
        <v>0.0</v>
      </c>
      <c r="K343" s="84">
        <v>0.0</v>
      </c>
      <c r="L343" s="84">
        <v>0.0</v>
      </c>
      <c r="M343" s="84">
        <v>0.0</v>
      </c>
      <c r="N343" s="84">
        <v>0.0</v>
      </c>
      <c r="O343" s="84">
        <v>0.0</v>
      </c>
      <c r="P343" s="84">
        <v>0.0</v>
      </c>
      <c r="Q343" s="84">
        <v>0.0</v>
      </c>
      <c r="R343" s="84">
        <v>0.0</v>
      </c>
      <c r="S343" s="84">
        <v>0.0</v>
      </c>
      <c r="T343" s="84">
        <v>0.0</v>
      </c>
      <c r="U343" s="84">
        <v>0.0</v>
      </c>
      <c r="V343" s="84">
        <v>0.0</v>
      </c>
      <c r="W343" s="84">
        <v>0.0</v>
      </c>
      <c r="X343" s="84">
        <v>0.0</v>
      </c>
      <c r="Y343" s="84">
        <v>0.0</v>
      </c>
      <c r="Z343" s="84">
        <v>0.0</v>
      </c>
      <c r="AA343" s="84">
        <v>0.0</v>
      </c>
      <c r="AB343" s="84">
        <v>0.0</v>
      </c>
      <c r="AC343" s="91">
        <v>0.002554278416347382</v>
      </c>
      <c r="AD343" s="84">
        <v>0.0</v>
      </c>
      <c r="AE343" s="84">
        <v>0.0</v>
      </c>
      <c r="AF343" s="84">
        <v>0.0</v>
      </c>
      <c r="AG343" s="84">
        <v>0.0</v>
      </c>
      <c r="AH343" s="84">
        <v>0.0</v>
      </c>
      <c r="AI343" s="84">
        <v>0.0</v>
      </c>
      <c r="AJ343" s="84">
        <v>0.0</v>
      </c>
      <c r="AK343" s="84">
        <v>0.0</v>
      </c>
      <c r="AL343" s="84">
        <v>0.0</v>
      </c>
      <c r="AM343" s="84">
        <v>0.0</v>
      </c>
      <c r="AN343" s="93">
        <f t="shared" si="1"/>
        <v>0.003766399628</v>
      </c>
      <c r="AO343" s="84">
        <f t="shared" si="2"/>
        <v>0</v>
      </c>
    </row>
    <row r="344" ht="12.75" customHeight="1">
      <c r="A344" s="84" t="s">
        <v>4185</v>
      </c>
      <c r="B344" s="84">
        <v>0.0</v>
      </c>
      <c r="C344" s="84">
        <v>0.0</v>
      </c>
      <c r="D344" s="84">
        <v>0.0</v>
      </c>
      <c r="E344" s="84">
        <v>0.0</v>
      </c>
      <c r="F344" s="84">
        <v>0.0</v>
      </c>
      <c r="G344" s="84">
        <v>0.0</v>
      </c>
      <c r="H344" s="84">
        <v>0.0</v>
      </c>
      <c r="I344" s="91">
        <v>0.0012121212121212121</v>
      </c>
      <c r="J344" s="84">
        <v>0.0</v>
      </c>
      <c r="K344" s="84">
        <v>0.0</v>
      </c>
      <c r="L344" s="84">
        <v>0.0</v>
      </c>
      <c r="M344" s="84">
        <v>0.0</v>
      </c>
      <c r="N344" s="84">
        <v>0.0</v>
      </c>
      <c r="O344" s="84">
        <v>0.0</v>
      </c>
      <c r="P344" s="84">
        <v>0.0</v>
      </c>
      <c r="Q344" s="84">
        <v>0.0</v>
      </c>
      <c r="R344" s="84">
        <v>0.0</v>
      </c>
      <c r="S344" s="84">
        <v>0.0</v>
      </c>
      <c r="T344" s="84">
        <v>0.0</v>
      </c>
      <c r="U344" s="84">
        <v>0.0</v>
      </c>
      <c r="V344" s="84">
        <v>0.0</v>
      </c>
      <c r="W344" s="84">
        <v>0.0</v>
      </c>
      <c r="X344" s="84">
        <v>0.0</v>
      </c>
      <c r="Y344" s="84">
        <v>0.0</v>
      </c>
      <c r="Z344" s="84">
        <v>0.0</v>
      </c>
      <c r="AA344" s="84">
        <v>0.0</v>
      </c>
      <c r="AB344" s="84">
        <v>0.0</v>
      </c>
      <c r="AC344" s="91">
        <v>0.002554278416347382</v>
      </c>
      <c r="AD344" s="84">
        <v>0.0</v>
      </c>
      <c r="AE344" s="84">
        <v>0.0</v>
      </c>
      <c r="AF344" s="84">
        <v>0.0</v>
      </c>
      <c r="AG344" s="84">
        <v>0.0</v>
      </c>
      <c r="AH344" s="84">
        <v>0.0</v>
      </c>
      <c r="AI344" s="84">
        <v>0.0</v>
      </c>
      <c r="AJ344" s="84">
        <v>0.0</v>
      </c>
      <c r="AK344" s="84">
        <v>0.0</v>
      </c>
      <c r="AL344" s="84">
        <v>0.0</v>
      </c>
      <c r="AM344" s="84">
        <v>0.0</v>
      </c>
      <c r="AN344" s="93">
        <f t="shared" si="1"/>
        <v>0.003766399628</v>
      </c>
      <c r="AO344" s="84">
        <f t="shared" si="2"/>
        <v>0</v>
      </c>
    </row>
    <row r="345" ht="12.75" customHeight="1">
      <c r="A345" s="84" t="s">
        <v>4152</v>
      </c>
      <c r="B345" s="84">
        <v>0.0</v>
      </c>
      <c r="C345" s="84">
        <v>0.0</v>
      </c>
      <c r="D345" s="84">
        <v>0.0</v>
      </c>
      <c r="E345" s="84">
        <v>0.0</v>
      </c>
      <c r="F345" s="84">
        <v>0.0</v>
      </c>
      <c r="G345" s="84">
        <v>0.0</v>
      </c>
      <c r="H345" s="84">
        <v>0.0</v>
      </c>
      <c r="I345" s="91">
        <v>0.0012121212121212121</v>
      </c>
      <c r="J345" s="84">
        <v>0.0</v>
      </c>
      <c r="K345" s="84">
        <v>0.0</v>
      </c>
      <c r="L345" s="84">
        <v>0.0</v>
      </c>
      <c r="M345" s="84">
        <v>0.0</v>
      </c>
      <c r="N345" s="84">
        <v>0.0</v>
      </c>
      <c r="O345" s="84">
        <v>0.0</v>
      </c>
      <c r="P345" s="84">
        <v>0.0</v>
      </c>
      <c r="Q345" s="84">
        <v>0.0</v>
      </c>
      <c r="R345" s="84">
        <v>0.0</v>
      </c>
      <c r="S345" s="84">
        <v>0.0</v>
      </c>
      <c r="T345" s="84">
        <v>0.0</v>
      </c>
      <c r="U345" s="84">
        <v>0.0</v>
      </c>
      <c r="V345" s="84">
        <v>0.0</v>
      </c>
      <c r="W345" s="84">
        <v>0.0</v>
      </c>
      <c r="X345" s="84">
        <v>0.0</v>
      </c>
      <c r="Y345" s="84">
        <v>0.0</v>
      </c>
      <c r="Z345" s="84">
        <v>0.0</v>
      </c>
      <c r="AA345" s="84">
        <v>0.0</v>
      </c>
      <c r="AB345" s="84">
        <v>0.0</v>
      </c>
      <c r="AC345" s="91">
        <v>0.002554278416347382</v>
      </c>
      <c r="AD345" s="84">
        <v>0.0</v>
      </c>
      <c r="AE345" s="84">
        <v>0.0</v>
      </c>
      <c r="AF345" s="84">
        <v>0.0</v>
      </c>
      <c r="AG345" s="84">
        <v>0.0</v>
      </c>
      <c r="AH345" s="84">
        <v>0.0</v>
      </c>
      <c r="AI345" s="84">
        <v>0.0</v>
      </c>
      <c r="AJ345" s="84">
        <v>0.0</v>
      </c>
      <c r="AK345" s="84">
        <v>0.0</v>
      </c>
      <c r="AL345" s="84">
        <v>0.0</v>
      </c>
      <c r="AM345" s="84">
        <v>0.0</v>
      </c>
      <c r="AN345" s="93">
        <f t="shared" si="1"/>
        <v>0.003766399628</v>
      </c>
      <c r="AO345" s="84">
        <f t="shared" si="2"/>
        <v>0</v>
      </c>
    </row>
    <row r="346" ht="12.75" customHeight="1">
      <c r="A346" s="84" t="s">
        <v>4287</v>
      </c>
      <c r="B346" s="84">
        <v>0.0</v>
      </c>
      <c r="C346" s="84">
        <v>0.0</v>
      </c>
      <c r="D346" s="84">
        <v>0.0</v>
      </c>
      <c r="E346" s="84">
        <v>0.0</v>
      </c>
      <c r="F346" s="84">
        <v>0.0</v>
      </c>
      <c r="G346" s="84">
        <v>0.0</v>
      </c>
      <c r="H346" s="84">
        <v>0.0</v>
      </c>
      <c r="I346" s="91">
        <v>0.0012121212121212121</v>
      </c>
      <c r="J346" s="84">
        <v>0.0</v>
      </c>
      <c r="K346" s="84">
        <v>0.0</v>
      </c>
      <c r="L346" s="84">
        <v>0.0</v>
      </c>
      <c r="M346" s="84">
        <v>0.0</v>
      </c>
      <c r="N346" s="84">
        <v>0.0</v>
      </c>
      <c r="O346" s="84">
        <v>0.0</v>
      </c>
      <c r="P346" s="84">
        <v>0.0</v>
      </c>
      <c r="Q346" s="84">
        <v>0.0</v>
      </c>
      <c r="R346" s="84">
        <v>0.0</v>
      </c>
      <c r="S346" s="84">
        <v>0.0</v>
      </c>
      <c r="T346" s="84">
        <v>0.0</v>
      </c>
      <c r="U346" s="84">
        <v>0.0</v>
      </c>
      <c r="V346" s="84">
        <v>0.0</v>
      </c>
      <c r="W346" s="84">
        <v>0.0</v>
      </c>
      <c r="X346" s="84">
        <v>0.0</v>
      </c>
      <c r="Y346" s="84">
        <v>0.0</v>
      </c>
      <c r="Z346" s="84">
        <v>0.0</v>
      </c>
      <c r="AA346" s="84">
        <v>0.0</v>
      </c>
      <c r="AB346" s="84">
        <v>0.0</v>
      </c>
      <c r="AC346" s="91">
        <v>0.0</v>
      </c>
      <c r="AD346" s="84">
        <v>0.0</v>
      </c>
      <c r="AE346" s="84">
        <v>0.0</v>
      </c>
      <c r="AF346" s="84">
        <v>0.0</v>
      </c>
      <c r="AG346" s="84">
        <v>0.0</v>
      </c>
      <c r="AH346" s="84">
        <v>0.0</v>
      </c>
      <c r="AI346" s="84">
        <v>0.0</v>
      </c>
      <c r="AJ346" s="84">
        <v>0.0</v>
      </c>
      <c r="AK346" s="84">
        <v>0.0</v>
      </c>
      <c r="AL346" s="84">
        <v>0.0</v>
      </c>
      <c r="AM346" s="84">
        <v>0.0</v>
      </c>
      <c r="AN346" s="93">
        <f t="shared" si="1"/>
        <v>0.001212121212</v>
      </c>
      <c r="AO346" s="84">
        <f t="shared" si="2"/>
        <v>0</v>
      </c>
    </row>
    <row r="347" ht="12.75" customHeight="1">
      <c r="A347" s="84" t="s">
        <v>4023</v>
      </c>
      <c r="B347" s="84">
        <v>0.0</v>
      </c>
      <c r="C347" s="84">
        <v>0.0</v>
      </c>
      <c r="D347" s="84">
        <v>0.0</v>
      </c>
      <c r="E347" s="84">
        <v>0.0</v>
      </c>
      <c r="F347" s="84">
        <v>0.0</v>
      </c>
      <c r="G347" s="84">
        <v>0.0</v>
      </c>
      <c r="H347" s="84">
        <v>0.0</v>
      </c>
      <c r="I347" s="91">
        <v>0.0012121212121212121</v>
      </c>
      <c r="J347" s="84">
        <v>0.0</v>
      </c>
      <c r="K347" s="84">
        <v>0.0</v>
      </c>
      <c r="L347" s="84">
        <v>0.0</v>
      </c>
      <c r="M347" s="84">
        <v>0.0</v>
      </c>
      <c r="N347" s="84">
        <v>0.0</v>
      </c>
      <c r="O347" s="84">
        <v>0.0</v>
      </c>
      <c r="P347" s="84">
        <v>0.0</v>
      </c>
      <c r="Q347" s="84">
        <v>0.0</v>
      </c>
      <c r="R347" s="84">
        <v>0.0</v>
      </c>
      <c r="S347" s="84">
        <v>0.0</v>
      </c>
      <c r="T347" s="84">
        <v>0.0</v>
      </c>
      <c r="U347" s="84">
        <v>0.0</v>
      </c>
      <c r="V347" s="84">
        <v>0.0</v>
      </c>
      <c r="W347" s="84">
        <v>0.0</v>
      </c>
      <c r="X347" s="84">
        <v>0.0</v>
      </c>
      <c r="Y347" s="84">
        <v>0.0</v>
      </c>
      <c r="Z347" s="84">
        <v>0.0</v>
      </c>
      <c r="AA347" s="84">
        <v>0.0</v>
      </c>
      <c r="AB347" s="84">
        <v>0.0</v>
      </c>
      <c r="AC347" s="91">
        <v>0.002554278416347382</v>
      </c>
      <c r="AD347" s="84">
        <v>0.0</v>
      </c>
      <c r="AE347" s="84">
        <v>0.0</v>
      </c>
      <c r="AF347" s="84">
        <v>0.0</v>
      </c>
      <c r="AG347" s="84">
        <v>0.0</v>
      </c>
      <c r="AH347" s="84">
        <v>0.0</v>
      </c>
      <c r="AI347" s="84">
        <v>0.0</v>
      </c>
      <c r="AJ347" s="84">
        <v>0.0</v>
      </c>
      <c r="AK347" s="84">
        <v>0.0</v>
      </c>
      <c r="AL347" s="84">
        <v>0.0</v>
      </c>
      <c r="AM347" s="84">
        <v>0.0</v>
      </c>
      <c r="AN347" s="93">
        <f t="shared" si="1"/>
        <v>0.003766399628</v>
      </c>
      <c r="AO347" s="84">
        <f t="shared" si="2"/>
        <v>0</v>
      </c>
    </row>
    <row r="348" ht="12.75" customHeight="1">
      <c r="A348" s="84" t="s">
        <v>4126</v>
      </c>
      <c r="B348" s="84">
        <v>0.0</v>
      </c>
      <c r="C348" s="84">
        <v>0.0</v>
      </c>
      <c r="D348" s="84">
        <v>0.0</v>
      </c>
      <c r="E348" s="84">
        <v>0.0</v>
      </c>
      <c r="F348" s="84">
        <v>0.0</v>
      </c>
      <c r="G348" s="84">
        <v>0.0</v>
      </c>
      <c r="H348" s="84">
        <v>0.0</v>
      </c>
      <c r="I348" s="91">
        <v>0.0012121212121212121</v>
      </c>
      <c r="J348" s="84">
        <v>0.0</v>
      </c>
      <c r="K348" s="84">
        <v>0.0</v>
      </c>
      <c r="L348" s="84">
        <v>0.0</v>
      </c>
      <c r="M348" s="84">
        <v>0.0</v>
      </c>
      <c r="N348" s="84">
        <v>0.0</v>
      </c>
      <c r="O348" s="84">
        <v>0.0</v>
      </c>
      <c r="P348" s="84">
        <v>0.0</v>
      </c>
      <c r="Q348" s="84">
        <v>0.0</v>
      </c>
      <c r="R348" s="84">
        <v>0.0</v>
      </c>
      <c r="S348" s="84">
        <v>0.0</v>
      </c>
      <c r="T348" s="84">
        <v>0.0</v>
      </c>
      <c r="U348" s="84">
        <v>0.0</v>
      </c>
      <c r="V348" s="84">
        <v>0.0</v>
      </c>
      <c r="W348" s="84">
        <v>0.0</v>
      </c>
      <c r="X348" s="84">
        <v>0.0</v>
      </c>
      <c r="Y348" s="84">
        <v>0.0</v>
      </c>
      <c r="Z348" s="84">
        <v>0.0</v>
      </c>
      <c r="AA348" s="84">
        <v>0.0</v>
      </c>
      <c r="AB348" s="84">
        <v>0.0</v>
      </c>
      <c r="AC348" s="91">
        <v>0.002554278416347382</v>
      </c>
      <c r="AD348" s="84">
        <v>0.0</v>
      </c>
      <c r="AE348" s="84">
        <v>0.0</v>
      </c>
      <c r="AF348" s="84">
        <v>0.0</v>
      </c>
      <c r="AG348" s="84">
        <v>0.0</v>
      </c>
      <c r="AH348" s="84">
        <v>0.0</v>
      </c>
      <c r="AI348" s="84">
        <v>0.0</v>
      </c>
      <c r="AJ348" s="84">
        <v>0.0</v>
      </c>
      <c r="AK348" s="84">
        <v>0.0</v>
      </c>
      <c r="AL348" s="84">
        <v>0.0</v>
      </c>
      <c r="AM348" s="84">
        <v>0.0</v>
      </c>
      <c r="AN348" s="93">
        <f t="shared" si="1"/>
        <v>0.003766399628</v>
      </c>
      <c r="AO348" s="84">
        <f t="shared" si="2"/>
        <v>0</v>
      </c>
    </row>
    <row r="349" ht="12.75" customHeight="1">
      <c r="A349" s="84" t="s">
        <v>4315</v>
      </c>
      <c r="B349" s="84">
        <v>0.0</v>
      </c>
      <c r="C349" s="84">
        <v>0.0</v>
      </c>
      <c r="D349" s="84">
        <v>0.0</v>
      </c>
      <c r="E349" s="84">
        <v>0.0</v>
      </c>
      <c r="F349" s="84">
        <v>0.0</v>
      </c>
      <c r="G349" s="84">
        <v>0.0</v>
      </c>
      <c r="H349" s="84">
        <v>0.0</v>
      </c>
      <c r="I349" s="91">
        <v>0.0012121212121212121</v>
      </c>
      <c r="J349" s="84">
        <v>0.0</v>
      </c>
      <c r="K349" s="84">
        <v>0.0</v>
      </c>
      <c r="L349" s="84">
        <v>0.0</v>
      </c>
      <c r="M349" s="84">
        <v>0.0</v>
      </c>
      <c r="N349" s="84">
        <v>0.0</v>
      </c>
      <c r="O349" s="84">
        <v>0.0</v>
      </c>
      <c r="P349" s="84">
        <v>0.0</v>
      </c>
      <c r="Q349" s="84">
        <v>0.0</v>
      </c>
      <c r="R349" s="84">
        <v>0.0</v>
      </c>
      <c r="S349" s="84">
        <v>0.0</v>
      </c>
      <c r="T349" s="84">
        <v>0.0</v>
      </c>
      <c r="U349" s="84">
        <v>0.0</v>
      </c>
      <c r="V349" s="84">
        <v>0.0</v>
      </c>
      <c r="W349" s="84">
        <v>0.0</v>
      </c>
      <c r="X349" s="84">
        <v>0.0</v>
      </c>
      <c r="Y349" s="84">
        <v>0.0</v>
      </c>
      <c r="Z349" s="84">
        <v>0.0</v>
      </c>
      <c r="AA349" s="84">
        <v>0.0</v>
      </c>
      <c r="AB349" s="84">
        <v>0.0</v>
      </c>
      <c r="AC349" s="91">
        <v>0.0</v>
      </c>
      <c r="AD349" s="84">
        <v>0.0</v>
      </c>
      <c r="AE349" s="84">
        <v>0.0</v>
      </c>
      <c r="AF349" s="84">
        <v>0.0</v>
      </c>
      <c r="AG349" s="84">
        <v>0.0</v>
      </c>
      <c r="AH349" s="84">
        <v>0.0</v>
      </c>
      <c r="AI349" s="84">
        <v>0.0</v>
      </c>
      <c r="AJ349" s="84">
        <v>0.0</v>
      </c>
      <c r="AK349" s="84">
        <v>0.0</v>
      </c>
      <c r="AL349" s="84">
        <v>0.0</v>
      </c>
      <c r="AM349" s="84">
        <v>0.0</v>
      </c>
      <c r="AN349" s="93">
        <f t="shared" si="1"/>
        <v>0.001212121212</v>
      </c>
      <c r="AO349" s="84">
        <f t="shared" si="2"/>
        <v>0</v>
      </c>
    </row>
    <row r="350" ht="12.75" customHeight="1">
      <c r="A350" s="84" t="s">
        <v>4316</v>
      </c>
      <c r="B350" s="84">
        <v>0.0</v>
      </c>
      <c r="C350" s="84">
        <v>0.0</v>
      </c>
      <c r="D350" s="84">
        <v>0.0</v>
      </c>
      <c r="E350" s="84">
        <v>0.0</v>
      </c>
      <c r="F350" s="84">
        <v>0.0</v>
      </c>
      <c r="G350" s="84">
        <v>0.0</v>
      </c>
      <c r="H350" s="84">
        <v>0.0</v>
      </c>
      <c r="I350" s="91">
        <v>0.0012121212121212121</v>
      </c>
      <c r="J350" s="84">
        <v>0.0</v>
      </c>
      <c r="K350" s="84">
        <v>0.0</v>
      </c>
      <c r="L350" s="84">
        <v>0.0</v>
      </c>
      <c r="M350" s="84">
        <v>0.0</v>
      </c>
      <c r="N350" s="84">
        <v>0.0</v>
      </c>
      <c r="O350" s="84">
        <v>0.0</v>
      </c>
      <c r="P350" s="84">
        <v>0.0</v>
      </c>
      <c r="Q350" s="84">
        <v>0.0</v>
      </c>
      <c r="R350" s="84">
        <v>0.0</v>
      </c>
      <c r="S350" s="84">
        <v>0.0</v>
      </c>
      <c r="T350" s="84">
        <v>0.0</v>
      </c>
      <c r="U350" s="84">
        <v>0.0</v>
      </c>
      <c r="V350" s="84">
        <v>0.0</v>
      </c>
      <c r="W350" s="84">
        <v>0.0</v>
      </c>
      <c r="X350" s="84">
        <v>0.0</v>
      </c>
      <c r="Y350" s="84">
        <v>0.0</v>
      </c>
      <c r="Z350" s="84">
        <v>0.0</v>
      </c>
      <c r="AA350" s="84">
        <v>0.0</v>
      </c>
      <c r="AB350" s="84">
        <v>0.0</v>
      </c>
      <c r="AC350" s="91">
        <v>0.0</v>
      </c>
      <c r="AD350" s="84">
        <v>0.0</v>
      </c>
      <c r="AE350" s="84">
        <v>0.0</v>
      </c>
      <c r="AF350" s="84">
        <v>0.0</v>
      </c>
      <c r="AG350" s="84">
        <v>0.0</v>
      </c>
      <c r="AH350" s="84">
        <v>0.0</v>
      </c>
      <c r="AI350" s="84">
        <v>0.0</v>
      </c>
      <c r="AJ350" s="84">
        <v>0.0</v>
      </c>
      <c r="AK350" s="84">
        <v>0.0</v>
      </c>
      <c r="AL350" s="84">
        <v>0.0</v>
      </c>
      <c r="AM350" s="84">
        <v>0.0</v>
      </c>
      <c r="AN350" s="93">
        <f t="shared" si="1"/>
        <v>0.001212121212</v>
      </c>
      <c r="AO350" s="84">
        <f t="shared" si="2"/>
        <v>0</v>
      </c>
    </row>
    <row r="351" ht="12.75" customHeight="1">
      <c r="A351" s="84" t="s">
        <v>4312</v>
      </c>
      <c r="B351" s="84">
        <v>0.0</v>
      </c>
      <c r="C351" s="84">
        <v>0.0</v>
      </c>
      <c r="D351" s="84">
        <v>0.0</v>
      </c>
      <c r="E351" s="84">
        <v>0.0</v>
      </c>
      <c r="F351" s="84">
        <v>0.0</v>
      </c>
      <c r="G351" s="84">
        <v>0.0</v>
      </c>
      <c r="H351" s="84">
        <v>0.0</v>
      </c>
      <c r="I351" s="91">
        <v>0.0012121212121212121</v>
      </c>
      <c r="J351" s="84">
        <v>0.0</v>
      </c>
      <c r="K351" s="84">
        <v>0.0</v>
      </c>
      <c r="L351" s="84">
        <v>0.0</v>
      </c>
      <c r="M351" s="84">
        <v>0.0</v>
      </c>
      <c r="N351" s="84">
        <v>0.0</v>
      </c>
      <c r="O351" s="84">
        <v>0.0</v>
      </c>
      <c r="P351" s="84">
        <v>0.0</v>
      </c>
      <c r="Q351" s="84">
        <v>0.0</v>
      </c>
      <c r="R351" s="84">
        <v>0.0</v>
      </c>
      <c r="S351" s="84">
        <v>0.0</v>
      </c>
      <c r="T351" s="84">
        <v>0.0</v>
      </c>
      <c r="U351" s="84">
        <v>0.0</v>
      </c>
      <c r="V351" s="84">
        <v>0.0</v>
      </c>
      <c r="W351" s="84">
        <v>0.0</v>
      </c>
      <c r="X351" s="84">
        <v>0.0</v>
      </c>
      <c r="Y351" s="84">
        <v>0.0</v>
      </c>
      <c r="Z351" s="84">
        <v>0.0</v>
      </c>
      <c r="AA351" s="84">
        <v>0.0</v>
      </c>
      <c r="AB351" s="84">
        <v>0.0</v>
      </c>
      <c r="AC351" s="91">
        <v>0.0</v>
      </c>
      <c r="AD351" s="84">
        <v>0.0</v>
      </c>
      <c r="AE351" s="84">
        <v>0.0</v>
      </c>
      <c r="AF351" s="84">
        <v>0.0</v>
      </c>
      <c r="AG351" s="84">
        <v>0.0</v>
      </c>
      <c r="AH351" s="84">
        <v>0.0</v>
      </c>
      <c r="AI351" s="84">
        <v>0.0</v>
      </c>
      <c r="AJ351" s="84">
        <v>0.0</v>
      </c>
      <c r="AK351" s="84">
        <v>0.0</v>
      </c>
      <c r="AL351" s="84">
        <v>0.0</v>
      </c>
      <c r="AM351" s="84">
        <v>0.0</v>
      </c>
      <c r="AN351" s="93">
        <f t="shared" si="1"/>
        <v>0.001212121212</v>
      </c>
      <c r="AO351" s="84">
        <f t="shared" si="2"/>
        <v>0</v>
      </c>
    </row>
    <row r="352" ht="12.75" customHeight="1">
      <c r="A352" s="84" t="s">
        <v>4314</v>
      </c>
      <c r="B352" s="84">
        <v>0.0</v>
      </c>
      <c r="C352" s="84">
        <v>0.0</v>
      </c>
      <c r="D352" s="84">
        <v>0.0</v>
      </c>
      <c r="E352" s="84">
        <v>0.0</v>
      </c>
      <c r="F352" s="84">
        <v>0.0</v>
      </c>
      <c r="G352" s="84">
        <v>0.0</v>
      </c>
      <c r="H352" s="84">
        <v>0.0</v>
      </c>
      <c r="I352" s="91">
        <v>0.0012121212121212121</v>
      </c>
      <c r="J352" s="84">
        <v>0.0</v>
      </c>
      <c r="K352" s="84">
        <v>0.0</v>
      </c>
      <c r="L352" s="84">
        <v>0.0</v>
      </c>
      <c r="M352" s="84">
        <v>0.0</v>
      </c>
      <c r="N352" s="84">
        <v>0.0</v>
      </c>
      <c r="O352" s="84">
        <v>0.0</v>
      </c>
      <c r="P352" s="84">
        <v>0.0</v>
      </c>
      <c r="Q352" s="84">
        <v>0.0</v>
      </c>
      <c r="R352" s="84">
        <v>0.0</v>
      </c>
      <c r="S352" s="84">
        <v>0.0</v>
      </c>
      <c r="T352" s="84">
        <v>0.0</v>
      </c>
      <c r="U352" s="84">
        <v>0.0</v>
      </c>
      <c r="V352" s="84">
        <v>0.0</v>
      </c>
      <c r="W352" s="84">
        <v>0.0</v>
      </c>
      <c r="X352" s="84">
        <v>0.0</v>
      </c>
      <c r="Y352" s="84">
        <v>0.0</v>
      </c>
      <c r="Z352" s="84">
        <v>0.0</v>
      </c>
      <c r="AA352" s="84">
        <v>0.0</v>
      </c>
      <c r="AB352" s="84">
        <v>0.0</v>
      </c>
      <c r="AC352" s="91">
        <v>0.0</v>
      </c>
      <c r="AD352" s="84">
        <v>0.0</v>
      </c>
      <c r="AE352" s="84">
        <v>0.0</v>
      </c>
      <c r="AF352" s="84">
        <v>0.0</v>
      </c>
      <c r="AG352" s="84">
        <v>0.0</v>
      </c>
      <c r="AH352" s="84">
        <v>0.0</v>
      </c>
      <c r="AI352" s="84">
        <v>0.0</v>
      </c>
      <c r="AJ352" s="84">
        <v>0.0</v>
      </c>
      <c r="AK352" s="84">
        <v>0.0</v>
      </c>
      <c r="AL352" s="84">
        <v>0.0</v>
      </c>
      <c r="AM352" s="84">
        <v>0.0</v>
      </c>
      <c r="AN352" s="93">
        <f t="shared" si="1"/>
        <v>0.001212121212</v>
      </c>
      <c r="AO352" s="84">
        <f t="shared" si="2"/>
        <v>0</v>
      </c>
    </row>
    <row r="353" ht="12.75" customHeight="1">
      <c r="A353" s="84" t="s">
        <v>4468</v>
      </c>
      <c r="B353" s="84">
        <v>0.0</v>
      </c>
      <c r="C353" s="84">
        <v>0.0</v>
      </c>
      <c r="D353" s="84">
        <v>0.0</v>
      </c>
      <c r="E353" s="84">
        <v>0.0</v>
      </c>
      <c r="F353" s="84">
        <v>0.0</v>
      </c>
      <c r="G353" s="84">
        <v>0.0</v>
      </c>
      <c r="H353" s="84">
        <v>0.0</v>
      </c>
      <c r="I353" s="91">
        <v>0.0012121212121212121</v>
      </c>
      <c r="J353" s="84">
        <v>0.0</v>
      </c>
      <c r="K353" s="84">
        <v>0.0</v>
      </c>
      <c r="L353" s="84">
        <v>0.0</v>
      </c>
      <c r="M353" s="84">
        <v>1.0</v>
      </c>
      <c r="N353" s="84">
        <v>0.0</v>
      </c>
      <c r="O353" s="84">
        <v>0.0</v>
      </c>
      <c r="P353" s="84">
        <v>0.0</v>
      </c>
      <c r="Q353" s="84">
        <v>0.0</v>
      </c>
      <c r="R353" s="84">
        <v>0.0</v>
      </c>
      <c r="S353" s="84">
        <v>0.0</v>
      </c>
      <c r="T353" s="84">
        <v>0.0</v>
      </c>
      <c r="U353" s="84">
        <v>0.0</v>
      </c>
      <c r="V353" s="84">
        <v>0.0</v>
      </c>
      <c r="W353" s="84">
        <v>0.0</v>
      </c>
      <c r="X353" s="84">
        <v>0.0</v>
      </c>
      <c r="Y353" s="84">
        <v>0.0</v>
      </c>
      <c r="Z353" s="84">
        <v>0.0</v>
      </c>
      <c r="AA353" s="84">
        <v>0.0</v>
      </c>
      <c r="AB353" s="84">
        <v>0.0</v>
      </c>
      <c r="AC353" s="91">
        <v>0.0</v>
      </c>
      <c r="AD353" s="84">
        <v>0.0</v>
      </c>
      <c r="AE353" s="84">
        <v>0.0</v>
      </c>
      <c r="AF353" s="84">
        <v>0.0</v>
      </c>
      <c r="AG353" s="84">
        <v>0.0</v>
      </c>
      <c r="AH353" s="84">
        <v>0.0</v>
      </c>
      <c r="AI353" s="84">
        <v>0.0</v>
      </c>
      <c r="AJ353" s="84">
        <v>0.0</v>
      </c>
      <c r="AK353" s="84">
        <v>0.0</v>
      </c>
      <c r="AL353" s="84">
        <v>0.0</v>
      </c>
      <c r="AM353" s="84">
        <v>0.0</v>
      </c>
      <c r="AN353" s="93">
        <f t="shared" si="1"/>
        <v>0.001212121212</v>
      </c>
      <c r="AO353" s="84">
        <f t="shared" si="2"/>
        <v>1</v>
      </c>
    </row>
    <row r="354" ht="12.75" customHeight="1">
      <c r="A354" s="84" t="s">
        <v>4320</v>
      </c>
      <c r="B354" s="84">
        <v>0.0</v>
      </c>
      <c r="C354" s="84">
        <v>0.0</v>
      </c>
      <c r="D354" s="84">
        <v>0.0</v>
      </c>
      <c r="E354" s="84">
        <v>0.0</v>
      </c>
      <c r="F354" s="84">
        <v>0.0</v>
      </c>
      <c r="G354" s="84">
        <v>0.0</v>
      </c>
      <c r="H354" s="84">
        <v>0.0</v>
      </c>
      <c r="I354" s="91">
        <v>0.0012121212121212121</v>
      </c>
      <c r="J354" s="84">
        <v>0.0</v>
      </c>
      <c r="K354" s="84">
        <v>0.0</v>
      </c>
      <c r="L354" s="84">
        <v>0.0</v>
      </c>
      <c r="M354" s="84">
        <v>0.0</v>
      </c>
      <c r="N354" s="84">
        <v>0.0</v>
      </c>
      <c r="O354" s="84">
        <v>0.0</v>
      </c>
      <c r="P354" s="84">
        <v>0.0</v>
      </c>
      <c r="Q354" s="84">
        <v>0.0</v>
      </c>
      <c r="R354" s="84">
        <v>0.0</v>
      </c>
      <c r="S354" s="84">
        <v>0.0</v>
      </c>
      <c r="T354" s="84">
        <v>0.0</v>
      </c>
      <c r="U354" s="84">
        <v>0.0</v>
      </c>
      <c r="V354" s="84">
        <v>0.0</v>
      </c>
      <c r="W354" s="84">
        <v>0.0</v>
      </c>
      <c r="X354" s="84">
        <v>0.0</v>
      </c>
      <c r="Y354" s="84">
        <v>0.0</v>
      </c>
      <c r="Z354" s="84">
        <v>0.0</v>
      </c>
      <c r="AA354" s="84">
        <v>0.0</v>
      </c>
      <c r="AB354" s="84">
        <v>0.0</v>
      </c>
      <c r="AC354" s="91">
        <v>0.0</v>
      </c>
      <c r="AD354" s="84">
        <v>0.0</v>
      </c>
      <c r="AE354" s="84">
        <v>0.0</v>
      </c>
      <c r="AF354" s="84">
        <v>0.0</v>
      </c>
      <c r="AG354" s="84">
        <v>0.0</v>
      </c>
      <c r="AH354" s="84">
        <v>0.0</v>
      </c>
      <c r="AI354" s="84">
        <v>0.0</v>
      </c>
      <c r="AJ354" s="84">
        <v>0.0</v>
      </c>
      <c r="AK354" s="84">
        <v>0.0</v>
      </c>
      <c r="AL354" s="84">
        <v>0.0</v>
      </c>
      <c r="AM354" s="84">
        <v>0.0</v>
      </c>
      <c r="AN354" s="93">
        <f t="shared" si="1"/>
        <v>0.001212121212</v>
      </c>
      <c r="AO354" s="84">
        <f t="shared" si="2"/>
        <v>0</v>
      </c>
    </row>
    <row r="355" ht="12.75" customHeight="1">
      <c r="A355" s="84" t="s">
        <v>4323</v>
      </c>
      <c r="B355" s="84">
        <v>0.0</v>
      </c>
      <c r="C355" s="84">
        <v>0.0</v>
      </c>
      <c r="D355" s="84">
        <v>0.0</v>
      </c>
      <c r="E355" s="84">
        <v>0.0</v>
      </c>
      <c r="F355" s="84">
        <v>0.0</v>
      </c>
      <c r="G355" s="84">
        <v>0.0</v>
      </c>
      <c r="H355" s="84">
        <v>0.0</v>
      </c>
      <c r="I355" s="91">
        <v>0.0012121212121212121</v>
      </c>
      <c r="J355" s="84">
        <v>0.0</v>
      </c>
      <c r="K355" s="84">
        <v>0.0</v>
      </c>
      <c r="L355" s="84">
        <v>0.0</v>
      </c>
      <c r="M355" s="84">
        <v>0.0</v>
      </c>
      <c r="N355" s="84">
        <v>0.0</v>
      </c>
      <c r="O355" s="84">
        <v>0.0</v>
      </c>
      <c r="P355" s="84">
        <v>0.0</v>
      </c>
      <c r="Q355" s="84">
        <v>0.0</v>
      </c>
      <c r="R355" s="84">
        <v>0.0</v>
      </c>
      <c r="S355" s="84">
        <v>0.0</v>
      </c>
      <c r="T355" s="84">
        <v>0.0</v>
      </c>
      <c r="U355" s="84">
        <v>0.0</v>
      </c>
      <c r="V355" s="84">
        <v>0.0</v>
      </c>
      <c r="W355" s="84">
        <v>0.0</v>
      </c>
      <c r="X355" s="84">
        <v>0.0</v>
      </c>
      <c r="Y355" s="84">
        <v>0.0</v>
      </c>
      <c r="Z355" s="84">
        <v>0.0</v>
      </c>
      <c r="AA355" s="84">
        <v>0.0</v>
      </c>
      <c r="AB355" s="84">
        <v>0.0</v>
      </c>
      <c r="AC355" s="91">
        <v>0.0</v>
      </c>
      <c r="AD355" s="84">
        <v>0.0</v>
      </c>
      <c r="AE355" s="84">
        <v>0.0</v>
      </c>
      <c r="AF355" s="84">
        <v>0.0</v>
      </c>
      <c r="AG355" s="84">
        <v>0.0</v>
      </c>
      <c r="AH355" s="84">
        <v>0.0</v>
      </c>
      <c r="AI355" s="84">
        <v>0.0</v>
      </c>
      <c r="AJ355" s="84">
        <v>0.0</v>
      </c>
      <c r="AK355" s="84">
        <v>0.0</v>
      </c>
      <c r="AL355" s="84">
        <v>0.0</v>
      </c>
      <c r="AM355" s="84">
        <v>0.0</v>
      </c>
      <c r="AN355" s="93">
        <f t="shared" si="1"/>
        <v>0.001212121212</v>
      </c>
      <c r="AO355" s="84">
        <f t="shared" si="2"/>
        <v>0</v>
      </c>
    </row>
    <row r="356" ht="12.75" customHeight="1">
      <c r="A356" s="84" t="s">
        <v>4317</v>
      </c>
      <c r="B356" s="84">
        <v>0.0</v>
      </c>
      <c r="C356" s="84">
        <v>0.0</v>
      </c>
      <c r="D356" s="84">
        <v>0.0</v>
      </c>
      <c r="E356" s="84">
        <v>0.0</v>
      </c>
      <c r="F356" s="84">
        <v>0.0</v>
      </c>
      <c r="G356" s="84">
        <v>0.0</v>
      </c>
      <c r="H356" s="84">
        <v>0.0</v>
      </c>
      <c r="I356" s="91">
        <v>0.0012121212121212121</v>
      </c>
      <c r="J356" s="84">
        <v>0.0</v>
      </c>
      <c r="K356" s="84">
        <v>0.0</v>
      </c>
      <c r="L356" s="84">
        <v>0.0</v>
      </c>
      <c r="M356" s="84">
        <v>0.0</v>
      </c>
      <c r="N356" s="84">
        <v>0.0</v>
      </c>
      <c r="O356" s="84">
        <v>0.0</v>
      </c>
      <c r="P356" s="84">
        <v>0.0</v>
      </c>
      <c r="Q356" s="84">
        <v>0.0</v>
      </c>
      <c r="R356" s="84">
        <v>0.0</v>
      </c>
      <c r="S356" s="84">
        <v>0.0</v>
      </c>
      <c r="T356" s="84">
        <v>0.0</v>
      </c>
      <c r="U356" s="84">
        <v>0.0</v>
      </c>
      <c r="V356" s="84">
        <v>0.0</v>
      </c>
      <c r="W356" s="84">
        <v>0.0</v>
      </c>
      <c r="X356" s="84">
        <v>0.0</v>
      </c>
      <c r="Y356" s="84">
        <v>0.0</v>
      </c>
      <c r="Z356" s="84">
        <v>0.0</v>
      </c>
      <c r="AA356" s="84">
        <v>0.0</v>
      </c>
      <c r="AB356" s="84">
        <v>0.0</v>
      </c>
      <c r="AC356" s="91">
        <v>0.0</v>
      </c>
      <c r="AD356" s="84">
        <v>0.0</v>
      </c>
      <c r="AE356" s="84">
        <v>0.0</v>
      </c>
      <c r="AF356" s="84">
        <v>0.0</v>
      </c>
      <c r="AG356" s="84">
        <v>0.0</v>
      </c>
      <c r="AH356" s="84">
        <v>0.0</v>
      </c>
      <c r="AI356" s="84">
        <v>0.0</v>
      </c>
      <c r="AJ356" s="84">
        <v>0.0</v>
      </c>
      <c r="AK356" s="84">
        <v>0.0</v>
      </c>
      <c r="AL356" s="84">
        <v>0.0</v>
      </c>
      <c r="AM356" s="84">
        <v>0.0</v>
      </c>
      <c r="AN356" s="93">
        <f t="shared" si="1"/>
        <v>0.001212121212</v>
      </c>
      <c r="AO356" s="84">
        <f t="shared" si="2"/>
        <v>0</v>
      </c>
    </row>
    <row r="357" ht="12.75" customHeight="1">
      <c r="A357" s="84" t="s">
        <v>4071</v>
      </c>
      <c r="B357" s="84">
        <v>0.0</v>
      </c>
      <c r="C357" s="84">
        <v>0.0</v>
      </c>
      <c r="D357" s="84">
        <v>0.0</v>
      </c>
      <c r="E357" s="84">
        <v>0.0</v>
      </c>
      <c r="F357" s="84">
        <v>0.0</v>
      </c>
      <c r="G357" s="84">
        <v>0.0</v>
      </c>
      <c r="H357" s="84">
        <v>0.0</v>
      </c>
      <c r="I357" s="91">
        <v>0.0012121212121212121</v>
      </c>
      <c r="J357" s="84">
        <v>0.0</v>
      </c>
      <c r="K357" s="84">
        <v>0.0</v>
      </c>
      <c r="L357" s="84">
        <v>0.0</v>
      </c>
      <c r="M357" s="84">
        <v>0.0</v>
      </c>
      <c r="N357" s="84">
        <v>0.0</v>
      </c>
      <c r="O357" s="84">
        <v>0.0</v>
      </c>
      <c r="P357" s="84">
        <v>0.0</v>
      </c>
      <c r="Q357" s="84">
        <v>0.0</v>
      </c>
      <c r="R357" s="84">
        <v>0.0</v>
      </c>
      <c r="S357" s="84">
        <v>0.0</v>
      </c>
      <c r="T357" s="84">
        <v>0.0</v>
      </c>
      <c r="U357" s="84">
        <v>0.0</v>
      </c>
      <c r="V357" s="84">
        <v>0.0</v>
      </c>
      <c r="W357" s="84">
        <v>0.0</v>
      </c>
      <c r="X357" s="84">
        <v>0.0</v>
      </c>
      <c r="Y357" s="84">
        <v>0.0</v>
      </c>
      <c r="Z357" s="84">
        <v>0.0</v>
      </c>
      <c r="AA357" s="84">
        <v>0.0</v>
      </c>
      <c r="AB357" s="84">
        <v>0.0</v>
      </c>
      <c r="AC357" s="91">
        <v>0.0</v>
      </c>
      <c r="AD357" s="84">
        <v>0.0</v>
      </c>
      <c r="AE357" s="84">
        <v>0.0</v>
      </c>
      <c r="AF357" s="84">
        <v>0.0</v>
      </c>
      <c r="AG357" s="84">
        <v>0.0</v>
      </c>
      <c r="AH357" s="84">
        <v>0.0</v>
      </c>
      <c r="AI357" s="84">
        <v>0.0</v>
      </c>
      <c r="AJ357" s="84">
        <v>0.0</v>
      </c>
      <c r="AK357" s="84">
        <v>0.0</v>
      </c>
      <c r="AL357" s="84">
        <v>0.0</v>
      </c>
      <c r="AM357" s="84">
        <v>0.0</v>
      </c>
      <c r="AN357" s="93">
        <f t="shared" si="1"/>
        <v>0.001212121212</v>
      </c>
      <c r="AO357" s="84">
        <f t="shared" si="2"/>
        <v>0</v>
      </c>
    </row>
    <row r="358" ht="12.75" customHeight="1">
      <c r="A358" s="84" t="s">
        <v>4318</v>
      </c>
      <c r="B358" s="84">
        <v>0.0</v>
      </c>
      <c r="C358" s="84">
        <v>0.0</v>
      </c>
      <c r="D358" s="84">
        <v>0.0</v>
      </c>
      <c r="E358" s="84">
        <v>0.0</v>
      </c>
      <c r="F358" s="84">
        <v>0.0</v>
      </c>
      <c r="G358" s="84">
        <v>0.0</v>
      </c>
      <c r="H358" s="84">
        <v>0.0</v>
      </c>
      <c r="I358" s="91">
        <v>0.0012121212121212121</v>
      </c>
      <c r="J358" s="84">
        <v>0.0</v>
      </c>
      <c r="K358" s="84">
        <v>0.0</v>
      </c>
      <c r="L358" s="84">
        <v>0.0</v>
      </c>
      <c r="M358" s="84">
        <v>0.0</v>
      </c>
      <c r="N358" s="84">
        <v>0.0</v>
      </c>
      <c r="O358" s="84">
        <v>0.0</v>
      </c>
      <c r="P358" s="84">
        <v>0.0</v>
      </c>
      <c r="Q358" s="84">
        <v>0.0</v>
      </c>
      <c r="R358" s="84">
        <v>0.0</v>
      </c>
      <c r="S358" s="84">
        <v>0.0</v>
      </c>
      <c r="T358" s="84">
        <v>0.0</v>
      </c>
      <c r="U358" s="84">
        <v>0.0</v>
      </c>
      <c r="V358" s="84">
        <v>0.0</v>
      </c>
      <c r="W358" s="84">
        <v>0.0</v>
      </c>
      <c r="X358" s="84">
        <v>0.0</v>
      </c>
      <c r="Y358" s="84">
        <v>0.0</v>
      </c>
      <c r="Z358" s="84">
        <v>0.0</v>
      </c>
      <c r="AA358" s="84">
        <v>0.0</v>
      </c>
      <c r="AB358" s="84">
        <v>0.0</v>
      </c>
      <c r="AC358" s="91">
        <v>0.0</v>
      </c>
      <c r="AD358" s="84">
        <v>0.0</v>
      </c>
      <c r="AE358" s="84">
        <v>0.0</v>
      </c>
      <c r="AF358" s="84">
        <v>0.0</v>
      </c>
      <c r="AG358" s="84">
        <v>0.0</v>
      </c>
      <c r="AH358" s="84">
        <v>0.0</v>
      </c>
      <c r="AI358" s="84">
        <v>0.0</v>
      </c>
      <c r="AJ358" s="84">
        <v>0.0</v>
      </c>
      <c r="AK358" s="84">
        <v>0.0</v>
      </c>
      <c r="AL358" s="84">
        <v>0.0</v>
      </c>
      <c r="AM358" s="84">
        <v>0.0</v>
      </c>
      <c r="AN358" s="93">
        <f t="shared" si="1"/>
        <v>0.001212121212</v>
      </c>
      <c r="AO358" s="84">
        <f t="shared" si="2"/>
        <v>0</v>
      </c>
    </row>
    <row r="359" ht="12.75" customHeight="1">
      <c r="A359" s="84" t="s">
        <v>4295</v>
      </c>
      <c r="B359" s="84">
        <v>0.0</v>
      </c>
      <c r="C359" s="84">
        <v>0.0</v>
      </c>
      <c r="D359" s="84">
        <v>0.0</v>
      </c>
      <c r="E359" s="84">
        <v>0.0</v>
      </c>
      <c r="F359" s="84">
        <v>0.0</v>
      </c>
      <c r="G359" s="84">
        <v>0.0</v>
      </c>
      <c r="H359" s="84">
        <v>0.0</v>
      </c>
      <c r="I359" s="91">
        <v>0.0012121212121212121</v>
      </c>
      <c r="J359" s="84">
        <v>0.0</v>
      </c>
      <c r="K359" s="84">
        <v>0.0</v>
      </c>
      <c r="L359" s="84">
        <v>0.0</v>
      </c>
      <c r="M359" s="84">
        <v>0.0</v>
      </c>
      <c r="N359" s="84">
        <v>0.0</v>
      </c>
      <c r="O359" s="84">
        <v>0.0</v>
      </c>
      <c r="P359" s="84">
        <v>0.0</v>
      </c>
      <c r="Q359" s="84">
        <v>0.0</v>
      </c>
      <c r="R359" s="84">
        <v>0.0</v>
      </c>
      <c r="S359" s="84">
        <v>0.0</v>
      </c>
      <c r="T359" s="84">
        <v>0.0</v>
      </c>
      <c r="U359" s="84">
        <v>0.0</v>
      </c>
      <c r="V359" s="84">
        <v>0.0</v>
      </c>
      <c r="W359" s="84">
        <v>0.0</v>
      </c>
      <c r="X359" s="84">
        <v>0.0</v>
      </c>
      <c r="Y359" s="84">
        <v>0.0</v>
      </c>
      <c r="Z359" s="84">
        <v>0.0</v>
      </c>
      <c r="AA359" s="84">
        <v>0.0</v>
      </c>
      <c r="AB359" s="84">
        <v>0.0</v>
      </c>
      <c r="AC359" s="91">
        <v>0.0</v>
      </c>
      <c r="AD359" s="84">
        <v>0.0</v>
      </c>
      <c r="AE359" s="84">
        <v>0.0</v>
      </c>
      <c r="AF359" s="84">
        <v>0.0</v>
      </c>
      <c r="AG359" s="84">
        <v>0.0</v>
      </c>
      <c r="AH359" s="84">
        <v>0.0</v>
      </c>
      <c r="AI359" s="84">
        <v>0.0</v>
      </c>
      <c r="AJ359" s="84">
        <v>0.0</v>
      </c>
      <c r="AK359" s="84">
        <v>0.0</v>
      </c>
      <c r="AL359" s="84">
        <v>0.0</v>
      </c>
      <c r="AM359" s="84">
        <v>0.0</v>
      </c>
      <c r="AN359" s="93">
        <f t="shared" si="1"/>
        <v>0.001212121212</v>
      </c>
      <c r="AO359" s="84">
        <f t="shared" si="2"/>
        <v>0</v>
      </c>
    </row>
    <row r="360" ht="12.75" customHeight="1">
      <c r="A360" s="84" t="s">
        <v>4307</v>
      </c>
      <c r="B360" s="84">
        <v>0.0</v>
      </c>
      <c r="C360" s="84">
        <v>0.0</v>
      </c>
      <c r="D360" s="84">
        <v>0.0</v>
      </c>
      <c r="E360" s="84">
        <v>0.0</v>
      </c>
      <c r="F360" s="84">
        <v>0.0</v>
      </c>
      <c r="G360" s="84">
        <v>0.0</v>
      </c>
      <c r="H360" s="84">
        <v>0.0</v>
      </c>
      <c r="I360" s="91">
        <v>0.0012121212121212121</v>
      </c>
      <c r="J360" s="84">
        <v>0.0</v>
      </c>
      <c r="K360" s="84">
        <v>0.0</v>
      </c>
      <c r="L360" s="84">
        <v>0.0</v>
      </c>
      <c r="M360" s="84">
        <v>0.0</v>
      </c>
      <c r="N360" s="84">
        <v>0.0</v>
      </c>
      <c r="O360" s="84">
        <v>0.0</v>
      </c>
      <c r="P360" s="84">
        <v>0.0</v>
      </c>
      <c r="Q360" s="84">
        <v>0.0</v>
      </c>
      <c r="R360" s="84">
        <v>0.0</v>
      </c>
      <c r="S360" s="84">
        <v>0.0</v>
      </c>
      <c r="T360" s="84">
        <v>0.0</v>
      </c>
      <c r="U360" s="84">
        <v>0.0</v>
      </c>
      <c r="V360" s="84">
        <v>0.0</v>
      </c>
      <c r="W360" s="84">
        <v>0.0</v>
      </c>
      <c r="X360" s="84">
        <v>0.0</v>
      </c>
      <c r="Y360" s="84">
        <v>0.0</v>
      </c>
      <c r="Z360" s="84">
        <v>0.0</v>
      </c>
      <c r="AA360" s="84">
        <v>0.0</v>
      </c>
      <c r="AB360" s="84">
        <v>0.0</v>
      </c>
      <c r="AC360" s="91">
        <v>0.0</v>
      </c>
      <c r="AD360" s="84">
        <v>0.0</v>
      </c>
      <c r="AE360" s="84">
        <v>0.0</v>
      </c>
      <c r="AF360" s="84">
        <v>0.0</v>
      </c>
      <c r="AG360" s="84">
        <v>0.0</v>
      </c>
      <c r="AH360" s="84">
        <v>0.0</v>
      </c>
      <c r="AI360" s="84">
        <v>0.0</v>
      </c>
      <c r="AJ360" s="84">
        <v>0.0</v>
      </c>
      <c r="AK360" s="84">
        <v>0.0</v>
      </c>
      <c r="AL360" s="84">
        <v>0.0</v>
      </c>
      <c r="AM360" s="84">
        <v>0.0</v>
      </c>
      <c r="AN360" s="93">
        <f t="shared" si="1"/>
        <v>0.001212121212</v>
      </c>
      <c r="AO360" s="84">
        <f t="shared" si="2"/>
        <v>0</v>
      </c>
    </row>
    <row r="361" ht="12.75" customHeight="1">
      <c r="A361" s="84" t="s">
        <v>4055</v>
      </c>
      <c r="B361" s="84">
        <v>0.0</v>
      </c>
      <c r="C361" s="84">
        <v>0.0</v>
      </c>
      <c r="D361" s="84">
        <v>0.0</v>
      </c>
      <c r="E361" s="84">
        <v>0.0</v>
      </c>
      <c r="F361" s="84">
        <v>0.0</v>
      </c>
      <c r="G361" s="84">
        <v>0.0</v>
      </c>
      <c r="H361" s="84">
        <v>0.0</v>
      </c>
      <c r="I361" s="91">
        <v>0.0012121212121212121</v>
      </c>
      <c r="J361" s="84">
        <v>0.0</v>
      </c>
      <c r="K361" s="84">
        <v>0.0</v>
      </c>
      <c r="L361" s="84">
        <v>0.0</v>
      </c>
      <c r="M361" s="84">
        <v>0.0</v>
      </c>
      <c r="N361" s="84">
        <v>0.0</v>
      </c>
      <c r="O361" s="84">
        <v>0.0</v>
      </c>
      <c r="P361" s="84">
        <v>0.0</v>
      </c>
      <c r="Q361" s="84">
        <v>0.0</v>
      </c>
      <c r="R361" s="84">
        <v>0.0</v>
      </c>
      <c r="S361" s="84">
        <v>0.0</v>
      </c>
      <c r="T361" s="84">
        <v>0.0</v>
      </c>
      <c r="U361" s="84">
        <v>0.0</v>
      </c>
      <c r="V361" s="84">
        <v>0.0</v>
      </c>
      <c r="W361" s="84">
        <v>0.0</v>
      </c>
      <c r="X361" s="84">
        <v>0.0</v>
      </c>
      <c r="Y361" s="84">
        <v>0.0</v>
      </c>
      <c r="Z361" s="84">
        <v>0.0</v>
      </c>
      <c r="AA361" s="84">
        <v>0.0</v>
      </c>
      <c r="AB361" s="84">
        <v>0.0</v>
      </c>
      <c r="AC361" s="91">
        <v>0.002554278416347382</v>
      </c>
      <c r="AD361" s="84">
        <v>0.0</v>
      </c>
      <c r="AE361" s="84">
        <v>0.0</v>
      </c>
      <c r="AF361" s="84">
        <v>0.0</v>
      </c>
      <c r="AG361" s="84">
        <v>0.0</v>
      </c>
      <c r="AH361" s="84">
        <v>0.0</v>
      </c>
      <c r="AI361" s="84">
        <v>0.0</v>
      </c>
      <c r="AJ361" s="84">
        <v>0.0</v>
      </c>
      <c r="AK361" s="84">
        <v>0.0</v>
      </c>
      <c r="AL361" s="84">
        <v>0.0</v>
      </c>
      <c r="AM361" s="84">
        <v>0.0</v>
      </c>
      <c r="AN361" s="93">
        <f t="shared" si="1"/>
        <v>0.003766399628</v>
      </c>
      <c r="AO361" s="84">
        <f t="shared" si="2"/>
        <v>0</v>
      </c>
    </row>
    <row r="362" ht="12.75" customHeight="1">
      <c r="A362" s="84" t="s">
        <v>4322</v>
      </c>
      <c r="B362" s="84">
        <v>0.0</v>
      </c>
      <c r="C362" s="84">
        <v>0.0</v>
      </c>
      <c r="D362" s="84">
        <v>0.0</v>
      </c>
      <c r="E362" s="84">
        <v>0.0</v>
      </c>
      <c r="F362" s="84">
        <v>0.0</v>
      </c>
      <c r="G362" s="84">
        <v>0.0</v>
      </c>
      <c r="H362" s="84">
        <v>0.0</v>
      </c>
      <c r="I362" s="91">
        <v>0.0012121212121212121</v>
      </c>
      <c r="J362" s="84">
        <v>0.0</v>
      </c>
      <c r="K362" s="84">
        <v>0.0</v>
      </c>
      <c r="L362" s="84">
        <v>0.0</v>
      </c>
      <c r="M362" s="84">
        <v>0.0</v>
      </c>
      <c r="N362" s="84">
        <v>0.0</v>
      </c>
      <c r="O362" s="84">
        <v>0.0</v>
      </c>
      <c r="P362" s="84">
        <v>0.0</v>
      </c>
      <c r="Q362" s="84">
        <v>0.0</v>
      </c>
      <c r="R362" s="84">
        <v>0.0</v>
      </c>
      <c r="S362" s="84">
        <v>0.0</v>
      </c>
      <c r="T362" s="84">
        <v>0.0</v>
      </c>
      <c r="U362" s="84">
        <v>0.0</v>
      </c>
      <c r="V362" s="84">
        <v>0.0</v>
      </c>
      <c r="W362" s="84">
        <v>0.0</v>
      </c>
      <c r="X362" s="84">
        <v>0.0</v>
      </c>
      <c r="Y362" s="84">
        <v>0.0</v>
      </c>
      <c r="Z362" s="84">
        <v>0.0</v>
      </c>
      <c r="AA362" s="84">
        <v>0.0</v>
      </c>
      <c r="AB362" s="84">
        <v>0.0</v>
      </c>
      <c r="AC362" s="91">
        <v>0.0</v>
      </c>
      <c r="AD362" s="84">
        <v>0.0</v>
      </c>
      <c r="AE362" s="84">
        <v>0.0</v>
      </c>
      <c r="AF362" s="84">
        <v>0.0</v>
      </c>
      <c r="AG362" s="84">
        <v>0.0</v>
      </c>
      <c r="AH362" s="84">
        <v>0.0</v>
      </c>
      <c r="AI362" s="84">
        <v>0.0</v>
      </c>
      <c r="AJ362" s="84">
        <v>0.0</v>
      </c>
      <c r="AK362" s="84">
        <v>0.0</v>
      </c>
      <c r="AL362" s="84">
        <v>0.0</v>
      </c>
      <c r="AM362" s="84">
        <v>0.0</v>
      </c>
      <c r="AN362" s="93">
        <f t="shared" si="1"/>
        <v>0.001212121212</v>
      </c>
      <c r="AO362" s="84">
        <f t="shared" si="2"/>
        <v>0</v>
      </c>
    </row>
    <row r="363" ht="12.75" customHeight="1">
      <c r="A363" s="84" t="s">
        <v>4300</v>
      </c>
      <c r="B363" s="84">
        <v>0.0</v>
      </c>
      <c r="C363" s="84">
        <v>0.0</v>
      </c>
      <c r="D363" s="84">
        <v>0.0</v>
      </c>
      <c r="E363" s="84">
        <v>0.0</v>
      </c>
      <c r="F363" s="84">
        <v>0.0</v>
      </c>
      <c r="G363" s="84">
        <v>0.0</v>
      </c>
      <c r="H363" s="84">
        <v>0.0</v>
      </c>
      <c r="I363" s="91">
        <v>0.0012121212121212121</v>
      </c>
      <c r="J363" s="84">
        <v>0.0</v>
      </c>
      <c r="K363" s="84">
        <v>0.0</v>
      </c>
      <c r="L363" s="84">
        <v>0.0</v>
      </c>
      <c r="M363" s="84">
        <v>0.0</v>
      </c>
      <c r="N363" s="84">
        <v>0.0</v>
      </c>
      <c r="O363" s="84">
        <v>0.0</v>
      </c>
      <c r="P363" s="84">
        <v>0.0</v>
      </c>
      <c r="Q363" s="84">
        <v>0.0</v>
      </c>
      <c r="R363" s="84">
        <v>0.0</v>
      </c>
      <c r="S363" s="84">
        <v>0.0</v>
      </c>
      <c r="T363" s="84">
        <v>0.0</v>
      </c>
      <c r="U363" s="84">
        <v>0.0</v>
      </c>
      <c r="V363" s="84">
        <v>0.0</v>
      </c>
      <c r="W363" s="84">
        <v>0.0</v>
      </c>
      <c r="X363" s="84">
        <v>0.0</v>
      </c>
      <c r="Y363" s="84">
        <v>0.0</v>
      </c>
      <c r="Z363" s="84">
        <v>0.0</v>
      </c>
      <c r="AA363" s="84">
        <v>0.0</v>
      </c>
      <c r="AB363" s="84">
        <v>0.0</v>
      </c>
      <c r="AC363" s="91">
        <v>0.0</v>
      </c>
      <c r="AD363" s="84">
        <v>0.0</v>
      </c>
      <c r="AE363" s="84">
        <v>0.0</v>
      </c>
      <c r="AF363" s="84">
        <v>0.0</v>
      </c>
      <c r="AG363" s="84">
        <v>0.0</v>
      </c>
      <c r="AH363" s="84">
        <v>0.0</v>
      </c>
      <c r="AI363" s="84">
        <v>0.0</v>
      </c>
      <c r="AJ363" s="84">
        <v>0.0</v>
      </c>
      <c r="AK363" s="84">
        <v>0.0</v>
      </c>
      <c r="AL363" s="84">
        <v>0.0</v>
      </c>
      <c r="AM363" s="84">
        <v>0.0</v>
      </c>
      <c r="AN363" s="93">
        <f t="shared" si="1"/>
        <v>0.001212121212</v>
      </c>
      <c r="AO363" s="84">
        <f t="shared" si="2"/>
        <v>0</v>
      </c>
    </row>
    <row r="364" ht="12.75" customHeight="1">
      <c r="A364" s="84" t="s">
        <v>4302</v>
      </c>
      <c r="B364" s="84">
        <v>0.0</v>
      </c>
      <c r="C364" s="84">
        <v>0.0</v>
      </c>
      <c r="D364" s="84">
        <v>0.0</v>
      </c>
      <c r="E364" s="84">
        <v>0.0</v>
      </c>
      <c r="F364" s="84">
        <v>0.0</v>
      </c>
      <c r="G364" s="84">
        <v>0.0</v>
      </c>
      <c r="H364" s="84">
        <v>0.0</v>
      </c>
      <c r="I364" s="91">
        <v>0.0012121212121212121</v>
      </c>
      <c r="J364" s="84">
        <v>0.0</v>
      </c>
      <c r="K364" s="84">
        <v>0.0</v>
      </c>
      <c r="L364" s="84">
        <v>0.0</v>
      </c>
      <c r="M364" s="84">
        <v>0.0</v>
      </c>
      <c r="N364" s="84">
        <v>0.0</v>
      </c>
      <c r="O364" s="84">
        <v>0.0</v>
      </c>
      <c r="P364" s="84">
        <v>0.0</v>
      </c>
      <c r="Q364" s="84">
        <v>0.0</v>
      </c>
      <c r="R364" s="84">
        <v>0.0</v>
      </c>
      <c r="S364" s="84">
        <v>0.0</v>
      </c>
      <c r="T364" s="84">
        <v>0.0</v>
      </c>
      <c r="U364" s="84">
        <v>0.0</v>
      </c>
      <c r="V364" s="84">
        <v>0.0</v>
      </c>
      <c r="W364" s="84">
        <v>0.0</v>
      </c>
      <c r="X364" s="84">
        <v>0.0</v>
      </c>
      <c r="Y364" s="84">
        <v>0.0</v>
      </c>
      <c r="Z364" s="84">
        <v>0.0</v>
      </c>
      <c r="AA364" s="84">
        <v>0.0</v>
      </c>
      <c r="AB364" s="84">
        <v>0.0</v>
      </c>
      <c r="AC364" s="91">
        <v>0.0</v>
      </c>
      <c r="AD364" s="84">
        <v>0.0</v>
      </c>
      <c r="AE364" s="84">
        <v>0.0</v>
      </c>
      <c r="AF364" s="84">
        <v>0.0</v>
      </c>
      <c r="AG364" s="84">
        <v>0.0</v>
      </c>
      <c r="AH364" s="84">
        <v>0.0</v>
      </c>
      <c r="AI364" s="84">
        <v>0.0</v>
      </c>
      <c r="AJ364" s="84">
        <v>0.0</v>
      </c>
      <c r="AK364" s="84">
        <v>0.0</v>
      </c>
      <c r="AL364" s="84">
        <v>0.0</v>
      </c>
      <c r="AM364" s="84">
        <v>0.0</v>
      </c>
      <c r="AN364" s="93">
        <f t="shared" si="1"/>
        <v>0.001212121212</v>
      </c>
      <c r="AO364" s="84">
        <f t="shared" si="2"/>
        <v>0</v>
      </c>
    </row>
    <row r="365" ht="12.75" customHeight="1">
      <c r="A365" s="84" t="s">
        <v>4305</v>
      </c>
      <c r="B365" s="84">
        <v>0.0</v>
      </c>
      <c r="C365" s="84">
        <v>0.0</v>
      </c>
      <c r="D365" s="84">
        <v>0.0</v>
      </c>
      <c r="E365" s="84">
        <v>0.0</v>
      </c>
      <c r="F365" s="84">
        <v>0.0</v>
      </c>
      <c r="G365" s="84">
        <v>0.0</v>
      </c>
      <c r="H365" s="84">
        <v>0.0</v>
      </c>
      <c r="I365" s="91">
        <v>0.0012121212121212121</v>
      </c>
      <c r="J365" s="84">
        <v>0.0</v>
      </c>
      <c r="K365" s="84">
        <v>0.0</v>
      </c>
      <c r="L365" s="84">
        <v>0.0</v>
      </c>
      <c r="M365" s="84">
        <v>0.0</v>
      </c>
      <c r="N365" s="84">
        <v>0.0</v>
      </c>
      <c r="O365" s="84">
        <v>0.0</v>
      </c>
      <c r="P365" s="84">
        <v>0.0</v>
      </c>
      <c r="Q365" s="84">
        <v>0.0</v>
      </c>
      <c r="R365" s="84">
        <v>0.0</v>
      </c>
      <c r="S365" s="84">
        <v>0.0</v>
      </c>
      <c r="T365" s="84">
        <v>0.0</v>
      </c>
      <c r="U365" s="84">
        <v>0.0</v>
      </c>
      <c r="V365" s="84">
        <v>0.0</v>
      </c>
      <c r="W365" s="84">
        <v>0.0</v>
      </c>
      <c r="X365" s="84">
        <v>0.0</v>
      </c>
      <c r="Y365" s="84">
        <v>0.0</v>
      </c>
      <c r="Z365" s="84">
        <v>0.0</v>
      </c>
      <c r="AA365" s="84">
        <v>0.0</v>
      </c>
      <c r="AB365" s="84">
        <v>0.0</v>
      </c>
      <c r="AC365" s="91">
        <v>0.0</v>
      </c>
      <c r="AD365" s="84">
        <v>0.0</v>
      </c>
      <c r="AE365" s="84">
        <v>0.0</v>
      </c>
      <c r="AF365" s="84">
        <v>0.0</v>
      </c>
      <c r="AG365" s="84">
        <v>0.0</v>
      </c>
      <c r="AH365" s="84">
        <v>0.0</v>
      </c>
      <c r="AI365" s="84">
        <v>0.0</v>
      </c>
      <c r="AJ365" s="84">
        <v>0.0</v>
      </c>
      <c r="AK365" s="84">
        <v>0.0</v>
      </c>
      <c r="AL365" s="84">
        <v>0.0</v>
      </c>
      <c r="AM365" s="84">
        <v>0.0</v>
      </c>
      <c r="AN365" s="93">
        <f t="shared" si="1"/>
        <v>0.001212121212</v>
      </c>
      <c r="AO365" s="84">
        <f t="shared" si="2"/>
        <v>0</v>
      </c>
    </row>
    <row r="366" ht="12.75" customHeight="1">
      <c r="A366" s="84" t="s">
        <v>4306</v>
      </c>
      <c r="B366" s="84">
        <v>0.0</v>
      </c>
      <c r="C366" s="84">
        <v>0.0</v>
      </c>
      <c r="D366" s="84">
        <v>0.0</v>
      </c>
      <c r="E366" s="84">
        <v>0.0</v>
      </c>
      <c r="F366" s="84">
        <v>0.0</v>
      </c>
      <c r="G366" s="84">
        <v>0.0</v>
      </c>
      <c r="H366" s="84">
        <v>0.0</v>
      </c>
      <c r="I366" s="91">
        <v>0.0012121212121212121</v>
      </c>
      <c r="J366" s="84">
        <v>0.0</v>
      </c>
      <c r="K366" s="84">
        <v>0.0</v>
      </c>
      <c r="L366" s="84">
        <v>0.0</v>
      </c>
      <c r="M366" s="84">
        <v>0.0</v>
      </c>
      <c r="N366" s="84">
        <v>0.0</v>
      </c>
      <c r="O366" s="84">
        <v>0.0</v>
      </c>
      <c r="P366" s="84">
        <v>0.0</v>
      </c>
      <c r="Q366" s="84">
        <v>0.0</v>
      </c>
      <c r="R366" s="84">
        <v>0.0</v>
      </c>
      <c r="S366" s="84">
        <v>0.0</v>
      </c>
      <c r="T366" s="84">
        <v>0.0</v>
      </c>
      <c r="U366" s="84">
        <v>0.0</v>
      </c>
      <c r="V366" s="84">
        <v>0.0</v>
      </c>
      <c r="W366" s="84">
        <v>0.0</v>
      </c>
      <c r="X366" s="84">
        <v>0.0</v>
      </c>
      <c r="Y366" s="84">
        <v>0.0</v>
      </c>
      <c r="Z366" s="84">
        <v>0.0</v>
      </c>
      <c r="AA366" s="84">
        <v>0.0</v>
      </c>
      <c r="AB366" s="84">
        <v>0.0</v>
      </c>
      <c r="AC366" s="91">
        <v>0.0</v>
      </c>
      <c r="AD366" s="84">
        <v>0.0</v>
      </c>
      <c r="AE366" s="84">
        <v>0.0</v>
      </c>
      <c r="AF366" s="84">
        <v>0.0</v>
      </c>
      <c r="AG366" s="84">
        <v>0.0</v>
      </c>
      <c r="AH366" s="84">
        <v>0.0</v>
      </c>
      <c r="AI366" s="84">
        <v>0.0</v>
      </c>
      <c r="AJ366" s="84">
        <v>0.0</v>
      </c>
      <c r="AK366" s="84">
        <v>0.0</v>
      </c>
      <c r="AL366" s="84">
        <v>0.0</v>
      </c>
      <c r="AM366" s="84">
        <v>0.0</v>
      </c>
      <c r="AN366" s="93">
        <f t="shared" si="1"/>
        <v>0.001212121212</v>
      </c>
      <c r="AO366" s="84">
        <f t="shared" si="2"/>
        <v>0</v>
      </c>
    </row>
    <row r="367" ht="12.75" customHeight="1">
      <c r="A367" s="84" t="s">
        <v>4308</v>
      </c>
      <c r="B367" s="84">
        <v>0.0</v>
      </c>
      <c r="C367" s="84">
        <v>0.0</v>
      </c>
      <c r="D367" s="84">
        <v>0.0</v>
      </c>
      <c r="E367" s="84">
        <v>0.0</v>
      </c>
      <c r="F367" s="84">
        <v>0.0</v>
      </c>
      <c r="G367" s="84">
        <v>0.0</v>
      </c>
      <c r="H367" s="84">
        <v>0.0</v>
      </c>
      <c r="I367" s="91">
        <v>0.0012121212121212121</v>
      </c>
      <c r="J367" s="84">
        <v>0.0</v>
      </c>
      <c r="K367" s="84">
        <v>0.0</v>
      </c>
      <c r="L367" s="84">
        <v>0.0</v>
      </c>
      <c r="M367" s="84">
        <v>0.0</v>
      </c>
      <c r="N367" s="84">
        <v>0.0</v>
      </c>
      <c r="O367" s="84">
        <v>0.0</v>
      </c>
      <c r="P367" s="84">
        <v>0.0</v>
      </c>
      <c r="Q367" s="84">
        <v>0.0</v>
      </c>
      <c r="R367" s="84">
        <v>0.0</v>
      </c>
      <c r="S367" s="84">
        <v>0.0</v>
      </c>
      <c r="T367" s="84">
        <v>0.0</v>
      </c>
      <c r="U367" s="84">
        <v>0.0</v>
      </c>
      <c r="V367" s="84">
        <v>0.0</v>
      </c>
      <c r="W367" s="84">
        <v>0.0</v>
      </c>
      <c r="X367" s="84">
        <v>0.0</v>
      </c>
      <c r="Y367" s="84">
        <v>0.0</v>
      </c>
      <c r="Z367" s="84">
        <v>0.0</v>
      </c>
      <c r="AA367" s="84">
        <v>0.0</v>
      </c>
      <c r="AB367" s="84">
        <v>0.0</v>
      </c>
      <c r="AC367" s="91">
        <v>0.0</v>
      </c>
      <c r="AD367" s="84">
        <v>0.0</v>
      </c>
      <c r="AE367" s="84">
        <v>0.0</v>
      </c>
      <c r="AF367" s="84">
        <v>0.0</v>
      </c>
      <c r="AG367" s="84">
        <v>0.0</v>
      </c>
      <c r="AH367" s="84">
        <v>0.0</v>
      </c>
      <c r="AI367" s="84">
        <v>0.0</v>
      </c>
      <c r="AJ367" s="84">
        <v>0.0</v>
      </c>
      <c r="AK367" s="84">
        <v>0.0</v>
      </c>
      <c r="AL367" s="84">
        <v>0.0</v>
      </c>
      <c r="AM367" s="84">
        <v>0.0</v>
      </c>
      <c r="AN367" s="93">
        <f t="shared" si="1"/>
        <v>0.001212121212</v>
      </c>
      <c r="AO367" s="84">
        <f t="shared" si="2"/>
        <v>0</v>
      </c>
    </row>
    <row r="368" ht="12.75" customHeight="1">
      <c r="A368" s="84" t="s">
        <v>4288</v>
      </c>
      <c r="B368" s="84">
        <v>0.0</v>
      </c>
      <c r="C368" s="84">
        <v>0.0</v>
      </c>
      <c r="D368" s="84">
        <v>0.0</v>
      </c>
      <c r="E368" s="84">
        <v>0.0</v>
      </c>
      <c r="F368" s="84">
        <v>0.0</v>
      </c>
      <c r="G368" s="84">
        <v>0.0</v>
      </c>
      <c r="H368" s="84">
        <v>0.0</v>
      </c>
      <c r="I368" s="91">
        <v>0.0012121212121212121</v>
      </c>
      <c r="J368" s="84">
        <v>0.0</v>
      </c>
      <c r="K368" s="84">
        <v>0.0</v>
      </c>
      <c r="L368" s="84">
        <v>0.0</v>
      </c>
      <c r="M368" s="84">
        <v>0.0</v>
      </c>
      <c r="N368" s="84">
        <v>0.0</v>
      </c>
      <c r="O368" s="84">
        <v>0.0</v>
      </c>
      <c r="P368" s="84">
        <v>0.0</v>
      </c>
      <c r="Q368" s="84">
        <v>0.0</v>
      </c>
      <c r="R368" s="84">
        <v>0.0</v>
      </c>
      <c r="S368" s="84">
        <v>0.0</v>
      </c>
      <c r="T368" s="84">
        <v>0.0</v>
      </c>
      <c r="U368" s="84">
        <v>0.0</v>
      </c>
      <c r="V368" s="84">
        <v>0.0</v>
      </c>
      <c r="W368" s="84">
        <v>0.0</v>
      </c>
      <c r="X368" s="84">
        <v>0.0</v>
      </c>
      <c r="Y368" s="84">
        <v>0.0</v>
      </c>
      <c r="Z368" s="84">
        <v>0.0</v>
      </c>
      <c r="AA368" s="84">
        <v>0.0</v>
      </c>
      <c r="AB368" s="84">
        <v>0.0</v>
      </c>
      <c r="AC368" s="91">
        <v>0.0</v>
      </c>
      <c r="AD368" s="84">
        <v>0.0</v>
      </c>
      <c r="AE368" s="84">
        <v>0.0</v>
      </c>
      <c r="AF368" s="84">
        <v>0.0</v>
      </c>
      <c r="AG368" s="84">
        <v>0.0</v>
      </c>
      <c r="AH368" s="84">
        <v>0.0</v>
      </c>
      <c r="AI368" s="84">
        <v>0.0</v>
      </c>
      <c r="AJ368" s="84">
        <v>0.0</v>
      </c>
      <c r="AK368" s="84">
        <v>0.0</v>
      </c>
      <c r="AL368" s="84">
        <v>0.0</v>
      </c>
      <c r="AM368" s="84">
        <v>0.0</v>
      </c>
      <c r="AN368" s="93">
        <f t="shared" si="1"/>
        <v>0.001212121212</v>
      </c>
      <c r="AO368" s="84">
        <f t="shared" si="2"/>
        <v>0</v>
      </c>
    </row>
    <row r="369" ht="12.75" customHeight="1">
      <c r="A369" s="84" t="s">
        <v>4332</v>
      </c>
      <c r="B369" s="84">
        <v>0.0</v>
      </c>
      <c r="C369" s="84">
        <v>0.0</v>
      </c>
      <c r="D369" s="84">
        <v>0.0</v>
      </c>
      <c r="E369" s="84">
        <v>0.0</v>
      </c>
      <c r="F369" s="84">
        <v>0.0</v>
      </c>
      <c r="G369" s="84">
        <v>0.0</v>
      </c>
      <c r="H369" s="84">
        <v>0.0</v>
      </c>
      <c r="I369" s="91">
        <v>0.0012121212121212121</v>
      </c>
      <c r="J369" s="84">
        <v>0.0</v>
      </c>
      <c r="K369" s="84">
        <v>0.0</v>
      </c>
      <c r="L369" s="84">
        <v>0.0</v>
      </c>
      <c r="M369" s="84">
        <v>0.0</v>
      </c>
      <c r="N369" s="84">
        <v>0.0</v>
      </c>
      <c r="O369" s="84">
        <v>0.0</v>
      </c>
      <c r="P369" s="84">
        <v>0.0</v>
      </c>
      <c r="Q369" s="84">
        <v>0.0</v>
      </c>
      <c r="R369" s="84">
        <v>0.0</v>
      </c>
      <c r="S369" s="84">
        <v>0.0</v>
      </c>
      <c r="T369" s="84">
        <v>0.0</v>
      </c>
      <c r="U369" s="84">
        <v>0.0</v>
      </c>
      <c r="V369" s="84">
        <v>0.0</v>
      </c>
      <c r="W369" s="84">
        <v>0.0</v>
      </c>
      <c r="X369" s="84">
        <v>0.0</v>
      </c>
      <c r="Y369" s="84">
        <v>0.0</v>
      </c>
      <c r="Z369" s="84">
        <v>0.0</v>
      </c>
      <c r="AA369" s="84">
        <v>0.0</v>
      </c>
      <c r="AB369" s="84">
        <v>0.0</v>
      </c>
      <c r="AC369" s="91">
        <v>0.002554278416347382</v>
      </c>
      <c r="AD369" s="84">
        <v>0.0</v>
      </c>
      <c r="AE369" s="84">
        <v>0.0</v>
      </c>
      <c r="AF369" s="84">
        <v>0.0</v>
      </c>
      <c r="AG369" s="84">
        <v>0.0</v>
      </c>
      <c r="AH369" s="84">
        <v>0.0</v>
      </c>
      <c r="AI369" s="84">
        <v>0.0</v>
      </c>
      <c r="AJ369" s="84">
        <v>0.0</v>
      </c>
      <c r="AK369" s="84">
        <v>0.0</v>
      </c>
      <c r="AL369" s="84">
        <v>0.0</v>
      </c>
      <c r="AM369" s="84">
        <v>0.0</v>
      </c>
      <c r="AN369" s="93">
        <f t="shared" si="1"/>
        <v>0.003766399628</v>
      </c>
      <c r="AO369" s="84">
        <f t="shared" si="2"/>
        <v>0</v>
      </c>
    </row>
    <row r="370" ht="12.75" customHeight="1">
      <c r="A370" s="84" t="s">
        <v>4304</v>
      </c>
      <c r="B370" s="84">
        <v>0.0</v>
      </c>
      <c r="C370" s="84">
        <v>0.0</v>
      </c>
      <c r="D370" s="84">
        <v>0.0</v>
      </c>
      <c r="E370" s="84">
        <v>0.0</v>
      </c>
      <c r="F370" s="84">
        <v>0.0</v>
      </c>
      <c r="G370" s="84">
        <v>0.0</v>
      </c>
      <c r="H370" s="84">
        <v>0.0</v>
      </c>
      <c r="I370" s="91">
        <v>0.0012121212121212121</v>
      </c>
      <c r="J370" s="84">
        <v>0.0</v>
      </c>
      <c r="K370" s="84">
        <v>0.0</v>
      </c>
      <c r="L370" s="84">
        <v>0.0</v>
      </c>
      <c r="M370" s="84">
        <v>0.0</v>
      </c>
      <c r="N370" s="84">
        <v>0.0</v>
      </c>
      <c r="O370" s="84">
        <v>0.0</v>
      </c>
      <c r="P370" s="84">
        <v>0.0</v>
      </c>
      <c r="Q370" s="84">
        <v>0.0</v>
      </c>
      <c r="R370" s="84">
        <v>0.0</v>
      </c>
      <c r="S370" s="84">
        <v>0.0</v>
      </c>
      <c r="T370" s="84">
        <v>0.0</v>
      </c>
      <c r="U370" s="84">
        <v>0.0</v>
      </c>
      <c r="V370" s="84">
        <v>0.0</v>
      </c>
      <c r="W370" s="84">
        <v>0.0</v>
      </c>
      <c r="X370" s="84">
        <v>0.0</v>
      </c>
      <c r="Y370" s="84">
        <v>0.0</v>
      </c>
      <c r="Z370" s="84">
        <v>0.0</v>
      </c>
      <c r="AA370" s="84">
        <v>0.0</v>
      </c>
      <c r="AB370" s="84">
        <v>0.0</v>
      </c>
      <c r="AC370" s="91">
        <v>0.0</v>
      </c>
      <c r="AD370" s="84">
        <v>0.0</v>
      </c>
      <c r="AE370" s="84">
        <v>0.0</v>
      </c>
      <c r="AF370" s="84">
        <v>0.0</v>
      </c>
      <c r="AG370" s="84">
        <v>0.0</v>
      </c>
      <c r="AH370" s="84">
        <v>0.0</v>
      </c>
      <c r="AI370" s="84">
        <v>0.0</v>
      </c>
      <c r="AJ370" s="84">
        <v>0.0</v>
      </c>
      <c r="AK370" s="84">
        <v>0.0</v>
      </c>
      <c r="AL370" s="84">
        <v>0.0</v>
      </c>
      <c r="AM370" s="84">
        <v>0.0</v>
      </c>
      <c r="AN370" s="93">
        <f t="shared" si="1"/>
        <v>0.001212121212</v>
      </c>
      <c r="AO370" s="84">
        <f t="shared" si="2"/>
        <v>0</v>
      </c>
    </row>
    <row r="371" ht="12.75" customHeight="1">
      <c r="A371" s="84" t="s">
        <v>4303</v>
      </c>
      <c r="B371" s="84">
        <v>0.0</v>
      </c>
      <c r="C371" s="84">
        <v>0.0</v>
      </c>
      <c r="D371" s="84">
        <v>0.0</v>
      </c>
      <c r="E371" s="84">
        <v>0.0</v>
      </c>
      <c r="F371" s="84">
        <v>0.0</v>
      </c>
      <c r="G371" s="84">
        <v>0.0</v>
      </c>
      <c r="H371" s="84">
        <v>0.0</v>
      </c>
      <c r="I371" s="91">
        <v>0.0012121212121212121</v>
      </c>
      <c r="J371" s="84">
        <v>0.0</v>
      </c>
      <c r="K371" s="84">
        <v>0.0</v>
      </c>
      <c r="L371" s="84">
        <v>0.0</v>
      </c>
      <c r="M371" s="84">
        <v>0.0</v>
      </c>
      <c r="N371" s="84">
        <v>0.0</v>
      </c>
      <c r="O371" s="84">
        <v>0.0</v>
      </c>
      <c r="P371" s="84">
        <v>0.0</v>
      </c>
      <c r="Q371" s="84">
        <v>0.0</v>
      </c>
      <c r="R371" s="84">
        <v>0.0</v>
      </c>
      <c r="S371" s="84">
        <v>0.0</v>
      </c>
      <c r="T371" s="84">
        <v>0.0</v>
      </c>
      <c r="U371" s="84">
        <v>0.0</v>
      </c>
      <c r="V371" s="84">
        <v>0.0</v>
      </c>
      <c r="W371" s="84">
        <v>0.0</v>
      </c>
      <c r="X371" s="84">
        <v>0.0</v>
      </c>
      <c r="Y371" s="84">
        <v>0.0</v>
      </c>
      <c r="Z371" s="84">
        <v>0.0</v>
      </c>
      <c r="AA371" s="84">
        <v>0.0</v>
      </c>
      <c r="AB371" s="84">
        <v>0.0</v>
      </c>
      <c r="AC371" s="91">
        <v>0.0</v>
      </c>
      <c r="AD371" s="84">
        <v>0.0</v>
      </c>
      <c r="AE371" s="84">
        <v>0.0</v>
      </c>
      <c r="AF371" s="84">
        <v>0.0</v>
      </c>
      <c r="AG371" s="84">
        <v>0.0</v>
      </c>
      <c r="AH371" s="84">
        <v>0.0</v>
      </c>
      <c r="AI371" s="84">
        <v>0.0</v>
      </c>
      <c r="AJ371" s="84">
        <v>0.0</v>
      </c>
      <c r="AK371" s="84">
        <v>0.0</v>
      </c>
      <c r="AL371" s="84">
        <v>0.0</v>
      </c>
      <c r="AM371" s="84">
        <v>0.0</v>
      </c>
      <c r="AN371" s="93">
        <f t="shared" si="1"/>
        <v>0.001212121212</v>
      </c>
      <c r="AO371" s="84">
        <f t="shared" si="2"/>
        <v>0</v>
      </c>
    </row>
    <row r="372" ht="12.75" customHeight="1">
      <c r="A372" s="84" t="s">
        <v>4309</v>
      </c>
      <c r="B372" s="84">
        <v>0.0</v>
      </c>
      <c r="C372" s="84">
        <v>0.0</v>
      </c>
      <c r="D372" s="84">
        <v>0.0</v>
      </c>
      <c r="E372" s="84">
        <v>0.0</v>
      </c>
      <c r="F372" s="84">
        <v>0.0</v>
      </c>
      <c r="G372" s="84">
        <v>0.0</v>
      </c>
      <c r="H372" s="84">
        <v>0.0</v>
      </c>
      <c r="I372" s="91">
        <v>0.0012121212121212121</v>
      </c>
      <c r="J372" s="84">
        <v>0.0</v>
      </c>
      <c r="K372" s="84">
        <v>0.0</v>
      </c>
      <c r="L372" s="84">
        <v>0.0</v>
      </c>
      <c r="M372" s="84">
        <v>0.0</v>
      </c>
      <c r="N372" s="84">
        <v>0.0</v>
      </c>
      <c r="O372" s="84">
        <v>0.0</v>
      </c>
      <c r="P372" s="84">
        <v>0.0</v>
      </c>
      <c r="Q372" s="84">
        <v>0.0</v>
      </c>
      <c r="R372" s="84">
        <v>0.0</v>
      </c>
      <c r="S372" s="84">
        <v>0.0</v>
      </c>
      <c r="T372" s="84">
        <v>0.0</v>
      </c>
      <c r="U372" s="84">
        <v>0.0</v>
      </c>
      <c r="V372" s="84">
        <v>0.0</v>
      </c>
      <c r="W372" s="84">
        <v>0.0</v>
      </c>
      <c r="X372" s="84">
        <v>0.0</v>
      </c>
      <c r="Y372" s="84">
        <v>0.0</v>
      </c>
      <c r="Z372" s="84">
        <v>0.0</v>
      </c>
      <c r="AA372" s="84">
        <v>0.0</v>
      </c>
      <c r="AB372" s="84">
        <v>0.0</v>
      </c>
      <c r="AC372" s="91">
        <v>0.0</v>
      </c>
      <c r="AD372" s="84">
        <v>0.0</v>
      </c>
      <c r="AE372" s="84">
        <v>0.0</v>
      </c>
      <c r="AF372" s="84">
        <v>0.0</v>
      </c>
      <c r="AG372" s="84">
        <v>0.0</v>
      </c>
      <c r="AH372" s="84">
        <v>0.0</v>
      </c>
      <c r="AI372" s="84">
        <v>0.0</v>
      </c>
      <c r="AJ372" s="84">
        <v>0.0</v>
      </c>
      <c r="AK372" s="84">
        <v>0.0</v>
      </c>
      <c r="AL372" s="84">
        <v>0.0</v>
      </c>
      <c r="AM372" s="84">
        <v>0.0</v>
      </c>
      <c r="AN372" s="93">
        <f t="shared" si="1"/>
        <v>0.001212121212</v>
      </c>
      <c r="AO372" s="84">
        <f t="shared" si="2"/>
        <v>0</v>
      </c>
    </row>
    <row r="373" ht="12.75" customHeight="1">
      <c r="A373" s="84" t="s">
        <v>4047</v>
      </c>
      <c r="B373" s="84">
        <v>0.0</v>
      </c>
      <c r="C373" s="84">
        <v>0.0</v>
      </c>
      <c r="D373" s="84">
        <v>0.0</v>
      </c>
      <c r="E373" s="84">
        <v>0.0</v>
      </c>
      <c r="F373" s="84">
        <v>0.0</v>
      </c>
      <c r="G373" s="84">
        <v>0.0</v>
      </c>
      <c r="H373" s="84">
        <v>0.0</v>
      </c>
      <c r="I373" s="91">
        <v>0.0</v>
      </c>
      <c r="J373" s="84">
        <v>0.0</v>
      </c>
      <c r="K373" s="84">
        <v>0.0</v>
      </c>
      <c r="L373" s="84">
        <v>0.0</v>
      </c>
      <c r="M373" s="84">
        <v>0.0</v>
      </c>
      <c r="N373" s="84">
        <v>0.0</v>
      </c>
      <c r="O373" s="84">
        <v>0.0</v>
      </c>
      <c r="P373" s="84">
        <v>0.0</v>
      </c>
      <c r="Q373" s="84">
        <v>0.0</v>
      </c>
      <c r="R373" s="84">
        <v>0.0</v>
      </c>
      <c r="S373" s="84">
        <v>0.0</v>
      </c>
      <c r="T373" s="84">
        <v>0.0</v>
      </c>
      <c r="U373" s="84">
        <v>0.0</v>
      </c>
      <c r="V373" s="84">
        <v>0.0</v>
      </c>
      <c r="W373" s="84">
        <v>0.0</v>
      </c>
      <c r="X373" s="84">
        <v>0.0</v>
      </c>
      <c r="Y373" s="84">
        <v>0.0</v>
      </c>
      <c r="Z373" s="84">
        <v>0.0</v>
      </c>
      <c r="AA373" s="84">
        <v>0.0</v>
      </c>
      <c r="AB373" s="84">
        <v>0.0</v>
      </c>
      <c r="AC373" s="91">
        <v>0.0038314176245210726</v>
      </c>
      <c r="AD373" s="84">
        <v>0.0</v>
      </c>
      <c r="AE373" s="84">
        <v>0.0</v>
      </c>
      <c r="AF373" s="84">
        <v>0.0</v>
      </c>
      <c r="AG373" s="84">
        <v>0.0</v>
      </c>
      <c r="AH373" s="84">
        <v>0.0</v>
      </c>
      <c r="AI373" s="84">
        <v>0.0</v>
      </c>
      <c r="AJ373" s="84">
        <v>0.0</v>
      </c>
      <c r="AK373" s="84">
        <v>0.0</v>
      </c>
      <c r="AL373" s="84">
        <v>0.0</v>
      </c>
      <c r="AM373" s="84">
        <v>0.0</v>
      </c>
      <c r="AN373" s="93">
        <f t="shared" si="1"/>
        <v>0.003831417625</v>
      </c>
      <c r="AO373" s="84">
        <f t="shared" si="2"/>
        <v>0</v>
      </c>
    </row>
    <row r="374" ht="12.75" customHeight="1">
      <c r="A374" s="84" t="s">
        <v>4346</v>
      </c>
      <c r="B374" s="84">
        <v>0.0</v>
      </c>
      <c r="C374" s="84">
        <v>0.0</v>
      </c>
      <c r="D374" s="84">
        <v>0.0</v>
      </c>
      <c r="E374" s="84">
        <v>0.0</v>
      </c>
      <c r="F374" s="84">
        <v>0.0</v>
      </c>
      <c r="G374" s="84">
        <v>0.0</v>
      </c>
      <c r="H374" s="84">
        <v>0.0</v>
      </c>
      <c r="I374" s="91">
        <v>0.0</v>
      </c>
      <c r="J374" s="84">
        <v>0.0</v>
      </c>
      <c r="K374" s="84">
        <v>0.0</v>
      </c>
      <c r="L374" s="84">
        <v>0.0</v>
      </c>
      <c r="M374" s="84">
        <v>0.0</v>
      </c>
      <c r="N374" s="84">
        <v>0.0</v>
      </c>
      <c r="O374" s="84">
        <v>0.0</v>
      </c>
      <c r="P374" s="84">
        <v>0.0</v>
      </c>
      <c r="Q374" s="84">
        <v>0.0</v>
      </c>
      <c r="R374" s="84">
        <v>0.0</v>
      </c>
      <c r="S374" s="84">
        <v>0.0</v>
      </c>
      <c r="T374" s="84">
        <v>0.0</v>
      </c>
      <c r="U374" s="84">
        <v>0.0</v>
      </c>
      <c r="V374" s="84">
        <v>0.0</v>
      </c>
      <c r="W374" s="84">
        <v>0.0</v>
      </c>
      <c r="X374" s="84">
        <v>0.0</v>
      </c>
      <c r="Y374" s="84">
        <v>0.0</v>
      </c>
      <c r="Z374" s="84">
        <v>0.0</v>
      </c>
      <c r="AA374" s="84">
        <v>0.0</v>
      </c>
      <c r="AB374" s="84">
        <v>0.0</v>
      </c>
      <c r="AC374" s="91">
        <v>0.0038314176245210726</v>
      </c>
      <c r="AD374" s="84">
        <v>0.0</v>
      </c>
      <c r="AE374" s="84">
        <v>0.0</v>
      </c>
      <c r="AF374" s="84">
        <v>0.0</v>
      </c>
      <c r="AG374" s="84">
        <v>0.0</v>
      </c>
      <c r="AH374" s="84">
        <v>0.0</v>
      </c>
      <c r="AI374" s="84">
        <v>0.0</v>
      </c>
      <c r="AJ374" s="84">
        <v>0.0</v>
      </c>
      <c r="AK374" s="84">
        <v>0.0</v>
      </c>
      <c r="AL374" s="84">
        <v>0.0</v>
      </c>
      <c r="AM374" s="84">
        <v>0.0</v>
      </c>
      <c r="AN374" s="93">
        <f t="shared" si="1"/>
        <v>0.003831417625</v>
      </c>
      <c r="AO374" s="84">
        <f t="shared" si="2"/>
        <v>0</v>
      </c>
    </row>
    <row r="375" ht="12.75" customHeight="1">
      <c r="A375" s="84" t="s">
        <v>4340</v>
      </c>
      <c r="B375" s="84">
        <v>0.0</v>
      </c>
      <c r="C375" s="84">
        <v>0.0</v>
      </c>
      <c r="D375" s="84">
        <v>0.0</v>
      </c>
      <c r="E375" s="84">
        <v>0.0</v>
      </c>
      <c r="F375" s="84">
        <v>0.0</v>
      </c>
      <c r="G375" s="84">
        <v>0.0</v>
      </c>
      <c r="H375" s="84">
        <v>0.0</v>
      </c>
      <c r="I375" s="91">
        <v>0.0</v>
      </c>
      <c r="J375" s="84">
        <v>0.0</v>
      </c>
      <c r="K375" s="84">
        <v>0.0</v>
      </c>
      <c r="L375" s="84">
        <v>0.0</v>
      </c>
      <c r="M375" s="84">
        <v>0.0</v>
      </c>
      <c r="N375" s="84">
        <v>0.0</v>
      </c>
      <c r="O375" s="84">
        <v>0.0</v>
      </c>
      <c r="P375" s="84">
        <v>0.0</v>
      </c>
      <c r="Q375" s="84">
        <v>0.0</v>
      </c>
      <c r="R375" s="84">
        <v>0.0</v>
      </c>
      <c r="S375" s="84">
        <v>0.0</v>
      </c>
      <c r="T375" s="84">
        <v>0.0</v>
      </c>
      <c r="U375" s="84">
        <v>0.0</v>
      </c>
      <c r="V375" s="84">
        <v>0.0</v>
      </c>
      <c r="W375" s="84">
        <v>0.0</v>
      </c>
      <c r="X375" s="84">
        <v>0.0</v>
      </c>
      <c r="Y375" s="84">
        <v>0.0</v>
      </c>
      <c r="Z375" s="84">
        <v>0.0</v>
      </c>
      <c r="AA375" s="84">
        <v>0.0</v>
      </c>
      <c r="AB375" s="84">
        <v>0.0</v>
      </c>
      <c r="AC375" s="91">
        <v>0.002554278416347382</v>
      </c>
      <c r="AD375" s="84">
        <v>0.0</v>
      </c>
      <c r="AE375" s="84">
        <v>0.0</v>
      </c>
      <c r="AF375" s="84">
        <v>0.0</v>
      </c>
      <c r="AG375" s="84">
        <v>0.0</v>
      </c>
      <c r="AH375" s="84">
        <v>0.0</v>
      </c>
      <c r="AI375" s="84">
        <v>0.0</v>
      </c>
      <c r="AJ375" s="84">
        <v>0.0</v>
      </c>
      <c r="AK375" s="84">
        <v>0.0</v>
      </c>
      <c r="AL375" s="84">
        <v>0.0</v>
      </c>
      <c r="AM375" s="84">
        <v>0.0</v>
      </c>
      <c r="AN375" s="93">
        <f t="shared" si="1"/>
        <v>0.002554278416</v>
      </c>
      <c r="AO375" s="84">
        <f t="shared" si="2"/>
        <v>0</v>
      </c>
    </row>
    <row r="376" ht="12.75" customHeight="1">
      <c r="A376" s="84" t="s">
        <v>4336</v>
      </c>
      <c r="B376" s="84">
        <v>0.0</v>
      </c>
      <c r="C376" s="84">
        <v>0.0</v>
      </c>
      <c r="D376" s="84">
        <v>0.0</v>
      </c>
      <c r="E376" s="84">
        <v>0.0</v>
      </c>
      <c r="F376" s="84">
        <v>0.0</v>
      </c>
      <c r="G376" s="84">
        <v>0.0</v>
      </c>
      <c r="H376" s="84">
        <v>0.0</v>
      </c>
      <c r="I376" s="91">
        <v>0.0</v>
      </c>
      <c r="J376" s="84">
        <v>0.0</v>
      </c>
      <c r="K376" s="84">
        <v>0.0</v>
      </c>
      <c r="L376" s="84">
        <v>0.0</v>
      </c>
      <c r="M376" s="84">
        <v>0.0</v>
      </c>
      <c r="N376" s="84">
        <v>0.0</v>
      </c>
      <c r="O376" s="84">
        <v>0.0</v>
      </c>
      <c r="P376" s="84">
        <v>0.0</v>
      </c>
      <c r="Q376" s="84">
        <v>0.0</v>
      </c>
      <c r="R376" s="84">
        <v>0.0</v>
      </c>
      <c r="S376" s="84">
        <v>0.0</v>
      </c>
      <c r="T376" s="84">
        <v>0.0</v>
      </c>
      <c r="U376" s="84">
        <v>0.0</v>
      </c>
      <c r="V376" s="84">
        <v>0.0</v>
      </c>
      <c r="W376" s="84">
        <v>0.0</v>
      </c>
      <c r="X376" s="84">
        <v>0.0</v>
      </c>
      <c r="Y376" s="84">
        <v>0.0</v>
      </c>
      <c r="Z376" s="84">
        <v>0.0</v>
      </c>
      <c r="AA376" s="84">
        <v>0.0</v>
      </c>
      <c r="AB376" s="84">
        <v>0.0</v>
      </c>
      <c r="AC376" s="91">
        <v>0.002554278416347382</v>
      </c>
      <c r="AD376" s="84">
        <v>0.0</v>
      </c>
      <c r="AE376" s="84">
        <v>0.0</v>
      </c>
      <c r="AF376" s="84">
        <v>0.0</v>
      </c>
      <c r="AG376" s="84">
        <v>0.0</v>
      </c>
      <c r="AH376" s="84">
        <v>0.0</v>
      </c>
      <c r="AI376" s="84">
        <v>0.0</v>
      </c>
      <c r="AJ376" s="84">
        <v>0.0</v>
      </c>
      <c r="AK376" s="84">
        <v>0.0</v>
      </c>
      <c r="AL376" s="84">
        <v>0.0</v>
      </c>
      <c r="AM376" s="84">
        <v>0.0</v>
      </c>
      <c r="AN376" s="93">
        <f t="shared" si="1"/>
        <v>0.002554278416</v>
      </c>
      <c r="AO376" s="84">
        <f t="shared" si="2"/>
        <v>0</v>
      </c>
    </row>
    <row r="377" ht="12.75" customHeight="1">
      <c r="A377" s="84" t="s">
        <v>4344</v>
      </c>
      <c r="B377" s="84">
        <v>0.0</v>
      </c>
      <c r="C377" s="84">
        <v>0.0</v>
      </c>
      <c r="D377" s="84">
        <v>0.0</v>
      </c>
      <c r="E377" s="84">
        <v>0.0</v>
      </c>
      <c r="F377" s="84">
        <v>0.0</v>
      </c>
      <c r="G377" s="84">
        <v>0.0</v>
      </c>
      <c r="H377" s="84">
        <v>0.0</v>
      </c>
      <c r="I377" s="91">
        <v>0.0</v>
      </c>
      <c r="J377" s="84">
        <v>0.0</v>
      </c>
      <c r="K377" s="84">
        <v>0.0</v>
      </c>
      <c r="L377" s="84">
        <v>0.0</v>
      </c>
      <c r="M377" s="84">
        <v>0.0</v>
      </c>
      <c r="N377" s="84">
        <v>0.0</v>
      </c>
      <c r="O377" s="84">
        <v>0.0</v>
      </c>
      <c r="P377" s="84">
        <v>0.0</v>
      </c>
      <c r="Q377" s="84">
        <v>0.0</v>
      </c>
      <c r="R377" s="84">
        <v>0.0</v>
      </c>
      <c r="S377" s="84">
        <v>0.0</v>
      </c>
      <c r="T377" s="84">
        <v>0.0</v>
      </c>
      <c r="U377" s="84">
        <v>0.0</v>
      </c>
      <c r="V377" s="84">
        <v>0.0</v>
      </c>
      <c r="W377" s="84">
        <v>0.0</v>
      </c>
      <c r="X377" s="84">
        <v>0.0</v>
      </c>
      <c r="Y377" s="84">
        <v>0.0</v>
      </c>
      <c r="Z377" s="84">
        <v>0.0</v>
      </c>
      <c r="AA377" s="84">
        <v>0.0</v>
      </c>
      <c r="AB377" s="84">
        <v>0.0</v>
      </c>
      <c r="AC377" s="91">
        <v>0.002554278416347382</v>
      </c>
      <c r="AD377" s="84">
        <v>0.0</v>
      </c>
      <c r="AE377" s="84">
        <v>0.0</v>
      </c>
      <c r="AF377" s="84">
        <v>0.0</v>
      </c>
      <c r="AG377" s="84">
        <v>0.0</v>
      </c>
      <c r="AH377" s="84">
        <v>0.0</v>
      </c>
      <c r="AI377" s="84">
        <v>0.0</v>
      </c>
      <c r="AJ377" s="84">
        <v>0.0</v>
      </c>
      <c r="AK377" s="84">
        <v>0.0</v>
      </c>
      <c r="AL377" s="84">
        <v>0.0</v>
      </c>
      <c r="AM377" s="84">
        <v>0.0</v>
      </c>
      <c r="AN377" s="93">
        <f t="shared" si="1"/>
        <v>0.002554278416</v>
      </c>
      <c r="AO377" s="84">
        <f t="shared" si="2"/>
        <v>0</v>
      </c>
    </row>
    <row r="378" ht="12.75" customHeight="1">
      <c r="A378" s="84" t="s">
        <v>4341</v>
      </c>
      <c r="B378" s="84">
        <v>0.0</v>
      </c>
      <c r="C378" s="84">
        <v>0.0</v>
      </c>
      <c r="D378" s="84">
        <v>0.0</v>
      </c>
      <c r="E378" s="84">
        <v>0.0</v>
      </c>
      <c r="F378" s="84">
        <v>0.0</v>
      </c>
      <c r="G378" s="84">
        <v>0.0</v>
      </c>
      <c r="H378" s="84">
        <v>0.0</v>
      </c>
      <c r="I378" s="91">
        <v>0.0</v>
      </c>
      <c r="J378" s="84">
        <v>0.0</v>
      </c>
      <c r="K378" s="84">
        <v>0.0</v>
      </c>
      <c r="L378" s="84">
        <v>0.0</v>
      </c>
      <c r="M378" s="84">
        <v>0.0</v>
      </c>
      <c r="N378" s="84">
        <v>0.0</v>
      </c>
      <c r="O378" s="84">
        <v>0.0</v>
      </c>
      <c r="P378" s="84">
        <v>0.0</v>
      </c>
      <c r="Q378" s="84">
        <v>0.0</v>
      </c>
      <c r="R378" s="84">
        <v>0.0</v>
      </c>
      <c r="S378" s="84">
        <v>0.0</v>
      </c>
      <c r="T378" s="84">
        <v>0.0</v>
      </c>
      <c r="U378" s="84">
        <v>0.0</v>
      </c>
      <c r="V378" s="84">
        <v>0.0</v>
      </c>
      <c r="W378" s="84">
        <v>0.0</v>
      </c>
      <c r="X378" s="84">
        <v>0.0</v>
      </c>
      <c r="Y378" s="84">
        <v>0.0</v>
      </c>
      <c r="Z378" s="84">
        <v>0.0</v>
      </c>
      <c r="AA378" s="84">
        <v>0.0</v>
      </c>
      <c r="AB378" s="84">
        <v>0.0</v>
      </c>
      <c r="AC378" s="91">
        <v>0.002554278416347382</v>
      </c>
      <c r="AD378" s="84">
        <v>0.0</v>
      </c>
      <c r="AE378" s="84">
        <v>0.0</v>
      </c>
      <c r="AF378" s="84">
        <v>0.0</v>
      </c>
      <c r="AG378" s="84">
        <v>0.0</v>
      </c>
      <c r="AH378" s="84">
        <v>0.0</v>
      </c>
      <c r="AI378" s="84">
        <v>0.0</v>
      </c>
      <c r="AJ378" s="84">
        <v>0.0</v>
      </c>
      <c r="AK378" s="84">
        <v>0.0</v>
      </c>
      <c r="AL378" s="84">
        <v>0.0</v>
      </c>
      <c r="AM378" s="84">
        <v>0.0</v>
      </c>
      <c r="AN378" s="93">
        <f t="shared" si="1"/>
        <v>0.002554278416</v>
      </c>
      <c r="AO378" s="84">
        <f t="shared" si="2"/>
        <v>0</v>
      </c>
    </row>
    <row r="379" ht="12.75" customHeight="1">
      <c r="A379" s="84" t="s">
        <v>4327</v>
      </c>
      <c r="B379" s="84">
        <v>0.0</v>
      </c>
      <c r="C379" s="84">
        <v>0.0</v>
      </c>
      <c r="D379" s="84">
        <v>0.0</v>
      </c>
      <c r="E379" s="84">
        <v>0.0</v>
      </c>
      <c r="F379" s="84">
        <v>0.0</v>
      </c>
      <c r="G379" s="84">
        <v>0.0</v>
      </c>
      <c r="H379" s="84">
        <v>0.0</v>
      </c>
      <c r="I379" s="91">
        <v>0.0</v>
      </c>
      <c r="J379" s="84">
        <v>0.0</v>
      </c>
      <c r="K379" s="84">
        <v>0.0</v>
      </c>
      <c r="L379" s="84">
        <v>0.0</v>
      </c>
      <c r="M379" s="84">
        <v>0.0</v>
      </c>
      <c r="N379" s="84">
        <v>0.0</v>
      </c>
      <c r="O379" s="84">
        <v>0.0</v>
      </c>
      <c r="P379" s="84">
        <v>0.0</v>
      </c>
      <c r="Q379" s="84">
        <v>0.0</v>
      </c>
      <c r="R379" s="84">
        <v>0.0</v>
      </c>
      <c r="S379" s="84">
        <v>0.0</v>
      </c>
      <c r="T379" s="84">
        <v>0.0</v>
      </c>
      <c r="U379" s="84">
        <v>0.0</v>
      </c>
      <c r="V379" s="84">
        <v>0.0</v>
      </c>
      <c r="W379" s="84">
        <v>0.0</v>
      </c>
      <c r="X379" s="84">
        <v>0.0</v>
      </c>
      <c r="Y379" s="84">
        <v>0.0</v>
      </c>
      <c r="Z379" s="84">
        <v>0.0</v>
      </c>
      <c r="AA379" s="84">
        <v>0.0</v>
      </c>
      <c r="AB379" s="84">
        <v>0.0</v>
      </c>
      <c r="AC379" s="91">
        <v>0.002554278416347382</v>
      </c>
      <c r="AD379" s="84">
        <v>0.0</v>
      </c>
      <c r="AE379" s="84">
        <v>0.0</v>
      </c>
      <c r="AF379" s="84">
        <v>0.0</v>
      </c>
      <c r="AG379" s="84">
        <v>0.0</v>
      </c>
      <c r="AH379" s="84">
        <v>0.0</v>
      </c>
      <c r="AI379" s="84">
        <v>0.0</v>
      </c>
      <c r="AJ379" s="84">
        <v>0.0</v>
      </c>
      <c r="AK379" s="84">
        <v>0.0</v>
      </c>
      <c r="AL379" s="84">
        <v>0.0</v>
      </c>
      <c r="AM379" s="84">
        <v>0.0</v>
      </c>
      <c r="AN379" s="93">
        <f t="shared" si="1"/>
        <v>0.002554278416</v>
      </c>
      <c r="AO379" s="84">
        <f t="shared" si="2"/>
        <v>0</v>
      </c>
    </row>
    <row r="380" ht="12.75" customHeight="1">
      <c r="A380" s="84" t="s">
        <v>4351</v>
      </c>
      <c r="B380" s="84">
        <v>0.0</v>
      </c>
      <c r="C380" s="84">
        <v>0.0</v>
      </c>
      <c r="D380" s="84">
        <v>0.0</v>
      </c>
      <c r="E380" s="84">
        <v>0.0</v>
      </c>
      <c r="F380" s="84">
        <v>0.0</v>
      </c>
      <c r="G380" s="84">
        <v>0.0</v>
      </c>
      <c r="H380" s="84">
        <v>0.0</v>
      </c>
      <c r="I380" s="91">
        <v>0.0</v>
      </c>
      <c r="J380" s="84">
        <v>0.0</v>
      </c>
      <c r="K380" s="84">
        <v>0.0</v>
      </c>
      <c r="L380" s="84">
        <v>0.0</v>
      </c>
      <c r="M380" s="84">
        <v>0.0</v>
      </c>
      <c r="N380" s="84">
        <v>0.0</v>
      </c>
      <c r="O380" s="84">
        <v>0.0</v>
      </c>
      <c r="P380" s="84">
        <v>0.0</v>
      </c>
      <c r="Q380" s="84">
        <v>0.0</v>
      </c>
      <c r="R380" s="84">
        <v>0.0</v>
      </c>
      <c r="S380" s="84">
        <v>0.0</v>
      </c>
      <c r="T380" s="84">
        <v>0.0</v>
      </c>
      <c r="U380" s="84">
        <v>0.0</v>
      </c>
      <c r="V380" s="84">
        <v>0.0</v>
      </c>
      <c r="W380" s="84">
        <v>0.0</v>
      </c>
      <c r="X380" s="84">
        <v>0.0</v>
      </c>
      <c r="Y380" s="84">
        <v>0.0</v>
      </c>
      <c r="Z380" s="84">
        <v>0.0</v>
      </c>
      <c r="AA380" s="84">
        <v>0.0</v>
      </c>
      <c r="AB380" s="84">
        <v>0.0</v>
      </c>
      <c r="AC380" s="91">
        <v>0.002554278416347382</v>
      </c>
      <c r="AD380" s="84">
        <v>0.0</v>
      </c>
      <c r="AE380" s="84">
        <v>0.0</v>
      </c>
      <c r="AF380" s="84">
        <v>0.0</v>
      </c>
      <c r="AG380" s="84">
        <v>0.0</v>
      </c>
      <c r="AH380" s="84">
        <v>0.0</v>
      </c>
      <c r="AI380" s="84">
        <v>0.0</v>
      </c>
      <c r="AJ380" s="84">
        <v>0.0</v>
      </c>
      <c r="AK380" s="84">
        <v>0.0</v>
      </c>
      <c r="AL380" s="84">
        <v>0.0</v>
      </c>
      <c r="AM380" s="84">
        <v>0.0</v>
      </c>
      <c r="AN380" s="93">
        <f t="shared" si="1"/>
        <v>0.002554278416</v>
      </c>
      <c r="AO380" s="84">
        <f t="shared" si="2"/>
        <v>0</v>
      </c>
    </row>
    <row r="381" ht="12.75" customHeight="1">
      <c r="A381" s="84" t="s">
        <v>4337</v>
      </c>
      <c r="B381" s="84">
        <v>0.0</v>
      </c>
      <c r="C381" s="84">
        <v>0.0</v>
      </c>
      <c r="D381" s="84">
        <v>0.0</v>
      </c>
      <c r="E381" s="84">
        <v>0.0</v>
      </c>
      <c r="F381" s="84">
        <v>0.0</v>
      </c>
      <c r="G381" s="84">
        <v>0.0</v>
      </c>
      <c r="H381" s="84">
        <v>0.0</v>
      </c>
      <c r="I381" s="91">
        <v>0.0</v>
      </c>
      <c r="J381" s="84">
        <v>0.0</v>
      </c>
      <c r="K381" s="84">
        <v>0.0</v>
      </c>
      <c r="L381" s="84">
        <v>0.0</v>
      </c>
      <c r="M381" s="84">
        <v>0.0</v>
      </c>
      <c r="N381" s="84">
        <v>0.0</v>
      </c>
      <c r="O381" s="84">
        <v>0.0</v>
      </c>
      <c r="P381" s="84">
        <v>0.0</v>
      </c>
      <c r="Q381" s="84">
        <v>0.0</v>
      </c>
      <c r="R381" s="84">
        <v>0.0</v>
      </c>
      <c r="S381" s="84">
        <v>0.0</v>
      </c>
      <c r="T381" s="84">
        <v>0.0</v>
      </c>
      <c r="U381" s="84">
        <v>0.0</v>
      </c>
      <c r="V381" s="84">
        <v>0.0</v>
      </c>
      <c r="W381" s="84">
        <v>0.0</v>
      </c>
      <c r="X381" s="84">
        <v>0.0</v>
      </c>
      <c r="Y381" s="84">
        <v>0.0</v>
      </c>
      <c r="Z381" s="84">
        <v>0.0</v>
      </c>
      <c r="AA381" s="84">
        <v>0.0</v>
      </c>
      <c r="AB381" s="84">
        <v>0.0</v>
      </c>
      <c r="AC381" s="91">
        <v>0.002554278416347382</v>
      </c>
      <c r="AD381" s="84">
        <v>0.0</v>
      </c>
      <c r="AE381" s="84">
        <v>0.0</v>
      </c>
      <c r="AF381" s="84">
        <v>0.0</v>
      </c>
      <c r="AG381" s="84">
        <v>0.0</v>
      </c>
      <c r="AH381" s="84">
        <v>0.0</v>
      </c>
      <c r="AI381" s="84">
        <v>0.0</v>
      </c>
      <c r="AJ381" s="84">
        <v>0.0</v>
      </c>
      <c r="AK381" s="84">
        <v>0.0</v>
      </c>
      <c r="AL381" s="84">
        <v>0.0</v>
      </c>
      <c r="AM381" s="84">
        <v>0.0</v>
      </c>
      <c r="AN381" s="93">
        <f t="shared" si="1"/>
        <v>0.002554278416</v>
      </c>
      <c r="AO381" s="84">
        <f t="shared" si="2"/>
        <v>0</v>
      </c>
    </row>
    <row r="382" ht="12.75" customHeight="1">
      <c r="A382" s="84" t="s">
        <v>4310</v>
      </c>
      <c r="B382" s="84">
        <v>0.0</v>
      </c>
      <c r="C382" s="84">
        <v>0.0</v>
      </c>
      <c r="D382" s="84">
        <v>0.0</v>
      </c>
      <c r="E382" s="84">
        <v>0.0</v>
      </c>
      <c r="F382" s="84">
        <v>0.0</v>
      </c>
      <c r="G382" s="84">
        <v>0.0</v>
      </c>
      <c r="H382" s="84">
        <v>0.0</v>
      </c>
      <c r="I382" s="91">
        <v>0.0</v>
      </c>
      <c r="J382" s="84">
        <v>0.0</v>
      </c>
      <c r="K382" s="84">
        <v>0.0</v>
      </c>
      <c r="L382" s="84">
        <v>0.0</v>
      </c>
      <c r="M382" s="84">
        <v>0.0</v>
      </c>
      <c r="N382" s="84">
        <v>0.0</v>
      </c>
      <c r="O382" s="84">
        <v>0.0</v>
      </c>
      <c r="P382" s="84">
        <v>0.0</v>
      </c>
      <c r="Q382" s="84">
        <v>0.0</v>
      </c>
      <c r="R382" s="84">
        <v>0.0</v>
      </c>
      <c r="S382" s="84">
        <v>0.0</v>
      </c>
      <c r="T382" s="84">
        <v>0.0</v>
      </c>
      <c r="U382" s="84">
        <v>0.0</v>
      </c>
      <c r="V382" s="84">
        <v>0.0</v>
      </c>
      <c r="W382" s="84">
        <v>0.0</v>
      </c>
      <c r="X382" s="84">
        <v>0.0</v>
      </c>
      <c r="Y382" s="84">
        <v>0.0</v>
      </c>
      <c r="Z382" s="84">
        <v>0.0</v>
      </c>
      <c r="AA382" s="84">
        <v>0.0</v>
      </c>
      <c r="AB382" s="84">
        <v>1.0</v>
      </c>
      <c r="AC382" s="91">
        <v>0.002554278416347382</v>
      </c>
      <c r="AD382" s="84">
        <v>0.0</v>
      </c>
      <c r="AE382" s="84">
        <v>0.0</v>
      </c>
      <c r="AF382" s="84">
        <v>0.0</v>
      </c>
      <c r="AG382" s="84">
        <v>0.0</v>
      </c>
      <c r="AH382" s="84">
        <v>0.0</v>
      </c>
      <c r="AI382" s="84">
        <v>0.0</v>
      </c>
      <c r="AJ382" s="84">
        <v>0.0</v>
      </c>
      <c r="AK382" s="84">
        <v>0.0</v>
      </c>
      <c r="AL382" s="84">
        <v>0.0</v>
      </c>
      <c r="AM382" s="84">
        <v>0.0</v>
      </c>
      <c r="AN382" s="93">
        <f t="shared" si="1"/>
        <v>0.002554278416</v>
      </c>
      <c r="AO382" s="84">
        <f t="shared" si="2"/>
        <v>0</v>
      </c>
    </row>
    <row r="383" ht="12.75" customHeight="1">
      <c r="A383" s="84" t="s">
        <v>4333</v>
      </c>
      <c r="B383" s="84">
        <v>0.0</v>
      </c>
      <c r="C383" s="84">
        <v>0.0</v>
      </c>
      <c r="D383" s="84">
        <v>0.0</v>
      </c>
      <c r="E383" s="84">
        <v>0.0</v>
      </c>
      <c r="F383" s="84">
        <v>0.0</v>
      </c>
      <c r="G383" s="84">
        <v>0.0</v>
      </c>
      <c r="H383" s="84">
        <v>0.0</v>
      </c>
      <c r="I383" s="91">
        <v>0.0</v>
      </c>
      <c r="J383" s="84">
        <v>0.0</v>
      </c>
      <c r="K383" s="84">
        <v>0.0</v>
      </c>
      <c r="L383" s="84">
        <v>0.0</v>
      </c>
      <c r="M383" s="84">
        <v>0.0</v>
      </c>
      <c r="N383" s="84">
        <v>0.0</v>
      </c>
      <c r="O383" s="84">
        <v>0.0</v>
      </c>
      <c r="P383" s="84">
        <v>0.0</v>
      </c>
      <c r="Q383" s="84">
        <v>0.0</v>
      </c>
      <c r="R383" s="84">
        <v>0.0</v>
      </c>
      <c r="S383" s="84">
        <v>0.0</v>
      </c>
      <c r="T383" s="84">
        <v>0.0</v>
      </c>
      <c r="U383" s="84">
        <v>0.0</v>
      </c>
      <c r="V383" s="84">
        <v>0.0</v>
      </c>
      <c r="W383" s="84">
        <v>0.0</v>
      </c>
      <c r="X383" s="84">
        <v>0.0</v>
      </c>
      <c r="Y383" s="84">
        <v>0.0</v>
      </c>
      <c r="Z383" s="84">
        <v>0.0</v>
      </c>
      <c r="AA383" s="84">
        <v>0.0</v>
      </c>
      <c r="AB383" s="84">
        <v>0.0</v>
      </c>
      <c r="AC383" s="91">
        <v>0.002554278416347382</v>
      </c>
      <c r="AD383" s="84">
        <v>0.0</v>
      </c>
      <c r="AE383" s="84">
        <v>0.0</v>
      </c>
      <c r="AF383" s="84">
        <v>0.0</v>
      </c>
      <c r="AG383" s="84">
        <v>0.0</v>
      </c>
      <c r="AH383" s="84">
        <v>0.0</v>
      </c>
      <c r="AI383" s="84">
        <v>0.0</v>
      </c>
      <c r="AJ383" s="84">
        <v>0.0</v>
      </c>
      <c r="AK383" s="84">
        <v>0.0</v>
      </c>
      <c r="AL383" s="84">
        <v>0.0</v>
      </c>
      <c r="AM383" s="84">
        <v>0.0</v>
      </c>
      <c r="AN383" s="93">
        <f t="shared" si="1"/>
        <v>0.002554278416</v>
      </c>
      <c r="AO383" s="84">
        <f t="shared" si="2"/>
        <v>0</v>
      </c>
    </row>
    <row r="384" ht="12.75" customHeight="1">
      <c r="A384" s="84" t="s">
        <v>4330</v>
      </c>
      <c r="B384" s="84">
        <v>0.0</v>
      </c>
      <c r="C384" s="84">
        <v>0.0</v>
      </c>
      <c r="D384" s="84">
        <v>0.0</v>
      </c>
      <c r="E384" s="84">
        <v>0.0</v>
      </c>
      <c r="F384" s="84">
        <v>0.0</v>
      </c>
      <c r="G384" s="84">
        <v>0.0</v>
      </c>
      <c r="H384" s="84">
        <v>0.0</v>
      </c>
      <c r="I384" s="91">
        <v>0.0</v>
      </c>
      <c r="J384" s="84">
        <v>0.0</v>
      </c>
      <c r="K384" s="84">
        <v>0.0</v>
      </c>
      <c r="L384" s="84">
        <v>0.0</v>
      </c>
      <c r="M384" s="84">
        <v>0.0</v>
      </c>
      <c r="N384" s="84">
        <v>0.0</v>
      </c>
      <c r="O384" s="84">
        <v>0.0</v>
      </c>
      <c r="P384" s="84">
        <v>0.0</v>
      </c>
      <c r="Q384" s="84">
        <v>0.0</v>
      </c>
      <c r="R384" s="84">
        <v>0.0</v>
      </c>
      <c r="S384" s="84">
        <v>0.0</v>
      </c>
      <c r="T384" s="84">
        <v>0.0</v>
      </c>
      <c r="U384" s="84">
        <v>0.0</v>
      </c>
      <c r="V384" s="84">
        <v>0.0</v>
      </c>
      <c r="W384" s="84">
        <v>0.0</v>
      </c>
      <c r="X384" s="84">
        <v>0.0</v>
      </c>
      <c r="Y384" s="84">
        <v>0.0</v>
      </c>
      <c r="Z384" s="84">
        <v>0.0</v>
      </c>
      <c r="AA384" s="84">
        <v>0.0</v>
      </c>
      <c r="AB384" s="84">
        <v>0.0</v>
      </c>
      <c r="AC384" s="91">
        <v>0.002554278416347382</v>
      </c>
      <c r="AD384" s="84">
        <v>0.0</v>
      </c>
      <c r="AE384" s="84">
        <v>0.0</v>
      </c>
      <c r="AF384" s="84">
        <v>0.0</v>
      </c>
      <c r="AG384" s="84">
        <v>0.0</v>
      </c>
      <c r="AH384" s="84">
        <v>0.0</v>
      </c>
      <c r="AI384" s="84">
        <v>0.0</v>
      </c>
      <c r="AJ384" s="84">
        <v>0.0</v>
      </c>
      <c r="AK384" s="84">
        <v>0.0</v>
      </c>
      <c r="AL384" s="84">
        <v>0.0</v>
      </c>
      <c r="AM384" s="84">
        <v>0.0</v>
      </c>
      <c r="AN384" s="93">
        <f t="shared" si="1"/>
        <v>0.002554278416</v>
      </c>
      <c r="AO384" s="84">
        <f t="shared" si="2"/>
        <v>0</v>
      </c>
    </row>
    <row r="385" ht="12.75" customHeight="1">
      <c r="A385" s="84" t="s">
        <v>4347</v>
      </c>
      <c r="B385" s="84">
        <v>0.0</v>
      </c>
      <c r="C385" s="84">
        <v>0.0</v>
      </c>
      <c r="D385" s="84">
        <v>0.0</v>
      </c>
      <c r="E385" s="84">
        <v>0.0</v>
      </c>
      <c r="F385" s="84">
        <v>0.0</v>
      </c>
      <c r="G385" s="84">
        <v>0.0</v>
      </c>
      <c r="H385" s="84">
        <v>0.0</v>
      </c>
      <c r="I385" s="91">
        <v>0.0</v>
      </c>
      <c r="J385" s="84">
        <v>0.0</v>
      </c>
      <c r="K385" s="84">
        <v>0.0</v>
      </c>
      <c r="L385" s="84">
        <v>0.0</v>
      </c>
      <c r="M385" s="84">
        <v>0.0</v>
      </c>
      <c r="N385" s="84">
        <v>0.0</v>
      </c>
      <c r="O385" s="84">
        <v>0.0</v>
      </c>
      <c r="P385" s="84">
        <v>0.0</v>
      </c>
      <c r="Q385" s="84">
        <v>0.0</v>
      </c>
      <c r="R385" s="84">
        <v>0.0</v>
      </c>
      <c r="S385" s="84">
        <v>0.0</v>
      </c>
      <c r="T385" s="84">
        <v>0.0</v>
      </c>
      <c r="U385" s="84">
        <v>0.0</v>
      </c>
      <c r="V385" s="84">
        <v>0.0</v>
      </c>
      <c r="W385" s="84">
        <v>0.0</v>
      </c>
      <c r="X385" s="84">
        <v>0.0</v>
      </c>
      <c r="Y385" s="84">
        <v>0.0</v>
      </c>
      <c r="Z385" s="84">
        <v>0.0</v>
      </c>
      <c r="AA385" s="84">
        <v>0.0</v>
      </c>
      <c r="AB385" s="84">
        <v>0.0</v>
      </c>
      <c r="AC385" s="91">
        <v>0.002554278416347382</v>
      </c>
      <c r="AD385" s="84">
        <v>0.0</v>
      </c>
      <c r="AE385" s="84">
        <v>0.0</v>
      </c>
      <c r="AF385" s="84">
        <v>0.0</v>
      </c>
      <c r="AG385" s="84">
        <v>0.0</v>
      </c>
      <c r="AH385" s="84">
        <v>0.0</v>
      </c>
      <c r="AI385" s="84">
        <v>0.0</v>
      </c>
      <c r="AJ385" s="84">
        <v>0.0</v>
      </c>
      <c r="AK385" s="84">
        <v>0.0</v>
      </c>
      <c r="AL385" s="84">
        <v>0.0</v>
      </c>
      <c r="AM385" s="84">
        <v>0.0</v>
      </c>
      <c r="AN385" s="93">
        <f t="shared" si="1"/>
        <v>0.002554278416</v>
      </c>
      <c r="AO385" s="84">
        <f t="shared" si="2"/>
        <v>0</v>
      </c>
    </row>
    <row r="386" ht="12.75" customHeight="1">
      <c r="A386" s="84" t="s">
        <v>4143</v>
      </c>
      <c r="B386" s="84">
        <v>0.0</v>
      </c>
      <c r="C386" s="84">
        <v>0.0</v>
      </c>
      <c r="D386" s="84">
        <v>0.0</v>
      </c>
      <c r="E386" s="84">
        <v>0.0</v>
      </c>
      <c r="F386" s="84">
        <v>0.0</v>
      </c>
      <c r="G386" s="84">
        <v>0.0</v>
      </c>
      <c r="H386" s="84">
        <v>0.0</v>
      </c>
      <c r="I386" s="91">
        <v>0.0</v>
      </c>
      <c r="J386" s="84">
        <v>0.0</v>
      </c>
      <c r="K386" s="84">
        <v>0.0</v>
      </c>
      <c r="L386" s="84">
        <v>0.0</v>
      </c>
      <c r="M386" s="84">
        <v>0.0</v>
      </c>
      <c r="N386" s="84">
        <v>0.0</v>
      </c>
      <c r="O386" s="84">
        <v>0.0</v>
      </c>
      <c r="P386" s="84">
        <v>0.0</v>
      </c>
      <c r="Q386" s="84">
        <v>0.0</v>
      </c>
      <c r="R386" s="84">
        <v>0.0</v>
      </c>
      <c r="S386" s="84">
        <v>0.0</v>
      </c>
      <c r="T386" s="84">
        <v>0.0</v>
      </c>
      <c r="U386" s="84">
        <v>0.0</v>
      </c>
      <c r="V386" s="84">
        <v>0.0</v>
      </c>
      <c r="W386" s="84">
        <v>0.0</v>
      </c>
      <c r="X386" s="84">
        <v>0.0</v>
      </c>
      <c r="Y386" s="84">
        <v>0.0</v>
      </c>
      <c r="Z386" s="84">
        <v>0.0</v>
      </c>
      <c r="AA386" s="84">
        <v>0.0</v>
      </c>
      <c r="AB386" s="84">
        <v>0.0</v>
      </c>
      <c r="AC386" s="91">
        <v>0.0038314176245210726</v>
      </c>
      <c r="AD386" s="84">
        <v>0.0</v>
      </c>
      <c r="AE386" s="84">
        <v>0.0</v>
      </c>
      <c r="AF386" s="84">
        <v>0.0</v>
      </c>
      <c r="AG386" s="84">
        <v>0.0</v>
      </c>
      <c r="AH386" s="84">
        <v>0.0</v>
      </c>
      <c r="AI386" s="84">
        <v>0.0</v>
      </c>
      <c r="AJ386" s="84">
        <v>0.0</v>
      </c>
      <c r="AK386" s="84">
        <v>0.0</v>
      </c>
      <c r="AL386" s="84">
        <v>0.0</v>
      </c>
      <c r="AM386" s="84">
        <v>0.0</v>
      </c>
      <c r="AN386" s="93">
        <f t="shared" si="1"/>
        <v>0.003831417625</v>
      </c>
      <c r="AO386" s="84">
        <f t="shared" si="2"/>
        <v>0</v>
      </c>
    </row>
    <row r="387" ht="12.75" customHeight="1">
      <c r="A387" s="84" t="s">
        <v>4325</v>
      </c>
      <c r="B387" s="84">
        <v>0.0</v>
      </c>
      <c r="C387" s="84">
        <v>0.0</v>
      </c>
      <c r="D387" s="84">
        <v>0.0</v>
      </c>
      <c r="E387" s="84">
        <v>0.0</v>
      </c>
      <c r="F387" s="84">
        <v>0.0</v>
      </c>
      <c r="G387" s="84">
        <v>0.0</v>
      </c>
      <c r="H387" s="84">
        <v>0.0</v>
      </c>
      <c r="I387" s="91">
        <v>0.0</v>
      </c>
      <c r="J387" s="84">
        <v>0.0</v>
      </c>
      <c r="K387" s="84">
        <v>0.0</v>
      </c>
      <c r="L387" s="84">
        <v>0.0</v>
      </c>
      <c r="M387" s="84">
        <v>0.0</v>
      </c>
      <c r="N387" s="84">
        <v>0.0</v>
      </c>
      <c r="O387" s="84">
        <v>0.0</v>
      </c>
      <c r="P387" s="84">
        <v>0.0</v>
      </c>
      <c r="Q387" s="84">
        <v>0.0</v>
      </c>
      <c r="R387" s="84">
        <v>0.0</v>
      </c>
      <c r="S387" s="84">
        <v>0.0</v>
      </c>
      <c r="T387" s="84">
        <v>0.0</v>
      </c>
      <c r="U387" s="84">
        <v>0.0</v>
      </c>
      <c r="V387" s="84">
        <v>0.0</v>
      </c>
      <c r="W387" s="84">
        <v>0.0</v>
      </c>
      <c r="X387" s="84">
        <v>0.0</v>
      </c>
      <c r="Y387" s="84">
        <v>0.0</v>
      </c>
      <c r="Z387" s="84">
        <v>0.0</v>
      </c>
      <c r="AA387" s="84">
        <v>0.0</v>
      </c>
      <c r="AB387" s="84">
        <v>0.0</v>
      </c>
      <c r="AC387" s="91">
        <v>0.002554278416347382</v>
      </c>
      <c r="AD387" s="84">
        <v>0.0</v>
      </c>
      <c r="AE387" s="84">
        <v>0.0</v>
      </c>
      <c r="AF387" s="84">
        <v>0.0</v>
      </c>
      <c r="AG387" s="84">
        <v>0.0</v>
      </c>
      <c r="AH387" s="84">
        <v>0.0</v>
      </c>
      <c r="AI387" s="84">
        <v>0.0</v>
      </c>
      <c r="AJ387" s="84">
        <v>0.0</v>
      </c>
      <c r="AK387" s="84">
        <v>0.0</v>
      </c>
      <c r="AL387" s="84">
        <v>0.0</v>
      </c>
      <c r="AM387" s="84">
        <v>0.0</v>
      </c>
      <c r="AN387" s="93">
        <f t="shared" si="1"/>
        <v>0.002554278416</v>
      </c>
      <c r="AO387" s="84">
        <f t="shared" si="2"/>
        <v>0</v>
      </c>
    </row>
    <row r="388" ht="12.75" customHeight="1">
      <c r="A388" s="84" t="s">
        <v>4329</v>
      </c>
      <c r="B388" s="84">
        <v>0.0</v>
      </c>
      <c r="C388" s="84">
        <v>0.0</v>
      </c>
      <c r="D388" s="84">
        <v>0.0</v>
      </c>
      <c r="E388" s="84">
        <v>0.0</v>
      </c>
      <c r="F388" s="84">
        <v>0.0</v>
      </c>
      <c r="G388" s="84">
        <v>0.0</v>
      </c>
      <c r="H388" s="84">
        <v>0.0</v>
      </c>
      <c r="I388" s="91">
        <v>0.0</v>
      </c>
      <c r="J388" s="84">
        <v>0.0</v>
      </c>
      <c r="K388" s="84">
        <v>0.0</v>
      </c>
      <c r="L388" s="84">
        <v>0.0</v>
      </c>
      <c r="M388" s="84">
        <v>0.0</v>
      </c>
      <c r="N388" s="84">
        <v>0.0</v>
      </c>
      <c r="O388" s="84">
        <v>0.0</v>
      </c>
      <c r="P388" s="84">
        <v>0.0</v>
      </c>
      <c r="Q388" s="84">
        <v>0.0</v>
      </c>
      <c r="R388" s="84">
        <v>0.0</v>
      </c>
      <c r="S388" s="84">
        <v>0.0</v>
      </c>
      <c r="T388" s="84">
        <v>0.0</v>
      </c>
      <c r="U388" s="84">
        <v>0.0</v>
      </c>
      <c r="V388" s="84">
        <v>0.0</v>
      </c>
      <c r="W388" s="84">
        <v>0.0</v>
      </c>
      <c r="X388" s="84">
        <v>0.0</v>
      </c>
      <c r="Y388" s="84">
        <v>0.0</v>
      </c>
      <c r="Z388" s="84">
        <v>0.0</v>
      </c>
      <c r="AA388" s="84">
        <v>0.0</v>
      </c>
      <c r="AB388" s="84">
        <v>0.0</v>
      </c>
      <c r="AC388" s="91">
        <v>0.002554278416347382</v>
      </c>
      <c r="AD388" s="84">
        <v>0.0</v>
      </c>
      <c r="AE388" s="84">
        <v>0.0</v>
      </c>
      <c r="AF388" s="84">
        <v>0.0</v>
      </c>
      <c r="AG388" s="84">
        <v>0.0</v>
      </c>
      <c r="AH388" s="84">
        <v>0.0</v>
      </c>
      <c r="AI388" s="84">
        <v>0.0</v>
      </c>
      <c r="AJ388" s="84">
        <v>0.0</v>
      </c>
      <c r="AK388" s="84">
        <v>0.0</v>
      </c>
      <c r="AL388" s="84">
        <v>0.0</v>
      </c>
      <c r="AM388" s="84">
        <v>0.0</v>
      </c>
      <c r="AN388" s="93">
        <f t="shared" si="1"/>
        <v>0.002554278416</v>
      </c>
      <c r="AO388" s="84">
        <f t="shared" si="2"/>
        <v>0</v>
      </c>
    </row>
    <row r="389" ht="12.75" customHeight="1">
      <c r="A389" s="84" t="s">
        <v>4342</v>
      </c>
      <c r="B389" s="84">
        <v>0.0</v>
      </c>
      <c r="C389" s="84">
        <v>0.0</v>
      </c>
      <c r="D389" s="84">
        <v>0.0</v>
      </c>
      <c r="E389" s="84">
        <v>0.0</v>
      </c>
      <c r="F389" s="84">
        <v>0.0</v>
      </c>
      <c r="G389" s="84">
        <v>0.0</v>
      </c>
      <c r="H389" s="84">
        <v>0.0</v>
      </c>
      <c r="I389" s="91">
        <v>0.0</v>
      </c>
      <c r="J389" s="84">
        <v>0.0</v>
      </c>
      <c r="K389" s="84">
        <v>0.0</v>
      </c>
      <c r="L389" s="84">
        <v>0.0</v>
      </c>
      <c r="M389" s="84">
        <v>0.0</v>
      </c>
      <c r="N389" s="84">
        <v>0.0</v>
      </c>
      <c r="O389" s="84">
        <v>0.0</v>
      </c>
      <c r="P389" s="84">
        <v>0.0</v>
      </c>
      <c r="Q389" s="84">
        <v>0.0</v>
      </c>
      <c r="R389" s="84">
        <v>0.0</v>
      </c>
      <c r="S389" s="84">
        <v>0.0</v>
      </c>
      <c r="T389" s="84">
        <v>0.0</v>
      </c>
      <c r="U389" s="84">
        <v>0.0</v>
      </c>
      <c r="V389" s="84">
        <v>0.0</v>
      </c>
      <c r="W389" s="84">
        <v>0.0</v>
      </c>
      <c r="X389" s="84">
        <v>0.0</v>
      </c>
      <c r="Y389" s="84">
        <v>0.0</v>
      </c>
      <c r="Z389" s="84">
        <v>0.0</v>
      </c>
      <c r="AA389" s="84">
        <v>0.0</v>
      </c>
      <c r="AB389" s="84">
        <v>0.0</v>
      </c>
      <c r="AC389" s="91">
        <v>0.0038314176245210726</v>
      </c>
      <c r="AD389" s="84">
        <v>0.0</v>
      </c>
      <c r="AE389" s="84">
        <v>0.0</v>
      </c>
      <c r="AF389" s="84">
        <v>0.0</v>
      </c>
      <c r="AG389" s="84">
        <v>0.0</v>
      </c>
      <c r="AH389" s="84">
        <v>0.0</v>
      </c>
      <c r="AI389" s="84">
        <v>0.0</v>
      </c>
      <c r="AJ389" s="84">
        <v>0.0</v>
      </c>
      <c r="AK389" s="84">
        <v>0.0</v>
      </c>
      <c r="AL389" s="84">
        <v>0.0</v>
      </c>
      <c r="AM389" s="84">
        <v>0.0</v>
      </c>
      <c r="AN389" s="93">
        <f t="shared" si="1"/>
        <v>0.003831417625</v>
      </c>
      <c r="AO389" s="84">
        <f t="shared" si="2"/>
        <v>0</v>
      </c>
    </row>
    <row r="390" ht="12.75" customHeight="1">
      <c r="A390" s="84" t="s">
        <v>4349</v>
      </c>
      <c r="B390" s="84">
        <v>0.0</v>
      </c>
      <c r="C390" s="84">
        <v>0.0</v>
      </c>
      <c r="D390" s="84">
        <v>0.0</v>
      </c>
      <c r="E390" s="84">
        <v>0.0</v>
      </c>
      <c r="F390" s="84">
        <v>0.0</v>
      </c>
      <c r="G390" s="84">
        <v>0.0</v>
      </c>
      <c r="H390" s="84">
        <v>0.0</v>
      </c>
      <c r="I390" s="91">
        <v>0.0</v>
      </c>
      <c r="J390" s="84">
        <v>0.0</v>
      </c>
      <c r="K390" s="84">
        <v>0.0</v>
      </c>
      <c r="L390" s="84">
        <v>0.0</v>
      </c>
      <c r="M390" s="84">
        <v>0.0</v>
      </c>
      <c r="N390" s="84">
        <v>0.0</v>
      </c>
      <c r="O390" s="84">
        <v>0.0</v>
      </c>
      <c r="P390" s="84">
        <v>0.0</v>
      </c>
      <c r="Q390" s="84">
        <v>0.0</v>
      </c>
      <c r="R390" s="84">
        <v>0.0</v>
      </c>
      <c r="S390" s="84">
        <v>0.0</v>
      </c>
      <c r="T390" s="84">
        <v>0.0</v>
      </c>
      <c r="U390" s="84">
        <v>0.0</v>
      </c>
      <c r="V390" s="84">
        <v>0.0</v>
      </c>
      <c r="W390" s="84">
        <v>0.0</v>
      </c>
      <c r="X390" s="84">
        <v>0.0</v>
      </c>
      <c r="Y390" s="84">
        <v>0.0</v>
      </c>
      <c r="Z390" s="84">
        <v>0.0</v>
      </c>
      <c r="AA390" s="84">
        <v>0.0</v>
      </c>
      <c r="AB390" s="84">
        <v>0.0</v>
      </c>
      <c r="AC390" s="91">
        <v>0.002554278416347382</v>
      </c>
      <c r="AD390" s="84">
        <v>0.0</v>
      </c>
      <c r="AE390" s="84">
        <v>0.0</v>
      </c>
      <c r="AF390" s="84">
        <v>0.0</v>
      </c>
      <c r="AG390" s="84">
        <v>0.0</v>
      </c>
      <c r="AH390" s="84">
        <v>0.0</v>
      </c>
      <c r="AI390" s="84">
        <v>0.0</v>
      </c>
      <c r="AJ390" s="84">
        <v>0.0</v>
      </c>
      <c r="AK390" s="84">
        <v>0.0</v>
      </c>
      <c r="AL390" s="84">
        <v>0.0</v>
      </c>
      <c r="AM390" s="84">
        <v>0.0</v>
      </c>
      <c r="AN390" s="93">
        <f t="shared" si="1"/>
        <v>0.002554278416</v>
      </c>
      <c r="AO390" s="84">
        <f t="shared" si="2"/>
        <v>0</v>
      </c>
    </row>
    <row r="391" ht="12.75" customHeight="1">
      <c r="A391" s="84" t="s">
        <v>4352</v>
      </c>
      <c r="B391" s="84">
        <v>0.0</v>
      </c>
      <c r="C391" s="84">
        <v>0.0</v>
      </c>
      <c r="D391" s="84">
        <v>0.0</v>
      </c>
      <c r="E391" s="84">
        <v>0.0</v>
      </c>
      <c r="F391" s="84">
        <v>0.0</v>
      </c>
      <c r="G391" s="84">
        <v>0.0</v>
      </c>
      <c r="H391" s="84">
        <v>0.0</v>
      </c>
      <c r="I391" s="91">
        <v>0.0</v>
      </c>
      <c r="J391" s="84">
        <v>0.0</v>
      </c>
      <c r="K391" s="84">
        <v>0.0</v>
      </c>
      <c r="L391" s="84">
        <v>0.0</v>
      </c>
      <c r="M391" s="84">
        <v>0.0</v>
      </c>
      <c r="N391" s="84">
        <v>0.0</v>
      </c>
      <c r="O391" s="84">
        <v>0.0</v>
      </c>
      <c r="P391" s="84">
        <v>0.0</v>
      </c>
      <c r="Q391" s="84">
        <v>0.0</v>
      </c>
      <c r="R391" s="84">
        <v>0.0</v>
      </c>
      <c r="S391" s="84">
        <v>0.0</v>
      </c>
      <c r="T391" s="84">
        <v>0.0</v>
      </c>
      <c r="U391" s="84">
        <v>0.0</v>
      </c>
      <c r="V391" s="84">
        <v>0.0</v>
      </c>
      <c r="W391" s="84">
        <v>0.0</v>
      </c>
      <c r="X391" s="84">
        <v>0.0</v>
      </c>
      <c r="Y391" s="84">
        <v>0.0</v>
      </c>
      <c r="Z391" s="84">
        <v>0.0</v>
      </c>
      <c r="AA391" s="84">
        <v>0.0</v>
      </c>
      <c r="AB391" s="84">
        <v>0.0</v>
      </c>
      <c r="AC391" s="91">
        <v>0.002554278416347382</v>
      </c>
      <c r="AD391" s="84">
        <v>0.0</v>
      </c>
      <c r="AE391" s="84">
        <v>0.0</v>
      </c>
      <c r="AF391" s="84">
        <v>0.0</v>
      </c>
      <c r="AG391" s="84">
        <v>0.0</v>
      </c>
      <c r="AH391" s="84">
        <v>0.0</v>
      </c>
      <c r="AI391" s="84">
        <v>0.0</v>
      </c>
      <c r="AJ391" s="84">
        <v>0.0</v>
      </c>
      <c r="AK391" s="84">
        <v>0.0</v>
      </c>
      <c r="AL391" s="84">
        <v>0.0</v>
      </c>
      <c r="AM391" s="84">
        <v>0.0</v>
      </c>
      <c r="AN391" s="93">
        <f t="shared" si="1"/>
        <v>0.002554278416</v>
      </c>
      <c r="AO391" s="84">
        <f t="shared" si="2"/>
        <v>0</v>
      </c>
    </row>
    <row r="392" ht="12.75" customHeight="1">
      <c r="A392" s="84" t="s">
        <v>4326</v>
      </c>
      <c r="B392" s="84">
        <v>0.0</v>
      </c>
      <c r="C392" s="84">
        <v>0.0</v>
      </c>
      <c r="D392" s="84">
        <v>0.0</v>
      </c>
      <c r="E392" s="84">
        <v>0.0</v>
      </c>
      <c r="F392" s="84">
        <v>0.0</v>
      </c>
      <c r="G392" s="84">
        <v>0.0</v>
      </c>
      <c r="H392" s="84">
        <v>0.0</v>
      </c>
      <c r="I392" s="91">
        <v>0.0</v>
      </c>
      <c r="J392" s="84">
        <v>0.0</v>
      </c>
      <c r="K392" s="84">
        <v>0.0</v>
      </c>
      <c r="L392" s="84">
        <v>0.0</v>
      </c>
      <c r="M392" s="84">
        <v>0.0</v>
      </c>
      <c r="N392" s="84">
        <v>0.0</v>
      </c>
      <c r="O392" s="84">
        <v>0.0</v>
      </c>
      <c r="P392" s="84">
        <v>0.0</v>
      </c>
      <c r="Q392" s="84">
        <v>0.0</v>
      </c>
      <c r="R392" s="84">
        <v>0.0</v>
      </c>
      <c r="S392" s="84">
        <v>0.0</v>
      </c>
      <c r="T392" s="84">
        <v>0.0</v>
      </c>
      <c r="U392" s="84">
        <v>0.0</v>
      </c>
      <c r="V392" s="84">
        <v>0.0</v>
      </c>
      <c r="W392" s="84">
        <v>0.0</v>
      </c>
      <c r="X392" s="84">
        <v>0.0</v>
      </c>
      <c r="Y392" s="84">
        <v>0.0</v>
      </c>
      <c r="Z392" s="84">
        <v>0.0</v>
      </c>
      <c r="AA392" s="84">
        <v>0.0</v>
      </c>
      <c r="AB392" s="84">
        <v>0.0</v>
      </c>
      <c r="AC392" s="91">
        <v>0.002554278416347382</v>
      </c>
      <c r="AD392" s="84">
        <v>0.0</v>
      </c>
      <c r="AE392" s="84">
        <v>0.0</v>
      </c>
      <c r="AF392" s="84">
        <v>0.0</v>
      </c>
      <c r="AG392" s="84">
        <v>0.0</v>
      </c>
      <c r="AH392" s="84">
        <v>0.0</v>
      </c>
      <c r="AI392" s="84">
        <v>0.0</v>
      </c>
      <c r="AJ392" s="84">
        <v>0.0</v>
      </c>
      <c r="AK392" s="84">
        <v>0.0</v>
      </c>
      <c r="AL392" s="84">
        <v>0.0</v>
      </c>
      <c r="AM392" s="84">
        <v>0.0</v>
      </c>
      <c r="AN392" s="93">
        <f t="shared" si="1"/>
        <v>0.002554278416</v>
      </c>
      <c r="AO392" s="84">
        <f t="shared" si="2"/>
        <v>0</v>
      </c>
    </row>
    <row r="393" ht="12.75" customHeight="1">
      <c r="A393" s="84" t="s">
        <v>4331</v>
      </c>
      <c r="B393" s="84">
        <v>0.0</v>
      </c>
      <c r="C393" s="84">
        <v>0.0</v>
      </c>
      <c r="D393" s="84">
        <v>0.0</v>
      </c>
      <c r="E393" s="84">
        <v>0.0</v>
      </c>
      <c r="F393" s="84">
        <v>0.0</v>
      </c>
      <c r="G393" s="84">
        <v>0.0</v>
      </c>
      <c r="H393" s="84">
        <v>0.0</v>
      </c>
      <c r="I393" s="91">
        <v>0.0</v>
      </c>
      <c r="J393" s="84">
        <v>0.0</v>
      </c>
      <c r="K393" s="84">
        <v>0.0</v>
      </c>
      <c r="L393" s="84">
        <v>0.0</v>
      </c>
      <c r="M393" s="84">
        <v>0.0</v>
      </c>
      <c r="N393" s="84">
        <v>0.0</v>
      </c>
      <c r="O393" s="84">
        <v>0.0</v>
      </c>
      <c r="P393" s="84">
        <v>0.0</v>
      </c>
      <c r="Q393" s="84">
        <v>0.0</v>
      </c>
      <c r="R393" s="84">
        <v>0.0</v>
      </c>
      <c r="S393" s="84">
        <v>0.0</v>
      </c>
      <c r="T393" s="84">
        <v>0.0</v>
      </c>
      <c r="U393" s="84">
        <v>0.0</v>
      </c>
      <c r="V393" s="84">
        <v>0.0</v>
      </c>
      <c r="W393" s="84">
        <v>0.0</v>
      </c>
      <c r="X393" s="84">
        <v>0.0</v>
      </c>
      <c r="Y393" s="84">
        <v>0.0</v>
      </c>
      <c r="Z393" s="84">
        <v>0.0</v>
      </c>
      <c r="AA393" s="84">
        <v>0.0</v>
      </c>
      <c r="AB393" s="84">
        <v>0.0</v>
      </c>
      <c r="AC393" s="91">
        <v>0.001277139208173691</v>
      </c>
      <c r="AD393" s="84">
        <v>0.0</v>
      </c>
      <c r="AE393" s="84">
        <v>0.0</v>
      </c>
      <c r="AF393" s="84">
        <v>0.0</v>
      </c>
      <c r="AG393" s="84">
        <v>0.0</v>
      </c>
      <c r="AH393" s="84">
        <v>0.0</v>
      </c>
      <c r="AI393" s="84">
        <v>0.0</v>
      </c>
      <c r="AJ393" s="84">
        <v>0.0</v>
      </c>
      <c r="AK393" s="84">
        <v>0.0</v>
      </c>
      <c r="AL393" s="84">
        <v>0.0</v>
      </c>
      <c r="AM393" s="84">
        <v>0.0</v>
      </c>
      <c r="AN393" s="93">
        <f t="shared" si="1"/>
        <v>0.001277139208</v>
      </c>
      <c r="AO393" s="84">
        <f t="shared" si="2"/>
        <v>0</v>
      </c>
    </row>
    <row r="394" ht="12.75" customHeight="1">
      <c r="A394" s="84" t="s">
        <v>4557</v>
      </c>
      <c r="B394" s="84">
        <v>0.0</v>
      </c>
      <c r="C394" s="84">
        <v>0.0</v>
      </c>
      <c r="D394" s="84">
        <v>0.0</v>
      </c>
      <c r="E394" s="84">
        <v>0.0</v>
      </c>
      <c r="F394" s="84">
        <v>0.0</v>
      </c>
      <c r="G394" s="84">
        <v>0.0</v>
      </c>
      <c r="H394" s="84">
        <v>0.0</v>
      </c>
      <c r="I394" s="91">
        <v>0.0</v>
      </c>
      <c r="J394" s="84">
        <v>0.0</v>
      </c>
      <c r="K394" s="84">
        <v>0.0</v>
      </c>
      <c r="L394" s="84">
        <v>0.0</v>
      </c>
      <c r="M394" s="84">
        <v>0.0</v>
      </c>
      <c r="N394" s="84">
        <v>0.0</v>
      </c>
      <c r="O394" s="84">
        <v>0.0</v>
      </c>
      <c r="P394" s="84">
        <v>0.0</v>
      </c>
      <c r="Q394" s="84">
        <v>0.0</v>
      </c>
      <c r="R394" s="84">
        <v>0.0</v>
      </c>
      <c r="S394" s="84">
        <v>0.0</v>
      </c>
      <c r="T394" s="84">
        <v>0.0</v>
      </c>
      <c r="U394" s="84">
        <v>0.0</v>
      </c>
      <c r="V394" s="84">
        <v>0.0</v>
      </c>
      <c r="W394" s="84">
        <v>0.0</v>
      </c>
      <c r="X394" s="84">
        <v>0.0</v>
      </c>
      <c r="Y394" s="84">
        <v>0.0</v>
      </c>
      <c r="Z394" s="84">
        <v>0.0</v>
      </c>
      <c r="AA394" s="84">
        <v>0.0</v>
      </c>
      <c r="AB394" s="84">
        <v>0.0</v>
      </c>
      <c r="AC394" s="91">
        <v>0.0</v>
      </c>
      <c r="AD394" s="84">
        <v>0.0</v>
      </c>
      <c r="AE394" s="84">
        <v>0.0</v>
      </c>
      <c r="AF394" s="84">
        <v>0.0</v>
      </c>
      <c r="AG394" s="84">
        <v>0.0</v>
      </c>
      <c r="AH394" s="84">
        <v>1.0</v>
      </c>
      <c r="AI394" s="84">
        <v>0.0</v>
      </c>
      <c r="AJ394" s="84">
        <v>0.0</v>
      </c>
      <c r="AK394" s="84">
        <v>0.0</v>
      </c>
      <c r="AL394" s="84">
        <v>0.0</v>
      </c>
      <c r="AM394" s="84">
        <v>0.0</v>
      </c>
      <c r="AN394" s="93">
        <f t="shared" si="1"/>
        <v>0</v>
      </c>
      <c r="AO394" s="84">
        <f t="shared" si="2"/>
        <v>1</v>
      </c>
    </row>
    <row r="395" ht="12.75" customHeight="1">
      <c r="A395" s="84" t="s">
        <v>4562</v>
      </c>
      <c r="B395" s="84">
        <v>0.0</v>
      </c>
      <c r="C395" s="84">
        <v>0.0</v>
      </c>
      <c r="D395" s="84">
        <v>0.0</v>
      </c>
      <c r="E395" s="84">
        <v>0.0</v>
      </c>
      <c r="F395" s="84">
        <v>0.0</v>
      </c>
      <c r="G395" s="84">
        <v>0.0</v>
      </c>
      <c r="H395" s="84">
        <v>0.0</v>
      </c>
      <c r="I395" s="91">
        <v>0.0</v>
      </c>
      <c r="J395" s="84">
        <v>0.0</v>
      </c>
      <c r="K395" s="84">
        <v>0.0</v>
      </c>
      <c r="L395" s="84">
        <v>0.0</v>
      </c>
      <c r="M395" s="84">
        <v>0.0</v>
      </c>
      <c r="N395" s="84">
        <v>0.0</v>
      </c>
      <c r="O395" s="84">
        <v>0.0</v>
      </c>
      <c r="P395" s="84">
        <v>0.0</v>
      </c>
      <c r="Q395" s="84">
        <v>0.0</v>
      </c>
      <c r="R395" s="84">
        <v>0.0</v>
      </c>
      <c r="S395" s="84">
        <v>0.0</v>
      </c>
      <c r="T395" s="84">
        <v>0.0</v>
      </c>
      <c r="U395" s="84">
        <v>0.0</v>
      </c>
      <c r="V395" s="84">
        <v>0.0</v>
      </c>
      <c r="W395" s="84">
        <v>0.0</v>
      </c>
      <c r="X395" s="84">
        <v>0.0</v>
      </c>
      <c r="Y395" s="84">
        <v>0.0</v>
      </c>
      <c r="Z395" s="84">
        <v>0.0</v>
      </c>
      <c r="AA395" s="84">
        <v>0.0</v>
      </c>
      <c r="AB395" s="84">
        <v>0.0</v>
      </c>
      <c r="AC395" s="91">
        <v>0.0</v>
      </c>
      <c r="AD395" s="84">
        <v>0.0</v>
      </c>
      <c r="AE395" s="84">
        <v>0.0</v>
      </c>
      <c r="AF395" s="84">
        <v>0.0</v>
      </c>
      <c r="AG395" s="84">
        <v>0.0</v>
      </c>
      <c r="AH395" s="84">
        <v>1.0</v>
      </c>
      <c r="AI395" s="84">
        <v>0.0</v>
      </c>
      <c r="AJ395" s="84">
        <v>0.0</v>
      </c>
      <c r="AK395" s="84">
        <v>0.0</v>
      </c>
      <c r="AL395" s="84">
        <v>0.0</v>
      </c>
      <c r="AM395" s="84">
        <v>0.0</v>
      </c>
      <c r="AN395" s="93">
        <f t="shared" si="1"/>
        <v>0</v>
      </c>
      <c r="AO395" s="84">
        <f t="shared" si="2"/>
        <v>1</v>
      </c>
    </row>
    <row r="396" ht="12.75" customHeight="1">
      <c r="A396" s="84" t="s">
        <v>4568</v>
      </c>
      <c r="B396" s="84">
        <v>0.0</v>
      </c>
      <c r="C396" s="84">
        <v>0.0</v>
      </c>
      <c r="D396" s="84">
        <v>0.0</v>
      </c>
      <c r="E396" s="84">
        <v>0.0</v>
      </c>
      <c r="F396" s="84">
        <v>0.0</v>
      </c>
      <c r="G396" s="84">
        <v>0.0</v>
      </c>
      <c r="H396" s="84">
        <v>0.0</v>
      </c>
      <c r="I396" s="91">
        <v>0.0</v>
      </c>
      <c r="J396" s="84">
        <v>0.0</v>
      </c>
      <c r="K396" s="84">
        <v>0.0</v>
      </c>
      <c r="L396" s="84">
        <v>0.0</v>
      </c>
      <c r="M396" s="84">
        <v>0.0</v>
      </c>
      <c r="N396" s="84">
        <v>0.0</v>
      </c>
      <c r="O396" s="84">
        <v>0.0</v>
      </c>
      <c r="P396" s="84">
        <v>0.0</v>
      </c>
      <c r="Q396" s="84">
        <v>0.0</v>
      </c>
      <c r="R396" s="84">
        <v>0.0</v>
      </c>
      <c r="S396" s="84">
        <v>0.0</v>
      </c>
      <c r="T396" s="84">
        <v>0.0</v>
      </c>
      <c r="U396" s="84">
        <v>0.0</v>
      </c>
      <c r="V396" s="84">
        <v>0.0</v>
      </c>
      <c r="W396" s="84">
        <v>0.0</v>
      </c>
      <c r="X396" s="84">
        <v>0.0</v>
      </c>
      <c r="Y396" s="84">
        <v>0.0</v>
      </c>
      <c r="Z396" s="84">
        <v>0.0</v>
      </c>
      <c r="AA396" s="84">
        <v>0.0</v>
      </c>
      <c r="AB396" s="84">
        <v>0.0</v>
      </c>
      <c r="AC396" s="91">
        <v>0.0</v>
      </c>
      <c r="AD396" s="84">
        <v>0.0</v>
      </c>
      <c r="AE396" s="84">
        <v>0.0</v>
      </c>
      <c r="AF396" s="84">
        <v>0.0</v>
      </c>
      <c r="AG396" s="84">
        <v>0.0</v>
      </c>
      <c r="AH396" s="84">
        <v>1.0</v>
      </c>
      <c r="AI396" s="84">
        <v>0.0</v>
      </c>
      <c r="AJ396" s="84">
        <v>0.0</v>
      </c>
      <c r="AK396" s="84">
        <v>0.0</v>
      </c>
      <c r="AL396" s="84">
        <v>0.0</v>
      </c>
      <c r="AM396" s="84">
        <v>0.0</v>
      </c>
      <c r="AN396" s="93">
        <f t="shared" si="1"/>
        <v>0</v>
      </c>
      <c r="AO396" s="84">
        <f t="shared" si="2"/>
        <v>1</v>
      </c>
    </row>
    <row r="397" ht="12.75" customHeight="1">
      <c r="A397" s="84" t="s">
        <v>3741</v>
      </c>
      <c r="B397" s="84">
        <v>0.0</v>
      </c>
      <c r="C397" s="84">
        <v>0.0</v>
      </c>
      <c r="D397" s="84">
        <v>0.0</v>
      </c>
      <c r="E397" s="84">
        <v>0.0</v>
      </c>
      <c r="F397" s="84">
        <v>0.0</v>
      </c>
      <c r="G397" s="84">
        <v>4.0</v>
      </c>
      <c r="H397" s="84">
        <v>1.0</v>
      </c>
      <c r="I397" s="91">
        <v>0.0</v>
      </c>
      <c r="J397" s="84">
        <v>0.0</v>
      </c>
      <c r="K397" s="84">
        <v>0.0</v>
      </c>
      <c r="L397" s="84">
        <v>0.0</v>
      </c>
      <c r="M397" s="84">
        <v>0.0</v>
      </c>
      <c r="N397" s="84">
        <v>0.0</v>
      </c>
      <c r="O397" s="84">
        <v>0.0</v>
      </c>
      <c r="P397" s="84">
        <v>0.0</v>
      </c>
      <c r="Q397" s="84">
        <v>0.0</v>
      </c>
      <c r="R397" s="84">
        <v>0.0</v>
      </c>
      <c r="S397" s="84">
        <v>0.0</v>
      </c>
      <c r="T397" s="84">
        <v>0.0</v>
      </c>
      <c r="U397" s="84">
        <v>0.0</v>
      </c>
      <c r="V397" s="84">
        <v>0.0</v>
      </c>
      <c r="W397" s="84">
        <v>0.0</v>
      </c>
      <c r="X397" s="84">
        <v>0.0</v>
      </c>
      <c r="Y397" s="84">
        <v>0.0</v>
      </c>
      <c r="Z397" s="84">
        <v>0.0</v>
      </c>
      <c r="AA397" s="84">
        <v>6.0</v>
      </c>
      <c r="AB397" s="84">
        <v>3.0</v>
      </c>
      <c r="AC397" s="91">
        <v>0.0</v>
      </c>
      <c r="AD397" s="84">
        <v>0.0</v>
      </c>
      <c r="AE397" s="84">
        <v>0.0</v>
      </c>
      <c r="AF397" s="84">
        <v>0.0</v>
      </c>
      <c r="AG397" s="84">
        <v>0.0</v>
      </c>
      <c r="AH397" s="84">
        <v>0.0</v>
      </c>
      <c r="AI397" s="84">
        <v>0.0</v>
      </c>
      <c r="AJ397" s="84">
        <v>0.0</v>
      </c>
      <c r="AK397" s="84">
        <v>0.0</v>
      </c>
      <c r="AL397" s="84">
        <v>0.0</v>
      </c>
      <c r="AM397" s="84">
        <v>0.0</v>
      </c>
      <c r="AN397" s="93">
        <f t="shared" si="1"/>
        <v>0</v>
      </c>
      <c r="AO397" s="84">
        <f t="shared" si="2"/>
        <v>0</v>
      </c>
    </row>
    <row r="398" ht="12.75" customHeight="1">
      <c r="A398" s="84" t="s">
        <v>4593</v>
      </c>
      <c r="B398" s="84">
        <v>0.0</v>
      </c>
      <c r="C398" s="84">
        <v>0.0</v>
      </c>
      <c r="D398" s="84">
        <v>0.0</v>
      </c>
      <c r="E398" s="84">
        <v>0.0</v>
      </c>
      <c r="F398" s="84">
        <v>0.0</v>
      </c>
      <c r="G398" s="84">
        <v>0.0</v>
      </c>
      <c r="H398" s="84">
        <v>0.0</v>
      </c>
      <c r="I398" s="91">
        <v>0.0</v>
      </c>
      <c r="J398" s="84">
        <v>0.0</v>
      </c>
      <c r="K398" s="84">
        <v>0.0</v>
      </c>
      <c r="L398" s="84">
        <v>0.0</v>
      </c>
      <c r="M398" s="84">
        <v>0.0</v>
      </c>
      <c r="N398" s="84">
        <v>0.0</v>
      </c>
      <c r="O398" s="84">
        <v>0.0</v>
      </c>
      <c r="P398" s="84">
        <v>0.0</v>
      </c>
      <c r="Q398" s="84">
        <v>0.0</v>
      </c>
      <c r="R398" s="84">
        <v>1.0</v>
      </c>
      <c r="S398" s="84">
        <v>0.0</v>
      </c>
      <c r="T398" s="84">
        <v>0.0</v>
      </c>
      <c r="U398" s="84">
        <v>0.0</v>
      </c>
      <c r="V398" s="84">
        <v>0.0</v>
      </c>
      <c r="W398" s="84">
        <v>0.0</v>
      </c>
      <c r="X398" s="84">
        <v>0.0</v>
      </c>
      <c r="Y398" s="84">
        <v>0.0</v>
      </c>
      <c r="Z398" s="84">
        <v>0.0</v>
      </c>
      <c r="AA398" s="84">
        <v>0.0</v>
      </c>
      <c r="AB398" s="84">
        <v>0.0</v>
      </c>
      <c r="AC398" s="91">
        <v>0.0</v>
      </c>
      <c r="AD398" s="84">
        <v>0.0</v>
      </c>
      <c r="AE398" s="84">
        <v>0.0</v>
      </c>
      <c r="AF398" s="84">
        <v>0.0</v>
      </c>
      <c r="AG398" s="84">
        <v>0.0</v>
      </c>
      <c r="AH398" s="84">
        <v>0.0</v>
      </c>
      <c r="AI398" s="84">
        <v>0.0</v>
      </c>
      <c r="AJ398" s="84">
        <v>0.0</v>
      </c>
      <c r="AK398" s="84">
        <v>0.0</v>
      </c>
      <c r="AL398" s="84">
        <v>0.0</v>
      </c>
      <c r="AM398" s="84">
        <v>0.0</v>
      </c>
      <c r="AN398" s="93">
        <f t="shared" si="1"/>
        <v>0</v>
      </c>
      <c r="AO398" s="84">
        <f t="shared" si="2"/>
        <v>1</v>
      </c>
    </row>
    <row r="399" ht="12.75" customHeight="1">
      <c r="A399" s="84" t="s">
        <v>4530</v>
      </c>
      <c r="B399" s="84">
        <v>0.0</v>
      </c>
      <c r="C399" s="84">
        <v>0.0</v>
      </c>
      <c r="D399" s="84">
        <v>0.0</v>
      </c>
      <c r="E399" s="84">
        <v>0.0</v>
      </c>
      <c r="F399" s="84">
        <v>0.0</v>
      </c>
      <c r="G399" s="84">
        <v>0.0</v>
      </c>
      <c r="H399" s="84">
        <v>0.0</v>
      </c>
      <c r="I399" s="91">
        <v>0.0</v>
      </c>
      <c r="J399" s="84">
        <v>0.0</v>
      </c>
      <c r="K399" s="84">
        <v>0.0</v>
      </c>
      <c r="L399" s="84">
        <v>0.0</v>
      </c>
      <c r="M399" s="84">
        <v>0.0</v>
      </c>
      <c r="N399" s="84">
        <v>0.0</v>
      </c>
      <c r="O399" s="84">
        <v>0.0</v>
      </c>
      <c r="P399" s="84">
        <v>0.0</v>
      </c>
      <c r="Q399" s="84">
        <v>0.0</v>
      </c>
      <c r="R399" s="84">
        <v>0.0</v>
      </c>
      <c r="S399" s="84">
        <v>0.0</v>
      </c>
      <c r="T399" s="84">
        <v>0.0</v>
      </c>
      <c r="U399" s="84">
        <v>0.0</v>
      </c>
      <c r="V399" s="84">
        <v>0.0</v>
      </c>
      <c r="W399" s="84">
        <v>0.0</v>
      </c>
      <c r="X399" s="84">
        <v>0.0</v>
      </c>
      <c r="Y399" s="84">
        <v>0.0</v>
      </c>
      <c r="Z399" s="84">
        <v>0.0</v>
      </c>
      <c r="AA399" s="84">
        <v>0.0</v>
      </c>
      <c r="AB399" s="84">
        <v>0.0</v>
      </c>
      <c r="AC399" s="91">
        <v>0.0</v>
      </c>
      <c r="AD399" s="84">
        <v>0.0</v>
      </c>
      <c r="AE399" s="84">
        <v>0.0</v>
      </c>
      <c r="AF399" s="84">
        <v>0.0</v>
      </c>
      <c r="AG399" s="84">
        <v>1.0</v>
      </c>
      <c r="AH399" s="84">
        <v>0.0</v>
      </c>
      <c r="AI399" s="84">
        <v>0.0</v>
      </c>
      <c r="AJ399" s="84">
        <v>0.0</v>
      </c>
      <c r="AK399" s="84">
        <v>0.0</v>
      </c>
      <c r="AL399" s="84">
        <v>0.0</v>
      </c>
      <c r="AM399" s="84">
        <v>0.0</v>
      </c>
      <c r="AN399" s="93">
        <f t="shared" si="1"/>
        <v>0</v>
      </c>
      <c r="AO399" s="84">
        <f t="shared" si="2"/>
        <v>1</v>
      </c>
    </row>
    <row r="400" ht="12.75" customHeight="1">
      <c r="A400" s="84" t="s">
        <v>3658</v>
      </c>
      <c r="B400" s="84">
        <v>0.0</v>
      </c>
      <c r="C400" s="84">
        <v>0.0</v>
      </c>
      <c r="D400" s="84">
        <v>0.0</v>
      </c>
      <c r="E400" s="84">
        <v>0.0</v>
      </c>
      <c r="F400" s="84">
        <v>5.0</v>
      </c>
      <c r="G400" s="84">
        <v>1.0</v>
      </c>
      <c r="H400" s="84">
        <v>0.0</v>
      </c>
      <c r="I400" s="91">
        <v>0.0</v>
      </c>
      <c r="J400" s="84">
        <v>0.0</v>
      </c>
      <c r="K400" s="84">
        <v>0.0</v>
      </c>
      <c r="L400" s="84">
        <v>0.0</v>
      </c>
      <c r="M400" s="84">
        <v>0.0</v>
      </c>
      <c r="N400" s="84">
        <v>0.0</v>
      </c>
      <c r="O400" s="84">
        <v>0.0</v>
      </c>
      <c r="P400" s="84">
        <v>0.0</v>
      </c>
      <c r="Q400" s="84">
        <v>0.0</v>
      </c>
      <c r="R400" s="84">
        <v>0.0</v>
      </c>
      <c r="S400" s="84">
        <v>0.0</v>
      </c>
      <c r="T400" s="84">
        <v>0.0</v>
      </c>
      <c r="U400" s="84">
        <v>0.0</v>
      </c>
      <c r="V400" s="84">
        <v>0.0</v>
      </c>
      <c r="W400" s="84">
        <v>0.0</v>
      </c>
      <c r="X400" s="84">
        <v>0.0</v>
      </c>
      <c r="Y400" s="84">
        <v>0.0</v>
      </c>
      <c r="Z400" s="84">
        <v>6.0</v>
      </c>
      <c r="AA400" s="84">
        <v>2.0</v>
      </c>
      <c r="AB400" s="84">
        <v>0.0</v>
      </c>
      <c r="AC400" s="91">
        <v>0.0</v>
      </c>
      <c r="AD400" s="84">
        <v>0.0</v>
      </c>
      <c r="AE400" s="84">
        <v>0.0</v>
      </c>
      <c r="AF400" s="84">
        <v>0.0</v>
      </c>
      <c r="AG400" s="84">
        <v>0.0</v>
      </c>
      <c r="AH400" s="84">
        <v>0.0</v>
      </c>
      <c r="AI400" s="84">
        <v>0.0</v>
      </c>
      <c r="AJ400" s="84">
        <v>0.0</v>
      </c>
      <c r="AK400" s="84">
        <v>0.0</v>
      </c>
      <c r="AL400" s="84">
        <v>0.0</v>
      </c>
      <c r="AM400" s="84">
        <v>0.0</v>
      </c>
      <c r="AN400" s="93">
        <f t="shared" si="1"/>
        <v>0</v>
      </c>
      <c r="AO400" s="84">
        <f t="shared" si="2"/>
        <v>0</v>
      </c>
    </row>
    <row r="401" ht="12.75" customHeight="1">
      <c r="A401" s="84" t="s">
        <v>4462</v>
      </c>
      <c r="B401" s="84">
        <v>0.0</v>
      </c>
      <c r="C401" s="84">
        <v>0.0</v>
      </c>
      <c r="D401" s="84">
        <v>0.0</v>
      </c>
      <c r="E401" s="84">
        <v>0.0</v>
      </c>
      <c r="F401" s="84">
        <v>0.0</v>
      </c>
      <c r="G401" s="84">
        <v>0.0</v>
      </c>
      <c r="H401" s="84">
        <v>0.0</v>
      </c>
      <c r="I401" s="91">
        <v>0.0</v>
      </c>
      <c r="J401" s="84">
        <v>0.0</v>
      </c>
      <c r="K401" s="84">
        <v>0.0</v>
      </c>
      <c r="L401" s="84">
        <v>0.0</v>
      </c>
      <c r="M401" s="84">
        <v>0.0</v>
      </c>
      <c r="N401" s="84">
        <v>0.0</v>
      </c>
      <c r="O401" s="84">
        <v>0.0</v>
      </c>
      <c r="P401" s="84">
        <v>0.0</v>
      </c>
      <c r="Q401" s="84">
        <v>0.0</v>
      </c>
      <c r="R401" s="84">
        <v>0.0</v>
      </c>
      <c r="S401" s="84">
        <v>0.0</v>
      </c>
      <c r="T401" s="84">
        <v>0.0</v>
      </c>
      <c r="U401" s="84">
        <v>0.0</v>
      </c>
      <c r="V401" s="84">
        <v>0.0</v>
      </c>
      <c r="W401" s="84">
        <v>0.0</v>
      </c>
      <c r="X401" s="84">
        <v>0.0</v>
      </c>
      <c r="Y401" s="84">
        <v>0.0</v>
      </c>
      <c r="Z401" s="84">
        <v>0.0</v>
      </c>
      <c r="AA401" s="84">
        <v>0.0</v>
      </c>
      <c r="AB401" s="84">
        <v>0.0</v>
      </c>
      <c r="AC401" s="91">
        <v>0.0</v>
      </c>
      <c r="AD401" s="84">
        <v>1.0</v>
      </c>
      <c r="AE401" s="84">
        <v>0.0</v>
      </c>
      <c r="AF401" s="84">
        <v>0.0</v>
      </c>
      <c r="AG401" s="84">
        <v>0.0</v>
      </c>
      <c r="AH401" s="84">
        <v>0.0</v>
      </c>
      <c r="AI401" s="84">
        <v>0.0</v>
      </c>
      <c r="AJ401" s="84">
        <v>0.0</v>
      </c>
      <c r="AK401" s="84">
        <v>0.0</v>
      </c>
      <c r="AL401" s="84">
        <v>0.0</v>
      </c>
      <c r="AM401" s="84">
        <v>0.0</v>
      </c>
      <c r="AN401" s="93">
        <f t="shared" si="1"/>
        <v>0</v>
      </c>
      <c r="AO401" s="84">
        <f t="shared" si="2"/>
        <v>1</v>
      </c>
    </row>
    <row r="402" ht="12.75" customHeight="1">
      <c r="A402" s="84" t="s">
        <v>4440</v>
      </c>
      <c r="B402" s="84">
        <v>0.0</v>
      </c>
      <c r="C402" s="84">
        <v>0.0</v>
      </c>
      <c r="D402" s="84">
        <v>0.0</v>
      </c>
      <c r="E402" s="84">
        <v>0.0</v>
      </c>
      <c r="F402" s="84">
        <v>0.0</v>
      </c>
      <c r="G402" s="84">
        <v>0.0</v>
      </c>
      <c r="H402" s="84">
        <v>0.0</v>
      </c>
      <c r="I402" s="91">
        <v>0.0</v>
      </c>
      <c r="J402" s="84">
        <v>0.0</v>
      </c>
      <c r="K402" s="84">
        <v>0.0</v>
      </c>
      <c r="L402" s="84">
        <v>1.0</v>
      </c>
      <c r="M402" s="84">
        <v>0.0</v>
      </c>
      <c r="N402" s="84">
        <v>0.0</v>
      </c>
      <c r="O402" s="84">
        <v>0.0</v>
      </c>
      <c r="P402" s="84">
        <v>0.0</v>
      </c>
      <c r="Q402" s="84">
        <v>0.0</v>
      </c>
      <c r="R402" s="84">
        <v>0.0</v>
      </c>
      <c r="S402" s="84">
        <v>0.0</v>
      </c>
      <c r="T402" s="84">
        <v>0.0</v>
      </c>
      <c r="U402" s="84">
        <v>0.0</v>
      </c>
      <c r="V402" s="84">
        <v>0.0</v>
      </c>
      <c r="W402" s="84">
        <v>0.0</v>
      </c>
      <c r="X402" s="84">
        <v>0.0</v>
      </c>
      <c r="Y402" s="84">
        <v>0.0</v>
      </c>
      <c r="Z402" s="84">
        <v>0.0</v>
      </c>
      <c r="AA402" s="84">
        <v>0.0</v>
      </c>
      <c r="AB402" s="84">
        <v>0.0</v>
      </c>
      <c r="AC402" s="91">
        <v>0.0</v>
      </c>
      <c r="AD402" s="84">
        <v>0.0</v>
      </c>
      <c r="AE402" s="84">
        <v>0.0</v>
      </c>
      <c r="AF402" s="84">
        <v>0.0</v>
      </c>
      <c r="AG402" s="84">
        <v>0.0</v>
      </c>
      <c r="AH402" s="84">
        <v>0.0</v>
      </c>
      <c r="AI402" s="84">
        <v>0.0</v>
      </c>
      <c r="AJ402" s="84">
        <v>0.0</v>
      </c>
      <c r="AK402" s="84">
        <v>0.0</v>
      </c>
      <c r="AL402" s="84">
        <v>0.0</v>
      </c>
      <c r="AM402" s="84">
        <v>0.0</v>
      </c>
      <c r="AN402" s="93">
        <f t="shared" si="1"/>
        <v>0</v>
      </c>
      <c r="AO402" s="84">
        <f t="shared" si="2"/>
        <v>1</v>
      </c>
    </row>
    <row r="403" ht="12.75" customHeight="1">
      <c r="A403" s="84" t="s">
        <v>4584</v>
      </c>
      <c r="B403" s="84">
        <v>0.0</v>
      </c>
      <c r="C403" s="84">
        <v>0.0</v>
      </c>
      <c r="D403" s="84">
        <v>0.0</v>
      </c>
      <c r="E403" s="84">
        <v>0.0</v>
      </c>
      <c r="F403" s="84">
        <v>0.0</v>
      </c>
      <c r="G403" s="84">
        <v>0.0</v>
      </c>
      <c r="H403" s="84">
        <v>0.0</v>
      </c>
      <c r="I403" s="91">
        <v>0.0</v>
      </c>
      <c r="J403" s="84">
        <v>0.0</v>
      </c>
      <c r="K403" s="84">
        <v>0.0</v>
      </c>
      <c r="L403" s="84">
        <v>0.0</v>
      </c>
      <c r="M403" s="84">
        <v>0.0</v>
      </c>
      <c r="N403" s="84">
        <v>0.0</v>
      </c>
      <c r="O403" s="84">
        <v>0.0</v>
      </c>
      <c r="P403" s="84">
        <v>0.0</v>
      </c>
      <c r="Q403" s="84">
        <v>0.0</v>
      </c>
      <c r="R403" s="84">
        <v>0.0</v>
      </c>
      <c r="S403" s="84">
        <v>0.0</v>
      </c>
      <c r="T403" s="84">
        <v>0.0</v>
      </c>
      <c r="U403" s="84">
        <v>0.0</v>
      </c>
      <c r="V403" s="84">
        <v>0.0</v>
      </c>
      <c r="W403" s="84">
        <v>0.0</v>
      </c>
      <c r="X403" s="84">
        <v>0.0</v>
      </c>
      <c r="Y403" s="84">
        <v>0.0</v>
      </c>
      <c r="Z403" s="84">
        <v>0.0</v>
      </c>
      <c r="AA403" s="84">
        <v>0.0</v>
      </c>
      <c r="AB403" s="84">
        <v>0.0</v>
      </c>
      <c r="AC403" s="91">
        <v>0.0</v>
      </c>
      <c r="AD403" s="84">
        <v>0.0</v>
      </c>
      <c r="AE403" s="84">
        <v>0.0</v>
      </c>
      <c r="AF403" s="84">
        <v>0.0</v>
      </c>
      <c r="AG403" s="84">
        <v>0.0</v>
      </c>
      <c r="AH403" s="84">
        <v>0.0</v>
      </c>
      <c r="AI403" s="84">
        <v>1.0</v>
      </c>
      <c r="AJ403" s="84">
        <v>0.0</v>
      </c>
      <c r="AK403" s="84">
        <v>0.0</v>
      </c>
      <c r="AL403" s="84">
        <v>0.0</v>
      </c>
      <c r="AM403" s="84">
        <v>0.0</v>
      </c>
      <c r="AN403" s="93">
        <f t="shared" si="1"/>
        <v>0</v>
      </c>
      <c r="AO403" s="84">
        <f t="shared" si="2"/>
        <v>1</v>
      </c>
    </row>
    <row r="404" ht="12.75" customHeight="1">
      <c r="A404" s="84" t="s">
        <v>4592</v>
      </c>
      <c r="B404" s="84">
        <v>0.0</v>
      </c>
      <c r="C404" s="84">
        <v>0.0</v>
      </c>
      <c r="D404" s="84">
        <v>0.0</v>
      </c>
      <c r="E404" s="84">
        <v>0.0</v>
      </c>
      <c r="F404" s="84">
        <v>0.0</v>
      </c>
      <c r="G404" s="84">
        <v>0.0</v>
      </c>
      <c r="H404" s="84">
        <v>0.0</v>
      </c>
      <c r="I404" s="91">
        <v>0.0</v>
      </c>
      <c r="J404" s="84">
        <v>0.0</v>
      </c>
      <c r="K404" s="84">
        <v>0.0</v>
      </c>
      <c r="L404" s="84">
        <v>0.0</v>
      </c>
      <c r="M404" s="84">
        <v>0.0</v>
      </c>
      <c r="N404" s="84">
        <v>0.0</v>
      </c>
      <c r="O404" s="84">
        <v>0.0</v>
      </c>
      <c r="P404" s="84">
        <v>0.0</v>
      </c>
      <c r="Q404" s="84">
        <v>0.0</v>
      </c>
      <c r="R404" s="84">
        <v>0.0</v>
      </c>
      <c r="S404" s="84">
        <v>0.0</v>
      </c>
      <c r="T404" s="84">
        <v>0.0</v>
      </c>
      <c r="U404" s="84">
        <v>0.0</v>
      </c>
      <c r="V404" s="84">
        <v>0.0</v>
      </c>
      <c r="W404" s="84">
        <v>0.0</v>
      </c>
      <c r="X404" s="84">
        <v>0.0</v>
      </c>
      <c r="Y404" s="84">
        <v>0.0</v>
      </c>
      <c r="Z404" s="84">
        <v>0.0</v>
      </c>
      <c r="AA404" s="84">
        <v>0.0</v>
      </c>
      <c r="AB404" s="84">
        <v>0.0</v>
      </c>
      <c r="AC404" s="91">
        <v>0.0</v>
      </c>
      <c r="AD404" s="84">
        <v>0.0</v>
      </c>
      <c r="AE404" s="84">
        <v>0.0</v>
      </c>
      <c r="AF404" s="84">
        <v>0.0</v>
      </c>
      <c r="AG404" s="84">
        <v>0.0</v>
      </c>
      <c r="AH404" s="84">
        <v>0.0</v>
      </c>
      <c r="AI404" s="84">
        <v>1.0</v>
      </c>
      <c r="AJ404" s="84">
        <v>0.0</v>
      </c>
      <c r="AK404" s="84">
        <v>0.0</v>
      </c>
      <c r="AL404" s="84">
        <v>0.0</v>
      </c>
      <c r="AM404" s="84">
        <v>0.0</v>
      </c>
      <c r="AN404" s="93">
        <f t="shared" si="1"/>
        <v>0</v>
      </c>
      <c r="AO404" s="84">
        <f t="shared" si="2"/>
        <v>1</v>
      </c>
    </row>
    <row r="405" ht="12.75" customHeight="1">
      <c r="A405" s="84" t="s">
        <v>3835</v>
      </c>
      <c r="B405" s="84">
        <v>0.0</v>
      </c>
      <c r="C405" s="84">
        <v>0.0</v>
      </c>
      <c r="D405" s="84">
        <v>0.0</v>
      </c>
      <c r="E405" s="84">
        <v>0.0</v>
      </c>
      <c r="F405" s="84">
        <v>0.0</v>
      </c>
      <c r="G405" s="84">
        <v>5.0</v>
      </c>
      <c r="H405" s="84">
        <v>2.0</v>
      </c>
      <c r="I405" s="91">
        <v>0.0</v>
      </c>
      <c r="J405" s="84">
        <v>0.0</v>
      </c>
      <c r="K405" s="84">
        <v>0.0</v>
      </c>
      <c r="L405" s="84">
        <v>0.0</v>
      </c>
      <c r="M405" s="84">
        <v>0.0</v>
      </c>
      <c r="N405" s="84">
        <v>0.0</v>
      </c>
      <c r="O405" s="84">
        <v>0.0</v>
      </c>
      <c r="P405" s="84">
        <v>0.0</v>
      </c>
      <c r="Q405" s="84">
        <v>0.0</v>
      </c>
      <c r="R405" s="84">
        <v>0.0</v>
      </c>
      <c r="S405" s="84">
        <v>0.0</v>
      </c>
      <c r="T405" s="84">
        <v>0.0</v>
      </c>
      <c r="U405" s="84">
        <v>0.0</v>
      </c>
      <c r="V405" s="84">
        <v>0.0</v>
      </c>
      <c r="W405" s="84">
        <v>0.0</v>
      </c>
      <c r="X405" s="84">
        <v>0.0</v>
      </c>
      <c r="Y405" s="84">
        <v>0.0</v>
      </c>
      <c r="Z405" s="84">
        <v>0.0</v>
      </c>
      <c r="AA405" s="84">
        <v>6.0</v>
      </c>
      <c r="AB405" s="84">
        <v>1.0</v>
      </c>
      <c r="AC405" s="91">
        <v>0.0</v>
      </c>
      <c r="AD405" s="84">
        <v>0.0</v>
      </c>
      <c r="AE405" s="84">
        <v>0.0</v>
      </c>
      <c r="AF405" s="84">
        <v>0.0</v>
      </c>
      <c r="AG405" s="84">
        <v>0.0</v>
      </c>
      <c r="AH405" s="84">
        <v>0.0</v>
      </c>
      <c r="AI405" s="84">
        <v>0.0</v>
      </c>
      <c r="AJ405" s="84">
        <v>0.0</v>
      </c>
      <c r="AK405" s="84">
        <v>0.0</v>
      </c>
      <c r="AL405" s="84">
        <v>0.0</v>
      </c>
      <c r="AM405" s="84">
        <v>0.0</v>
      </c>
      <c r="AN405" s="93">
        <f t="shared" si="1"/>
        <v>0</v>
      </c>
      <c r="AO405" s="84">
        <f t="shared" si="2"/>
        <v>0</v>
      </c>
    </row>
    <row r="406" ht="12.75" customHeight="1">
      <c r="A406" s="84" t="s">
        <v>3887</v>
      </c>
      <c r="B406" s="84">
        <v>0.0</v>
      </c>
      <c r="C406" s="84">
        <v>0.0</v>
      </c>
      <c r="D406" s="84">
        <v>0.0</v>
      </c>
      <c r="E406" s="84">
        <v>0.0</v>
      </c>
      <c r="F406" s="84">
        <v>0.0</v>
      </c>
      <c r="G406" s="84">
        <v>0.0</v>
      </c>
      <c r="H406" s="84">
        <v>4.0</v>
      </c>
      <c r="I406" s="91">
        <v>0.0</v>
      </c>
      <c r="J406" s="84">
        <v>0.0</v>
      </c>
      <c r="K406" s="84">
        <v>0.0</v>
      </c>
      <c r="L406" s="84">
        <v>0.0</v>
      </c>
      <c r="M406" s="84">
        <v>0.0</v>
      </c>
      <c r="N406" s="84">
        <v>0.0</v>
      </c>
      <c r="O406" s="84">
        <v>0.0</v>
      </c>
      <c r="P406" s="84">
        <v>0.0</v>
      </c>
      <c r="Q406" s="84">
        <v>0.0</v>
      </c>
      <c r="R406" s="84">
        <v>0.0</v>
      </c>
      <c r="S406" s="84">
        <v>0.0</v>
      </c>
      <c r="T406" s="84">
        <v>0.0</v>
      </c>
      <c r="U406" s="84">
        <v>0.0</v>
      </c>
      <c r="V406" s="84">
        <v>0.0</v>
      </c>
      <c r="W406" s="84">
        <v>0.0</v>
      </c>
      <c r="X406" s="84">
        <v>0.0</v>
      </c>
      <c r="Y406" s="84">
        <v>0.0</v>
      </c>
      <c r="Z406" s="84">
        <v>0.0</v>
      </c>
      <c r="AA406" s="84">
        <v>0.0</v>
      </c>
      <c r="AB406" s="84">
        <v>6.0</v>
      </c>
      <c r="AC406" s="91">
        <v>0.0</v>
      </c>
      <c r="AD406" s="84">
        <v>0.0</v>
      </c>
      <c r="AE406" s="84">
        <v>0.0</v>
      </c>
      <c r="AF406" s="84">
        <v>0.0</v>
      </c>
      <c r="AG406" s="84">
        <v>0.0</v>
      </c>
      <c r="AH406" s="84">
        <v>0.0</v>
      </c>
      <c r="AI406" s="84">
        <v>0.0</v>
      </c>
      <c r="AJ406" s="84">
        <v>0.0</v>
      </c>
      <c r="AK406" s="84">
        <v>0.0</v>
      </c>
      <c r="AL406" s="84">
        <v>0.0</v>
      </c>
      <c r="AM406" s="84">
        <v>0.0</v>
      </c>
      <c r="AN406" s="93">
        <f t="shared" si="1"/>
        <v>0</v>
      </c>
      <c r="AO406" s="84">
        <f t="shared" si="2"/>
        <v>0</v>
      </c>
    </row>
    <row r="407" ht="12.75" customHeight="1">
      <c r="A407" s="84" t="s">
        <v>4575</v>
      </c>
      <c r="B407" s="84">
        <v>0.0</v>
      </c>
      <c r="C407" s="84">
        <v>0.0</v>
      </c>
      <c r="D407" s="84">
        <v>0.0</v>
      </c>
      <c r="E407" s="84">
        <v>0.0</v>
      </c>
      <c r="F407" s="84">
        <v>0.0</v>
      </c>
      <c r="G407" s="84">
        <v>0.0</v>
      </c>
      <c r="H407" s="84">
        <v>0.0</v>
      </c>
      <c r="I407" s="91">
        <v>0.0</v>
      </c>
      <c r="J407" s="84">
        <v>0.0</v>
      </c>
      <c r="K407" s="84">
        <v>0.0</v>
      </c>
      <c r="L407" s="84">
        <v>0.0</v>
      </c>
      <c r="M407" s="84">
        <v>0.0</v>
      </c>
      <c r="N407" s="84">
        <v>0.0</v>
      </c>
      <c r="O407" s="84">
        <v>0.0</v>
      </c>
      <c r="P407" s="84">
        <v>0.0</v>
      </c>
      <c r="Q407" s="84">
        <v>1.0</v>
      </c>
      <c r="R407" s="84">
        <v>0.0</v>
      </c>
      <c r="S407" s="84">
        <v>0.0</v>
      </c>
      <c r="T407" s="84">
        <v>0.0</v>
      </c>
      <c r="U407" s="84">
        <v>0.0</v>
      </c>
      <c r="V407" s="84">
        <v>0.0</v>
      </c>
      <c r="W407" s="84">
        <v>0.0</v>
      </c>
      <c r="X407" s="84">
        <v>0.0</v>
      </c>
      <c r="Y407" s="84">
        <v>0.0</v>
      </c>
      <c r="Z407" s="84">
        <v>0.0</v>
      </c>
      <c r="AA407" s="84">
        <v>0.0</v>
      </c>
      <c r="AB407" s="84">
        <v>0.0</v>
      </c>
      <c r="AC407" s="91">
        <v>0.0</v>
      </c>
      <c r="AD407" s="84">
        <v>0.0</v>
      </c>
      <c r="AE407" s="84">
        <v>0.0</v>
      </c>
      <c r="AF407" s="84">
        <v>0.0</v>
      </c>
      <c r="AG407" s="84">
        <v>0.0</v>
      </c>
      <c r="AH407" s="84">
        <v>0.0</v>
      </c>
      <c r="AI407" s="84">
        <v>0.0</v>
      </c>
      <c r="AJ407" s="84">
        <v>0.0</v>
      </c>
      <c r="AK407" s="84">
        <v>0.0</v>
      </c>
      <c r="AL407" s="84">
        <v>0.0</v>
      </c>
      <c r="AM407" s="84">
        <v>0.0</v>
      </c>
      <c r="AN407" s="93">
        <f t="shared" si="1"/>
        <v>0</v>
      </c>
      <c r="AO407" s="84">
        <f t="shared" si="2"/>
        <v>1</v>
      </c>
    </row>
    <row r="408" ht="12.75" customHeight="1">
      <c r="A408" s="84" t="s">
        <v>3127</v>
      </c>
      <c r="B408" s="84">
        <v>0.0</v>
      </c>
      <c r="C408" s="84">
        <v>5.0</v>
      </c>
      <c r="D408" s="84">
        <v>0.0</v>
      </c>
      <c r="E408" s="84">
        <v>0.0</v>
      </c>
      <c r="F408" s="84">
        <v>0.0</v>
      </c>
      <c r="G408" s="84">
        <v>0.0</v>
      </c>
      <c r="H408" s="84">
        <v>0.0</v>
      </c>
      <c r="I408" s="91">
        <v>0.0</v>
      </c>
      <c r="J408" s="84">
        <v>0.0</v>
      </c>
      <c r="K408" s="84">
        <v>0.0</v>
      </c>
      <c r="L408" s="84">
        <v>0.0</v>
      </c>
      <c r="M408" s="84">
        <v>0.0</v>
      </c>
      <c r="N408" s="84">
        <v>0.0</v>
      </c>
      <c r="O408" s="84">
        <v>0.0</v>
      </c>
      <c r="P408" s="84">
        <v>0.0</v>
      </c>
      <c r="Q408" s="84">
        <v>0.0</v>
      </c>
      <c r="R408" s="84">
        <v>0.0</v>
      </c>
      <c r="S408" s="84">
        <v>0.0</v>
      </c>
      <c r="T408" s="84">
        <v>0.0</v>
      </c>
      <c r="U408" s="84">
        <v>0.0</v>
      </c>
      <c r="V408" s="84">
        <v>0.0</v>
      </c>
      <c r="W408" s="84">
        <v>3.0</v>
      </c>
      <c r="X408" s="84">
        <v>4.0</v>
      </c>
      <c r="Y408" s="84">
        <v>0.0</v>
      </c>
      <c r="Z408" s="84">
        <v>0.0</v>
      </c>
      <c r="AA408" s="84">
        <v>0.0</v>
      </c>
      <c r="AB408" s="84">
        <v>0.0</v>
      </c>
      <c r="AC408" s="91">
        <v>0.0</v>
      </c>
      <c r="AD408" s="84">
        <v>0.0</v>
      </c>
      <c r="AE408" s="84">
        <v>0.0</v>
      </c>
      <c r="AF408" s="84">
        <v>0.0</v>
      </c>
      <c r="AG408" s="84">
        <v>0.0</v>
      </c>
      <c r="AH408" s="84">
        <v>0.0</v>
      </c>
      <c r="AI408" s="84">
        <v>0.0</v>
      </c>
      <c r="AJ408" s="84">
        <v>0.0</v>
      </c>
      <c r="AK408" s="84">
        <v>0.0</v>
      </c>
      <c r="AL408" s="84">
        <v>0.0</v>
      </c>
      <c r="AM408" s="84">
        <v>0.0</v>
      </c>
      <c r="AN408" s="93">
        <f t="shared" si="1"/>
        <v>0</v>
      </c>
      <c r="AO408" s="84">
        <f t="shared" si="2"/>
        <v>0</v>
      </c>
    </row>
    <row r="409" ht="12.75" customHeight="1">
      <c r="A409" s="84" t="s">
        <v>3727</v>
      </c>
      <c r="B409" s="84">
        <v>0.0</v>
      </c>
      <c r="C409" s="84">
        <v>0.0</v>
      </c>
      <c r="D409" s="84">
        <v>0.0</v>
      </c>
      <c r="E409" s="84">
        <v>0.0</v>
      </c>
      <c r="F409" s="84">
        <v>0.0</v>
      </c>
      <c r="G409" s="84">
        <v>5.0</v>
      </c>
      <c r="H409" s="84">
        <v>2.0</v>
      </c>
      <c r="I409" s="91">
        <v>0.0</v>
      </c>
      <c r="J409" s="84">
        <v>0.0</v>
      </c>
      <c r="K409" s="84">
        <v>0.0</v>
      </c>
      <c r="L409" s="84">
        <v>0.0</v>
      </c>
      <c r="M409" s="84">
        <v>0.0</v>
      </c>
      <c r="N409" s="84">
        <v>0.0</v>
      </c>
      <c r="O409" s="84">
        <v>0.0</v>
      </c>
      <c r="P409" s="84">
        <v>0.0</v>
      </c>
      <c r="Q409" s="84">
        <v>0.0</v>
      </c>
      <c r="R409" s="84">
        <v>0.0</v>
      </c>
      <c r="S409" s="84">
        <v>0.0</v>
      </c>
      <c r="T409" s="84">
        <v>0.0</v>
      </c>
      <c r="U409" s="84">
        <v>0.0</v>
      </c>
      <c r="V409" s="84">
        <v>0.0</v>
      </c>
      <c r="W409" s="84">
        <v>0.0</v>
      </c>
      <c r="X409" s="84">
        <v>0.0</v>
      </c>
      <c r="Y409" s="84">
        <v>0.0</v>
      </c>
      <c r="Z409" s="84">
        <v>0.0</v>
      </c>
      <c r="AA409" s="84">
        <v>6.0</v>
      </c>
      <c r="AB409" s="84">
        <v>5.0</v>
      </c>
      <c r="AC409" s="91">
        <v>0.0</v>
      </c>
      <c r="AD409" s="84">
        <v>0.0</v>
      </c>
      <c r="AE409" s="84">
        <v>0.0</v>
      </c>
      <c r="AF409" s="84">
        <v>0.0</v>
      </c>
      <c r="AG409" s="84">
        <v>0.0</v>
      </c>
      <c r="AH409" s="84">
        <v>0.0</v>
      </c>
      <c r="AI409" s="84">
        <v>0.0</v>
      </c>
      <c r="AJ409" s="84">
        <v>0.0</v>
      </c>
      <c r="AK409" s="84">
        <v>0.0</v>
      </c>
      <c r="AL409" s="84">
        <v>0.0</v>
      </c>
      <c r="AM409" s="84">
        <v>0.0</v>
      </c>
      <c r="AN409" s="93">
        <f t="shared" si="1"/>
        <v>0</v>
      </c>
      <c r="AO409" s="84">
        <f t="shared" si="2"/>
        <v>0</v>
      </c>
    </row>
    <row r="410" ht="12.75" customHeight="1">
      <c r="A410" s="84" t="s">
        <v>4479</v>
      </c>
      <c r="B410" s="84">
        <v>0.0</v>
      </c>
      <c r="C410" s="84">
        <v>0.0</v>
      </c>
      <c r="D410" s="84">
        <v>0.0</v>
      </c>
      <c r="E410" s="84">
        <v>0.0</v>
      </c>
      <c r="F410" s="84">
        <v>0.0</v>
      </c>
      <c r="G410" s="84">
        <v>0.0</v>
      </c>
      <c r="H410" s="84">
        <v>0.0</v>
      </c>
      <c r="I410" s="91">
        <v>0.0</v>
      </c>
      <c r="J410" s="84">
        <v>0.0</v>
      </c>
      <c r="K410" s="84">
        <v>0.0</v>
      </c>
      <c r="L410" s="84">
        <v>0.0</v>
      </c>
      <c r="M410" s="84">
        <v>0.0</v>
      </c>
      <c r="N410" s="84">
        <v>0.0</v>
      </c>
      <c r="O410" s="84">
        <v>0.0</v>
      </c>
      <c r="P410" s="84">
        <v>0.0</v>
      </c>
      <c r="Q410" s="84">
        <v>0.0</v>
      </c>
      <c r="R410" s="84">
        <v>0.0</v>
      </c>
      <c r="S410" s="84">
        <v>0.0</v>
      </c>
      <c r="T410" s="84">
        <v>0.0</v>
      </c>
      <c r="U410" s="84">
        <v>0.0</v>
      </c>
      <c r="V410" s="84">
        <v>0.0</v>
      </c>
      <c r="W410" s="84">
        <v>0.0</v>
      </c>
      <c r="X410" s="84">
        <v>0.0</v>
      </c>
      <c r="Y410" s="84">
        <v>0.0</v>
      </c>
      <c r="Z410" s="84">
        <v>0.0</v>
      </c>
      <c r="AA410" s="84">
        <v>0.0</v>
      </c>
      <c r="AB410" s="84">
        <v>0.0</v>
      </c>
      <c r="AC410" s="91">
        <v>0.0</v>
      </c>
      <c r="AD410" s="84">
        <v>0.0</v>
      </c>
      <c r="AE410" s="84">
        <v>1.0</v>
      </c>
      <c r="AF410" s="84">
        <v>0.0</v>
      </c>
      <c r="AG410" s="84">
        <v>0.0</v>
      </c>
      <c r="AH410" s="84">
        <v>0.0</v>
      </c>
      <c r="AI410" s="84">
        <v>0.0</v>
      </c>
      <c r="AJ410" s="84">
        <v>0.0</v>
      </c>
      <c r="AK410" s="84">
        <v>0.0</v>
      </c>
      <c r="AL410" s="84">
        <v>0.0</v>
      </c>
      <c r="AM410" s="84">
        <v>0.0</v>
      </c>
      <c r="AN410" s="93">
        <f t="shared" si="1"/>
        <v>0</v>
      </c>
      <c r="AO410" s="84">
        <f t="shared" si="2"/>
        <v>1</v>
      </c>
    </row>
    <row r="411" ht="12.75" customHeight="1">
      <c r="A411" s="84" t="s">
        <v>4487</v>
      </c>
      <c r="B411" s="84">
        <v>0.0</v>
      </c>
      <c r="C411" s="84">
        <v>0.0</v>
      </c>
      <c r="D411" s="84">
        <v>0.0</v>
      </c>
      <c r="E411" s="84">
        <v>0.0</v>
      </c>
      <c r="F411" s="84">
        <v>0.0</v>
      </c>
      <c r="G411" s="84">
        <v>0.0</v>
      </c>
      <c r="H411" s="84">
        <v>0.0</v>
      </c>
      <c r="I411" s="91">
        <v>0.0</v>
      </c>
      <c r="J411" s="84">
        <v>0.0</v>
      </c>
      <c r="K411" s="84">
        <v>0.0</v>
      </c>
      <c r="L411" s="84">
        <v>0.0</v>
      </c>
      <c r="M411" s="84">
        <v>0.0</v>
      </c>
      <c r="N411" s="84">
        <v>0.0</v>
      </c>
      <c r="O411" s="84">
        <v>0.0</v>
      </c>
      <c r="P411" s="84">
        <v>0.0</v>
      </c>
      <c r="Q411" s="84">
        <v>0.0</v>
      </c>
      <c r="R411" s="84">
        <v>0.0</v>
      </c>
      <c r="S411" s="84">
        <v>0.0</v>
      </c>
      <c r="T411" s="84">
        <v>0.0</v>
      </c>
      <c r="U411" s="84">
        <v>0.0</v>
      </c>
      <c r="V411" s="84">
        <v>0.0</v>
      </c>
      <c r="W411" s="84">
        <v>0.0</v>
      </c>
      <c r="X411" s="84">
        <v>0.0</v>
      </c>
      <c r="Y411" s="84">
        <v>0.0</v>
      </c>
      <c r="Z411" s="84">
        <v>0.0</v>
      </c>
      <c r="AA411" s="84">
        <v>0.0</v>
      </c>
      <c r="AB411" s="84">
        <v>0.0</v>
      </c>
      <c r="AC411" s="91">
        <v>0.0</v>
      </c>
      <c r="AD411" s="84">
        <v>0.0</v>
      </c>
      <c r="AE411" s="84">
        <v>1.0</v>
      </c>
      <c r="AF411" s="84">
        <v>0.0</v>
      </c>
      <c r="AG411" s="84">
        <v>0.0</v>
      </c>
      <c r="AH411" s="84">
        <v>0.0</v>
      </c>
      <c r="AI411" s="84">
        <v>0.0</v>
      </c>
      <c r="AJ411" s="84">
        <v>0.0</v>
      </c>
      <c r="AK411" s="84">
        <v>0.0</v>
      </c>
      <c r="AL411" s="84">
        <v>0.0</v>
      </c>
      <c r="AM411" s="84">
        <v>0.0</v>
      </c>
      <c r="AN411" s="93">
        <f t="shared" si="1"/>
        <v>0</v>
      </c>
      <c r="AO411" s="84">
        <f t="shared" si="2"/>
        <v>1</v>
      </c>
    </row>
    <row r="412" ht="12.75" customHeight="1">
      <c r="A412" s="84" t="s">
        <v>3737</v>
      </c>
      <c r="B412" s="84">
        <v>0.0</v>
      </c>
      <c r="C412" s="84">
        <v>0.0</v>
      </c>
      <c r="D412" s="84">
        <v>0.0</v>
      </c>
      <c r="E412" s="84">
        <v>0.0</v>
      </c>
      <c r="F412" s="84">
        <v>0.0</v>
      </c>
      <c r="G412" s="84">
        <v>4.0</v>
      </c>
      <c r="H412" s="84">
        <v>0.0</v>
      </c>
      <c r="I412" s="91">
        <v>0.0</v>
      </c>
      <c r="J412" s="84">
        <v>0.0</v>
      </c>
      <c r="K412" s="84">
        <v>0.0</v>
      </c>
      <c r="L412" s="84">
        <v>0.0</v>
      </c>
      <c r="M412" s="84">
        <v>0.0</v>
      </c>
      <c r="N412" s="84">
        <v>0.0</v>
      </c>
      <c r="O412" s="84">
        <v>0.0</v>
      </c>
      <c r="P412" s="84">
        <v>0.0</v>
      </c>
      <c r="Q412" s="84">
        <v>0.0</v>
      </c>
      <c r="R412" s="84">
        <v>0.0</v>
      </c>
      <c r="S412" s="84">
        <v>0.0</v>
      </c>
      <c r="T412" s="84">
        <v>0.0</v>
      </c>
      <c r="U412" s="84">
        <v>0.0</v>
      </c>
      <c r="V412" s="84">
        <v>0.0</v>
      </c>
      <c r="W412" s="84">
        <v>0.0</v>
      </c>
      <c r="X412" s="84">
        <v>0.0</v>
      </c>
      <c r="Y412" s="84">
        <v>0.0</v>
      </c>
      <c r="Z412" s="84">
        <v>0.0</v>
      </c>
      <c r="AA412" s="84">
        <v>6.0</v>
      </c>
      <c r="AB412" s="84">
        <v>1.0</v>
      </c>
      <c r="AC412" s="91">
        <v>0.0</v>
      </c>
      <c r="AD412" s="84">
        <v>0.0</v>
      </c>
      <c r="AE412" s="84">
        <v>0.0</v>
      </c>
      <c r="AF412" s="84">
        <v>0.0</v>
      </c>
      <c r="AG412" s="84">
        <v>0.0</v>
      </c>
      <c r="AH412" s="84">
        <v>0.0</v>
      </c>
      <c r="AI412" s="84">
        <v>0.0</v>
      </c>
      <c r="AJ412" s="84">
        <v>0.0</v>
      </c>
      <c r="AK412" s="84">
        <v>0.0</v>
      </c>
      <c r="AL412" s="84">
        <v>0.0</v>
      </c>
      <c r="AM412" s="84">
        <v>0.0</v>
      </c>
      <c r="AN412" s="93">
        <f t="shared" si="1"/>
        <v>0</v>
      </c>
      <c r="AO412" s="84">
        <f t="shared" si="2"/>
        <v>0</v>
      </c>
    </row>
    <row r="413" ht="12.75" customHeight="1">
      <c r="A413" s="84" t="s">
        <v>4354</v>
      </c>
      <c r="B413" s="84">
        <v>0.0</v>
      </c>
      <c r="C413" s="84">
        <v>0.0</v>
      </c>
      <c r="D413" s="84">
        <v>0.0</v>
      </c>
      <c r="E413" s="84">
        <v>0.0</v>
      </c>
      <c r="F413" s="84">
        <v>0.0</v>
      </c>
      <c r="G413" s="84">
        <v>0.0</v>
      </c>
      <c r="H413" s="84">
        <v>0.0</v>
      </c>
      <c r="I413" s="91">
        <v>0.0</v>
      </c>
      <c r="J413" s="84">
        <v>0.0</v>
      </c>
      <c r="K413" s="84">
        <v>0.0</v>
      </c>
      <c r="L413" s="84">
        <v>0.0</v>
      </c>
      <c r="M413" s="84">
        <v>0.0</v>
      </c>
      <c r="N413" s="84">
        <v>0.0</v>
      </c>
      <c r="O413" s="84">
        <v>0.0</v>
      </c>
      <c r="P413" s="84">
        <v>0.0</v>
      </c>
      <c r="Q413" s="84">
        <v>0.0</v>
      </c>
      <c r="R413" s="84">
        <v>0.0</v>
      </c>
      <c r="S413" s="84">
        <v>0.0</v>
      </c>
      <c r="T413" s="84">
        <v>0.0</v>
      </c>
      <c r="U413" s="84">
        <v>0.0</v>
      </c>
      <c r="V413" s="84">
        <v>0.0</v>
      </c>
      <c r="W413" s="84">
        <v>0.0</v>
      </c>
      <c r="X413" s="84">
        <v>0.0</v>
      </c>
      <c r="Y413" s="84">
        <v>0.0</v>
      </c>
      <c r="Z413" s="84">
        <v>0.0</v>
      </c>
      <c r="AA413" s="84">
        <v>0.0</v>
      </c>
      <c r="AB413" s="84">
        <v>0.0</v>
      </c>
      <c r="AC413" s="91">
        <v>0.0</v>
      </c>
      <c r="AD413" s="84">
        <v>0.0</v>
      </c>
      <c r="AE413" s="84">
        <v>0.0</v>
      </c>
      <c r="AF413" s="84">
        <v>0.0</v>
      </c>
      <c r="AG413" s="84">
        <v>0.0</v>
      </c>
      <c r="AH413" s="84">
        <v>0.0</v>
      </c>
      <c r="AI413" s="84">
        <v>0.0</v>
      </c>
      <c r="AJ413" s="84">
        <v>0.0</v>
      </c>
      <c r="AK413" s="84">
        <v>0.0</v>
      </c>
      <c r="AL413" s="84">
        <v>0.0</v>
      </c>
      <c r="AM413" s="84">
        <v>0.0</v>
      </c>
      <c r="AN413" s="93">
        <f t="shared" si="1"/>
        <v>0</v>
      </c>
      <c r="AO413" s="84">
        <f t="shared" si="2"/>
        <v>0</v>
      </c>
    </row>
    <row r="414" ht="12.75" customHeight="1">
      <c r="A414" s="84" t="s">
        <v>3705</v>
      </c>
      <c r="B414" s="84">
        <v>0.0</v>
      </c>
      <c r="C414" s="84">
        <v>0.0</v>
      </c>
      <c r="D414" s="84">
        <v>0.0</v>
      </c>
      <c r="E414" s="84">
        <v>0.0</v>
      </c>
      <c r="F414" s="84">
        <v>6.0</v>
      </c>
      <c r="G414" s="84">
        <v>2.0</v>
      </c>
      <c r="H414" s="84">
        <v>0.0</v>
      </c>
      <c r="I414" s="91">
        <v>0.0</v>
      </c>
      <c r="J414" s="84">
        <v>0.0</v>
      </c>
      <c r="K414" s="84">
        <v>0.0</v>
      </c>
      <c r="L414" s="84">
        <v>0.0</v>
      </c>
      <c r="M414" s="84">
        <v>0.0</v>
      </c>
      <c r="N414" s="84">
        <v>0.0</v>
      </c>
      <c r="O414" s="84">
        <v>0.0</v>
      </c>
      <c r="P414" s="84">
        <v>0.0</v>
      </c>
      <c r="Q414" s="84">
        <v>0.0</v>
      </c>
      <c r="R414" s="84">
        <v>0.0</v>
      </c>
      <c r="S414" s="84">
        <v>0.0</v>
      </c>
      <c r="T414" s="84">
        <v>0.0</v>
      </c>
      <c r="U414" s="84">
        <v>0.0</v>
      </c>
      <c r="V414" s="84">
        <v>0.0</v>
      </c>
      <c r="W414" s="84">
        <v>0.0</v>
      </c>
      <c r="X414" s="84">
        <v>0.0</v>
      </c>
      <c r="Y414" s="84">
        <v>0.0</v>
      </c>
      <c r="Z414" s="84">
        <v>6.0</v>
      </c>
      <c r="AA414" s="84">
        <v>1.0</v>
      </c>
      <c r="AB414" s="84">
        <v>0.0</v>
      </c>
      <c r="AC414" s="91">
        <v>0.0</v>
      </c>
      <c r="AD414" s="84">
        <v>0.0</v>
      </c>
      <c r="AE414" s="84">
        <v>0.0</v>
      </c>
      <c r="AF414" s="84">
        <v>0.0</v>
      </c>
      <c r="AG414" s="84">
        <v>0.0</v>
      </c>
      <c r="AH414" s="84">
        <v>0.0</v>
      </c>
      <c r="AI414" s="84">
        <v>0.0</v>
      </c>
      <c r="AJ414" s="84">
        <v>0.0</v>
      </c>
      <c r="AK414" s="84">
        <v>0.0</v>
      </c>
      <c r="AL414" s="84">
        <v>0.0</v>
      </c>
      <c r="AM414" s="84">
        <v>0.0</v>
      </c>
      <c r="AN414" s="93">
        <f t="shared" si="1"/>
        <v>0</v>
      </c>
      <c r="AO414" s="84">
        <f t="shared" si="2"/>
        <v>0</v>
      </c>
    </row>
    <row r="415" ht="12.75" customHeight="1">
      <c r="A415" s="84" t="s">
        <v>3775</v>
      </c>
      <c r="B415" s="84">
        <v>0.0</v>
      </c>
      <c r="C415" s="84">
        <v>0.0</v>
      </c>
      <c r="D415" s="84">
        <v>0.0</v>
      </c>
      <c r="E415" s="84">
        <v>0.0</v>
      </c>
      <c r="F415" s="84">
        <v>0.0</v>
      </c>
      <c r="G415" s="84">
        <v>4.0</v>
      </c>
      <c r="H415" s="84">
        <v>2.0</v>
      </c>
      <c r="I415" s="91">
        <v>0.0</v>
      </c>
      <c r="J415" s="84">
        <v>0.0</v>
      </c>
      <c r="K415" s="84">
        <v>0.0</v>
      </c>
      <c r="L415" s="84">
        <v>0.0</v>
      </c>
      <c r="M415" s="84">
        <v>0.0</v>
      </c>
      <c r="N415" s="84">
        <v>0.0</v>
      </c>
      <c r="O415" s="84">
        <v>0.0</v>
      </c>
      <c r="P415" s="84">
        <v>0.0</v>
      </c>
      <c r="Q415" s="84">
        <v>0.0</v>
      </c>
      <c r="R415" s="84">
        <v>0.0</v>
      </c>
      <c r="S415" s="84">
        <v>0.0</v>
      </c>
      <c r="T415" s="84">
        <v>0.0</v>
      </c>
      <c r="U415" s="84">
        <v>0.0</v>
      </c>
      <c r="V415" s="84">
        <v>0.0</v>
      </c>
      <c r="W415" s="84">
        <v>0.0</v>
      </c>
      <c r="X415" s="84">
        <v>0.0</v>
      </c>
      <c r="Y415" s="84">
        <v>0.0</v>
      </c>
      <c r="Z415" s="84">
        <v>0.0</v>
      </c>
      <c r="AA415" s="84">
        <v>6.0</v>
      </c>
      <c r="AB415" s="84">
        <v>0.0</v>
      </c>
      <c r="AC415" s="91">
        <v>0.0</v>
      </c>
      <c r="AD415" s="84">
        <v>0.0</v>
      </c>
      <c r="AE415" s="84">
        <v>0.0</v>
      </c>
      <c r="AF415" s="84">
        <v>0.0</v>
      </c>
      <c r="AG415" s="84">
        <v>0.0</v>
      </c>
      <c r="AH415" s="84">
        <v>0.0</v>
      </c>
      <c r="AI415" s="84">
        <v>0.0</v>
      </c>
      <c r="AJ415" s="84">
        <v>0.0</v>
      </c>
      <c r="AK415" s="84">
        <v>0.0</v>
      </c>
      <c r="AL415" s="84">
        <v>0.0</v>
      </c>
      <c r="AM415" s="84">
        <v>0.0</v>
      </c>
      <c r="AN415" s="93">
        <f t="shared" si="1"/>
        <v>0</v>
      </c>
      <c r="AO415" s="84">
        <f t="shared" si="2"/>
        <v>0</v>
      </c>
    </row>
    <row r="416" ht="12.75" customHeight="1">
      <c r="A416" s="84" t="s">
        <v>3124</v>
      </c>
      <c r="B416" s="84">
        <v>0.0</v>
      </c>
      <c r="C416" s="84">
        <v>4.0</v>
      </c>
      <c r="D416" s="84">
        <v>5.0</v>
      </c>
      <c r="E416" s="84">
        <v>0.0</v>
      </c>
      <c r="F416" s="84">
        <v>0.0</v>
      </c>
      <c r="G416" s="84">
        <v>0.0</v>
      </c>
      <c r="H416" s="84">
        <v>0.0</v>
      </c>
      <c r="I416" s="91">
        <v>0.0</v>
      </c>
      <c r="J416" s="84">
        <v>0.0</v>
      </c>
      <c r="K416" s="84">
        <v>0.0</v>
      </c>
      <c r="L416" s="84">
        <v>0.0</v>
      </c>
      <c r="M416" s="84">
        <v>0.0</v>
      </c>
      <c r="N416" s="84">
        <v>0.0</v>
      </c>
      <c r="O416" s="84">
        <v>0.0</v>
      </c>
      <c r="P416" s="84">
        <v>0.0</v>
      </c>
      <c r="Q416" s="84">
        <v>0.0</v>
      </c>
      <c r="R416" s="84">
        <v>0.0</v>
      </c>
      <c r="S416" s="84">
        <v>0.0</v>
      </c>
      <c r="T416" s="84">
        <v>0.0</v>
      </c>
      <c r="U416" s="84">
        <v>0.0</v>
      </c>
      <c r="V416" s="84">
        <v>0.0</v>
      </c>
      <c r="W416" s="84">
        <v>3.0</v>
      </c>
      <c r="X416" s="84">
        <v>2.0</v>
      </c>
      <c r="Y416" s="84">
        <v>0.0</v>
      </c>
      <c r="Z416" s="84">
        <v>0.0</v>
      </c>
      <c r="AA416" s="84">
        <v>0.0</v>
      </c>
      <c r="AB416" s="84">
        <v>0.0</v>
      </c>
      <c r="AC416" s="91">
        <v>0.0</v>
      </c>
      <c r="AD416" s="84">
        <v>0.0</v>
      </c>
      <c r="AE416" s="84">
        <v>0.0</v>
      </c>
      <c r="AF416" s="84">
        <v>0.0</v>
      </c>
      <c r="AG416" s="84">
        <v>0.0</v>
      </c>
      <c r="AH416" s="84">
        <v>0.0</v>
      </c>
      <c r="AI416" s="84">
        <v>0.0</v>
      </c>
      <c r="AJ416" s="84">
        <v>0.0</v>
      </c>
      <c r="AK416" s="84">
        <v>0.0</v>
      </c>
      <c r="AL416" s="84">
        <v>0.0</v>
      </c>
      <c r="AM416" s="84">
        <v>0.0</v>
      </c>
      <c r="AN416" s="93">
        <f t="shared" si="1"/>
        <v>0</v>
      </c>
      <c r="AO416" s="84">
        <f t="shared" si="2"/>
        <v>0</v>
      </c>
    </row>
    <row r="417" ht="12.75" customHeight="1">
      <c r="A417" s="84" t="s">
        <v>3408</v>
      </c>
      <c r="B417" s="84">
        <v>0.0</v>
      </c>
      <c r="C417" s="84">
        <v>0.0</v>
      </c>
      <c r="D417" s="84">
        <v>4.0</v>
      </c>
      <c r="E417" s="84">
        <v>1.0</v>
      </c>
      <c r="F417" s="84">
        <v>0.0</v>
      </c>
      <c r="G417" s="84">
        <v>0.0</v>
      </c>
      <c r="H417" s="84">
        <v>0.0</v>
      </c>
      <c r="I417" s="91">
        <v>0.0</v>
      </c>
      <c r="J417" s="84">
        <v>0.0</v>
      </c>
      <c r="K417" s="84">
        <v>0.0</v>
      </c>
      <c r="L417" s="84">
        <v>0.0</v>
      </c>
      <c r="M417" s="84">
        <v>0.0</v>
      </c>
      <c r="N417" s="84">
        <v>0.0</v>
      </c>
      <c r="O417" s="84">
        <v>0.0</v>
      </c>
      <c r="P417" s="84">
        <v>0.0</v>
      </c>
      <c r="Q417" s="84">
        <v>0.0</v>
      </c>
      <c r="R417" s="84">
        <v>0.0</v>
      </c>
      <c r="S417" s="84">
        <v>0.0</v>
      </c>
      <c r="T417" s="84">
        <v>0.0</v>
      </c>
      <c r="U417" s="84">
        <v>0.0</v>
      </c>
      <c r="V417" s="84">
        <v>0.0</v>
      </c>
      <c r="W417" s="84">
        <v>0.0</v>
      </c>
      <c r="X417" s="84">
        <v>6.0</v>
      </c>
      <c r="Y417" s="84">
        <v>2.0</v>
      </c>
      <c r="Z417" s="84">
        <v>0.0</v>
      </c>
      <c r="AA417" s="84">
        <v>0.0</v>
      </c>
      <c r="AB417" s="84">
        <v>0.0</v>
      </c>
      <c r="AC417" s="91">
        <v>0.0</v>
      </c>
      <c r="AD417" s="84">
        <v>0.0</v>
      </c>
      <c r="AE417" s="84">
        <v>0.0</v>
      </c>
      <c r="AF417" s="84">
        <v>0.0</v>
      </c>
      <c r="AG417" s="84">
        <v>0.0</v>
      </c>
      <c r="AH417" s="84">
        <v>0.0</v>
      </c>
      <c r="AI417" s="84">
        <v>0.0</v>
      </c>
      <c r="AJ417" s="84">
        <v>0.0</v>
      </c>
      <c r="AK417" s="84">
        <v>0.0</v>
      </c>
      <c r="AL417" s="84">
        <v>0.0</v>
      </c>
      <c r="AM417" s="84">
        <v>0.0</v>
      </c>
      <c r="AN417" s="93">
        <f t="shared" si="1"/>
        <v>0</v>
      </c>
      <c r="AO417" s="84">
        <f t="shared" si="2"/>
        <v>0</v>
      </c>
    </row>
    <row r="418" ht="12.75" customHeight="1">
      <c r="A418" s="84" t="s">
        <v>3925</v>
      </c>
      <c r="B418" s="84">
        <v>0.0</v>
      </c>
      <c r="C418" s="84">
        <v>0.0</v>
      </c>
      <c r="D418" s="84">
        <v>0.0</v>
      </c>
      <c r="E418" s="84">
        <v>0.0</v>
      </c>
      <c r="F418" s="84">
        <v>0.0</v>
      </c>
      <c r="G418" s="84">
        <v>0.0</v>
      </c>
      <c r="H418" s="84">
        <v>4.0</v>
      </c>
      <c r="I418" s="91">
        <v>0.0</v>
      </c>
      <c r="J418" s="84">
        <v>0.0</v>
      </c>
      <c r="K418" s="84">
        <v>0.0</v>
      </c>
      <c r="L418" s="84">
        <v>0.0</v>
      </c>
      <c r="M418" s="84">
        <v>0.0</v>
      </c>
      <c r="N418" s="84">
        <v>0.0</v>
      </c>
      <c r="O418" s="84">
        <v>0.0</v>
      </c>
      <c r="P418" s="84">
        <v>0.0</v>
      </c>
      <c r="Q418" s="84">
        <v>0.0</v>
      </c>
      <c r="R418" s="84">
        <v>0.0</v>
      </c>
      <c r="S418" s="84">
        <v>0.0</v>
      </c>
      <c r="T418" s="84">
        <v>0.0</v>
      </c>
      <c r="U418" s="84">
        <v>0.0</v>
      </c>
      <c r="V418" s="84">
        <v>0.0</v>
      </c>
      <c r="W418" s="84">
        <v>0.0</v>
      </c>
      <c r="X418" s="84">
        <v>0.0</v>
      </c>
      <c r="Y418" s="84">
        <v>0.0</v>
      </c>
      <c r="Z418" s="84">
        <v>0.0</v>
      </c>
      <c r="AA418" s="84">
        <v>0.0</v>
      </c>
      <c r="AB418" s="84">
        <v>6.0</v>
      </c>
      <c r="AC418" s="91">
        <v>0.0</v>
      </c>
      <c r="AD418" s="84">
        <v>0.0</v>
      </c>
      <c r="AE418" s="84">
        <v>0.0</v>
      </c>
      <c r="AF418" s="84">
        <v>0.0</v>
      </c>
      <c r="AG418" s="84">
        <v>0.0</v>
      </c>
      <c r="AH418" s="84">
        <v>0.0</v>
      </c>
      <c r="AI418" s="84">
        <v>0.0</v>
      </c>
      <c r="AJ418" s="84">
        <v>0.0</v>
      </c>
      <c r="AK418" s="84">
        <v>0.0</v>
      </c>
      <c r="AL418" s="84">
        <v>0.0</v>
      </c>
      <c r="AM418" s="84">
        <v>0.0</v>
      </c>
      <c r="AN418" s="93">
        <f t="shared" si="1"/>
        <v>0</v>
      </c>
      <c r="AO418" s="84">
        <f t="shared" si="2"/>
        <v>0</v>
      </c>
    </row>
    <row r="419" ht="12.75" customHeight="1">
      <c r="A419" s="84" t="s">
        <v>4586</v>
      </c>
      <c r="B419" s="84">
        <v>0.0</v>
      </c>
      <c r="C419" s="84">
        <v>0.0</v>
      </c>
      <c r="D419" s="84">
        <v>0.0</v>
      </c>
      <c r="E419" s="84">
        <v>0.0</v>
      </c>
      <c r="F419" s="84">
        <v>0.0</v>
      </c>
      <c r="G419" s="84">
        <v>0.0</v>
      </c>
      <c r="H419" s="84">
        <v>0.0</v>
      </c>
      <c r="I419" s="91">
        <v>0.0</v>
      </c>
      <c r="J419" s="84">
        <v>0.0</v>
      </c>
      <c r="K419" s="84">
        <v>0.0</v>
      </c>
      <c r="L419" s="84">
        <v>0.0</v>
      </c>
      <c r="M419" s="84">
        <v>0.0</v>
      </c>
      <c r="N419" s="84">
        <v>0.0</v>
      </c>
      <c r="O419" s="84">
        <v>0.0</v>
      </c>
      <c r="P419" s="84">
        <v>0.0</v>
      </c>
      <c r="Q419" s="84">
        <v>0.0</v>
      </c>
      <c r="R419" s="84">
        <v>0.0</v>
      </c>
      <c r="S419" s="84">
        <v>0.0</v>
      </c>
      <c r="T419" s="84">
        <v>0.0</v>
      </c>
      <c r="U419" s="84">
        <v>0.0</v>
      </c>
      <c r="V419" s="84">
        <v>0.0</v>
      </c>
      <c r="W419" s="84">
        <v>0.0</v>
      </c>
      <c r="X419" s="84">
        <v>0.0</v>
      </c>
      <c r="Y419" s="84">
        <v>0.0</v>
      </c>
      <c r="Z419" s="84">
        <v>0.0</v>
      </c>
      <c r="AA419" s="84">
        <v>0.0</v>
      </c>
      <c r="AB419" s="84">
        <v>0.0</v>
      </c>
      <c r="AC419" s="91">
        <v>0.0</v>
      </c>
      <c r="AD419" s="84">
        <v>0.0</v>
      </c>
      <c r="AE419" s="84">
        <v>0.0</v>
      </c>
      <c r="AF419" s="84">
        <v>0.0</v>
      </c>
      <c r="AG419" s="84">
        <v>0.0</v>
      </c>
      <c r="AH419" s="84">
        <v>0.0</v>
      </c>
      <c r="AI419" s="84">
        <v>1.0</v>
      </c>
      <c r="AJ419" s="84">
        <v>0.0</v>
      </c>
      <c r="AK419" s="84">
        <v>0.0</v>
      </c>
      <c r="AL419" s="84">
        <v>0.0</v>
      </c>
      <c r="AM419" s="84">
        <v>0.0</v>
      </c>
      <c r="AN419" s="93">
        <f t="shared" si="1"/>
        <v>0</v>
      </c>
      <c r="AO419" s="84">
        <f t="shared" si="2"/>
        <v>1</v>
      </c>
    </row>
    <row r="420" ht="12.75" customHeight="1">
      <c r="A420" s="84" t="s">
        <v>4590</v>
      </c>
      <c r="B420" s="84">
        <v>0.0</v>
      </c>
      <c r="C420" s="84">
        <v>0.0</v>
      </c>
      <c r="D420" s="84">
        <v>0.0</v>
      </c>
      <c r="E420" s="84">
        <v>0.0</v>
      </c>
      <c r="F420" s="84">
        <v>0.0</v>
      </c>
      <c r="G420" s="84">
        <v>0.0</v>
      </c>
      <c r="H420" s="84">
        <v>0.0</v>
      </c>
      <c r="I420" s="91">
        <v>0.0</v>
      </c>
      <c r="J420" s="84">
        <v>0.0</v>
      </c>
      <c r="K420" s="84">
        <v>0.0</v>
      </c>
      <c r="L420" s="84">
        <v>0.0</v>
      </c>
      <c r="M420" s="84">
        <v>0.0</v>
      </c>
      <c r="N420" s="84">
        <v>0.0</v>
      </c>
      <c r="O420" s="84">
        <v>0.0</v>
      </c>
      <c r="P420" s="84">
        <v>0.0</v>
      </c>
      <c r="Q420" s="84">
        <v>0.0</v>
      </c>
      <c r="R420" s="84">
        <v>0.0</v>
      </c>
      <c r="S420" s="84">
        <v>0.0</v>
      </c>
      <c r="T420" s="84">
        <v>0.0</v>
      </c>
      <c r="U420" s="84">
        <v>0.0</v>
      </c>
      <c r="V420" s="84">
        <v>0.0</v>
      </c>
      <c r="W420" s="84">
        <v>0.0</v>
      </c>
      <c r="X420" s="84">
        <v>0.0</v>
      </c>
      <c r="Y420" s="84">
        <v>0.0</v>
      </c>
      <c r="Z420" s="84">
        <v>0.0</v>
      </c>
      <c r="AA420" s="84">
        <v>0.0</v>
      </c>
      <c r="AB420" s="84">
        <v>0.0</v>
      </c>
      <c r="AC420" s="91">
        <v>0.0</v>
      </c>
      <c r="AD420" s="84">
        <v>0.0</v>
      </c>
      <c r="AE420" s="84">
        <v>0.0</v>
      </c>
      <c r="AF420" s="84">
        <v>0.0</v>
      </c>
      <c r="AG420" s="84">
        <v>0.0</v>
      </c>
      <c r="AH420" s="84">
        <v>0.0</v>
      </c>
      <c r="AI420" s="84">
        <v>1.0</v>
      </c>
      <c r="AJ420" s="84">
        <v>0.0</v>
      </c>
      <c r="AK420" s="84">
        <v>0.0</v>
      </c>
      <c r="AL420" s="84">
        <v>0.0</v>
      </c>
      <c r="AM420" s="84">
        <v>0.0</v>
      </c>
      <c r="AN420" s="93">
        <f t="shared" si="1"/>
        <v>0</v>
      </c>
      <c r="AO420" s="84">
        <f t="shared" si="2"/>
        <v>1</v>
      </c>
    </row>
    <row r="421" ht="12.75" customHeight="1">
      <c r="A421" s="84" t="s">
        <v>4581</v>
      </c>
      <c r="B421" s="84">
        <v>0.0</v>
      </c>
      <c r="C421" s="84">
        <v>0.0</v>
      </c>
      <c r="D421" s="84">
        <v>0.0</v>
      </c>
      <c r="E421" s="84">
        <v>0.0</v>
      </c>
      <c r="F421" s="84">
        <v>0.0</v>
      </c>
      <c r="G421" s="84">
        <v>0.0</v>
      </c>
      <c r="H421" s="84">
        <v>0.0</v>
      </c>
      <c r="I421" s="91">
        <v>0.0</v>
      </c>
      <c r="J421" s="84">
        <v>0.0</v>
      </c>
      <c r="K421" s="84">
        <v>0.0</v>
      </c>
      <c r="L421" s="84">
        <v>0.0</v>
      </c>
      <c r="M421" s="84">
        <v>0.0</v>
      </c>
      <c r="N421" s="84">
        <v>0.0</v>
      </c>
      <c r="O421" s="84">
        <v>0.0</v>
      </c>
      <c r="P421" s="84">
        <v>0.0</v>
      </c>
      <c r="Q421" s="84">
        <v>0.0</v>
      </c>
      <c r="R421" s="84">
        <v>0.0</v>
      </c>
      <c r="S421" s="84">
        <v>0.0</v>
      </c>
      <c r="T421" s="84">
        <v>0.0</v>
      </c>
      <c r="U421" s="84">
        <v>0.0</v>
      </c>
      <c r="V421" s="84">
        <v>0.0</v>
      </c>
      <c r="W421" s="84">
        <v>0.0</v>
      </c>
      <c r="X421" s="84">
        <v>0.0</v>
      </c>
      <c r="Y421" s="84">
        <v>0.0</v>
      </c>
      <c r="Z421" s="84">
        <v>0.0</v>
      </c>
      <c r="AA421" s="84">
        <v>0.0</v>
      </c>
      <c r="AB421" s="84">
        <v>0.0</v>
      </c>
      <c r="AC421" s="91">
        <v>0.0</v>
      </c>
      <c r="AD421" s="84">
        <v>0.0</v>
      </c>
      <c r="AE421" s="84">
        <v>0.0</v>
      </c>
      <c r="AF421" s="84">
        <v>0.0</v>
      </c>
      <c r="AG421" s="84">
        <v>0.0</v>
      </c>
      <c r="AH421" s="84">
        <v>0.0</v>
      </c>
      <c r="AI421" s="84">
        <v>1.0</v>
      </c>
      <c r="AJ421" s="84">
        <v>0.0</v>
      </c>
      <c r="AK421" s="84">
        <v>0.0</v>
      </c>
      <c r="AL421" s="84">
        <v>0.0</v>
      </c>
      <c r="AM421" s="84">
        <v>0.0</v>
      </c>
      <c r="AN421" s="93">
        <f t="shared" si="1"/>
        <v>0</v>
      </c>
      <c r="AO421" s="84">
        <f t="shared" si="2"/>
        <v>1</v>
      </c>
    </row>
    <row r="422" ht="12.75" customHeight="1">
      <c r="A422" s="84" t="s">
        <v>3212</v>
      </c>
      <c r="B422" s="84">
        <v>0.0</v>
      </c>
      <c r="C422" s="84">
        <v>5.0</v>
      </c>
      <c r="D422" s="84">
        <v>0.0</v>
      </c>
      <c r="E422" s="84">
        <v>0.0</v>
      </c>
      <c r="F422" s="84">
        <v>0.0</v>
      </c>
      <c r="G422" s="84">
        <v>0.0</v>
      </c>
      <c r="H422" s="84">
        <v>0.0</v>
      </c>
      <c r="I422" s="91">
        <v>0.0</v>
      </c>
      <c r="J422" s="84">
        <v>0.0</v>
      </c>
      <c r="K422" s="84">
        <v>0.0</v>
      </c>
      <c r="L422" s="84">
        <v>0.0</v>
      </c>
      <c r="M422" s="84">
        <v>0.0</v>
      </c>
      <c r="N422" s="84">
        <v>0.0</v>
      </c>
      <c r="O422" s="84">
        <v>0.0</v>
      </c>
      <c r="P422" s="84">
        <v>0.0</v>
      </c>
      <c r="Q422" s="84">
        <v>0.0</v>
      </c>
      <c r="R422" s="84">
        <v>0.0</v>
      </c>
      <c r="S422" s="84">
        <v>0.0</v>
      </c>
      <c r="T422" s="84">
        <v>0.0</v>
      </c>
      <c r="U422" s="84">
        <v>0.0</v>
      </c>
      <c r="V422" s="84">
        <v>0.0</v>
      </c>
      <c r="W422" s="84">
        <v>3.0</v>
      </c>
      <c r="X422" s="84">
        <v>1.0</v>
      </c>
      <c r="Y422" s="84">
        <v>0.0</v>
      </c>
      <c r="Z422" s="84">
        <v>0.0</v>
      </c>
      <c r="AA422" s="84">
        <v>0.0</v>
      </c>
      <c r="AB422" s="84">
        <v>0.0</v>
      </c>
      <c r="AC422" s="91">
        <v>0.0</v>
      </c>
      <c r="AD422" s="84">
        <v>0.0</v>
      </c>
      <c r="AE422" s="84">
        <v>0.0</v>
      </c>
      <c r="AF422" s="84">
        <v>0.0</v>
      </c>
      <c r="AG422" s="84">
        <v>0.0</v>
      </c>
      <c r="AH422" s="84">
        <v>0.0</v>
      </c>
      <c r="AI422" s="84">
        <v>0.0</v>
      </c>
      <c r="AJ422" s="84">
        <v>0.0</v>
      </c>
      <c r="AK422" s="84">
        <v>0.0</v>
      </c>
      <c r="AL422" s="84">
        <v>0.0</v>
      </c>
      <c r="AM422" s="84">
        <v>0.0</v>
      </c>
      <c r="AN422" s="93">
        <f t="shared" si="1"/>
        <v>0</v>
      </c>
      <c r="AO422" s="84">
        <f t="shared" si="2"/>
        <v>0</v>
      </c>
    </row>
    <row r="423" ht="12.75" customHeight="1">
      <c r="A423" s="84" t="s">
        <v>3750</v>
      </c>
      <c r="B423" s="84">
        <v>0.0</v>
      </c>
      <c r="C423" s="84">
        <v>0.0</v>
      </c>
      <c r="D423" s="84">
        <v>0.0</v>
      </c>
      <c r="E423" s="84">
        <v>0.0</v>
      </c>
      <c r="F423" s="84">
        <v>0.0</v>
      </c>
      <c r="G423" s="84">
        <v>6.0</v>
      </c>
      <c r="H423" s="84">
        <v>2.0</v>
      </c>
      <c r="I423" s="91">
        <v>0.0</v>
      </c>
      <c r="J423" s="84">
        <v>0.0</v>
      </c>
      <c r="K423" s="84">
        <v>0.0</v>
      </c>
      <c r="L423" s="84">
        <v>0.0</v>
      </c>
      <c r="M423" s="84">
        <v>0.0</v>
      </c>
      <c r="N423" s="84">
        <v>0.0</v>
      </c>
      <c r="O423" s="84">
        <v>0.0</v>
      </c>
      <c r="P423" s="84">
        <v>0.0</v>
      </c>
      <c r="Q423" s="84">
        <v>0.0</v>
      </c>
      <c r="R423" s="84">
        <v>0.0</v>
      </c>
      <c r="S423" s="84">
        <v>0.0</v>
      </c>
      <c r="T423" s="84">
        <v>0.0</v>
      </c>
      <c r="U423" s="84">
        <v>0.0</v>
      </c>
      <c r="V423" s="84">
        <v>0.0</v>
      </c>
      <c r="W423" s="84">
        <v>0.0</v>
      </c>
      <c r="X423" s="84">
        <v>0.0</v>
      </c>
      <c r="Y423" s="84">
        <v>0.0</v>
      </c>
      <c r="Z423" s="84">
        <v>0.0</v>
      </c>
      <c r="AA423" s="84">
        <v>6.0</v>
      </c>
      <c r="AB423" s="84">
        <v>1.0</v>
      </c>
      <c r="AC423" s="91">
        <v>0.0</v>
      </c>
      <c r="AD423" s="84">
        <v>0.0</v>
      </c>
      <c r="AE423" s="84">
        <v>0.0</v>
      </c>
      <c r="AF423" s="84">
        <v>0.0</v>
      </c>
      <c r="AG423" s="84">
        <v>0.0</v>
      </c>
      <c r="AH423" s="84">
        <v>0.0</v>
      </c>
      <c r="AI423" s="84">
        <v>0.0</v>
      </c>
      <c r="AJ423" s="84">
        <v>0.0</v>
      </c>
      <c r="AK423" s="84">
        <v>0.0</v>
      </c>
      <c r="AL423" s="84">
        <v>0.0</v>
      </c>
      <c r="AM423" s="84">
        <v>0.0</v>
      </c>
      <c r="AN423" s="93">
        <f t="shared" si="1"/>
        <v>0</v>
      </c>
      <c r="AO423" s="84">
        <f t="shared" si="2"/>
        <v>0</v>
      </c>
    </row>
    <row r="424" ht="12.75" customHeight="1">
      <c r="A424" s="84" t="s">
        <v>4523</v>
      </c>
      <c r="B424" s="84">
        <v>0.0</v>
      </c>
      <c r="C424" s="84">
        <v>0.0</v>
      </c>
      <c r="D424" s="84">
        <v>0.0</v>
      </c>
      <c r="E424" s="84">
        <v>0.0</v>
      </c>
      <c r="F424" s="84">
        <v>0.0</v>
      </c>
      <c r="G424" s="84">
        <v>0.0</v>
      </c>
      <c r="H424" s="84">
        <v>0.0</v>
      </c>
      <c r="I424" s="91">
        <v>0.0</v>
      </c>
      <c r="J424" s="84">
        <v>0.0</v>
      </c>
      <c r="K424" s="84">
        <v>0.0</v>
      </c>
      <c r="L424" s="84">
        <v>0.0</v>
      </c>
      <c r="M424" s="84">
        <v>0.0</v>
      </c>
      <c r="N424" s="84">
        <v>0.0</v>
      </c>
      <c r="O424" s="84">
        <v>1.0</v>
      </c>
      <c r="P424" s="84">
        <v>0.0</v>
      </c>
      <c r="Q424" s="84">
        <v>0.0</v>
      </c>
      <c r="R424" s="84">
        <v>0.0</v>
      </c>
      <c r="S424" s="84">
        <v>0.0</v>
      </c>
      <c r="T424" s="84">
        <v>0.0</v>
      </c>
      <c r="U424" s="84">
        <v>0.0</v>
      </c>
      <c r="V424" s="84">
        <v>0.0</v>
      </c>
      <c r="W424" s="84">
        <v>0.0</v>
      </c>
      <c r="X424" s="84">
        <v>0.0</v>
      </c>
      <c r="Y424" s="84">
        <v>0.0</v>
      </c>
      <c r="Z424" s="84">
        <v>0.0</v>
      </c>
      <c r="AA424" s="84">
        <v>0.0</v>
      </c>
      <c r="AB424" s="84">
        <v>0.0</v>
      </c>
      <c r="AC424" s="91">
        <v>0.0</v>
      </c>
      <c r="AD424" s="84">
        <v>0.0</v>
      </c>
      <c r="AE424" s="84">
        <v>0.0</v>
      </c>
      <c r="AF424" s="84">
        <v>0.0</v>
      </c>
      <c r="AG424" s="84">
        <v>0.0</v>
      </c>
      <c r="AH424" s="84">
        <v>0.0</v>
      </c>
      <c r="AI424" s="84">
        <v>0.0</v>
      </c>
      <c r="AJ424" s="84">
        <v>0.0</v>
      </c>
      <c r="AK424" s="84">
        <v>0.0</v>
      </c>
      <c r="AL424" s="84">
        <v>0.0</v>
      </c>
      <c r="AM424" s="84">
        <v>0.0</v>
      </c>
      <c r="AN424" s="93">
        <f t="shared" si="1"/>
        <v>0</v>
      </c>
      <c r="AO424" s="84">
        <f t="shared" si="2"/>
        <v>1</v>
      </c>
    </row>
    <row r="425" ht="12.75" customHeight="1">
      <c r="A425" s="84" t="s">
        <v>3019</v>
      </c>
      <c r="B425" s="84">
        <v>2.0</v>
      </c>
      <c r="C425" s="84">
        <v>0.0</v>
      </c>
      <c r="D425" s="84">
        <v>0.0</v>
      </c>
      <c r="E425" s="84">
        <v>0.0</v>
      </c>
      <c r="F425" s="84">
        <v>0.0</v>
      </c>
      <c r="G425" s="84">
        <v>0.0</v>
      </c>
      <c r="H425" s="84">
        <v>0.0</v>
      </c>
      <c r="I425" s="91">
        <v>0.0</v>
      </c>
      <c r="J425" s="84">
        <v>0.0</v>
      </c>
      <c r="K425" s="84">
        <v>0.0</v>
      </c>
      <c r="L425" s="84">
        <v>0.0</v>
      </c>
      <c r="M425" s="84">
        <v>0.0</v>
      </c>
      <c r="N425" s="84">
        <v>0.0</v>
      </c>
      <c r="O425" s="84">
        <v>0.0</v>
      </c>
      <c r="P425" s="84">
        <v>0.0</v>
      </c>
      <c r="Q425" s="84">
        <v>0.0</v>
      </c>
      <c r="R425" s="84">
        <v>0.0</v>
      </c>
      <c r="S425" s="84">
        <v>0.0</v>
      </c>
      <c r="T425" s="84">
        <v>0.0</v>
      </c>
      <c r="U425" s="84">
        <v>0.0</v>
      </c>
      <c r="V425" s="84">
        <v>3.0</v>
      </c>
      <c r="W425" s="84">
        <v>4.0</v>
      </c>
      <c r="X425" s="84">
        <v>0.0</v>
      </c>
      <c r="Y425" s="84">
        <v>0.0</v>
      </c>
      <c r="Z425" s="84">
        <v>0.0</v>
      </c>
      <c r="AA425" s="84">
        <v>0.0</v>
      </c>
      <c r="AB425" s="84">
        <v>0.0</v>
      </c>
      <c r="AC425" s="91">
        <v>0.0</v>
      </c>
      <c r="AD425" s="84">
        <v>0.0</v>
      </c>
      <c r="AE425" s="84">
        <v>0.0</v>
      </c>
      <c r="AF425" s="84">
        <v>0.0</v>
      </c>
      <c r="AG425" s="84">
        <v>0.0</v>
      </c>
      <c r="AH425" s="84">
        <v>0.0</v>
      </c>
      <c r="AI425" s="84">
        <v>0.0</v>
      </c>
      <c r="AJ425" s="84">
        <v>0.0</v>
      </c>
      <c r="AK425" s="84">
        <v>0.0</v>
      </c>
      <c r="AL425" s="84">
        <v>0.0</v>
      </c>
      <c r="AM425" s="84">
        <v>0.0</v>
      </c>
      <c r="AN425" s="93">
        <f t="shared" si="1"/>
        <v>0</v>
      </c>
      <c r="AO425" s="84">
        <f t="shared" si="2"/>
        <v>0</v>
      </c>
    </row>
    <row r="426" ht="12.75" customHeight="1">
      <c r="A426" s="84" t="s">
        <v>4564</v>
      </c>
      <c r="B426" s="84">
        <v>0.0</v>
      </c>
      <c r="C426" s="84">
        <v>0.0</v>
      </c>
      <c r="D426" s="84">
        <v>0.0</v>
      </c>
      <c r="E426" s="84">
        <v>0.0</v>
      </c>
      <c r="F426" s="84">
        <v>0.0</v>
      </c>
      <c r="G426" s="84">
        <v>0.0</v>
      </c>
      <c r="H426" s="84">
        <v>0.0</v>
      </c>
      <c r="I426" s="91">
        <v>0.0</v>
      </c>
      <c r="J426" s="84">
        <v>0.0</v>
      </c>
      <c r="K426" s="84">
        <v>0.0</v>
      </c>
      <c r="L426" s="84">
        <v>0.0</v>
      </c>
      <c r="M426" s="84">
        <v>0.0</v>
      </c>
      <c r="N426" s="84">
        <v>0.0</v>
      </c>
      <c r="O426" s="84">
        <v>0.0</v>
      </c>
      <c r="P426" s="84">
        <v>0.0</v>
      </c>
      <c r="Q426" s="84">
        <v>0.0</v>
      </c>
      <c r="R426" s="84">
        <v>0.0</v>
      </c>
      <c r="S426" s="84">
        <v>0.0</v>
      </c>
      <c r="T426" s="84">
        <v>0.0</v>
      </c>
      <c r="U426" s="84">
        <v>0.0</v>
      </c>
      <c r="V426" s="84">
        <v>0.0</v>
      </c>
      <c r="W426" s="84">
        <v>0.0</v>
      </c>
      <c r="X426" s="84">
        <v>0.0</v>
      </c>
      <c r="Y426" s="84">
        <v>0.0</v>
      </c>
      <c r="Z426" s="84">
        <v>0.0</v>
      </c>
      <c r="AA426" s="84">
        <v>0.0</v>
      </c>
      <c r="AB426" s="84">
        <v>0.0</v>
      </c>
      <c r="AC426" s="91">
        <v>0.0</v>
      </c>
      <c r="AD426" s="84">
        <v>0.0</v>
      </c>
      <c r="AE426" s="84">
        <v>0.0</v>
      </c>
      <c r="AF426" s="84">
        <v>0.0</v>
      </c>
      <c r="AG426" s="84">
        <v>0.0</v>
      </c>
      <c r="AH426" s="84">
        <v>1.0</v>
      </c>
      <c r="AI426" s="84">
        <v>0.0</v>
      </c>
      <c r="AJ426" s="84">
        <v>0.0</v>
      </c>
      <c r="AK426" s="84">
        <v>0.0</v>
      </c>
      <c r="AL426" s="84">
        <v>0.0</v>
      </c>
      <c r="AM426" s="84">
        <v>0.0</v>
      </c>
      <c r="AN426" s="93">
        <f t="shared" si="1"/>
        <v>0</v>
      </c>
      <c r="AO426" s="84">
        <f t="shared" si="2"/>
        <v>1</v>
      </c>
    </row>
    <row r="427" ht="12.75" customHeight="1">
      <c r="A427" s="84" t="s">
        <v>3283</v>
      </c>
      <c r="B427" s="84">
        <v>0.0</v>
      </c>
      <c r="C427" s="84">
        <v>7.0</v>
      </c>
      <c r="D427" s="84">
        <v>2.0</v>
      </c>
      <c r="E427" s="84">
        <v>0.0</v>
      </c>
      <c r="F427" s="84">
        <v>0.0</v>
      </c>
      <c r="G427" s="84">
        <v>0.0</v>
      </c>
      <c r="H427" s="84">
        <v>0.0</v>
      </c>
      <c r="I427" s="91">
        <v>0.0</v>
      </c>
      <c r="J427" s="84">
        <v>0.0</v>
      </c>
      <c r="K427" s="84">
        <v>0.0</v>
      </c>
      <c r="L427" s="84">
        <v>0.0</v>
      </c>
      <c r="M427" s="84">
        <v>0.0</v>
      </c>
      <c r="N427" s="84">
        <v>0.0</v>
      </c>
      <c r="O427" s="84">
        <v>0.0</v>
      </c>
      <c r="P427" s="84">
        <v>0.0</v>
      </c>
      <c r="Q427" s="84">
        <v>0.0</v>
      </c>
      <c r="R427" s="84">
        <v>0.0</v>
      </c>
      <c r="S427" s="84">
        <v>0.0</v>
      </c>
      <c r="T427" s="84">
        <v>0.0</v>
      </c>
      <c r="U427" s="84">
        <v>0.0</v>
      </c>
      <c r="V427" s="84">
        <v>0.0</v>
      </c>
      <c r="W427" s="84">
        <v>3.0</v>
      </c>
      <c r="X427" s="84">
        <v>1.0</v>
      </c>
      <c r="Y427" s="84">
        <v>0.0</v>
      </c>
      <c r="Z427" s="84">
        <v>0.0</v>
      </c>
      <c r="AA427" s="84">
        <v>0.0</v>
      </c>
      <c r="AB427" s="84">
        <v>0.0</v>
      </c>
      <c r="AC427" s="91">
        <v>0.0</v>
      </c>
      <c r="AD427" s="84">
        <v>0.0</v>
      </c>
      <c r="AE427" s="84">
        <v>0.0</v>
      </c>
      <c r="AF427" s="84">
        <v>0.0</v>
      </c>
      <c r="AG427" s="84">
        <v>0.0</v>
      </c>
      <c r="AH427" s="84">
        <v>0.0</v>
      </c>
      <c r="AI427" s="84">
        <v>0.0</v>
      </c>
      <c r="AJ427" s="84">
        <v>0.0</v>
      </c>
      <c r="AK427" s="84">
        <v>0.0</v>
      </c>
      <c r="AL427" s="84">
        <v>0.0</v>
      </c>
      <c r="AM427" s="84">
        <v>0.0</v>
      </c>
      <c r="AN427" s="93">
        <f t="shared" si="1"/>
        <v>0</v>
      </c>
      <c r="AO427" s="84">
        <f t="shared" si="2"/>
        <v>0</v>
      </c>
    </row>
    <row r="428" ht="12.75" customHeight="1">
      <c r="A428" s="84" t="s">
        <v>2916</v>
      </c>
      <c r="B428" s="84">
        <v>3.0</v>
      </c>
      <c r="C428" s="84">
        <v>0.0</v>
      </c>
      <c r="D428" s="84">
        <v>0.0</v>
      </c>
      <c r="E428" s="84">
        <v>0.0</v>
      </c>
      <c r="F428" s="84">
        <v>0.0</v>
      </c>
      <c r="G428" s="84">
        <v>0.0</v>
      </c>
      <c r="H428" s="84">
        <v>0.0</v>
      </c>
      <c r="I428" s="91">
        <v>0.0</v>
      </c>
      <c r="J428" s="84">
        <v>0.0</v>
      </c>
      <c r="K428" s="84">
        <v>0.0</v>
      </c>
      <c r="L428" s="84">
        <v>0.0</v>
      </c>
      <c r="M428" s="84">
        <v>0.0</v>
      </c>
      <c r="N428" s="84">
        <v>0.0</v>
      </c>
      <c r="O428" s="84">
        <v>0.0</v>
      </c>
      <c r="P428" s="84">
        <v>0.0</v>
      </c>
      <c r="Q428" s="84">
        <v>0.0</v>
      </c>
      <c r="R428" s="84">
        <v>0.0</v>
      </c>
      <c r="S428" s="84">
        <v>0.0</v>
      </c>
      <c r="T428" s="84">
        <v>0.0</v>
      </c>
      <c r="U428" s="84">
        <v>0.0</v>
      </c>
      <c r="V428" s="84">
        <v>3.0</v>
      </c>
      <c r="W428" s="84">
        <v>3.0</v>
      </c>
      <c r="X428" s="84">
        <v>0.0</v>
      </c>
      <c r="Y428" s="84">
        <v>0.0</v>
      </c>
      <c r="Z428" s="84">
        <v>0.0</v>
      </c>
      <c r="AA428" s="84">
        <v>0.0</v>
      </c>
      <c r="AB428" s="84">
        <v>0.0</v>
      </c>
      <c r="AC428" s="91">
        <v>0.0</v>
      </c>
      <c r="AD428" s="84">
        <v>0.0</v>
      </c>
      <c r="AE428" s="84">
        <v>0.0</v>
      </c>
      <c r="AF428" s="84">
        <v>0.0</v>
      </c>
      <c r="AG428" s="84">
        <v>0.0</v>
      </c>
      <c r="AH428" s="84">
        <v>0.0</v>
      </c>
      <c r="AI428" s="84">
        <v>0.0</v>
      </c>
      <c r="AJ428" s="84">
        <v>0.0</v>
      </c>
      <c r="AK428" s="84">
        <v>0.0</v>
      </c>
      <c r="AL428" s="84">
        <v>0.0</v>
      </c>
      <c r="AM428" s="84">
        <v>0.0</v>
      </c>
      <c r="AN428" s="93">
        <f t="shared" si="1"/>
        <v>0</v>
      </c>
      <c r="AO428" s="84">
        <f t="shared" si="2"/>
        <v>0</v>
      </c>
    </row>
    <row r="429" ht="12.75" customHeight="1">
      <c r="A429" s="84" t="s">
        <v>2787</v>
      </c>
      <c r="B429" s="84">
        <v>2.0</v>
      </c>
      <c r="C429" s="84">
        <v>0.0</v>
      </c>
      <c r="D429" s="84">
        <v>0.0</v>
      </c>
      <c r="E429" s="84">
        <v>0.0</v>
      </c>
      <c r="F429" s="84">
        <v>0.0</v>
      </c>
      <c r="G429" s="84">
        <v>0.0</v>
      </c>
      <c r="H429" s="84">
        <v>0.0</v>
      </c>
      <c r="I429" s="91">
        <v>0.0</v>
      </c>
      <c r="J429" s="84">
        <v>0.0</v>
      </c>
      <c r="K429" s="84">
        <v>0.0</v>
      </c>
      <c r="L429" s="84">
        <v>0.0</v>
      </c>
      <c r="M429" s="84">
        <v>0.0</v>
      </c>
      <c r="N429" s="84">
        <v>0.0</v>
      </c>
      <c r="O429" s="84">
        <v>0.0</v>
      </c>
      <c r="P429" s="84">
        <v>0.0</v>
      </c>
      <c r="Q429" s="84">
        <v>0.0</v>
      </c>
      <c r="R429" s="84">
        <v>0.0</v>
      </c>
      <c r="S429" s="84">
        <v>0.0</v>
      </c>
      <c r="T429" s="84">
        <v>0.0</v>
      </c>
      <c r="U429" s="84">
        <v>0.0</v>
      </c>
      <c r="V429" s="84">
        <v>2.0</v>
      </c>
      <c r="W429" s="84">
        <v>2.0</v>
      </c>
      <c r="X429" s="84">
        <v>0.0</v>
      </c>
      <c r="Y429" s="84">
        <v>0.0</v>
      </c>
      <c r="Z429" s="84">
        <v>0.0</v>
      </c>
      <c r="AA429" s="84">
        <v>0.0</v>
      </c>
      <c r="AB429" s="84">
        <v>0.0</v>
      </c>
      <c r="AC429" s="91">
        <v>0.0</v>
      </c>
      <c r="AD429" s="84">
        <v>0.0</v>
      </c>
      <c r="AE429" s="84">
        <v>0.0</v>
      </c>
      <c r="AF429" s="84">
        <v>0.0</v>
      </c>
      <c r="AG429" s="84">
        <v>0.0</v>
      </c>
      <c r="AH429" s="84">
        <v>0.0</v>
      </c>
      <c r="AI429" s="84">
        <v>0.0</v>
      </c>
      <c r="AJ429" s="84">
        <v>0.0</v>
      </c>
      <c r="AK429" s="84">
        <v>0.0</v>
      </c>
      <c r="AL429" s="84">
        <v>0.0</v>
      </c>
      <c r="AM429" s="84">
        <v>0.0</v>
      </c>
      <c r="AN429" s="93">
        <f t="shared" si="1"/>
        <v>0</v>
      </c>
      <c r="AO429" s="84">
        <f t="shared" si="2"/>
        <v>0</v>
      </c>
    </row>
    <row r="430" ht="12.75" customHeight="1">
      <c r="A430" s="84" t="s">
        <v>2914</v>
      </c>
      <c r="B430" s="84">
        <v>1.0</v>
      </c>
      <c r="C430" s="84">
        <v>2.0</v>
      </c>
      <c r="D430" s="84">
        <v>0.0</v>
      </c>
      <c r="E430" s="84">
        <v>0.0</v>
      </c>
      <c r="F430" s="84">
        <v>0.0</v>
      </c>
      <c r="G430" s="84">
        <v>0.0</v>
      </c>
      <c r="H430" s="84">
        <v>0.0</v>
      </c>
      <c r="I430" s="91">
        <v>0.0</v>
      </c>
      <c r="J430" s="84">
        <v>0.0</v>
      </c>
      <c r="K430" s="84">
        <v>0.0</v>
      </c>
      <c r="L430" s="84">
        <v>0.0</v>
      </c>
      <c r="M430" s="84">
        <v>0.0</v>
      </c>
      <c r="N430" s="84">
        <v>0.0</v>
      </c>
      <c r="O430" s="84">
        <v>0.0</v>
      </c>
      <c r="P430" s="84">
        <v>0.0</v>
      </c>
      <c r="Q430" s="84">
        <v>0.0</v>
      </c>
      <c r="R430" s="84">
        <v>0.0</v>
      </c>
      <c r="S430" s="84">
        <v>0.0</v>
      </c>
      <c r="T430" s="84">
        <v>0.0</v>
      </c>
      <c r="U430" s="84">
        <v>0.0</v>
      </c>
      <c r="V430" s="84">
        <v>0.0</v>
      </c>
      <c r="W430" s="84">
        <v>4.0</v>
      </c>
      <c r="X430" s="84">
        <v>0.0</v>
      </c>
      <c r="Y430" s="84">
        <v>0.0</v>
      </c>
      <c r="Z430" s="84">
        <v>0.0</v>
      </c>
      <c r="AA430" s="84">
        <v>0.0</v>
      </c>
      <c r="AB430" s="84">
        <v>0.0</v>
      </c>
      <c r="AC430" s="91">
        <v>0.0</v>
      </c>
      <c r="AD430" s="84">
        <v>0.0</v>
      </c>
      <c r="AE430" s="84">
        <v>0.0</v>
      </c>
      <c r="AF430" s="84">
        <v>0.0</v>
      </c>
      <c r="AG430" s="84">
        <v>0.0</v>
      </c>
      <c r="AH430" s="84">
        <v>0.0</v>
      </c>
      <c r="AI430" s="84">
        <v>0.0</v>
      </c>
      <c r="AJ430" s="84">
        <v>0.0</v>
      </c>
      <c r="AK430" s="84">
        <v>0.0</v>
      </c>
      <c r="AL430" s="84">
        <v>0.0</v>
      </c>
      <c r="AM430" s="84">
        <v>0.0</v>
      </c>
      <c r="AN430" s="93">
        <f t="shared" si="1"/>
        <v>0</v>
      </c>
      <c r="AO430" s="84">
        <f t="shared" si="2"/>
        <v>0</v>
      </c>
    </row>
    <row r="431" ht="12.75" customHeight="1">
      <c r="A431" s="84" t="s">
        <v>2778</v>
      </c>
      <c r="B431" s="84">
        <v>2.0</v>
      </c>
      <c r="C431" s="84">
        <v>0.0</v>
      </c>
      <c r="D431" s="84">
        <v>0.0</v>
      </c>
      <c r="E431" s="84">
        <v>0.0</v>
      </c>
      <c r="F431" s="84">
        <v>0.0</v>
      </c>
      <c r="G431" s="84">
        <v>0.0</v>
      </c>
      <c r="H431" s="84">
        <v>0.0</v>
      </c>
      <c r="I431" s="91">
        <v>0.0</v>
      </c>
      <c r="J431" s="84">
        <v>0.0</v>
      </c>
      <c r="K431" s="84">
        <v>0.0</v>
      </c>
      <c r="L431" s="84">
        <v>0.0</v>
      </c>
      <c r="M431" s="84">
        <v>0.0</v>
      </c>
      <c r="N431" s="84">
        <v>0.0</v>
      </c>
      <c r="O431" s="84">
        <v>0.0</v>
      </c>
      <c r="P431" s="84">
        <v>0.0</v>
      </c>
      <c r="Q431" s="84">
        <v>0.0</v>
      </c>
      <c r="R431" s="84">
        <v>0.0</v>
      </c>
      <c r="S431" s="84">
        <v>0.0</v>
      </c>
      <c r="T431" s="84">
        <v>0.0</v>
      </c>
      <c r="U431" s="84">
        <v>0.0</v>
      </c>
      <c r="V431" s="84">
        <v>2.0</v>
      </c>
      <c r="W431" s="84">
        <v>2.0</v>
      </c>
      <c r="X431" s="84">
        <v>0.0</v>
      </c>
      <c r="Y431" s="84">
        <v>0.0</v>
      </c>
      <c r="Z431" s="84">
        <v>0.0</v>
      </c>
      <c r="AA431" s="84">
        <v>0.0</v>
      </c>
      <c r="AB431" s="84">
        <v>0.0</v>
      </c>
      <c r="AC431" s="91">
        <v>0.0</v>
      </c>
      <c r="AD431" s="84">
        <v>0.0</v>
      </c>
      <c r="AE431" s="84">
        <v>0.0</v>
      </c>
      <c r="AF431" s="84">
        <v>0.0</v>
      </c>
      <c r="AG431" s="84">
        <v>0.0</v>
      </c>
      <c r="AH431" s="84">
        <v>0.0</v>
      </c>
      <c r="AI431" s="84">
        <v>0.0</v>
      </c>
      <c r="AJ431" s="84">
        <v>0.0</v>
      </c>
      <c r="AK431" s="84">
        <v>0.0</v>
      </c>
      <c r="AL431" s="84">
        <v>0.0</v>
      </c>
      <c r="AM431" s="84">
        <v>0.0</v>
      </c>
      <c r="AN431" s="93">
        <f t="shared" si="1"/>
        <v>0</v>
      </c>
      <c r="AO431" s="84">
        <f t="shared" si="2"/>
        <v>0</v>
      </c>
    </row>
    <row r="432" ht="12.75" customHeight="1">
      <c r="A432" s="84" t="s">
        <v>3494</v>
      </c>
      <c r="B432" s="84">
        <v>0.0</v>
      </c>
      <c r="C432" s="84">
        <v>0.0</v>
      </c>
      <c r="D432" s="84">
        <v>0.0</v>
      </c>
      <c r="E432" s="84">
        <v>4.0</v>
      </c>
      <c r="F432" s="84">
        <v>1.0</v>
      </c>
      <c r="G432" s="84">
        <v>0.0</v>
      </c>
      <c r="H432" s="84">
        <v>0.0</v>
      </c>
      <c r="I432" s="91">
        <v>0.0</v>
      </c>
      <c r="J432" s="84">
        <v>0.0</v>
      </c>
      <c r="K432" s="84">
        <v>0.0</v>
      </c>
      <c r="L432" s="84">
        <v>0.0</v>
      </c>
      <c r="M432" s="84">
        <v>0.0</v>
      </c>
      <c r="N432" s="84">
        <v>0.0</v>
      </c>
      <c r="O432" s="84">
        <v>0.0</v>
      </c>
      <c r="P432" s="84">
        <v>0.0</v>
      </c>
      <c r="Q432" s="84">
        <v>0.0</v>
      </c>
      <c r="R432" s="84">
        <v>0.0</v>
      </c>
      <c r="S432" s="84">
        <v>0.0</v>
      </c>
      <c r="T432" s="84">
        <v>0.0</v>
      </c>
      <c r="U432" s="84">
        <v>0.0</v>
      </c>
      <c r="V432" s="84">
        <v>0.0</v>
      </c>
      <c r="W432" s="84">
        <v>0.0</v>
      </c>
      <c r="X432" s="84">
        <v>0.0</v>
      </c>
      <c r="Y432" s="84">
        <v>6.0</v>
      </c>
      <c r="Z432" s="84">
        <v>2.0</v>
      </c>
      <c r="AA432" s="84">
        <v>0.0</v>
      </c>
      <c r="AB432" s="84">
        <v>0.0</v>
      </c>
      <c r="AC432" s="91">
        <v>0.0</v>
      </c>
      <c r="AD432" s="84">
        <v>0.0</v>
      </c>
      <c r="AE432" s="84">
        <v>0.0</v>
      </c>
      <c r="AF432" s="84">
        <v>0.0</v>
      </c>
      <c r="AG432" s="84">
        <v>0.0</v>
      </c>
      <c r="AH432" s="84">
        <v>0.0</v>
      </c>
      <c r="AI432" s="84">
        <v>0.0</v>
      </c>
      <c r="AJ432" s="84">
        <v>0.0</v>
      </c>
      <c r="AK432" s="84">
        <v>0.0</v>
      </c>
      <c r="AL432" s="84">
        <v>0.0</v>
      </c>
      <c r="AM432" s="84">
        <v>0.0</v>
      </c>
      <c r="AN432" s="93">
        <f t="shared" si="1"/>
        <v>0</v>
      </c>
      <c r="AO432" s="84">
        <f t="shared" si="2"/>
        <v>0</v>
      </c>
    </row>
    <row r="433" ht="12.75" customHeight="1">
      <c r="A433" s="84" t="s">
        <v>4516</v>
      </c>
      <c r="B433" s="84">
        <v>0.0</v>
      </c>
      <c r="C433" s="84">
        <v>0.0</v>
      </c>
      <c r="D433" s="84">
        <v>0.0</v>
      </c>
      <c r="E433" s="84">
        <v>0.0</v>
      </c>
      <c r="F433" s="84">
        <v>0.0</v>
      </c>
      <c r="G433" s="84">
        <v>0.0</v>
      </c>
      <c r="H433" s="84">
        <v>0.0</v>
      </c>
      <c r="I433" s="91">
        <v>0.0</v>
      </c>
      <c r="J433" s="84">
        <v>0.0</v>
      </c>
      <c r="K433" s="84">
        <v>0.0</v>
      </c>
      <c r="L433" s="84">
        <v>0.0</v>
      </c>
      <c r="M433" s="84">
        <v>0.0</v>
      </c>
      <c r="N433" s="84">
        <v>0.0</v>
      </c>
      <c r="O433" s="84">
        <v>0.0</v>
      </c>
      <c r="P433" s="84">
        <v>0.0</v>
      </c>
      <c r="Q433" s="84">
        <v>0.0</v>
      </c>
      <c r="R433" s="84">
        <v>0.0</v>
      </c>
      <c r="S433" s="84">
        <v>0.0</v>
      </c>
      <c r="T433" s="84">
        <v>0.0</v>
      </c>
      <c r="U433" s="84">
        <v>0.0</v>
      </c>
      <c r="V433" s="84">
        <v>0.0</v>
      </c>
      <c r="W433" s="84">
        <v>0.0</v>
      </c>
      <c r="X433" s="84">
        <v>0.0</v>
      </c>
      <c r="Y433" s="84">
        <v>0.0</v>
      </c>
      <c r="Z433" s="84">
        <v>0.0</v>
      </c>
      <c r="AA433" s="84">
        <v>0.0</v>
      </c>
      <c r="AB433" s="84">
        <v>0.0</v>
      </c>
      <c r="AC433" s="91">
        <v>0.0</v>
      </c>
      <c r="AD433" s="84">
        <v>0.0</v>
      </c>
      <c r="AE433" s="84">
        <v>0.0</v>
      </c>
      <c r="AF433" s="84">
        <v>1.0</v>
      </c>
      <c r="AG433" s="84">
        <v>0.0</v>
      </c>
      <c r="AH433" s="84">
        <v>0.0</v>
      </c>
      <c r="AI433" s="84">
        <v>0.0</v>
      </c>
      <c r="AJ433" s="84">
        <v>0.0</v>
      </c>
      <c r="AK433" s="84">
        <v>0.0</v>
      </c>
      <c r="AL433" s="84">
        <v>0.0</v>
      </c>
      <c r="AM433" s="84">
        <v>0.0</v>
      </c>
      <c r="AN433" s="93">
        <f t="shared" si="1"/>
        <v>0</v>
      </c>
      <c r="AO433" s="84">
        <f t="shared" si="2"/>
        <v>1</v>
      </c>
    </row>
    <row r="434" ht="12.75" customHeight="1">
      <c r="A434" s="84" t="s">
        <v>4461</v>
      </c>
      <c r="B434" s="84">
        <v>0.0</v>
      </c>
      <c r="C434" s="84">
        <v>0.0</v>
      </c>
      <c r="D434" s="84">
        <v>0.0</v>
      </c>
      <c r="E434" s="84">
        <v>0.0</v>
      </c>
      <c r="F434" s="84">
        <v>0.0</v>
      </c>
      <c r="G434" s="84">
        <v>0.0</v>
      </c>
      <c r="H434" s="84">
        <v>0.0</v>
      </c>
      <c r="I434" s="91">
        <v>0.0</v>
      </c>
      <c r="J434" s="84">
        <v>0.0</v>
      </c>
      <c r="K434" s="84">
        <v>0.0</v>
      </c>
      <c r="L434" s="84">
        <v>0.0</v>
      </c>
      <c r="M434" s="84">
        <v>0.0</v>
      </c>
      <c r="N434" s="84">
        <v>0.0</v>
      </c>
      <c r="O434" s="84">
        <v>0.0</v>
      </c>
      <c r="P434" s="84">
        <v>0.0</v>
      </c>
      <c r="Q434" s="84">
        <v>0.0</v>
      </c>
      <c r="R434" s="84">
        <v>0.0</v>
      </c>
      <c r="S434" s="84">
        <v>0.0</v>
      </c>
      <c r="T434" s="84">
        <v>0.0</v>
      </c>
      <c r="U434" s="84">
        <v>0.0</v>
      </c>
      <c r="V434" s="84">
        <v>0.0</v>
      </c>
      <c r="W434" s="84">
        <v>0.0</v>
      </c>
      <c r="X434" s="84">
        <v>0.0</v>
      </c>
      <c r="Y434" s="84">
        <v>0.0</v>
      </c>
      <c r="Z434" s="84">
        <v>0.0</v>
      </c>
      <c r="AA434" s="84">
        <v>0.0</v>
      </c>
      <c r="AB434" s="84">
        <v>0.0</v>
      </c>
      <c r="AC434" s="91">
        <v>0.0</v>
      </c>
      <c r="AD434" s="84">
        <v>1.0</v>
      </c>
      <c r="AE434" s="84">
        <v>0.0</v>
      </c>
      <c r="AF434" s="84">
        <v>0.0</v>
      </c>
      <c r="AG434" s="84">
        <v>0.0</v>
      </c>
      <c r="AH434" s="84">
        <v>0.0</v>
      </c>
      <c r="AI434" s="84">
        <v>0.0</v>
      </c>
      <c r="AJ434" s="84">
        <v>0.0</v>
      </c>
      <c r="AK434" s="84">
        <v>0.0</v>
      </c>
      <c r="AL434" s="84">
        <v>0.0</v>
      </c>
      <c r="AM434" s="84">
        <v>0.0</v>
      </c>
      <c r="AN434" s="93">
        <f t="shared" si="1"/>
        <v>0</v>
      </c>
      <c r="AO434" s="84">
        <f t="shared" si="2"/>
        <v>1</v>
      </c>
    </row>
    <row r="435" ht="12.75" customHeight="1">
      <c r="A435" s="84" t="s">
        <v>4572</v>
      </c>
      <c r="B435" s="84">
        <v>0.0</v>
      </c>
      <c r="C435" s="84">
        <v>0.0</v>
      </c>
      <c r="D435" s="84">
        <v>0.0</v>
      </c>
      <c r="E435" s="84">
        <v>0.0</v>
      </c>
      <c r="F435" s="84">
        <v>0.0</v>
      </c>
      <c r="G435" s="84">
        <v>0.0</v>
      </c>
      <c r="H435" s="84">
        <v>0.0</v>
      </c>
      <c r="I435" s="91">
        <v>0.0</v>
      </c>
      <c r="J435" s="84">
        <v>0.0</v>
      </c>
      <c r="K435" s="84">
        <v>0.0</v>
      </c>
      <c r="L435" s="84">
        <v>0.0</v>
      </c>
      <c r="M435" s="84">
        <v>0.0</v>
      </c>
      <c r="N435" s="84">
        <v>0.0</v>
      </c>
      <c r="O435" s="84">
        <v>0.0</v>
      </c>
      <c r="P435" s="84">
        <v>0.0</v>
      </c>
      <c r="Q435" s="84">
        <v>1.0</v>
      </c>
      <c r="R435" s="84">
        <v>0.0</v>
      </c>
      <c r="S435" s="84">
        <v>0.0</v>
      </c>
      <c r="T435" s="84">
        <v>0.0</v>
      </c>
      <c r="U435" s="84">
        <v>0.0</v>
      </c>
      <c r="V435" s="84">
        <v>0.0</v>
      </c>
      <c r="W435" s="84">
        <v>0.0</v>
      </c>
      <c r="X435" s="84">
        <v>0.0</v>
      </c>
      <c r="Y435" s="84">
        <v>0.0</v>
      </c>
      <c r="Z435" s="84">
        <v>0.0</v>
      </c>
      <c r="AA435" s="84">
        <v>0.0</v>
      </c>
      <c r="AB435" s="84">
        <v>0.0</v>
      </c>
      <c r="AC435" s="91">
        <v>0.0</v>
      </c>
      <c r="AD435" s="84">
        <v>0.0</v>
      </c>
      <c r="AE435" s="84">
        <v>0.0</v>
      </c>
      <c r="AF435" s="84">
        <v>0.0</v>
      </c>
      <c r="AG435" s="84">
        <v>0.0</v>
      </c>
      <c r="AH435" s="84">
        <v>0.0</v>
      </c>
      <c r="AI435" s="84">
        <v>0.0</v>
      </c>
      <c r="AJ435" s="84">
        <v>0.0</v>
      </c>
      <c r="AK435" s="84">
        <v>0.0</v>
      </c>
      <c r="AL435" s="84">
        <v>0.0</v>
      </c>
      <c r="AM435" s="84">
        <v>0.0</v>
      </c>
      <c r="AN435" s="93">
        <f t="shared" si="1"/>
        <v>0</v>
      </c>
      <c r="AO435" s="84">
        <f t="shared" si="2"/>
        <v>1</v>
      </c>
    </row>
    <row r="436" ht="12.75" customHeight="1">
      <c r="A436" s="84" t="s">
        <v>3752</v>
      </c>
      <c r="B436" s="84">
        <v>0.0</v>
      </c>
      <c r="C436" s="84">
        <v>0.0</v>
      </c>
      <c r="D436" s="84">
        <v>0.0</v>
      </c>
      <c r="E436" s="84">
        <v>0.0</v>
      </c>
      <c r="F436" s="84">
        <v>0.0</v>
      </c>
      <c r="G436" s="84">
        <v>5.0</v>
      </c>
      <c r="H436" s="84">
        <v>0.0</v>
      </c>
      <c r="I436" s="91">
        <v>0.0</v>
      </c>
      <c r="J436" s="84">
        <v>0.0</v>
      </c>
      <c r="K436" s="84">
        <v>0.0</v>
      </c>
      <c r="L436" s="84">
        <v>0.0</v>
      </c>
      <c r="M436" s="84">
        <v>0.0</v>
      </c>
      <c r="N436" s="84">
        <v>0.0</v>
      </c>
      <c r="O436" s="84">
        <v>0.0</v>
      </c>
      <c r="P436" s="84">
        <v>0.0</v>
      </c>
      <c r="Q436" s="84">
        <v>0.0</v>
      </c>
      <c r="R436" s="84">
        <v>0.0</v>
      </c>
      <c r="S436" s="84">
        <v>0.0</v>
      </c>
      <c r="T436" s="84">
        <v>0.0</v>
      </c>
      <c r="U436" s="84">
        <v>0.0</v>
      </c>
      <c r="V436" s="84">
        <v>0.0</v>
      </c>
      <c r="W436" s="84">
        <v>0.0</v>
      </c>
      <c r="X436" s="84">
        <v>0.0</v>
      </c>
      <c r="Y436" s="84">
        <v>0.0</v>
      </c>
      <c r="Z436" s="84">
        <v>0.0</v>
      </c>
      <c r="AA436" s="84">
        <v>6.0</v>
      </c>
      <c r="AB436" s="84">
        <v>1.0</v>
      </c>
      <c r="AC436" s="91">
        <v>0.0</v>
      </c>
      <c r="AD436" s="84">
        <v>0.0</v>
      </c>
      <c r="AE436" s="84">
        <v>0.0</v>
      </c>
      <c r="AF436" s="84">
        <v>0.0</v>
      </c>
      <c r="AG436" s="84">
        <v>0.0</v>
      </c>
      <c r="AH436" s="84">
        <v>0.0</v>
      </c>
      <c r="AI436" s="84">
        <v>0.0</v>
      </c>
      <c r="AJ436" s="84">
        <v>0.0</v>
      </c>
      <c r="AK436" s="84">
        <v>0.0</v>
      </c>
      <c r="AL436" s="84">
        <v>0.0</v>
      </c>
      <c r="AM436" s="84">
        <v>0.0</v>
      </c>
      <c r="AN436" s="93">
        <f t="shared" si="1"/>
        <v>0</v>
      </c>
      <c r="AO436" s="84">
        <f t="shared" si="2"/>
        <v>0</v>
      </c>
    </row>
    <row r="437" ht="12.75" customHeight="1">
      <c r="A437" s="84" t="s">
        <v>4457</v>
      </c>
      <c r="B437" s="84">
        <v>0.0</v>
      </c>
      <c r="C437" s="84">
        <v>0.0</v>
      </c>
      <c r="D437" s="84">
        <v>0.0</v>
      </c>
      <c r="E437" s="84">
        <v>0.0</v>
      </c>
      <c r="F437" s="84">
        <v>0.0</v>
      </c>
      <c r="G437" s="84">
        <v>0.0</v>
      </c>
      <c r="H437" s="84">
        <v>0.0</v>
      </c>
      <c r="I437" s="91">
        <v>0.0</v>
      </c>
      <c r="J437" s="84">
        <v>0.0</v>
      </c>
      <c r="K437" s="84">
        <v>0.0</v>
      </c>
      <c r="L437" s="84">
        <v>0.0</v>
      </c>
      <c r="M437" s="84">
        <v>0.0</v>
      </c>
      <c r="N437" s="84">
        <v>0.0</v>
      </c>
      <c r="O437" s="84">
        <v>0.0</v>
      </c>
      <c r="P437" s="84">
        <v>0.0</v>
      </c>
      <c r="Q437" s="84">
        <v>0.0</v>
      </c>
      <c r="R437" s="84">
        <v>0.0</v>
      </c>
      <c r="S437" s="84">
        <v>0.0</v>
      </c>
      <c r="T437" s="84">
        <v>0.0</v>
      </c>
      <c r="U437" s="84">
        <v>0.0</v>
      </c>
      <c r="V437" s="84">
        <v>0.0</v>
      </c>
      <c r="W437" s="84">
        <v>0.0</v>
      </c>
      <c r="X437" s="84">
        <v>0.0</v>
      </c>
      <c r="Y437" s="84">
        <v>0.0</v>
      </c>
      <c r="Z437" s="84">
        <v>0.0</v>
      </c>
      <c r="AA437" s="84">
        <v>0.0</v>
      </c>
      <c r="AB437" s="84">
        <v>0.0</v>
      </c>
      <c r="AC437" s="91">
        <v>0.0</v>
      </c>
      <c r="AD437" s="84">
        <v>1.0</v>
      </c>
      <c r="AE437" s="84">
        <v>0.0</v>
      </c>
      <c r="AF437" s="84">
        <v>0.0</v>
      </c>
      <c r="AG437" s="84">
        <v>0.0</v>
      </c>
      <c r="AH437" s="84">
        <v>0.0</v>
      </c>
      <c r="AI437" s="84">
        <v>0.0</v>
      </c>
      <c r="AJ437" s="84">
        <v>0.0</v>
      </c>
      <c r="AK437" s="84">
        <v>0.0</v>
      </c>
      <c r="AL437" s="84">
        <v>0.0</v>
      </c>
      <c r="AM437" s="84">
        <v>0.0</v>
      </c>
      <c r="AN437" s="93">
        <f t="shared" si="1"/>
        <v>0</v>
      </c>
      <c r="AO437" s="84">
        <f t="shared" si="2"/>
        <v>1</v>
      </c>
    </row>
    <row r="438" ht="12.75" customHeight="1">
      <c r="A438" s="84" t="s">
        <v>3295</v>
      </c>
      <c r="B438" s="84">
        <v>0.0</v>
      </c>
      <c r="C438" s="84">
        <v>0.0</v>
      </c>
      <c r="D438" s="84">
        <v>5.0</v>
      </c>
      <c r="E438" s="84">
        <v>1.0</v>
      </c>
      <c r="F438" s="84">
        <v>0.0</v>
      </c>
      <c r="G438" s="84">
        <v>0.0</v>
      </c>
      <c r="H438" s="84">
        <v>0.0</v>
      </c>
      <c r="I438" s="91">
        <v>0.0</v>
      </c>
      <c r="J438" s="84">
        <v>0.0</v>
      </c>
      <c r="K438" s="84">
        <v>0.0</v>
      </c>
      <c r="L438" s="84">
        <v>0.0</v>
      </c>
      <c r="M438" s="84">
        <v>0.0</v>
      </c>
      <c r="N438" s="84">
        <v>0.0</v>
      </c>
      <c r="O438" s="84">
        <v>0.0</v>
      </c>
      <c r="P438" s="84">
        <v>0.0</v>
      </c>
      <c r="Q438" s="84">
        <v>0.0</v>
      </c>
      <c r="R438" s="84">
        <v>0.0</v>
      </c>
      <c r="S438" s="84">
        <v>0.0</v>
      </c>
      <c r="T438" s="84">
        <v>0.0</v>
      </c>
      <c r="U438" s="84">
        <v>0.0</v>
      </c>
      <c r="V438" s="84">
        <v>0.0</v>
      </c>
      <c r="W438" s="84">
        <v>0.0</v>
      </c>
      <c r="X438" s="84">
        <v>6.0</v>
      </c>
      <c r="Y438" s="84">
        <v>2.0</v>
      </c>
      <c r="Z438" s="84">
        <v>0.0</v>
      </c>
      <c r="AA438" s="84">
        <v>0.0</v>
      </c>
      <c r="AB438" s="84">
        <v>0.0</v>
      </c>
      <c r="AC438" s="91">
        <v>0.0</v>
      </c>
      <c r="AD438" s="84">
        <v>0.0</v>
      </c>
      <c r="AE438" s="84">
        <v>0.0</v>
      </c>
      <c r="AF438" s="84">
        <v>0.0</v>
      </c>
      <c r="AG438" s="84">
        <v>0.0</v>
      </c>
      <c r="AH438" s="84">
        <v>0.0</v>
      </c>
      <c r="AI438" s="84">
        <v>0.0</v>
      </c>
      <c r="AJ438" s="84">
        <v>0.0</v>
      </c>
      <c r="AK438" s="84">
        <v>0.0</v>
      </c>
      <c r="AL438" s="84">
        <v>0.0</v>
      </c>
      <c r="AM438" s="84">
        <v>0.0</v>
      </c>
      <c r="AN438" s="93">
        <f t="shared" si="1"/>
        <v>0</v>
      </c>
      <c r="AO438" s="84">
        <f t="shared" si="2"/>
        <v>0</v>
      </c>
    </row>
    <row r="439" ht="12.75" customHeight="1">
      <c r="A439" s="84" t="s">
        <v>3198</v>
      </c>
      <c r="B439" s="84">
        <v>0.0</v>
      </c>
      <c r="C439" s="84">
        <v>5.0</v>
      </c>
      <c r="D439" s="84">
        <v>2.0</v>
      </c>
      <c r="E439" s="84">
        <v>0.0</v>
      </c>
      <c r="F439" s="84">
        <v>0.0</v>
      </c>
      <c r="G439" s="84">
        <v>0.0</v>
      </c>
      <c r="H439" s="84">
        <v>0.0</v>
      </c>
      <c r="I439" s="91">
        <v>0.0</v>
      </c>
      <c r="J439" s="84">
        <v>0.0</v>
      </c>
      <c r="K439" s="84">
        <v>0.0</v>
      </c>
      <c r="L439" s="84">
        <v>0.0</v>
      </c>
      <c r="M439" s="84">
        <v>0.0</v>
      </c>
      <c r="N439" s="84">
        <v>0.0</v>
      </c>
      <c r="O439" s="84">
        <v>0.0</v>
      </c>
      <c r="P439" s="84">
        <v>0.0</v>
      </c>
      <c r="Q439" s="84">
        <v>0.0</v>
      </c>
      <c r="R439" s="84">
        <v>0.0</v>
      </c>
      <c r="S439" s="84">
        <v>0.0</v>
      </c>
      <c r="T439" s="84">
        <v>0.0</v>
      </c>
      <c r="U439" s="84">
        <v>0.0</v>
      </c>
      <c r="V439" s="84">
        <v>0.0</v>
      </c>
      <c r="W439" s="84">
        <v>3.0</v>
      </c>
      <c r="X439" s="84">
        <v>2.0</v>
      </c>
      <c r="Y439" s="84">
        <v>0.0</v>
      </c>
      <c r="Z439" s="84">
        <v>0.0</v>
      </c>
      <c r="AA439" s="84">
        <v>0.0</v>
      </c>
      <c r="AB439" s="84">
        <v>0.0</v>
      </c>
      <c r="AC439" s="91">
        <v>0.0</v>
      </c>
      <c r="AD439" s="84">
        <v>0.0</v>
      </c>
      <c r="AE439" s="84">
        <v>0.0</v>
      </c>
      <c r="AF439" s="84">
        <v>0.0</v>
      </c>
      <c r="AG439" s="84">
        <v>0.0</v>
      </c>
      <c r="AH439" s="84">
        <v>0.0</v>
      </c>
      <c r="AI439" s="84">
        <v>0.0</v>
      </c>
      <c r="AJ439" s="84">
        <v>0.0</v>
      </c>
      <c r="AK439" s="84">
        <v>0.0</v>
      </c>
      <c r="AL439" s="84">
        <v>0.0</v>
      </c>
      <c r="AM439" s="84">
        <v>0.0</v>
      </c>
      <c r="AN439" s="93">
        <f t="shared" si="1"/>
        <v>0</v>
      </c>
      <c r="AO439" s="84">
        <f t="shared" si="2"/>
        <v>0</v>
      </c>
    </row>
    <row r="440" ht="12.75" customHeight="1">
      <c r="A440" s="84" t="s">
        <v>3187</v>
      </c>
      <c r="B440" s="84">
        <v>0.0</v>
      </c>
      <c r="C440" s="84">
        <v>5.0</v>
      </c>
      <c r="D440" s="84">
        <v>1.0</v>
      </c>
      <c r="E440" s="84">
        <v>0.0</v>
      </c>
      <c r="F440" s="84">
        <v>0.0</v>
      </c>
      <c r="G440" s="84">
        <v>0.0</v>
      </c>
      <c r="H440" s="84">
        <v>0.0</v>
      </c>
      <c r="I440" s="91">
        <v>0.0</v>
      </c>
      <c r="J440" s="84">
        <v>0.0</v>
      </c>
      <c r="K440" s="84">
        <v>0.0</v>
      </c>
      <c r="L440" s="84">
        <v>0.0</v>
      </c>
      <c r="M440" s="84">
        <v>0.0</v>
      </c>
      <c r="N440" s="84">
        <v>0.0</v>
      </c>
      <c r="O440" s="84">
        <v>0.0</v>
      </c>
      <c r="P440" s="84">
        <v>0.0</v>
      </c>
      <c r="Q440" s="84">
        <v>0.0</v>
      </c>
      <c r="R440" s="84">
        <v>0.0</v>
      </c>
      <c r="S440" s="84">
        <v>0.0</v>
      </c>
      <c r="T440" s="84">
        <v>0.0</v>
      </c>
      <c r="U440" s="84">
        <v>0.0</v>
      </c>
      <c r="V440" s="84">
        <v>0.0</v>
      </c>
      <c r="W440" s="84">
        <v>3.0</v>
      </c>
      <c r="X440" s="84">
        <v>3.0</v>
      </c>
      <c r="Y440" s="84">
        <v>0.0</v>
      </c>
      <c r="Z440" s="84">
        <v>0.0</v>
      </c>
      <c r="AA440" s="84">
        <v>0.0</v>
      </c>
      <c r="AB440" s="84">
        <v>0.0</v>
      </c>
      <c r="AC440" s="91">
        <v>0.0</v>
      </c>
      <c r="AD440" s="84">
        <v>0.0</v>
      </c>
      <c r="AE440" s="84">
        <v>0.0</v>
      </c>
      <c r="AF440" s="84">
        <v>0.0</v>
      </c>
      <c r="AG440" s="84">
        <v>0.0</v>
      </c>
      <c r="AH440" s="84">
        <v>0.0</v>
      </c>
      <c r="AI440" s="84">
        <v>0.0</v>
      </c>
      <c r="AJ440" s="84">
        <v>0.0</v>
      </c>
      <c r="AK440" s="84">
        <v>0.0</v>
      </c>
      <c r="AL440" s="84">
        <v>0.0</v>
      </c>
      <c r="AM440" s="84">
        <v>0.0</v>
      </c>
      <c r="AN440" s="93">
        <f t="shared" si="1"/>
        <v>0</v>
      </c>
      <c r="AO440" s="84">
        <f t="shared" si="2"/>
        <v>0</v>
      </c>
    </row>
    <row r="441" ht="12.75" customHeight="1">
      <c r="A441" s="84" t="s">
        <v>3555</v>
      </c>
      <c r="B441" s="84">
        <v>0.0</v>
      </c>
      <c r="C441" s="84">
        <v>0.0</v>
      </c>
      <c r="D441" s="84">
        <v>0.0</v>
      </c>
      <c r="E441" s="84">
        <v>6.0</v>
      </c>
      <c r="F441" s="84">
        <v>0.0</v>
      </c>
      <c r="G441" s="84">
        <v>0.0</v>
      </c>
      <c r="H441" s="84">
        <v>0.0</v>
      </c>
      <c r="I441" s="91">
        <v>0.0</v>
      </c>
      <c r="J441" s="84">
        <v>0.0</v>
      </c>
      <c r="K441" s="84">
        <v>0.0</v>
      </c>
      <c r="L441" s="84">
        <v>0.0</v>
      </c>
      <c r="M441" s="84">
        <v>0.0</v>
      </c>
      <c r="N441" s="84">
        <v>0.0</v>
      </c>
      <c r="O441" s="84">
        <v>0.0</v>
      </c>
      <c r="P441" s="84">
        <v>0.0</v>
      </c>
      <c r="Q441" s="84">
        <v>0.0</v>
      </c>
      <c r="R441" s="84">
        <v>0.0</v>
      </c>
      <c r="S441" s="84">
        <v>0.0</v>
      </c>
      <c r="T441" s="84">
        <v>0.0</v>
      </c>
      <c r="U441" s="84">
        <v>0.0</v>
      </c>
      <c r="V441" s="84">
        <v>0.0</v>
      </c>
      <c r="W441" s="84">
        <v>0.0</v>
      </c>
      <c r="X441" s="84">
        <v>0.0</v>
      </c>
      <c r="Y441" s="84">
        <v>6.0</v>
      </c>
      <c r="Z441" s="84">
        <v>0.0</v>
      </c>
      <c r="AA441" s="84">
        <v>0.0</v>
      </c>
      <c r="AB441" s="84">
        <v>0.0</v>
      </c>
      <c r="AC441" s="91">
        <v>0.0</v>
      </c>
      <c r="AD441" s="84">
        <v>0.0</v>
      </c>
      <c r="AE441" s="84">
        <v>0.0</v>
      </c>
      <c r="AF441" s="84">
        <v>0.0</v>
      </c>
      <c r="AG441" s="84">
        <v>0.0</v>
      </c>
      <c r="AH441" s="84">
        <v>0.0</v>
      </c>
      <c r="AI441" s="84">
        <v>0.0</v>
      </c>
      <c r="AJ441" s="84">
        <v>0.0</v>
      </c>
      <c r="AK441" s="84">
        <v>0.0</v>
      </c>
      <c r="AL441" s="84">
        <v>0.0</v>
      </c>
      <c r="AM441" s="84">
        <v>0.0</v>
      </c>
      <c r="AN441" s="93">
        <f t="shared" si="1"/>
        <v>0</v>
      </c>
      <c r="AO441" s="84">
        <f t="shared" si="2"/>
        <v>0</v>
      </c>
    </row>
    <row r="442" ht="12.75" customHeight="1">
      <c r="A442" s="84" t="s">
        <v>3329</v>
      </c>
      <c r="B442" s="84">
        <v>0.0</v>
      </c>
      <c r="C442" s="84">
        <v>0.0</v>
      </c>
      <c r="D442" s="84">
        <v>6.0</v>
      </c>
      <c r="E442" s="84">
        <v>0.0</v>
      </c>
      <c r="F442" s="84">
        <v>0.0</v>
      </c>
      <c r="G442" s="84">
        <v>0.0</v>
      </c>
      <c r="H442" s="84">
        <v>0.0</v>
      </c>
      <c r="I442" s="91">
        <v>0.0</v>
      </c>
      <c r="J442" s="84">
        <v>0.0</v>
      </c>
      <c r="K442" s="84">
        <v>0.0</v>
      </c>
      <c r="L442" s="84">
        <v>0.0</v>
      </c>
      <c r="M442" s="84">
        <v>0.0</v>
      </c>
      <c r="N442" s="84">
        <v>0.0</v>
      </c>
      <c r="O442" s="84">
        <v>0.0</v>
      </c>
      <c r="P442" s="84">
        <v>0.0</v>
      </c>
      <c r="Q442" s="84">
        <v>0.0</v>
      </c>
      <c r="R442" s="84">
        <v>0.0</v>
      </c>
      <c r="S442" s="84">
        <v>0.0</v>
      </c>
      <c r="T442" s="84">
        <v>0.0</v>
      </c>
      <c r="U442" s="84">
        <v>0.0</v>
      </c>
      <c r="V442" s="84">
        <v>0.0</v>
      </c>
      <c r="W442" s="84">
        <v>0.0</v>
      </c>
      <c r="X442" s="84">
        <v>6.0</v>
      </c>
      <c r="Y442" s="84">
        <v>2.0</v>
      </c>
      <c r="Z442" s="84">
        <v>0.0</v>
      </c>
      <c r="AA442" s="84">
        <v>0.0</v>
      </c>
      <c r="AB442" s="84">
        <v>0.0</v>
      </c>
      <c r="AC442" s="91">
        <v>0.0</v>
      </c>
      <c r="AD442" s="84">
        <v>0.0</v>
      </c>
      <c r="AE442" s="84">
        <v>0.0</v>
      </c>
      <c r="AF442" s="84">
        <v>0.0</v>
      </c>
      <c r="AG442" s="84">
        <v>0.0</v>
      </c>
      <c r="AH442" s="84">
        <v>0.0</v>
      </c>
      <c r="AI442" s="84">
        <v>0.0</v>
      </c>
      <c r="AJ442" s="84">
        <v>0.0</v>
      </c>
      <c r="AK442" s="84">
        <v>0.0</v>
      </c>
      <c r="AL442" s="84">
        <v>0.0</v>
      </c>
      <c r="AM442" s="84">
        <v>0.0</v>
      </c>
      <c r="AN442" s="93">
        <f t="shared" si="1"/>
        <v>0</v>
      </c>
      <c r="AO442" s="84">
        <f t="shared" si="2"/>
        <v>0</v>
      </c>
    </row>
    <row r="443" ht="12.75" customHeight="1">
      <c r="A443" s="84" t="s">
        <v>2683</v>
      </c>
      <c r="B443" s="84">
        <v>3.0</v>
      </c>
      <c r="C443" s="84">
        <v>0.0</v>
      </c>
      <c r="D443" s="84">
        <v>0.0</v>
      </c>
      <c r="E443" s="84">
        <v>0.0</v>
      </c>
      <c r="F443" s="84">
        <v>0.0</v>
      </c>
      <c r="G443" s="84">
        <v>0.0</v>
      </c>
      <c r="H443" s="84">
        <v>0.0</v>
      </c>
      <c r="I443" s="91">
        <v>0.0</v>
      </c>
      <c r="J443" s="84">
        <v>0.0</v>
      </c>
      <c r="K443" s="84">
        <v>0.0</v>
      </c>
      <c r="L443" s="84">
        <v>0.0</v>
      </c>
      <c r="M443" s="84">
        <v>0.0</v>
      </c>
      <c r="N443" s="84">
        <v>0.0</v>
      </c>
      <c r="O443" s="84">
        <v>0.0</v>
      </c>
      <c r="P443" s="84">
        <v>0.0</v>
      </c>
      <c r="Q443" s="84">
        <v>0.0</v>
      </c>
      <c r="R443" s="84">
        <v>0.0</v>
      </c>
      <c r="S443" s="84">
        <v>0.0</v>
      </c>
      <c r="T443" s="84">
        <v>0.0</v>
      </c>
      <c r="U443" s="84">
        <v>0.0</v>
      </c>
      <c r="V443" s="84">
        <v>2.0</v>
      </c>
      <c r="W443" s="84">
        <v>0.0</v>
      </c>
      <c r="X443" s="84">
        <v>0.0</v>
      </c>
      <c r="Y443" s="84">
        <v>0.0</v>
      </c>
      <c r="Z443" s="84">
        <v>0.0</v>
      </c>
      <c r="AA443" s="84">
        <v>0.0</v>
      </c>
      <c r="AB443" s="84">
        <v>0.0</v>
      </c>
      <c r="AC443" s="91">
        <v>0.0</v>
      </c>
      <c r="AD443" s="84">
        <v>0.0</v>
      </c>
      <c r="AE443" s="84">
        <v>0.0</v>
      </c>
      <c r="AF443" s="84">
        <v>0.0</v>
      </c>
      <c r="AG443" s="84">
        <v>0.0</v>
      </c>
      <c r="AH443" s="84">
        <v>0.0</v>
      </c>
      <c r="AI443" s="84">
        <v>0.0</v>
      </c>
      <c r="AJ443" s="84">
        <v>0.0</v>
      </c>
      <c r="AK443" s="84">
        <v>0.0</v>
      </c>
      <c r="AL443" s="84">
        <v>0.0</v>
      </c>
      <c r="AM443" s="84">
        <v>0.0</v>
      </c>
      <c r="AN443" s="93">
        <f t="shared" si="1"/>
        <v>0</v>
      </c>
      <c r="AO443" s="84">
        <f t="shared" si="2"/>
        <v>0</v>
      </c>
    </row>
    <row r="444" ht="12.75" customHeight="1">
      <c r="A444" s="84" t="s">
        <v>2893</v>
      </c>
      <c r="B444" s="84">
        <v>2.0</v>
      </c>
      <c r="C444" s="84">
        <v>0.0</v>
      </c>
      <c r="D444" s="84">
        <v>0.0</v>
      </c>
      <c r="E444" s="84">
        <v>0.0</v>
      </c>
      <c r="F444" s="84">
        <v>0.0</v>
      </c>
      <c r="G444" s="84">
        <v>0.0</v>
      </c>
      <c r="H444" s="84">
        <v>0.0</v>
      </c>
      <c r="I444" s="91">
        <v>0.0</v>
      </c>
      <c r="J444" s="84">
        <v>0.0</v>
      </c>
      <c r="K444" s="84">
        <v>0.0</v>
      </c>
      <c r="L444" s="84">
        <v>0.0</v>
      </c>
      <c r="M444" s="84">
        <v>0.0</v>
      </c>
      <c r="N444" s="84">
        <v>0.0</v>
      </c>
      <c r="O444" s="84">
        <v>0.0</v>
      </c>
      <c r="P444" s="84">
        <v>0.0</v>
      </c>
      <c r="Q444" s="84">
        <v>0.0</v>
      </c>
      <c r="R444" s="84">
        <v>0.0</v>
      </c>
      <c r="S444" s="84">
        <v>0.0</v>
      </c>
      <c r="T444" s="84">
        <v>0.0</v>
      </c>
      <c r="U444" s="84">
        <v>0.0</v>
      </c>
      <c r="V444" s="84">
        <v>2.0</v>
      </c>
      <c r="W444" s="84">
        <v>1.0</v>
      </c>
      <c r="X444" s="84">
        <v>0.0</v>
      </c>
      <c r="Y444" s="84">
        <v>0.0</v>
      </c>
      <c r="Z444" s="84">
        <v>0.0</v>
      </c>
      <c r="AA444" s="84">
        <v>0.0</v>
      </c>
      <c r="AB444" s="84">
        <v>0.0</v>
      </c>
      <c r="AC444" s="91">
        <v>0.0</v>
      </c>
      <c r="AD444" s="84">
        <v>0.0</v>
      </c>
      <c r="AE444" s="84">
        <v>0.0</v>
      </c>
      <c r="AF444" s="84">
        <v>0.0</v>
      </c>
      <c r="AG444" s="84">
        <v>0.0</v>
      </c>
      <c r="AH444" s="84">
        <v>0.0</v>
      </c>
      <c r="AI444" s="84">
        <v>0.0</v>
      </c>
      <c r="AJ444" s="84">
        <v>0.0</v>
      </c>
      <c r="AK444" s="84">
        <v>0.0</v>
      </c>
      <c r="AL444" s="84">
        <v>0.0</v>
      </c>
      <c r="AM444" s="84">
        <v>0.0</v>
      </c>
      <c r="AN444" s="93">
        <f t="shared" si="1"/>
        <v>0</v>
      </c>
      <c r="AO444" s="84">
        <f t="shared" si="2"/>
        <v>0</v>
      </c>
    </row>
    <row r="445" ht="12.75" customHeight="1">
      <c r="A445" s="84" t="s">
        <v>3942</v>
      </c>
      <c r="B445" s="84">
        <v>0.0</v>
      </c>
      <c r="C445" s="84">
        <v>0.0</v>
      </c>
      <c r="D445" s="84">
        <v>0.0</v>
      </c>
      <c r="E445" s="84">
        <v>0.0</v>
      </c>
      <c r="F445" s="84">
        <v>0.0</v>
      </c>
      <c r="G445" s="84">
        <v>0.0</v>
      </c>
      <c r="H445" s="84">
        <v>4.0</v>
      </c>
      <c r="I445" s="91">
        <v>0.0</v>
      </c>
      <c r="J445" s="84">
        <v>0.0</v>
      </c>
      <c r="K445" s="84">
        <v>0.0</v>
      </c>
      <c r="L445" s="84">
        <v>0.0</v>
      </c>
      <c r="M445" s="84">
        <v>0.0</v>
      </c>
      <c r="N445" s="84">
        <v>0.0</v>
      </c>
      <c r="O445" s="84">
        <v>0.0</v>
      </c>
      <c r="P445" s="84">
        <v>0.0</v>
      </c>
      <c r="Q445" s="84">
        <v>0.0</v>
      </c>
      <c r="R445" s="84">
        <v>0.0</v>
      </c>
      <c r="S445" s="84">
        <v>0.0</v>
      </c>
      <c r="T445" s="84">
        <v>0.0</v>
      </c>
      <c r="U445" s="84">
        <v>0.0</v>
      </c>
      <c r="V445" s="84">
        <v>0.0</v>
      </c>
      <c r="W445" s="84">
        <v>0.0</v>
      </c>
      <c r="X445" s="84">
        <v>0.0</v>
      </c>
      <c r="Y445" s="84">
        <v>0.0</v>
      </c>
      <c r="Z445" s="84">
        <v>0.0</v>
      </c>
      <c r="AA445" s="84">
        <v>0.0</v>
      </c>
      <c r="AB445" s="84">
        <v>6.0</v>
      </c>
      <c r="AC445" s="91">
        <v>0.0</v>
      </c>
      <c r="AD445" s="84">
        <v>0.0</v>
      </c>
      <c r="AE445" s="84">
        <v>0.0</v>
      </c>
      <c r="AF445" s="84">
        <v>0.0</v>
      </c>
      <c r="AG445" s="84">
        <v>0.0</v>
      </c>
      <c r="AH445" s="84">
        <v>0.0</v>
      </c>
      <c r="AI445" s="84">
        <v>0.0</v>
      </c>
      <c r="AJ445" s="84">
        <v>0.0</v>
      </c>
      <c r="AK445" s="84">
        <v>0.0</v>
      </c>
      <c r="AL445" s="84">
        <v>0.0</v>
      </c>
      <c r="AM445" s="84">
        <v>0.0</v>
      </c>
      <c r="AN445" s="93">
        <f t="shared" si="1"/>
        <v>0</v>
      </c>
      <c r="AO445" s="84">
        <f t="shared" si="2"/>
        <v>0</v>
      </c>
    </row>
    <row r="446" ht="12.75" customHeight="1">
      <c r="A446" s="84" t="s">
        <v>3591</v>
      </c>
      <c r="B446" s="84">
        <v>0.0</v>
      </c>
      <c r="C446" s="84">
        <v>0.0</v>
      </c>
      <c r="D446" s="84">
        <v>0.0</v>
      </c>
      <c r="E446" s="84">
        <v>0.0</v>
      </c>
      <c r="F446" s="84">
        <v>5.0</v>
      </c>
      <c r="G446" s="84">
        <v>2.0</v>
      </c>
      <c r="H446" s="84">
        <v>0.0</v>
      </c>
      <c r="I446" s="91">
        <v>0.0</v>
      </c>
      <c r="J446" s="84">
        <v>0.0</v>
      </c>
      <c r="K446" s="84">
        <v>0.0</v>
      </c>
      <c r="L446" s="84">
        <v>0.0</v>
      </c>
      <c r="M446" s="84">
        <v>0.0</v>
      </c>
      <c r="N446" s="84">
        <v>0.0</v>
      </c>
      <c r="O446" s="84">
        <v>0.0</v>
      </c>
      <c r="P446" s="84">
        <v>0.0</v>
      </c>
      <c r="Q446" s="84">
        <v>0.0</v>
      </c>
      <c r="R446" s="84">
        <v>0.0</v>
      </c>
      <c r="S446" s="84">
        <v>0.0</v>
      </c>
      <c r="T446" s="84">
        <v>0.0</v>
      </c>
      <c r="U446" s="84">
        <v>0.0</v>
      </c>
      <c r="V446" s="84">
        <v>0.0</v>
      </c>
      <c r="W446" s="84">
        <v>0.0</v>
      </c>
      <c r="X446" s="84">
        <v>0.0</v>
      </c>
      <c r="Y446" s="84">
        <v>0.0</v>
      </c>
      <c r="Z446" s="84">
        <v>6.0</v>
      </c>
      <c r="AA446" s="84">
        <v>1.0</v>
      </c>
      <c r="AB446" s="84">
        <v>0.0</v>
      </c>
      <c r="AC446" s="91">
        <v>0.0</v>
      </c>
      <c r="AD446" s="84">
        <v>0.0</v>
      </c>
      <c r="AE446" s="84">
        <v>0.0</v>
      </c>
      <c r="AF446" s="84">
        <v>0.0</v>
      </c>
      <c r="AG446" s="84">
        <v>0.0</v>
      </c>
      <c r="AH446" s="84">
        <v>0.0</v>
      </c>
      <c r="AI446" s="84">
        <v>0.0</v>
      </c>
      <c r="AJ446" s="84">
        <v>0.0</v>
      </c>
      <c r="AK446" s="84">
        <v>0.0</v>
      </c>
      <c r="AL446" s="84">
        <v>0.0</v>
      </c>
      <c r="AM446" s="84">
        <v>0.0</v>
      </c>
      <c r="AN446" s="93">
        <f t="shared" si="1"/>
        <v>0</v>
      </c>
      <c r="AO446" s="84">
        <f t="shared" si="2"/>
        <v>0</v>
      </c>
    </row>
    <row r="447" ht="12.75" customHeight="1">
      <c r="A447" s="84" t="s">
        <v>3948</v>
      </c>
      <c r="B447" s="84">
        <v>0.0</v>
      </c>
      <c r="C447" s="84">
        <v>0.0</v>
      </c>
      <c r="D447" s="84">
        <v>0.0</v>
      </c>
      <c r="E447" s="84">
        <v>0.0</v>
      </c>
      <c r="F447" s="84">
        <v>0.0</v>
      </c>
      <c r="G447" s="84">
        <v>0.0</v>
      </c>
      <c r="H447" s="84">
        <v>6.0</v>
      </c>
      <c r="I447" s="91">
        <v>0.0</v>
      </c>
      <c r="J447" s="84">
        <v>0.0</v>
      </c>
      <c r="K447" s="84">
        <v>0.0</v>
      </c>
      <c r="L447" s="84">
        <v>0.0</v>
      </c>
      <c r="M447" s="84">
        <v>0.0</v>
      </c>
      <c r="N447" s="84">
        <v>0.0</v>
      </c>
      <c r="O447" s="84">
        <v>0.0</v>
      </c>
      <c r="P447" s="84">
        <v>0.0</v>
      </c>
      <c r="Q447" s="84">
        <v>0.0</v>
      </c>
      <c r="R447" s="84">
        <v>0.0</v>
      </c>
      <c r="S447" s="84">
        <v>0.0</v>
      </c>
      <c r="T447" s="84">
        <v>0.0</v>
      </c>
      <c r="U447" s="84">
        <v>0.0</v>
      </c>
      <c r="V447" s="84">
        <v>0.0</v>
      </c>
      <c r="W447" s="84">
        <v>0.0</v>
      </c>
      <c r="X447" s="84">
        <v>0.0</v>
      </c>
      <c r="Y447" s="84">
        <v>0.0</v>
      </c>
      <c r="Z447" s="84">
        <v>0.0</v>
      </c>
      <c r="AA447" s="84">
        <v>0.0</v>
      </c>
      <c r="AB447" s="84">
        <v>6.0</v>
      </c>
      <c r="AC447" s="91">
        <v>0.0</v>
      </c>
      <c r="AD447" s="84">
        <v>0.0</v>
      </c>
      <c r="AE447" s="84">
        <v>0.0</v>
      </c>
      <c r="AF447" s="84">
        <v>0.0</v>
      </c>
      <c r="AG447" s="84">
        <v>0.0</v>
      </c>
      <c r="AH447" s="84">
        <v>0.0</v>
      </c>
      <c r="AI447" s="84">
        <v>0.0</v>
      </c>
      <c r="AJ447" s="84">
        <v>0.0</v>
      </c>
      <c r="AK447" s="84">
        <v>0.0</v>
      </c>
      <c r="AL447" s="84">
        <v>0.0</v>
      </c>
      <c r="AM447" s="84">
        <v>0.0</v>
      </c>
      <c r="AN447" s="93">
        <f t="shared" si="1"/>
        <v>0</v>
      </c>
      <c r="AO447" s="84">
        <f t="shared" si="2"/>
        <v>0</v>
      </c>
    </row>
    <row r="448" ht="12.75" customHeight="1">
      <c r="A448" s="84" t="s">
        <v>3606</v>
      </c>
      <c r="B448" s="84">
        <v>0.0</v>
      </c>
      <c r="C448" s="84">
        <v>0.0</v>
      </c>
      <c r="D448" s="84">
        <v>0.0</v>
      </c>
      <c r="E448" s="84">
        <v>0.0</v>
      </c>
      <c r="F448" s="84">
        <v>4.0</v>
      </c>
      <c r="G448" s="84">
        <v>1.0</v>
      </c>
      <c r="H448" s="84">
        <v>0.0</v>
      </c>
      <c r="I448" s="91">
        <v>0.0</v>
      </c>
      <c r="J448" s="84">
        <v>0.0</v>
      </c>
      <c r="K448" s="84">
        <v>0.0</v>
      </c>
      <c r="L448" s="84">
        <v>0.0</v>
      </c>
      <c r="M448" s="84">
        <v>0.0</v>
      </c>
      <c r="N448" s="84">
        <v>0.0</v>
      </c>
      <c r="O448" s="84">
        <v>0.0</v>
      </c>
      <c r="P448" s="84">
        <v>0.0</v>
      </c>
      <c r="Q448" s="84">
        <v>0.0</v>
      </c>
      <c r="R448" s="84">
        <v>0.0</v>
      </c>
      <c r="S448" s="84">
        <v>0.0</v>
      </c>
      <c r="T448" s="84">
        <v>0.0</v>
      </c>
      <c r="U448" s="84">
        <v>0.0</v>
      </c>
      <c r="V448" s="84">
        <v>0.0</v>
      </c>
      <c r="W448" s="84">
        <v>0.0</v>
      </c>
      <c r="X448" s="84">
        <v>0.0</v>
      </c>
      <c r="Y448" s="84">
        <v>0.0</v>
      </c>
      <c r="Z448" s="84">
        <v>6.0</v>
      </c>
      <c r="AA448" s="84">
        <v>6.0</v>
      </c>
      <c r="AB448" s="84">
        <v>0.0</v>
      </c>
      <c r="AC448" s="91">
        <v>0.0</v>
      </c>
      <c r="AD448" s="84">
        <v>0.0</v>
      </c>
      <c r="AE448" s="84">
        <v>0.0</v>
      </c>
      <c r="AF448" s="84">
        <v>0.0</v>
      </c>
      <c r="AG448" s="84">
        <v>0.0</v>
      </c>
      <c r="AH448" s="84">
        <v>0.0</v>
      </c>
      <c r="AI448" s="84">
        <v>0.0</v>
      </c>
      <c r="AJ448" s="84">
        <v>0.0</v>
      </c>
      <c r="AK448" s="84">
        <v>0.0</v>
      </c>
      <c r="AL448" s="84">
        <v>0.0</v>
      </c>
      <c r="AM448" s="84">
        <v>0.0</v>
      </c>
      <c r="AN448" s="93">
        <f t="shared" si="1"/>
        <v>0</v>
      </c>
      <c r="AO448" s="84">
        <f t="shared" si="2"/>
        <v>0</v>
      </c>
    </row>
    <row r="449" ht="12.75" customHeight="1">
      <c r="A449" s="84" t="s">
        <v>4567</v>
      </c>
      <c r="B449" s="84">
        <v>0.0</v>
      </c>
      <c r="C449" s="84">
        <v>0.0</v>
      </c>
      <c r="D449" s="84">
        <v>0.0</v>
      </c>
      <c r="E449" s="84">
        <v>0.0</v>
      </c>
      <c r="F449" s="84">
        <v>0.0</v>
      </c>
      <c r="G449" s="84">
        <v>0.0</v>
      </c>
      <c r="H449" s="84">
        <v>0.0</v>
      </c>
      <c r="I449" s="91">
        <v>0.0</v>
      </c>
      <c r="J449" s="84">
        <v>0.0</v>
      </c>
      <c r="K449" s="84">
        <v>0.0</v>
      </c>
      <c r="L449" s="84">
        <v>0.0</v>
      </c>
      <c r="M449" s="84">
        <v>0.0</v>
      </c>
      <c r="N449" s="84">
        <v>0.0</v>
      </c>
      <c r="O449" s="84">
        <v>0.0</v>
      </c>
      <c r="P449" s="84">
        <v>0.0</v>
      </c>
      <c r="Q449" s="84">
        <v>0.0</v>
      </c>
      <c r="R449" s="84">
        <v>0.0</v>
      </c>
      <c r="S449" s="84">
        <v>0.0</v>
      </c>
      <c r="T449" s="84">
        <v>0.0</v>
      </c>
      <c r="U449" s="84">
        <v>0.0</v>
      </c>
      <c r="V449" s="84">
        <v>0.0</v>
      </c>
      <c r="W449" s="84">
        <v>0.0</v>
      </c>
      <c r="X449" s="84">
        <v>0.0</v>
      </c>
      <c r="Y449" s="84">
        <v>0.0</v>
      </c>
      <c r="Z449" s="84">
        <v>0.0</v>
      </c>
      <c r="AA449" s="84">
        <v>0.0</v>
      </c>
      <c r="AB449" s="84">
        <v>0.0</v>
      </c>
      <c r="AC449" s="91">
        <v>0.0</v>
      </c>
      <c r="AD449" s="84">
        <v>0.0</v>
      </c>
      <c r="AE449" s="84">
        <v>0.0</v>
      </c>
      <c r="AF449" s="84">
        <v>0.0</v>
      </c>
      <c r="AG449" s="84">
        <v>0.0</v>
      </c>
      <c r="AH449" s="84">
        <v>1.0</v>
      </c>
      <c r="AI449" s="84">
        <v>0.0</v>
      </c>
      <c r="AJ449" s="84">
        <v>0.0</v>
      </c>
      <c r="AK449" s="84">
        <v>0.0</v>
      </c>
      <c r="AL449" s="84">
        <v>0.0</v>
      </c>
      <c r="AM449" s="84">
        <v>0.0</v>
      </c>
      <c r="AN449" s="93">
        <f t="shared" si="1"/>
        <v>0</v>
      </c>
      <c r="AO449" s="84">
        <f t="shared" si="2"/>
        <v>1</v>
      </c>
    </row>
    <row r="450" ht="12.75" customHeight="1">
      <c r="A450" s="84" t="s">
        <v>4495</v>
      </c>
      <c r="B450" s="84">
        <v>0.0</v>
      </c>
      <c r="C450" s="84">
        <v>0.0</v>
      </c>
      <c r="D450" s="84">
        <v>0.0</v>
      </c>
      <c r="E450" s="84">
        <v>0.0</v>
      </c>
      <c r="F450" s="84">
        <v>0.0</v>
      </c>
      <c r="G450" s="84">
        <v>0.0</v>
      </c>
      <c r="H450" s="84">
        <v>0.0</v>
      </c>
      <c r="I450" s="91">
        <v>0.0</v>
      </c>
      <c r="J450" s="84">
        <v>0.0</v>
      </c>
      <c r="K450" s="84">
        <v>0.0</v>
      </c>
      <c r="L450" s="84">
        <v>0.0</v>
      </c>
      <c r="M450" s="84">
        <v>0.0</v>
      </c>
      <c r="N450" s="84">
        <v>1.0</v>
      </c>
      <c r="O450" s="84">
        <v>0.0</v>
      </c>
      <c r="P450" s="84">
        <v>0.0</v>
      </c>
      <c r="Q450" s="84">
        <v>0.0</v>
      </c>
      <c r="R450" s="84">
        <v>0.0</v>
      </c>
      <c r="S450" s="84">
        <v>0.0</v>
      </c>
      <c r="T450" s="84">
        <v>0.0</v>
      </c>
      <c r="U450" s="84">
        <v>0.0</v>
      </c>
      <c r="V450" s="84">
        <v>0.0</v>
      </c>
      <c r="W450" s="84">
        <v>0.0</v>
      </c>
      <c r="X450" s="84">
        <v>0.0</v>
      </c>
      <c r="Y450" s="84">
        <v>0.0</v>
      </c>
      <c r="Z450" s="84">
        <v>0.0</v>
      </c>
      <c r="AA450" s="84">
        <v>0.0</v>
      </c>
      <c r="AB450" s="84">
        <v>0.0</v>
      </c>
      <c r="AC450" s="91">
        <v>0.0</v>
      </c>
      <c r="AD450" s="84">
        <v>0.0</v>
      </c>
      <c r="AE450" s="84">
        <v>0.0</v>
      </c>
      <c r="AF450" s="84">
        <v>0.0</v>
      </c>
      <c r="AG450" s="84">
        <v>0.0</v>
      </c>
      <c r="AH450" s="84">
        <v>0.0</v>
      </c>
      <c r="AI450" s="84">
        <v>0.0</v>
      </c>
      <c r="AJ450" s="84">
        <v>0.0</v>
      </c>
      <c r="AK450" s="84">
        <v>0.0</v>
      </c>
      <c r="AL450" s="84">
        <v>0.0</v>
      </c>
      <c r="AM450" s="84">
        <v>0.0</v>
      </c>
      <c r="AN450" s="93">
        <f t="shared" si="1"/>
        <v>0</v>
      </c>
      <c r="AO450" s="84">
        <f t="shared" si="2"/>
        <v>1</v>
      </c>
    </row>
    <row r="451" ht="12.75" customHeight="1">
      <c r="A451" s="84" t="s">
        <v>4629</v>
      </c>
      <c r="B451" s="84">
        <v>0.0</v>
      </c>
      <c r="C451" s="84">
        <v>0.0</v>
      </c>
      <c r="D451" s="84">
        <v>0.0</v>
      </c>
      <c r="E451" s="84">
        <v>0.0</v>
      </c>
      <c r="F451" s="84">
        <v>0.0</v>
      </c>
      <c r="G451" s="84">
        <v>0.0</v>
      </c>
      <c r="H451" s="84">
        <v>0.0</v>
      </c>
      <c r="I451" s="91">
        <v>0.0</v>
      </c>
      <c r="J451" s="84">
        <v>0.0</v>
      </c>
      <c r="K451" s="84">
        <v>0.0</v>
      </c>
      <c r="L451" s="84">
        <v>0.0</v>
      </c>
      <c r="M451" s="84">
        <v>0.0</v>
      </c>
      <c r="N451" s="84">
        <v>0.0</v>
      </c>
      <c r="O451" s="84">
        <v>0.0</v>
      </c>
      <c r="P451" s="84">
        <v>0.0</v>
      </c>
      <c r="Q451" s="84">
        <v>0.0</v>
      </c>
      <c r="R451" s="84">
        <v>0.0</v>
      </c>
      <c r="S451" s="84">
        <v>0.0</v>
      </c>
      <c r="T451" s="84">
        <v>0.0</v>
      </c>
      <c r="U451" s="84">
        <v>0.0</v>
      </c>
      <c r="V451" s="84">
        <v>0.0</v>
      </c>
      <c r="W451" s="84">
        <v>0.0</v>
      </c>
      <c r="X451" s="84">
        <v>0.0</v>
      </c>
      <c r="Y451" s="84">
        <v>0.0</v>
      </c>
      <c r="Z451" s="84">
        <v>0.0</v>
      </c>
      <c r="AA451" s="84">
        <v>0.0</v>
      </c>
      <c r="AB451" s="84">
        <v>0.0</v>
      </c>
      <c r="AC451" s="91">
        <v>0.0</v>
      </c>
      <c r="AD451" s="84">
        <v>0.0</v>
      </c>
      <c r="AE451" s="84">
        <v>0.0</v>
      </c>
      <c r="AF451" s="84">
        <v>0.0</v>
      </c>
      <c r="AG451" s="84">
        <v>0.0</v>
      </c>
      <c r="AH451" s="84">
        <v>0.0</v>
      </c>
      <c r="AI451" s="84">
        <v>0.0</v>
      </c>
      <c r="AJ451" s="84">
        <v>0.0</v>
      </c>
      <c r="AK451" s="84">
        <v>1.0</v>
      </c>
      <c r="AL451" s="84">
        <v>0.0</v>
      </c>
      <c r="AM451" s="84">
        <v>0.0</v>
      </c>
      <c r="AN451" s="93">
        <f t="shared" si="1"/>
        <v>0</v>
      </c>
      <c r="AO451" s="84">
        <f t="shared" si="2"/>
        <v>1</v>
      </c>
    </row>
    <row r="452" ht="12.75" customHeight="1">
      <c r="A452" s="84" t="s">
        <v>4484</v>
      </c>
      <c r="B452" s="84">
        <v>0.0</v>
      </c>
      <c r="C452" s="84">
        <v>0.0</v>
      </c>
      <c r="D452" s="84">
        <v>0.0</v>
      </c>
      <c r="E452" s="84">
        <v>0.0</v>
      </c>
      <c r="F452" s="84">
        <v>0.0</v>
      </c>
      <c r="G452" s="84">
        <v>0.0</v>
      </c>
      <c r="H452" s="84">
        <v>0.0</v>
      </c>
      <c r="I452" s="91">
        <v>0.0</v>
      </c>
      <c r="J452" s="84">
        <v>0.0</v>
      </c>
      <c r="K452" s="84">
        <v>0.0</v>
      </c>
      <c r="L452" s="84">
        <v>0.0</v>
      </c>
      <c r="M452" s="84">
        <v>0.0</v>
      </c>
      <c r="N452" s="84">
        <v>0.0</v>
      </c>
      <c r="O452" s="84">
        <v>0.0</v>
      </c>
      <c r="P452" s="84">
        <v>0.0</v>
      </c>
      <c r="Q452" s="84">
        <v>0.0</v>
      </c>
      <c r="R452" s="84">
        <v>0.0</v>
      </c>
      <c r="S452" s="84">
        <v>0.0</v>
      </c>
      <c r="T452" s="84">
        <v>0.0</v>
      </c>
      <c r="U452" s="84">
        <v>0.0</v>
      </c>
      <c r="V452" s="84">
        <v>0.0</v>
      </c>
      <c r="W452" s="84">
        <v>0.0</v>
      </c>
      <c r="X452" s="84">
        <v>0.0</v>
      </c>
      <c r="Y452" s="84">
        <v>0.0</v>
      </c>
      <c r="Z452" s="84">
        <v>0.0</v>
      </c>
      <c r="AA452" s="84">
        <v>0.0</v>
      </c>
      <c r="AB452" s="84">
        <v>0.0</v>
      </c>
      <c r="AC452" s="91">
        <v>0.0</v>
      </c>
      <c r="AD452" s="84">
        <v>0.0</v>
      </c>
      <c r="AE452" s="84">
        <v>1.0</v>
      </c>
      <c r="AF452" s="84">
        <v>0.0</v>
      </c>
      <c r="AG452" s="84">
        <v>0.0</v>
      </c>
      <c r="AH452" s="84">
        <v>0.0</v>
      </c>
      <c r="AI452" s="84">
        <v>0.0</v>
      </c>
      <c r="AJ452" s="84">
        <v>0.0</v>
      </c>
      <c r="AK452" s="84">
        <v>0.0</v>
      </c>
      <c r="AL452" s="84">
        <v>0.0</v>
      </c>
      <c r="AM452" s="84">
        <v>0.0</v>
      </c>
      <c r="AN452" s="93">
        <f t="shared" si="1"/>
        <v>0</v>
      </c>
      <c r="AO452" s="84">
        <f t="shared" si="2"/>
        <v>1</v>
      </c>
    </row>
    <row r="453" ht="12.75" customHeight="1">
      <c r="A453" s="84" t="s">
        <v>4486</v>
      </c>
      <c r="B453" s="84">
        <v>0.0</v>
      </c>
      <c r="C453" s="84">
        <v>0.0</v>
      </c>
      <c r="D453" s="84">
        <v>0.0</v>
      </c>
      <c r="E453" s="84">
        <v>0.0</v>
      </c>
      <c r="F453" s="84">
        <v>0.0</v>
      </c>
      <c r="G453" s="84">
        <v>0.0</v>
      </c>
      <c r="H453" s="84">
        <v>0.0</v>
      </c>
      <c r="I453" s="91">
        <v>0.0</v>
      </c>
      <c r="J453" s="84">
        <v>0.0</v>
      </c>
      <c r="K453" s="84">
        <v>0.0</v>
      </c>
      <c r="L453" s="84">
        <v>0.0</v>
      </c>
      <c r="M453" s="84">
        <v>0.0</v>
      </c>
      <c r="N453" s="84">
        <v>0.0</v>
      </c>
      <c r="O453" s="84">
        <v>0.0</v>
      </c>
      <c r="P453" s="84">
        <v>0.0</v>
      </c>
      <c r="Q453" s="84">
        <v>0.0</v>
      </c>
      <c r="R453" s="84">
        <v>0.0</v>
      </c>
      <c r="S453" s="84">
        <v>0.0</v>
      </c>
      <c r="T453" s="84">
        <v>0.0</v>
      </c>
      <c r="U453" s="84">
        <v>0.0</v>
      </c>
      <c r="V453" s="84">
        <v>0.0</v>
      </c>
      <c r="W453" s="84">
        <v>0.0</v>
      </c>
      <c r="X453" s="84">
        <v>0.0</v>
      </c>
      <c r="Y453" s="84">
        <v>0.0</v>
      </c>
      <c r="Z453" s="84">
        <v>0.0</v>
      </c>
      <c r="AA453" s="84">
        <v>0.0</v>
      </c>
      <c r="AB453" s="84">
        <v>0.0</v>
      </c>
      <c r="AC453" s="91">
        <v>0.0</v>
      </c>
      <c r="AD453" s="84">
        <v>0.0</v>
      </c>
      <c r="AE453" s="84">
        <v>1.0</v>
      </c>
      <c r="AF453" s="84">
        <v>0.0</v>
      </c>
      <c r="AG453" s="84">
        <v>0.0</v>
      </c>
      <c r="AH453" s="84">
        <v>0.0</v>
      </c>
      <c r="AI453" s="84">
        <v>0.0</v>
      </c>
      <c r="AJ453" s="84">
        <v>0.0</v>
      </c>
      <c r="AK453" s="84">
        <v>0.0</v>
      </c>
      <c r="AL453" s="84">
        <v>0.0</v>
      </c>
      <c r="AM453" s="84">
        <v>0.0</v>
      </c>
      <c r="AN453" s="93">
        <f t="shared" si="1"/>
        <v>0</v>
      </c>
      <c r="AO453" s="84">
        <f t="shared" si="2"/>
        <v>1</v>
      </c>
    </row>
    <row r="454" ht="12.75" customHeight="1">
      <c r="A454" s="84" t="s">
        <v>3913</v>
      </c>
      <c r="B454" s="84">
        <v>0.0</v>
      </c>
      <c r="C454" s="84">
        <v>0.0</v>
      </c>
      <c r="D454" s="84">
        <v>0.0</v>
      </c>
      <c r="E454" s="84">
        <v>0.0</v>
      </c>
      <c r="F454" s="84">
        <v>0.0</v>
      </c>
      <c r="G454" s="84">
        <v>0.0</v>
      </c>
      <c r="H454" s="84">
        <v>7.0</v>
      </c>
      <c r="I454" s="91">
        <v>0.0</v>
      </c>
      <c r="J454" s="84">
        <v>0.0</v>
      </c>
      <c r="K454" s="84">
        <v>0.0</v>
      </c>
      <c r="L454" s="84">
        <v>0.0</v>
      </c>
      <c r="M454" s="84">
        <v>0.0</v>
      </c>
      <c r="N454" s="84">
        <v>0.0</v>
      </c>
      <c r="O454" s="84">
        <v>0.0</v>
      </c>
      <c r="P454" s="84">
        <v>0.0</v>
      </c>
      <c r="Q454" s="84">
        <v>0.0</v>
      </c>
      <c r="R454" s="84">
        <v>0.0</v>
      </c>
      <c r="S454" s="84">
        <v>0.0</v>
      </c>
      <c r="T454" s="84">
        <v>0.0</v>
      </c>
      <c r="U454" s="84">
        <v>0.0</v>
      </c>
      <c r="V454" s="84">
        <v>0.0</v>
      </c>
      <c r="W454" s="84">
        <v>0.0</v>
      </c>
      <c r="X454" s="84">
        <v>0.0</v>
      </c>
      <c r="Y454" s="84">
        <v>0.0</v>
      </c>
      <c r="Z454" s="84">
        <v>0.0</v>
      </c>
      <c r="AA454" s="84">
        <v>0.0</v>
      </c>
      <c r="AB454" s="84">
        <v>6.0</v>
      </c>
      <c r="AC454" s="91">
        <v>0.0</v>
      </c>
      <c r="AD454" s="84">
        <v>0.0</v>
      </c>
      <c r="AE454" s="84">
        <v>0.0</v>
      </c>
      <c r="AF454" s="84">
        <v>0.0</v>
      </c>
      <c r="AG454" s="84">
        <v>0.0</v>
      </c>
      <c r="AH454" s="84">
        <v>0.0</v>
      </c>
      <c r="AI454" s="84">
        <v>0.0</v>
      </c>
      <c r="AJ454" s="84">
        <v>0.0</v>
      </c>
      <c r="AK454" s="84">
        <v>0.0</v>
      </c>
      <c r="AL454" s="84">
        <v>0.0</v>
      </c>
      <c r="AM454" s="84">
        <v>0.0</v>
      </c>
      <c r="AN454" s="93">
        <f t="shared" si="1"/>
        <v>0</v>
      </c>
      <c r="AO454" s="84">
        <f t="shared" si="2"/>
        <v>0</v>
      </c>
    </row>
    <row r="455" ht="12.75" customHeight="1">
      <c r="A455" s="84" t="s">
        <v>2903</v>
      </c>
      <c r="B455" s="84">
        <v>2.0</v>
      </c>
      <c r="C455" s="84">
        <v>1.0</v>
      </c>
      <c r="D455" s="84">
        <v>0.0</v>
      </c>
      <c r="E455" s="84">
        <v>0.0</v>
      </c>
      <c r="F455" s="84">
        <v>0.0</v>
      </c>
      <c r="G455" s="84">
        <v>0.0</v>
      </c>
      <c r="H455" s="84">
        <v>0.0</v>
      </c>
      <c r="I455" s="91">
        <v>0.0</v>
      </c>
      <c r="J455" s="84">
        <v>0.0</v>
      </c>
      <c r="K455" s="84">
        <v>0.0</v>
      </c>
      <c r="L455" s="84">
        <v>0.0</v>
      </c>
      <c r="M455" s="84">
        <v>0.0</v>
      </c>
      <c r="N455" s="84">
        <v>0.0</v>
      </c>
      <c r="O455" s="84">
        <v>0.0</v>
      </c>
      <c r="P455" s="84">
        <v>0.0</v>
      </c>
      <c r="Q455" s="84">
        <v>0.0</v>
      </c>
      <c r="R455" s="84">
        <v>0.0</v>
      </c>
      <c r="S455" s="84">
        <v>0.0</v>
      </c>
      <c r="T455" s="84">
        <v>0.0</v>
      </c>
      <c r="U455" s="84">
        <v>0.0</v>
      </c>
      <c r="V455" s="84">
        <v>1.0</v>
      </c>
      <c r="W455" s="84">
        <v>0.0</v>
      </c>
      <c r="X455" s="84">
        <v>0.0</v>
      </c>
      <c r="Y455" s="84">
        <v>0.0</v>
      </c>
      <c r="Z455" s="84">
        <v>0.0</v>
      </c>
      <c r="AA455" s="84">
        <v>0.0</v>
      </c>
      <c r="AB455" s="84">
        <v>0.0</v>
      </c>
      <c r="AC455" s="91">
        <v>0.0</v>
      </c>
      <c r="AD455" s="84">
        <v>0.0</v>
      </c>
      <c r="AE455" s="84">
        <v>0.0</v>
      </c>
      <c r="AF455" s="84">
        <v>0.0</v>
      </c>
      <c r="AG455" s="84">
        <v>0.0</v>
      </c>
      <c r="AH455" s="84">
        <v>0.0</v>
      </c>
      <c r="AI455" s="84">
        <v>0.0</v>
      </c>
      <c r="AJ455" s="84">
        <v>0.0</v>
      </c>
      <c r="AK455" s="84">
        <v>0.0</v>
      </c>
      <c r="AL455" s="84">
        <v>0.0</v>
      </c>
      <c r="AM455" s="84">
        <v>0.0</v>
      </c>
      <c r="AN455" s="93">
        <f t="shared" si="1"/>
        <v>0</v>
      </c>
      <c r="AO455" s="84">
        <f t="shared" si="2"/>
        <v>0</v>
      </c>
    </row>
    <row r="456" ht="12.75" customHeight="1">
      <c r="A456" s="84" t="s">
        <v>2721</v>
      </c>
      <c r="B456" s="84">
        <v>2.0</v>
      </c>
      <c r="C456" s="84">
        <v>2.0</v>
      </c>
      <c r="D456" s="84">
        <v>0.0</v>
      </c>
      <c r="E456" s="84">
        <v>0.0</v>
      </c>
      <c r="F456" s="84">
        <v>0.0</v>
      </c>
      <c r="G456" s="84">
        <v>0.0</v>
      </c>
      <c r="H456" s="84">
        <v>0.0</v>
      </c>
      <c r="I456" s="91">
        <v>0.0</v>
      </c>
      <c r="J456" s="84">
        <v>0.0</v>
      </c>
      <c r="K456" s="84">
        <v>0.0</v>
      </c>
      <c r="L456" s="84">
        <v>0.0</v>
      </c>
      <c r="M456" s="84">
        <v>0.0</v>
      </c>
      <c r="N456" s="84">
        <v>0.0</v>
      </c>
      <c r="O456" s="84">
        <v>0.0</v>
      </c>
      <c r="P456" s="84">
        <v>0.0</v>
      </c>
      <c r="Q456" s="84">
        <v>0.0</v>
      </c>
      <c r="R456" s="84">
        <v>0.0</v>
      </c>
      <c r="S456" s="84">
        <v>0.0</v>
      </c>
      <c r="T456" s="84">
        <v>0.0</v>
      </c>
      <c r="U456" s="84">
        <v>0.0</v>
      </c>
      <c r="V456" s="84">
        <v>2.0</v>
      </c>
      <c r="W456" s="84">
        <v>2.0</v>
      </c>
      <c r="X456" s="84">
        <v>0.0</v>
      </c>
      <c r="Y456" s="84">
        <v>0.0</v>
      </c>
      <c r="Z456" s="84">
        <v>0.0</v>
      </c>
      <c r="AA456" s="84">
        <v>0.0</v>
      </c>
      <c r="AB456" s="84">
        <v>0.0</v>
      </c>
      <c r="AC456" s="91">
        <v>0.0</v>
      </c>
      <c r="AD456" s="84">
        <v>0.0</v>
      </c>
      <c r="AE456" s="84">
        <v>0.0</v>
      </c>
      <c r="AF456" s="84">
        <v>0.0</v>
      </c>
      <c r="AG456" s="84">
        <v>0.0</v>
      </c>
      <c r="AH456" s="84">
        <v>0.0</v>
      </c>
      <c r="AI456" s="84">
        <v>0.0</v>
      </c>
      <c r="AJ456" s="84">
        <v>0.0</v>
      </c>
      <c r="AK456" s="84">
        <v>0.0</v>
      </c>
      <c r="AL456" s="84">
        <v>0.0</v>
      </c>
      <c r="AM456" s="84">
        <v>0.0</v>
      </c>
      <c r="AN456" s="93">
        <f t="shared" si="1"/>
        <v>0</v>
      </c>
      <c r="AO456" s="84">
        <f t="shared" si="2"/>
        <v>0</v>
      </c>
    </row>
    <row r="457" ht="12.75" customHeight="1">
      <c r="A457" s="84" t="s">
        <v>4293</v>
      </c>
      <c r="B457" s="84">
        <v>0.0</v>
      </c>
      <c r="C457" s="84">
        <v>0.0</v>
      </c>
      <c r="D457" s="84">
        <v>0.0</v>
      </c>
      <c r="E457" s="84">
        <v>0.0</v>
      </c>
      <c r="F457" s="84">
        <v>0.0</v>
      </c>
      <c r="G457" s="84">
        <v>0.0</v>
      </c>
      <c r="H457" s="84">
        <v>0.0</v>
      </c>
      <c r="I457" s="91">
        <v>0.0</v>
      </c>
      <c r="J457" s="84">
        <v>0.0</v>
      </c>
      <c r="K457" s="84">
        <v>0.0</v>
      </c>
      <c r="L457" s="84">
        <v>0.0</v>
      </c>
      <c r="M457" s="84">
        <v>0.0</v>
      </c>
      <c r="N457" s="84">
        <v>0.0</v>
      </c>
      <c r="O457" s="84">
        <v>0.0</v>
      </c>
      <c r="P457" s="84">
        <v>0.0</v>
      </c>
      <c r="Q457" s="84">
        <v>0.0</v>
      </c>
      <c r="R457" s="84">
        <v>0.0</v>
      </c>
      <c r="S457" s="84">
        <v>0.0</v>
      </c>
      <c r="T457" s="84">
        <v>0.0</v>
      </c>
      <c r="U457" s="84">
        <v>0.0</v>
      </c>
      <c r="V457" s="84">
        <v>0.0</v>
      </c>
      <c r="W457" s="84">
        <v>0.0</v>
      </c>
      <c r="X457" s="84">
        <v>0.0</v>
      </c>
      <c r="Y457" s="84">
        <v>0.0</v>
      </c>
      <c r="Z457" s="84">
        <v>0.0</v>
      </c>
      <c r="AA457" s="84">
        <v>0.0</v>
      </c>
      <c r="AB457" s="84">
        <v>0.0</v>
      </c>
      <c r="AC457" s="91">
        <v>0.0</v>
      </c>
      <c r="AD457" s="84">
        <v>0.0</v>
      </c>
      <c r="AE457" s="84">
        <v>0.0</v>
      </c>
      <c r="AF457" s="84">
        <v>0.0</v>
      </c>
      <c r="AG457" s="84">
        <v>0.0</v>
      </c>
      <c r="AH457" s="84">
        <v>0.0</v>
      </c>
      <c r="AI457" s="84">
        <v>0.0</v>
      </c>
      <c r="AJ457" s="84">
        <v>0.0</v>
      </c>
      <c r="AK457" s="84">
        <v>0.0</v>
      </c>
      <c r="AL457" s="84">
        <v>0.0</v>
      </c>
      <c r="AM457" s="84">
        <v>0.0</v>
      </c>
      <c r="AN457" s="93">
        <f t="shared" si="1"/>
        <v>0</v>
      </c>
      <c r="AO457" s="84">
        <f t="shared" si="2"/>
        <v>0</v>
      </c>
    </row>
    <row r="458" ht="12.75" customHeight="1">
      <c r="A458" s="84" t="s">
        <v>3649</v>
      </c>
      <c r="B458" s="84">
        <v>0.0</v>
      </c>
      <c r="C458" s="84">
        <v>0.0</v>
      </c>
      <c r="D458" s="84">
        <v>0.0</v>
      </c>
      <c r="E458" s="84">
        <v>0.0</v>
      </c>
      <c r="F458" s="84">
        <v>6.0</v>
      </c>
      <c r="G458" s="84">
        <v>1.0</v>
      </c>
      <c r="H458" s="84">
        <v>0.0</v>
      </c>
      <c r="I458" s="91">
        <v>0.0</v>
      </c>
      <c r="J458" s="84">
        <v>0.0</v>
      </c>
      <c r="K458" s="84">
        <v>0.0</v>
      </c>
      <c r="L458" s="84">
        <v>0.0</v>
      </c>
      <c r="M458" s="84">
        <v>0.0</v>
      </c>
      <c r="N458" s="84">
        <v>0.0</v>
      </c>
      <c r="O458" s="84">
        <v>0.0</v>
      </c>
      <c r="P458" s="84">
        <v>0.0</v>
      </c>
      <c r="Q458" s="84">
        <v>0.0</v>
      </c>
      <c r="R458" s="84">
        <v>0.0</v>
      </c>
      <c r="S458" s="84">
        <v>0.0</v>
      </c>
      <c r="T458" s="84">
        <v>0.0</v>
      </c>
      <c r="U458" s="84">
        <v>0.0</v>
      </c>
      <c r="V458" s="84">
        <v>0.0</v>
      </c>
      <c r="W458" s="84">
        <v>0.0</v>
      </c>
      <c r="X458" s="84">
        <v>0.0</v>
      </c>
      <c r="Y458" s="84">
        <v>0.0</v>
      </c>
      <c r="Z458" s="84">
        <v>6.0</v>
      </c>
      <c r="AA458" s="84">
        <v>1.0</v>
      </c>
      <c r="AB458" s="84">
        <v>0.0</v>
      </c>
      <c r="AC458" s="91">
        <v>0.0</v>
      </c>
      <c r="AD458" s="84">
        <v>0.0</v>
      </c>
      <c r="AE458" s="84">
        <v>0.0</v>
      </c>
      <c r="AF458" s="84">
        <v>0.0</v>
      </c>
      <c r="AG458" s="84">
        <v>0.0</v>
      </c>
      <c r="AH458" s="84">
        <v>0.0</v>
      </c>
      <c r="AI458" s="84">
        <v>0.0</v>
      </c>
      <c r="AJ458" s="84">
        <v>0.0</v>
      </c>
      <c r="AK458" s="84">
        <v>0.0</v>
      </c>
      <c r="AL458" s="84">
        <v>0.0</v>
      </c>
      <c r="AM458" s="84">
        <v>0.0</v>
      </c>
      <c r="AN458" s="93">
        <f t="shared" si="1"/>
        <v>0</v>
      </c>
      <c r="AO458" s="84">
        <f t="shared" si="2"/>
        <v>0</v>
      </c>
    </row>
    <row r="459" ht="12.75" customHeight="1">
      <c r="A459" s="84" t="s">
        <v>4507</v>
      </c>
      <c r="B459" s="84">
        <v>0.0</v>
      </c>
      <c r="C459" s="84">
        <v>0.0</v>
      </c>
      <c r="D459" s="84">
        <v>0.0</v>
      </c>
      <c r="E459" s="84">
        <v>0.0</v>
      </c>
      <c r="F459" s="84">
        <v>0.0</v>
      </c>
      <c r="G459" s="84">
        <v>0.0</v>
      </c>
      <c r="H459" s="84">
        <v>0.0</v>
      </c>
      <c r="I459" s="91">
        <v>0.0</v>
      </c>
      <c r="J459" s="84">
        <v>0.0</v>
      </c>
      <c r="K459" s="84">
        <v>0.0</v>
      </c>
      <c r="L459" s="84">
        <v>0.0</v>
      </c>
      <c r="M459" s="84">
        <v>0.0</v>
      </c>
      <c r="N459" s="84">
        <v>0.0</v>
      </c>
      <c r="O459" s="84">
        <v>0.0</v>
      </c>
      <c r="P459" s="84">
        <v>0.0</v>
      </c>
      <c r="Q459" s="84">
        <v>0.0</v>
      </c>
      <c r="R459" s="84">
        <v>0.0</v>
      </c>
      <c r="S459" s="84">
        <v>0.0</v>
      </c>
      <c r="T459" s="84">
        <v>0.0</v>
      </c>
      <c r="U459" s="84">
        <v>0.0</v>
      </c>
      <c r="V459" s="84">
        <v>0.0</v>
      </c>
      <c r="W459" s="84">
        <v>0.0</v>
      </c>
      <c r="X459" s="84">
        <v>0.0</v>
      </c>
      <c r="Y459" s="84">
        <v>0.0</v>
      </c>
      <c r="Z459" s="84">
        <v>0.0</v>
      </c>
      <c r="AA459" s="84">
        <v>0.0</v>
      </c>
      <c r="AB459" s="84">
        <v>0.0</v>
      </c>
      <c r="AC459" s="91">
        <v>0.0</v>
      </c>
      <c r="AD459" s="84">
        <v>0.0</v>
      </c>
      <c r="AE459" s="84">
        <v>0.0</v>
      </c>
      <c r="AF459" s="84">
        <v>1.0</v>
      </c>
      <c r="AG459" s="84">
        <v>0.0</v>
      </c>
      <c r="AH459" s="84">
        <v>0.0</v>
      </c>
      <c r="AI459" s="84">
        <v>0.0</v>
      </c>
      <c r="AJ459" s="84">
        <v>0.0</v>
      </c>
      <c r="AK459" s="84">
        <v>0.0</v>
      </c>
      <c r="AL459" s="84">
        <v>0.0</v>
      </c>
      <c r="AM459" s="84">
        <v>0.0</v>
      </c>
      <c r="AN459" s="93">
        <f t="shared" si="1"/>
        <v>0</v>
      </c>
      <c r="AO459" s="84">
        <f t="shared" si="2"/>
        <v>1</v>
      </c>
    </row>
    <row r="460" ht="12.75" customHeight="1">
      <c r="A460" s="84" t="s">
        <v>4466</v>
      </c>
      <c r="B460" s="84">
        <v>0.0</v>
      </c>
      <c r="C460" s="84">
        <v>0.0</v>
      </c>
      <c r="D460" s="84">
        <v>0.0</v>
      </c>
      <c r="E460" s="84">
        <v>0.0</v>
      </c>
      <c r="F460" s="84">
        <v>0.0</v>
      </c>
      <c r="G460" s="84">
        <v>0.0</v>
      </c>
      <c r="H460" s="84">
        <v>0.0</v>
      </c>
      <c r="I460" s="91">
        <v>0.0</v>
      </c>
      <c r="J460" s="84">
        <v>0.0</v>
      </c>
      <c r="K460" s="84">
        <v>0.0</v>
      </c>
      <c r="L460" s="84">
        <v>0.0</v>
      </c>
      <c r="M460" s="84">
        <v>1.0</v>
      </c>
      <c r="N460" s="84">
        <v>0.0</v>
      </c>
      <c r="O460" s="84">
        <v>0.0</v>
      </c>
      <c r="P460" s="84">
        <v>0.0</v>
      </c>
      <c r="Q460" s="84">
        <v>0.0</v>
      </c>
      <c r="R460" s="84">
        <v>0.0</v>
      </c>
      <c r="S460" s="84">
        <v>0.0</v>
      </c>
      <c r="T460" s="84">
        <v>0.0</v>
      </c>
      <c r="U460" s="84">
        <v>0.0</v>
      </c>
      <c r="V460" s="84">
        <v>0.0</v>
      </c>
      <c r="W460" s="84">
        <v>0.0</v>
      </c>
      <c r="X460" s="84">
        <v>0.0</v>
      </c>
      <c r="Y460" s="84">
        <v>0.0</v>
      </c>
      <c r="Z460" s="84">
        <v>0.0</v>
      </c>
      <c r="AA460" s="84">
        <v>0.0</v>
      </c>
      <c r="AB460" s="84">
        <v>0.0</v>
      </c>
      <c r="AC460" s="91">
        <v>0.0</v>
      </c>
      <c r="AD460" s="84">
        <v>0.0</v>
      </c>
      <c r="AE460" s="84">
        <v>0.0</v>
      </c>
      <c r="AF460" s="84">
        <v>0.0</v>
      </c>
      <c r="AG460" s="84">
        <v>0.0</v>
      </c>
      <c r="AH460" s="84">
        <v>0.0</v>
      </c>
      <c r="AI460" s="84">
        <v>0.0</v>
      </c>
      <c r="AJ460" s="84">
        <v>0.0</v>
      </c>
      <c r="AK460" s="84">
        <v>0.0</v>
      </c>
      <c r="AL460" s="84">
        <v>0.0</v>
      </c>
      <c r="AM460" s="84">
        <v>0.0</v>
      </c>
      <c r="AN460" s="93">
        <f t="shared" si="1"/>
        <v>0</v>
      </c>
      <c r="AO460" s="84">
        <f t="shared" si="2"/>
        <v>1</v>
      </c>
    </row>
    <row r="461" ht="12.75" customHeight="1">
      <c r="A461" s="84" t="s">
        <v>4493</v>
      </c>
      <c r="B461" s="84">
        <v>0.0</v>
      </c>
      <c r="C461" s="84">
        <v>0.0</v>
      </c>
      <c r="D461" s="84">
        <v>0.0</v>
      </c>
      <c r="E461" s="84">
        <v>0.0</v>
      </c>
      <c r="F461" s="84">
        <v>0.0</v>
      </c>
      <c r="G461" s="84">
        <v>0.0</v>
      </c>
      <c r="H461" s="84">
        <v>0.0</v>
      </c>
      <c r="I461" s="91">
        <v>0.0</v>
      </c>
      <c r="J461" s="84">
        <v>0.0</v>
      </c>
      <c r="K461" s="84">
        <v>0.0</v>
      </c>
      <c r="L461" s="84">
        <v>0.0</v>
      </c>
      <c r="M461" s="84">
        <v>0.0</v>
      </c>
      <c r="N461" s="84">
        <v>1.0</v>
      </c>
      <c r="O461" s="84">
        <v>0.0</v>
      </c>
      <c r="P461" s="84">
        <v>0.0</v>
      </c>
      <c r="Q461" s="84">
        <v>0.0</v>
      </c>
      <c r="R461" s="84">
        <v>0.0</v>
      </c>
      <c r="S461" s="84">
        <v>0.0</v>
      </c>
      <c r="T461" s="84">
        <v>0.0</v>
      </c>
      <c r="U461" s="84">
        <v>0.0</v>
      </c>
      <c r="V461" s="84">
        <v>0.0</v>
      </c>
      <c r="W461" s="84">
        <v>0.0</v>
      </c>
      <c r="X461" s="84">
        <v>0.0</v>
      </c>
      <c r="Y461" s="84">
        <v>0.0</v>
      </c>
      <c r="Z461" s="84">
        <v>0.0</v>
      </c>
      <c r="AA461" s="84">
        <v>0.0</v>
      </c>
      <c r="AB461" s="84">
        <v>0.0</v>
      </c>
      <c r="AC461" s="91">
        <v>0.0</v>
      </c>
      <c r="AD461" s="84">
        <v>0.0</v>
      </c>
      <c r="AE461" s="84">
        <v>0.0</v>
      </c>
      <c r="AF461" s="84">
        <v>0.0</v>
      </c>
      <c r="AG461" s="84">
        <v>0.0</v>
      </c>
      <c r="AH461" s="84">
        <v>0.0</v>
      </c>
      <c r="AI461" s="84">
        <v>0.0</v>
      </c>
      <c r="AJ461" s="84">
        <v>0.0</v>
      </c>
      <c r="AK461" s="84">
        <v>0.0</v>
      </c>
      <c r="AL461" s="84">
        <v>0.0</v>
      </c>
      <c r="AM461" s="84">
        <v>0.0</v>
      </c>
      <c r="AN461" s="93">
        <f t="shared" si="1"/>
        <v>0</v>
      </c>
      <c r="AO461" s="84">
        <f t="shared" si="2"/>
        <v>1</v>
      </c>
    </row>
    <row r="462" ht="12.75" customHeight="1">
      <c r="A462" s="84" t="s">
        <v>4658</v>
      </c>
      <c r="B462" s="84">
        <v>0.0</v>
      </c>
      <c r="C462" s="84">
        <v>0.0</v>
      </c>
      <c r="D462" s="84">
        <v>0.0</v>
      </c>
      <c r="E462" s="84">
        <v>0.0</v>
      </c>
      <c r="F462" s="84">
        <v>0.0</v>
      </c>
      <c r="G462" s="84">
        <v>0.0</v>
      </c>
      <c r="H462" s="84">
        <v>0.0</v>
      </c>
      <c r="I462" s="91">
        <v>0.0</v>
      </c>
      <c r="J462" s="84">
        <v>0.0</v>
      </c>
      <c r="K462" s="84">
        <v>0.0</v>
      </c>
      <c r="L462" s="84">
        <v>0.0</v>
      </c>
      <c r="M462" s="84">
        <v>0.0</v>
      </c>
      <c r="N462" s="84">
        <v>0.0</v>
      </c>
      <c r="O462" s="84">
        <v>0.0</v>
      </c>
      <c r="P462" s="84">
        <v>0.0</v>
      </c>
      <c r="Q462" s="84">
        <v>0.0</v>
      </c>
      <c r="R462" s="84">
        <v>0.0</v>
      </c>
      <c r="S462" s="84">
        <v>0.0</v>
      </c>
      <c r="T462" s="84">
        <v>0.0</v>
      </c>
      <c r="U462" s="84">
        <v>0.0</v>
      </c>
      <c r="V462" s="84">
        <v>0.0</v>
      </c>
      <c r="W462" s="84">
        <v>0.0</v>
      </c>
      <c r="X462" s="84">
        <v>0.0</v>
      </c>
      <c r="Y462" s="84">
        <v>0.0</v>
      </c>
      <c r="Z462" s="84">
        <v>0.0</v>
      </c>
      <c r="AA462" s="84">
        <v>0.0</v>
      </c>
      <c r="AB462" s="84">
        <v>0.0</v>
      </c>
      <c r="AC462" s="91">
        <v>0.0</v>
      </c>
      <c r="AD462" s="84">
        <v>0.0</v>
      </c>
      <c r="AE462" s="84">
        <v>0.0</v>
      </c>
      <c r="AF462" s="84">
        <v>0.0</v>
      </c>
      <c r="AG462" s="84">
        <v>0.0</v>
      </c>
      <c r="AH462" s="84">
        <v>0.0</v>
      </c>
      <c r="AI462" s="84">
        <v>0.0</v>
      </c>
      <c r="AJ462" s="84">
        <v>0.0</v>
      </c>
      <c r="AK462" s="84">
        <v>0.0</v>
      </c>
      <c r="AL462" s="84">
        <v>1.0</v>
      </c>
      <c r="AM462" s="84">
        <v>0.0</v>
      </c>
      <c r="AN462" s="93">
        <f t="shared" si="1"/>
        <v>0</v>
      </c>
      <c r="AO462" s="84">
        <f t="shared" si="2"/>
        <v>1</v>
      </c>
    </row>
    <row r="463" ht="12.75" customHeight="1">
      <c r="A463" s="84" t="s">
        <v>3804</v>
      </c>
      <c r="B463" s="84">
        <v>0.0</v>
      </c>
      <c r="C463" s="84">
        <v>0.0</v>
      </c>
      <c r="D463" s="84">
        <v>0.0</v>
      </c>
      <c r="E463" s="84">
        <v>0.0</v>
      </c>
      <c r="F463" s="84">
        <v>0.0</v>
      </c>
      <c r="G463" s="84">
        <v>4.0</v>
      </c>
      <c r="H463" s="84">
        <v>2.0</v>
      </c>
      <c r="I463" s="91">
        <v>0.0</v>
      </c>
      <c r="J463" s="84">
        <v>0.0</v>
      </c>
      <c r="K463" s="84">
        <v>0.0</v>
      </c>
      <c r="L463" s="84">
        <v>0.0</v>
      </c>
      <c r="M463" s="84">
        <v>0.0</v>
      </c>
      <c r="N463" s="84">
        <v>0.0</v>
      </c>
      <c r="O463" s="84">
        <v>0.0</v>
      </c>
      <c r="P463" s="84">
        <v>0.0</v>
      </c>
      <c r="Q463" s="84">
        <v>0.0</v>
      </c>
      <c r="R463" s="84">
        <v>0.0</v>
      </c>
      <c r="S463" s="84">
        <v>0.0</v>
      </c>
      <c r="T463" s="84">
        <v>0.0</v>
      </c>
      <c r="U463" s="84">
        <v>0.0</v>
      </c>
      <c r="V463" s="84">
        <v>0.0</v>
      </c>
      <c r="W463" s="84">
        <v>0.0</v>
      </c>
      <c r="X463" s="84">
        <v>0.0</v>
      </c>
      <c r="Y463" s="84">
        <v>0.0</v>
      </c>
      <c r="Z463" s="84">
        <v>0.0</v>
      </c>
      <c r="AA463" s="84">
        <v>6.0</v>
      </c>
      <c r="AB463" s="84">
        <v>4.0</v>
      </c>
      <c r="AC463" s="91">
        <v>0.0</v>
      </c>
      <c r="AD463" s="84">
        <v>0.0</v>
      </c>
      <c r="AE463" s="84">
        <v>0.0</v>
      </c>
      <c r="AF463" s="84">
        <v>0.0</v>
      </c>
      <c r="AG463" s="84">
        <v>0.0</v>
      </c>
      <c r="AH463" s="84">
        <v>0.0</v>
      </c>
      <c r="AI463" s="84">
        <v>0.0</v>
      </c>
      <c r="AJ463" s="84">
        <v>0.0</v>
      </c>
      <c r="AK463" s="84">
        <v>0.0</v>
      </c>
      <c r="AL463" s="84">
        <v>0.0</v>
      </c>
      <c r="AM463" s="84">
        <v>0.0</v>
      </c>
      <c r="AN463" s="93">
        <f t="shared" si="1"/>
        <v>0</v>
      </c>
      <c r="AO463" s="84">
        <f t="shared" si="2"/>
        <v>0</v>
      </c>
    </row>
    <row r="464" ht="12.75" customHeight="1">
      <c r="A464" s="84" t="s">
        <v>4459</v>
      </c>
      <c r="B464" s="84">
        <v>0.0</v>
      </c>
      <c r="C464" s="84">
        <v>0.0</v>
      </c>
      <c r="D464" s="84">
        <v>0.0</v>
      </c>
      <c r="E464" s="84">
        <v>0.0</v>
      </c>
      <c r="F464" s="84">
        <v>0.0</v>
      </c>
      <c r="G464" s="84">
        <v>0.0</v>
      </c>
      <c r="H464" s="84">
        <v>0.0</v>
      </c>
      <c r="I464" s="91">
        <v>0.0</v>
      </c>
      <c r="J464" s="84">
        <v>0.0</v>
      </c>
      <c r="K464" s="84">
        <v>0.0</v>
      </c>
      <c r="L464" s="84">
        <v>0.0</v>
      </c>
      <c r="M464" s="84">
        <v>0.0</v>
      </c>
      <c r="N464" s="84">
        <v>0.0</v>
      </c>
      <c r="O464" s="84">
        <v>0.0</v>
      </c>
      <c r="P464" s="84">
        <v>0.0</v>
      </c>
      <c r="Q464" s="84">
        <v>0.0</v>
      </c>
      <c r="R464" s="84">
        <v>0.0</v>
      </c>
      <c r="S464" s="84">
        <v>0.0</v>
      </c>
      <c r="T464" s="84">
        <v>0.0</v>
      </c>
      <c r="U464" s="84">
        <v>0.0</v>
      </c>
      <c r="V464" s="84">
        <v>0.0</v>
      </c>
      <c r="W464" s="84">
        <v>0.0</v>
      </c>
      <c r="X464" s="84">
        <v>0.0</v>
      </c>
      <c r="Y464" s="84">
        <v>0.0</v>
      </c>
      <c r="Z464" s="84">
        <v>0.0</v>
      </c>
      <c r="AA464" s="84">
        <v>0.0</v>
      </c>
      <c r="AB464" s="84">
        <v>0.0</v>
      </c>
      <c r="AC464" s="91">
        <v>0.0</v>
      </c>
      <c r="AD464" s="84">
        <v>1.0</v>
      </c>
      <c r="AE464" s="84">
        <v>0.0</v>
      </c>
      <c r="AF464" s="84">
        <v>0.0</v>
      </c>
      <c r="AG464" s="84">
        <v>0.0</v>
      </c>
      <c r="AH464" s="84">
        <v>0.0</v>
      </c>
      <c r="AI464" s="84">
        <v>0.0</v>
      </c>
      <c r="AJ464" s="84">
        <v>0.0</v>
      </c>
      <c r="AK464" s="84">
        <v>0.0</v>
      </c>
      <c r="AL464" s="84">
        <v>0.0</v>
      </c>
      <c r="AM464" s="84">
        <v>0.0</v>
      </c>
      <c r="AN464" s="93">
        <f t="shared" si="1"/>
        <v>0</v>
      </c>
      <c r="AO464" s="84">
        <f t="shared" si="2"/>
        <v>1</v>
      </c>
    </row>
    <row r="465" ht="12.75" customHeight="1">
      <c r="A465" s="84" t="s">
        <v>2793</v>
      </c>
      <c r="B465" s="84">
        <v>2.0</v>
      </c>
      <c r="C465" s="84">
        <v>1.0</v>
      </c>
      <c r="D465" s="84">
        <v>0.0</v>
      </c>
      <c r="E465" s="84">
        <v>0.0</v>
      </c>
      <c r="F465" s="84">
        <v>0.0</v>
      </c>
      <c r="G465" s="84">
        <v>0.0</v>
      </c>
      <c r="H465" s="84">
        <v>0.0</v>
      </c>
      <c r="I465" s="91">
        <v>0.0</v>
      </c>
      <c r="J465" s="84">
        <v>0.0</v>
      </c>
      <c r="K465" s="84">
        <v>0.0</v>
      </c>
      <c r="L465" s="84">
        <v>0.0</v>
      </c>
      <c r="M465" s="84">
        <v>0.0</v>
      </c>
      <c r="N465" s="84">
        <v>0.0</v>
      </c>
      <c r="O465" s="84">
        <v>0.0</v>
      </c>
      <c r="P465" s="84">
        <v>0.0</v>
      </c>
      <c r="Q465" s="84">
        <v>0.0</v>
      </c>
      <c r="R465" s="84">
        <v>0.0</v>
      </c>
      <c r="S465" s="84">
        <v>0.0</v>
      </c>
      <c r="T465" s="84">
        <v>0.0</v>
      </c>
      <c r="U465" s="84">
        <v>0.0</v>
      </c>
      <c r="V465" s="84">
        <v>2.0</v>
      </c>
      <c r="W465" s="84">
        <v>1.0</v>
      </c>
      <c r="X465" s="84">
        <v>0.0</v>
      </c>
      <c r="Y465" s="84">
        <v>0.0</v>
      </c>
      <c r="Z465" s="84">
        <v>0.0</v>
      </c>
      <c r="AA465" s="84">
        <v>0.0</v>
      </c>
      <c r="AB465" s="84">
        <v>0.0</v>
      </c>
      <c r="AC465" s="91">
        <v>0.0</v>
      </c>
      <c r="AD465" s="84">
        <v>0.0</v>
      </c>
      <c r="AE465" s="84">
        <v>0.0</v>
      </c>
      <c r="AF465" s="84">
        <v>0.0</v>
      </c>
      <c r="AG465" s="84">
        <v>0.0</v>
      </c>
      <c r="AH465" s="84">
        <v>0.0</v>
      </c>
      <c r="AI465" s="84">
        <v>0.0</v>
      </c>
      <c r="AJ465" s="84">
        <v>0.0</v>
      </c>
      <c r="AK465" s="84">
        <v>0.0</v>
      </c>
      <c r="AL465" s="84">
        <v>0.0</v>
      </c>
      <c r="AM465" s="84">
        <v>0.0</v>
      </c>
      <c r="AN465" s="93">
        <f t="shared" si="1"/>
        <v>0</v>
      </c>
      <c r="AO465" s="84">
        <f t="shared" si="2"/>
        <v>0</v>
      </c>
    </row>
    <row r="466" ht="12.75" customHeight="1">
      <c r="A466" s="84" t="s">
        <v>2917</v>
      </c>
      <c r="B466" s="84">
        <v>3.0</v>
      </c>
      <c r="C466" s="84">
        <v>0.0</v>
      </c>
      <c r="D466" s="84">
        <v>0.0</v>
      </c>
      <c r="E466" s="84">
        <v>0.0</v>
      </c>
      <c r="F466" s="84">
        <v>0.0</v>
      </c>
      <c r="G466" s="84">
        <v>0.0</v>
      </c>
      <c r="H466" s="84">
        <v>0.0</v>
      </c>
      <c r="I466" s="91">
        <v>0.0</v>
      </c>
      <c r="J466" s="84">
        <v>0.0</v>
      </c>
      <c r="K466" s="84">
        <v>0.0</v>
      </c>
      <c r="L466" s="84">
        <v>0.0</v>
      </c>
      <c r="M466" s="84">
        <v>0.0</v>
      </c>
      <c r="N466" s="84">
        <v>0.0</v>
      </c>
      <c r="O466" s="84">
        <v>0.0</v>
      </c>
      <c r="P466" s="84">
        <v>0.0</v>
      </c>
      <c r="Q466" s="84">
        <v>0.0</v>
      </c>
      <c r="R466" s="84">
        <v>0.0</v>
      </c>
      <c r="S466" s="84">
        <v>0.0</v>
      </c>
      <c r="T466" s="84">
        <v>0.0</v>
      </c>
      <c r="U466" s="84">
        <v>0.0</v>
      </c>
      <c r="V466" s="84">
        <v>3.0</v>
      </c>
      <c r="W466" s="84">
        <v>0.0</v>
      </c>
      <c r="X466" s="84">
        <v>0.0</v>
      </c>
      <c r="Y466" s="84">
        <v>0.0</v>
      </c>
      <c r="Z466" s="84">
        <v>0.0</v>
      </c>
      <c r="AA466" s="84">
        <v>0.0</v>
      </c>
      <c r="AB466" s="84">
        <v>0.0</v>
      </c>
      <c r="AC466" s="91">
        <v>0.0</v>
      </c>
      <c r="AD466" s="84">
        <v>0.0</v>
      </c>
      <c r="AE466" s="84">
        <v>0.0</v>
      </c>
      <c r="AF466" s="84">
        <v>0.0</v>
      </c>
      <c r="AG466" s="84">
        <v>0.0</v>
      </c>
      <c r="AH466" s="84">
        <v>0.0</v>
      </c>
      <c r="AI466" s="84">
        <v>0.0</v>
      </c>
      <c r="AJ466" s="84">
        <v>0.0</v>
      </c>
      <c r="AK466" s="84">
        <v>0.0</v>
      </c>
      <c r="AL466" s="84">
        <v>0.0</v>
      </c>
      <c r="AM466" s="84">
        <v>0.0</v>
      </c>
      <c r="AN466" s="93">
        <f t="shared" si="1"/>
        <v>0</v>
      </c>
      <c r="AO466" s="84">
        <f t="shared" si="2"/>
        <v>0</v>
      </c>
    </row>
    <row r="467" ht="12.75" customHeight="1">
      <c r="A467" s="84" t="s">
        <v>2702</v>
      </c>
      <c r="B467" s="84">
        <v>1.0</v>
      </c>
      <c r="C467" s="84">
        <v>0.0</v>
      </c>
      <c r="D467" s="84">
        <v>0.0</v>
      </c>
      <c r="E467" s="84">
        <v>0.0</v>
      </c>
      <c r="F467" s="84">
        <v>0.0</v>
      </c>
      <c r="G467" s="84">
        <v>0.0</v>
      </c>
      <c r="H467" s="84">
        <v>0.0</v>
      </c>
      <c r="I467" s="91">
        <v>0.0</v>
      </c>
      <c r="J467" s="84">
        <v>0.0</v>
      </c>
      <c r="K467" s="84">
        <v>0.0</v>
      </c>
      <c r="L467" s="84">
        <v>0.0</v>
      </c>
      <c r="M467" s="84">
        <v>0.0</v>
      </c>
      <c r="N467" s="84">
        <v>0.0</v>
      </c>
      <c r="O467" s="84">
        <v>0.0</v>
      </c>
      <c r="P467" s="84">
        <v>0.0</v>
      </c>
      <c r="Q467" s="84">
        <v>0.0</v>
      </c>
      <c r="R467" s="84">
        <v>0.0</v>
      </c>
      <c r="S467" s="84">
        <v>0.0</v>
      </c>
      <c r="T467" s="84">
        <v>0.0</v>
      </c>
      <c r="U467" s="84">
        <v>0.0</v>
      </c>
      <c r="V467" s="84">
        <v>2.0</v>
      </c>
      <c r="W467" s="84">
        <v>0.0</v>
      </c>
      <c r="X467" s="84">
        <v>0.0</v>
      </c>
      <c r="Y467" s="84">
        <v>0.0</v>
      </c>
      <c r="Z467" s="84">
        <v>0.0</v>
      </c>
      <c r="AA467" s="84">
        <v>0.0</v>
      </c>
      <c r="AB467" s="84">
        <v>0.0</v>
      </c>
      <c r="AC467" s="91">
        <v>0.0</v>
      </c>
      <c r="AD467" s="84">
        <v>0.0</v>
      </c>
      <c r="AE467" s="84">
        <v>0.0</v>
      </c>
      <c r="AF467" s="84">
        <v>0.0</v>
      </c>
      <c r="AG467" s="84">
        <v>0.0</v>
      </c>
      <c r="AH467" s="84">
        <v>0.0</v>
      </c>
      <c r="AI467" s="84">
        <v>0.0</v>
      </c>
      <c r="AJ467" s="84">
        <v>0.0</v>
      </c>
      <c r="AK467" s="84">
        <v>0.0</v>
      </c>
      <c r="AL467" s="84">
        <v>0.0</v>
      </c>
      <c r="AM467" s="84">
        <v>0.0</v>
      </c>
      <c r="AN467" s="93">
        <f t="shared" si="1"/>
        <v>0</v>
      </c>
      <c r="AO467" s="84">
        <f t="shared" si="2"/>
        <v>0</v>
      </c>
    </row>
    <row r="468" ht="12.75" customHeight="1">
      <c r="A468" s="84" t="s">
        <v>2898</v>
      </c>
      <c r="B468" s="84">
        <v>2.0</v>
      </c>
      <c r="C468" s="84">
        <v>1.0</v>
      </c>
      <c r="D468" s="84">
        <v>0.0</v>
      </c>
      <c r="E468" s="84">
        <v>0.0</v>
      </c>
      <c r="F468" s="84">
        <v>0.0</v>
      </c>
      <c r="G468" s="84">
        <v>0.0</v>
      </c>
      <c r="H468" s="84">
        <v>0.0</v>
      </c>
      <c r="I468" s="91">
        <v>0.0</v>
      </c>
      <c r="J468" s="84">
        <v>0.0</v>
      </c>
      <c r="K468" s="84">
        <v>0.0</v>
      </c>
      <c r="L468" s="84">
        <v>0.0</v>
      </c>
      <c r="M468" s="84">
        <v>0.0</v>
      </c>
      <c r="N468" s="84">
        <v>0.0</v>
      </c>
      <c r="O468" s="84">
        <v>0.0</v>
      </c>
      <c r="P468" s="84">
        <v>0.0</v>
      </c>
      <c r="Q468" s="84">
        <v>0.0</v>
      </c>
      <c r="R468" s="84">
        <v>0.0</v>
      </c>
      <c r="S468" s="84">
        <v>0.0</v>
      </c>
      <c r="T468" s="84">
        <v>0.0</v>
      </c>
      <c r="U468" s="84">
        <v>0.0</v>
      </c>
      <c r="V468" s="84">
        <v>2.0</v>
      </c>
      <c r="W468" s="84">
        <v>2.0</v>
      </c>
      <c r="X468" s="84">
        <v>0.0</v>
      </c>
      <c r="Y468" s="84">
        <v>0.0</v>
      </c>
      <c r="Z468" s="84">
        <v>0.0</v>
      </c>
      <c r="AA468" s="84">
        <v>0.0</v>
      </c>
      <c r="AB468" s="84">
        <v>0.0</v>
      </c>
      <c r="AC468" s="91">
        <v>0.0</v>
      </c>
      <c r="AD468" s="84">
        <v>0.0</v>
      </c>
      <c r="AE468" s="84">
        <v>0.0</v>
      </c>
      <c r="AF468" s="84">
        <v>0.0</v>
      </c>
      <c r="AG468" s="84">
        <v>0.0</v>
      </c>
      <c r="AH468" s="84">
        <v>0.0</v>
      </c>
      <c r="AI468" s="84">
        <v>0.0</v>
      </c>
      <c r="AJ468" s="84">
        <v>0.0</v>
      </c>
      <c r="AK468" s="84">
        <v>0.0</v>
      </c>
      <c r="AL468" s="84">
        <v>0.0</v>
      </c>
      <c r="AM468" s="84">
        <v>0.0</v>
      </c>
      <c r="AN468" s="93">
        <f t="shared" si="1"/>
        <v>0</v>
      </c>
      <c r="AO468" s="84">
        <f t="shared" si="2"/>
        <v>0</v>
      </c>
    </row>
    <row r="469" ht="12.75" customHeight="1">
      <c r="A469" s="84" t="s">
        <v>3029</v>
      </c>
      <c r="B469" s="84">
        <v>2.0</v>
      </c>
      <c r="C469" s="84">
        <v>1.0</v>
      </c>
      <c r="D469" s="84">
        <v>0.0</v>
      </c>
      <c r="E469" s="84">
        <v>0.0</v>
      </c>
      <c r="F469" s="84">
        <v>0.0</v>
      </c>
      <c r="G469" s="84">
        <v>0.0</v>
      </c>
      <c r="H469" s="84">
        <v>0.0</v>
      </c>
      <c r="I469" s="91">
        <v>0.0</v>
      </c>
      <c r="J469" s="84">
        <v>0.0</v>
      </c>
      <c r="K469" s="84">
        <v>0.0</v>
      </c>
      <c r="L469" s="84">
        <v>0.0</v>
      </c>
      <c r="M469" s="84">
        <v>0.0</v>
      </c>
      <c r="N469" s="84">
        <v>0.0</v>
      </c>
      <c r="O469" s="84">
        <v>0.0</v>
      </c>
      <c r="P469" s="84">
        <v>0.0</v>
      </c>
      <c r="Q469" s="84">
        <v>0.0</v>
      </c>
      <c r="R469" s="84">
        <v>0.0</v>
      </c>
      <c r="S469" s="84">
        <v>0.0</v>
      </c>
      <c r="T469" s="84">
        <v>0.0</v>
      </c>
      <c r="U469" s="84">
        <v>0.0</v>
      </c>
      <c r="V469" s="84">
        <v>4.0</v>
      </c>
      <c r="W469" s="84">
        <v>5.0</v>
      </c>
      <c r="X469" s="84">
        <v>0.0</v>
      </c>
      <c r="Y469" s="84">
        <v>0.0</v>
      </c>
      <c r="Z469" s="84">
        <v>0.0</v>
      </c>
      <c r="AA469" s="84">
        <v>0.0</v>
      </c>
      <c r="AB469" s="84">
        <v>0.0</v>
      </c>
      <c r="AC469" s="91">
        <v>0.0</v>
      </c>
      <c r="AD469" s="84">
        <v>0.0</v>
      </c>
      <c r="AE469" s="84">
        <v>0.0</v>
      </c>
      <c r="AF469" s="84">
        <v>0.0</v>
      </c>
      <c r="AG469" s="84">
        <v>0.0</v>
      </c>
      <c r="AH469" s="84">
        <v>0.0</v>
      </c>
      <c r="AI469" s="84">
        <v>0.0</v>
      </c>
      <c r="AJ469" s="84">
        <v>0.0</v>
      </c>
      <c r="AK469" s="84">
        <v>0.0</v>
      </c>
      <c r="AL469" s="84">
        <v>0.0</v>
      </c>
      <c r="AM469" s="84">
        <v>0.0</v>
      </c>
      <c r="AN469" s="93">
        <f t="shared" si="1"/>
        <v>0</v>
      </c>
      <c r="AO469" s="84">
        <f t="shared" si="2"/>
        <v>0</v>
      </c>
    </row>
    <row r="470" ht="12.75" customHeight="1">
      <c r="A470" s="84" t="s">
        <v>2569</v>
      </c>
      <c r="B470" s="84">
        <v>2.0</v>
      </c>
      <c r="C470" s="84">
        <v>0.0</v>
      </c>
      <c r="D470" s="84">
        <v>0.0</v>
      </c>
      <c r="E470" s="84">
        <v>0.0</v>
      </c>
      <c r="F470" s="84">
        <v>0.0</v>
      </c>
      <c r="G470" s="84">
        <v>0.0</v>
      </c>
      <c r="H470" s="84">
        <v>0.0</v>
      </c>
      <c r="I470" s="91">
        <v>0.0</v>
      </c>
      <c r="J470" s="84">
        <v>0.0</v>
      </c>
      <c r="K470" s="84">
        <v>0.0</v>
      </c>
      <c r="L470" s="84">
        <v>0.0</v>
      </c>
      <c r="M470" s="84">
        <v>0.0</v>
      </c>
      <c r="N470" s="84">
        <v>0.0</v>
      </c>
      <c r="O470" s="84">
        <v>0.0</v>
      </c>
      <c r="P470" s="84">
        <v>0.0</v>
      </c>
      <c r="Q470" s="84">
        <v>0.0</v>
      </c>
      <c r="R470" s="84">
        <v>0.0</v>
      </c>
      <c r="S470" s="84">
        <v>0.0</v>
      </c>
      <c r="T470" s="84">
        <v>0.0</v>
      </c>
      <c r="U470" s="84">
        <v>0.0</v>
      </c>
      <c r="V470" s="84">
        <v>3.0</v>
      </c>
      <c r="W470" s="84">
        <v>4.0</v>
      </c>
      <c r="X470" s="84">
        <v>0.0</v>
      </c>
      <c r="Y470" s="84">
        <v>0.0</v>
      </c>
      <c r="Z470" s="84">
        <v>0.0</v>
      </c>
      <c r="AA470" s="84">
        <v>0.0</v>
      </c>
      <c r="AB470" s="84">
        <v>0.0</v>
      </c>
      <c r="AC470" s="91">
        <v>0.0</v>
      </c>
      <c r="AD470" s="84">
        <v>0.0</v>
      </c>
      <c r="AE470" s="84">
        <v>0.0</v>
      </c>
      <c r="AF470" s="84">
        <v>0.0</v>
      </c>
      <c r="AG470" s="84">
        <v>0.0</v>
      </c>
      <c r="AH470" s="84">
        <v>0.0</v>
      </c>
      <c r="AI470" s="84">
        <v>0.0</v>
      </c>
      <c r="AJ470" s="84">
        <v>0.0</v>
      </c>
      <c r="AK470" s="84">
        <v>0.0</v>
      </c>
      <c r="AL470" s="84">
        <v>0.0</v>
      </c>
      <c r="AM470" s="84">
        <v>0.0</v>
      </c>
      <c r="AN470" s="93">
        <f t="shared" si="1"/>
        <v>0</v>
      </c>
      <c r="AO470" s="84">
        <f t="shared" si="2"/>
        <v>0</v>
      </c>
    </row>
    <row r="471" ht="12.75" customHeight="1">
      <c r="A471" s="84" t="s">
        <v>2854</v>
      </c>
      <c r="B471" s="84">
        <v>2.0</v>
      </c>
      <c r="C471" s="84">
        <v>0.0</v>
      </c>
      <c r="D471" s="84">
        <v>0.0</v>
      </c>
      <c r="E471" s="84">
        <v>0.0</v>
      </c>
      <c r="F471" s="84">
        <v>0.0</v>
      </c>
      <c r="G471" s="84">
        <v>0.0</v>
      </c>
      <c r="H471" s="84">
        <v>0.0</v>
      </c>
      <c r="I471" s="91">
        <v>0.0</v>
      </c>
      <c r="J471" s="84">
        <v>0.0</v>
      </c>
      <c r="K471" s="84">
        <v>0.0</v>
      </c>
      <c r="L471" s="84">
        <v>0.0</v>
      </c>
      <c r="M471" s="84">
        <v>0.0</v>
      </c>
      <c r="N471" s="84">
        <v>0.0</v>
      </c>
      <c r="O471" s="84">
        <v>0.0</v>
      </c>
      <c r="P471" s="84">
        <v>0.0</v>
      </c>
      <c r="Q471" s="84">
        <v>0.0</v>
      </c>
      <c r="R471" s="84">
        <v>0.0</v>
      </c>
      <c r="S471" s="84">
        <v>0.0</v>
      </c>
      <c r="T471" s="84">
        <v>0.0</v>
      </c>
      <c r="U471" s="84">
        <v>0.0</v>
      </c>
      <c r="V471" s="84">
        <v>3.0</v>
      </c>
      <c r="W471" s="84">
        <v>0.0</v>
      </c>
      <c r="X471" s="84">
        <v>0.0</v>
      </c>
      <c r="Y471" s="84">
        <v>0.0</v>
      </c>
      <c r="Z471" s="84">
        <v>0.0</v>
      </c>
      <c r="AA471" s="84">
        <v>0.0</v>
      </c>
      <c r="AB471" s="84">
        <v>0.0</v>
      </c>
      <c r="AC471" s="91">
        <v>0.0</v>
      </c>
      <c r="AD471" s="84">
        <v>0.0</v>
      </c>
      <c r="AE471" s="84">
        <v>0.0</v>
      </c>
      <c r="AF471" s="84">
        <v>0.0</v>
      </c>
      <c r="AG471" s="84">
        <v>0.0</v>
      </c>
      <c r="AH471" s="84">
        <v>0.0</v>
      </c>
      <c r="AI471" s="84">
        <v>0.0</v>
      </c>
      <c r="AJ471" s="84">
        <v>0.0</v>
      </c>
      <c r="AK471" s="84">
        <v>0.0</v>
      </c>
      <c r="AL471" s="84">
        <v>0.0</v>
      </c>
      <c r="AM471" s="84">
        <v>0.0</v>
      </c>
      <c r="AN471" s="93">
        <f t="shared" si="1"/>
        <v>0</v>
      </c>
      <c r="AO471" s="84">
        <f t="shared" si="2"/>
        <v>0</v>
      </c>
    </row>
    <row r="472" ht="12.75" customHeight="1">
      <c r="A472" s="84" t="s">
        <v>3106</v>
      </c>
      <c r="B472" s="84">
        <v>2.0</v>
      </c>
      <c r="C472" s="84">
        <v>0.0</v>
      </c>
      <c r="D472" s="84">
        <v>0.0</v>
      </c>
      <c r="E472" s="84">
        <v>0.0</v>
      </c>
      <c r="F472" s="84">
        <v>0.0</v>
      </c>
      <c r="G472" s="84">
        <v>0.0</v>
      </c>
      <c r="H472" s="84">
        <v>0.0</v>
      </c>
      <c r="I472" s="91">
        <v>0.0</v>
      </c>
      <c r="J472" s="84">
        <v>0.0</v>
      </c>
      <c r="K472" s="84">
        <v>0.0</v>
      </c>
      <c r="L472" s="84">
        <v>0.0</v>
      </c>
      <c r="M472" s="84">
        <v>0.0</v>
      </c>
      <c r="N472" s="84">
        <v>0.0</v>
      </c>
      <c r="O472" s="84">
        <v>0.0</v>
      </c>
      <c r="P472" s="84">
        <v>0.0</v>
      </c>
      <c r="Q472" s="84">
        <v>0.0</v>
      </c>
      <c r="R472" s="84">
        <v>0.0</v>
      </c>
      <c r="S472" s="84">
        <v>0.0</v>
      </c>
      <c r="T472" s="84">
        <v>0.0</v>
      </c>
      <c r="U472" s="84">
        <v>0.0</v>
      </c>
      <c r="V472" s="84">
        <v>4.0</v>
      </c>
      <c r="W472" s="84">
        <v>7.0</v>
      </c>
      <c r="X472" s="84">
        <v>0.0</v>
      </c>
      <c r="Y472" s="84">
        <v>0.0</v>
      </c>
      <c r="Z472" s="84">
        <v>0.0</v>
      </c>
      <c r="AA472" s="84">
        <v>0.0</v>
      </c>
      <c r="AB472" s="84">
        <v>0.0</v>
      </c>
      <c r="AC472" s="91">
        <v>0.0</v>
      </c>
      <c r="AD472" s="84">
        <v>0.0</v>
      </c>
      <c r="AE472" s="84">
        <v>0.0</v>
      </c>
      <c r="AF472" s="84">
        <v>0.0</v>
      </c>
      <c r="AG472" s="84">
        <v>0.0</v>
      </c>
      <c r="AH472" s="84">
        <v>0.0</v>
      </c>
      <c r="AI472" s="84">
        <v>0.0</v>
      </c>
      <c r="AJ472" s="84">
        <v>0.0</v>
      </c>
      <c r="AK472" s="84">
        <v>0.0</v>
      </c>
      <c r="AL472" s="84">
        <v>0.0</v>
      </c>
      <c r="AM472" s="84">
        <v>0.0</v>
      </c>
      <c r="AN472" s="93">
        <f t="shared" si="1"/>
        <v>0</v>
      </c>
      <c r="AO472" s="84">
        <f t="shared" si="2"/>
        <v>0</v>
      </c>
    </row>
    <row r="473" ht="12.75" customHeight="1">
      <c r="A473" s="84" t="s">
        <v>2883</v>
      </c>
      <c r="B473" s="84">
        <v>1.0</v>
      </c>
      <c r="C473" s="84">
        <v>0.0</v>
      </c>
      <c r="D473" s="84">
        <v>0.0</v>
      </c>
      <c r="E473" s="84">
        <v>0.0</v>
      </c>
      <c r="F473" s="84">
        <v>0.0</v>
      </c>
      <c r="G473" s="84">
        <v>0.0</v>
      </c>
      <c r="H473" s="84">
        <v>0.0</v>
      </c>
      <c r="I473" s="91">
        <v>0.0</v>
      </c>
      <c r="J473" s="84">
        <v>0.0</v>
      </c>
      <c r="K473" s="84">
        <v>0.0</v>
      </c>
      <c r="L473" s="84">
        <v>0.0</v>
      </c>
      <c r="M473" s="84">
        <v>0.0</v>
      </c>
      <c r="N473" s="84">
        <v>0.0</v>
      </c>
      <c r="O473" s="84">
        <v>0.0</v>
      </c>
      <c r="P473" s="84">
        <v>0.0</v>
      </c>
      <c r="Q473" s="84">
        <v>0.0</v>
      </c>
      <c r="R473" s="84">
        <v>0.0</v>
      </c>
      <c r="S473" s="84">
        <v>0.0</v>
      </c>
      <c r="T473" s="84">
        <v>0.0</v>
      </c>
      <c r="U473" s="84">
        <v>0.0</v>
      </c>
      <c r="V473" s="84">
        <v>2.0</v>
      </c>
      <c r="W473" s="84">
        <v>1.0</v>
      </c>
      <c r="X473" s="84">
        <v>0.0</v>
      </c>
      <c r="Y473" s="84">
        <v>0.0</v>
      </c>
      <c r="Z473" s="84">
        <v>0.0</v>
      </c>
      <c r="AA473" s="84">
        <v>0.0</v>
      </c>
      <c r="AB473" s="84">
        <v>0.0</v>
      </c>
      <c r="AC473" s="91">
        <v>0.0</v>
      </c>
      <c r="AD473" s="84">
        <v>0.0</v>
      </c>
      <c r="AE473" s="84">
        <v>0.0</v>
      </c>
      <c r="AF473" s="84">
        <v>0.0</v>
      </c>
      <c r="AG473" s="84">
        <v>0.0</v>
      </c>
      <c r="AH473" s="84">
        <v>0.0</v>
      </c>
      <c r="AI473" s="84">
        <v>0.0</v>
      </c>
      <c r="AJ473" s="84">
        <v>0.0</v>
      </c>
      <c r="AK473" s="84">
        <v>0.0</v>
      </c>
      <c r="AL473" s="84">
        <v>0.0</v>
      </c>
      <c r="AM473" s="84">
        <v>0.0</v>
      </c>
      <c r="AN473" s="93">
        <f t="shared" si="1"/>
        <v>0</v>
      </c>
      <c r="AO473" s="84">
        <f t="shared" si="2"/>
        <v>0</v>
      </c>
    </row>
    <row r="474" ht="12.75" customHeight="1">
      <c r="A474" s="84" t="s">
        <v>2663</v>
      </c>
      <c r="B474" s="84">
        <v>1.0</v>
      </c>
      <c r="C474" s="84">
        <v>0.0</v>
      </c>
      <c r="D474" s="84">
        <v>0.0</v>
      </c>
      <c r="E474" s="84">
        <v>0.0</v>
      </c>
      <c r="F474" s="84">
        <v>0.0</v>
      </c>
      <c r="G474" s="84">
        <v>0.0</v>
      </c>
      <c r="H474" s="84">
        <v>0.0</v>
      </c>
      <c r="I474" s="91">
        <v>0.0</v>
      </c>
      <c r="J474" s="84">
        <v>0.0</v>
      </c>
      <c r="K474" s="84">
        <v>0.0</v>
      </c>
      <c r="L474" s="84">
        <v>0.0</v>
      </c>
      <c r="M474" s="84">
        <v>0.0</v>
      </c>
      <c r="N474" s="84">
        <v>0.0</v>
      </c>
      <c r="O474" s="84">
        <v>0.0</v>
      </c>
      <c r="P474" s="84">
        <v>0.0</v>
      </c>
      <c r="Q474" s="84">
        <v>0.0</v>
      </c>
      <c r="R474" s="84">
        <v>0.0</v>
      </c>
      <c r="S474" s="84">
        <v>0.0</v>
      </c>
      <c r="T474" s="84">
        <v>0.0</v>
      </c>
      <c r="U474" s="84">
        <v>0.0</v>
      </c>
      <c r="V474" s="84">
        <v>2.0</v>
      </c>
      <c r="W474" s="84">
        <v>2.0</v>
      </c>
      <c r="X474" s="84">
        <v>0.0</v>
      </c>
      <c r="Y474" s="84">
        <v>0.0</v>
      </c>
      <c r="Z474" s="84">
        <v>0.0</v>
      </c>
      <c r="AA474" s="84">
        <v>0.0</v>
      </c>
      <c r="AB474" s="84">
        <v>0.0</v>
      </c>
      <c r="AC474" s="91">
        <v>0.0</v>
      </c>
      <c r="AD474" s="84">
        <v>0.0</v>
      </c>
      <c r="AE474" s="84">
        <v>0.0</v>
      </c>
      <c r="AF474" s="84">
        <v>0.0</v>
      </c>
      <c r="AG474" s="84">
        <v>0.0</v>
      </c>
      <c r="AH474" s="84">
        <v>0.0</v>
      </c>
      <c r="AI474" s="84">
        <v>0.0</v>
      </c>
      <c r="AJ474" s="84">
        <v>0.0</v>
      </c>
      <c r="AK474" s="84">
        <v>0.0</v>
      </c>
      <c r="AL474" s="84">
        <v>0.0</v>
      </c>
      <c r="AM474" s="84">
        <v>0.0</v>
      </c>
      <c r="AN474" s="93">
        <f t="shared" si="1"/>
        <v>0</v>
      </c>
      <c r="AO474" s="84">
        <f t="shared" si="2"/>
        <v>0</v>
      </c>
    </row>
    <row r="475" ht="12.75" customHeight="1">
      <c r="A475" s="84" t="s">
        <v>3182</v>
      </c>
      <c r="B475" s="84">
        <v>0.0</v>
      </c>
      <c r="C475" s="84">
        <v>5.0</v>
      </c>
      <c r="D475" s="84">
        <v>0.0</v>
      </c>
      <c r="E475" s="84">
        <v>0.0</v>
      </c>
      <c r="F475" s="84">
        <v>0.0</v>
      </c>
      <c r="G475" s="84">
        <v>0.0</v>
      </c>
      <c r="H475" s="84">
        <v>0.0</v>
      </c>
      <c r="I475" s="91">
        <v>0.0</v>
      </c>
      <c r="J475" s="84">
        <v>0.0</v>
      </c>
      <c r="K475" s="84">
        <v>0.0</v>
      </c>
      <c r="L475" s="84">
        <v>0.0</v>
      </c>
      <c r="M475" s="84">
        <v>0.0</v>
      </c>
      <c r="N475" s="84">
        <v>0.0</v>
      </c>
      <c r="O475" s="84">
        <v>0.0</v>
      </c>
      <c r="P475" s="84">
        <v>0.0</v>
      </c>
      <c r="Q475" s="84">
        <v>0.0</v>
      </c>
      <c r="R475" s="84">
        <v>0.0</v>
      </c>
      <c r="S475" s="84">
        <v>0.0</v>
      </c>
      <c r="T475" s="84">
        <v>0.0</v>
      </c>
      <c r="U475" s="84">
        <v>0.0</v>
      </c>
      <c r="V475" s="84">
        <v>0.0</v>
      </c>
      <c r="W475" s="84">
        <v>3.0</v>
      </c>
      <c r="X475" s="84">
        <v>2.0</v>
      </c>
      <c r="Y475" s="84">
        <v>0.0</v>
      </c>
      <c r="Z475" s="84">
        <v>0.0</v>
      </c>
      <c r="AA475" s="84">
        <v>0.0</v>
      </c>
      <c r="AB475" s="84">
        <v>0.0</v>
      </c>
      <c r="AC475" s="91">
        <v>0.0</v>
      </c>
      <c r="AD475" s="84">
        <v>0.0</v>
      </c>
      <c r="AE475" s="84">
        <v>0.0</v>
      </c>
      <c r="AF475" s="84">
        <v>0.0</v>
      </c>
      <c r="AG475" s="84">
        <v>0.0</v>
      </c>
      <c r="AH475" s="84">
        <v>0.0</v>
      </c>
      <c r="AI475" s="84">
        <v>0.0</v>
      </c>
      <c r="AJ475" s="84">
        <v>0.0</v>
      </c>
      <c r="AK475" s="84">
        <v>0.0</v>
      </c>
      <c r="AL475" s="84">
        <v>0.0</v>
      </c>
      <c r="AM475" s="84">
        <v>0.0</v>
      </c>
      <c r="AN475" s="93">
        <f t="shared" si="1"/>
        <v>0</v>
      </c>
      <c r="AO475" s="84">
        <f t="shared" si="2"/>
        <v>0</v>
      </c>
    </row>
    <row r="476" ht="12.75" customHeight="1">
      <c r="A476" s="84" t="s">
        <v>3054</v>
      </c>
      <c r="B476" s="84">
        <v>2.0</v>
      </c>
      <c r="C476" s="84">
        <v>0.0</v>
      </c>
      <c r="D476" s="84">
        <v>0.0</v>
      </c>
      <c r="E476" s="84">
        <v>0.0</v>
      </c>
      <c r="F476" s="84">
        <v>0.0</v>
      </c>
      <c r="G476" s="84">
        <v>0.0</v>
      </c>
      <c r="H476" s="84">
        <v>0.0</v>
      </c>
      <c r="I476" s="91">
        <v>0.0</v>
      </c>
      <c r="J476" s="84">
        <v>0.0</v>
      </c>
      <c r="K476" s="84">
        <v>0.0</v>
      </c>
      <c r="L476" s="84">
        <v>0.0</v>
      </c>
      <c r="M476" s="84">
        <v>0.0</v>
      </c>
      <c r="N476" s="84">
        <v>0.0</v>
      </c>
      <c r="O476" s="84">
        <v>0.0</v>
      </c>
      <c r="P476" s="84">
        <v>0.0</v>
      </c>
      <c r="Q476" s="84">
        <v>0.0</v>
      </c>
      <c r="R476" s="84">
        <v>0.0</v>
      </c>
      <c r="S476" s="84">
        <v>0.0</v>
      </c>
      <c r="T476" s="84">
        <v>0.0</v>
      </c>
      <c r="U476" s="84">
        <v>0.0</v>
      </c>
      <c r="V476" s="84">
        <v>3.0</v>
      </c>
      <c r="W476" s="84">
        <v>2.0</v>
      </c>
      <c r="X476" s="84">
        <v>0.0</v>
      </c>
      <c r="Y476" s="84">
        <v>0.0</v>
      </c>
      <c r="Z476" s="84">
        <v>0.0</v>
      </c>
      <c r="AA476" s="84">
        <v>0.0</v>
      </c>
      <c r="AB476" s="84">
        <v>0.0</v>
      </c>
      <c r="AC476" s="91">
        <v>0.0</v>
      </c>
      <c r="AD476" s="84">
        <v>0.0</v>
      </c>
      <c r="AE476" s="84">
        <v>0.0</v>
      </c>
      <c r="AF476" s="84">
        <v>0.0</v>
      </c>
      <c r="AG476" s="84">
        <v>0.0</v>
      </c>
      <c r="AH476" s="84">
        <v>0.0</v>
      </c>
      <c r="AI476" s="84">
        <v>0.0</v>
      </c>
      <c r="AJ476" s="84">
        <v>0.0</v>
      </c>
      <c r="AK476" s="84">
        <v>0.0</v>
      </c>
      <c r="AL476" s="84">
        <v>0.0</v>
      </c>
      <c r="AM476" s="84">
        <v>0.0</v>
      </c>
      <c r="AN476" s="93">
        <f t="shared" si="1"/>
        <v>0</v>
      </c>
      <c r="AO476" s="84">
        <f t="shared" si="2"/>
        <v>0</v>
      </c>
    </row>
    <row r="477" ht="12.75" customHeight="1">
      <c r="A477" s="84" t="s">
        <v>3551</v>
      </c>
      <c r="B477" s="84">
        <v>0.0</v>
      </c>
      <c r="C477" s="84">
        <v>0.0</v>
      </c>
      <c r="D477" s="84">
        <v>0.0</v>
      </c>
      <c r="E477" s="84">
        <v>5.0</v>
      </c>
      <c r="F477" s="84">
        <v>1.0</v>
      </c>
      <c r="G477" s="84">
        <v>0.0</v>
      </c>
      <c r="H477" s="84">
        <v>0.0</v>
      </c>
      <c r="I477" s="91">
        <v>0.0</v>
      </c>
      <c r="J477" s="84">
        <v>0.0</v>
      </c>
      <c r="K477" s="84">
        <v>0.0</v>
      </c>
      <c r="L477" s="84">
        <v>0.0</v>
      </c>
      <c r="M477" s="84">
        <v>0.0</v>
      </c>
      <c r="N477" s="84">
        <v>0.0</v>
      </c>
      <c r="O477" s="84">
        <v>0.0</v>
      </c>
      <c r="P477" s="84">
        <v>0.0</v>
      </c>
      <c r="Q477" s="84">
        <v>0.0</v>
      </c>
      <c r="R477" s="84">
        <v>0.0</v>
      </c>
      <c r="S477" s="84">
        <v>0.0</v>
      </c>
      <c r="T477" s="84">
        <v>0.0</v>
      </c>
      <c r="U477" s="84">
        <v>0.0</v>
      </c>
      <c r="V477" s="84">
        <v>0.0</v>
      </c>
      <c r="W477" s="84">
        <v>0.0</v>
      </c>
      <c r="X477" s="84">
        <v>0.0</v>
      </c>
      <c r="Y477" s="84">
        <v>6.0</v>
      </c>
      <c r="Z477" s="84">
        <v>2.0</v>
      </c>
      <c r="AA477" s="84">
        <v>0.0</v>
      </c>
      <c r="AB477" s="84">
        <v>0.0</v>
      </c>
      <c r="AC477" s="91">
        <v>0.0</v>
      </c>
      <c r="AD477" s="84">
        <v>0.0</v>
      </c>
      <c r="AE477" s="84">
        <v>0.0</v>
      </c>
      <c r="AF477" s="84">
        <v>0.0</v>
      </c>
      <c r="AG477" s="84">
        <v>0.0</v>
      </c>
      <c r="AH477" s="84">
        <v>0.0</v>
      </c>
      <c r="AI477" s="84">
        <v>0.0</v>
      </c>
      <c r="AJ477" s="84">
        <v>0.0</v>
      </c>
      <c r="AK477" s="84">
        <v>0.0</v>
      </c>
      <c r="AL477" s="84">
        <v>0.0</v>
      </c>
      <c r="AM477" s="84">
        <v>0.0</v>
      </c>
      <c r="AN477" s="93">
        <f t="shared" si="1"/>
        <v>0</v>
      </c>
      <c r="AO477" s="84">
        <f t="shared" si="2"/>
        <v>0</v>
      </c>
    </row>
    <row r="478" ht="12.75" customHeight="1">
      <c r="A478" s="84" t="s">
        <v>3513</v>
      </c>
      <c r="B478" s="84">
        <v>0.0</v>
      </c>
      <c r="C478" s="84">
        <v>0.0</v>
      </c>
      <c r="D478" s="84">
        <v>0.0</v>
      </c>
      <c r="E478" s="84">
        <v>5.0</v>
      </c>
      <c r="F478" s="84">
        <v>2.0</v>
      </c>
      <c r="G478" s="84">
        <v>0.0</v>
      </c>
      <c r="H478" s="84">
        <v>0.0</v>
      </c>
      <c r="I478" s="91">
        <v>0.0</v>
      </c>
      <c r="J478" s="84">
        <v>0.0</v>
      </c>
      <c r="K478" s="84">
        <v>0.0</v>
      </c>
      <c r="L478" s="84">
        <v>0.0</v>
      </c>
      <c r="M478" s="84">
        <v>0.0</v>
      </c>
      <c r="N478" s="84">
        <v>0.0</v>
      </c>
      <c r="O478" s="84">
        <v>0.0</v>
      </c>
      <c r="P478" s="84">
        <v>0.0</v>
      </c>
      <c r="Q478" s="84">
        <v>0.0</v>
      </c>
      <c r="R478" s="84">
        <v>0.0</v>
      </c>
      <c r="S478" s="84">
        <v>0.0</v>
      </c>
      <c r="T478" s="84">
        <v>0.0</v>
      </c>
      <c r="U478" s="84">
        <v>0.0</v>
      </c>
      <c r="V478" s="84">
        <v>0.0</v>
      </c>
      <c r="W478" s="84">
        <v>0.0</v>
      </c>
      <c r="X478" s="84">
        <v>0.0</v>
      </c>
      <c r="Y478" s="84">
        <v>6.0</v>
      </c>
      <c r="Z478" s="84">
        <v>1.0</v>
      </c>
      <c r="AA478" s="84">
        <v>0.0</v>
      </c>
      <c r="AB478" s="84">
        <v>0.0</v>
      </c>
      <c r="AC478" s="91">
        <v>0.0</v>
      </c>
      <c r="AD478" s="84">
        <v>0.0</v>
      </c>
      <c r="AE478" s="84">
        <v>0.0</v>
      </c>
      <c r="AF478" s="84">
        <v>0.0</v>
      </c>
      <c r="AG478" s="84">
        <v>0.0</v>
      </c>
      <c r="AH478" s="84">
        <v>0.0</v>
      </c>
      <c r="AI478" s="84">
        <v>0.0</v>
      </c>
      <c r="AJ478" s="84">
        <v>0.0</v>
      </c>
      <c r="AK478" s="84">
        <v>0.0</v>
      </c>
      <c r="AL478" s="84">
        <v>0.0</v>
      </c>
      <c r="AM478" s="84">
        <v>0.0</v>
      </c>
      <c r="AN478" s="93">
        <f t="shared" si="1"/>
        <v>0</v>
      </c>
      <c r="AO478" s="84">
        <f t="shared" si="2"/>
        <v>0</v>
      </c>
    </row>
    <row r="479" ht="12.75" customHeight="1">
      <c r="A479" s="84" t="s">
        <v>3469</v>
      </c>
      <c r="B479" s="84">
        <v>0.0</v>
      </c>
      <c r="C479" s="84">
        <v>0.0</v>
      </c>
      <c r="D479" s="84">
        <v>0.0</v>
      </c>
      <c r="E479" s="84">
        <v>6.0</v>
      </c>
      <c r="F479" s="84">
        <v>3.0</v>
      </c>
      <c r="G479" s="84">
        <v>0.0</v>
      </c>
      <c r="H479" s="84">
        <v>0.0</v>
      </c>
      <c r="I479" s="91">
        <v>0.0</v>
      </c>
      <c r="J479" s="84">
        <v>0.0</v>
      </c>
      <c r="K479" s="84">
        <v>0.0</v>
      </c>
      <c r="L479" s="84">
        <v>0.0</v>
      </c>
      <c r="M479" s="84">
        <v>0.0</v>
      </c>
      <c r="N479" s="84">
        <v>0.0</v>
      </c>
      <c r="O479" s="84">
        <v>0.0</v>
      </c>
      <c r="P479" s="84">
        <v>0.0</v>
      </c>
      <c r="Q479" s="84">
        <v>0.0</v>
      </c>
      <c r="R479" s="84">
        <v>0.0</v>
      </c>
      <c r="S479" s="84">
        <v>0.0</v>
      </c>
      <c r="T479" s="84">
        <v>0.0</v>
      </c>
      <c r="U479" s="84">
        <v>0.0</v>
      </c>
      <c r="V479" s="84">
        <v>0.0</v>
      </c>
      <c r="W479" s="84">
        <v>0.0</v>
      </c>
      <c r="X479" s="84">
        <v>0.0</v>
      </c>
      <c r="Y479" s="84">
        <v>6.0</v>
      </c>
      <c r="Z479" s="84">
        <v>0.0</v>
      </c>
      <c r="AA479" s="84">
        <v>0.0</v>
      </c>
      <c r="AB479" s="84">
        <v>0.0</v>
      </c>
      <c r="AC479" s="91">
        <v>0.0</v>
      </c>
      <c r="AD479" s="84">
        <v>0.0</v>
      </c>
      <c r="AE479" s="84">
        <v>0.0</v>
      </c>
      <c r="AF479" s="84">
        <v>0.0</v>
      </c>
      <c r="AG479" s="84">
        <v>0.0</v>
      </c>
      <c r="AH479" s="84">
        <v>0.0</v>
      </c>
      <c r="AI479" s="84">
        <v>0.0</v>
      </c>
      <c r="AJ479" s="84">
        <v>0.0</v>
      </c>
      <c r="AK479" s="84">
        <v>0.0</v>
      </c>
      <c r="AL479" s="84">
        <v>0.0</v>
      </c>
      <c r="AM479" s="84">
        <v>0.0</v>
      </c>
      <c r="AN479" s="93">
        <f t="shared" si="1"/>
        <v>0</v>
      </c>
      <c r="AO479" s="84">
        <f t="shared" si="2"/>
        <v>0</v>
      </c>
    </row>
    <row r="480" ht="12.75" customHeight="1">
      <c r="A480" s="84" t="s">
        <v>2923</v>
      </c>
      <c r="B480" s="84">
        <v>2.0</v>
      </c>
      <c r="C480" s="84">
        <v>0.0</v>
      </c>
      <c r="D480" s="84">
        <v>0.0</v>
      </c>
      <c r="E480" s="84">
        <v>0.0</v>
      </c>
      <c r="F480" s="84">
        <v>0.0</v>
      </c>
      <c r="G480" s="84">
        <v>0.0</v>
      </c>
      <c r="H480" s="84">
        <v>0.0</v>
      </c>
      <c r="I480" s="91">
        <v>0.0</v>
      </c>
      <c r="J480" s="84">
        <v>0.0</v>
      </c>
      <c r="K480" s="84">
        <v>0.0</v>
      </c>
      <c r="L480" s="84">
        <v>0.0</v>
      </c>
      <c r="M480" s="84">
        <v>0.0</v>
      </c>
      <c r="N480" s="84">
        <v>0.0</v>
      </c>
      <c r="O480" s="84">
        <v>0.0</v>
      </c>
      <c r="P480" s="84">
        <v>0.0</v>
      </c>
      <c r="Q480" s="84">
        <v>0.0</v>
      </c>
      <c r="R480" s="84">
        <v>0.0</v>
      </c>
      <c r="S480" s="84">
        <v>0.0</v>
      </c>
      <c r="T480" s="84">
        <v>0.0</v>
      </c>
      <c r="U480" s="84">
        <v>0.0</v>
      </c>
      <c r="V480" s="84">
        <v>1.0</v>
      </c>
      <c r="W480" s="84">
        <v>1.0</v>
      </c>
      <c r="X480" s="84">
        <v>0.0</v>
      </c>
      <c r="Y480" s="84">
        <v>0.0</v>
      </c>
      <c r="Z480" s="84">
        <v>0.0</v>
      </c>
      <c r="AA480" s="84">
        <v>0.0</v>
      </c>
      <c r="AB480" s="84">
        <v>0.0</v>
      </c>
      <c r="AC480" s="91">
        <v>0.0</v>
      </c>
      <c r="AD480" s="84">
        <v>0.0</v>
      </c>
      <c r="AE480" s="84">
        <v>0.0</v>
      </c>
      <c r="AF480" s="84">
        <v>0.0</v>
      </c>
      <c r="AG480" s="84">
        <v>0.0</v>
      </c>
      <c r="AH480" s="84">
        <v>0.0</v>
      </c>
      <c r="AI480" s="84">
        <v>0.0</v>
      </c>
      <c r="AJ480" s="84">
        <v>0.0</v>
      </c>
      <c r="AK480" s="84">
        <v>0.0</v>
      </c>
      <c r="AL480" s="84">
        <v>0.0</v>
      </c>
      <c r="AM480" s="84">
        <v>0.0</v>
      </c>
      <c r="AN480" s="93">
        <f t="shared" si="1"/>
        <v>0</v>
      </c>
      <c r="AO480" s="84">
        <f t="shared" si="2"/>
        <v>0</v>
      </c>
    </row>
    <row r="481" ht="12.75" customHeight="1">
      <c r="A481" s="84" t="s">
        <v>2825</v>
      </c>
      <c r="B481" s="84">
        <v>3.0</v>
      </c>
      <c r="C481" s="84">
        <v>0.0</v>
      </c>
      <c r="D481" s="84">
        <v>0.0</v>
      </c>
      <c r="E481" s="84">
        <v>0.0</v>
      </c>
      <c r="F481" s="84">
        <v>0.0</v>
      </c>
      <c r="G481" s="84">
        <v>0.0</v>
      </c>
      <c r="H481" s="84">
        <v>0.0</v>
      </c>
      <c r="I481" s="91">
        <v>0.0</v>
      </c>
      <c r="J481" s="84">
        <v>0.0</v>
      </c>
      <c r="K481" s="84">
        <v>0.0</v>
      </c>
      <c r="L481" s="84">
        <v>0.0</v>
      </c>
      <c r="M481" s="84">
        <v>0.0</v>
      </c>
      <c r="N481" s="84">
        <v>0.0</v>
      </c>
      <c r="O481" s="84">
        <v>0.0</v>
      </c>
      <c r="P481" s="84">
        <v>0.0</v>
      </c>
      <c r="Q481" s="84">
        <v>0.0</v>
      </c>
      <c r="R481" s="84">
        <v>0.0</v>
      </c>
      <c r="S481" s="84">
        <v>0.0</v>
      </c>
      <c r="T481" s="84">
        <v>0.0</v>
      </c>
      <c r="U481" s="84">
        <v>0.0</v>
      </c>
      <c r="V481" s="84">
        <v>2.0</v>
      </c>
      <c r="W481" s="84">
        <v>1.0</v>
      </c>
      <c r="X481" s="84">
        <v>0.0</v>
      </c>
      <c r="Y481" s="84">
        <v>0.0</v>
      </c>
      <c r="Z481" s="84">
        <v>0.0</v>
      </c>
      <c r="AA481" s="84">
        <v>0.0</v>
      </c>
      <c r="AB481" s="84">
        <v>0.0</v>
      </c>
      <c r="AC481" s="91">
        <v>0.0</v>
      </c>
      <c r="AD481" s="84">
        <v>0.0</v>
      </c>
      <c r="AE481" s="84">
        <v>0.0</v>
      </c>
      <c r="AF481" s="84">
        <v>0.0</v>
      </c>
      <c r="AG481" s="84">
        <v>0.0</v>
      </c>
      <c r="AH481" s="84">
        <v>0.0</v>
      </c>
      <c r="AI481" s="84">
        <v>0.0</v>
      </c>
      <c r="AJ481" s="84">
        <v>0.0</v>
      </c>
      <c r="AK481" s="84">
        <v>0.0</v>
      </c>
      <c r="AL481" s="84">
        <v>0.0</v>
      </c>
      <c r="AM481" s="84">
        <v>0.0</v>
      </c>
      <c r="AN481" s="93">
        <f t="shared" si="1"/>
        <v>0</v>
      </c>
      <c r="AO481" s="84">
        <f t="shared" si="2"/>
        <v>0</v>
      </c>
    </row>
    <row r="482" ht="12.75" customHeight="1">
      <c r="A482" s="84" t="s">
        <v>3362</v>
      </c>
      <c r="B482" s="84">
        <v>0.0</v>
      </c>
      <c r="C482" s="84">
        <v>0.0</v>
      </c>
      <c r="D482" s="84">
        <v>5.0</v>
      </c>
      <c r="E482" s="84">
        <v>0.0</v>
      </c>
      <c r="F482" s="84">
        <v>0.0</v>
      </c>
      <c r="G482" s="84">
        <v>0.0</v>
      </c>
      <c r="H482" s="84">
        <v>0.0</v>
      </c>
      <c r="I482" s="91">
        <v>0.0</v>
      </c>
      <c r="J482" s="84">
        <v>0.0</v>
      </c>
      <c r="K482" s="84">
        <v>0.0</v>
      </c>
      <c r="L482" s="84">
        <v>0.0</v>
      </c>
      <c r="M482" s="84">
        <v>0.0</v>
      </c>
      <c r="N482" s="84">
        <v>0.0</v>
      </c>
      <c r="O482" s="84">
        <v>0.0</v>
      </c>
      <c r="P482" s="84">
        <v>0.0</v>
      </c>
      <c r="Q482" s="84">
        <v>0.0</v>
      </c>
      <c r="R482" s="84">
        <v>0.0</v>
      </c>
      <c r="S482" s="84">
        <v>0.0</v>
      </c>
      <c r="T482" s="84">
        <v>0.0</v>
      </c>
      <c r="U482" s="84">
        <v>0.0</v>
      </c>
      <c r="V482" s="84">
        <v>0.0</v>
      </c>
      <c r="W482" s="84">
        <v>0.0</v>
      </c>
      <c r="X482" s="84">
        <v>6.0</v>
      </c>
      <c r="Y482" s="84">
        <v>3.0</v>
      </c>
      <c r="Z482" s="84">
        <v>0.0</v>
      </c>
      <c r="AA482" s="84">
        <v>0.0</v>
      </c>
      <c r="AB482" s="84">
        <v>0.0</v>
      </c>
      <c r="AC482" s="91">
        <v>0.0</v>
      </c>
      <c r="AD482" s="84">
        <v>0.0</v>
      </c>
      <c r="AE482" s="84">
        <v>0.0</v>
      </c>
      <c r="AF482" s="84">
        <v>0.0</v>
      </c>
      <c r="AG482" s="84">
        <v>0.0</v>
      </c>
      <c r="AH482" s="84">
        <v>0.0</v>
      </c>
      <c r="AI482" s="84">
        <v>0.0</v>
      </c>
      <c r="AJ482" s="84">
        <v>0.0</v>
      </c>
      <c r="AK482" s="84">
        <v>0.0</v>
      </c>
      <c r="AL482" s="84">
        <v>0.0</v>
      </c>
      <c r="AM482" s="84">
        <v>0.0</v>
      </c>
      <c r="AN482" s="93">
        <f t="shared" si="1"/>
        <v>0</v>
      </c>
      <c r="AO482" s="84">
        <f t="shared" si="2"/>
        <v>0</v>
      </c>
    </row>
    <row r="483" ht="12.75" customHeight="1">
      <c r="A483" s="84" t="s">
        <v>3457</v>
      </c>
      <c r="B483" s="84">
        <v>0.0</v>
      </c>
      <c r="C483" s="84">
        <v>0.0</v>
      </c>
      <c r="D483" s="84">
        <v>0.0</v>
      </c>
      <c r="E483" s="84">
        <v>5.0</v>
      </c>
      <c r="F483" s="84">
        <v>0.0</v>
      </c>
      <c r="G483" s="84">
        <v>0.0</v>
      </c>
      <c r="H483" s="84">
        <v>0.0</v>
      </c>
      <c r="I483" s="91">
        <v>0.0</v>
      </c>
      <c r="J483" s="84">
        <v>0.0</v>
      </c>
      <c r="K483" s="84">
        <v>0.0</v>
      </c>
      <c r="L483" s="84">
        <v>0.0</v>
      </c>
      <c r="M483" s="84">
        <v>0.0</v>
      </c>
      <c r="N483" s="84">
        <v>0.0</v>
      </c>
      <c r="O483" s="84">
        <v>0.0</v>
      </c>
      <c r="P483" s="84">
        <v>0.0</v>
      </c>
      <c r="Q483" s="84">
        <v>0.0</v>
      </c>
      <c r="R483" s="84">
        <v>0.0</v>
      </c>
      <c r="S483" s="84">
        <v>0.0</v>
      </c>
      <c r="T483" s="84">
        <v>0.0</v>
      </c>
      <c r="U483" s="84">
        <v>0.0</v>
      </c>
      <c r="V483" s="84">
        <v>0.0</v>
      </c>
      <c r="W483" s="84">
        <v>0.0</v>
      </c>
      <c r="X483" s="84">
        <v>0.0</v>
      </c>
      <c r="Y483" s="84">
        <v>6.0</v>
      </c>
      <c r="Z483" s="84">
        <v>0.0</v>
      </c>
      <c r="AA483" s="84">
        <v>0.0</v>
      </c>
      <c r="AB483" s="84">
        <v>0.0</v>
      </c>
      <c r="AC483" s="91">
        <v>0.0</v>
      </c>
      <c r="AD483" s="84">
        <v>0.0</v>
      </c>
      <c r="AE483" s="84">
        <v>0.0</v>
      </c>
      <c r="AF483" s="84">
        <v>0.0</v>
      </c>
      <c r="AG483" s="84">
        <v>0.0</v>
      </c>
      <c r="AH483" s="84">
        <v>0.0</v>
      </c>
      <c r="AI483" s="84">
        <v>0.0</v>
      </c>
      <c r="AJ483" s="84">
        <v>0.0</v>
      </c>
      <c r="AK483" s="84">
        <v>0.0</v>
      </c>
      <c r="AL483" s="84">
        <v>0.0</v>
      </c>
      <c r="AM483" s="84">
        <v>0.0</v>
      </c>
      <c r="AN483" s="93">
        <f t="shared" si="1"/>
        <v>0</v>
      </c>
      <c r="AO483" s="84">
        <f t="shared" si="2"/>
        <v>0</v>
      </c>
    </row>
    <row r="484" ht="12.75" customHeight="1">
      <c r="A484" s="84" t="s">
        <v>3588</v>
      </c>
      <c r="B484" s="84">
        <v>0.0</v>
      </c>
      <c r="C484" s="84">
        <v>0.0</v>
      </c>
      <c r="D484" s="84">
        <v>0.0</v>
      </c>
      <c r="E484" s="84">
        <v>0.0</v>
      </c>
      <c r="F484" s="84">
        <v>5.0</v>
      </c>
      <c r="G484" s="84">
        <v>3.0</v>
      </c>
      <c r="H484" s="84">
        <v>0.0</v>
      </c>
      <c r="I484" s="91">
        <v>0.0</v>
      </c>
      <c r="J484" s="84">
        <v>0.0</v>
      </c>
      <c r="K484" s="84">
        <v>0.0</v>
      </c>
      <c r="L484" s="84">
        <v>0.0</v>
      </c>
      <c r="M484" s="84">
        <v>0.0</v>
      </c>
      <c r="N484" s="84">
        <v>0.0</v>
      </c>
      <c r="O484" s="84">
        <v>0.0</v>
      </c>
      <c r="P484" s="84">
        <v>0.0</v>
      </c>
      <c r="Q484" s="84">
        <v>0.0</v>
      </c>
      <c r="R484" s="84">
        <v>0.0</v>
      </c>
      <c r="S484" s="84">
        <v>0.0</v>
      </c>
      <c r="T484" s="84">
        <v>0.0</v>
      </c>
      <c r="U484" s="84">
        <v>0.0</v>
      </c>
      <c r="V484" s="84">
        <v>0.0</v>
      </c>
      <c r="W484" s="84">
        <v>0.0</v>
      </c>
      <c r="X484" s="84">
        <v>0.0</v>
      </c>
      <c r="Y484" s="84">
        <v>0.0</v>
      </c>
      <c r="Z484" s="84">
        <v>6.0</v>
      </c>
      <c r="AA484" s="84">
        <v>0.0</v>
      </c>
      <c r="AB484" s="84">
        <v>0.0</v>
      </c>
      <c r="AC484" s="91">
        <v>0.0</v>
      </c>
      <c r="AD484" s="84">
        <v>0.0</v>
      </c>
      <c r="AE484" s="84">
        <v>0.0</v>
      </c>
      <c r="AF484" s="84">
        <v>0.0</v>
      </c>
      <c r="AG484" s="84">
        <v>0.0</v>
      </c>
      <c r="AH484" s="84">
        <v>0.0</v>
      </c>
      <c r="AI484" s="84">
        <v>0.0</v>
      </c>
      <c r="AJ484" s="84">
        <v>0.0</v>
      </c>
      <c r="AK484" s="84">
        <v>0.0</v>
      </c>
      <c r="AL484" s="84">
        <v>0.0</v>
      </c>
      <c r="AM484" s="84">
        <v>0.0</v>
      </c>
      <c r="AN484" s="93">
        <f t="shared" si="1"/>
        <v>0</v>
      </c>
      <c r="AO484" s="84">
        <f t="shared" si="2"/>
        <v>0</v>
      </c>
    </row>
    <row r="485" ht="12.75" customHeight="1">
      <c r="A485" s="84" t="s">
        <v>3941</v>
      </c>
      <c r="B485" s="84">
        <v>0.0</v>
      </c>
      <c r="C485" s="84">
        <v>0.0</v>
      </c>
      <c r="D485" s="84">
        <v>0.0</v>
      </c>
      <c r="E485" s="84">
        <v>0.0</v>
      </c>
      <c r="F485" s="84">
        <v>0.0</v>
      </c>
      <c r="G485" s="84">
        <v>0.0</v>
      </c>
      <c r="H485" s="84">
        <v>6.0</v>
      </c>
      <c r="I485" s="91">
        <v>0.0</v>
      </c>
      <c r="J485" s="84">
        <v>0.0</v>
      </c>
      <c r="K485" s="84">
        <v>0.0</v>
      </c>
      <c r="L485" s="84">
        <v>0.0</v>
      </c>
      <c r="M485" s="84">
        <v>0.0</v>
      </c>
      <c r="N485" s="84">
        <v>0.0</v>
      </c>
      <c r="O485" s="84">
        <v>0.0</v>
      </c>
      <c r="P485" s="84">
        <v>0.0</v>
      </c>
      <c r="Q485" s="84">
        <v>0.0</v>
      </c>
      <c r="R485" s="84">
        <v>0.0</v>
      </c>
      <c r="S485" s="84">
        <v>0.0</v>
      </c>
      <c r="T485" s="84">
        <v>0.0</v>
      </c>
      <c r="U485" s="84">
        <v>0.0</v>
      </c>
      <c r="V485" s="84">
        <v>0.0</v>
      </c>
      <c r="W485" s="84">
        <v>0.0</v>
      </c>
      <c r="X485" s="84">
        <v>0.0</v>
      </c>
      <c r="Y485" s="84">
        <v>0.0</v>
      </c>
      <c r="Z485" s="84">
        <v>0.0</v>
      </c>
      <c r="AA485" s="84">
        <v>0.0</v>
      </c>
      <c r="AB485" s="84">
        <v>6.0</v>
      </c>
      <c r="AC485" s="91">
        <v>0.0</v>
      </c>
      <c r="AD485" s="84">
        <v>0.0</v>
      </c>
      <c r="AE485" s="84">
        <v>0.0</v>
      </c>
      <c r="AF485" s="84">
        <v>0.0</v>
      </c>
      <c r="AG485" s="84">
        <v>0.0</v>
      </c>
      <c r="AH485" s="84">
        <v>0.0</v>
      </c>
      <c r="AI485" s="84">
        <v>0.0</v>
      </c>
      <c r="AJ485" s="84">
        <v>0.0</v>
      </c>
      <c r="AK485" s="84">
        <v>0.0</v>
      </c>
      <c r="AL485" s="84">
        <v>0.0</v>
      </c>
      <c r="AM485" s="84">
        <v>0.0</v>
      </c>
      <c r="AN485" s="93">
        <f t="shared" si="1"/>
        <v>0</v>
      </c>
      <c r="AO485" s="84">
        <f t="shared" si="2"/>
        <v>0</v>
      </c>
    </row>
    <row r="486" ht="12.75" customHeight="1">
      <c r="A486" s="84" t="s">
        <v>2857</v>
      </c>
      <c r="B486" s="84">
        <v>3.0</v>
      </c>
      <c r="C486" s="84">
        <v>1.0</v>
      </c>
      <c r="D486" s="84">
        <v>0.0</v>
      </c>
      <c r="E486" s="84">
        <v>0.0</v>
      </c>
      <c r="F486" s="84">
        <v>0.0</v>
      </c>
      <c r="G486" s="84">
        <v>0.0</v>
      </c>
      <c r="H486" s="84">
        <v>0.0</v>
      </c>
      <c r="I486" s="91">
        <v>0.0</v>
      </c>
      <c r="J486" s="84">
        <v>0.0</v>
      </c>
      <c r="K486" s="84">
        <v>0.0</v>
      </c>
      <c r="L486" s="84">
        <v>0.0</v>
      </c>
      <c r="M486" s="84">
        <v>0.0</v>
      </c>
      <c r="N486" s="84">
        <v>0.0</v>
      </c>
      <c r="O486" s="84">
        <v>0.0</v>
      </c>
      <c r="P486" s="84">
        <v>0.0</v>
      </c>
      <c r="Q486" s="84">
        <v>0.0</v>
      </c>
      <c r="R486" s="84">
        <v>0.0</v>
      </c>
      <c r="S486" s="84">
        <v>0.0</v>
      </c>
      <c r="T486" s="84">
        <v>0.0</v>
      </c>
      <c r="U486" s="84">
        <v>0.0</v>
      </c>
      <c r="V486" s="84">
        <v>1.0</v>
      </c>
      <c r="W486" s="84">
        <v>1.0</v>
      </c>
      <c r="X486" s="84">
        <v>0.0</v>
      </c>
      <c r="Y486" s="84">
        <v>0.0</v>
      </c>
      <c r="Z486" s="84">
        <v>0.0</v>
      </c>
      <c r="AA486" s="84">
        <v>0.0</v>
      </c>
      <c r="AB486" s="84">
        <v>0.0</v>
      </c>
      <c r="AC486" s="91">
        <v>0.0</v>
      </c>
      <c r="AD486" s="84">
        <v>0.0</v>
      </c>
      <c r="AE486" s="84">
        <v>0.0</v>
      </c>
      <c r="AF486" s="84">
        <v>0.0</v>
      </c>
      <c r="AG486" s="84">
        <v>0.0</v>
      </c>
      <c r="AH486" s="84">
        <v>0.0</v>
      </c>
      <c r="AI486" s="84">
        <v>0.0</v>
      </c>
      <c r="AJ486" s="84">
        <v>0.0</v>
      </c>
      <c r="AK486" s="84">
        <v>0.0</v>
      </c>
      <c r="AL486" s="84">
        <v>0.0</v>
      </c>
      <c r="AM486" s="84">
        <v>0.0</v>
      </c>
      <c r="AN486" s="93">
        <f t="shared" si="1"/>
        <v>0</v>
      </c>
      <c r="AO486" s="84">
        <f t="shared" si="2"/>
        <v>0</v>
      </c>
    </row>
    <row r="487" ht="12.75" customHeight="1">
      <c r="A487" s="84" t="s">
        <v>2577</v>
      </c>
      <c r="B487" s="84">
        <v>2.0</v>
      </c>
      <c r="C487" s="84">
        <v>1.0</v>
      </c>
      <c r="D487" s="84">
        <v>0.0</v>
      </c>
      <c r="E487" s="84">
        <v>0.0</v>
      </c>
      <c r="F487" s="84">
        <v>0.0</v>
      </c>
      <c r="G487" s="84">
        <v>0.0</v>
      </c>
      <c r="H487" s="84">
        <v>0.0</v>
      </c>
      <c r="I487" s="91">
        <v>0.0</v>
      </c>
      <c r="J487" s="84">
        <v>0.0</v>
      </c>
      <c r="K487" s="84">
        <v>0.0</v>
      </c>
      <c r="L487" s="84">
        <v>0.0</v>
      </c>
      <c r="M487" s="84">
        <v>0.0</v>
      </c>
      <c r="N487" s="84">
        <v>0.0</v>
      </c>
      <c r="O487" s="84">
        <v>0.0</v>
      </c>
      <c r="P487" s="84">
        <v>0.0</v>
      </c>
      <c r="Q487" s="84">
        <v>0.0</v>
      </c>
      <c r="R487" s="84">
        <v>0.0</v>
      </c>
      <c r="S487" s="84">
        <v>0.0</v>
      </c>
      <c r="T487" s="84">
        <v>0.0</v>
      </c>
      <c r="U487" s="84">
        <v>0.0</v>
      </c>
      <c r="V487" s="84">
        <v>3.0</v>
      </c>
      <c r="W487" s="84">
        <v>0.0</v>
      </c>
      <c r="X487" s="84">
        <v>0.0</v>
      </c>
      <c r="Y487" s="84">
        <v>0.0</v>
      </c>
      <c r="Z487" s="84">
        <v>0.0</v>
      </c>
      <c r="AA487" s="84">
        <v>0.0</v>
      </c>
      <c r="AB487" s="84">
        <v>0.0</v>
      </c>
      <c r="AC487" s="91">
        <v>0.0</v>
      </c>
      <c r="AD487" s="84">
        <v>0.0</v>
      </c>
      <c r="AE487" s="84">
        <v>0.0</v>
      </c>
      <c r="AF487" s="84">
        <v>0.0</v>
      </c>
      <c r="AG487" s="84">
        <v>0.0</v>
      </c>
      <c r="AH487" s="84">
        <v>0.0</v>
      </c>
      <c r="AI487" s="84">
        <v>0.0</v>
      </c>
      <c r="AJ487" s="84">
        <v>0.0</v>
      </c>
      <c r="AK487" s="84">
        <v>0.0</v>
      </c>
      <c r="AL487" s="84">
        <v>0.0</v>
      </c>
      <c r="AM487" s="84">
        <v>0.0</v>
      </c>
      <c r="AN487" s="93">
        <f t="shared" si="1"/>
        <v>0</v>
      </c>
      <c r="AO487" s="84">
        <f t="shared" si="2"/>
        <v>0</v>
      </c>
    </row>
    <row r="488" ht="12.75" customHeight="1">
      <c r="A488" s="84" t="s">
        <v>3290</v>
      </c>
      <c r="B488" s="84">
        <v>0.0</v>
      </c>
      <c r="C488" s="84">
        <v>0.0</v>
      </c>
      <c r="D488" s="84">
        <v>6.0</v>
      </c>
      <c r="E488" s="84">
        <v>0.0</v>
      </c>
      <c r="F488" s="84">
        <v>0.0</v>
      </c>
      <c r="G488" s="84">
        <v>0.0</v>
      </c>
      <c r="H488" s="84">
        <v>0.0</v>
      </c>
      <c r="I488" s="91">
        <v>0.0</v>
      </c>
      <c r="J488" s="84">
        <v>0.0</v>
      </c>
      <c r="K488" s="84">
        <v>0.0</v>
      </c>
      <c r="L488" s="84">
        <v>0.0</v>
      </c>
      <c r="M488" s="84">
        <v>0.0</v>
      </c>
      <c r="N488" s="84">
        <v>0.0</v>
      </c>
      <c r="O488" s="84">
        <v>0.0</v>
      </c>
      <c r="P488" s="84">
        <v>0.0</v>
      </c>
      <c r="Q488" s="84">
        <v>0.0</v>
      </c>
      <c r="R488" s="84">
        <v>0.0</v>
      </c>
      <c r="S488" s="84">
        <v>0.0</v>
      </c>
      <c r="T488" s="84">
        <v>0.0</v>
      </c>
      <c r="U488" s="84">
        <v>0.0</v>
      </c>
      <c r="V488" s="84">
        <v>0.0</v>
      </c>
      <c r="W488" s="84">
        <v>0.0</v>
      </c>
      <c r="X488" s="84">
        <v>6.0</v>
      </c>
      <c r="Y488" s="84">
        <v>3.0</v>
      </c>
      <c r="Z488" s="84">
        <v>0.0</v>
      </c>
      <c r="AA488" s="84">
        <v>0.0</v>
      </c>
      <c r="AB488" s="84">
        <v>0.0</v>
      </c>
      <c r="AC488" s="91">
        <v>0.0</v>
      </c>
      <c r="AD488" s="84">
        <v>0.0</v>
      </c>
      <c r="AE488" s="84">
        <v>0.0</v>
      </c>
      <c r="AF488" s="84">
        <v>0.0</v>
      </c>
      <c r="AG488" s="84">
        <v>0.0</v>
      </c>
      <c r="AH488" s="84">
        <v>0.0</v>
      </c>
      <c r="AI488" s="84">
        <v>0.0</v>
      </c>
      <c r="AJ488" s="84">
        <v>0.0</v>
      </c>
      <c r="AK488" s="84">
        <v>0.0</v>
      </c>
      <c r="AL488" s="84">
        <v>0.0</v>
      </c>
      <c r="AM488" s="84">
        <v>0.0</v>
      </c>
      <c r="AN488" s="93">
        <f t="shared" si="1"/>
        <v>0</v>
      </c>
      <c r="AO488" s="84">
        <f t="shared" si="2"/>
        <v>0</v>
      </c>
    </row>
    <row r="489" ht="12.75" customHeight="1">
      <c r="A489" s="84" t="s">
        <v>3333</v>
      </c>
      <c r="B489" s="84">
        <v>0.0</v>
      </c>
      <c r="C489" s="84">
        <v>0.0</v>
      </c>
      <c r="D489" s="84">
        <v>4.0</v>
      </c>
      <c r="E489" s="84">
        <v>2.0</v>
      </c>
      <c r="F489" s="84">
        <v>0.0</v>
      </c>
      <c r="G489" s="84">
        <v>0.0</v>
      </c>
      <c r="H489" s="84">
        <v>0.0</v>
      </c>
      <c r="I489" s="91">
        <v>0.0</v>
      </c>
      <c r="J489" s="84">
        <v>0.0</v>
      </c>
      <c r="K489" s="84">
        <v>0.0</v>
      </c>
      <c r="L489" s="84">
        <v>0.0</v>
      </c>
      <c r="M489" s="84">
        <v>0.0</v>
      </c>
      <c r="N489" s="84">
        <v>0.0</v>
      </c>
      <c r="O489" s="84">
        <v>0.0</v>
      </c>
      <c r="P489" s="84">
        <v>0.0</v>
      </c>
      <c r="Q489" s="84">
        <v>0.0</v>
      </c>
      <c r="R489" s="84">
        <v>0.0</v>
      </c>
      <c r="S489" s="84">
        <v>0.0</v>
      </c>
      <c r="T489" s="84">
        <v>0.0</v>
      </c>
      <c r="U489" s="84">
        <v>0.0</v>
      </c>
      <c r="V489" s="84">
        <v>0.0</v>
      </c>
      <c r="W489" s="84">
        <v>0.0</v>
      </c>
      <c r="X489" s="84">
        <v>6.0</v>
      </c>
      <c r="Y489" s="84">
        <v>3.0</v>
      </c>
      <c r="Z489" s="84">
        <v>0.0</v>
      </c>
      <c r="AA489" s="84">
        <v>0.0</v>
      </c>
      <c r="AB489" s="84">
        <v>0.0</v>
      </c>
      <c r="AC489" s="91">
        <v>0.0</v>
      </c>
      <c r="AD489" s="84">
        <v>0.0</v>
      </c>
      <c r="AE489" s="84">
        <v>0.0</v>
      </c>
      <c r="AF489" s="84">
        <v>0.0</v>
      </c>
      <c r="AG489" s="84">
        <v>0.0</v>
      </c>
      <c r="AH489" s="84">
        <v>0.0</v>
      </c>
      <c r="AI489" s="84">
        <v>0.0</v>
      </c>
      <c r="AJ489" s="84">
        <v>0.0</v>
      </c>
      <c r="AK489" s="84">
        <v>0.0</v>
      </c>
      <c r="AL489" s="84">
        <v>0.0</v>
      </c>
      <c r="AM489" s="84">
        <v>0.0</v>
      </c>
      <c r="AN489" s="93">
        <f t="shared" si="1"/>
        <v>0</v>
      </c>
      <c r="AO489" s="84">
        <f t="shared" si="2"/>
        <v>0</v>
      </c>
    </row>
    <row r="490" ht="12.75" customHeight="1">
      <c r="A490" s="84" t="s">
        <v>3348</v>
      </c>
      <c r="B490" s="84">
        <v>0.0</v>
      </c>
      <c r="C490" s="84">
        <v>0.0</v>
      </c>
      <c r="D490" s="84">
        <v>5.0</v>
      </c>
      <c r="E490" s="84">
        <v>12.0</v>
      </c>
      <c r="F490" s="84">
        <v>0.0</v>
      </c>
      <c r="G490" s="84">
        <v>0.0</v>
      </c>
      <c r="H490" s="84">
        <v>0.0</v>
      </c>
      <c r="I490" s="91">
        <v>0.0</v>
      </c>
      <c r="J490" s="84">
        <v>0.0</v>
      </c>
      <c r="K490" s="84">
        <v>0.0</v>
      </c>
      <c r="L490" s="84">
        <v>0.0</v>
      </c>
      <c r="M490" s="84">
        <v>0.0</v>
      </c>
      <c r="N490" s="84">
        <v>0.0</v>
      </c>
      <c r="O490" s="84">
        <v>0.0</v>
      </c>
      <c r="P490" s="84">
        <v>0.0</v>
      </c>
      <c r="Q490" s="84">
        <v>0.0</v>
      </c>
      <c r="R490" s="84">
        <v>0.0</v>
      </c>
      <c r="S490" s="84">
        <v>0.0</v>
      </c>
      <c r="T490" s="84">
        <v>0.0</v>
      </c>
      <c r="U490" s="84">
        <v>0.0</v>
      </c>
      <c r="V490" s="84">
        <v>0.0</v>
      </c>
      <c r="W490" s="84">
        <v>0.0</v>
      </c>
      <c r="X490" s="84">
        <v>6.0</v>
      </c>
      <c r="Y490" s="84">
        <v>0.0</v>
      </c>
      <c r="Z490" s="84">
        <v>0.0</v>
      </c>
      <c r="AA490" s="84">
        <v>0.0</v>
      </c>
      <c r="AB490" s="84">
        <v>0.0</v>
      </c>
      <c r="AC490" s="91">
        <v>0.0</v>
      </c>
      <c r="AD490" s="84">
        <v>0.0</v>
      </c>
      <c r="AE490" s="84">
        <v>0.0</v>
      </c>
      <c r="AF490" s="84">
        <v>0.0</v>
      </c>
      <c r="AG490" s="84">
        <v>0.0</v>
      </c>
      <c r="AH490" s="84">
        <v>0.0</v>
      </c>
      <c r="AI490" s="84">
        <v>0.0</v>
      </c>
      <c r="AJ490" s="84">
        <v>0.0</v>
      </c>
      <c r="AK490" s="84">
        <v>0.0</v>
      </c>
      <c r="AL490" s="84">
        <v>0.0</v>
      </c>
      <c r="AM490" s="84">
        <v>0.0</v>
      </c>
      <c r="AN490" s="93">
        <f t="shared" si="1"/>
        <v>0</v>
      </c>
      <c r="AO490" s="84">
        <f t="shared" si="2"/>
        <v>0</v>
      </c>
    </row>
    <row r="491" ht="12.75" customHeight="1">
      <c r="A491" s="84" t="s">
        <v>2697</v>
      </c>
      <c r="B491" s="84">
        <v>3.0</v>
      </c>
      <c r="C491" s="84">
        <v>0.0</v>
      </c>
      <c r="D491" s="84">
        <v>0.0</v>
      </c>
      <c r="E491" s="84">
        <v>0.0</v>
      </c>
      <c r="F491" s="84">
        <v>0.0</v>
      </c>
      <c r="G491" s="84">
        <v>0.0</v>
      </c>
      <c r="H491" s="84">
        <v>0.0</v>
      </c>
      <c r="I491" s="91">
        <v>0.0</v>
      </c>
      <c r="J491" s="84">
        <v>0.0</v>
      </c>
      <c r="K491" s="84">
        <v>0.0</v>
      </c>
      <c r="L491" s="84">
        <v>0.0</v>
      </c>
      <c r="M491" s="84">
        <v>0.0</v>
      </c>
      <c r="N491" s="84">
        <v>0.0</v>
      </c>
      <c r="O491" s="84">
        <v>0.0</v>
      </c>
      <c r="P491" s="84">
        <v>0.0</v>
      </c>
      <c r="Q491" s="84">
        <v>0.0</v>
      </c>
      <c r="R491" s="84">
        <v>0.0</v>
      </c>
      <c r="S491" s="84">
        <v>0.0</v>
      </c>
      <c r="T491" s="84">
        <v>0.0</v>
      </c>
      <c r="U491" s="84">
        <v>0.0</v>
      </c>
      <c r="V491" s="84">
        <v>2.0</v>
      </c>
      <c r="W491" s="84">
        <v>4.0</v>
      </c>
      <c r="X491" s="84">
        <v>0.0</v>
      </c>
      <c r="Y491" s="84">
        <v>0.0</v>
      </c>
      <c r="Z491" s="84">
        <v>0.0</v>
      </c>
      <c r="AA491" s="84">
        <v>0.0</v>
      </c>
      <c r="AB491" s="84">
        <v>0.0</v>
      </c>
      <c r="AC491" s="91">
        <v>0.0</v>
      </c>
      <c r="AD491" s="84">
        <v>0.0</v>
      </c>
      <c r="AE491" s="84">
        <v>0.0</v>
      </c>
      <c r="AF491" s="84">
        <v>0.0</v>
      </c>
      <c r="AG491" s="84">
        <v>0.0</v>
      </c>
      <c r="AH491" s="84">
        <v>0.0</v>
      </c>
      <c r="AI491" s="84">
        <v>0.0</v>
      </c>
      <c r="AJ491" s="84">
        <v>0.0</v>
      </c>
      <c r="AK491" s="84">
        <v>0.0</v>
      </c>
      <c r="AL491" s="84">
        <v>0.0</v>
      </c>
      <c r="AM491" s="84">
        <v>0.0</v>
      </c>
      <c r="AN491" s="93">
        <f t="shared" si="1"/>
        <v>0</v>
      </c>
      <c r="AO491" s="84">
        <f t="shared" si="2"/>
        <v>0</v>
      </c>
    </row>
    <row r="492" ht="12.75" customHeight="1">
      <c r="A492" s="84" t="s">
        <v>2897</v>
      </c>
      <c r="B492" s="84">
        <v>1.0</v>
      </c>
      <c r="C492" s="84">
        <v>0.0</v>
      </c>
      <c r="D492" s="84">
        <v>0.0</v>
      </c>
      <c r="E492" s="84">
        <v>0.0</v>
      </c>
      <c r="F492" s="84">
        <v>0.0</v>
      </c>
      <c r="G492" s="84">
        <v>0.0</v>
      </c>
      <c r="H492" s="84">
        <v>0.0</v>
      </c>
      <c r="I492" s="91">
        <v>0.0</v>
      </c>
      <c r="J492" s="84">
        <v>0.0</v>
      </c>
      <c r="K492" s="84">
        <v>0.0</v>
      </c>
      <c r="L492" s="84">
        <v>0.0</v>
      </c>
      <c r="M492" s="84">
        <v>0.0</v>
      </c>
      <c r="N492" s="84">
        <v>0.0</v>
      </c>
      <c r="O492" s="84">
        <v>0.0</v>
      </c>
      <c r="P492" s="84">
        <v>0.0</v>
      </c>
      <c r="Q492" s="84">
        <v>0.0</v>
      </c>
      <c r="R492" s="84">
        <v>0.0</v>
      </c>
      <c r="S492" s="84">
        <v>0.0</v>
      </c>
      <c r="T492" s="84">
        <v>0.0</v>
      </c>
      <c r="U492" s="84">
        <v>0.0</v>
      </c>
      <c r="V492" s="84">
        <v>2.0</v>
      </c>
      <c r="W492" s="84">
        <v>1.0</v>
      </c>
      <c r="X492" s="84">
        <v>0.0</v>
      </c>
      <c r="Y492" s="84">
        <v>0.0</v>
      </c>
      <c r="Z492" s="84">
        <v>0.0</v>
      </c>
      <c r="AA492" s="84">
        <v>0.0</v>
      </c>
      <c r="AB492" s="84">
        <v>0.0</v>
      </c>
      <c r="AC492" s="91">
        <v>0.0</v>
      </c>
      <c r="AD492" s="84">
        <v>0.0</v>
      </c>
      <c r="AE492" s="84">
        <v>0.0</v>
      </c>
      <c r="AF492" s="84">
        <v>0.0</v>
      </c>
      <c r="AG492" s="84">
        <v>0.0</v>
      </c>
      <c r="AH492" s="84">
        <v>0.0</v>
      </c>
      <c r="AI492" s="84">
        <v>0.0</v>
      </c>
      <c r="AJ492" s="84">
        <v>0.0</v>
      </c>
      <c r="AK492" s="84">
        <v>0.0</v>
      </c>
      <c r="AL492" s="84">
        <v>0.0</v>
      </c>
      <c r="AM492" s="84">
        <v>0.0</v>
      </c>
      <c r="AN492" s="93">
        <f t="shared" si="1"/>
        <v>0</v>
      </c>
      <c r="AO492" s="84">
        <f t="shared" si="2"/>
        <v>0</v>
      </c>
    </row>
    <row r="493" ht="12.75" customHeight="1">
      <c r="A493" s="84" t="s">
        <v>2591</v>
      </c>
      <c r="B493" s="84">
        <v>2.0</v>
      </c>
      <c r="C493" s="84">
        <v>2.0</v>
      </c>
      <c r="D493" s="84">
        <v>0.0</v>
      </c>
      <c r="E493" s="84">
        <v>0.0</v>
      </c>
      <c r="F493" s="84">
        <v>0.0</v>
      </c>
      <c r="G493" s="84">
        <v>0.0</v>
      </c>
      <c r="H493" s="84">
        <v>0.0</v>
      </c>
      <c r="I493" s="91">
        <v>0.0</v>
      </c>
      <c r="J493" s="84">
        <v>0.0</v>
      </c>
      <c r="K493" s="84">
        <v>0.0</v>
      </c>
      <c r="L493" s="84">
        <v>0.0</v>
      </c>
      <c r="M493" s="84">
        <v>0.0</v>
      </c>
      <c r="N493" s="84">
        <v>0.0</v>
      </c>
      <c r="O493" s="84">
        <v>0.0</v>
      </c>
      <c r="P493" s="84">
        <v>0.0</v>
      </c>
      <c r="Q493" s="84">
        <v>0.0</v>
      </c>
      <c r="R493" s="84">
        <v>0.0</v>
      </c>
      <c r="S493" s="84">
        <v>0.0</v>
      </c>
      <c r="T493" s="84">
        <v>0.0</v>
      </c>
      <c r="U493" s="84">
        <v>0.0</v>
      </c>
      <c r="V493" s="84">
        <v>2.0</v>
      </c>
      <c r="W493" s="84">
        <v>0.0</v>
      </c>
      <c r="X493" s="84">
        <v>0.0</v>
      </c>
      <c r="Y493" s="84">
        <v>0.0</v>
      </c>
      <c r="Z493" s="84">
        <v>0.0</v>
      </c>
      <c r="AA493" s="84">
        <v>0.0</v>
      </c>
      <c r="AB493" s="84">
        <v>0.0</v>
      </c>
      <c r="AC493" s="91">
        <v>0.0</v>
      </c>
      <c r="AD493" s="84">
        <v>0.0</v>
      </c>
      <c r="AE493" s="84">
        <v>0.0</v>
      </c>
      <c r="AF493" s="84">
        <v>0.0</v>
      </c>
      <c r="AG493" s="84">
        <v>0.0</v>
      </c>
      <c r="AH493" s="84">
        <v>0.0</v>
      </c>
      <c r="AI493" s="84">
        <v>0.0</v>
      </c>
      <c r="AJ493" s="84">
        <v>0.0</v>
      </c>
      <c r="AK493" s="84">
        <v>0.0</v>
      </c>
      <c r="AL493" s="84">
        <v>0.0</v>
      </c>
      <c r="AM493" s="84">
        <v>0.0</v>
      </c>
      <c r="AN493" s="93">
        <f t="shared" si="1"/>
        <v>0</v>
      </c>
      <c r="AO493" s="84">
        <f t="shared" si="2"/>
        <v>0</v>
      </c>
    </row>
    <row r="494" ht="12.75" customHeight="1">
      <c r="A494" s="84" t="s">
        <v>2861</v>
      </c>
      <c r="B494" s="84">
        <v>2.0</v>
      </c>
      <c r="C494" s="84">
        <v>1.0</v>
      </c>
      <c r="D494" s="84">
        <v>0.0</v>
      </c>
      <c r="E494" s="84">
        <v>0.0</v>
      </c>
      <c r="F494" s="84">
        <v>0.0</v>
      </c>
      <c r="G494" s="84">
        <v>0.0</v>
      </c>
      <c r="H494" s="84">
        <v>0.0</v>
      </c>
      <c r="I494" s="91">
        <v>0.0</v>
      </c>
      <c r="J494" s="84">
        <v>0.0</v>
      </c>
      <c r="K494" s="84">
        <v>0.0</v>
      </c>
      <c r="L494" s="84">
        <v>0.0</v>
      </c>
      <c r="M494" s="84">
        <v>0.0</v>
      </c>
      <c r="N494" s="84">
        <v>0.0</v>
      </c>
      <c r="O494" s="84">
        <v>0.0</v>
      </c>
      <c r="P494" s="84">
        <v>0.0</v>
      </c>
      <c r="Q494" s="84">
        <v>0.0</v>
      </c>
      <c r="R494" s="84">
        <v>0.0</v>
      </c>
      <c r="S494" s="84">
        <v>0.0</v>
      </c>
      <c r="T494" s="84">
        <v>0.0</v>
      </c>
      <c r="U494" s="84">
        <v>0.0</v>
      </c>
      <c r="V494" s="84">
        <v>3.0</v>
      </c>
      <c r="W494" s="84">
        <v>1.0</v>
      </c>
      <c r="X494" s="84">
        <v>0.0</v>
      </c>
      <c r="Y494" s="84">
        <v>0.0</v>
      </c>
      <c r="Z494" s="84">
        <v>0.0</v>
      </c>
      <c r="AA494" s="84">
        <v>0.0</v>
      </c>
      <c r="AB494" s="84">
        <v>0.0</v>
      </c>
      <c r="AC494" s="91">
        <v>0.0</v>
      </c>
      <c r="AD494" s="84">
        <v>0.0</v>
      </c>
      <c r="AE494" s="84">
        <v>0.0</v>
      </c>
      <c r="AF494" s="84">
        <v>0.0</v>
      </c>
      <c r="AG494" s="84">
        <v>0.0</v>
      </c>
      <c r="AH494" s="84">
        <v>0.0</v>
      </c>
      <c r="AI494" s="84">
        <v>0.0</v>
      </c>
      <c r="AJ494" s="84">
        <v>0.0</v>
      </c>
      <c r="AK494" s="84">
        <v>0.0</v>
      </c>
      <c r="AL494" s="84">
        <v>0.0</v>
      </c>
      <c r="AM494" s="84">
        <v>0.0</v>
      </c>
      <c r="AN494" s="93">
        <f t="shared" si="1"/>
        <v>0</v>
      </c>
      <c r="AO494" s="84">
        <f t="shared" si="2"/>
        <v>0</v>
      </c>
    </row>
    <row r="495" ht="12.75" customHeight="1">
      <c r="A495" s="84" t="s">
        <v>2876</v>
      </c>
      <c r="B495" s="84">
        <v>1.0</v>
      </c>
      <c r="C495" s="84">
        <v>1.0</v>
      </c>
      <c r="D495" s="84">
        <v>0.0</v>
      </c>
      <c r="E495" s="84">
        <v>0.0</v>
      </c>
      <c r="F495" s="84">
        <v>0.0</v>
      </c>
      <c r="G495" s="84">
        <v>0.0</v>
      </c>
      <c r="H495" s="84">
        <v>0.0</v>
      </c>
      <c r="I495" s="91">
        <v>0.0</v>
      </c>
      <c r="J495" s="84">
        <v>0.0</v>
      </c>
      <c r="K495" s="84">
        <v>0.0</v>
      </c>
      <c r="L495" s="84">
        <v>0.0</v>
      </c>
      <c r="M495" s="84">
        <v>0.0</v>
      </c>
      <c r="N495" s="84">
        <v>0.0</v>
      </c>
      <c r="O495" s="84">
        <v>0.0</v>
      </c>
      <c r="P495" s="84">
        <v>0.0</v>
      </c>
      <c r="Q495" s="84">
        <v>0.0</v>
      </c>
      <c r="R495" s="84">
        <v>0.0</v>
      </c>
      <c r="S495" s="84">
        <v>0.0</v>
      </c>
      <c r="T495" s="84">
        <v>0.0</v>
      </c>
      <c r="U495" s="84">
        <v>0.0</v>
      </c>
      <c r="V495" s="84">
        <v>2.0</v>
      </c>
      <c r="W495" s="84">
        <v>1.0</v>
      </c>
      <c r="X495" s="84">
        <v>0.0</v>
      </c>
      <c r="Y495" s="84">
        <v>0.0</v>
      </c>
      <c r="Z495" s="84">
        <v>0.0</v>
      </c>
      <c r="AA495" s="84">
        <v>0.0</v>
      </c>
      <c r="AB495" s="84">
        <v>0.0</v>
      </c>
      <c r="AC495" s="91">
        <v>0.0</v>
      </c>
      <c r="AD495" s="84">
        <v>0.0</v>
      </c>
      <c r="AE495" s="84">
        <v>0.0</v>
      </c>
      <c r="AF495" s="84">
        <v>0.0</v>
      </c>
      <c r="AG495" s="84">
        <v>0.0</v>
      </c>
      <c r="AH495" s="84">
        <v>0.0</v>
      </c>
      <c r="AI495" s="84">
        <v>0.0</v>
      </c>
      <c r="AJ495" s="84">
        <v>0.0</v>
      </c>
      <c r="AK495" s="84">
        <v>0.0</v>
      </c>
      <c r="AL495" s="84">
        <v>0.0</v>
      </c>
      <c r="AM495" s="84">
        <v>0.0</v>
      </c>
      <c r="AN495" s="93">
        <f t="shared" si="1"/>
        <v>0</v>
      </c>
      <c r="AO495" s="84">
        <f t="shared" si="2"/>
        <v>0</v>
      </c>
    </row>
    <row r="496" ht="12.75" customHeight="1">
      <c r="A496" s="84" t="s">
        <v>2633</v>
      </c>
      <c r="B496" s="84">
        <v>2.0</v>
      </c>
      <c r="C496" s="84">
        <v>1.0</v>
      </c>
      <c r="D496" s="84">
        <v>0.0</v>
      </c>
      <c r="E496" s="84">
        <v>0.0</v>
      </c>
      <c r="F496" s="84">
        <v>0.0</v>
      </c>
      <c r="G496" s="84">
        <v>0.0</v>
      </c>
      <c r="H496" s="84">
        <v>0.0</v>
      </c>
      <c r="I496" s="91">
        <v>0.0</v>
      </c>
      <c r="J496" s="84">
        <v>0.0</v>
      </c>
      <c r="K496" s="84">
        <v>0.0</v>
      </c>
      <c r="L496" s="84">
        <v>0.0</v>
      </c>
      <c r="M496" s="84">
        <v>0.0</v>
      </c>
      <c r="N496" s="84">
        <v>0.0</v>
      </c>
      <c r="O496" s="84">
        <v>0.0</v>
      </c>
      <c r="P496" s="84">
        <v>0.0</v>
      </c>
      <c r="Q496" s="84">
        <v>0.0</v>
      </c>
      <c r="R496" s="84">
        <v>0.0</v>
      </c>
      <c r="S496" s="84">
        <v>0.0</v>
      </c>
      <c r="T496" s="84">
        <v>0.0</v>
      </c>
      <c r="U496" s="84">
        <v>0.0</v>
      </c>
      <c r="V496" s="84">
        <v>1.0</v>
      </c>
      <c r="W496" s="84">
        <v>0.0</v>
      </c>
      <c r="X496" s="84">
        <v>0.0</v>
      </c>
      <c r="Y496" s="84">
        <v>0.0</v>
      </c>
      <c r="Z496" s="84">
        <v>0.0</v>
      </c>
      <c r="AA496" s="84">
        <v>0.0</v>
      </c>
      <c r="AB496" s="84">
        <v>0.0</v>
      </c>
      <c r="AC496" s="91">
        <v>0.0</v>
      </c>
      <c r="AD496" s="84">
        <v>0.0</v>
      </c>
      <c r="AE496" s="84">
        <v>0.0</v>
      </c>
      <c r="AF496" s="84">
        <v>0.0</v>
      </c>
      <c r="AG496" s="84">
        <v>0.0</v>
      </c>
      <c r="AH496" s="84">
        <v>0.0</v>
      </c>
      <c r="AI496" s="84">
        <v>0.0</v>
      </c>
      <c r="AJ496" s="84">
        <v>0.0</v>
      </c>
      <c r="AK496" s="84">
        <v>0.0</v>
      </c>
      <c r="AL496" s="84">
        <v>0.0</v>
      </c>
      <c r="AM496" s="84">
        <v>0.0</v>
      </c>
      <c r="AN496" s="93">
        <f t="shared" si="1"/>
        <v>0</v>
      </c>
      <c r="AO496" s="84">
        <f t="shared" si="2"/>
        <v>0</v>
      </c>
    </row>
    <row r="497" ht="12.75" customHeight="1">
      <c r="A497" s="84" t="s">
        <v>2899</v>
      </c>
      <c r="B497" s="84">
        <v>2.0</v>
      </c>
      <c r="C497" s="84">
        <v>0.0</v>
      </c>
      <c r="D497" s="84">
        <v>0.0</v>
      </c>
      <c r="E497" s="84">
        <v>0.0</v>
      </c>
      <c r="F497" s="84">
        <v>0.0</v>
      </c>
      <c r="G497" s="84">
        <v>0.0</v>
      </c>
      <c r="H497" s="84">
        <v>0.0</v>
      </c>
      <c r="I497" s="91">
        <v>0.0</v>
      </c>
      <c r="J497" s="84">
        <v>0.0</v>
      </c>
      <c r="K497" s="84">
        <v>0.0</v>
      </c>
      <c r="L497" s="84">
        <v>0.0</v>
      </c>
      <c r="M497" s="84">
        <v>0.0</v>
      </c>
      <c r="N497" s="84">
        <v>0.0</v>
      </c>
      <c r="O497" s="84">
        <v>0.0</v>
      </c>
      <c r="P497" s="84">
        <v>0.0</v>
      </c>
      <c r="Q497" s="84">
        <v>0.0</v>
      </c>
      <c r="R497" s="84">
        <v>0.0</v>
      </c>
      <c r="S497" s="84">
        <v>0.0</v>
      </c>
      <c r="T497" s="84">
        <v>0.0</v>
      </c>
      <c r="U497" s="84">
        <v>0.0</v>
      </c>
      <c r="V497" s="84">
        <v>5.0</v>
      </c>
      <c r="W497" s="84">
        <v>0.0</v>
      </c>
      <c r="X497" s="84">
        <v>0.0</v>
      </c>
      <c r="Y497" s="84">
        <v>0.0</v>
      </c>
      <c r="Z497" s="84">
        <v>0.0</v>
      </c>
      <c r="AA497" s="84">
        <v>0.0</v>
      </c>
      <c r="AB497" s="84">
        <v>0.0</v>
      </c>
      <c r="AC497" s="91">
        <v>0.0</v>
      </c>
      <c r="AD497" s="84">
        <v>0.0</v>
      </c>
      <c r="AE497" s="84">
        <v>0.0</v>
      </c>
      <c r="AF497" s="84">
        <v>0.0</v>
      </c>
      <c r="AG497" s="84">
        <v>0.0</v>
      </c>
      <c r="AH497" s="84">
        <v>0.0</v>
      </c>
      <c r="AI497" s="84">
        <v>0.0</v>
      </c>
      <c r="AJ497" s="84">
        <v>0.0</v>
      </c>
      <c r="AK497" s="84">
        <v>0.0</v>
      </c>
      <c r="AL497" s="84">
        <v>0.0</v>
      </c>
      <c r="AM497" s="84">
        <v>0.0</v>
      </c>
      <c r="AN497" s="93">
        <f t="shared" si="1"/>
        <v>0</v>
      </c>
      <c r="AO497" s="84">
        <f t="shared" si="2"/>
        <v>0</v>
      </c>
    </row>
    <row r="498" ht="12.75" customHeight="1">
      <c r="A498" s="84" t="s">
        <v>3381</v>
      </c>
      <c r="B498" s="84">
        <v>0.0</v>
      </c>
      <c r="C498" s="84">
        <v>0.0</v>
      </c>
      <c r="D498" s="84">
        <v>6.0</v>
      </c>
      <c r="E498" s="84">
        <v>3.0</v>
      </c>
      <c r="F498" s="84">
        <v>0.0</v>
      </c>
      <c r="G498" s="84">
        <v>0.0</v>
      </c>
      <c r="H498" s="84">
        <v>0.0</v>
      </c>
      <c r="I498" s="91">
        <v>0.0</v>
      </c>
      <c r="J498" s="84">
        <v>0.0</v>
      </c>
      <c r="K498" s="84">
        <v>0.0</v>
      </c>
      <c r="L498" s="84">
        <v>0.0</v>
      </c>
      <c r="M498" s="84">
        <v>0.0</v>
      </c>
      <c r="N498" s="84">
        <v>0.0</v>
      </c>
      <c r="O498" s="84">
        <v>0.0</v>
      </c>
      <c r="P498" s="84">
        <v>0.0</v>
      </c>
      <c r="Q498" s="84">
        <v>0.0</v>
      </c>
      <c r="R498" s="84">
        <v>0.0</v>
      </c>
      <c r="S498" s="84">
        <v>0.0</v>
      </c>
      <c r="T498" s="84">
        <v>0.0</v>
      </c>
      <c r="U498" s="84">
        <v>0.0</v>
      </c>
      <c r="V498" s="84">
        <v>0.0</v>
      </c>
      <c r="W498" s="84">
        <v>0.0</v>
      </c>
      <c r="X498" s="84">
        <v>6.0</v>
      </c>
      <c r="Y498" s="84">
        <v>3.0</v>
      </c>
      <c r="Z498" s="84">
        <v>0.0</v>
      </c>
      <c r="AA498" s="84">
        <v>0.0</v>
      </c>
      <c r="AB498" s="84">
        <v>0.0</v>
      </c>
      <c r="AC498" s="91">
        <v>0.0</v>
      </c>
      <c r="AD498" s="84">
        <v>0.0</v>
      </c>
      <c r="AE498" s="84">
        <v>0.0</v>
      </c>
      <c r="AF498" s="84">
        <v>0.0</v>
      </c>
      <c r="AG498" s="84">
        <v>0.0</v>
      </c>
      <c r="AH498" s="84">
        <v>0.0</v>
      </c>
      <c r="AI498" s="84">
        <v>0.0</v>
      </c>
      <c r="AJ498" s="84">
        <v>0.0</v>
      </c>
      <c r="AK498" s="84">
        <v>0.0</v>
      </c>
      <c r="AL498" s="84">
        <v>0.0</v>
      </c>
      <c r="AM498" s="84">
        <v>0.0</v>
      </c>
      <c r="AN498" s="93">
        <f t="shared" si="1"/>
        <v>0</v>
      </c>
      <c r="AO498" s="84">
        <f t="shared" si="2"/>
        <v>0</v>
      </c>
    </row>
    <row r="499" ht="12.75" customHeight="1">
      <c r="A499" s="84" t="s">
        <v>2709</v>
      </c>
      <c r="B499" s="84">
        <v>1.0</v>
      </c>
      <c r="C499" s="84">
        <v>1.0</v>
      </c>
      <c r="D499" s="84">
        <v>0.0</v>
      </c>
      <c r="E499" s="84">
        <v>0.0</v>
      </c>
      <c r="F499" s="84">
        <v>0.0</v>
      </c>
      <c r="G499" s="84">
        <v>0.0</v>
      </c>
      <c r="H499" s="84">
        <v>0.0</v>
      </c>
      <c r="I499" s="91">
        <v>0.0</v>
      </c>
      <c r="J499" s="84">
        <v>0.0</v>
      </c>
      <c r="K499" s="84">
        <v>0.0</v>
      </c>
      <c r="L499" s="84">
        <v>0.0</v>
      </c>
      <c r="M499" s="84">
        <v>0.0</v>
      </c>
      <c r="N499" s="84">
        <v>0.0</v>
      </c>
      <c r="O499" s="84">
        <v>0.0</v>
      </c>
      <c r="P499" s="84">
        <v>0.0</v>
      </c>
      <c r="Q499" s="84">
        <v>0.0</v>
      </c>
      <c r="R499" s="84">
        <v>0.0</v>
      </c>
      <c r="S499" s="84">
        <v>0.0</v>
      </c>
      <c r="T499" s="84">
        <v>0.0</v>
      </c>
      <c r="U499" s="84">
        <v>0.0</v>
      </c>
      <c r="V499" s="84">
        <v>1.0</v>
      </c>
      <c r="W499" s="84">
        <v>1.0</v>
      </c>
      <c r="X499" s="84">
        <v>0.0</v>
      </c>
      <c r="Y499" s="84">
        <v>0.0</v>
      </c>
      <c r="Z499" s="84">
        <v>0.0</v>
      </c>
      <c r="AA499" s="84">
        <v>0.0</v>
      </c>
      <c r="AB499" s="84">
        <v>0.0</v>
      </c>
      <c r="AC499" s="91">
        <v>0.0</v>
      </c>
      <c r="AD499" s="84">
        <v>0.0</v>
      </c>
      <c r="AE499" s="84">
        <v>0.0</v>
      </c>
      <c r="AF499" s="84">
        <v>0.0</v>
      </c>
      <c r="AG499" s="84">
        <v>0.0</v>
      </c>
      <c r="AH499" s="84">
        <v>0.0</v>
      </c>
      <c r="AI499" s="84">
        <v>0.0</v>
      </c>
      <c r="AJ499" s="84">
        <v>0.0</v>
      </c>
      <c r="AK499" s="84">
        <v>0.0</v>
      </c>
      <c r="AL499" s="84">
        <v>0.0</v>
      </c>
      <c r="AM499" s="84">
        <v>0.0</v>
      </c>
      <c r="AN499" s="93">
        <f t="shared" si="1"/>
        <v>0</v>
      </c>
      <c r="AO499" s="84">
        <f t="shared" si="2"/>
        <v>0</v>
      </c>
    </row>
    <row r="500" ht="12.75" customHeight="1">
      <c r="A500" s="84" t="s">
        <v>2998</v>
      </c>
      <c r="B500" s="84">
        <v>2.0</v>
      </c>
      <c r="C500" s="84">
        <v>1.0</v>
      </c>
      <c r="D500" s="84">
        <v>0.0</v>
      </c>
      <c r="E500" s="84">
        <v>0.0</v>
      </c>
      <c r="F500" s="84">
        <v>0.0</v>
      </c>
      <c r="G500" s="84">
        <v>0.0</v>
      </c>
      <c r="H500" s="84">
        <v>0.0</v>
      </c>
      <c r="I500" s="91">
        <v>0.0</v>
      </c>
      <c r="J500" s="84">
        <v>0.0</v>
      </c>
      <c r="K500" s="84">
        <v>0.0</v>
      </c>
      <c r="L500" s="84">
        <v>0.0</v>
      </c>
      <c r="M500" s="84">
        <v>0.0</v>
      </c>
      <c r="N500" s="84">
        <v>0.0</v>
      </c>
      <c r="O500" s="84">
        <v>0.0</v>
      </c>
      <c r="P500" s="84">
        <v>0.0</v>
      </c>
      <c r="Q500" s="84">
        <v>0.0</v>
      </c>
      <c r="R500" s="84">
        <v>0.0</v>
      </c>
      <c r="S500" s="84">
        <v>0.0</v>
      </c>
      <c r="T500" s="84">
        <v>0.0</v>
      </c>
      <c r="U500" s="84">
        <v>0.0</v>
      </c>
      <c r="V500" s="84">
        <v>6.0</v>
      </c>
      <c r="W500" s="84">
        <v>2.0</v>
      </c>
      <c r="X500" s="84">
        <v>0.0</v>
      </c>
      <c r="Y500" s="84">
        <v>0.0</v>
      </c>
      <c r="Z500" s="84">
        <v>0.0</v>
      </c>
      <c r="AA500" s="84">
        <v>0.0</v>
      </c>
      <c r="AB500" s="84">
        <v>0.0</v>
      </c>
      <c r="AC500" s="91">
        <v>0.0</v>
      </c>
      <c r="AD500" s="84">
        <v>0.0</v>
      </c>
      <c r="AE500" s="84">
        <v>0.0</v>
      </c>
      <c r="AF500" s="84">
        <v>0.0</v>
      </c>
      <c r="AG500" s="84">
        <v>0.0</v>
      </c>
      <c r="AH500" s="84">
        <v>0.0</v>
      </c>
      <c r="AI500" s="84">
        <v>0.0</v>
      </c>
      <c r="AJ500" s="84">
        <v>0.0</v>
      </c>
      <c r="AK500" s="84">
        <v>0.0</v>
      </c>
      <c r="AL500" s="84">
        <v>0.0</v>
      </c>
      <c r="AM500" s="84">
        <v>0.0</v>
      </c>
      <c r="AN500" s="93">
        <f t="shared" si="1"/>
        <v>0</v>
      </c>
      <c r="AO500" s="84">
        <f t="shared" si="2"/>
        <v>0</v>
      </c>
    </row>
    <row r="501" ht="12.75" customHeight="1">
      <c r="A501" s="84" t="s">
        <v>3084</v>
      </c>
      <c r="B501" s="84">
        <v>1.0</v>
      </c>
      <c r="C501" s="84">
        <v>0.0</v>
      </c>
      <c r="D501" s="84">
        <v>0.0</v>
      </c>
      <c r="E501" s="84">
        <v>0.0</v>
      </c>
      <c r="F501" s="84">
        <v>0.0</v>
      </c>
      <c r="G501" s="84">
        <v>0.0</v>
      </c>
      <c r="H501" s="84">
        <v>0.0</v>
      </c>
      <c r="I501" s="91">
        <v>0.0</v>
      </c>
      <c r="J501" s="84">
        <v>0.0</v>
      </c>
      <c r="K501" s="84">
        <v>0.0</v>
      </c>
      <c r="L501" s="84">
        <v>0.0</v>
      </c>
      <c r="M501" s="84">
        <v>0.0</v>
      </c>
      <c r="N501" s="84">
        <v>0.0</v>
      </c>
      <c r="O501" s="84">
        <v>0.0</v>
      </c>
      <c r="P501" s="84">
        <v>0.0</v>
      </c>
      <c r="Q501" s="84">
        <v>0.0</v>
      </c>
      <c r="R501" s="84">
        <v>0.0</v>
      </c>
      <c r="S501" s="84">
        <v>0.0</v>
      </c>
      <c r="T501" s="84">
        <v>0.0</v>
      </c>
      <c r="U501" s="84">
        <v>0.0</v>
      </c>
      <c r="V501" s="84">
        <v>6.0</v>
      </c>
      <c r="W501" s="84">
        <v>2.0</v>
      </c>
      <c r="X501" s="84">
        <v>0.0</v>
      </c>
      <c r="Y501" s="84">
        <v>0.0</v>
      </c>
      <c r="Z501" s="84">
        <v>0.0</v>
      </c>
      <c r="AA501" s="84">
        <v>0.0</v>
      </c>
      <c r="AB501" s="84">
        <v>0.0</v>
      </c>
      <c r="AC501" s="91">
        <v>0.0</v>
      </c>
      <c r="AD501" s="84">
        <v>0.0</v>
      </c>
      <c r="AE501" s="84">
        <v>0.0</v>
      </c>
      <c r="AF501" s="84">
        <v>0.0</v>
      </c>
      <c r="AG501" s="84">
        <v>0.0</v>
      </c>
      <c r="AH501" s="84">
        <v>0.0</v>
      </c>
      <c r="AI501" s="84">
        <v>0.0</v>
      </c>
      <c r="AJ501" s="84">
        <v>0.0</v>
      </c>
      <c r="AK501" s="84">
        <v>0.0</v>
      </c>
      <c r="AL501" s="84">
        <v>0.0</v>
      </c>
      <c r="AM501" s="84">
        <v>0.0</v>
      </c>
      <c r="AN501" s="93">
        <f t="shared" si="1"/>
        <v>0</v>
      </c>
      <c r="AO501" s="84">
        <f t="shared" si="2"/>
        <v>0</v>
      </c>
    </row>
    <row r="502" ht="12.75" customHeight="1">
      <c r="A502" s="84" t="s">
        <v>4607</v>
      </c>
      <c r="B502" s="84">
        <v>0.0</v>
      </c>
      <c r="C502" s="84">
        <v>0.0</v>
      </c>
      <c r="D502" s="84">
        <v>0.0</v>
      </c>
      <c r="E502" s="84">
        <v>0.0</v>
      </c>
      <c r="F502" s="84">
        <v>0.0</v>
      </c>
      <c r="G502" s="84">
        <v>0.0</v>
      </c>
      <c r="H502" s="84">
        <v>0.0</v>
      </c>
      <c r="I502" s="91">
        <v>0.0</v>
      </c>
      <c r="J502" s="84">
        <v>0.0</v>
      </c>
      <c r="K502" s="84">
        <v>0.0</v>
      </c>
      <c r="L502" s="84">
        <v>0.0</v>
      </c>
      <c r="M502" s="84">
        <v>0.0</v>
      </c>
      <c r="N502" s="84">
        <v>0.0</v>
      </c>
      <c r="O502" s="84">
        <v>0.0</v>
      </c>
      <c r="P502" s="84">
        <v>0.0</v>
      </c>
      <c r="Q502" s="84">
        <v>0.0</v>
      </c>
      <c r="R502" s="84">
        <v>0.0</v>
      </c>
      <c r="S502" s="84">
        <v>0.0</v>
      </c>
      <c r="T502" s="84">
        <v>0.0</v>
      </c>
      <c r="U502" s="84">
        <v>0.0</v>
      </c>
      <c r="V502" s="84">
        <v>0.0</v>
      </c>
      <c r="W502" s="84">
        <v>0.0</v>
      </c>
      <c r="X502" s="84">
        <v>0.0</v>
      </c>
      <c r="Y502" s="84">
        <v>0.0</v>
      </c>
      <c r="Z502" s="84">
        <v>0.0</v>
      </c>
      <c r="AA502" s="84">
        <v>0.0</v>
      </c>
      <c r="AB502" s="84">
        <v>0.0</v>
      </c>
      <c r="AC502" s="91">
        <v>0.0</v>
      </c>
      <c r="AD502" s="84">
        <v>0.0</v>
      </c>
      <c r="AE502" s="84">
        <v>0.0</v>
      </c>
      <c r="AF502" s="84">
        <v>0.0</v>
      </c>
      <c r="AG502" s="84">
        <v>0.0</v>
      </c>
      <c r="AH502" s="84">
        <v>0.0</v>
      </c>
      <c r="AI502" s="84">
        <v>0.0</v>
      </c>
      <c r="AJ502" s="84">
        <v>1.0</v>
      </c>
      <c r="AK502" s="84">
        <v>0.0</v>
      </c>
      <c r="AL502" s="84">
        <v>0.0</v>
      </c>
      <c r="AM502" s="84">
        <v>0.0</v>
      </c>
      <c r="AN502" s="93">
        <f t="shared" si="1"/>
        <v>0</v>
      </c>
      <c r="AO502" s="84">
        <f t="shared" si="2"/>
        <v>1</v>
      </c>
    </row>
    <row r="503" ht="12.75" customHeight="1">
      <c r="A503" s="84" t="s">
        <v>4612</v>
      </c>
      <c r="B503" s="84">
        <v>0.0</v>
      </c>
      <c r="C503" s="84">
        <v>0.0</v>
      </c>
      <c r="D503" s="84">
        <v>0.0</v>
      </c>
      <c r="E503" s="84">
        <v>0.0</v>
      </c>
      <c r="F503" s="84">
        <v>0.0</v>
      </c>
      <c r="G503" s="84">
        <v>0.0</v>
      </c>
      <c r="H503" s="84">
        <v>0.0</v>
      </c>
      <c r="I503" s="91">
        <v>0.0</v>
      </c>
      <c r="J503" s="84">
        <v>0.0</v>
      </c>
      <c r="K503" s="84">
        <v>0.0</v>
      </c>
      <c r="L503" s="84">
        <v>0.0</v>
      </c>
      <c r="M503" s="84">
        <v>0.0</v>
      </c>
      <c r="N503" s="84">
        <v>0.0</v>
      </c>
      <c r="O503" s="84">
        <v>0.0</v>
      </c>
      <c r="P503" s="84">
        <v>0.0</v>
      </c>
      <c r="Q503" s="84">
        <v>0.0</v>
      </c>
      <c r="R503" s="84">
        <v>0.0</v>
      </c>
      <c r="S503" s="84">
        <v>0.0</v>
      </c>
      <c r="T503" s="84">
        <v>0.0</v>
      </c>
      <c r="U503" s="84">
        <v>0.0</v>
      </c>
      <c r="V503" s="84">
        <v>0.0</v>
      </c>
      <c r="W503" s="84">
        <v>0.0</v>
      </c>
      <c r="X503" s="84">
        <v>0.0</v>
      </c>
      <c r="Y503" s="84">
        <v>0.0</v>
      </c>
      <c r="Z503" s="84">
        <v>0.0</v>
      </c>
      <c r="AA503" s="84">
        <v>0.0</v>
      </c>
      <c r="AB503" s="84">
        <v>0.0</v>
      </c>
      <c r="AC503" s="91">
        <v>0.0</v>
      </c>
      <c r="AD503" s="84">
        <v>0.0</v>
      </c>
      <c r="AE503" s="84">
        <v>0.0</v>
      </c>
      <c r="AF503" s="84">
        <v>0.0</v>
      </c>
      <c r="AG503" s="84">
        <v>0.0</v>
      </c>
      <c r="AH503" s="84">
        <v>0.0</v>
      </c>
      <c r="AI503" s="84">
        <v>0.0</v>
      </c>
      <c r="AJ503" s="84">
        <v>1.0</v>
      </c>
      <c r="AK503" s="84">
        <v>0.0</v>
      </c>
      <c r="AL503" s="84">
        <v>0.0</v>
      </c>
      <c r="AM503" s="84">
        <v>0.0</v>
      </c>
      <c r="AN503" s="93">
        <f t="shared" si="1"/>
        <v>0</v>
      </c>
      <c r="AO503" s="84">
        <f t="shared" si="2"/>
        <v>1</v>
      </c>
    </row>
    <row r="504" ht="12.75" customHeight="1">
      <c r="A504" s="84" t="s">
        <v>4614</v>
      </c>
      <c r="B504" s="84">
        <v>0.0</v>
      </c>
      <c r="C504" s="84">
        <v>0.0</v>
      </c>
      <c r="D504" s="84">
        <v>0.0</v>
      </c>
      <c r="E504" s="84">
        <v>0.0</v>
      </c>
      <c r="F504" s="84">
        <v>0.0</v>
      </c>
      <c r="G504" s="84">
        <v>0.0</v>
      </c>
      <c r="H504" s="84">
        <v>0.0</v>
      </c>
      <c r="I504" s="91">
        <v>0.0</v>
      </c>
      <c r="J504" s="84">
        <v>0.0</v>
      </c>
      <c r="K504" s="84">
        <v>0.0</v>
      </c>
      <c r="L504" s="84">
        <v>0.0</v>
      </c>
      <c r="M504" s="84">
        <v>0.0</v>
      </c>
      <c r="N504" s="84">
        <v>0.0</v>
      </c>
      <c r="O504" s="84">
        <v>0.0</v>
      </c>
      <c r="P504" s="84">
        <v>0.0</v>
      </c>
      <c r="Q504" s="84">
        <v>0.0</v>
      </c>
      <c r="R504" s="84">
        <v>0.0</v>
      </c>
      <c r="S504" s="84">
        <v>0.0</v>
      </c>
      <c r="T504" s="84">
        <v>0.0</v>
      </c>
      <c r="U504" s="84">
        <v>0.0</v>
      </c>
      <c r="V504" s="84">
        <v>0.0</v>
      </c>
      <c r="W504" s="84">
        <v>0.0</v>
      </c>
      <c r="X504" s="84">
        <v>0.0</v>
      </c>
      <c r="Y504" s="84">
        <v>0.0</v>
      </c>
      <c r="Z504" s="84">
        <v>0.0</v>
      </c>
      <c r="AA504" s="84">
        <v>0.0</v>
      </c>
      <c r="AB504" s="84">
        <v>0.0</v>
      </c>
      <c r="AC504" s="91">
        <v>0.0</v>
      </c>
      <c r="AD504" s="84">
        <v>0.0</v>
      </c>
      <c r="AE504" s="84">
        <v>0.0</v>
      </c>
      <c r="AF504" s="84">
        <v>0.0</v>
      </c>
      <c r="AG504" s="84">
        <v>0.0</v>
      </c>
      <c r="AH504" s="84">
        <v>0.0</v>
      </c>
      <c r="AI504" s="84">
        <v>0.0</v>
      </c>
      <c r="AJ504" s="84">
        <v>1.0</v>
      </c>
      <c r="AK504" s="84">
        <v>0.0</v>
      </c>
      <c r="AL504" s="84">
        <v>0.0</v>
      </c>
      <c r="AM504" s="84">
        <v>0.0</v>
      </c>
      <c r="AN504" s="93">
        <f t="shared" si="1"/>
        <v>0</v>
      </c>
      <c r="AO504" s="84">
        <f t="shared" si="2"/>
        <v>1</v>
      </c>
    </row>
    <row r="505" ht="12.75" customHeight="1">
      <c r="A505" s="84" t="s">
        <v>3798</v>
      </c>
      <c r="B505" s="84">
        <v>0.0</v>
      </c>
      <c r="C505" s="84">
        <v>0.0</v>
      </c>
      <c r="D505" s="84">
        <v>0.0</v>
      </c>
      <c r="E505" s="84">
        <v>0.0</v>
      </c>
      <c r="F505" s="84">
        <v>0.0</v>
      </c>
      <c r="G505" s="84">
        <v>6.0</v>
      </c>
      <c r="H505" s="84">
        <v>1.0</v>
      </c>
      <c r="I505" s="91">
        <v>0.0</v>
      </c>
      <c r="J505" s="84">
        <v>0.0</v>
      </c>
      <c r="K505" s="84">
        <v>0.0</v>
      </c>
      <c r="L505" s="84">
        <v>0.0</v>
      </c>
      <c r="M505" s="84">
        <v>0.0</v>
      </c>
      <c r="N505" s="84">
        <v>0.0</v>
      </c>
      <c r="O505" s="84">
        <v>0.0</v>
      </c>
      <c r="P505" s="84">
        <v>0.0</v>
      </c>
      <c r="Q505" s="84">
        <v>0.0</v>
      </c>
      <c r="R505" s="84">
        <v>0.0</v>
      </c>
      <c r="S505" s="84">
        <v>0.0</v>
      </c>
      <c r="T505" s="84">
        <v>0.0</v>
      </c>
      <c r="U505" s="84">
        <v>0.0</v>
      </c>
      <c r="V505" s="84">
        <v>0.0</v>
      </c>
      <c r="W505" s="84">
        <v>0.0</v>
      </c>
      <c r="X505" s="84">
        <v>0.0</v>
      </c>
      <c r="Y505" s="84">
        <v>0.0</v>
      </c>
      <c r="Z505" s="84">
        <v>0.0</v>
      </c>
      <c r="AA505" s="84">
        <v>6.0</v>
      </c>
      <c r="AB505" s="84">
        <v>2.0</v>
      </c>
      <c r="AC505" s="91">
        <v>0.0</v>
      </c>
      <c r="AD505" s="84">
        <v>0.0</v>
      </c>
      <c r="AE505" s="84">
        <v>0.0</v>
      </c>
      <c r="AF505" s="84">
        <v>0.0</v>
      </c>
      <c r="AG505" s="84">
        <v>0.0</v>
      </c>
      <c r="AH505" s="84">
        <v>0.0</v>
      </c>
      <c r="AI505" s="84">
        <v>0.0</v>
      </c>
      <c r="AJ505" s="84">
        <v>0.0</v>
      </c>
      <c r="AK505" s="84">
        <v>0.0</v>
      </c>
      <c r="AL505" s="84">
        <v>0.0</v>
      </c>
      <c r="AM505" s="84">
        <v>0.0</v>
      </c>
      <c r="AN505" s="93">
        <f t="shared" si="1"/>
        <v>0</v>
      </c>
      <c r="AO505" s="84">
        <f t="shared" si="2"/>
        <v>0</v>
      </c>
    </row>
    <row r="506" ht="12.75" customHeight="1">
      <c r="A506" s="84" t="s">
        <v>3546</v>
      </c>
      <c r="B506" s="84">
        <v>0.0</v>
      </c>
      <c r="C506" s="84">
        <v>0.0</v>
      </c>
      <c r="D506" s="84">
        <v>0.0</v>
      </c>
      <c r="E506" s="84">
        <v>5.0</v>
      </c>
      <c r="F506" s="84">
        <v>1.0</v>
      </c>
      <c r="G506" s="84">
        <v>0.0</v>
      </c>
      <c r="H506" s="84">
        <v>0.0</v>
      </c>
      <c r="I506" s="91">
        <v>0.0</v>
      </c>
      <c r="J506" s="84">
        <v>0.0</v>
      </c>
      <c r="K506" s="84">
        <v>0.0</v>
      </c>
      <c r="L506" s="84">
        <v>0.0</v>
      </c>
      <c r="M506" s="84">
        <v>0.0</v>
      </c>
      <c r="N506" s="84">
        <v>0.0</v>
      </c>
      <c r="O506" s="84">
        <v>0.0</v>
      </c>
      <c r="P506" s="84">
        <v>0.0</v>
      </c>
      <c r="Q506" s="84">
        <v>0.0</v>
      </c>
      <c r="R506" s="84">
        <v>0.0</v>
      </c>
      <c r="S506" s="84">
        <v>0.0</v>
      </c>
      <c r="T506" s="84">
        <v>0.0</v>
      </c>
      <c r="U506" s="84">
        <v>0.0</v>
      </c>
      <c r="V506" s="84">
        <v>0.0</v>
      </c>
      <c r="W506" s="84">
        <v>0.0</v>
      </c>
      <c r="X506" s="84">
        <v>0.0</v>
      </c>
      <c r="Y506" s="84">
        <v>6.0</v>
      </c>
      <c r="Z506" s="84">
        <v>1.0</v>
      </c>
      <c r="AA506" s="84">
        <v>0.0</v>
      </c>
      <c r="AB506" s="84">
        <v>0.0</v>
      </c>
      <c r="AC506" s="91">
        <v>0.0</v>
      </c>
      <c r="AD506" s="84">
        <v>0.0</v>
      </c>
      <c r="AE506" s="84">
        <v>0.0</v>
      </c>
      <c r="AF506" s="84">
        <v>0.0</v>
      </c>
      <c r="AG506" s="84">
        <v>0.0</v>
      </c>
      <c r="AH506" s="84">
        <v>0.0</v>
      </c>
      <c r="AI506" s="84">
        <v>0.0</v>
      </c>
      <c r="AJ506" s="84">
        <v>0.0</v>
      </c>
      <c r="AK506" s="84">
        <v>0.0</v>
      </c>
      <c r="AL506" s="84">
        <v>0.0</v>
      </c>
      <c r="AM506" s="84">
        <v>0.0</v>
      </c>
      <c r="AN506" s="93">
        <f t="shared" si="1"/>
        <v>0</v>
      </c>
      <c r="AO506" s="84">
        <f t="shared" si="2"/>
        <v>0</v>
      </c>
    </row>
    <row r="507" ht="12.75" customHeight="1">
      <c r="A507" s="84" t="s">
        <v>2954</v>
      </c>
      <c r="B507" s="84">
        <v>2.0</v>
      </c>
      <c r="C507" s="84">
        <v>0.0</v>
      </c>
      <c r="D507" s="84">
        <v>0.0</v>
      </c>
      <c r="E507" s="84">
        <v>0.0</v>
      </c>
      <c r="F507" s="84">
        <v>0.0</v>
      </c>
      <c r="G507" s="84">
        <v>0.0</v>
      </c>
      <c r="H507" s="84">
        <v>0.0</v>
      </c>
      <c r="I507" s="91">
        <v>0.0</v>
      </c>
      <c r="J507" s="84">
        <v>0.0</v>
      </c>
      <c r="K507" s="84">
        <v>0.0</v>
      </c>
      <c r="L507" s="84">
        <v>0.0</v>
      </c>
      <c r="M507" s="84">
        <v>0.0</v>
      </c>
      <c r="N507" s="84">
        <v>0.0</v>
      </c>
      <c r="O507" s="84">
        <v>0.0</v>
      </c>
      <c r="P507" s="84">
        <v>0.0</v>
      </c>
      <c r="Q507" s="84">
        <v>0.0</v>
      </c>
      <c r="R507" s="84">
        <v>0.0</v>
      </c>
      <c r="S507" s="84">
        <v>0.0</v>
      </c>
      <c r="T507" s="84">
        <v>0.0</v>
      </c>
      <c r="U507" s="84">
        <v>0.0</v>
      </c>
      <c r="V507" s="84">
        <v>1.0</v>
      </c>
      <c r="W507" s="84">
        <v>1.0</v>
      </c>
      <c r="X507" s="84">
        <v>0.0</v>
      </c>
      <c r="Y507" s="84">
        <v>0.0</v>
      </c>
      <c r="Z507" s="84">
        <v>0.0</v>
      </c>
      <c r="AA507" s="84">
        <v>0.0</v>
      </c>
      <c r="AB507" s="84">
        <v>0.0</v>
      </c>
      <c r="AC507" s="91">
        <v>0.0</v>
      </c>
      <c r="AD507" s="84">
        <v>0.0</v>
      </c>
      <c r="AE507" s="84">
        <v>0.0</v>
      </c>
      <c r="AF507" s="84">
        <v>0.0</v>
      </c>
      <c r="AG507" s="84">
        <v>0.0</v>
      </c>
      <c r="AH507" s="84">
        <v>0.0</v>
      </c>
      <c r="AI507" s="84">
        <v>0.0</v>
      </c>
      <c r="AJ507" s="84">
        <v>0.0</v>
      </c>
      <c r="AK507" s="84">
        <v>0.0</v>
      </c>
      <c r="AL507" s="84">
        <v>0.0</v>
      </c>
      <c r="AM507" s="84">
        <v>0.0</v>
      </c>
      <c r="AN507" s="93">
        <f t="shared" si="1"/>
        <v>0</v>
      </c>
      <c r="AO507" s="84">
        <f t="shared" si="2"/>
        <v>0</v>
      </c>
    </row>
    <row r="508" ht="12.75" customHeight="1">
      <c r="A508" s="84" t="s">
        <v>4596</v>
      </c>
      <c r="B508" s="84">
        <v>0.0</v>
      </c>
      <c r="C508" s="84">
        <v>0.0</v>
      </c>
      <c r="D508" s="84">
        <v>0.0</v>
      </c>
      <c r="E508" s="84">
        <v>0.0</v>
      </c>
      <c r="F508" s="84">
        <v>0.0</v>
      </c>
      <c r="G508" s="84">
        <v>0.0</v>
      </c>
      <c r="H508" s="84">
        <v>0.0</v>
      </c>
      <c r="I508" s="91">
        <v>0.0</v>
      </c>
      <c r="J508" s="84">
        <v>0.0</v>
      </c>
      <c r="K508" s="84">
        <v>0.0</v>
      </c>
      <c r="L508" s="84">
        <v>0.0</v>
      </c>
      <c r="M508" s="84">
        <v>0.0</v>
      </c>
      <c r="N508" s="84">
        <v>0.0</v>
      </c>
      <c r="O508" s="84">
        <v>0.0</v>
      </c>
      <c r="P508" s="84">
        <v>0.0</v>
      </c>
      <c r="Q508" s="84">
        <v>0.0</v>
      </c>
      <c r="R508" s="84">
        <v>1.0</v>
      </c>
      <c r="S508" s="84">
        <v>0.0</v>
      </c>
      <c r="T508" s="84">
        <v>0.0</v>
      </c>
      <c r="U508" s="84">
        <v>0.0</v>
      </c>
      <c r="V508" s="84">
        <v>0.0</v>
      </c>
      <c r="W508" s="84">
        <v>0.0</v>
      </c>
      <c r="X508" s="84">
        <v>0.0</v>
      </c>
      <c r="Y508" s="84">
        <v>0.0</v>
      </c>
      <c r="Z508" s="84">
        <v>0.0</v>
      </c>
      <c r="AA508" s="84">
        <v>0.0</v>
      </c>
      <c r="AB508" s="84">
        <v>0.0</v>
      </c>
      <c r="AC508" s="91">
        <v>0.0</v>
      </c>
      <c r="AD508" s="84">
        <v>0.0</v>
      </c>
      <c r="AE508" s="84">
        <v>0.0</v>
      </c>
      <c r="AF508" s="84">
        <v>0.0</v>
      </c>
      <c r="AG508" s="84">
        <v>0.0</v>
      </c>
      <c r="AH508" s="84">
        <v>0.0</v>
      </c>
      <c r="AI508" s="84">
        <v>0.0</v>
      </c>
      <c r="AJ508" s="84">
        <v>0.0</v>
      </c>
      <c r="AK508" s="84">
        <v>0.0</v>
      </c>
      <c r="AL508" s="84">
        <v>0.0</v>
      </c>
      <c r="AM508" s="84">
        <v>0.0</v>
      </c>
      <c r="AN508" s="93">
        <f t="shared" si="1"/>
        <v>0</v>
      </c>
      <c r="AO508" s="84">
        <f t="shared" si="2"/>
        <v>1</v>
      </c>
    </row>
    <row r="509" ht="12.75" customHeight="1">
      <c r="A509" s="84" t="s">
        <v>3581</v>
      </c>
      <c r="B509" s="84">
        <v>0.0</v>
      </c>
      <c r="C509" s="84">
        <v>0.0</v>
      </c>
      <c r="D509" s="84">
        <v>0.0</v>
      </c>
      <c r="E509" s="84">
        <v>5.0</v>
      </c>
      <c r="F509" s="84">
        <v>1.0</v>
      </c>
      <c r="G509" s="84">
        <v>0.0</v>
      </c>
      <c r="H509" s="84">
        <v>0.0</v>
      </c>
      <c r="I509" s="91">
        <v>0.0</v>
      </c>
      <c r="J509" s="84">
        <v>0.0</v>
      </c>
      <c r="K509" s="84">
        <v>0.0</v>
      </c>
      <c r="L509" s="84">
        <v>0.0</v>
      </c>
      <c r="M509" s="84">
        <v>0.0</v>
      </c>
      <c r="N509" s="84">
        <v>0.0</v>
      </c>
      <c r="O509" s="84">
        <v>0.0</v>
      </c>
      <c r="P509" s="84">
        <v>0.0</v>
      </c>
      <c r="Q509" s="84">
        <v>0.0</v>
      </c>
      <c r="R509" s="84">
        <v>0.0</v>
      </c>
      <c r="S509" s="84">
        <v>0.0</v>
      </c>
      <c r="T509" s="84">
        <v>0.0</v>
      </c>
      <c r="U509" s="84">
        <v>0.0</v>
      </c>
      <c r="V509" s="84">
        <v>0.0</v>
      </c>
      <c r="W509" s="84">
        <v>0.0</v>
      </c>
      <c r="X509" s="84">
        <v>0.0</v>
      </c>
      <c r="Y509" s="84">
        <v>6.0</v>
      </c>
      <c r="Z509" s="84">
        <v>2.0</v>
      </c>
      <c r="AA509" s="84">
        <v>0.0</v>
      </c>
      <c r="AB509" s="84">
        <v>0.0</v>
      </c>
      <c r="AC509" s="91">
        <v>0.0</v>
      </c>
      <c r="AD509" s="84">
        <v>0.0</v>
      </c>
      <c r="AE509" s="84">
        <v>0.0</v>
      </c>
      <c r="AF509" s="84">
        <v>0.0</v>
      </c>
      <c r="AG509" s="84">
        <v>0.0</v>
      </c>
      <c r="AH509" s="84">
        <v>0.0</v>
      </c>
      <c r="AI509" s="84">
        <v>0.0</v>
      </c>
      <c r="AJ509" s="84">
        <v>0.0</v>
      </c>
      <c r="AK509" s="84">
        <v>0.0</v>
      </c>
      <c r="AL509" s="84">
        <v>0.0</v>
      </c>
      <c r="AM509" s="84">
        <v>0.0</v>
      </c>
      <c r="AN509" s="93">
        <f t="shared" si="1"/>
        <v>0</v>
      </c>
      <c r="AO509" s="84">
        <f t="shared" si="2"/>
        <v>0</v>
      </c>
    </row>
    <row r="510" ht="12.75" customHeight="1">
      <c r="A510" s="84" t="s">
        <v>2892</v>
      </c>
      <c r="B510" s="84">
        <v>2.0</v>
      </c>
      <c r="C510" s="84">
        <v>2.0</v>
      </c>
      <c r="D510" s="84">
        <v>0.0</v>
      </c>
      <c r="E510" s="84">
        <v>0.0</v>
      </c>
      <c r="F510" s="84">
        <v>0.0</v>
      </c>
      <c r="G510" s="84">
        <v>0.0</v>
      </c>
      <c r="H510" s="84">
        <v>0.0</v>
      </c>
      <c r="I510" s="91">
        <v>0.0</v>
      </c>
      <c r="J510" s="84">
        <v>0.0</v>
      </c>
      <c r="K510" s="84">
        <v>0.0</v>
      </c>
      <c r="L510" s="84">
        <v>0.0</v>
      </c>
      <c r="M510" s="84">
        <v>0.0</v>
      </c>
      <c r="N510" s="84">
        <v>0.0</v>
      </c>
      <c r="O510" s="84">
        <v>0.0</v>
      </c>
      <c r="P510" s="84">
        <v>0.0</v>
      </c>
      <c r="Q510" s="84">
        <v>0.0</v>
      </c>
      <c r="R510" s="84">
        <v>0.0</v>
      </c>
      <c r="S510" s="84">
        <v>0.0</v>
      </c>
      <c r="T510" s="84">
        <v>0.0</v>
      </c>
      <c r="U510" s="84">
        <v>0.0</v>
      </c>
      <c r="V510" s="84">
        <v>2.0</v>
      </c>
      <c r="W510" s="84">
        <v>0.0</v>
      </c>
      <c r="X510" s="84">
        <v>0.0</v>
      </c>
      <c r="Y510" s="84">
        <v>0.0</v>
      </c>
      <c r="Z510" s="84">
        <v>0.0</v>
      </c>
      <c r="AA510" s="84">
        <v>0.0</v>
      </c>
      <c r="AB510" s="84">
        <v>0.0</v>
      </c>
      <c r="AC510" s="91">
        <v>0.0</v>
      </c>
      <c r="AD510" s="84">
        <v>0.0</v>
      </c>
      <c r="AE510" s="84">
        <v>0.0</v>
      </c>
      <c r="AF510" s="84">
        <v>0.0</v>
      </c>
      <c r="AG510" s="84">
        <v>0.0</v>
      </c>
      <c r="AH510" s="84">
        <v>0.0</v>
      </c>
      <c r="AI510" s="84">
        <v>0.0</v>
      </c>
      <c r="AJ510" s="84">
        <v>0.0</v>
      </c>
      <c r="AK510" s="84">
        <v>0.0</v>
      </c>
      <c r="AL510" s="84">
        <v>0.0</v>
      </c>
      <c r="AM510" s="84">
        <v>0.0</v>
      </c>
      <c r="AN510" s="93">
        <f t="shared" si="1"/>
        <v>0</v>
      </c>
      <c r="AO510" s="84">
        <f t="shared" si="2"/>
        <v>0</v>
      </c>
    </row>
    <row r="511" ht="12.75" customHeight="1">
      <c r="A511" s="84" t="s">
        <v>2678</v>
      </c>
      <c r="B511" s="84">
        <v>1.0</v>
      </c>
      <c r="C511" s="84">
        <v>0.0</v>
      </c>
      <c r="D511" s="84">
        <v>0.0</v>
      </c>
      <c r="E511" s="84">
        <v>0.0</v>
      </c>
      <c r="F511" s="84">
        <v>0.0</v>
      </c>
      <c r="G511" s="84">
        <v>0.0</v>
      </c>
      <c r="H511" s="84">
        <v>0.0</v>
      </c>
      <c r="I511" s="91">
        <v>0.0</v>
      </c>
      <c r="J511" s="84">
        <v>0.0</v>
      </c>
      <c r="K511" s="84">
        <v>0.0</v>
      </c>
      <c r="L511" s="84">
        <v>0.0</v>
      </c>
      <c r="M511" s="84">
        <v>0.0</v>
      </c>
      <c r="N511" s="84">
        <v>0.0</v>
      </c>
      <c r="O511" s="84">
        <v>0.0</v>
      </c>
      <c r="P511" s="84">
        <v>0.0</v>
      </c>
      <c r="Q511" s="84">
        <v>0.0</v>
      </c>
      <c r="R511" s="84">
        <v>0.0</v>
      </c>
      <c r="S511" s="84">
        <v>0.0</v>
      </c>
      <c r="T511" s="84">
        <v>0.0</v>
      </c>
      <c r="U511" s="84">
        <v>0.0</v>
      </c>
      <c r="V511" s="84">
        <v>2.0</v>
      </c>
      <c r="W511" s="84">
        <v>1.0</v>
      </c>
      <c r="X511" s="84">
        <v>0.0</v>
      </c>
      <c r="Y511" s="84">
        <v>0.0</v>
      </c>
      <c r="Z511" s="84">
        <v>0.0</v>
      </c>
      <c r="AA511" s="84">
        <v>0.0</v>
      </c>
      <c r="AB511" s="84">
        <v>0.0</v>
      </c>
      <c r="AC511" s="91">
        <v>0.0</v>
      </c>
      <c r="AD511" s="84">
        <v>0.0</v>
      </c>
      <c r="AE511" s="84">
        <v>0.0</v>
      </c>
      <c r="AF511" s="84">
        <v>0.0</v>
      </c>
      <c r="AG511" s="84">
        <v>0.0</v>
      </c>
      <c r="AH511" s="84">
        <v>0.0</v>
      </c>
      <c r="AI511" s="84">
        <v>0.0</v>
      </c>
      <c r="AJ511" s="84">
        <v>0.0</v>
      </c>
      <c r="AK511" s="84">
        <v>0.0</v>
      </c>
      <c r="AL511" s="84">
        <v>0.0</v>
      </c>
      <c r="AM511" s="84">
        <v>0.0</v>
      </c>
      <c r="AN511" s="93">
        <f t="shared" si="1"/>
        <v>0</v>
      </c>
      <c r="AO511" s="84">
        <f t="shared" si="2"/>
        <v>0</v>
      </c>
    </row>
    <row r="512" ht="12.75" customHeight="1">
      <c r="A512" s="84" t="s">
        <v>3303</v>
      </c>
      <c r="B512" s="84">
        <v>0.0</v>
      </c>
      <c r="C512" s="84">
        <v>0.0</v>
      </c>
      <c r="D512" s="84">
        <v>5.0</v>
      </c>
      <c r="E512" s="84">
        <v>1.0</v>
      </c>
      <c r="F512" s="84">
        <v>0.0</v>
      </c>
      <c r="G512" s="84">
        <v>0.0</v>
      </c>
      <c r="H512" s="84">
        <v>0.0</v>
      </c>
      <c r="I512" s="91">
        <v>0.0</v>
      </c>
      <c r="J512" s="84">
        <v>0.0</v>
      </c>
      <c r="K512" s="84">
        <v>0.0</v>
      </c>
      <c r="L512" s="84">
        <v>0.0</v>
      </c>
      <c r="M512" s="84">
        <v>0.0</v>
      </c>
      <c r="N512" s="84">
        <v>0.0</v>
      </c>
      <c r="O512" s="84">
        <v>0.0</v>
      </c>
      <c r="P512" s="84">
        <v>0.0</v>
      </c>
      <c r="Q512" s="84">
        <v>0.0</v>
      </c>
      <c r="R512" s="84">
        <v>0.0</v>
      </c>
      <c r="S512" s="84">
        <v>0.0</v>
      </c>
      <c r="T512" s="84">
        <v>0.0</v>
      </c>
      <c r="U512" s="84">
        <v>0.0</v>
      </c>
      <c r="V512" s="84">
        <v>0.0</v>
      </c>
      <c r="W512" s="84">
        <v>0.0</v>
      </c>
      <c r="X512" s="84">
        <v>6.0</v>
      </c>
      <c r="Y512" s="84">
        <v>1.0</v>
      </c>
      <c r="Z512" s="84">
        <v>0.0</v>
      </c>
      <c r="AA512" s="84">
        <v>0.0</v>
      </c>
      <c r="AB512" s="84">
        <v>0.0</v>
      </c>
      <c r="AC512" s="91">
        <v>0.0</v>
      </c>
      <c r="AD512" s="84">
        <v>0.0</v>
      </c>
      <c r="AE512" s="84">
        <v>0.0</v>
      </c>
      <c r="AF512" s="84">
        <v>0.0</v>
      </c>
      <c r="AG512" s="84">
        <v>0.0</v>
      </c>
      <c r="AH512" s="84">
        <v>0.0</v>
      </c>
      <c r="AI512" s="84">
        <v>0.0</v>
      </c>
      <c r="AJ512" s="84">
        <v>0.0</v>
      </c>
      <c r="AK512" s="84">
        <v>0.0</v>
      </c>
      <c r="AL512" s="84">
        <v>0.0</v>
      </c>
      <c r="AM512" s="84">
        <v>0.0</v>
      </c>
      <c r="AN512" s="93">
        <f t="shared" si="1"/>
        <v>0</v>
      </c>
      <c r="AO512" s="84">
        <f t="shared" si="2"/>
        <v>0</v>
      </c>
    </row>
    <row r="513" ht="12.75" customHeight="1">
      <c r="A513" s="84" t="s">
        <v>2833</v>
      </c>
      <c r="B513" s="84">
        <v>2.0</v>
      </c>
      <c r="C513" s="84">
        <v>1.0</v>
      </c>
      <c r="D513" s="84">
        <v>0.0</v>
      </c>
      <c r="E513" s="84">
        <v>0.0</v>
      </c>
      <c r="F513" s="84">
        <v>0.0</v>
      </c>
      <c r="G513" s="84">
        <v>0.0</v>
      </c>
      <c r="H513" s="84">
        <v>0.0</v>
      </c>
      <c r="I513" s="91">
        <v>0.0</v>
      </c>
      <c r="J513" s="84">
        <v>0.0</v>
      </c>
      <c r="K513" s="84">
        <v>0.0</v>
      </c>
      <c r="L513" s="84">
        <v>0.0</v>
      </c>
      <c r="M513" s="84">
        <v>0.0</v>
      </c>
      <c r="N513" s="84">
        <v>0.0</v>
      </c>
      <c r="O513" s="84">
        <v>0.0</v>
      </c>
      <c r="P513" s="84">
        <v>0.0</v>
      </c>
      <c r="Q513" s="84">
        <v>0.0</v>
      </c>
      <c r="R513" s="84">
        <v>0.0</v>
      </c>
      <c r="S513" s="84">
        <v>0.0</v>
      </c>
      <c r="T513" s="84">
        <v>0.0</v>
      </c>
      <c r="U513" s="84">
        <v>0.0</v>
      </c>
      <c r="V513" s="84">
        <v>2.0</v>
      </c>
      <c r="W513" s="84">
        <v>0.0</v>
      </c>
      <c r="X513" s="84">
        <v>0.0</v>
      </c>
      <c r="Y513" s="84">
        <v>0.0</v>
      </c>
      <c r="Z513" s="84">
        <v>0.0</v>
      </c>
      <c r="AA513" s="84">
        <v>0.0</v>
      </c>
      <c r="AB513" s="84">
        <v>0.0</v>
      </c>
      <c r="AC513" s="91">
        <v>0.0</v>
      </c>
      <c r="AD513" s="84">
        <v>0.0</v>
      </c>
      <c r="AE513" s="84">
        <v>0.0</v>
      </c>
      <c r="AF513" s="84">
        <v>0.0</v>
      </c>
      <c r="AG513" s="84">
        <v>0.0</v>
      </c>
      <c r="AH513" s="84">
        <v>0.0</v>
      </c>
      <c r="AI513" s="84">
        <v>0.0</v>
      </c>
      <c r="AJ513" s="84">
        <v>0.0</v>
      </c>
      <c r="AK513" s="84">
        <v>0.0</v>
      </c>
      <c r="AL513" s="84">
        <v>0.0</v>
      </c>
      <c r="AM513" s="84">
        <v>0.0</v>
      </c>
      <c r="AN513" s="93">
        <f t="shared" si="1"/>
        <v>0</v>
      </c>
      <c r="AO513" s="84">
        <f t="shared" si="2"/>
        <v>0</v>
      </c>
    </row>
    <row r="514" ht="12.75" customHeight="1">
      <c r="A514" s="84" t="s">
        <v>2925</v>
      </c>
      <c r="B514" s="84">
        <v>2.0</v>
      </c>
      <c r="C514" s="84">
        <v>0.0</v>
      </c>
      <c r="D514" s="84">
        <v>0.0</v>
      </c>
      <c r="E514" s="84">
        <v>0.0</v>
      </c>
      <c r="F514" s="84">
        <v>0.0</v>
      </c>
      <c r="G514" s="84">
        <v>0.0</v>
      </c>
      <c r="H514" s="84">
        <v>0.0</v>
      </c>
      <c r="I514" s="91">
        <v>0.0</v>
      </c>
      <c r="J514" s="84">
        <v>0.0</v>
      </c>
      <c r="K514" s="84">
        <v>0.0</v>
      </c>
      <c r="L514" s="84">
        <v>0.0</v>
      </c>
      <c r="M514" s="84">
        <v>0.0</v>
      </c>
      <c r="N514" s="84">
        <v>0.0</v>
      </c>
      <c r="O514" s="84">
        <v>0.0</v>
      </c>
      <c r="P514" s="84">
        <v>0.0</v>
      </c>
      <c r="Q514" s="84">
        <v>0.0</v>
      </c>
      <c r="R514" s="84">
        <v>0.0</v>
      </c>
      <c r="S514" s="84">
        <v>0.0</v>
      </c>
      <c r="T514" s="84">
        <v>0.0</v>
      </c>
      <c r="U514" s="84">
        <v>0.0</v>
      </c>
      <c r="V514" s="84">
        <v>2.0</v>
      </c>
      <c r="W514" s="84">
        <v>2.0</v>
      </c>
      <c r="X514" s="84">
        <v>0.0</v>
      </c>
      <c r="Y514" s="84">
        <v>0.0</v>
      </c>
      <c r="Z514" s="84">
        <v>0.0</v>
      </c>
      <c r="AA514" s="84">
        <v>0.0</v>
      </c>
      <c r="AB514" s="84">
        <v>0.0</v>
      </c>
      <c r="AC514" s="91">
        <v>0.0</v>
      </c>
      <c r="AD514" s="84">
        <v>0.0</v>
      </c>
      <c r="AE514" s="84">
        <v>0.0</v>
      </c>
      <c r="AF514" s="84">
        <v>0.0</v>
      </c>
      <c r="AG514" s="84">
        <v>0.0</v>
      </c>
      <c r="AH514" s="84">
        <v>0.0</v>
      </c>
      <c r="AI514" s="84">
        <v>0.0</v>
      </c>
      <c r="AJ514" s="84">
        <v>0.0</v>
      </c>
      <c r="AK514" s="84">
        <v>0.0</v>
      </c>
      <c r="AL514" s="84">
        <v>0.0</v>
      </c>
      <c r="AM514" s="84">
        <v>0.0</v>
      </c>
      <c r="AN514" s="93">
        <f t="shared" si="1"/>
        <v>0</v>
      </c>
      <c r="AO514" s="84">
        <f t="shared" si="2"/>
        <v>0</v>
      </c>
    </row>
    <row r="515" ht="12.75" customHeight="1">
      <c r="A515" s="84" t="s">
        <v>3166</v>
      </c>
      <c r="B515" s="84">
        <v>0.0</v>
      </c>
      <c r="C515" s="84">
        <v>5.0</v>
      </c>
      <c r="D515" s="84">
        <v>0.0</v>
      </c>
      <c r="E515" s="84">
        <v>0.0</v>
      </c>
      <c r="F515" s="84">
        <v>0.0</v>
      </c>
      <c r="G515" s="84">
        <v>0.0</v>
      </c>
      <c r="H515" s="84">
        <v>0.0</v>
      </c>
      <c r="I515" s="91">
        <v>0.0</v>
      </c>
      <c r="J515" s="84">
        <v>0.0</v>
      </c>
      <c r="K515" s="84">
        <v>0.0</v>
      </c>
      <c r="L515" s="84">
        <v>0.0</v>
      </c>
      <c r="M515" s="84">
        <v>0.0</v>
      </c>
      <c r="N515" s="84">
        <v>0.0</v>
      </c>
      <c r="O515" s="84">
        <v>0.0</v>
      </c>
      <c r="P515" s="84">
        <v>0.0</v>
      </c>
      <c r="Q515" s="84">
        <v>0.0</v>
      </c>
      <c r="R515" s="84">
        <v>0.0</v>
      </c>
      <c r="S515" s="84">
        <v>0.0</v>
      </c>
      <c r="T515" s="84">
        <v>0.0</v>
      </c>
      <c r="U515" s="84">
        <v>0.0</v>
      </c>
      <c r="V515" s="84">
        <v>0.0</v>
      </c>
      <c r="W515" s="84">
        <v>3.0</v>
      </c>
      <c r="X515" s="84">
        <v>0.0</v>
      </c>
      <c r="Y515" s="84">
        <v>0.0</v>
      </c>
      <c r="Z515" s="84">
        <v>0.0</v>
      </c>
      <c r="AA515" s="84">
        <v>0.0</v>
      </c>
      <c r="AB515" s="84">
        <v>0.0</v>
      </c>
      <c r="AC515" s="91">
        <v>0.0</v>
      </c>
      <c r="AD515" s="84">
        <v>0.0</v>
      </c>
      <c r="AE515" s="84">
        <v>0.0</v>
      </c>
      <c r="AF515" s="84">
        <v>0.0</v>
      </c>
      <c r="AG515" s="84">
        <v>0.0</v>
      </c>
      <c r="AH515" s="84">
        <v>0.0</v>
      </c>
      <c r="AI515" s="84">
        <v>0.0</v>
      </c>
      <c r="AJ515" s="84">
        <v>0.0</v>
      </c>
      <c r="AK515" s="84">
        <v>0.0</v>
      </c>
      <c r="AL515" s="84">
        <v>0.0</v>
      </c>
      <c r="AM515" s="84">
        <v>0.0</v>
      </c>
      <c r="AN515" s="93">
        <f t="shared" si="1"/>
        <v>0</v>
      </c>
      <c r="AO515" s="84">
        <f t="shared" si="2"/>
        <v>0</v>
      </c>
    </row>
    <row r="516" ht="12.75" customHeight="1">
      <c r="A516" s="84" t="s">
        <v>3748</v>
      </c>
      <c r="B516" s="84">
        <v>0.0</v>
      </c>
      <c r="C516" s="84">
        <v>0.0</v>
      </c>
      <c r="D516" s="84">
        <v>0.0</v>
      </c>
      <c r="E516" s="84">
        <v>0.0</v>
      </c>
      <c r="F516" s="84">
        <v>0.0</v>
      </c>
      <c r="G516" s="84">
        <v>5.0</v>
      </c>
      <c r="H516" s="84">
        <v>0.0</v>
      </c>
      <c r="I516" s="91">
        <v>0.0</v>
      </c>
      <c r="J516" s="84">
        <v>0.0</v>
      </c>
      <c r="K516" s="84">
        <v>0.0</v>
      </c>
      <c r="L516" s="84">
        <v>0.0</v>
      </c>
      <c r="M516" s="84">
        <v>0.0</v>
      </c>
      <c r="N516" s="84">
        <v>0.0</v>
      </c>
      <c r="O516" s="84">
        <v>0.0</v>
      </c>
      <c r="P516" s="84">
        <v>0.0</v>
      </c>
      <c r="Q516" s="84">
        <v>0.0</v>
      </c>
      <c r="R516" s="84">
        <v>0.0</v>
      </c>
      <c r="S516" s="84">
        <v>0.0</v>
      </c>
      <c r="T516" s="84">
        <v>0.0</v>
      </c>
      <c r="U516" s="84">
        <v>0.0</v>
      </c>
      <c r="V516" s="84">
        <v>0.0</v>
      </c>
      <c r="W516" s="84">
        <v>0.0</v>
      </c>
      <c r="X516" s="84">
        <v>0.0</v>
      </c>
      <c r="Y516" s="84">
        <v>0.0</v>
      </c>
      <c r="Z516" s="84">
        <v>0.0</v>
      </c>
      <c r="AA516" s="84">
        <v>6.0</v>
      </c>
      <c r="AB516" s="84">
        <v>2.0</v>
      </c>
      <c r="AC516" s="91">
        <v>0.0</v>
      </c>
      <c r="AD516" s="84">
        <v>0.0</v>
      </c>
      <c r="AE516" s="84">
        <v>0.0</v>
      </c>
      <c r="AF516" s="84">
        <v>0.0</v>
      </c>
      <c r="AG516" s="84">
        <v>0.0</v>
      </c>
      <c r="AH516" s="84">
        <v>0.0</v>
      </c>
      <c r="AI516" s="84">
        <v>0.0</v>
      </c>
      <c r="AJ516" s="84">
        <v>0.0</v>
      </c>
      <c r="AK516" s="84">
        <v>0.0</v>
      </c>
      <c r="AL516" s="84">
        <v>0.0</v>
      </c>
      <c r="AM516" s="84">
        <v>0.0</v>
      </c>
      <c r="AN516" s="93">
        <f t="shared" si="1"/>
        <v>0</v>
      </c>
      <c r="AO516" s="84">
        <f t="shared" si="2"/>
        <v>0</v>
      </c>
    </row>
    <row r="517" ht="12.75" customHeight="1">
      <c r="A517" s="84" t="s">
        <v>3100</v>
      </c>
      <c r="B517" s="84">
        <v>2.0</v>
      </c>
      <c r="C517" s="84">
        <v>1.0</v>
      </c>
      <c r="D517" s="84">
        <v>0.0</v>
      </c>
      <c r="E517" s="84">
        <v>0.0</v>
      </c>
      <c r="F517" s="84">
        <v>0.0</v>
      </c>
      <c r="G517" s="84">
        <v>0.0</v>
      </c>
      <c r="H517" s="84">
        <v>0.0</v>
      </c>
      <c r="I517" s="91">
        <v>0.0</v>
      </c>
      <c r="J517" s="84">
        <v>0.0</v>
      </c>
      <c r="K517" s="84">
        <v>0.0</v>
      </c>
      <c r="L517" s="84">
        <v>0.0</v>
      </c>
      <c r="M517" s="84">
        <v>0.0</v>
      </c>
      <c r="N517" s="84">
        <v>0.0</v>
      </c>
      <c r="O517" s="84">
        <v>0.0</v>
      </c>
      <c r="P517" s="84">
        <v>0.0</v>
      </c>
      <c r="Q517" s="84">
        <v>0.0</v>
      </c>
      <c r="R517" s="84">
        <v>0.0</v>
      </c>
      <c r="S517" s="84">
        <v>0.0</v>
      </c>
      <c r="T517" s="84">
        <v>0.0</v>
      </c>
      <c r="U517" s="84">
        <v>0.0</v>
      </c>
      <c r="V517" s="84">
        <v>7.0</v>
      </c>
      <c r="W517" s="84">
        <v>2.0</v>
      </c>
      <c r="X517" s="84">
        <v>0.0</v>
      </c>
      <c r="Y517" s="84">
        <v>0.0</v>
      </c>
      <c r="Z517" s="84">
        <v>0.0</v>
      </c>
      <c r="AA517" s="84">
        <v>0.0</v>
      </c>
      <c r="AB517" s="84">
        <v>0.0</v>
      </c>
      <c r="AC517" s="91">
        <v>0.0</v>
      </c>
      <c r="AD517" s="84">
        <v>0.0</v>
      </c>
      <c r="AE517" s="84">
        <v>0.0</v>
      </c>
      <c r="AF517" s="84">
        <v>0.0</v>
      </c>
      <c r="AG517" s="84">
        <v>0.0</v>
      </c>
      <c r="AH517" s="84">
        <v>0.0</v>
      </c>
      <c r="AI517" s="84">
        <v>0.0</v>
      </c>
      <c r="AJ517" s="84">
        <v>0.0</v>
      </c>
      <c r="AK517" s="84">
        <v>0.0</v>
      </c>
      <c r="AL517" s="84">
        <v>0.0</v>
      </c>
      <c r="AM517" s="84">
        <v>0.0</v>
      </c>
      <c r="AN517" s="93">
        <f t="shared" si="1"/>
        <v>0</v>
      </c>
      <c r="AO517" s="84">
        <f t="shared" si="2"/>
        <v>0</v>
      </c>
    </row>
    <row r="518" ht="12.75" customHeight="1">
      <c r="A518" s="84" t="s">
        <v>3533</v>
      </c>
      <c r="B518" s="84">
        <v>0.0</v>
      </c>
      <c r="C518" s="84">
        <v>0.0</v>
      </c>
      <c r="D518" s="84">
        <v>0.0</v>
      </c>
      <c r="E518" s="84">
        <v>4.0</v>
      </c>
      <c r="F518" s="84">
        <v>0.0</v>
      </c>
      <c r="G518" s="84">
        <v>0.0</v>
      </c>
      <c r="H518" s="84">
        <v>0.0</v>
      </c>
      <c r="I518" s="91">
        <v>0.0</v>
      </c>
      <c r="J518" s="84">
        <v>0.0</v>
      </c>
      <c r="K518" s="84">
        <v>0.0</v>
      </c>
      <c r="L518" s="84">
        <v>0.0</v>
      </c>
      <c r="M518" s="84">
        <v>0.0</v>
      </c>
      <c r="N518" s="84">
        <v>0.0</v>
      </c>
      <c r="O518" s="84">
        <v>0.0</v>
      </c>
      <c r="P518" s="84">
        <v>0.0</v>
      </c>
      <c r="Q518" s="84">
        <v>0.0</v>
      </c>
      <c r="R518" s="84">
        <v>0.0</v>
      </c>
      <c r="S518" s="84">
        <v>0.0</v>
      </c>
      <c r="T518" s="84">
        <v>0.0</v>
      </c>
      <c r="U518" s="84">
        <v>0.0</v>
      </c>
      <c r="V518" s="84">
        <v>0.0</v>
      </c>
      <c r="W518" s="84">
        <v>0.0</v>
      </c>
      <c r="X518" s="84">
        <v>0.0</v>
      </c>
      <c r="Y518" s="84">
        <v>6.0</v>
      </c>
      <c r="Z518" s="84">
        <v>2.0</v>
      </c>
      <c r="AA518" s="84">
        <v>0.0</v>
      </c>
      <c r="AB518" s="84">
        <v>0.0</v>
      </c>
      <c r="AC518" s="91">
        <v>0.0</v>
      </c>
      <c r="AD518" s="84">
        <v>0.0</v>
      </c>
      <c r="AE518" s="84">
        <v>0.0</v>
      </c>
      <c r="AF518" s="84">
        <v>0.0</v>
      </c>
      <c r="AG518" s="84">
        <v>0.0</v>
      </c>
      <c r="AH518" s="84">
        <v>0.0</v>
      </c>
      <c r="AI518" s="84">
        <v>0.0</v>
      </c>
      <c r="AJ518" s="84">
        <v>0.0</v>
      </c>
      <c r="AK518" s="84">
        <v>0.0</v>
      </c>
      <c r="AL518" s="84">
        <v>0.0</v>
      </c>
      <c r="AM518" s="84">
        <v>0.0</v>
      </c>
      <c r="AN518" s="93">
        <f t="shared" si="1"/>
        <v>0</v>
      </c>
      <c r="AO518" s="84">
        <f t="shared" si="2"/>
        <v>0</v>
      </c>
    </row>
    <row r="519" ht="12.75" customHeight="1">
      <c r="A519" s="84" t="s">
        <v>4548</v>
      </c>
      <c r="B519" s="84">
        <v>0.0</v>
      </c>
      <c r="C519" s="84">
        <v>0.0</v>
      </c>
      <c r="D519" s="84">
        <v>0.0</v>
      </c>
      <c r="E519" s="84">
        <v>0.0</v>
      </c>
      <c r="F519" s="84">
        <v>0.0</v>
      </c>
      <c r="G519" s="84">
        <v>0.0</v>
      </c>
      <c r="H519" s="84">
        <v>0.0</v>
      </c>
      <c r="I519" s="91">
        <v>0.0</v>
      </c>
      <c r="J519" s="84">
        <v>0.0</v>
      </c>
      <c r="K519" s="84">
        <v>0.0</v>
      </c>
      <c r="L519" s="84">
        <v>0.0</v>
      </c>
      <c r="M519" s="84">
        <v>0.0</v>
      </c>
      <c r="N519" s="84">
        <v>0.0</v>
      </c>
      <c r="O519" s="84">
        <v>0.0</v>
      </c>
      <c r="P519" s="84">
        <v>1.0</v>
      </c>
      <c r="Q519" s="84">
        <v>0.0</v>
      </c>
      <c r="R519" s="84">
        <v>0.0</v>
      </c>
      <c r="S519" s="84">
        <v>0.0</v>
      </c>
      <c r="T519" s="84">
        <v>0.0</v>
      </c>
      <c r="U519" s="84">
        <v>0.0</v>
      </c>
      <c r="V519" s="84">
        <v>0.0</v>
      </c>
      <c r="W519" s="84">
        <v>0.0</v>
      </c>
      <c r="X519" s="84">
        <v>0.0</v>
      </c>
      <c r="Y519" s="84">
        <v>0.0</v>
      </c>
      <c r="Z519" s="84">
        <v>0.0</v>
      </c>
      <c r="AA519" s="84">
        <v>0.0</v>
      </c>
      <c r="AB519" s="84">
        <v>0.0</v>
      </c>
      <c r="AC519" s="91">
        <v>0.0</v>
      </c>
      <c r="AD519" s="84">
        <v>0.0</v>
      </c>
      <c r="AE519" s="84">
        <v>0.0</v>
      </c>
      <c r="AF519" s="84">
        <v>0.0</v>
      </c>
      <c r="AG519" s="84">
        <v>0.0</v>
      </c>
      <c r="AH519" s="84">
        <v>0.0</v>
      </c>
      <c r="AI519" s="84">
        <v>0.0</v>
      </c>
      <c r="AJ519" s="84">
        <v>0.0</v>
      </c>
      <c r="AK519" s="84">
        <v>0.0</v>
      </c>
      <c r="AL519" s="84">
        <v>0.0</v>
      </c>
      <c r="AM519" s="84">
        <v>0.0</v>
      </c>
      <c r="AN519" s="93">
        <f t="shared" si="1"/>
        <v>0</v>
      </c>
      <c r="AO519" s="84">
        <f t="shared" si="2"/>
        <v>1</v>
      </c>
    </row>
    <row r="520" ht="12.75" customHeight="1">
      <c r="A520" s="84" t="s">
        <v>4671</v>
      </c>
      <c r="B520" s="84">
        <v>0.0</v>
      </c>
      <c r="C520" s="84">
        <v>0.0</v>
      </c>
      <c r="D520" s="84">
        <v>0.0</v>
      </c>
      <c r="E520" s="84">
        <v>0.0</v>
      </c>
      <c r="F520" s="84">
        <v>0.0</v>
      </c>
      <c r="G520" s="84">
        <v>0.0</v>
      </c>
      <c r="H520" s="84">
        <v>0.0</v>
      </c>
      <c r="I520" s="91">
        <v>0.0</v>
      </c>
      <c r="J520" s="84">
        <v>0.0</v>
      </c>
      <c r="K520" s="84">
        <v>0.0</v>
      </c>
      <c r="L520" s="84">
        <v>0.0</v>
      </c>
      <c r="M520" s="84">
        <v>0.0</v>
      </c>
      <c r="N520" s="84">
        <v>0.0</v>
      </c>
      <c r="O520" s="84">
        <v>0.0</v>
      </c>
      <c r="P520" s="84">
        <v>0.0</v>
      </c>
      <c r="Q520" s="84">
        <v>0.0</v>
      </c>
      <c r="R520" s="84">
        <v>0.0</v>
      </c>
      <c r="S520" s="84">
        <v>0.0</v>
      </c>
      <c r="T520" s="84">
        <v>0.0</v>
      </c>
      <c r="U520" s="84">
        <v>1.0</v>
      </c>
      <c r="V520" s="84">
        <v>0.0</v>
      </c>
      <c r="W520" s="84">
        <v>0.0</v>
      </c>
      <c r="X520" s="84">
        <v>0.0</v>
      </c>
      <c r="Y520" s="84">
        <v>0.0</v>
      </c>
      <c r="Z520" s="84">
        <v>0.0</v>
      </c>
      <c r="AA520" s="84">
        <v>0.0</v>
      </c>
      <c r="AB520" s="84">
        <v>0.0</v>
      </c>
      <c r="AC520" s="91">
        <v>0.0</v>
      </c>
      <c r="AD520" s="84">
        <v>0.0</v>
      </c>
      <c r="AE520" s="84">
        <v>0.0</v>
      </c>
      <c r="AF520" s="84">
        <v>0.0</v>
      </c>
      <c r="AG520" s="84">
        <v>0.0</v>
      </c>
      <c r="AH520" s="84">
        <v>0.0</v>
      </c>
      <c r="AI520" s="84">
        <v>0.0</v>
      </c>
      <c r="AJ520" s="84">
        <v>0.0</v>
      </c>
      <c r="AK520" s="84">
        <v>0.0</v>
      </c>
      <c r="AL520" s="84">
        <v>0.0</v>
      </c>
      <c r="AM520" s="84">
        <v>0.0</v>
      </c>
      <c r="AN520" s="93">
        <f t="shared" si="1"/>
        <v>0</v>
      </c>
      <c r="AO520" s="84">
        <f t="shared" si="2"/>
        <v>1</v>
      </c>
    </row>
    <row r="521" ht="12.75" customHeight="1">
      <c r="A521" s="84" t="s">
        <v>4687</v>
      </c>
      <c r="B521" s="84">
        <v>0.0</v>
      </c>
      <c r="C521" s="84">
        <v>0.0</v>
      </c>
      <c r="D521" s="84">
        <v>0.0</v>
      </c>
      <c r="E521" s="84">
        <v>0.0</v>
      </c>
      <c r="F521" s="84">
        <v>0.0</v>
      </c>
      <c r="G521" s="84">
        <v>0.0</v>
      </c>
      <c r="H521" s="84">
        <v>0.0</v>
      </c>
      <c r="I521" s="91">
        <v>0.0</v>
      </c>
      <c r="J521" s="84">
        <v>0.0</v>
      </c>
      <c r="K521" s="84">
        <v>0.0</v>
      </c>
      <c r="L521" s="84">
        <v>0.0</v>
      </c>
      <c r="M521" s="84">
        <v>0.0</v>
      </c>
      <c r="N521" s="84">
        <v>0.0</v>
      </c>
      <c r="O521" s="84">
        <v>0.0</v>
      </c>
      <c r="P521" s="84">
        <v>0.0</v>
      </c>
      <c r="Q521" s="84">
        <v>0.0</v>
      </c>
      <c r="R521" s="84">
        <v>0.0</v>
      </c>
      <c r="S521" s="84">
        <v>0.0</v>
      </c>
      <c r="T521" s="84">
        <v>0.0</v>
      </c>
      <c r="U521" s="84">
        <v>0.0</v>
      </c>
      <c r="V521" s="84">
        <v>0.0</v>
      </c>
      <c r="W521" s="84">
        <v>0.0</v>
      </c>
      <c r="X521" s="84">
        <v>0.0</v>
      </c>
      <c r="Y521" s="84">
        <v>0.0</v>
      </c>
      <c r="Z521" s="84">
        <v>0.0</v>
      </c>
      <c r="AA521" s="84">
        <v>0.0</v>
      </c>
      <c r="AB521" s="84">
        <v>0.0</v>
      </c>
      <c r="AC521" s="91">
        <v>0.0</v>
      </c>
      <c r="AD521" s="84">
        <v>0.0</v>
      </c>
      <c r="AE521" s="84">
        <v>0.0</v>
      </c>
      <c r="AF521" s="84">
        <v>0.0</v>
      </c>
      <c r="AG521" s="84">
        <v>0.0</v>
      </c>
      <c r="AH521" s="84">
        <v>0.0</v>
      </c>
      <c r="AI521" s="84">
        <v>0.0</v>
      </c>
      <c r="AJ521" s="84">
        <v>0.0</v>
      </c>
      <c r="AK521" s="84">
        <v>0.0</v>
      </c>
      <c r="AL521" s="84">
        <v>0.0</v>
      </c>
      <c r="AM521" s="84">
        <v>1.0</v>
      </c>
      <c r="AN521" s="93">
        <f t="shared" si="1"/>
        <v>0</v>
      </c>
      <c r="AO521" s="84">
        <f t="shared" si="2"/>
        <v>1</v>
      </c>
    </row>
    <row r="522" ht="12.75" customHeight="1">
      <c r="A522" s="84" t="s">
        <v>4348</v>
      </c>
      <c r="B522" s="84">
        <v>0.0</v>
      </c>
      <c r="C522" s="84">
        <v>0.0</v>
      </c>
      <c r="D522" s="84">
        <v>0.0</v>
      </c>
      <c r="E522" s="84">
        <v>0.0</v>
      </c>
      <c r="F522" s="84">
        <v>0.0</v>
      </c>
      <c r="G522" s="84">
        <v>0.0</v>
      </c>
      <c r="H522" s="84">
        <v>0.0</v>
      </c>
      <c r="I522" s="91">
        <v>0.0</v>
      </c>
      <c r="J522" s="84">
        <v>0.0</v>
      </c>
      <c r="K522" s="84">
        <v>0.0</v>
      </c>
      <c r="L522" s="84">
        <v>0.0</v>
      </c>
      <c r="M522" s="84">
        <v>0.0</v>
      </c>
      <c r="N522" s="84">
        <v>0.0</v>
      </c>
      <c r="O522" s="84">
        <v>0.0</v>
      </c>
      <c r="P522" s="84">
        <v>0.0</v>
      </c>
      <c r="Q522" s="84">
        <v>0.0</v>
      </c>
      <c r="R522" s="84">
        <v>0.0</v>
      </c>
      <c r="S522" s="84">
        <v>0.0</v>
      </c>
      <c r="T522" s="84">
        <v>0.0</v>
      </c>
      <c r="U522" s="84">
        <v>0.0</v>
      </c>
      <c r="V522" s="84">
        <v>0.0</v>
      </c>
      <c r="W522" s="84">
        <v>0.0</v>
      </c>
      <c r="X522" s="84">
        <v>0.0</v>
      </c>
      <c r="Y522" s="84">
        <v>0.0</v>
      </c>
      <c r="Z522" s="84">
        <v>0.0</v>
      </c>
      <c r="AA522" s="84">
        <v>0.0</v>
      </c>
      <c r="AB522" s="84">
        <v>0.0</v>
      </c>
      <c r="AC522" s="91">
        <v>0.002554278416347382</v>
      </c>
      <c r="AD522" s="84">
        <v>0.0</v>
      </c>
      <c r="AE522" s="84">
        <v>0.0</v>
      </c>
      <c r="AF522" s="84">
        <v>0.0</v>
      </c>
      <c r="AG522" s="84">
        <v>0.0</v>
      </c>
      <c r="AH522" s="84">
        <v>0.0</v>
      </c>
      <c r="AI522" s="84">
        <v>0.0</v>
      </c>
      <c r="AJ522" s="84">
        <v>0.0</v>
      </c>
      <c r="AK522" s="84">
        <v>0.0</v>
      </c>
      <c r="AL522" s="84">
        <v>0.0</v>
      </c>
      <c r="AM522" s="84">
        <v>0.0</v>
      </c>
      <c r="AN522" s="93">
        <f t="shared" si="1"/>
        <v>0.002554278416</v>
      </c>
      <c r="AO522" s="84">
        <f t="shared" si="2"/>
        <v>0</v>
      </c>
    </row>
    <row r="523" ht="12.75" customHeight="1">
      <c r="A523" s="84" t="s">
        <v>4603</v>
      </c>
      <c r="B523" s="84">
        <v>0.0</v>
      </c>
      <c r="C523" s="84">
        <v>0.0</v>
      </c>
      <c r="D523" s="84">
        <v>0.0</v>
      </c>
      <c r="E523" s="84">
        <v>0.0</v>
      </c>
      <c r="F523" s="84">
        <v>0.0</v>
      </c>
      <c r="G523" s="84">
        <v>0.0</v>
      </c>
      <c r="H523" s="84">
        <v>0.0</v>
      </c>
      <c r="I523" s="91">
        <v>0.0</v>
      </c>
      <c r="J523" s="84">
        <v>0.0</v>
      </c>
      <c r="K523" s="84">
        <v>0.0</v>
      </c>
      <c r="L523" s="84">
        <v>0.0</v>
      </c>
      <c r="M523" s="84">
        <v>0.0</v>
      </c>
      <c r="N523" s="84">
        <v>0.0</v>
      </c>
      <c r="O523" s="84">
        <v>0.0</v>
      </c>
      <c r="P523" s="84">
        <v>0.0</v>
      </c>
      <c r="Q523" s="84">
        <v>0.0</v>
      </c>
      <c r="R523" s="84">
        <v>0.0</v>
      </c>
      <c r="S523" s="84">
        <v>0.0</v>
      </c>
      <c r="T523" s="84">
        <v>0.0</v>
      </c>
      <c r="U523" s="84">
        <v>0.0</v>
      </c>
      <c r="V523" s="84">
        <v>0.0</v>
      </c>
      <c r="W523" s="84">
        <v>0.0</v>
      </c>
      <c r="X523" s="84">
        <v>0.0</v>
      </c>
      <c r="Y523" s="84">
        <v>0.0</v>
      </c>
      <c r="Z523" s="84">
        <v>0.0</v>
      </c>
      <c r="AA523" s="84">
        <v>0.0</v>
      </c>
      <c r="AB523" s="84">
        <v>0.0</v>
      </c>
      <c r="AC523" s="91">
        <v>0.0</v>
      </c>
      <c r="AD523" s="84">
        <v>0.0</v>
      </c>
      <c r="AE523" s="84">
        <v>0.0</v>
      </c>
      <c r="AF523" s="84">
        <v>0.0</v>
      </c>
      <c r="AG523" s="84">
        <v>0.0</v>
      </c>
      <c r="AH523" s="84">
        <v>0.0</v>
      </c>
      <c r="AI523" s="84">
        <v>0.0</v>
      </c>
      <c r="AJ523" s="84">
        <v>1.0</v>
      </c>
      <c r="AK523" s="84">
        <v>0.0</v>
      </c>
      <c r="AL523" s="84">
        <v>0.0</v>
      </c>
      <c r="AM523" s="84">
        <v>0.0</v>
      </c>
      <c r="AN523" s="93">
        <f t="shared" si="1"/>
        <v>0</v>
      </c>
      <c r="AO523" s="84">
        <f t="shared" si="2"/>
        <v>1</v>
      </c>
    </row>
    <row r="524" ht="12.75" customHeight="1">
      <c r="A524" s="84" t="s">
        <v>4616</v>
      </c>
      <c r="B524" s="84">
        <v>0.0</v>
      </c>
      <c r="C524" s="84">
        <v>0.0</v>
      </c>
      <c r="D524" s="84">
        <v>0.0</v>
      </c>
      <c r="E524" s="84">
        <v>0.0</v>
      </c>
      <c r="F524" s="84">
        <v>0.0</v>
      </c>
      <c r="G524" s="84">
        <v>0.0</v>
      </c>
      <c r="H524" s="84">
        <v>0.0</v>
      </c>
      <c r="I524" s="91">
        <v>0.0</v>
      </c>
      <c r="J524" s="84">
        <v>0.0</v>
      </c>
      <c r="K524" s="84">
        <v>0.0</v>
      </c>
      <c r="L524" s="84">
        <v>0.0</v>
      </c>
      <c r="M524" s="84">
        <v>0.0</v>
      </c>
      <c r="N524" s="84">
        <v>0.0</v>
      </c>
      <c r="O524" s="84">
        <v>0.0</v>
      </c>
      <c r="P524" s="84">
        <v>0.0</v>
      </c>
      <c r="Q524" s="84">
        <v>0.0</v>
      </c>
      <c r="R524" s="84">
        <v>0.0</v>
      </c>
      <c r="S524" s="84">
        <v>0.0</v>
      </c>
      <c r="T524" s="84">
        <v>0.0</v>
      </c>
      <c r="U524" s="84">
        <v>0.0</v>
      </c>
      <c r="V524" s="84">
        <v>0.0</v>
      </c>
      <c r="W524" s="84">
        <v>0.0</v>
      </c>
      <c r="X524" s="84">
        <v>0.0</v>
      </c>
      <c r="Y524" s="84">
        <v>0.0</v>
      </c>
      <c r="Z524" s="84">
        <v>0.0</v>
      </c>
      <c r="AA524" s="84">
        <v>0.0</v>
      </c>
      <c r="AB524" s="84">
        <v>0.0</v>
      </c>
      <c r="AC524" s="91">
        <v>0.0</v>
      </c>
      <c r="AD524" s="84">
        <v>0.0</v>
      </c>
      <c r="AE524" s="84">
        <v>0.0</v>
      </c>
      <c r="AF524" s="84">
        <v>0.0</v>
      </c>
      <c r="AG524" s="84">
        <v>0.0</v>
      </c>
      <c r="AH524" s="84">
        <v>0.0</v>
      </c>
      <c r="AI524" s="84">
        <v>0.0</v>
      </c>
      <c r="AJ524" s="84">
        <v>1.0</v>
      </c>
      <c r="AK524" s="84">
        <v>0.0</v>
      </c>
      <c r="AL524" s="84">
        <v>0.0</v>
      </c>
      <c r="AM524" s="84">
        <v>0.0</v>
      </c>
      <c r="AN524" s="93">
        <f t="shared" si="1"/>
        <v>0</v>
      </c>
      <c r="AO524" s="84">
        <f t="shared" si="2"/>
        <v>1</v>
      </c>
    </row>
    <row r="525" ht="12.75" customHeight="1">
      <c r="A525" s="84" t="s">
        <v>3961</v>
      </c>
      <c r="B525" s="84">
        <v>0.0</v>
      </c>
      <c r="C525" s="84">
        <v>0.0</v>
      </c>
      <c r="D525" s="84">
        <v>0.0</v>
      </c>
      <c r="E525" s="84">
        <v>0.0</v>
      </c>
      <c r="F525" s="84">
        <v>0.0</v>
      </c>
      <c r="G525" s="84">
        <v>0.0</v>
      </c>
      <c r="H525" s="84">
        <v>0.0</v>
      </c>
      <c r="I525" s="91">
        <v>0.0</v>
      </c>
      <c r="J525" s="84">
        <v>0.0</v>
      </c>
      <c r="K525" s="84">
        <v>3.0</v>
      </c>
      <c r="L525" s="84">
        <v>0.0</v>
      </c>
      <c r="M525" s="84">
        <v>0.0</v>
      </c>
      <c r="N525" s="84">
        <v>0.0</v>
      </c>
      <c r="O525" s="84">
        <v>0.0</v>
      </c>
      <c r="P525" s="84">
        <v>0.0</v>
      </c>
      <c r="Q525" s="84">
        <v>0.0</v>
      </c>
      <c r="R525" s="84">
        <v>0.0</v>
      </c>
      <c r="S525" s="84">
        <v>0.0</v>
      </c>
      <c r="T525" s="84">
        <v>0.0</v>
      </c>
      <c r="U525" s="84">
        <v>0.0</v>
      </c>
      <c r="V525" s="84">
        <v>0.0</v>
      </c>
      <c r="W525" s="84">
        <v>0.0</v>
      </c>
      <c r="X525" s="84">
        <v>0.0</v>
      </c>
      <c r="Y525" s="84">
        <v>0.0</v>
      </c>
      <c r="Z525" s="84">
        <v>0.0</v>
      </c>
      <c r="AA525" s="84">
        <v>0.0</v>
      </c>
      <c r="AB525" s="84">
        <v>0.0</v>
      </c>
      <c r="AC525" s="91">
        <v>0.0</v>
      </c>
      <c r="AD525" s="84">
        <v>0.0</v>
      </c>
      <c r="AE525" s="84">
        <v>0.0</v>
      </c>
      <c r="AF525" s="84">
        <v>0.0</v>
      </c>
      <c r="AG525" s="84">
        <v>0.0</v>
      </c>
      <c r="AH525" s="84">
        <v>0.0</v>
      </c>
      <c r="AI525" s="84">
        <v>0.0</v>
      </c>
      <c r="AJ525" s="84">
        <v>0.0</v>
      </c>
      <c r="AK525" s="84">
        <v>0.0</v>
      </c>
      <c r="AL525" s="84">
        <v>0.0</v>
      </c>
      <c r="AM525" s="84">
        <v>0.0</v>
      </c>
      <c r="AN525" s="93">
        <f t="shared" si="1"/>
        <v>0</v>
      </c>
      <c r="AO525" s="84">
        <f t="shared" si="2"/>
        <v>0</v>
      </c>
    </row>
    <row r="526" ht="12.75" customHeight="1">
      <c r="A526" s="84" t="s">
        <v>2804</v>
      </c>
      <c r="B526" s="84">
        <v>2.0</v>
      </c>
      <c r="C526" s="84">
        <v>0.0</v>
      </c>
      <c r="D526" s="84">
        <v>0.0</v>
      </c>
      <c r="E526" s="84">
        <v>0.0</v>
      </c>
      <c r="F526" s="84">
        <v>0.0</v>
      </c>
      <c r="G526" s="84">
        <v>0.0</v>
      </c>
      <c r="H526" s="84">
        <v>0.0</v>
      </c>
      <c r="I526" s="91">
        <v>0.0</v>
      </c>
      <c r="J526" s="84">
        <v>0.0</v>
      </c>
      <c r="K526" s="84">
        <v>0.0</v>
      </c>
      <c r="L526" s="84">
        <v>0.0</v>
      </c>
      <c r="M526" s="84">
        <v>0.0</v>
      </c>
      <c r="N526" s="84">
        <v>0.0</v>
      </c>
      <c r="O526" s="84">
        <v>0.0</v>
      </c>
      <c r="P526" s="84">
        <v>0.0</v>
      </c>
      <c r="Q526" s="84">
        <v>0.0</v>
      </c>
      <c r="R526" s="84">
        <v>0.0</v>
      </c>
      <c r="S526" s="84">
        <v>0.0</v>
      </c>
      <c r="T526" s="84">
        <v>0.0</v>
      </c>
      <c r="U526" s="84">
        <v>0.0</v>
      </c>
      <c r="V526" s="84">
        <v>2.0</v>
      </c>
      <c r="W526" s="84">
        <v>1.0</v>
      </c>
      <c r="X526" s="84">
        <v>0.0</v>
      </c>
      <c r="Y526" s="84">
        <v>0.0</v>
      </c>
      <c r="Z526" s="84">
        <v>0.0</v>
      </c>
      <c r="AA526" s="84">
        <v>0.0</v>
      </c>
      <c r="AB526" s="84">
        <v>0.0</v>
      </c>
      <c r="AC526" s="91">
        <v>0.0</v>
      </c>
      <c r="AD526" s="84">
        <v>0.0</v>
      </c>
      <c r="AE526" s="84">
        <v>0.0</v>
      </c>
      <c r="AF526" s="84">
        <v>0.0</v>
      </c>
      <c r="AG526" s="84">
        <v>0.0</v>
      </c>
      <c r="AH526" s="84">
        <v>0.0</v>
      </c>
      <c r="AI526" s="84">
        <v>0.0</v>
      </c>
      <c r="AJ526" s="84">
        <v>0.0</v>
      </c>
      <c r="AK526" s="84">
        <v>0.0</v>
      </c>
      <c r="AL526" s="84">
        <v>0.0</v>
      </c>
      <c r="AM526" s="84">
        <v>0.0</v>
      </c>
      <c r="AN526" s="93">
        <f t="shared" si="1"/>
        <v>0</v>
      </c>
      <c r="AO526" s="84">
        <f t="shared" si="2"/>
        <v>0</v>
      </c>
    </row>
    <row r="527" ht="12.75" customHeight="1">
      <c r="A527" s="84" t="s">
        <v>2919</v>
      </c>
      <c r="B527" s="84">
        <v>2.0</v>
      </c>
      <c r="C527" s="84">
        <v>1.0</v>
      </c>
      <c r="D527" s="84">
        <v>0.0</v>
      </c>
      <c r="E527" s="84">
        <v>0.0</v>
      </c>
      <c r="F527" s="84">
        <v>0.0</v>
      </c>
      <c r="G527" s="84">
        <v>0.0</v>
      </c>
      <c r="H527" s="84">
        <v>0.0</v>
      </c>
      <c r="I527" s="91">
        <v>0.0</v>
      </c>
      <c r="J527" s="84">
        <v>0.0</v>
      </c>
      <c r="K527" s="84">
        <v>0.0</v>
      </c>
      <c r="L527" s="84">
        <v>0.0</v>
      </c>
      <c r="M527" s="84">
        <v>0.0</v>
      </c>
      <c r="N527" s="84">
        <v>0.0</v>
      </c>
      <c r="O527" s="84">
        <v>0.0</v>
      </c>
      <c r="P527" s="84">
        <v>0.0</v>
      </c>
      <c r="Q527" s="84">
        <v>0.0</v>
      </c>
      <c r="R527" s="84">
        <v>0.0</v>
      </c>
      <c r="S527" s="84">
        <v>0.0</v>
      </c>
      <c r="T527" s="84">
        <v>0.0</v>
      </c>
      <c r="U527" s="84">
        <v>0.0</v>
      </c>
      <c r="V527" s="84">
        <v>2.0</v>
      </c>
      <c r="W527" s="84">
        <v>0.0</v>
      </c>
      <c r="X527" s="84">
        <v>0.0</v>
      </c>
      <c r="Y527" s="84">
        <v>0.0</v>
      </c>
      <c r="Z527" s="84">
        <v>0.0</v>
      </c>
      <c r="AA527" s="84">
        <v>0.0</v>
      </c>
      <c r="AB527" s="84">
        <v>0.0</v>
      </c>
      <c r="AC527" s="91">
        <v>0.0</v>
      </c>
      <c r="AD527" s="84">
        <v>0.0</v>
      </c>
      <c r="AE527" s="84">
        <v>0.0</v>
      </c>
      <c r="AF527" s="84">
        <v>0.0</v>
      </c>
      <c r="AG527" s="84">
        <v>0.0</v>
      </c>
      <c r="AH527" s="84">
        <v>0.0</v>
      </c>
      <c r="AI527" s="84">
        <v>0.0</v>
      </c>
      <c r="AJ527" s="84">
        <v>0.0</v>
      </c>
      <c r="AK527" s="84">
        <v>0.0</v>
      </c>
      <c r="AL527" s="84">
        <v>0.0</v>
      </c>
      <c r="AM527" s="84">
        <v>0.0</v>
      </c>
      <c r="AN527" s="93">
        <f t="shared" si="1"/>
        <v>0</v>
      </c>
      <c r="AO527" s="84">
        <f t="shared" si="2"/>
        <v>0</v>
      </c>
    </row>
    <row r="528" ht="12.75" customHeight="1">
      <c r="A528" s="84" t="s">
        <v>3897</v>
      </c>
      <c r="B528" s="84">
        <v>0.0</v>
      </c>
      <c r="C528" s="84">
        <v>0.0</v>
      </c>
      <c r="D528" s="84">
        <v>0.0</v>
      </c>
      <c r="E528" s="84">
        <v>0.0</v>
      </c>
      <c r="F528" s="84">
        <v>0.0</v>
      </c>
      <c r="G528" s="84">
        <v>0.0</v>
      </c>
      <c r="H528" s="84">
        <v>4.0</v>
      </c>
      <c r="I528" s="91">
        <v>0.0</v>
      </c>
      <c r="J528" s="84">
        <v>0.0</v>
      </c>
      <c r="K528" s="84">
        <v>0.0</v>
      </c>
      <c r="L528" s="84">
        <v>0.0</v>
      </c>
      <c r="M528" s="84">
        <v>0.0</v>
      </c>
      <c r="N528" s="84">
        <v>0.0</v>
      </c>
      <c r="O528" s="84">
        <v>0.0</v>
      </c>
      <c r="P528" s="84">
        <v>0.0</v>
      </c>
      <c r="Q528" s="84">
        <v>0.0</v>
      </c>
      <c r="R528" s="84">
        <v>0.0</v>
      </c>
      <c r="S528" s="84">
        <v>0.0</v>
      </c>
      <c r="T528" s="84">
        <v>0.0</v>
      </c>
      <c r="U528" s="84">
        <v>0.0</v>
      </c>
      <c r="V528" s="84">
        <v>0.0</v>
      </c>
      <c r="W528" s="84">
        <v>0.0</v>
      </c>
      <c r="X528" s="84">
        <v>0.0</v>
      </c>
      <c r="Y528" s="84">
        <v>0.0</v>
      </c>
      <c r="Z528" s="84">
        <v>0.0</v>
      </c>
      <c r="AA528" s="84">
        <v>0.0</v>
      </c>
      <c r="AB528" s="84">
        <v>6.0</v>
      </c>
      <c r="AC528" s="91">
        <v>0.0</v>
      </c>
      <c r="AD528" s="84">
        <v>0.0</v>
      </c>
      <c r="AE528" s="84">
        <v>0.0</v>
      </c>
      <c r="AF528" s="84">
        <v>0.0</v>
      </c>
      <c r="AG528" s="84">
        <v>0.0</v>
      </c>
      <c r="AH528" s="84">
        <v>0.0</v>
      </c>
      <c r="AI528" s="84">
        <v>0.0</v>
      </c>
      <c r="AJ528" s="84">
        <v>0.0</v>
      </c>
      <c r="AK528" s="84">
        <v>0.0</v>
      </c>
      <c r="AL528" s="84">
        <v>0.0</v>
      </c>
      <c r="AM528" s="84">
        <v>0.0</v>
      </c>
      <c r="AN528" s="93">
        <f t="shared" si="1"/>
        <v>0</v>
      </c>
      <c r="AO528" s="84">
        <f t="shared" si="2"/>
        <v>0</v>
      </c>
    </row>
    <row r="529" ht="12.75" customHeight="1">
      <c r="A529" s="84" t="s">
        <v>4664</v>
      </c>
      <c r="B529" s="84">
        <v>0.0</v>
      </c>
      <c r="C529" s="84">
        <v>0.0</v>
      </c>
      <c r="D529" s="84">
        <v>0.0</v>
      </c>
      <c r="E529" s="84">
        <v>0.0</v>
      </c>
      <c r="F529" s="84">
        <v>0.0</v>
      </c>
      <c r="G529" s="84">
        <v>0.0</v>
      </c>
      <c r="H529" s="84">
        <v>0.0</v>
      </c>
      <c r="I529" s="91">
        <v>0.0</v>
      </c>
      <c r="J529" s="84">
        <v>0.0</v>
      </c>
      <c r="K529" s="84">
        <v>0.0</v>
      </c>
      <c r="L529" s="84">
        <v>0.0</v>
      </c>
      <c r="M529" s="84">
        <v>0.0</v>
      </c>
      <c r="N529" s="84">
        <v>0.0</v>
      </c>
      <c r="O529" s="84">
        <v>0.0</v>
      </c>
      <c r="P529" s="84">
        <v>0.0</v>
      </c>
      <c r="Q529" s="84">
        <v>0.0</v>
      </c>
      <c r="R529" s="84">
        <v>0.0</v>
      </c>
      <c r="S529" s="84">
        <v>0.0</v>
      </c>
      <c r="T529" s="84">
        <v>0.0</v>
      </c>
      <c r="U529" s="84">
        <v>0.0</v>
      </c>
      <c r="V529" s="84">
        <v>0.0</v>
      </c>
      <c r="W529" s="84">
        <v>0.0</v>
      </c>
      <c r="X529" s="84">
        <v>0.0</v>
      </c>
      <c r="Y529" s="84">
        <v>0.0</v>
      </c>
      <c r="Z529" s="84">
        <v>0.0</v>
      </c>
      <c r="AA529" s="84">
        <v>0.0</v>
      </c>
      <c r="AB529" s="84">
        <v>0.0</v>
      </c>
      <c r="AC529" s="91">
        <v>0.0</v>
      </c>
      <c r="AD529" s="84">
        <v>0.0</v>
      </c>
      <c r="AE529" s="84">
        <v>0.0</v>
      </c>
      <c r="AF529" s="84">
        <v>0.0</v>
      </c>
      <c r="AG529" s="84">
        <v>0.0</v>
      </c>
      <c r="AH529" s="84">
        <v>0.0</v>
      </c>
      <c r="AI529" s="84">
        <v>0.0</v>
      </c>
      <c r="AJ529" s="84">
        <v>0.0</v>
      </c>
      <c r="AK529" s="84">
        <v>0.0</v>
      </c>
      <c r="AL529" s="84">
        <v>1.0</v>
      </c>
      <c r="AM529" s="84">
        <v>0.0</v>
      </c>
      <c r="AN529" s="93">
        <f t="shared" si="1"/>
        <v>0</v>
      </c>
      <c r="AO529" s="84">
        <f t="shared" si="2"/>
        <v>1</v>
      </c>
    </row>
    <row r="530" ht="12.75" customHeight="1">
      <c r="A530" s="84" t="s">
        <v>4538</v>
      </c>
      <c r="B530" s="84">
        <v>0.0</v>
      </c>
      <c r="C530" s="84">
        <v>0.0</v>
      </c>
      <c r="D530" s="84">
        <v>0.0</v>
      </c>
      <c r="E530" s="84">
        <v>0.0</v>
      </c>
      <c r="F530" s="84">
        <v>0.0</v>
      </c>
      <c r="G530" s="84">
        <v>0.0</v>
      </c>
      <c r="H530" s="84">
        <v>0.0</v>
      </c>
      <c r="I530" s="91">
        <v>0.0</v>
      </c>
      <c r="J530" s="84">
        <v>0.0</v>
      </c>
      <c r="K530" s="84">
        <v>0.0</v>
      </c>
      <c r="L530" s="84">
        <v>0.0</v>
      </c>
      <c r="M530" s="84">
        <v>0.0</v>
      </c>
      <c r="N530" s="84">
        <v>0.0</v>
      </c>
      <c r="O530" s="84">
        <v>0.0</v>
      </c>
      <c r="P530" s="84">
        <v>0.0</v>
      </c>
      <c r="Q530" s="84">
        <v>0.0</v>
      </c>
      <c r="R530" s="84">
        <v>0.0</v>
      </c>
      <c r="S530" s="84">
        <v>0.0</v>
      </c>
      <c r="T530" s="84">
        <v>0.0</v>
      </c>
      <c r="U530" s="84">
        <v>0.0</v>
      </c>
      <c r="V530" s="84">
        <v>0.0</v>
      </c>
      <c r="W530" s="84">
        <v>0.0</v>
      </c>
      <c r="X530" s="84">
        <v>0.0</v>
      </c>
      <c r="Y530" s="84">
        <v>0.0</v>
      </c>
      <c r="Z530" s="84">
        <v>0.0</v>
      </c>
      <c r="AA530" s="84">
        <v>0.0</v>
      </c>
      <c r="AB530" s="84">
        <v>0.0</v>
      </c>
      <c r="AC530" s="91">
        <v>0.0</v>
      </c>
      <c r="AD530" s="84">
        <v>0.0</v>
      </c>
      <c r="AE530" s="84">
        <v>0.0</v>
      </c>
      <c r="AF530" s="84">
        <v>0.0</v>
      </c>
      <c r="AG530" s="84">
        <v>1.0</v>
      </c>
      <c r="AH530" s="84">
        <v>0.0</v>
      </c>
      <c r="AI530" s="84">
        <v>0.0</v>
      </c>
      <c r="AJ530" s="84">
        <v>0.0</v>
      </c>
      <c r="AK530" s="84">
        <v>0.0</v>
      </c>
      <c r="AL530" s="84">
        <v>0.0</v>
      </c>
      <c r="AM530" s="84">
        <v>0.0</v>
      </c>
      <c r="AN530" s="93">
        <f t="shared" si="1"/>
        <v>0</v>
      </c>
      <c r="AO530" s="84">
        <f t="shared" si="2"/>
        <v>1</v>
      </c>
    </row>
    <row r="531" ht="12.75" customHeight="1">
      <c r="A531" s="84" t="s">
        <v>3299</v>
      </c>
      <c r="B531" s="84">
        <v>0.0</v>
      </c>
      <c r="C531" s="84">
        <v>0.0</v>
      </c>
      <c r="D531" s="84">
        <v>5.0</v>
      </c>
      <c r="E531" s="84">
        <v>1.0</v>
      </c>
      <c r="F531" s="84">
        <v>0.0</v>
      </c>
      <c r="G531" s="84">
        <v>0.0</v>
      </c>
      <c r="H531" s="84">
        <v>0.0</v>
      </c>
      <c r="I531" s="91">
        <v>0.0</v>
      </c>
      <c r="J531" s="84">
        <v>0.0</v>
      </c>
      <c r="K531" s="84">
        <v>0.0</v>
      </c>
      <c r="L531" s="84">
        <v>0.0</v>
      </c>
      <c r="M531" s="84">
        <v>0.0</v>
      </c>
      <c r="N531" s="84">
        <v>0.0</v>
      </c>
      <c r="O531" s="84">
        <v>0.0</v>
      </c>
      <c r="P531" s="84">
        <v>0.0</v>
      </c>
      <c r="Q531" s="84">
        <v>0.0</v>
      </c>
      <c r="R531" s="84">
        <v>0.0</v>
      </c>
      <c r="S531" s="84">
        <v>0.0</v>
      </c>
      <c r="T531" s="84">
        <v>0.0</v>
      </c>
      <c r="U531" s="84">
        <v>0.0</v>
      </c>
      <c r="V531" s="84">
        <v>0.0</v>
      </c>
      <c r="W531" s="84">
        <v>0.0</v>
      </c>
      <c r="X531" s="84">
        <v>6.0</v>
      </c>
      <c r="Y531" s="84">
        <v>1.0</v>
      </c>
      <c r="Z531" s="84">
        <v>0.0</v>
      </c>
      <c r="AA531" s="84">
        <v>0.0</v>
      </c>
      <c r="AB531" s="84">
        <v>0.0</v>
      </c>
      <c r="AC531" s="91">
        <v>0.0</v>
      </c>
      <c r="AD531" s="84">
        <v>0.0</v>
      </c>
      <c r="AE531" s="84">
        <v>0.0</v>
      </c>
      <c r="AF531" s="84">
        <v>0.0</v>
      </c>
      <c r="AG531" s="84">
        <v>0.0</v>
      </c>
      <c r="AH531" s="84">
        <v>0.0</v>
      </c>
      <c r="AI531" s="84">
        <v>0.0</v>
      </c>
      <c r="AJ531" s="84">
        <v>0.0</v>
      </c>
      <c r="AK531" s="84">
        <v>0.0</v>
      </c>
      <c r="AL531" s="84">
        <v>0.0</v>
      </c>
      <c r="AM531" s="84">
        <v>0.0</v>
      </c>
      <c r="AN531" s="93">
        <f t="shared" si="1"/>
        <v>0</v>
      </c>
      <c r="AO531" s="84">
        <f t="shared" si="2"/>
        <v>0</v>
      </c>
    </row>
    <row r="532" ht="12.75" customHeight="1">
      <c r="A532" s="84" t="s">
        <v>2942</v>
      </c>
      <c r="B532" s="84">
        <v>3.0</v>
      </c>
      <c r="C532" s="84">
        <v>2.0</v>
      </c>
      <c r="D532" s="84">
        <v>0.0</v>
      </c>
      <c r="E532" s="84">
        <v>0.0</v>
      </c>
      <c r="F532" s="84">
        <v>0.0</v>
      </c>
      <c r="G532" s="84">
        <v>0.0</v>
      </c>
      <c r="H532" s="84">
        <v>0.0</v>
      </c>
      <c r="I532" s="91">
        <v>0.0</v>
      </c>
      <c r="J532" s="84">
        <v>0.0</v>
      </c>
      <c r="K532" s="84">
        <v>0.0</v>
      </c>
      <c r="L532" s="84">
        <v>0.0</v>
      </c>
      <c r="M532" s="84">
        <v>0.0</v>
      </c>
      <c r="N532" s="84">
        <v>0.0</v>
      </c>
      <c r="O532" s="84">
        <v>0.0</v>
      </c>
      <c r="P532" s="84">
        <v>0.0</v>
      </c>
      <c r="Q532" s="84">
        <v>0.0</v>
      </c>
      <c r="R532" s="84">
        <v>0.0</v>
      </c>
      <c r="S532" s="84">
        <v>0.0</v>
      </c>
      <c r="T532" s="84">
        <v>0.0</v>
      </c>
      <c r="U532" s="84">
        <v>0.0</v>
      </c>
      <c r="V532" s="84">
        <v>2.0</v>
      </c>
      <c r="W532" s="84">
        <v>5.0</v>
      </c>
      <c r="X532" s="84">
        <v>0.0</v>
      </c>
      <c r="Y532" s="84">
        <v>0.0</v>
      </c>
      <c r="Z532" s="84">
        <v>0.0</v>
      </c>
      <c r="AA532" s="84">
        <v>0.0</v>
      </c>
      <c r="AB532" s="84">
        <v>0.0</v>
      </c>
      <c r="AC532" s="91">
        <v>0.0</v>
      </c>
      <c r="AD532" s="84">
        <v>0.0</v>
      </c>
      <c r="AE532" s="84">
        <v>0.0</v>
      </c>
      <c r="AF532" s="84">
        <v>0.0</v>
      </c>
      <c r="AG532" s="84">
        <v>0.0</v>
      </c>
      <c r="AH532" s="84">
        <v>0.0</v>
      </c>
      <c r="AI532" s="84">
        <v>0.0</v>
      </c>
      <c r="AJ532" s="84">
        <v>0.0</v>
      </c>
      <c r="AK532" s="84">
        <v>0.0</v>
      </c>
      <c r="AL532" s="84">
        <v>0.0</v>
      </c>
      <c r="AM532" s="84">
        <v>0.0</v>
      </c>
      <c r="AN532" s="93">
        <f t="shared" si="1"/>
        <v>0</v>
      </c>
      <c r="AO532" s="84">
        <f t="shared" si="2"/>
        <v>0</v>
      </c>
    </row>
    <row r="533" ht="12.75" customHeight="1">
      <c r="A533" s="84" t="s">
        <v>2865</v>
      </c>
      <c r="B533" s="84">
        <v>2.0</v>
      </c>
      <c r="C533" s="84">
        <v>0.0</v>
      </c>
      <c r="D533" s="84">
        <v>0.0</v>
      </c>
      <c r="E533" s="84">
        <v>0.0</v>
      </c>
      <c r="F533" s="84">
        <v>0.0</v>
      </c>
      <c r="G533" s="84">
        <v>0.0</v>
      </c>
      <c r="H533" s="84">
        <v>0.0</v>
      </c>
      <c r="I533" s="91">
        <v>0.0</v>
      </c>
      <c r="J533" s="84">
        <v>0.0</v>
      </c>
      <c r="K533" s="84">
        <v>0.0</v>
      </c>
      <c r="L533" s="84">
        <v>0.0</v>
      </c>
      <c r="M533" s="84">
        <v>0.0</v>
      </c>
      <c r="N533" s="84">
        <v>0.0</v>
      </c>
      <c r="O533" s="84">
        <v>0.0</v>
      </c>
      <c r="P533" s="84">
        <v>0.0</v>
      </c>
      <c r="Q533" s="84">
        <v>0.0</v>
      </c>
      <c r="R533" s="84">
        <v>0.0</v>
      </c>
      <c r="S533" s="84">
        <v>0.0</v>
      </c>
      <c r="T533" s="84">
        <v>0.0</v>
      </c>
      <c r="U533" s="84">
        <v>0.0</v>
      </c>
      <c r="V533" s="84">
        <v>1.0</v>
      </c>
      <c r="W533" s="84">
        <v>0.0</v>
      </c>
      <c r="X533" s="84">
        <v>0.0</v>
      </c>
      <c r="Y533" s="84">
        <v>0.0</v>
      </c>
      <c r="Z533" s="84">
        <v>0.0</v>
      </c>
      <c r="AA533" s="84">
        <v>0.0</v>
      </c>
      <c r="AB533" s="84">
        <v>0.0</v>
      </c>
      <c r="AC533" s="91">
        <v>0.0</v>
      </c>
      <c r="AD533" s="84">
        <v>0.0</v>
      </c>
      <c r="AE533" s="84">
        <v>0.0</v>
      </c>
      <c r="AF533" s="84">
        <v>0.0</v>
      </c>
      <c r="AG533" s="84">
        <v>0.0</v>
      </c>
      <c r="AH533" s="84">
        <v>0.0</v>
      </c>
      <c r="AI533" s="84">
        <v>0.0</v>
      </c>
      <c r="AJ533" s="84">
        <v>0.0</v>
      </c>
      <c r="AK533" s="84">
        <v>0.0</v>
      </c>
      <c r="AL533" s="84">
        <v>0.0</v>
      </c>
      <c r="AM533" s="84">
        <v>0.0</v>
      </c>
      <c r="AN533" s="93">
        <f t="shared" si="1"/>
        <v>0</v>
      </c>
      <c r="AO533" s="84">
        <f t="shared" si="2"/>
        <v>0</v>
      </c>
    </row>
    <row r="534" ht="12.75" customHeight="1">
      <c r="A534" s="84" t="s">
        <v>2597</v>
      </c>
      <c r="B534" s="84">
        <v>2.0</v>
      </c>
      <c r="C534" s="84">
        <v>1.0</v>
      </c>
      <c r="D534" s="84">
        <v>0.0</v>
      </c>
      <c r="E534" s="84">
        <v>0.0</v>
      </c>
      <c r="F534" s="84">
        <v>0.0</v>
      </c>
      <c r="G534" s="84">
        <v>0.0</v>
      </c>
      <c r="H534" s="84">
        <v>0.0</v>
      </c>
      <c r="I534" s="91">
        <v>0.0</v>
      </c>
      <c r="J534" s="84">
        <v>0.0</v>
      </c>
      <c r="K534" s="84">
        <v>0.0</v>
      </c>
      <c r="L534" s="84">
        <v>0.0</v>
      </c>
      <c r="M534" s="84">
        <v>0.0</v>
      </c>
      <c r="N534" s="84">
        <v>0.0</v>
      </c>
      <c r="O534" s="84">
        <v>0.0</v>
      </c>
      <c r="P534" s="84">
        <v>0.0</v>
      </c>
      <c r="Q534" s="84">
        <v>0.0</v>
      </c>
      <c r="R534" s="84">
        <v>0.0</v>
      </c>
      <c r="S534" s="84">
        <v>0.0</v>
      </c>
      <c r="T534" s="84">
        <v>0.0</v>
      </c>
      <c r="U534" s="84">
        <v>0.0</v>
      </c>
      <c r="V534" s="84">
        <v>2.0</v>
      </c>
      <c r="W534" s="84">
        <v>1.0</v>
      </c>
      <c r="X534" s="84">
        <v>0.0</v>
      </c>
      <c r="Y534" s="84">
        <v>0.0</v>
      </c>
      <c r="Z534" s="84">
        <v>0.0</v>
      </c>
      <c r="AA534" s="84">
        <v>0.0</v>
      </c>
      <c r="AB534" s="84">
        <v>0.0</v>
      </c>
      <c r="AC534" s="91">
        <v>0.0</v>
      </c>
      <c r="AD534" s="84">
        <v>0.0</v>
      </c>
      <c r="AE534" s="84">
        <v>0.0</v>
      </c>
      <c r="AF534" s="84">
        <v>0.0</v>
      </c>
      <c r="AG534" s="84">
        <v>0.0</v>
      </c>
      <c r="AH534" s="84">
        <v>0.0</v>
      </c>
      <c r="AI534" s="84">
        <v>0.0</v>
      </c>
      <c r="AJ534" s="84">
        <v>0.0</v>
      </c>
      <c r="AK534" s="84">
        <v>0.0</v>
      </c>
      <c r="AL534" s="84">
        <v>0.0</v>
      </c>
      <c r="AM534" s="84">
        <v>0.0</v>
      </c>
      <c r="AN534" s="93">
        <f t="shared" si="1"/>
        <v>0</v>
      </c>
      <c r="AO534" s="84">
        <f t="shared" si="2"/>
        <v>0</v>
      </c>
    </row>
    <row r="535" ht="12.75" customHeight="1">
      <c r="A535" s="84" t="s">
        <v>3170</v>
      </c>
      <c r="B535" s="84">
        <v>0.0</v>
      </c>
      <c r="C535" s="84">
        <v>4.0</v>
      </c>
      <c r="D535" s="84">
        <v>1.0</v>
      </c>
      <c r="E535" s="84">
        <v>0.0</v>
      </c>
      <c r="F535" s="84">
        <v>0.0</v>
      </c>
      <c r="G535" s="84">
        <v>0.0</v>
      </c>
      <c r="H535" s="84">
        <v>0.0</v>
      </c>
      <c r="I535" s="91">
        <v>0.0</v>
      </c>
      <c r="J535" s="84">
        <v>0.0</v>
      </c>
      <c r="K535" s="84">
        <v>0.0</v>
      </c>
      <c r="L535" s="84">
        <v>0.0</v>
      </c>
      <c r="M535" s="84">
        <v>0.0</v>
      </c>
      <c r="N535" s="84">
        <v>0.0</v>
      </c>
      <c r="O535" s="84">
        <v>0.0</v>
      </c>
      <c r="P535" s="84">
        <v>0.0</v>
      </c>
      <c r="Q535" s="84">
        <v>0.0</v>
      </c>
      <c r="R535" s="84">
        <v>0.0</v>
      </c>
      <c r="S535" s="84">
        <v>0.0</v>
      </c>
      <c r="T535" s="84">
        <v>0.0</v>
      </c>
      <c r="U535" s="84">
        <v>0.0</v>
      </c>
      <c r="V535" s="84">
        <v>0.0</v>
      </c>
      <c r="W535" s="84">
        <v>3.0</v>
      </c>
      <c r="X535" s="84">
        <v>1.0</v>
      </c>
      <c r="Y535" s="84">
        <v>0.0</v>
      </c>
      <c r="Z535" s="84">
        <v>0.0</v>
      </c>
      <c r="AA535" s="84">
        <v>0.0</v>
      </c>
      <c r="AB535" s="84">
        <v>0.0</v>
      </c>
      <c r="AC535" s="91">
        <v>0.0</v>
      </c>
      <c r="AD535" s="84">
        <v>0.0</v>
      </c>
      <c r="AE535" s="84">
        <v>0.0</v>
      </c>
      <c r="AF535" s="84">
        <v>0.0</v>
      </c>
      <c r="AG535" s="84">
        <v>0.0</v>
      </c>
      <c r="AH535" s="84">
        <v>0.0</v>
      </c>
      <c r="AI535" s="84">
        <v>0.0</v>
      </c>
      <c r="AJ535" s="84">
        <v>0.0</v>
      </c>
      <c r="AK535" s="84">
        <v>0.0</v>
      </c>
      <c r="AL535" s="84">
        <v>0.0</v>
      </c>
      <c r="AM535" s="84">
        <v>0.0</v>
      </c>
      <c r="AN535" s="93">
        <f t="shared" si="1"/>
        <v>0</v>
      </c>
      <c r="AO535" s="84">
        <f t="shared" si="2"/>
        <v>0</v>
      </c>
    </row>
    <row r="536" ht="12.75" customHeight="1">
      <c r="A536" s="84" t="s">
        <v>3006</v>
      </c>
      <c r="B536" s="84">
        <v>4.0</v>
      </c>
      <c r="C536" s="84">
        <v>0.0</v>
      </c>
      <c r="D536" s="84">
        <v>0.0</v>
      </c>
      <c r="E536" s="84">
        <v>0.0</v>
      </c>
      <c r="F536" s="84">
        <v>0.0</v>
      </c>
      <c r="G536" s="84">
        <v>0.0</v>
      </c>
      <c r="H536" s="84">
        <v>0.0</v>
      </c>
      <c r="I536" s="91">
        <v>0.0</v>
      </c>
      <c r="J536" s="84">
        <v>0.0</v>
      </c>
      <c r="K536" s="84">
        <v>0.0</v>
      </c>
      <c r="L536" s="84">
        <v>0.0</v>
      </c>
      <c r="M536" s="84">
        <v>0.0</v>
      </c>
      <c r="N536" s="84">
        <v>0.0</v>
      </c>
      <c r="O536" s="84">
        <v>0.0</v>
      </c>
      <c r="P536" s="84">
        <v>0.0</v>
      </c>
      <c r="Q536" s="84">
        <v>0.0</v>
      </c>
      <c r="R536" s="84">
        <v>0.0</v>
      </c>
      <c r="S536" s="84">
        <v>0.0</v>
      </c>
      <c r="T536" s="84">
        <v>0.0</v>
      </c>
      <c r="U536" s="84">
        <v>0.0</v>
      </c>
      <c r="V536" s="84">
        <v>4.0</v>
      </c>
      <c r="W536" s="84">
        <v>2.0</v>
      </c>
      <c r="X536" s="84">
        <v>0.0</v>
      </c>
      <c r="Y536" s="84">
        <v>0.0</v>
      </c>
      <c r="Z536" s="84">
        <v>0.0</v>
      </c>
      <c r="AA536" s="84">
        <v>0.0</v>
      </c>
      <c r="AB536" s="84">
        <v>0.0</v>
      </c>
      <c r="AC536" s="91">
        <v>0.0</v>
      </c>
      <c r="AD536" s="84">
        <v>0.0</v>
      </c>
      <c r="AE536" s="84">
        <v>0.0</v>
      </c>
      <c r="AF536" s="84">
        <v>0.0</v>
      </c>
      <c r="AG536" s="84">
        <v>0.0</v>
      </c>
      <c r="AH536" s="84">
        <v>0.0</v>
      </c>
      <c r="AI536" s="84">
        <v>0.0</v>
      </c>
      <c r="AJ536" s="84">
        <v>0.0</v>
      </c>
      <c r="AK536" s="84">
        <v>0.0</v>
      </c>
      <c r="AL536" s="84">
        <v>0.0</v>
      </c>
      <c r="AM536" s="84">
        <v>0.0</v>
      </c>
      <c r="AN536" s="93">
        <f t="shared" si="1"/>
        <v>0</v>
      </c>
      <c r="AO536" s="84">
        <f t="shared" si="2"/>
        <v>0</v>
      </c>
    </row>
    <row r="537" ht="12.75" customHeight="1">
      <c r="A537" s="84" t="s">
        <v>3671</v>
      </c>
      <c r="B537" s="84">
        <v>0.0</v>
      </c>
      <c r="C537" s="84">
        <v>0.0</v>
      </c>
      <c r="D537" s="84">
        <v>0.0</v>
      </c>
      <c r="E537" s="84">
        <v>0.0</v>
      </c>
      <c r="F537" s="84">
        <v>4.0</v>
      </c>
      <c r="G537" s="84">
        <v>1.0</v>
      </c>
      <c r="H537" s="84">
        <v>0.0</v>
      </c>
      <c r="I537" s="91">
        <v>0.0</v>
      </c>
      <c r="J537" s="84">
        <v>0.0</v>
      </c>
      <c r="K537" s="84">
        <v>0.0</v>
      </c>
      <c r="L537" s="84">
        <v>0.0</v>
      </c>
      <c r="M537" s="84">
        <v>0.0</v>
      </c>
      <c r="N537" s="84">
        <v>0.0</v>
      </c>
      <c r="O537" s="84">
        <v>0.0</v>
      </c>
      <c r="P537" s="84">
        <v>0.0</v>
      </c>
      <c r="Q537" s="84">
        <v>0.0</v>
      </c>
      <c r="R537" s="84">
        <v>0.0</v>
      </c>
      <c r="S537" s="84">
        <v>0.0</v>
      </c>
      <c r="T537" s="84">
        <v>0.0</v>
      </c>
      <c r="U537" s="84">
        <v>0.0</v>
      </c>
      <c r="V537" s="84">
        <v>0.0</v>
      </c>
      <c r="W537" s="84">
        <v>0.0</v>
      </c>
      <c r="X537" s="84">
        <v>0.0</v>
      </c>
      <c r="Y537" s="84">
        <v>0.0</v>
      </c>
      <c r="Z537" s="84">
        <v>6.0</v>
      </c>
      <c r="AA537" s="84">
        <v>2.0</v>
      </c>
      <c r="AB537" s="84">
        <v>0.0</v>
      </c>
      <c r="AC537" s="91">
        <v>0.0</v>
      </c>
      <c r="AD537" s="84">
        <v>0.0</v>
      </c>
      <c r="AE537" s="84">
        <v>0.0</v>
      </c>
      <c r="AF537" s="84">
        <v>0.0</v>
      </c>
      <c r="AG537" s="84">
        <v>0.0</v>
      </c>
      <c r="AH537" s="84">
        <v>0.0</v>
      </c>
      <c r="AI537" s="84">
        <v>0.0</v>
      </c>
      <c r="AJ537" s="84">
        <v>0.0</v>
      </c>
      <c r="AK537" s="84">
        <v>0.0</v>
      </c>
      <c r="AL537" s="84">
        <v>0.0</v>
      </c>
      <c r="AM537" s="84">
        <v>0.0</v>
      </c>
      <c r="AN537" s="93">
        <f t="shared" si="1"/>
        <v>0</v>
      </c>
      <c r="AO537" s="84">
        <f t="shared" si="2"/>
        <v>0</v>
      </c>
    </row>
    <row r="538" ht="12.75" customHeight="1">
      <c r="A538" s="84" t="s">
        <v>3508</v>
      </c>
      <c r="B538" s="84">
        <v>0.0</v>
      </c>
      <c r="C538" s="84">
        <v>0.0</v>
      </c>
      <c r="D538" s="84">
        <v>0.0</v>
      </c>
      <c r="E538" s="84">
        <v>5.0</v>
      </c>
      <c r="F538" s="84">
        <v>2.0</v>
      </c>
      <c r="G538" s="84">
        <v>0.0</v>
      </c>
      <c r="H538" s="84">
        <v>0.0</v>
      </c>
      <c r="I538" s="91">
        <v>0.0</v>
      </c>
      <c r="J538" s="84">
        <v>0.0</v>
      </c>
      <c r="K538" s="84">
        <v>0.0</v>
      </c>
      <c r="L538" s="84">
        <v>0.0</v>
      </c>
      <c r="M538" s="84">
        <v>0.0</v>
      </c>
      <c r="N538" s="84">
        <v>0.0</v>
      </c>
      <c r="O538" s="84">
        <v>0.0</v>
      </c>
      <c r="P538" s="84">
        <v>0.0</v>
      </c>
      <c r="Q538" s="84">
        <v>0.0</v>
      </c>
      <c r="R538" s="84">
        <v>0.0</v>
      </c>
      <c r="S538" s="84">
        <v>0.0</v>
      </c>
      <c r="T538" s="84">
        <v>0.0</v>
      </c>
      <c r="U538" s="84">
        <v>0.0</v>
      </c>
      <c r="V538" s="84">
        <v>0.0</v>
      </c>
      <c r="W538" s="84">
        <v>0.0</v>
      </c>
      <c r="X538" s="84">
        <v>0.0</v>
      </c>
      <c r="Y538" s="84">
        <v>6.0</v>
      </c>
      <c r="Z538" s="84">
        <v>2.0</v>
      </c>
      <c r="AA538" s="84">
        <v>0.0</v>
      </c>
      <c r="AB538" s="84">
        <v>0.0</v>
      </c>
      <c r="AC538" s="91">
        <v>0.0</v>
      </c>
      <c r="AD538" s="84">
        <v>0.0</v>
      </c>
      <c r="AE538" s="84">
        <v>0.0</v>
      </c>
      <c r="AF538" s="84">
        <v>0.0</v>
      </c>
      <c r="AG538" s="84">
        <v>0.0</v>
      </c>
      <c r="AH538" s="84">
        <v>0.0</v>
      </c>
      <c r="AI538" s="84">
        <v>0.0</v>
      </c>
      <c r="AJ538" s="84">
        <v>0.0</v>
      </c>
      <c r="AK538" s="84">
        <v>0.0</v>
      </c>
      <c r="AL538" s="84">
        <v>0.0</v>
      </c>
      <c r="AM538" s="84">
        <v>0.0</v>
      </c>
      <c r="AN538" s="93">
        <f t="shared" si="1"/>
        <v>0</v>
      </c>
      <c r="AO538" s="84">
        <f t="shared" si="2"/>
        <v>0</v>
      </c>
    </row>
    <row r="539" ht="12.75" customHeight="1">
      <c r="A539" s="84" t="s">
        <v>2926</v>
      </c>
      <c r="B539" s="84">
        <v>2.0</v>
      </c>
      <c r="C539" s="84">
        <v>0.0</v>
      </c>
      <c r="D539" s="84">
        <v>0.0</v>
      </c>
      <c r="E539" s="84">
        <v>0.0</v>
      </c>
      <c r="F539" s="84">
        <v>0.0</v>
      </c>
      <c r="G539" s="84">
        <v>0.0</v>
      </c>
      <c r="H539" s="84">
        <v>0.0</v>
      </c>
      <c r="I539" s="91">
        <v>0.0</v>
      </c>
      <c r="J539" s="84">
        <v>0.0</v>
      </c>
      <c r="K539" s="84">
        <v>0.0</v>
      </c>
      <c r="L539" s="84">
        <v>0.0</v>
      </c>
      <c r="M539" s="84">
        <v>0.0</v>
      </c>
      <c r="N539" s="84">
        <v>0.0</v>
      </c>
      <c r="O539" s="84">
        <v>0.0</v>
      </c>
      <c r="P539" s="84">
        <v>0.0</v>
      </c>
      <c r="Q539" s="84">
        <v>0.0</v>
      </c>
      <c r="R539" s="84">
        <v>0.0</v>
      </c>
      <c r="S539" s="84">
        <v>0.0</v>
      </c>
      <c r="T539" s="84">
        <v>0.0</v>
      </c>
      <c r="U539" s="84">
        <v>0.0</v>
      </c>
      <c r="V539" s="84">
        <v>1.0</v>
      </c>
      <c r="W539" s="84">
        <v>3.0</v>
      </c>
      <c r="X539" s="84">
        <v>0.0</v>
      </c>
      <c r="Y539" s="84">
        <v>0.0</v>
      </c>
      <c r="Z539" s="84">
        <v>0.0</v>
      </c>
      <c r="AA539" s="84">
        <v>0.0</v>
      </c>
      <c r="AB539" s="84">
        <v>0.0</v>
      </c>
      <c r="AC539" s="91">
        <v>0.0</v>
      </c>
      <c r="AD539" s="84">
        <v>0.0</v>
      </c>
      <c r="AE539" s="84">
        <v>0.0</v>
      </c>
      <c r="AF539" s="84">
        <v>0.0</v>
      </c>
      <c r="AG539" s="84">
        <v>0.0</v>
      </c>
      <c r="AH539" s="84">
        <v>0.0</v>
      </c>
      <c r="AI539" s="84">
        <v>0.0</v>
      </c>
      <c r="AJ539" s="84">
        <v>0.0</v>
      </c>
      <c r="AK539" s="84">
        <v>0.0</v>
      </c>
      <c r="AL539" s="84">
        <v>0.0</v>
      </c>
      <c r="AM539" s="84">
        <v>0.0</v>
      </c>
      <c r="AN539" s="93">
        <f t="shared" si="1"/>
        <v>0</v>
      </c>
      <c r="AO539" s="84">
        <f t="shared" si="2"/>
        <v>0</v>
      </c>
    </row>
    <row r="540" ht="12.75" customHeight="1">
      <c r="A540" s="84" t="s">
        <v>2838</v>
      </c>
      <c r="B540" s="84">
        <v>2.0</v>
      </c>
      <c r="C540" s="84">
        <v>1.0</v>
      </c>
      <c r="D540" s="84">
        <v>0.0</v>
      </c>
      <c r="E540" s="84">
        <v>0.0</v>
      </c>
      <c r="F540" s="84">
        <v>0.0</v>
      </c>
      <c r="G540" s="84">
        <v>0.0</v>
      </c>
      <c r="H540" s="84">
        <v>0.0</v>
      </c>
      <c r="I540" s="91">
        <v>0.0</v>
      </c>
      <c r="J540" s="84">
        <v>0.0</v>
      </c>
      <c r="K540" s="84">
        <v>0.0</v>
      </c>
      <c r="L540" s="84">
        <v>0.0</v>
      </c>
      <c r="M540" s="84">
        <v>0.0</v>
      </c>
      <c r="N540" s="84">
        <v>0.0</v>
      </c>
      <c r="O540" s="84">
        <v>0.0</v>
      </c>
      <c r="P540" s="84">
        <v>0.0</v>
      </c>
      <c r="Q540" s="84">
        <v>0.0</v>
      </c>
      <c r="R540" s="84">
        <v>0.0</v>
      </c>
      <c r="S540" s="84">
        <v>0.0</v>
      </c>
      <c r="T540" s="84">
        <v>0.0</v>
      </c>
      <c r="U540" s="84">
        <v>0.0</v>
      </c>
      <c r="V540" s="84">
        <v>2.0</v>
      </c>
      <c r="W540" s="84">
        <v>0.0</v>
      </c>
      <c r="X540" s="84">
        <v>0.0</v>
      </c>
      <c r="Y540" s="84">
        <v>0.0</v>
      </c>
      <c r="Z540" s="84">
        <v>0.0</v>
      </c>
      <c r="AA540" s="84">
        <v>0.0</v>
      </c>
      <c r="AB540" s="84">
        <v>0.0</v>
      </c>
      <c r="AC540" s="91">
        <v>0.0</v>
      </c>
      <c r="AD540" s="84">
        <v>0.0</v>
      </c>
      <c r="AE540" s="84">
        <v>0.0</v>
      </c>
      <c r="AF540" s="84">
        <v>0.0</v>
      </c>
      <c r="AG540" s="84">
        <v>0.0</v>
      </c>
      <c r="AH540" s="84">
        <v>0.0</v>
      </c>
      <c r="AI540" s="84">
        <v>0.0</v>
      </c>
      <c r="AJ540" s="84">
        <v>0.0</v>
      </c>
      <c r="AK540" s="84">
        <v>0.0</v>
      </c>
      <c r="AL540" s="84">
        <v>0.0</v>
      </c>
      <c r="AM540" s="84">
        <v>0.0</v>
      </c>
      <c r="AN540" s="93">
        <f t="shared" si="1"/>
        <v>0</v>
      </c>
      <c r="AO540" s="84">
        <f t="shared" si="2"/>
        <v>0</v>
      </c>
    </row>
    <row r="541" ht="12.75" customHeight="1">
      <c r="A541" s="84" t="s">
        <v>3794</v>
      </c>
      <c r="B541" s="84">
        <v>0.0</v>
      </c>
      <c r="C541" s="84">
        <v>0.0</v>
      </c>
      <c r="D541" s="84">
        <v>0.0</v>
      </c>
      <c r="E541" s="84">
        <v>0.0</v>
      </c>
      <c r="F541" s="84">
        <v>0.0</v>
      </c>
      <c r="G541" s="84">
        <v>5.0</v>
      </c>
      <c r="H541" s="84">
        <v>1.0</v>
      </c>
      <c r="I541" s="91">
        <v>0.0</v>
      </c>
      <c r="J541" s="84">
        <v>0.0</v>
      </c>
      <c r="K541" s="84">
        <v>0.0</v>
      </c>
      <c r="L541" s="84">
        <v>0.0</v>
      </c>
      <c r="M541" s="84">
        <v>0.0</v>
      </c>
      <c r="N541" s="84">
        <v>0.0</v>
      </c>
      <c r="O541" s="84">
        <v>0.0</v>
      </c>
      <c r="P541" s="84">
        <v>0.0</v>
      </c>
      <c r="Q541" s="84">
        <v>0.0</v>
      </c>
      <c r="R541" s="84">
        <v>0.0</v>
      </c>
      <c r="S541" s="84">
        <v>0.0</v>
      </c>
      <c r="T541" s="84">
        <v>0.0</v>
      </c>
      <c r="U541" s="84">
        <v>0.0</v>
      </c>
      <c r="V541" s="84">
        <v>0.0</v>
      </c>
      <c r="W541" s="84">
        <v>0.0</v>
      </c>
      <c r="X541" s="84">
        <v>0.0</v>
      </c>
      <c r="Y541" s="84">
        <v>0.0</v>
      </c>
      <c r="Z541" s="84">
        <v>0.0</v>
      </c>
      <c r="AA541" s="84">
        <v>6.0</v>
      </c>
      <c r="AB541" s="84">
        <v>1.0</v>
      </c>
      <c r="AC541" s="91">
        <v>0.0</v>
      </c>
      <c r="AD541" s="84">
        <v>0.0</v>
      </c>
      <c r="AE541" s="84">
        <v>0.0</v>
      </c>
      <c r="AF541" s="84">
        <v>0.0</v>
      </c>
      <c r="AG541" s="84">
        <v>0.0</v>
      </c>
      <c r="AH541" s="84">
        <v>0.0</v>
      </c>
      <c r="AI541" s="84">
        <v>0.0</v>
      </c>
      <c r="AJ541" s="84">
        <v>0.0</v>
      </c>
      <c r="AK541" s="84">
        <v>0.0</v>
      </c>
      <c r="AL541" s="84">
        <v>0.0</v>
      </c>
      <c r="AM541" s="84">
        <v>0.0</v>
      </c>
      <c r="AN541" s="93">
        <f t="shared" si="1"/>
        <v>0</v>
      </c>
      <c r="AO541" s="84">
        <f t="shared" si="2"/>
        <v>0</v>
      </c>
    </row>
    <row r="542" ht="12.75" customHeight="1">
      <c r="A542" s="84" t="s">
        <v>4615</v>
      </c>
      <c r="B542" s="84">
        <v>0.0</v>
      </c>
      <c r="C542" s="84">
        <v>0.0</v>
      </c>
      <c r="D542" s="84">
        <v>0.0</v>
      </c>
      <c r="E542" s="84">
        <v>0.0</v>
      </c>
      <c r="F542" s="84">
        <v>0.0</v>
      </c>
      <c r="G542" s="84">
        <v>0.0</v>
      </c>
      <c r="H542" s="84">
        <v>0.0</v>
      </c>
      <c r="I542" s="91">
        <v>0.0</v>
      </c>
      <c r="J542" s="84">
        <v>0.0</v>
      </c>
      <c r="K542" s="84">
        <v>0.0</v>
      </c>
      <c r="L542" s="84">
        <v>0.0</v>
      </c>
      <c r="M542" s="84">
        <v>0.0</v>
      </c>
      <c r="N542" s="84">
        <v>0.0</v>
      </c>
      <c r="O542" s="84">
        <v>0.0</v>
      </c>
      <c r="P542" s="84">
        <v>0.0</v>
      </c>
      <c r="Q542" s="84">
        <v>0.0</v>
      </c>
      <c r="R542" s="84">
        <v>0.0</v>
      </c>
      <c r="S542" s="84">
        <v>0.0</v>
      </c>
      <c r="T542" s="84">
        <v>0.0</v>
      </c>
      <c r="U542" s="84">
        <v>0.0</v>
      </c>
      <c r="V542" s="84">
        <v>0.0</v>
      </c>
      <c r="W542" s="84">
        <v>0.0</v>
      </c>
      <c r="X542" s="84">
        <v>0.0</v>
      </c>
      <c r="Y542" s="84">
        <v>0.0</v>
      </c>
      <c r="Z542" s="84">
        <v>0.0</v>
      </c>
      <c r="AA542" s="84">
        <v>0.0</v>
      </c>
      <c r="AB542" s="84">
        <v>0.0</v>
      </c>
      <c r="AC542" s="91">
        <v>0.0</v>
      </c>
      <c r="AD542" s="84">
        <v>0.0</v>
      </c>
      <c r="AE542" s="84">
        <v>0.0</v>
      </c>
      <c r="AF542" s="84">
        <v>0.0</v>
      </c>
      <c r="AG542" s="84">
        <v>0.0</v>
      </c>
      <c r="AH542" s="84">
        <v>0.0</v>
      </c>
      <c r="AI542" s="84">
        <v>0.0</v>
      </c>
      <c r="AJ542" s="84">
        <v>1.0</v>
      </c>
      <c r="AK542" s="84">
        <v>0.0</v>
      </c>
      <c r="AL542" s="84">
        <v>0.0</v>
      </c>
      <c r="AM542" s="84">
        <v>0.0</v>
      </c>
      <c r="AN542" s="93">
        <f t="shared" si="1"/>
        <v>0</v>
      </c>
      <c r="AO542" s="84">
        <f t="shared" si="2"/>
        <v>1</v>
      </c>
    </row>
    <row r="543" ht="12.75" customHeight="1">
      <c r="A543" s="84" t="s">
        <v>3353</v>
      </c>
      <c r="B543" s="84">
        <v>0.0</v>
      </c>
      <c r="C543" s="84">
        <v>0.0</v>
      </c>
      <c r="D543" s="84">
        <v>5.0</v>
      </c>
      <c r="E543" s="84">
        <v>0.0</v>
      </c>
      <c r="F543" s="84">
        <v>0.0</v>
      </c>
      <c r="G543" s="84">
        <v>0.0</v>
      </c>
      <c r="H543" s="84">
        <v>0.0</v>
      </c>
      <c r="I543" s="91">
        <v>0.0</v>
      </c>
      <c r="J543" s="84">
        <v>0.0</v>
      </c>
      <c r="K543" s="84">
        <v>0.0</v>
      </c>
      <c r="L543" s="84">
        <v>0.0</v>
      </c>
      <c r="M543" s="84">
        <v>0.0</v>
      </c>
      <c r="N543" s="84">
        <v>0.0</v>
      </c>
      <c r="O543" s="84">
        <v>0.0</v>
      </c>
      <c r="P543" s="84">
        <v>0.0</v>
      </c>
      <c r="Q543" s="84">
        <v>0.0</v>
      </c>
      <c r="R543" s="84">
        <v>0.0</v>
      </c>
      <c r="S543" s="84">
        <v>0.0</v>
      </c>
      <c r="T543" s="84">
        <v>0.0</v>
      </c>
      <c r="U543" s="84">
        <v>0.0</v>
      </c>
      <c r="V543" s="84">
        <v>0.0</v>
      </c>
      <c r="W543" s="84">
        <v>0.0</v>
      </c>
      <c r="X543" s="84">
        <v>6.0</v>
      </c>
      <c r="Y543" s="84">
        <v>0.0</v>
      </c>
      <c r="Z543" s="84">
        <v>0.0</v>
      </c>
      <c r="AA543" s="84">
        <v>0.0</v>
      </c>
      <c r="AB543" s="84">
        <v>0.0</v>
      </c>
      <c r="AC543" s="91">
        <v>0.0</v>
      </c>
      <c r="AD543" s="84">
        <v>0.0</v>
      </c>
      <c r="AE543" s="84">
        <v>0.0</v>
      </c>
      <c r="AF543" s="84">
        <v>0.0</v>
      </c>
      <c r="AG543" s="84">
        <v>0.0</v>
      </c>
      <c r="AH543" s="84">
        <v>0.0</v>
      </c>
      <c r="AI543" s="84">
        <v>0.0</v>
      </c>
      <c r="AJ543" s="84">
        <v>0.0</v>
      </c>
      <c r="AK543" s="84">
        <v>0.0</v>
      </c>
      <c r="AL543" s="84">
        <v>0.0</v>
      </c>
      <c r="AM543" s="84">
        <v>0.0</v>
      </c>
      <c r="AN543" s="93">
        <f t="shared" si="1"/>
        <v>0</v>
      </c>
      <c r="AO543" s="84">
        <f t="shared" si="2"/>
        <v>0</v>
      </c>
    </row>
    <row r="544" ht="12.75" customHeight="1">
      <c r="A544" s="84" t="s">
        <v>4498</v>
      </c>
      <c r="B544" s="84">
        <v>0.0</v>
      </c>
      <c r="C544" s="84">
        <v>0.0</v>
      </c>
      <c r="D544" s="84">
        <v>0.0</v>
      </c>
      <c r="E544" s="84">
        <v>0.0</v>
      </c>
      <c r="F544" s="84">
        <v>0.0</v>
      </c>
      <c r="G544" s="84">
        <v>0.0</v>
      </c>
      <c r="H544" s="84">
        <v>0.0</v>
      </c>
      <c r="I544" s="91">
        <v>0.0</v>
      </c>
      <c r="J544" s="84">
        <v>0.0</v>
      </c>
      <c r="K544" s="84">
        <v>0.0</v>
      </c>
      <c r="L544" s="84">
        <v>0.0</v>
      </c>
      <c r="M544" s="84">
        <v>0.0</v>
      </c>
      <c r="N544" s="84">
        <v>1.0</v>
      </c>
      <c r="O544" s="84">
        <v>0.0</v>
      </c>
      <c r="P544" s="84">
        <v>0.0</v>
      </c>
      <c r="Q544" s="84">
        <v>0.0</v>
      </c>
      <c r="R544" s="84">
        <v>0.0</v>
      </c>
      <c r="S544" s="84">
        <v>0.0</v>
      </c>
      <c r="T544" s="84">
        <v>0.0</v>
      </c>
      <c r="U544" s="84">
        <v>0.0</v>
      </c>
      <c r="V544" s="84">
        <v>0.0</v>
      </c>
      <c r="W544" s="84">
        <v>0.0</v>
      </c>
      <c r="X544" s="84">
        <v>0.0</v>
      </c>
      <c r="Y544" s="84">
        <v>0.0</v>
      </c>
      <c r="Z544" s="84">
        <v>0.0</v>
      </c>
      <c r="AA544" s="84">
        <v>0.0</v>
      </c>
      <c r="AB544" s="84">
        <v>0.0</v>
      </c>
      <c r="AC544" s="91">
        <v>0.0</v>
      </c>
      <c r="AD544" s="84">
        <v>0.0</v>
      </c>
      <c r="AE544" s="84">
        <v>0.0</v>
      </c>
      <c r="AF544" s="84">
        <v>0.0</v>
      </c>
      <c r="AG544" s="84">
        <v>0.0</v>
      </c>
      <c r="AH544" s="84">
        <v>0.0</v>
      </c>
      <c r="AI544" s="84">
        <v>0.0</v>
      </c>
      <c r="AJ544" s="84">
        <v>0.0</v>
      </c>
      <c r="AK544" s="84">
        <v>0.0</v>
      </c>
      <c r="AL544" s="84">
        <v>0.0</v>
      </c>
      <c r="AM544" s="84">
        <v>0.0</v>
      </c>
      <c r="AN544" s="93">
        <f t="shared" si="1"/>
        <v>0</v>
      </c>
      <c r="AO544" s="84">
        <f t="shared" si="2"/>
        <v>1</v>
      </c>
    </row>
    <row r="545" ht="12.75" customHeight="1">
      <c r="A545" s="84" t="s">
        <v>3437</v>
      </c>
      <c r="B545" s="84">
        <v>0.0</v>
      </c>
      <c r="C545" s="84">
        <v>0.0</v>
      </c>
      <c r="D545" s="84">
        <v>0.0</v>
      </c>
      <c r="E545" s="84">
        <v>0.0</v>
      </c>
      <c r="F545" s="84">
        <v>0.0</v>
      </c>
      <c r="G545" s="84">
        <v>0.0</v>
      </c>
      <c r="H545" s="84">
        <v>0.0</v>
      </c>
      <c r="I545" s="91">
        <v>0.0</v>
      </c>
      <c r="J545" s="84">
        <v>3.0</v>
      </c>
      <c r="K545" s="84">
        <v>0.0</v>
      </c>
      <c r="L545" s="84">
        <v>0.0</v>
      </c>
      <c r="M545" s="84">
        <v>0.0</v>
      </c>
      <c r="N545" s="84">
        <v>0.0</v>
      </c>
      <c r="O545" s="84">
        <v>0.0</v>
      </c>
      <c r="P545" s="84">
        <v>0.0</v>
      </c>
      <c r="Q545" s="84">
        <v>0.0</v>
      </c>
      <c r="R545" s="84">
        <v>0.0</v>
      </c>
      <c r="S545" s="84">
        <v>0.0</v>
      </c>
      <c r="T545" s="84">
        <v>0.0</v>
      </c>
      <c r="U545" s="84">
        <v>0.0</v>
      </c>
      <c r="V545" s="84">
        <v>0.0</v>
      </c>
      <c r="W545" s="84">
        <v>0.0</v>
      </c>
      <c r="X545" s="84">
        <v>0.0</v>
      </c>
      <c r="Y545" s="84">
        <v>0.0</v>
      </c>
      <c r="Z545" s="84">
        <v>0.0</v>
      </c>
      <c r="AA545" s="84">
        <v>0.0</v>
      </c>
      <c r="AB545" s="84">
        <v>0.0</v>
      </c>
      <c r="AC545" s="91">
        <v>0.0</v>
      </c>
      <c r="AD545" s="84">
        <v>0.0</v>
      </c>
      <c r="AE545" s="84">
        <v>0.0</v>
      </c>
      <c r="AF545" s="84">
        <v>0.0</v>
      </c>
      <c r="AG545" s="84">
        <v>0.0</v>
      </c>
      <c r="AH545" s="84">
        <v>0.0</v>
      </c>
      <c r="AI545" s="84">
        <v>0.0</v>
      </c>
      <c r="AJ545" s="84">
        <v>0.0</v>
      </c>
      <c r="AK545" s="84">
        <v>0.0</v>
      </c>
      <c r="AL545" s="84">
        <v>0.0</v>
      </c>
      <c r="AM545" s="84">
        <v>0.0</v>
      </c>
      <c r="AN545" s="93">
        <f t="shared" si="1"/>
        <v>0</v>
      </c>
      <c r="AO545" s="84">
        <f t="shared" si="2"/>
        <v>0</v>
      </c>
    </row>
    <row r="546" ht="12.75" customHeight="1">
      <c r="A546" s="84" t="s">
        <v>3927</v>
      </c>
      <c r="B546" s="84">
        <v>0.0</v>
      </c>
      <c r="C546" s="84">
        <v>0.0</v>
      </c>
      <c r="D546" s="84">
        <v>0.0</v>
      </c>
      <c r="E546" s="84">
        <v>0.0</v>
      </c>
      <c r="F546" s="84">
        <v>0.0</v>
      </c>
      <c r="G546" s="84">
        <v>0.0</v>
      </c>
      <c r="H546" s="84">
        <v>7.0</v>
      </c>
      <c r="I546" s="91">
        <v>0.0</v>
      </c>
      <c r="J546" s="84">
        <v>0.0</v>
      </c>
      <c r="K546" s="84">
        <v>0.0</v>
      </c>
      <c r="L546" s="84">
        <v>0.0</v>
      </c>
      <c r="M546" s="84">
        <v>0.0</v>
      </c>
      <c r="N546" s="84">
        <v>0.0</v>
      </c>
      <c r="O546" s="84">
        <v>0.0</v>
      </c>
      <c r="P546" s="84">
        <v>0.0</v>
      </c>
      <c r="Q546" s="84">
        <v>0.0</v>
      </c>
      <c r="R546" s="84">
        <v>0.0</v>
      </c>
      <c r="S546" s="84">
        <v>0.0</v>
      </c>
      <c r="T546" s="84">
        <v>0.0</v>
      </c>
      <c r="U546" s="84">
        <v>0.0</v>
      </c>
      <c r="V546" s="84">
        <v>0.0</v>
      </c>
      <c r="W546" s="84">
        <v>0.0</v>
      </c>
      <c r="X546" s="84">
        <v>0.0</v>
      </c>
      <c r="Y546" s="84">
        <v>0.0</v>
      </c>
      <c r="Z546" s="84">
        <v>0.0</v>
      </c>
      <c r="AA546" s="84">
        <v>0.0</v>
      </c>
      <c r="AB546" s="84">
        <v>6.0</v>
      </c>
      <c r="AC546" s="91">
        <v>0.0</v>
      </c>
      <c r="AD546" s="84">
        <v>0.0</v>
      </c>
      <c r="AE546" s="84">
        <v>0.0</v>
      </c>
      <c r="AF546" s="84">
        <v>0.0</v>
      </c>
      <c r="AG546" s="84">
        <v>0.0</v>
      </c>
      <c r="AH546" s="84">
        <v>0.0</v>
      </c>
      <c r="AI546" s="84">
        <v>0.0</v>
      </c>
      <c r="AJ546" s="84">
        <v>0.0</v>
      </c>
      <c r="AK546" s="84">
        <v>0.0</v>
      </c>
      <c r="AL546" s="84">
        <v>0.0</v>
      </c>
      <c r="AM546" s="84">
        <v>0.0</v>
      </c>
      <c r="AN546" s="93">
        <f t="shared" si="1"/>
        <v>0</v>
      </c>
      <c r="AO546" s="84">
        <f t="shared" si="2"/>
        <v>0</v>
      </c>
    </row>
    <row r="547" ht="12.75" customHeight="1">
      <c r="A547" s="84" t="s">
        <v>4677</v>
      </c>
      <c r="B547" s="84">
        <v>0.0</v>
      </c>
      <c r="C547" s="84">
        <v>0.0</v>
      </c>
      <c r="D547" s="84">
        <v>0.0</v>
      </c>
      <c r="E547" s="84">
        <v>0.0</v>
      </c>
      <c r="F547" s="84">
        <v>0.0</v>
      </c>
      <c r="G547" s="84">
        <v>0.0</v>
      </c>
      <c r="H547" s="84">
        <v>0.0</v>
      </c>
      <c r="I547" s="91">
        <v>0.0</v>
      </c>
      <c r="J547" s="84">
        <v>0.0</v>
      </c>
      <c r="K547" s="84">
        <v>0.0</v>
      </c>
      <c r="L547" s="84">
        <v>0.0</v>
      </c>
      <c r="M547" s="84">
        <v>0.0</v>
      </c>
      <c r="N547" s="84">
        <v>0.0</v>
      </c>
      <c r="O547" s="84">
        <v>0.0</v>
      </c>
      <c r="P547" s="84">
        <v>0.0</v>
      </c>
      <c r="Q547" s="84">
        <v>0.0</v>
      </c>
      <c r="R547" s="84">
        <v>0.0</v>
      </c>
      <c r="S547" s="84">
        <v>0.0</v>
      </c>
      <c r="T547" s="84">
        <v>0.0</v>
      </c>
      <c r="U547" s="84">
        <v>1.0</v>
      </c>
      <c r="V547" s="84">
        <v>0.0</v>
      </c>
      <c r="W547" s="84">
        <v>0.0</v>
      </c>
      <c r="X547" s="84">
        <v>0.0</v>
      </c>
      <c r="Y547" s="84">
        <v>0.0</v>
      </c>
      <c r="Z547" s="84">
        <v>0.0</v>
      </c>
      <c r="AA547" s="84">
        <v>0.0</v>
      </c>
      <c r="AB547" s="84">
        <v>0.0</v>
      </c>
      <c r="AC547" s="91">
        <v>0.0</v>
      </c>
      <c r="AD547" s="84">
        <v>0.0</v>
      </c>
      <c r="AE547" s="84">
        <v>0.0</v>
      </c>
      <c r="AF547" s="84">
        <v>0.0</v>
      </c>
      <c r="AG547" s="84">
        <v>0.0</v>
      </c>
      <c r="AH547" s="84">
        <v>0.0</v>
      </c>
      <c r="AI547" s="84">
        <v>0.0</v>
      </c>
      <c r="AJ547" s="84">
        <v>0.0</v>
      </c>
      <c r="AK547" s="84">
        <v>0.0</v>
      </c>
      <c r="AL547" s="84">
        <v>0.0</v>
      </c>
      <c r="AM547" s="84">
        <v>0.0</v>
      </c>
      <c r="AN547" s="93">
        <f t="shared" si="1"/>
        <v>0</v>
      </c>
      <c r="AO547" s="84">
        <f t="shared" si="2"/>
        <v>1</v>
      </c>
    </row>
    <row r="548" ht="12.75" customHeight="1">
      <c r="A548" s="84" t="s">
        <v>4554</v>
      </c>
      <c r="B548" s="84">
        <v>0.0</v>
      </c>
      <c r="C548" s="84">
        <v>0.0</v>
      </c>
      <c r="D548" s="84">
        <v>0.0</v>
      </c>
      <c r="E548" s="84">
        <v>0.0</v>
      </c>
      <c r="F548" s="84">
        <v>0.0</v>
      </c>
      <c r="G548" s="84">
        <v>0.0</v>
      </c>
      <c r="H548" s="84">
        <v>0.0</v>
      </c>
      <c r="I548" s="91">
        <v>0.0</v>
      </c>
      <c r="J548" s="84">
        <v>0.0</v>
      </c>
      <c r="K548" s="84">
        <v>0.0</v>
      </c>
      <c r="L548" s="84">
        <v>0.0</v>
      </c>
      <c r="M548" s="84">
        <v>0.0</v>
      </c>
      <c r="N548" s="84">
        <v>0.0</v>
      </c>
      <c r="O548" s="84">
        <v>0.0</v>
      </c>
      <c r="P548" s="84">
        <v>1.0</v>
      </c>
      <c r="Q548" s="84">
        <v>0.0</v>
      </c>
      <c r="R548" s="84">
        <v>0.0</v>
      </c>
      <c r="S548" s="84">
        <v>0.0</v>
      </c>
      <c r="T548" s="84">
        <v>0.0</v>
      </c>
      <c r="U548" s="84">
        <v>0.0</v>
      </c>
      <c r="V548" s="84">
        <v>0.0</v>
      </c>
      <c r="W548" s="84">
        <v>0.0</v>
      </c>
      <c r="X548" s="84">
        <v>0.0</v>
      </c>
      <c r="Y548" s="84">
        <v>0.0</v>
      </c>
      <c r="Z548" s="84">
        <v>0.0</v>
      </c>
      <c r="AA548" s="84">
        <v>0.0</v>
      </c>
      <c r="AB548" s="84">
        <v>0.0</v>
      </c>
      <c r="AC548" s="91">
        <v>0.0</v>
      </c>
      <c r="AD548" s="84">
        <v>0.0</v>
      </c>
      <c r="AE548" s="84">
        <v>0.0</v>
      </c>
      <c r="AF548" s="84">
        <v>0.0</v>
      </c>
      <c r="AG548" s="84">
        <v>0.0</v>
      </c>
      <c r="AH548" s="84">
        <v>0.0</v>
      </c>
      <c r="AI548" s="84">
        <v>0.0</v>
      </c>
      <c r="AJ548" s="84">
        <v>0.0</v>
      </c>
      <c r="AK548" s="84">
        <v>0.0</v>
      </c>
      <c r="AL548" s="84">
        <v>0.0</v>
      </c>
      <c r="AM548" s="84">
        <v>0.0</v>
      </c>
      <c r="AN548" s="93">
        <f t="shared" si="1"/>
        <v>0</v>
      </c>
      <c r="AO548" s="84">
        <f t="shared" si="2"/>
        <v>1</v>
      </c>
    </row>
    <row r="549" ht="12.75" customHeight="1">
      <c r="A549" s="84" t="s">
        <v>4668</v>
      </c>
      <c r="B549" s="84">
        <v>0.0</v>
      </c>
      <c r="C549" s="84">
        <v>0.0</v>
      </c>
      <c r="D549" s="84">
        <v>0.0</v>
      </c>
      <c r="E549" s="84">
        <v>0.0</v>
      </c>
      <c r="F549" s="84">
        <v>0.0</v>
      </c>
      <c r="G549" s="84">
        <v>0.0</v>
      </c>
      <c r="H549" s="84">
        <v>0.0</v>
      </c>
      <c r="I549" s="91">
        <v>0.0</v>
      </c>
      <c r="J549" s="84">
        <v>0.0</v>
      </c>
      <c r="K549" s="84">
        <v>0.0</v>
      </c>
      <c r="L549" s="84">
        <v>0.0</v>
      </c>
      <c r="M549" s="84">
        <v>0.0</v>
      </c>
      <c r="N549" s="84">
        <v>0.0</v>
      </c>
      <c r="O549" s="84">
        <v>0.0</v>
      </c>
      <c r="P549" s="84">
        <v>0.0</v>
      </c>
      <c r="Q549" s="84">
        <v>0.0</v>
      </c>
      <c r="R549" s="84">
        <v>0.0</v>
      </c>
      <c r="S549" s="84">
        <v>0.0</v>
      </c>
      <c r="T549" s="84">
        <v>0.0</v>
      </c>
      <c r="U549" s="84">
        <v>1.0</v>
      </c>
      <c r="V549" s="84">
        <v>0.0</v>
      </c>
      <c r="W549" s="84">
        <v>0.0</v>
      </c>
      <c r="X549" s="84">
        <v>0.0</v>
      </c>
      <c r="Y549" s="84">
        <v>0.0</v>
      </c>
      <c r="Z549" s="84">
        <v>0.0</v>
      </c>
      <c r="AA549" s="84">
        <v>0.0</v>
      </c>
      <c r="AB549" s="84">
        <v>0.0</v>
      </c>
      <c r="AC549" s="91">
        <v>0.0</v>
      </c>
      <c r="AD549" s="84">
        <v>0.0</v>
      </c>
      <c r="AE549" s="84">
        <v>0.0</v>
      </c>
      <c r="AF549" s="84">
        <v>0.0</v>
      </c>
      <c r="AG549" s="84">
        <v>0.0</v>
      </c>
      <c r="AH549" s="84">
        <v>0.0</v>
      </c>
      <c r="AI549" s="84">
        <v>0.0</v>
      </c>
      <c r="AJ549" s="84">
        <v>0.0</v>
      </c>
      <c r="AK549" s="84">
        <v>0.0</v>
      </c>
      <c r="AL549" s="84">
        <v>0.0</v>
      </c>
      <c r="AM549" s="84">
        <v>0.0</v>
      </c>
      <c r="AN549" s="93">
        <f t="shared" si="1"/>
        <v>0</v>
      </c>
      <c r="AO549" s="84">
        <f t="shared" si="2"/>
        <v>1</v>
      </c>
    </row>
    <row r="550" ht="12.75" customHeight="1">
      <c r="A550" s="84" t="s">
        <v>4673</v>
      </c>
      <c r="B550" s="84">
        <v>0.0</v>
      </c>
      <c r="C550" s="84">
        <v>0.0</v>
      </c>
      <c r="D550" s="84">
        <v>0.0</v>
      </c>
      <c r="E550" s="84">
        <v>0.0</v>
      </c>
      <c r="F550" s="84">
        <v>0.0</v>
      </c>
      <c r="G550" s="84">
        <v>0.0</v>
      </c>
      <c r="H550" s="84">
        <v>0.0</v>
      </c>
      <c r="I550" s="91">
        <v>0.0</v>
      </c>
      <c r="J550" s="84">
        <v>0.0</v>
      </c>
      <c r="K550" s="84">
        <v>0.0</v>
      </c>
      <c r="L550" s="84">
        <v>0.0</v>
      </c>
      <c r="M550" s="84">
        <v>0.0</v>
      </c>
      <c r="N550" s="84">
        <v>0.0</v>
      </c>
      <c r="O550" s="84">
        <v>0.0</v>
      </c>
      <c r="P550" s="84">
        <v>0.0</v>
      </c>
      <c r="Q550" s="84">
        <v>0.0</v>
      </c>
      <c r="R550" s="84">
        <v>0.0</v>
      </c>
      <c r="S550" s="84">
        <v>0.0</v>
      </c>
      <c r="T550" s="84">
        <v>0.0</v>
      </c>
      <c r="U550" s="84">
        <v>1.0</v>
      </c>
      <c r="V550" s="84">
        <v>0.0</v>
      </c>
      <c r="W550" s="84">
        <v>0.0</v>
      </c>
      <c r="X550" s="84">
        <v>0.0</v>
      </c>
      <c r="Y550" s="84">
        <v>0.0</v>
      </c>
      <c r="Z550" s="84">
        <v>0.0</v>
      </c>
      <c r="AA550" s="84">
        <v>0.0</v>
      </c>
      <c r="AB550" s="84">
        <v>0.0</v>
      </c>
      <c r="AC550" s="91">
        <v>0.0</v>
      </c>
      <c r="AD550" s="84">
        <v>0.0</v>
      </c>
      <c r="AE550" s="84">
        <v>0.0</v>
      </c>
      <c r="AF550" s="84">
        <v>0.0</v>
      </c>
      <c r="AG550" s="84">
        <v>0.0</v>
      </c>
      <c r="AH550" s="84">
        <v>0.0</v>
      </c>
      <c r="AI550" s="84">
        <v>0.0</v>
      </c>
      <c r="AJ550" s="84">
        <v>0.0</v>
      </c>
      <c r="AK550" s="84">
        <v>0.0</v>
      </c>
      <c r="AL550" s="84">
        <v>0.0</v>
      </c>
      <c r="AM550" s="84">
        <v>0.0</v>
      </c>
      <c r="AN550" s="93">
        <f t="shared" si="1"/>
        <v>0</v>
      </c>
      <c r="AO550" s="84">
        <f t="shared" si="2"/>
        <v>1</v>
      </c>
    </row>
    <row r="551" ht="12.75" customHeight="1">
      <c r="A551" s="84" t="s">
        <v>4685</v>
      </c>
      <c r="B551" s="84">
        <v>0.0</v>
      </c>
      <c r="C551" s="84">
        <v>0.0</v>
      </c>
      <c r="D551" s="84">
        <v>0.0</v>
      </c>
      <c r="E551" s="84">
        <v>0.0</v>
      </c>
      <c r="F551" s="84">
        <v>0.0</v>
      </c>
      <c r="G551" s="84">
        <v>0.0</v>
      </c>
      <c r="H551" s="84">
        <v>0.0</v>
      </c>
      <c r="I551" s="91">
        <v>0.0</v>
      </c>
      <c r="J551" s="84">
        <v>0.0</v>
      </c>
      <c r="K551" s="84">
        <v>0.0</v>
      </c>
      <c r="L551" s="84">
        <v>0.0</v>
      </c>
      <c r="M551" s="84">
        <v>0.0</v>
      </c>
      <c r="N551" s="84">
        <v>0.0</v>
      </c>
      <c r="O551" s="84">
        <v>0.0</v>
      </c>
      <c r="P551" s="84">
        <v>0.0</v>
      </c>
      <c r="Q551" s="84">
        <v>0.0</v>
      </c>
      <c r="R551" s="84">
        <v>0.0</v>
      </c>
      <c r="S551" s="84">
        <v>0.0</v>
      </c>
      <c r="T551" s="84">
        <v>0.0</v>
      </c>
      <c r="U551" s="84">
        <v>0.0</v>
      </c>
      <c r="V551" s="84">
        <v>0.0</v>
      </c>
      <c r="W551" s="84">
        <v>0.0</v>
      </c>
      <c r="X551" s="84">
        <v>0.0</v>
      </c>
      <c r="Y551" s="84">
        <v>0.0</v>
      </c>
      <c r="Z551" s="84">
        <v>0.0</v>
      </c>
      <c r="AA551" s="84">
        <v>0.0</v>
      </c>
      <c r="AB551" s="84">
        <v>0.0</v>
      </c>
      <c r="AC551" s="91">
        <v>0.0</v>
      </c>
      <c r="AD551" s="84">
        <v>0.0</v>
      </c>
      <c r="AE551" s="84">
        <v>0.0</v>
      </c>
      <c r="AF551" s="84">
        <v>0.0</v>
      </c>
      <c r="AG551" s="84">
        <v>0.0</v>
      </c>
      <c r="AH551" s="84">
        <v>0.0</v>
      </c>
      <c r="AI551" s="84">
        <v>0.0</v>
      </c>
      <c r="AJ551" s="84">
        <v>0.0</v>
      </c>
      <c r="AK551" s="84">
        <v>0.0</v>
      </c>
      <c r="AL551" s="84">
        <v>0.0</v>
      </c>
      <c r="AM551" s="84">
        <v>1.0</v>
      </c>
      <c r="AN551" s="93">
        <f t="shared" si="1"/>
        <v>0</v>
      </c>
      <c r="AO551" s="84">
        <f t="shared" si="2"/>
        <v>1</v>
      </c>
    </row>
    <row r="552" ht="12.75" customHeight="1">
      <c r="A552" s="84" t="s">
        <v>3806</v>
      </c>
      <c r="B552" s="84">
        <v>0.0</v>
      </c>
      <c r="C552" s="84">
        <v>0.0</v>
      </c>
      <c r="D552" s="84">
        <v>0.0</v>
      </c>
      <c r="E552" s="84">
        <v>0.0</v>
      </c>
      <c r="F552" s="84">
        <v>0.0</v>
      </c>
      <c r="G552" s="84">
        <v>4.0</v>
      </c>
      <c r="H552" s="84">
        <v>1.0</v>
      </c>
      <c r="I552" s="91">
        <v>0.0</v>
      </c>
      <c r="J552" s="84">
        <v>0.0</v>
      </c>
      <c r="K552" s="84">
        <v>0.0</v>
      </c>
      <c r="L552" s="84">
        <v>0.0</v>
      </c>
      <c r="M552" s="84">
        <v>0.0</v>
      </c>
      <c r="N552" s="84">
        <v>0.0</v>
      </c>
      <c r="O552" s="84">
        <v>0.0</v>
      </c>
      <c r="P552" s="84">
        <v>0.0</v>
      </c>
      <c r="Q552" s="84">
        <v>0.0</v>
      </c>
      <c r="R552" s="84">
        <v>0.0</v>
      </c>
      <c r="S552" s="84">
        <v>0.0</v>
      </c>
      <c r="T552" s="84">
        <v>0.0</v>
      </c>
      <c r="U552" s="84">
        <v>0.0</v>
      </c>
      <c r="V552" s="84">
        <v>0.0</v>
      </c>
      <c r="W552" s="84">
        <v>0.0</v>
      </c>
      <c r="X552" s="84">
        <v>0.0</v>
      </c>
      <c r="Y552" s="84">
        <v>0.0</v>
      </c>
      <c r="Z552" s="84">
        <v>0.0</v>
      </c>
      <c r="AA552" s="84">
        <v>6.0</v>
      </c>
      <c r="AB552" s="84">
        <v>1.0</v>
      </c>
      <c r="AC552" s="91">
        <v>0.0</v>
      </c>
      <c r="AD552" s="84">
        <v>0.0</v>
      </c>
      <c r="AE552" s="84">
        <v>0.0</v>
      </c>
      <c r="AF552" s="84">
        <v>0.0</v>
      </c>
      <c r="AG552" s="84">
        <v>0.0</v>
      </c>
      <c r="AH552" s="84">
        <v>0.0</v>
      </c>
      <c r="AI552" s="84">
        <v>0.0</v>
      </c>
      <c r="AJ552" s="84">
        <v>0.0</v>
      </c>
      <c r="AK552" s="84">
        <v>0.0</v>
      </c>
      <c r="AL552" s="84">
        <v>0.0</v>
      </c>
      <c r="AM552" s="84">
        <v>0.0</v>
      </c>
      <c r="AN552" s="93">
        <f t="shared" si="1"/>
        <v>0</v>
      </c>
      <c r="AO552" s="84">
        <f t="shared" si="2"/>
        <v>0</v>
      </c>
    </row>
    <row r="553" ht="12.75" customHeight="1">
      <c r="A553" s="84" t="s">
        <v>2759</v>
      </c>
      <c r="B553" s="84">
        <v>1.0</v>
      </c>
      <c r="C553" s="84">
        <v>0.0</v>
      </c>
      <c r="D553" s="84">
        <v>0.0</v>
      </c>
      <c r="E553" s="84">
        <v>0.0</v>
      </c>
      <c r="F553" s="84">
        <v>0.0</v>
      </c>
      <c r="G553" s="84">
        <v>0.0</v>
      </c>
      <c r="H553" s="84">
        <v>0.0</v>
      </c>
      <c r="I553" s="91">
        <v>0.0</v>
      </c>
      <c r="J553" s="84">
        <v>0.0</v>
      </c>
      <c r="K553" s="84">
        <v>0.0</v>
      </c>
      <c r="L553" s="84">
        <v>0.0</v>
      </c>
      <c r="M553" s="84">
        <v>0.0</v>
      </c>
      <c r="N553" s="84">
        <v>0.0</v>
      </c>
      <c r="O553" s="84">
        <v>0.0</v>
      </c>
      <c r="P553" s="84">
        <v>0.0</v>
      </c>
      <c r="Q553" s="84">
        <v>0.0</v>
      </c>
      <c r="R553" s="84">
        <v>0.0</v>
      </c>
      <c r="S553" s="84">
        <v>0.0</v>
      </c>
      <c r="T553" s="84">
        <v>0.0</v>
      </c>
      <c r="U553" s="84">
        <v>0.0</v>
      </c>
      <c r="V553" s="84">
        <v>1.0</v>
      </c>
      <c r="W553" s="84">
        <v>0.0</v>
      </c>
      <c r="X553" s="84">
        <v>0.0</v>
      </c>
      <c r="Y553" s="84">
        <v>0.0</v>
      </c>
      <c r="Z553" s="84">
        <v>0.0</v>
      </c>
      <c r="AA553" s="84">
        <v>0.0</v>
      </c>
      <c r="AB553" s="84">
        <v>0.0</v>
      </c>
      <c r="AC553" s="91">
        <v>0.0</v>
      </c>
      <c r="AD553" s="84">
        <v>0.0</v>
      </c>
      <c r="AE553" s="84">
        <v>0.0</v>
      </c>
      <c r="AF553" s="84">
        <v>0.0</v>
      </c>
      <c r="AG553" s="84">
        <v>0.0</v>
      </c>
      <c r="AH553" s="84">
        <v>0.0</v>
      </c>
      <c r="AI553" s="84">
        <v>0.0</v>
      </c>
      <c r="AJ553" s="84">
        <v>0.0</v>
      </c>
      <c r="AK553" s="84">
        <v>0.0</v>
      </c>
      <c r="AL553" s="84">
        <v>0.0</v>
      </c>
      <c r="AM553" s="84">
        <v>0.0</v>
      </c>
      <c r="AN553" s="93">
        <f t="shared" si="1"/>
        <v>0</v>
      </c>
      <c r="AO553" s="84">
        <f t="shared" si="2"/>
        <v>0</v>
      </c>
    </row>
    <row r="554" ht="12.75" customHeight="1">
      <c r="A554" s="84" t="s">
        <v>2910</v>
      </c>
      <c r="B554" s="84">
        <v>2.0</v>
      </c>
      <c r="C554" s="84">
        <v>0.0</v>
      </c>
      <c r="D554" s="84">
        <v>0.0</v>
      </c>
      <c r="E554" s="84">
        <v>0.0</v>
      </c>
      <c r="F554" s="84">
        <v>0.0</v>
      </c>
      <c r="G554" s="84">
        <v>0.0</v>
      </c>
      <c r="H554" s="84">
        <v>0.0</v>
      </c>
      <c r="I554" s="91">
        <v>0.0</v>
      </c>
      <c r="J554" s="84">
        <v>0.0</v>
      </c>
      <c r="K554" s="84">
        <v>0.0</v>
      </c>
      <c r="L554" s="84">
        <v>0.0</v>
      </c>
      <c r="M554" s="84">
        <v>0.0</v>
      </c>
      <c r="N554" s="84">
        <v>0.0</v>
      </c>
      <c r="O554" s="84">
        <v>0.0</v>
      </c>
      <c r="P554" s="84">
        <v>0.0</v>
      </c>
      <c r="Q554" s="84">
        <v>0.0</v>
      </c>
      <c r="R554" s="84">
        <v>0.0</v>
      </c>
      <c r="S554" s="84">
        <v>0.0</v>
      </c>
      <c r="T554" s="84">
        <v>0.0</v>
      </c>
      <c r="U554" s="84">
        <v>0.0</v>
      </c>
      <c r="V554" s="84">
        <v>1.0</v>
      </c>
      <c r="W554" s="84">
        <v>2.0</v>
      </c>
      <c r="X554" s="84">
        <v>0.0</v>
      </c>
      <c r="Y554" s="84">
        <v>0.0</v>
      </c>
      <c r="Z554" s="84">
        <v>0.0</v>
      </c>
      <c r="AA554" s="84">
        <v>0.0</v>
      </c>
      <c r="AB554" s="84">
        <v>0.0</v>
      </c>
      <c r="AC554" s="91">
        <v>0.0</v>
      </c>
      <c r="AD554" s="84">
        <v>0.0</v>
      </c>
      <c r="AE554" s="84">
        <v>0.0</v>
      </c>
      <c r="AF554" s="84">
        <v>0.0</v>
      </c>
      <c r="AG554" s="84">
        <v>0.0</v>
      </c>
      <c r="AH554" s="84">
        <v>0.0</v>
      </c>
      <c r="AI554" s="84">
        <v>0.0</v>
      </c>
      <c r="AJ554" s="84">
        <v>0.0</v>
      </c>
      <c r="AK554" s="84">
        <v>0.0</v>
      </c>
      <c r="AL554" s="84">
        <v>0.0</v>
      </c>
      <c r="AM554" s="84">
        <v>0.0</v>
      </c>
      <c r="AN554" s="93">
        <f t="shared" si="1"/>
        <v>0</v>
      </c>
      <c r="AO554" s="84">
        <f t="shared" si="2"/>
        <v>0</v>
      </c>
    </row>
    <row r="555" ht="12.75" customHeight="1">
      <c r="A555" s="84" t="s">
        <v>3760</v>
      </c>
      <c r="B555" s="84">
        <v>0.0</v>
      </c>
      <c r="C555" s="84">
        <v>0.0</v>
      </c>
      <c r="D555" s="84">
        <v>0.0</v>
      </c>
      <c r="E555" s="84">
        <v>0.0</v>
      </c>
      <c r="F555" s="84">
        <v>0.0</v>
      </c>
      <c r="G555" s="84">
        <v>4.0</v>
      </c>
      <c r="H555" s="84">
        <v>2.0</v>
      </c>
      <c r="I555" s="91">
        <v>0.0</v>
      </c>
      <c r="J555" s="84">
        <v>0.0</v>
      </c>
      <c r="K555" s="84">
        <v>0.0</v>
      </c>
      <c r="L555" s="84">
        <v>0.0</v>
      </c>
      <c r="M555" s="84">
        <v>0.0</v>
      </c>
      <c r="N555" s="84">
        <v>0.0</v>
      </c>
      <c r="O555" s="84">
        <v>0.0</v>
      </c>
      <c r="P555" s="84">
        <v>0.0</v>
      </c>
      <c r="Q555" s="84">
        <v>0.0</v>
      </c>
      <c r="R555" s="84">
        <v>0.0</v>
      </c>
      <c r="S555" s="84">
        <v>0.0</v>
      </c>
      <c r="T555" s="84">
        <v>0.0</v>
      </c>
      <c r="U555" s="84">
        <v>0.0</v>
      </c>
      <c r="V555" s="84">
        <v>0.0</v>
      </c>
      <c r="W555" s="84">
        <v>0.0</v>
      </c>
      <c r="X555" s="84">
        <v>0.0</v>
      </c>
      <c r="Y555" s="84">
        <v>0.0</v>
      </c>
      <c r="Z555" s="84">
        <v>0.0</v>
      </c>
      <c r="AA555" s="84">
        <v>6.0</v>
      </c>
      <c r="AB555" s="84">
        <v>0.0</v>
      </c>
      <c r="AC555" s="91">
        <v>0.0</v>
      </c>
      <c r="AD555" s="84">
        <v>0.0</v>
      </c>
      <c r="AE555" s="84">
        <v>0.0</v>
      </c>
      <c r="AF555" s="84">
        <v>0.0</v>
      </c>
      <c r="AG555" s="84">
        <v>0.0</v>
      </c>
      <c r="AH555" s="84">
        <v>0.0</v>
      </c>
      <c r="AI555" s="84">
        <v>0.0</v>
      </c>
      <c r="AJ555" s="84">
        <v>0.0</v>
      </c>
      <c r="AK555" s="84">
        <v>0.0</v>
      </c>
      <c r="AL555" s="84">
        <v>0.0</v>
      </c>
      <c r="AM555" s="84">
        <v>0.0</v>
      </c>
      <c r="AN555" s="93">
        <f t="shared" si="1"/>
        <v>0</v>
      </c>
      <c r="AO555" s="84">
        <f t="shared" si="2"/>
        <v>0</v>
      </c>
    </row>
    <row r="556" ht="12.75" customHeight="1">
      <c r="A556" s="84" t="s">
        <v>3092</v>
      </c>
      <c r="B556" s="84">
        <v>2.0</v>
      </c>
      <c r="C556" s="84">
        <v>0.0</v>
      </c>
      <c r="D556" s="84">
        <v>0.0</v>
      </c>
      <c r="E556" s="84">
        <v>0.0</v>
      </c>
      <c r="F556" s="84">
        <v>0.0</v>
      </c>
      <c r="G556" s="84">
        <v>0.0</v>
      </c>
      <c r="H556" s="84">
        <v>0.0</v>
      </c>
      <c r="I556" s="91">
        <v>0.0</v>
      </c>
      <c r="J556" s="84">
        <v>0.0</v>
      </c>
      <c r="K556" s="84">
        <v>0.0</v>
      </c>
      <c r="L556" s="84">
        <v>0.0</v>
      </c>
      <c r="M556" s="84">
        <v>0.0</v>
      </c>
      <c r="N556" s="84">
        <v>0.0</v>
      </c>
      <c r="O556" s="84">
        <v>0.0</v>
      </c>
      <c r="P556" s="84">
        <v>0.0</v>
      </c>
      <c r="Q556" s="84">
        <v>0.0</v>
      </c>
      <c r="R556" s="84">
        <v>0.0</v>
      </c>
      <c r="S556" s="84">
        <v>0.0</v>
      </c>
      <c r="T556" s="84">
        <v>0.0</v>
      </c>
      <c r="U556" s="84">
        <v>0.0</v>
      </c>
      <c r="V556" s="84">
        <v>3.0</v>
      </c>
      <c r="W556" s="84">
        <v>3.0</v>
      </c>
      <c r="X556" s="84">
        <v>0.0</v>
      </c>
      <c r="Y556" s="84">
        <v>0.0</v>
      </c>
      <c r="Z556" s="84">
        <v>0.0</v>
      </c>
      <c r="AA556" s="84">
        <v>0.0</v>
      </c>
      <c r="AB556" s="84">
        <v>0.0</v>
      </c>
      <c r="AC556" s="91">
        <v>0.0</v>
      </c>
      <c r="AD556" s="84">
        <v>0.0</v>
      </c>
      <c r="AE556" s="84">
        <v>0.0</v>
      </c>
      <c r="AF556" s="84">
        <v>0.0</v>
      </c>
      <c r="AG556" s="84">
        <v>0.0</v>
      </c>
      <c r="AH556" s="84">
        <v>0.0</v>
      </c>
      <c r="AI556" s="84">
        <v>0.0</v>
      </c>
      <c r="AJ556" s="84">
        <v>0.0</v>
      </c>
      <c r="AK556" s="84">
        <v>0.0</v>
      </c>
      <c r="AL556" s="84">
        <v>0.0</v>
      </c>
      <c r="AM556" s="84">
        <v>0.0</v>
      </c>
      <c r="AN556" s="93">
        <f t="shared" si="1"/>
        <v>0</v>
      </c>
      <c r="AO556" s="84">
        <f t="shared" si="2"/>
        <v>0</v>
      </c>
    </row>
    <row r="557" ht="12.75" customHeight="1">
      <c r="A557" s="84" t="s">
        <v>2989</v>
      </c>
      <c r="B557" s="84">
        <v>2.0</v>
      </c>
      <c r="C557" s="84">
        <v>0.0</v>
      </c>
      <c r="D557" s="84">
        <v>0.0</v>
      </c>
      <c r="E557" s="84">
        <v>0.0</v>
      </c>
      <c r="F557" s="84">
        <v>0.0</v>
      </c>
      <c r="G557" s="84">
        <v>0.0</v>
      </c>
      <c r="H557" s="84">
        <v>0.0</v>
      </c>
      <c r="I557" s="91">
        <v>0.0</v>
      </c>
      <c r="J557" s="84">
        <v>0.0</v>
      </c>
      <c r="K557" s="84">
        <v>0.0</v>
      </c>
      <c r="L557" s="84">
        <v>0.0</v>
      </c>
      <c r="M557" s="84">
        <v>0.0</v>
      </c>
      <c r="N557" s="84">
        <v>0.0</v>
      </c>
      <c r="O557" s="84">
        <v>0.0</v>
      </c>
      <c r="P557" s="84">
        <v>0.0</v>
      </c>
      <c r="Q557" s="84">
        <v>0.0</v>
      </c>
      <c r="R557" s="84">
        <v>0.0</v>
      </c>
      <c r="S557" s="84">
        <v>0.0</v>
      </c>
      <c r="T557" s="84">
        <v>0.0</v>
      </c>
      <c r="U557" s="84">
        <v>0.0</v>
      </c>
      <c r="V557" s="84">
        <v>3.0</v>
      </c>
      <c r="W557" s="84">
        <v>3.0</v>
      </c>
      <c r="X557" s="84">
        <v>0.0</v>
      </c>
      <c r="Y557" s="84">
        <v>0.0</v>
      </c>
      <c r="Z557" s="84">
        <v>0.0</v>
      </c>
      <c r="AA557" s="84">
        <v>0.0</v>
      </c>
      <c r="AB557" s="84">
        <v>0.0</v>
      </c>
      <c r="AC557" s="91">
        <v>0.0</v>
      </c>
      <c r="AD557" s="84">
        <v>0.0</v>
      </c>
      <c r="AE557" s="84">
        <v>0.0</v>
      </c>
      <c r="AF557" s="84">
        <v>0.0</v>
      </c>
      <c r="AG557" s="84">
        <v>0.0</v>
      </c>
      <c r="AH557" s="84">
        <v>0.0</v>
      </c>
      <c r="AI557" s="84">
        <v>0.0</v>
      </c>
      <c r="AJ557" s="84">
        <v>0.0</v>
      </c>
      <c r="AK557" s="84">
        <v>0.0</v>
      </c>
      <c r="AL557" s="84">
        <v>0.0</v>
      </c>
      <c r="AM557" s="84">
        <v>0.0</v>
      </c>
      <c r="AN557" s="93">
        <f t="shared" si="1"/>
        <v>0</v>
      </c>
      <c r="AO557" s="84">
        <f t="shared" si="2"/>
        <v>0</v>
      </c>
    </row>
    <row r="558" ht="12.75" customHeight="1">
      <c r="A558" s="84" t="s">
        <v>3955</v>
      </c>
      <c r="B558" s="84">
        <v>0.0</v>
      </c>
      <c r="C558" s="84">
        <v>0.0</v>
      </c>
      <c r="D558" s="84">
        <v>0.0</v>
      </c>
      <c r="E558" s="84">
        <v>0.0</v>
      </c>
      <c r="F558" s="84">
        <v>0.0</v>
      </c>
      <c r="G558" s="84">
        <v>0.0</v>
      </c>
      <c r="H558" s="84">
        <v>5.0</v>
      </c>
      <c r="I558" s="91">
        <v>0.0</v>
      </c>
      <c r="J558" s="84">
        <v>0.0</v>
      </c>
      <c r="K558" s="84">
        <v>0.0</v>
      </c>
      <c r="L558" s="84">
        <v>0.0</v>
      </c>
      <c r="M558" s="84">
        <v>0.0</v>
      </c>
      <c r="N558" s="84">
        <v>0.0</v>
      </c>
      <c r="O558" s="84">
        <v>0.0</v>
      </c>
      <c r="P558" s="84">
        <v>0.0</v>
      </c>
      <c r="Q558" s="84">
        <v>0.0</v>
      </c>
      <c r="R558" s="84">
        <v>0.0</v>
      </c>
      <c r="S558" s="84">
        <v>0.0</v>
      </c>
      <c r="T558" s="84">
        <v>0.0</v>
      </c>
      <c r="U558" s="84">
        <v>0.0</v>
      </c>
      <c r="V558" s="84">
        <v>0.0</v>
      </c>
      <c r="W558" s="84">
        <v>0.0</v>
      </c>
      <c r="X558" s="84">
        <v>0.0</v>
      </c>
      <c r="Y558" s="84">
        <v>0.0</v>
      </c>
      <c r="Z558" s="84">
        <v>0.0</v>
      </c>
      <c r="AA558" s="84">
        <v>0.0</v>
      </c>
      <c r="AB558" s="84">
        <v>6.0</v>
      </c>
      <c r="AC558" s="91">
        <v>0.0</v>
      </c>
      <c r="AD558" s="84">
        <v>0.0</v>
      </c>
      <c r="AE558" s="84">
        <v>0.0</v>
      </c>
      <c r="AF558" s="84">
        <v>0.0</v>
      </c>
      <c r="AG558" s="84">
        <v>0.0</v>
      </c>
      <c r="AH558" s="84">
        <v>0.0</v>
      </c>
      <c r="AI558" s="84">
        <v>0.0</v>
      </c>
      <c r="AJ558" s="84">
        <v>0.0</v>
      </c>
      <c r="AK558" s="84">
        <v>0.0</v>
      </c>
      <c r="AL558" s="84">
        <v>0.0</v>
      </c>
      <c r="AM558" s="84">
        <v>0.0</v>
      </c>
      <c r="AN558" s="93">
        <f t="shared" si="1"/>
        <v>0</v>
      </c>
      <c r="AO558" s="84">
        <f t="shared" si="2"/>
        <v>0</v>
      </c>
    </row>
    <row r="559" ht="12.75" customHeight="1">
      <c r="A559" s="84" t="s">
        <v>3620</v>
      </c>
      <c r="B559" s="84">
        <v>0.0</v>
      </c>
      <c r="C559" s="84">
        <v>0.0</v>
      </c>
      <c r="D559" s="84">
        <v>0.0</v>
      </c>
      <c r="E559" s="84">
        <v>0.0</v>
      </c>
      <c r="F559" s="84">
        <v>4.0</v>
      </c>
      <c r="G559" s="84">
        <v>1.0</v>
      </c>
      <c r="H559" s="84">
        <v>0.0</v>
      </c>
      <c r="I559" s="91">
        <v>0.0</v>
      </c>
      <c r="J559" s="84">
        <v>0.0</v>
      </c>
      <c r="K559" s="84">
        <v>0.0</v>
      </c>
      <c r="L559" s="84">
        <v>0.0</v>
      </c>
      <c r="M559" s="84">
        <v>0.0</v>
      </c>
      <c r="N559" s="84">
        <v>0.0</v>
      </c>
      <c r="O559" s="84">
        <v>0.0</v>
      </c>
      <c r="P559" s="84">
        <v>0.0</v>
      </c>
      <c r="Q559" s="84">
        <v>0.0</v>
      </c>
      <c r="R559" s="84">
        <v>0.0</v>
      </c>
      <c r="S559" s="84">
        <v>0.0</v>
      </c>
      <c r="T559" s="84">
        <v>0.0</v>
      </c>
      <c r="U559" s="84">
        <v>0.0</v>
      </c>
      <c r="V559" s="84">
        <v>0.0</v>
      </c>
      <c r="W559" s="84">
        <v>0.0</v>
      </c>
      <c r="X559" s="84">
        <v>0.0</v>
      </c>
      <c r="Y559" s="84">
        <v>0.0</v>
      </c>
      <c r="Z559" s="84">
        <v>6.0</v>
      </c>
      <c r="AA559" s="84">
        <v>2.0</v>
      </c>
      <c r="AB559" s="84">
        <v>0.0</v>
      </c>
      <c r="AC559" s="91">
        <v>0.0</v>
      </c>
      <c r="AD559" s="84">
        <v>0.0</v>
      </c>
      <c r="AE559" s="84">
        <v>0.0</v>
      </c>
      <c r="AF559" s="84">
        <v>0.0</v>
      </c>
      <c r="AG559" s="84">
        <v>0.0</v>
      </c>
      <c r="AH559" s="84">
        <v>0.0</v>
      </c>
      <c r="AI559" s="84">
        <v>0.0</v>
      </c>
      <c r="AJ559" s="84">
        <v>0.0</v>
      </c>
      <c r="AK559" s="84">
        <v>0.0</v>
      </c>
      <c r="AL559" s="84">
        <v>0.0</v>
      </c>
      <c r="AM559" s="84">
        <v>0.0</v>
      </c>
      <c r="AN559" s="93">
        <f t="shared" si="1"/>
        <v>0</v>
      </c>
      <c r="AO559" s="84">
        <f t="shared" si="2"/>
        <v>0</v>
      </c>
    </row>
    <row r="560" ht="12.75" customHeight="1">
      <c r="A560" s="84" t="s">
        <v>3345</v>
      </c>
      <c r="B560" s="84">
        <v>0.0</v>
      </c>
      <c r="C560" s="84">
        <v>0.0</v>
      </c>
      <c r="D560" s="84">
        <v>4.0</v>
      </c>
      <c r="E560" s="84">
        <v>0.0</v>
      </c>
      <c r="F560" s="84">
        <v>0.0</v>
      </c>
      <c r="G560" s="84">
        <v>0.0</v>
      </c>
      <c r="H560" s="84">
        <v>0.0</v>
      </c>
      <c r="I560" s="91">
        <v>0.0</v>
      </c>
      <c r="J560" s="84">
        <v>0.0</v>
      </c>
      <c r="K560" s="84">
        <v>0.0</v>
      </c>
      <c r="L560" s="84">
        <v>0.0</v>
      </c>
      <c r="M560" s="84">
        <v>0.0</v>
      </c>
      <c r="N560" s="84">
        <v>0.0</v>
      </c>
      <c r="O560" s="84">
        <v>0.0</v>
      </c>
      <c r="P560" s="84">
        <v>0.0</v>
      </c>
      <c r="Q560" s="84">
        <v>0.0</v>
      </c>
      <c r="R560" s="84">
        <v>0.0</v>
      </c>
      <c r="S560" s="84">
        <v>0.0</v>
      </c>
      <c r="T560" s="84">
        <v>0.0</v>
      </c>
      <c r="U560" s="84">
        <v>0.0</v>
      </c>
      <c r="V560" s="84">
        <v>0.0</v>
      </c>
      <c r="W560" s="84">
        <v>0.0</v>
      </c>
      <c r="X560" s="84">
        <v>6.0</v>
      </c>
      <c r="Y560" s="84">
        <v>0.0</v>
      </c>
      <c r="Z560" s="84">
        <v>0.0</v>
      </c>
      <c r="AA560" s="84">
        <v>0.0</v>
      </c>
      <c r="AB560" s="84">
        <v>0.0</v>
      </c>
      <c r="AC560" s="91">
        <v>0.0</v>
      </c>
      <c r="AD560" s="84">
        <v>0.0</v>
      </c>
      <c r="AE560" s="84">
        <v>0.0</v>
      </c>
      <c r="AF560" s="84">
        <v>0.0</v>
      </c>
      <c r="AG560" s="84">
        <v>0.0</v>
      </c>
      <c r="AH560" s="84">
        <v>0.0</v>
      </c>
      <c r="AI560" s="84">
        <v>0.0</v>
      </c>
      <c r="AJ560" s="84">
        <v>0.0</v>
      </c>
      <c r="AK560" s="84">
        <v>0.0</v>
      </c>
      <c r="AL560" s="84">
        <v>0.0</v>
      </c>
      <c r="AM560" s="84">
        <v>0.0</v>
      </c>
      <c r="AN560" s="93">
        <f t="shared" si="1"/>
        <v>0</v>
      </c>
      <c r="AO560" s="84">
        <f t="shared" si="2"/>
        <v>0</v>
      </c>
    </row>
    <row r="561" ht="12.75" customHeight="1">
      <c r="A561" s="84" t="s">
        <v>3497</v>
      </c>
      <c r="B561" s="84">
        <v>0.0</v>
      </c>
      <c r="C561" s="84">
        <v>0.0</v>
      </c>
      <c r="D561" s="84">
        <v>0.0</v>
      </c>
      <c r="E561" s="84">
        <v>4.0</v>
      </c>
      <c r="F561" s="84">
        <v>0.0</v>
      </c>
      <c r="G561" s="84">
        <v>0.0</v>
      </c>
      <c r="H561" s="84">
        <v>0.0</v>
      </c>
      <c r="I561" s="91">
        <v>0.0</v>
      </c>
      <c r="J561" s="84">
        <v>0.0</v>
      </c>
      <c r="K561" s="84">
        <v>0.0</v>
      </c>
      <c r="L561" s="84">
        <v>0.0</v>
      </c>
      <c r="M561" s="84">
        <v>0.0</v>
      </c>
      <c r="N561" s="84">
        <v>0.0</v>
      </c>
      <c r="O561" s="84">
        <v>0.0</v>
      </c>
      <c r="P561" s="84">
        <v>0.0</v>
      </c>
      <c r="Q561" s="84">
        <v>0.0</v>
      </c>
      <c r="R561" s="84">
        <v>0.0</v>
      </c>
      <c r="S561" s="84">
        <v>0.0</v>
      </c>
      <c r="T561" s="84">
        <v>0.0</v>
      </c>
      <c r="U561" s="84">
        <v>0.0</v>
      </c>
      <c r="V561" s="84">
        <v>0.0</v>
      </c>
      <c r="W561" s="84">
        <v>0.0</v>
      </c>
      <c r="X561" s="84">
        <v>0.0</v>
      </c>
      <c r="Y561" s="84">
        <v>6.0</v>
      </c>
      <c r="Z561" s="84">
        <v>0.0</v>
      </c>
      <c r="AA561" s="84">
        <v>0.0</v>
      </c>
      <c r="AB561" s="84">
        <v>0.0</v>
      </c>
      <c r="AC561" s="91">
        <v>0.0</v>
      </c>
      <c r="AD561" s="84">
        <v>0.0</v>
      </c>
      <c r="AE561" s="84">
        <v>0.0</v>
      </c>
      <c r="AF561" s="84">
        <v>0.0</v>
      </c>
      <c r="AG561" s="84">
        <v>0.0</v>
      </c>
      <c r="AH561" s="84">
        <v>0.0</v>
      </c>
      <c r="AI561" s="84">
        <v>0.0</v>
      </c>
      <c r="AJ561" s="84">
        <v>0.0</v>
      </c>
      <c r="AK561" s="84">
        <v>0.0</v>
      </c>
      <c r="AL561" s="84">
        <v>0.0</v>
      </c>
      <c r="AM561" s="84">
        <v>0.0</v>
      </c>
      <c r="AN561" s="93">
        <f t="shared" si="1"/>
        <v>0</v>
      </c>
      <c r="AO561" s="84">
        <f t="shared" si="2"/>
        <v>0</v>
      </c>
    </row>
    <row r="562" ht="12.75" customHeight="1">
      <c r="A562" s="84" t="s">
        <v>4547</v>
      </c>
      <c r="B562" s="84">
        <v>0.0</v>
      </c>
      <c r="C562" s="84">
        <v>0.0</v>
      </c>
      <c r="D562" s="84">
        <v>0.0</v>
      </c>
      <c r="E562" s="84">
        <v>0.0</v>
      </c>
      <c r="F562" s="84">
        <v>0.0</v>
      </c>
      <c r="G562" s="84">
        <v>0.0</v>
      </c>
      <c r="H562" s="84">
        <v>0.0</v>
      </c>
      <c r="I562" s="91">
        <v>0.0</v>
      </c>
      <c r="J562" s="84">
        <v>0.0</v>
      </c>
      <c r="K562" s="84">
        <v>0.0</v>
      </c>
      <c r="L562" s="84">
        <v>0.0</v>
      </c>
      <c r="M562" s="84">
        <v>0.0</v>
      </c>
      <c r="N562" s="84">
        <v>0.0</v>
      </c>
      <c r="O562" s="84">
        <v>0.0</v>
      </c>
      <c r="P562" s="84">
        <v>1.0</v>
      </c>
      <c r="Q562" s="84">
        <v>0.0</v>
      </c>
      <c r="R562" s="84">
        <v>0.0</v>
      </c>
      <c r="S562" s="84">
        <v>0.0</v>
      </c>
      <c r="T562" s="84">
        <v>0.0</v>
      </c>
      <c r="U562" s="84">
        <v>0.0</v>
      </c>
      <c r="V562" s="84">
        <v>0.0</v>
      </c>
      <c r="W562" s="84">
        <v>0.0</v>
      </c>
      <c r="X562" s="84">
        <v>0.0</v>
      </c>
      <c r="Y562" s="84">
        <v>0.0</v>
      </c>
      <c r="Z562" s="84">
        <v>0.0</v>
      </c>
      <c r="AA562" s="84">
        <v>0.0</v>
      </c>
      <c r="AB562" s="84">
        <v>0.0</v>
      </c>
      <c r="AC562" s="91">
        <v>0.0</v>
      </c>
      <c r="AD562" s="84">
        <v>0.0</v>
      </c>
      <c r="AE562" s="84">
        <v>0.0</v>
      </c>
      <c r="AF562" s="84">
        <v>0.0</v>
      </c>
      <c r="AG562" s="84">
        <v>0.0</v>
      </c>
      <c r="AH562" s="84">
        <v>0.0</v>
      </c>
      <c r="AI562" s="84">
        <v>0.0</v>
      </c>
      <c r="AJ562" s="84">
        <v>0.0</v>
      </c>
      <c r="AK562" s="84">
        <v>0.0</v>
      </c>
      <c r="AL562" s="84">
        <v>0.0</v>
      </c>
      <c r="AM562" s="84">
        <v>0.0</v>
      </c>
      <c r="AN562" s="93">
        <f t="shared" si="1"/>
        <v>0</v>
      </c>
      <c r="AO562" s="84">
        <f t="shared" si="2"/>
        <v>1</v>
      </c>
    </row>
    <row r="563" ht="12.75" customHeight="1">
      <c r="A563" s="84" t="s">
        <v>4544</v>
      </c>
      <c r="B563" s="84">
        <v>0.0</v>
      </c>
      <c r="C563" s="84">
        <v>0.0</v>
      </c>
      <c r="D563" s="84">
        <v>0.0</v>
      </c>
      <c r="E563" s="84">
        <v>0.0</v>
      </c>
      <c r="F563" s="84">
        <v>0.0</v>
      </c>
      <c r="G563" s="84">
        <v>0.0</v>
      </c>
      <c r="H563" s="84">
        <v>0.0</v>
      </c>
      <c r="I563" s="91">
        <v>0.0</v>
      </c>
      <c r="J563" s="84">
        <v>0.0</v>
      </c>
      <c r="K563" s="84">
        <v>0.0</v>
      </c>
      <c r="L563" s="84">
        <v>0.0</v>
      </c>
      <c r="M563" s="84">
        <v>0.0</v>
      </c>
      <c r="N563" s="84">
        <v>0.0</v>
      </c>
      <c r="O563" s="84">
        <v>0.0</v>
      </c>
      <c r="P563" s="84">
        <v>1.0</v>
      </c>
      <c r="Q563" s="84">
        <v>0.0</v>
      </c>
      <c r="R563" s="84">
        <v>0.0</v>
      </c>
      <c r="S563" s="84">
        <v>0.0</v>
      </c>
      <c r="T563" s="84">
        <v>0.0</v>
      </c>
      <c r="U563" s="84">
        <v>0.0</v>
      </c>
      <c r="V563" s="84">
        <v>0.0</v>
      </c>
      <c r="W563" s="84">
        <v>0.0</v>
      </c>
      <c r="X563" s="84">
        <v>0.0</v>
      </c>
      <c r="Y563" s="84">
        <v>0.0</v>
      </c>
      <c r="Z563" s="84">
        <v>0.0</v>
      </c>
      <c r="AA563" s="84">
        <v>0.0</v>
      </c>
      <c r="AB563" s="84">
        <v>0.0</v>
      </c>
      <c r="AC563" s="91">
        <v>0.0</v>
      </c>
      <c r="AD563" s="84">
        <v>0.0</v>
      </c>
      <c r="AE563" s="84">
        <v>0.0</v>
      </c>
      <c r="AF563" s="84">
        <v>0.0</v>
      </c>
      <c r="AG563" s="84">
        <v>0.0</v>
      </c>
      <c r="AH563" s="84">
        <v>0.0</v>
      </c>
      <c r="AI563" s="84">
        <v>0.0</v>
      </c>
      <c r="AJ563" s="84">
        <v>0.0</v>
      </c>
      <c r="AK563" s="84">
        <v>0.0</v>
      </c>
      <c r="AL563" s="84">
        <v>0.0</v>
      </c>
      <c r="AM563" s="84">
        <v>0.0</v>
      </c>
      <c r="AN563" s="93">
        <f t="shared" si="1"/>
        <v>0</v>
      </c>
      <c r="AO563" s="84">
        <f t="shared" si="2"/>
        <v>1</v>
      </c>
    </row>
    <row r="564" ht="12.75" customHeight="1">
      <c r="A564" s="84" t="s">
        <v>3884</v>
      </c>
      <c r="B564" s="84">
        <v>0.0</v>
      </c>
      <c r="C564" s="84">
        <v>0.0</v>
      </c>
      <c r="D564" s="84">
        <v>0.0</v>
      </c>
      <c r="E564" s="84">
        <v>0.0</v>
      </c>
      <c r="F564" s="84">
        <v>0.0</v>
      </c>
      <c r="G564" s="84">
        <v>0.0</v>
      </c>
      <c r="H564" s="84">
        <v>4.0</v>
      </c>
      <c r="I564" s="91">
        <v>0.0</v>
      </c>
      <c r="J564" s="84">
        <v>0.0</v>
      </c>
      <c r="K564" s="84">
        <v>0.0</v>
      </c>
      <c r="L564" s="84">
        <v>0.0</v>
      </c>
      <c r="M564" s="84">
        <v>0.0</v>
      </c>
      <c r="N564" s="84">
        <v>0.0</v>
      </c>
      <c r="O564" s="84">
        <v>0.0</v>
      </c>
      <c r="P564" s="84">
        <v>0.0</v>
      </c>
      <c r="Q564" s="84">
        <v>0.0</v>
      </c>
      <c r="R564" s="84">
        <v>0.0</v>
      </c>
      <c r="S564" s="84">
        <v>0.0</v>
      </c>
      <c r="T564" s="84">
        <v>0.0</v>
      </c>
      <c r="U564" s="84">
        <v>0.0</v>
      </c>
      <c r="V564" s="84">
        <v>0.0</v>
      </c>
      <c r="W564" s="84">
        <v>0.0</v>
      </c>
      <c r="X564" s="84">
        <v>0.0</v>
      </c>
      <c r="Y564" s="84">
        <v>0.0</v>
      </c>
      <c r="Z564" s="84">
        <v>0.0</v>
      </c>
      <c r="AA564" s="84">
        <v>0.0</v>
      </c>
      <c r="AB564" s="84">
        <v>6.0</v>
      </c>
      <c r="AC564" s="91">
        <v>0.0</v>
      </c>
      <c r="AD564" s="84">
        <v>0.0</v>
      </c>
      <c r="AE564" s="84">
        <v>0.0</v>
      </c>
      <c r="AF564" s="84">
        <v>0.0</v>
      </c>
      <c r="AG564" s="84">
        <v>0.0</v>
      </c>
      <c r="AH564" s="84">
        <v>0.0</v>
      </c>
      <c r="AI564" s="84">
        <v>0.0</v>
      </c>
      <c r="AJ564" s="84">
        <v>0.0</v>
      </c>
      <c r="AK564" s="84">
        <v>0.0</v>
      </c>
      <c r="AL564" s="84">
        <v>0.0</v>
      </c>
      <c r="AM564" s="84">
        <v>0.0</v>
      </c>
      <c r="AN564" s="93">
        <f t="shared" si="1"/>
        <v>0</v>
      </c>
      <c r="AO564" s="84">
        <f t="shared" si="2"/>
        <v>0</v>
      </c>
    </row>
    <row r="565" ht="12.75" customHeight="1">
      <c r="A565" s="84" t="s">
        <v>4514</v>
      </c>
      <c r="B565" s="84">
        <v>0.0</v>
      </c>
      <c r="C565" s="84">
        <v>0.0</v>
      </c>
      <c r="D565" s="84">
        <v>0.0</v>
      </c>
      <c r="E565" s="84">
        <v>0.0</v>
      </c>
      <c r="F565" s="84">
        <v>0.0</v>
      </c>
      <c r="G565" s="84">
        <v>0.0</v>
      </c>
      <c r="H565" s="84">
        <v>0.0</v>
      </c>
      <c r="I565" s="91">
        <v>0.0</v>
      </c>
      <c r="J565" s="84">
        <v>0.0</v>
      </c>
      <c r="K565" s="84">
        <v>0.0</v>
      </c>
      <c r="L565" s="84">
        <v>0.0</v>
      </c>
      <c r="M565" s="84">
        <v>0.0</v>
      </c>
      <c r="N565" s="84">
        <v>0.0</v>
      </c>
      <c r="O565" s="84">
        <v>0.0</v>
      </c>
      <c r="P565" s="84">
        <v>0.0</v>
      </c>
      <c r="Q565" s="84">
        <v>0.0</v>
      </c>
      <c r="R565" s="84">
        <v>0.0</v>
      </c>
      <c r="S565" s="84">
        <v>0.0</v>
      </c>
      <c r="T565" s="84">
        <v>0.0</v>
      </c>
      <c r="U565" s="84">
        <v>0.0</v>
      </c>
      <c r="V565" s="84">
        <v>0.0</v>
      </c>
      <c r="W565" s="84">
        <v>0.0</v>
      </c>
      <c r="X565" s="84">
        <v>0.0</v>
      </c>
      <c r="Y565" s="84">
        <v>0.0</v>
      </c>
      <c r="Z565" s="84">
        <v>0.0</v>
      </c>
      <c r="AA565" s="84">
        <v>0.0</v>
      </c>
      <c r="AB565" s="84">
        <v>0.0</v>
      </c>
      <c r="AC565" s="91">
        <v>0.0</v>
      </c>
      <c r="AD565" s="84">
        <v>0.0</v>
      </c>
      <c r="AE565" s="84">
        <v>0.0</v>
      </c>
      <c r="AF565" s="84">
        <v>1.0</v>
      </c>
      <c r="AG565" s="84">
        <v>0.0</v>
      </c>
      <c r="AH565" s="84">
        <v>0.0</v>
      </c>
      <c r="AI565" s="84">
        <v>0.0</v>
      </c>
      <c r="AJ565" s="84">
        <v>0.0</v>
      </c>
      <c r="AK565" s="84">
        <v>0.0</v>
      </c>
      <c r="AL565" s="84">
        <v>0.0</v>
      </c>
      <c r="AM565" s="84">
        <v>0.0</v>
      </c>
      <c r="AN565" s="93">
        <f t="shared" si="1"/>
        <v>0</v>
      </c>
      <c r="AO565" s="84">
        <f t="shared" si="2"/>
        <v>1</v>
      </c>
    </row>
    <row r="566" ht="12.75" customHeight="1">
      <c r="A566" s="84" t="s">
        <v>2905</v>
      </c>
      <c r="B566" s="84">
        <v>1.0</v>
      </c>
      <c r="C566" s="84">
        <v>0.0</v>
      </c>
      <c r="D566" s="84">
        <v>0.0</v>
      </c>
      <c r="E566" s="84">
        <v>0.0</v>
      </c>
      <c r="F566" s="84">
        <v>0.0</v>
      </c>
      <c r="G566" s="84">
        <v>0.0</v>
      </c>
      <c r="H566" s="84">
        <v>0.0</v>
      </c>
      <c r="I566" s="91">
        <v>0.0</v>
      </c>
      <c r="J566" s="84">
        <v>0.0</v>
      </c>
      <c r="K566" s="84">
        <v>0.0</v>
      </c>
      <c r="L566" s="84">
        <v>0.0</v>
      </c>
      <c r="M566" s="84">
        <v>0.0</v>
      </c>
      <c r="N566" s="84">
        <v>0.0</v>
      </c>
      <c r="O566" s="84">
        <v>0.0</v>
      </c>
      <c r="P566" s="84">
        <v>0.0</v>
      </c>
      <c r="Q566" s="84">
        <v>0.0</v>
      </c>
      <c r="R566" s="84">
        <v>0.0</v>
      </c>
      <c r="S566" s="84">
        <v>0.0</v>
      </c>
      <c r="T566" s="84">
        <v>0.0</v>
      </c>
      <c r="U566" s="84">
        <v>0.0</v>
      </c>
      <c r="V566" s="84">
        <v>3.0</v>
      </c>
      <c r="W566" s="84">
        <v>2.0</v>
      </c>
      <c r="X566" s="84">
        <v>0.0</v>
      </c>
      <c r="Y566" s="84">
        <v>0.0</v>
      </c>
      <c r="Z566" s="84">
        <v>0.0</v>
      </c>
      <c r="AA566" s="84">
        <v>0.0</v>
      </c>
      <c r="AB566" s="84">
        <v>0.0</v>
      </c>
      <c r="AC566" s="91">
        <v>0.0</v>
      </c>
      <c r="AD566" s="84">
        <v>0.0</v>
      </c>
      <c r="AE566" s="84">
        <v>0.0</v>
      </c>
      <c r="AF566" s="84">
        <v>0.0</v>
      </c>
      <c r="AG566" s="84">
        <v>0.0</v>
      </c>
      <c r="AH566" s="84">
        <v>0.0</v>
      </c>
      <c r="AI566" s="84">
        <v>0.0</v>
      </c>
      <c r="AJ566" s="84">
        <v>0.0</v>
      </c>
      <c r="AK566" s="84">
        <v>0.0</v>
      </c>
      <c r="AL566" s="84">
        <v>0.0</v>
      </c>
      <c r="AM566" s="84">
        <v>0.0</v>
      </c>
      <c r="AN566" s="93">
        <f t="shared" si="1"/>
        <v>0</v>
      </c>
      <c r="AO566" s="84">
        <f t="shared" si="2"/>
        <v>0</v>
      </c>
    </row>
    <row r="567" ht="12.75" customHeight="1">
      <c r="A567" s="84" t="s">
        <v>2736</v>
      </c>
      <c r="B567" s="84">
        <v>2.0</v>
      </c>
      <c r="C567" s="84">
        <v>1.0</v>
      </c>
      <c r="D567" s="84">
        <v>0.0</v>
      </c>
      <c r="E567" s="84">
        <v>0.0</v>
      </c>
      <c r="F567" s="84">
        <v>0.0</v>
      </c>
      <c r="G567" s="84">
        <v>0.0</v>
      </c>
      <c r="H567" s="84">
        <v>0.0</v>
      </c>
      <c r="I567" s="91">
        <v>0.0</v>
      </c>
      <c r="J567" s="84">
        <v>0.0</v>
      </c>
      <c r="K567" s="84">
        <v>0.0</v>
      </c>
      <c r="L567" s="84">
        <v>0.0</v>
      </c>
      <c r="M567" s="84">
        <v>0.0</v>
      </c>
      <c r="N567" s="84">
        <v>0.0</v>
      </c>
      <c r="O567" s="84">
        <v>0.0</v>
      </c>
      <c r="P567" s="84">
        <v>0.0</v>
      </c>
      <c r="Q567" s="84">
        <v>0.0</v>
      </c>
      <c r="R567" s="84">
        <v>0.0</v>
      </c>
      <c r="S567" s="84">
        <v>0.0</v>
      </c>
      <c r="T567" s="84">
        <v>0.0</v>
      </c>
      <c r="U567" s="84">
        <v>0.0</v>
      </c>
      <c r="V567" s="84">
        <v>2.0</v>
      </c>
      <c r="W567" s="84">
        <v>1.0</v>
      </c>
      <c r="X567" s="84">
        <v>0.0</v>
      </c>
      <c r="Y567" s="84">
        <v>0.0</v>
      </c>
      <c r="Z567" s="84">
        <v>0.0</v>
      </c>
      <c r="AA567" s="84">
        <v>0.0</v>
      </c>
      <c r="AB567" s="84">
        <v>0.0</v>
      </c>
      <c r="AC567" s="91">
        <v>0.0</v>
      </c>
      <c r="AD567" s="84">
        <v>0.0</v>
      </c>
      <c r="AE567" s="84">
        <v>0.0</v>
      </c>
      <c r="AF567" s="84">
        <v>0.0</v>
      </c>
      <c r="AG567" s="84">
        <v>0.0</v>
      </c>
      <c r="AH567" s="84">
        <v>0.0</v>
      </c>
      <c r="AI567" s="84">
        <v>0.0</v>
      </c>
      <c r="AJ567" s="84">
        <v>0.0</v>
      </c>
      <c r="AK567" s="84">
        <v>0.0</v>
      </c>
      <c r="AL567" s="84">
        <v>0.0</v>
      </c>
      <c r="AM567" s="84">
        <v>0.0</v>
      </c>
      <c r="AN567" s="93">
        <f t="shared" si="1"/>
        <v>0</v>
      </c>
      <c r="AO567" s="84">
        <f t="shared" si="2"/>
        <v>0</v>
      </c>
    </row>
    <row r="568" ht="12.75" customHeight="1">
      <c r="A568" s="84" t="s">
        <v>3200</v>
      </c>
      <c r="B568" s="84">
        <v>0.0</v>
      </c>
      <c r="C568" s="84">
        <v>4.0</v>
      </c>
      <c r="D568" s="84">
        <v>1.0</v>
      </c>
      <c r="E568" s="84">
        <v>0.0</v>
      </c>
      <c r="F568" s="84">
        <v>0.0</v>
      </c>
      <c r="G568" s="84">
        <v>0.0</v>
      </c>
      <c r="H568" s="84">
        <v>0.0</v>
      </c>
      <c r="I568" s="91">
        <v>0.0</v>
      </c>
      <c r="J568" s="84">
        <v>0.0</v>
      </c>
      <c r="K568" s="84">
        <v>0.0</v>
      </c>
      <c r="L568" s="84">
        <v>0.0</v>
      </c>
      <c r="M568" s="84">
        <v>0.0</v>
      </c>
      <c r="N568" s="84">
        <v>0.0</v>
      </c>
      <c r="O568" s="84">
        <v>0.0</v>
      </c>
      <c r="P568" s="84">
        <v>0.0</v>
      </c>
      <c r="Q568" s="84">
        <v>0.0</v>
      </c>
      <c r="R568" s="84">
        <v>0.0</v>
      </c>
      <c r="S568" s="84">
        <v>0.0</v>
      </c>
      <c r="T568" s="84">
        <v>0.0</v>
      </c>
      <c r="U568" s="84">
        <v>0.0</v>
      </c>
      <c r="V568" s="84">
        <v>0.0</v>
      </c>
      <c r="W568" s="84">
        <v>3.0</v>
      </c>
      <c r="X568" s="84">
        <v>3.0</v>
      </c>
      <c r="Y568" s="84">
        <v>0.0</v>
      </c>
      <c r="Z568" s="84">
        <v>0.0</v>
      </c>
      <c r="AA568" s="84">
        <v>0.0</v>
      </c>
      <c r="AB568" s="84">
        <v>0.0</v>
      </c>
      <c r="AC568" s="91">
        <v>0.0</v>
      </c>
      <c r="AD568" s="84">
        <v>0.0</v>
      </c>
      <c r="AE568" s="84">
        <v>0.0</v>
      </c>
      <c r="AF568" s="84">
        <v>0.0</v>
      </c>
      <c r="AG568" s="84">
        <v>0.0</v>
      </c>
      <c r="AH568" s="84">
        <v>0.0</v>
      </c>
      <c r="AI568" s="84">
        <v>0.0</v>
      </c>
      <c r="AJ568" s="84">
        <v>0.0</v>
      </c>
      <c r="AK568" s="84">
        <v>0.0</v>
      </c>
      <c r="AL568" s="84">
        <v>0.0</v>
      </c>
      <c r="AM568" s="84">
        <v>0.0</v>
      </c>
      <c r="AN568" s="93">
        <f t="shared" si="1"/>
        <v>0</v>
      </c>
      <c r="AO568" s="84">
        <f t="shared" si="2"/>
        <v>0</v>
      </c>
    </row>
    <row r="569" ht="12.75" customHeight="1">
      <c r="A569" s="84" t="s">
        <v>2981</v>
      </c>
      <c r="B569" s="84">
        <v>2.0</v>
      </c>
      <c r="C569" s="84">
        <v>1.0</v>
      </c>
      <c r="D569" s="84">
        <v>0.0</v>
      </c>
      <c r="E569" s="84">
        <v>0.0</v>
      </c>
      <c r="F569" s="84">
        <v>0.0</v>
      </c>
      <c r="G569" s="84">
        <v>0.0</v>
      </c>
      <c r="H569" s="84">
        <v>0.0</v>
      </c>
      <c r="I569" s="91">
        <v>0.0</v>
      </c>
      <c r="J569" s="84">
        <v>0.0</v>
      </c>
      <c r="K569" s="84">
        <v>0.0</v>
      </c>
      <c r="L569" s="84">
        <v>0.0</v>
      </c>
      <c r="M569" s="84">
        <v>0.0</v>
      </c>
      <c r="N569" s="84">
        <v>0.0</v>
      </c>
      <c r="O569" s="84">
        <v>0.0</v>
      </c>
      <c r="P569" s="84">
        <v>0.0</v>
      </c>
      <c r="Q569" s="84">
        <v>0.0</v>
      </c>
      <c r="R569" s="84">
        <v>0.0</v>
      </c>
      <c r="S569" s="84">
        <v>0.0</v>
      </c>
      <c r="T569" s="84">
        <v>0.0</v>
      </c>
      <c r="U569" s="84">
        <v>0.0</v>
      </c>
      <c r="V569" s="84">
        <v>3.0</v>
      </c>
      <c r="W569" s="84">
        <v>1.0</v>
      </c>
      <c r="X569" s="84">
        <v>0.0</v>
      </c>
      <c r="Y569" s="84">
        <v>0.0</v>
      </c>
      <c r="Z569" s="84">
        <v>0.0</v>
      </c>
      <c r="AA569" s="84">
        <v>0.0</v>
      </c>
      <c r="AB569" s="84">
        <v>0.0</v>
      </c>
      <c r="AC569" s="91">
        <v>0.0</v>
      </c>
      <c r="AD569" s="84">
        <v>0.0</v>
      </c>
      <c r="AE569" s="84">
        <v>0.0</v>
      </c>
      <c r="AF569" s="84">
        <v>0.0</v>
      </c>
      <c r="AG569" s="84">
        <v>0.0</v>
      </c>
      <c r="AH569" s="84">
        <v>0.0</v>
      </c>
      <c r="AI569" s="84">
        <v>0.0</v>
      </c>
      <c r="AJ569" s="84">
        <v>0.0</v>
      </c>
      <c r="AK569" s="84">
        <v>0.0</v>
      </c>
      <c r="AL569" s="84">
        <v>0.0</v>
      </c>
      <c r="AM569" s="84">
        <v>0.0</v>
      </c>
      <c r="AN569" s="93">
        <f t="shared" si="1"/>
        <v>0</v>
      </c>
      <c r="AO569" s="84">
        <f t="shared" si="2"/>
        <v>0</v>
      </c>
    </row>
    <row r="570" ht="12.75" customHeight="1">
      <c r="A570" s="84" t="s">
        <v>3570</v>
      </c>
      <c r="B570" s="84">
        <v>0.0</v>
      </c>
      <c r="C570" s="84">
        <v>0.0</v>
      </c>
      <c r="D570" s="84">
        <v>0.0</v>
      </c>
      <c r="E570" s="84">
        <v>5.0</v>
      </c>
      <c r="F570" s="84">
        <v>2.0</v>
      </c>
      <c r="G570" s="84">
        <v>0.0</v>
      </c>
      <c r="H570" s="84">
        <v>0.0</v>
      </c>
      <c r="I570" s="91">
        <v>0.0</v>
      </c>
      <c r="J570" s="84">
        <v>0.0</v>
      </c>
      <c r="K570" s="84">
        <v>0.0</v>
      </c>
      <c r="L570" s="84">
        <v>0.0</v>
      </c>
      <c r="M570" s="84">
        <v>0.0</v>
      </c>
      <c r="N570" s="84">
        <v>0.0</v>
      </c>
      <c r="O570" s="84">
        <v>0.0</v>
      </c>
      <c r="P570" s="84">
        <v>0.0</v>
      </c>
      <c r="Q570" s="84">
        <v>0.0</v>
      </c>
      <c r="R570" s="84">
        <v>0.0</v>
      </c>
      <c r="S570" s="84">
        <v>0.0</v>
      </c>
      <c r="T570" s="84">
        <v>0.0</v>
      </c>
      <c r="U570" s="84">
        <v>0.0</v>
      </c>
      <c r="V570" s="84">
        <v>0.0</v>
      </c>
      <c r="W570" s="84">
        <v>0.0</v>
      </c>
      <c r="X570" s="84">
        <v>0.0</v>
      </c>
      <c r="Y570" s="84">
        <v>6.0</v>
      </c>
      <c r="Z570" s="84">
        <v>2.0</v>
      </c>
      <c r="AA570" s="84">
        <v>0.0</v>
      </c>
      <c r="AB570" s="84">
        <v>0.0</v>
      </c>
      <c r="AC570" s="91">
        <v>0.0</v>
      </c>
      <c r="AD570" s="84">
        <v>0.0</v>
      </c>
      <c r="AE570" s="84">
        <v>0.0</v>
      </c>
      <c r="AF570" s="84">
        <v>0.0</v>
      </c>
      <c r="AG570" s="84">
        <v>0.0</v>
      </c>
      <c r="AH570" s="84">
        <v>0.0</v>
      </c>
      <c r="AI570" s="84">
        <v>0.0</v>
      </c>
      <c r="AJ570" s="84">
        <v>0.0</v>
      </c>
      <c r="AK570" s="84">
        <v>0.0</v>
      </c>
      <c r="AL570" s="84">
        <v>0.0</v>
      </c>
      <c r="AM570" s="84">
        <v>0.0</v>
      </c>
      <c r="AN570" s="93">
        <f t="shared" si="1"/>
        <v>0</v>
      </c>
      <c r="AO570" s="84">
        <f t="shared" si="2"/>
        <v>0</v>
      </c>
    </row>
    <row r="571" ht="12.75" customHeight="1">
      <c r="A571" s="84" t="s">
        <v>4636</v>
      </c>
      <c r="B571" s="84">
        <v>0.0</v>
      </c>
      <c r="C571" s="84">
        <v>0.0</v>
      </c>
      <c r="D571" s="84">
        <v>0.0</v>
      </c>
      <c r="E571" s="84">
        <v>0.0</v>
      </c>
      <c r="F571" s="84">
        <v>0.0</v>
      </c>
      <c r="G571" s="84">
        <v>0.0</v>
      </c>
      <c r="H571" s="84">
        <v>0.0</v>
      </c>
      <c r="I571" s="91">
        <v>0.0</v>
      </c>
      <c r="J571" s="84">
        <v>0.0</v>
      </c>
      <c r="K571" s="84">
        <v>0.0</v>
      </c>
      <c r="L571" s="84">
        <v>0.0</v>
      </c>
      <c r="M571" s="84">
        <v>0.0</v>
      </c>
      <c r="N571" s="84">
        <v>0.0</v>
      </c>
      <c r="O571" s="84">
        <v>0.0</v>
      </c>
      <c r="P571" s="84">
        <v>0.0</v>
      </c>
      <c r="Q571" s="84">
        <v>0.0</v>
      </c>
      <c r="R571" s="84">
        <v>0.0</v>
      </c>
      <c r="S571" s="84">
        <v>0.0</v>
      </c>
      <c r="T571" s="84">
        <v>0.0</v>
      </c>
      <c r="U571" s="84">
        <v>0.0</v>
      </c>
      <c r="V571" s="84">
        <v>0.0</v>
      </c>
      <c r="W571" s="84">
        <v>0.0</v>
      </c>
      <c r="X571" s="84">
        <v>0.0</v>
      </c>
      <c r="Y571" s="84">
        <v>0.0</v>
      </c>
      <c r="Z571" s="84">
        <v>0.0</v>
      </c>
      <c r="AA571" s="84">
        <v>0.0</v>
      </c>
      <c r="AB571" s="84">
        <v>0.0</v>
      </c>
      <c r="AC571" s="91">
        <v>0.0</v>
      </c>
      <c r="AD571" s="84">
        <v>0.0</v>
      </c>
      <c r="AE571" s="84">
        <v>0.0</v>
      </c>
      <c r="AF571" s="84">
        <v>0.0</v>
      </c>
      <c r="AG571" s="84">
        <v>0.0</v>
      </c>
      <c r="AH571" s="84">
        <v>0.0</v>
      </c>
      <c r="AI571" s="84">
        <v>0.0</v>
      </c>
      <c r="AJ571" s="84">
        <v>0.0</v>
      </c>
      <c r="AK571" s="84">
        <v>1.0</v>
      </c>
      <c r="AL571" s="84">
        <v>0.0</v>
      </c>
      <c r="AM571" s="84">
        <v>0.0</v>
      </c>
      <c r="AN571" s="93">
        <f t="shared" si="1"/>
        <v>0</v>
      </c>
      <c r="AO571" s="84">
        <f t="shared" si="2"/>
        <v>1</v>
      </c>
    </row>
    <row r="572" ht="12.75" customHeight="1">
      <c r="A572" s="84" t="s">
        <v>4634</v>
      </c>
      <c r="B572" s="84">
        <v>0.0</v>
      </c>
      <c r="C572" s="84">
        <v>0.0</v>
      </c>
      <c r="D572" s="84">
        <v>0.0</v>
      </c>
      <c r="E572" s="84">
        <v>0.0</v>
      </c>
      <c r="F572" s="84">
        <v>0.0</v>
      </c>
      <c r="G572" s="84">
        <v>0.0</v>
      </c>
      <c r="H572" s="84">
        <v>0.0</v>
      </c>
      <c r="I572" s="91">
        <v>0.0</v>
      </c>
      <c r="J572" s="84">
        <v>0.0</v>
      </c>
      <c r="K572" s="84">
        <v>0.0</v>
      </c>
      <c r="L572" s="84">
        <v>0.0</v>
      </c>
      <c r="M572" s="84">
        <v>0.0</v>
      </c>
      <c r="N572" s="84">
        <v>0.0</v>
      </c>
      <c r="O572" s="84">
        <v>0.0</v>
      </c>
      <c r="P572" s="84">
        <v>0.0</v>
      </c>
      <c r="Q572" s="84">
        <v>0.0</v>
      </c>
      <c r="R572" s="84">
        <v>0.0</v>
      </c>
      <c r="S572" s="84">
        <v>0.0</v>
      </c>
      <c r="T572" s="84">
        <v>0.0</v>
      </c>
      <c r="U572" s="84">
        <v>0.0</v>
      </c>
      <c r="V572" s="84">
        <v>0.0</v>
      </c>
      <c r="W572" s="84">
        <v>0.0</v>
      </c>
      <c r="X572" s="84">
        <v>0.0</v>
      </c>
      <c r="Y572" s="84">
        <v>0.0</v>
      </c>
      <c r="Z572" s="84">
        <v>0.0</v>
      </c>
      <c r="AA572" s="84">
        <v>0.0</v>
      </c>
      <c r="AB572" s="84">
        <v>0.0</v>
      </c>
      <c r="AC572" s="91">
        <v>0.0</v>
      </c>
      <c r="AD572" s="84">
        <v>0.0</v>
      </c>
      <c r="AE572" s="84">
        <v>0.0</v>
      </c>
      <c r="AF572" s="84">
        <v>0.0</v>
      </c>
      <c r="AG572" s="84">
        <v>0.0</v>
      </c>
      <c r="AH572" s="84">
        <v>0.0</v>
      </c>
      <c r="AI572" s="84">
        <v>0.0</v>
      </c>
      <c r="AJ572" s="84">
        <v>0.0</v>
      </c>
      <c r="AK572" s="84">
        <v>1.0</v>
      </c>
      <c r="AL572" s="84">
        <v>0.0</v>
      </c>
      <c r="AM572" s="84">
        <v>0.0</v>
      </c>
      <c r="AN572" s="93">
        <f t="shared" si="1"/>
        <v>0</v>
      </c>
      <c r="AO572" s="84">
        <f t="shared" si="2"/>
        <v>1</v>
      </c>
    </row>
    <row r="573" ht="12.75" customHeight="1">
      <c r="A573" s="84" t="s">
        <v>3916</v>
      </c>
      <c r="B573" s="84">
        <v>0.0</v>
      </c>
      <c r="C573" s="84">
        <v>0.0</v>
      </c>
      <c r="D573" s="84">
        <v>0.0</v>
      </c>
      <c r="E573" s="84">
        <v>0.0</v>
      </c>
      <c r="F573" s="84">
        <v>0.0</v>
      </c>
      <c r="G573" s="84">
        <v>0.0</v>
      </c>
      <c r="H573" s="84">
        <v>3.0</v>
      </c>
      <c r="I573" s="91">
        <v>0.0</v>
      </c>
      <c r="J573" s="84">
        <v>0.0</v>
      </c>
      <c r="K573" s="84">
        <v>0.0</v>
      </c>
      <c r="L573" s="84">
        <v>0.0</v>
      </c>
      <c r="M573" s="84">
        <v>0.0</v>
      </c>
      <c r="N573" s="84">
        <v>0.0</v>
      </c>
      <c r="O573" s="84">
        <v>0.0</v>
      </c>
      <c r="P573" s="84">
        <v>0.0</v>
      </c>
      <c r="Q573" s="84">
        <v>0.0</v>
      </c>
      <c r="R573" s="84">
        <v>0.0</v>
      </c>
      <c r="S573" s="84">
        <v>0.0</v>
      </c>
      <c r="T573" s="84">
        <v>0.0</v>
      </c>
      <c r="U573" s="84">
        <v>0.0</v>
      </c>
      <c r="V573" s="84">
        <v>0.0</v>
      </c>
      <c r="W573" s="84">
        <v>0.0</v>
      </c>
      <c r="X573" s="84">
        <v>0.0</v>
      </c>
      <c r="Y573" s="84">
        <v>0.0</v>
      </c>
      <c r="Z573" s="84">
        <v>0.0</v>
      </c>
      <c r="AA573" s="84">
        <v>0.0</v>
      </c>
      <c r="AB573" s="84">
        <v>6.0</v>
      </c>
      <c r="AC573" s="91">
        <v>0.0</v>
      </c>
      <c r="AD573" s="84">
        <v>0.0</v>
      </c>
      <c r="AE573" s="84">
        <v>0.0</v>
      </c>
      <c r="AF573" s="84">
        <v>0.0</v>
      </c>
      <c r="AG573" s="84">
        <v>0.0</v>
      </c>
      <c r="AH573" s="84">
        <v>0.0</v>
      </c>
      <c r="AI573" s="84">
        <v>0.0</v>
      </c>
      <c r="AJ573" s="84">
        <v>0.0</v>
      </c>
      <c r="AK573" s="84">
        <v>0.0</v>
      </c>
      <c r="AL573" s="84">
        <v>0.0</v>
      </c>
      <c r="AM573" s="84">
        <v>0.0</v>
      </c>
      <c r="AN573" s="93">
        <f t="shared" si="1"/>
        <v>0</v>
      </c>
      <c r="AO573" s="84">
        <f t="shared" si="2"/>
        <v>0</v>
      </c>
    </row>
    <row r="574" ht="12.75" customHeight="1">
      <c r="A574" s="84" t="s">
        <v>4624</v>
      </c>
      <c r="B574" s="84">
        <v>0.0</v>
      </c>
      <c r="C574" s="84">
        <v>0.0</v>
      </c>
      <c r="D574" s="84">
        <v>0.0</v>
      </c>
      <c r="E574" s="84">
        <v>0.0</v>
      </c>
      <c r="F574" s="84">
        <v>0.0</v>
      </c>
      <c r="G574" s="84">
        <v>0.0</v>
      </c>
      <c r="H574" s="84">
        <v>0.0</v>
      </c>
      <c r="I574" s="91">
        <v>0.0</v>
      </c>
      <c r="J574" s="84">
        <v>0.0</v>
      </c>
      <c r="K574" s="84">
        <v>0.0</v>
      </c>
      <c r="L574" s="84">
        <v>0.0</v>
      </c>
      <c r="M574" s="84">
        <v>0.0</v>
      </c>
      <c r="N574" s="84">
        <v>0.0</v>
      </c>
      <c r="O574" s="84">
        <v>0.0</v>
      </c>
      <c r="P574" s="84">
        <v>0.0</v>
      </c>
      <c r="Q574" s="84">
        <v>0.0</v>
      </c>
      <c r="R574" s="84">
        <v>0.0</v>
      </c>
      <c r="S574" s="84">
        <v>1.0</v>
      </c>
      <c r="T574" s="84">
        <v>0.0</v>
      </c>
      <c r="U574" s="84">
        <v>0.0</v>
      </c>
      <c r="V574" s="84">
        <v>0.0</v>
      </c>
      <c r="W574" s="84">
        <v>0.0</v>
      </c>
      <c r="X574" s="84">
        <v>0.0</v>
      </c>
      <c r="Y574" s="84">
        <v>0.0</v>
      </c>
      <c r="Z574" s="84">
        <v>0.0</v>
      </c>
      <c r="AA574" s="84">
        <v>0.0</v>
      </c>
      <c r="AB574" s="84">
        <v>0.0</v>
      </c>
      <c r="AC574" s="91">
        <v>0.0</v>
      </c>
      <c r="AD574" s="84">
        <v>0.0</v>
      </c>
      <c r="AE574" s="84">
        <v>0.0</v>
      </c>
      <c r="AF574" s="84">
        <v>0.0</v>
      </c>
      <c r="AG574" s="84">
        <v>0.0</v>
      </c>
      <c r="AH574" s="84">
        <v>0.0</v>
      </c>
      <c r="AI574" s="84">
        <v>0.0</v>
      </c>
      <c r="AJ574" s="84">
        <v>0.0</v>
      </c>
      <c r="AK574" s="84">
        <v>0.0</v>
      </c>
      <c r="AL574" s="84">
        <v>0.0</v>
      </c>
      <c r="AM574" s="84">
        <v>0.0</v>
      </c>
      <c r="AN574" s="93">
        <f t="shared" si="1"/>
        <v>0</v>
      </c>
      <c r="AO574" s="84">
        <f t="shared" si="2"/>
        <v>1</v>
      </c>
    </row>
    <row r="575" ht="12.75" customHeight="1">
      <c r="A575" s="84" t="s">
        <v>3688</v>
      </c>
      <c r="B575" s="84">
        <v>0.0</v>
      </c>
      <c r="C575" s="84">
        <v>0.0</v>
      </c>
      <c r="D575" s="84">
        <v>0.0</v>
      </c>
      <c r="E575" s="84">
        <v>0.0</v>
      </c>
      <c r="F575" s="84">
        <v>5.0</v>
      </c>
      <c r="G575" s="84">
        <v>1.0</v>
      </c>
      <c r="H575" s="84">
        <v>0.0</v>
      </c>
      <c r="I575" s="91">
        <v>0.0</v>
      </c>
      <c r="J575" s="84">
        <v>0.0</v>
      </c>
      <c r="K575" s="84">
        <v>0.0</v>
      </c>
      <c r="L575" s="84">
        <v>0.0</v>
      </c>
      <c r="M575" s="84">
        <v>0.0</v>
      </c>
      <c r="N575" s="84">
        <v>0.0</v>
      </c>
      <c r="O575" s="84">
        <v>0.0</v>
      </c>
      <c r="P575" s="84">
        <v>0.0</v>
      </c>
      <c r="Q575" s="84">
        <v>0.0</v>
      </c>
      <c r="R575" s="84">
        <v>0.0</v>
      </c>
      <c r="S575" s="84">
        <v>0.0</v>
      </c>
      <c r="T575" s="84">
        <v>0.0</v>
      </c>
      <c r="U575" s="84">
        <v>0.0</v>
      </c>
      <c r="V575" s="84">
        <v>0.0</v>
      </c>
      <c r="W575" s="84">
        <v>0.0</v>
      </c>
      <c r="X575" s="84">
        <v>0.0</v>
      </c>
      <c r="Y575" s="84">
        <v>0.0</v>
      </c>
      <c r="Z575" s="84">
        <v>6.0</v>
      </c>
      <c r="AA575" s="84">
        <v>2.0</v>
      </c>
      <c r="AB575" s="84">
        <v>0.0</v>
      </c>
      <c r="AC575" s="91">
        <v>0.0</v>
      </c>
      <c r="AD575" s="84">
        <v>0.0</v>
      </c>
      <c r="AE575" s="84">
        <v>0.0</v>
      </c>
      <c r="AF575" s="84">
        <v>0.0</v>
      </c>
      <c r="AG575" s="84">
        <v>0.0</v>
      </c>
      <c r="AH575" s="84">
        <v>0.0</v>
      </c>
      <c r="AI575" s="84">
        <v>0.0</v>
      </c>
      <c r="AJ575" s="84">
        <v>0.0</v>
      </c>
      <c r="AK575" s="84">
        <v>0.0</v>
      </c>
      <c r="AL575" s="84">
        <v>0.0</v>
      </c>
      <c r="AM575" s="84">
        <v>0.0</v>
      </c>
      <c r="AN575" s="93">
        <f t="shared" si="1"/>
        <v>0</v>
      </c>
      <c r="AO575" s="84">
        <f t="shared" si="2"/>
        <v>0</v>
      </c>
    </row>
    <row r="576" ht="12.75" customHeight="1">
      <c r="A576" s="84" t="s">
        <v>3132</v>
      </c>
      <c r="B576" s="84">
        <v>0.0</v>
      </c>
      <c r="C576" s="84">
        <v>4.0</v>
      </c>
      <c r="D576" s="84">
        <v>0.0</v>
      </c>
      <c r="E576" s="84">
        <v>0.0</v>
      </c>
      <c r="F576" s="84">
        <v>0.0</v>
      </c>
      <c r="G576" s="84">
        <v>0.0</v>
      </c>
      <c r="H576" s="84">
        <v>0.0</v>
      </c>
      <c r="I576" s="91">
        <v>0.0</v>
      </c>
      <c r="J576" s="84">
        <v>0.0</v>
      </c>
      <c r="K576" s="84">
        <v>0.0</v>
      </c>
      <c r="L576" s="84">
        <v>0.0</v>
      </c>
      <c r="M576" s="84">
        <v>0.0</v>
      </c>
      <c r="N576" s="84">
        <v>0.0</v>
      </c>
      <c r="O576" s="84">
        <v>0.0</v>
      </c>
      <c r="P576" s="84">
        <v>0.0</v>
      </c>
      <c r="Q576" s="84">
        <v>0.0</v>
      </c>
      <c r="R576" s="84">
        <v>0.0</v>
      </c>
      <c r="S576" s="84">
        <v>0.0</v>
      </c>
      <c r="T576" s="84">
        <v>0.0</v>
      </c>
      <c r="U576" s="84">
        <v>0.0</v>
      </c>
      <c r="V576" s="84">
        <v>0.0</v>
      </c>
      <c r="W576" s="84">
        <v>3.0</v>
      </c>
      <c r="X576" s="84">
        <v>2.0</v>
      </c>
      <c r="Y576" s="84">
        <v>0.0</v>
      </c>
      <c r="Z576" s="84">
        <v>0.0</v>
      </c>
      <c r="AA576" s="84">
        <v>0.0</v>
      </c>
      <c r="AB576" s="84">
        <v>0.0</v>
      </c>
      <c r="AC576" s="91">
        <v>0.0</v>
      </c>
      <c r="AD576" s="84">
        <v>0.0</v>
      </c>
      <c r="AE576" s="84">
        <v>0.0</v>
      </c>
      <c r="AF576" s="84">
        <v>0.0</v>
      </c>
      <c r="AG576" s="84">
        <v>0.0</v>
      </c>
      <c r="AH576" s="84">
        <v>0.0</v>
      </c>
      <c r="AI576" s="84">
        <v>0.0</v>
      </c>
      <c r="AJ576" s="84">
        <v>0.0</v>
      </c>
      <c r="AK576" s="84">
        <v>0.0</v>
      </c>
      <c r="AL576" s="84">
        <v>0.0</v>
      </c>
      <c r="AM576" s="84">
        <v>0.0</v>
      </c>
      <c r="AN576" s="93">
        <f t="shared" si="1"/>
        <v>0</v>
      </c>
      <c r="AO576" s="84">
        <f t="shared" si="2"/>
        <v>0</v>
      </c>
    </row>
    <row r="577" ht="12.75" customHeight="1">
      <c r="A577" s="84" t="s">
        <v>4678</v>
      </c>
      <c r="B577" s="84">
        <v>0.0</v>
      </c>
      <c r="C577" s="84">
        <v>0.0</v>
      </c>
      <c r="D577" s="84">
        <v>0.0</v>
      </c>
      <c r="E577" s="84">
        <v>0.0</v>
      </c>
      <c r="F577" s="84">
        <v>0.0</v>
      </c>
      <c r="G577" s="84">
        <v>0.0</v>
      </c>
      <c r="H577" s="84">
        <v>0.0</v>
      </c>
      <c r="I577" s="91">
        <v>0.0</v>
      </c>
      <c r="J577" s="84">
        <v>0.0</v>
      </c>
      <c r="K577" s="84">
        <v>0.0</v>
      </c>
      <c r="L577" s="84">
        <v>0.0</v>
      </c>
      <c r="M577" s="84">
        <v>0.0</v>
      </c>
      <c r="N577" s="84">
        <v>0.0</v>
      </c>
      <c r="O577" s="84">
        <v>0.0</v>
      </c>
      <c r="P577" s="84">
        <v>0.0</v>
      </c>
      <c r="Q577" s="84">
        <v>0.0</v>
      </c>
      <c r="R577" s="84">
        <v>0.0</v>
      </c>
      <c r="S577" s="84">
        <v>0.0</v>
      </c>
      <c r="T577" s="84">
        <v>0.0</v>
      </c>
      <c r="U577" s="84">
        <v>0.0</v>
      </c>
      <c r="V577" s="84">
        <v>0.0</v>
      </c>
      <c r="W577" s="84">
        <v>0.0</v>
      </c>
      <c r="X577" s="84">
        <v>0.0</v>
      </c>
      <c r="Y577" s="84">
        <v>0.0</v>
      </c>
      <c r="Z577" s="84">
        <v>0.0</v>
      </c>
      <c r="AA577" s="84">
        <v>0.0</v>
      </c>
      <c r="AB577" s="84">
        <v>0.0</v>
      </c>
      <c r="AC577" s="91">
        <v>0.0</v>
      </c>
      <c r="AD577" s="84">
        <v>0.0</v>
      </c>
      <c r="AE577" s="84">
        <v>0.0</v>
      </c>
      <c r="AF577" s="84">
        <v>0.0</v>
      </c>
      <c r="AG577" s="84">
        <v>0.0</v>
      </c>
      <c r="AH577" s="84">
        <v>0.0</v>
      </c>
      <c r="AI577" s="84">
        <v>0.0</v>
      </c>
      <c r="AJ577" s="84">
        <v>0.0</v>
      </c>
      <c r="AK577" s="84">
        <v>0.0</v>
      </c>
      <c r="AL577" s="84">
        <v>0.0</v>
      </c>
      <c r="AM577" s="84">
        <v>1.0</v>
      </c>
      <c r="AN577" s="93">
        <f t="shared" si="1"/>
        <v>0</v>
      </c>
      <c r="AO577" s="84">
        <f t="shared" si="2"/>
        <v>1</v>
      </c>
    </row>
    <row r="578" ht="12.75" customHeight="1">
      <c r="A578" s="84" t="s">
        <v>4496</v>
      </c>
      <c r="B578" s="84">
        <v>0.0</v>
      </c>
      <c r="C578" s="84">
        <v>0.0</v>
      </c>
      <c r="D578" s="84">
        <v>0.0</v>
      </c>
      <c r="E578" s="84">
        <v>0.0</v>
      </c>
      <c r="F578" s="84">
        <v>0.0</v>
      </c>
      <c r="G578" s="84">
        <v>0.0</v>
      </c>
      <c r="H578" s="84">
        <v>0.0</v>
      </c>
      <c r="I578" s="91">
        <v>0.0</v>
      </c>
      <c r="J578" s="84">
        <v>0.0</v>
      </c>
      <c r="K578" s="84">
        <v>0.0</v>
      </c>
      <c r="L578" s="84">
        <v>0.0</v>
      </c>
      <c r="M578" s="84">
        <v>0.0</v>
      </c>
      <c r="N578" s="84">
        <v>1.0</v>
      </c>
      <c r="O578" s="84">
        <v>0.0</v>
      </c>
      <c r="P578" s="84">
        <v>0.0</v>
      </c>
      <c r="Q578" s="84">
        <v>0.0</v>
      </c>
      <c r="R578" s="84">
        <v>0.0</v>
      </c>
      <c r="S578" s="84">
        <v>0.0</v>
      </c>
      <c r="T578" s="84">
        <v>0.0</v>
      </c>
      <c r="U578" s="84">
        <v>0.0</v>
      </c>
      <c r="V578" s="84">
        <v>0.0</v>
      </c>
      <c r="W578" s="84">
        <v>0.0</v>
      </c>
      <c r="X578" s="84">
        <v>0.0</v>
      </c>
      <c r="Y578" s="84">
        <v>0.0</v>
      </c>
      <c r="Z578" s="84">
        <v>0.0</v>
      </c>
      <c r="AA578" s="84">
        <v>0.0</v>
      </c>
      <c r="AB578" s="84">
        <v>0.0</v>
      </c>
      <c r="AC578" s="91">
        <v>0.0</v>
      </c>
      <c r="AD578" s="84">
        <v>0.0</v>
      </c>
      <c r="AE578" s="84">
        <v>0.0</v>
      </c>
      <c r="AF578" s="84">
        <v>0.0</v>
      </c>
      <c r="AG578" s="84">
        <v>0.0</v>
      </c>
      <c r="AH578" s="84">
        <v>0.0</v>
      </c>
      <c r="AI578" s="84">
        <v>0.0</v>
      </c>
      <c r="AJ578" s="84">
        <v>0.0</v>
      </c>
      <c r="AK578" s="84">
        <v>0.0</v>
      </c>
      <c r="AL578" s="84">
        <v>0.0</v>
      </c>
      <c r="AM578" s="84">
        <v>0.0</v>
      </c>
      <c r="AN578" s="93">
        <f t="shared" si="1"/>
        <v>0</v>
      </c>
      <c r="AO578" s="84">
        <f t="shared" si="2"/>
        <v>1</v>
      </c>
    </row>
    <row r="579" ht="12.75" customHeight="1">
      <c r="A579" s="84" t="s">
        <v>3954</v>
      </c>
      <c r="B579" s="84">
        <v>0.0</v>
      </c>
      <c r="C579" s="84">
        <v>0.0</v>
      </c>
      <c r="D579" s="84">
        <v>0.0</v>
      </c>
      <c r="E579" s="84">
        <v>0.0</v>
      </c>
      <c r="F579" s="84">
        <v>0.0</v>
      </c>
      <c r="G579" s="84">
        <v>0.0</v>
      </c>
      <c r="H579" s="84">
        <v>5.0</v>
      </c>
      <c r="I579" s="91">
        <v>0.0</v>
      </c>
      <c r="J579" s="84">
        <v>0.0</v>
      </c>
      <c r="K579" s="84">
        <v>0.0</v>
      </c>
      <c r="L579" s="84">
        <v>0.0</v>
      </c>
      <c r="M579" s="84">
        <v>0.0</v>
      </c>
      <c r="N579" s="84">
        <v>0.0</v>
      </c>
      <c r="O579" s="84">
        <v>0.0</v>
      </c>
      <c r="P579" s="84">
        <v>0.0</v>
      </c>
      <c r="Q579" s="84">
        <v>0.0</v>
      </c>
      <c r="R579" s="84">
        <v>0.0</v>
      </c>
      <c r="S579" s="84">
        <v>0.0</v>
      </c>
      <c r="T579" s="84">
        <v>0.0</v>
      </c>
      <c r="U579" s="84">
        <v>0.0</v>
      </c>
      <c r="V579" s="84">
        <v>0.0</v>
      </c>
      <c r="W579" s="84">
        <v>0.0</v>
      </c>
      <c r="X579" s="84">
        <v>0.0</v>
      </c>
      <c r="Y579" s="84">
        <v>0.0</v>
      </c>
      <c r="Z579" s="84">
        <v>0.0</v>
      </c>
      <c r="AA579" s="84">
        <v>0.0</v>
      </c>
      <c r="AB579" s="84">
        <v>6.0</v>
      </c>
      <c r="AC579" s="91">
        <v>0.0</v>
      </c>
      <c r="AD579" s="84">
        <v>0.0</v>
      </c>
      <c r="AE579" s="84">
        <v>0.0</v>
      </c>
      <c r="AF579" s="84">
        <v>0.0</v>
      </c>
      <c r="AG579" s="84">
        <v>0.0</v>
      </c>
      <c r="AH579" s="84">
        <v>0.0</v>
      </c>
      <c r="AI579" s="84">
        <v>0.0</v>
      </c>
      <c r="AJ579" s="84">
        <v>0.0</v>
      </c>
      <c r="AK579" s="84">
        <v>0.0</v>
      </c>
      <c r="AL579" s="84">
        <v>0.0</v>
      </c>
      <c r="AM579" s="84">
        <v>0.0</v>
      </c>
      <c r="AN579" s="93">
        <f t="shared" si="1"/>
        <v>0</v>
      </c>
      <c r="AO579" s="84">
        <f t="shared" si="2"/>
        <v>0</v>
      </c>
    </row>
    <row r="580" ht="12.75" customHeight="1">
      <c r="A580" s="84" t="s">
        <v>3618</v>
      </c>
      <c r="B580" s="84">
        <v>0.0</v>
      </c>
      <c r="C580" s="84">
        <v>0.0</v>
      </c>
      <c r="D580" s="84">
        <v>0.0</v>
      </c>
      <c r="E580" s="84">
        <v>0.0</v>
      </c>
      <c r="F580" s="84">
        <v>5.0</v>
      </c>
      <c r="G580" s="84">
        <v>2.0</v>
      </c>
      <c r="H580" s="84">
        <v>0.0</v>
      </c>
      <c r="I580" s="91">
        <v>0.0</v>
      </c>
      <c r="J580" s="84">
        <v>0.0</v>
      </c>
      <c r="K580" s="84">
        <v>0.0</v>
      </c>
      <c r="L580" s="84">
        <v>0.0</v>
      </c>
      <c r="M580" s="84">
        <v>0.0</v>
      </c>
      <c r="N580" s="84">
        <v>0.0</v>
      </c>
      <c r="O580" s="84">
        <v>0.0</v>
      </c>
      <c r="P580" s="84">
        <v>0.0</v>
      </c>
      <c r="Q580" s="84">
        <v>0.0</v>
      </c>
      <c r="R580" s="84">
        <v>0.0</v>
      </c>
      <c r="S580" s="84">
        <v>0.0</v>
      </c>
      <c r="T580" s="84">
        <v>0.0</v>
      </c>
      <c r="U580" s="84">
        <v>0.0</v>
      </c>
      <c r="V580" s="84">
        <v>0.0</v>
      </c>
      <c r="W580" s="84">
        <v>0.0</v>
      </c>
      <c r="X580" s="84">
        <v>0.0</v>
      </c>
      <c r="Y580" s="84">
        <v>0.0</v>
      </c>
      <c r="Z580" s="84">
        <v>6.0</v>
      </c>
      <c r="AA580" s="84">
        <v>0.0</v>
      </c>
      <c r="AB580" s="84">
        <v>0.0</v>
      </c>
      <c r="AC580" s="91">
        <v>0.0</v>
      </c>
      <c r="AD580" s="84">
        <v>0.0</v>
      </c>
      <c r="AE580" s="84">
        <v>0.0</v>
      </c>
      <c r="AF580" s="84">
        <v>0.0</v>
      </c>
      <c r="AG580" s="84">
        <v>0.0</v>
      </c>
      <c r="AH580" s="84">
        <v>0.0</v>
      </c>
      <c r="AI580" s="84">
        <v>0.0</v>
      </c>
      <c r="AJ580" s="84">
        <v>0.0</v>
      </c>
      <c r="AK580" s="84">
        <v>0.0</v>
      </c>
      <c r="AL580" s="84">
        <v>0.0</v>
      </c>
      <c r="AM580" s="84">
        <v>0.0</v>
      </c>
      <c r="AN580" s="93">
        <f t="shared" si="1"/>
        <v>0</v>
      </c>
      <c r="AO580" s="84">
        <f t="shared" si="2"/>
        <v>0</v>
      </c>
    </row>
    <row r="581" ht="12.75" customHeight="1">
      <c r="A581" s="84" t="s">
        <v>4663</v>
      </c>
      <c r="B581" s="84">
        <v>0.0</v>
      </c>
      <c r="C581" s="84">
        <v>0.0</v>
      </c>
      <c r="D581" s="84">
        <v>0.0</v>
      </c>
      <c r="E581" s="84">
        <v>0.0</v>
      </c>
      <c r="F581" s="84">
        <v>0.0</v>
      </c>
      <c r="G581" s="84">
        <v>0.0</v>
      </c>
      <c r="H581" s="84">
        <v>0.0</v>
      </c>
      <c r="I581" s="91">
        <v>0.0</v>
      </c>
      <c r="J581" s="84">
        <v>0.0</v>
      </c>
      <c r="K581" s="84">
        <v>0.0</v>
      </c>
      <c r="L581" s="84">
        <v>0.0</v>
      </c>
      <c r="M581" s="84">
        <v>0.0</v>
      </c>
      <c r="N581" s="84">
        <v>0.0</v>
      </c>
      <c r="O581" s="84">
        <v>0.0</v>
      </c>
      <c r="P581" s="84">
        <v>0.0</v>
      </c>
      <c r="Q581" s="84">
        <v>0.0</v>
      </c>
      <c r="R581" s="84">
        <v>0.0</v>
      </c>
      <c r="S581" s="84">
        <v>0.0</v>
      </c>
      <c r="T581" s="84">
        <v>0.0</v>
      </c>
      <c r="U581" s="84">
        <v>0.0</v>
      </c>
      <c r="V581" s="84">
        <v>0.0</v>
      </c>
      <c r="W581" s="84">
        <v>0.0</v>
      </c>
      <c r="X581" s="84">
        <v>0.0</v>
      </c>
      <c r="Y581" s="84">
        <v>0.0</v>
      </c>
      <c r="Z581" s="84">
        <v>0.0</v>
      </c>
      <c r="AA581" s="84">
        <v>0.0</v>
      </c>
      <c r="AB581" s="84">
        <v>0.0</v>
      </c>
      <c r="AC581" s="91">
        <v>0.0</v>
      </c>
      <c r="AD581" s="84">
        <v>0.0</v>
      </c>
      <c r="AE581" s="84">
        <v>0.0</v>
      </c>
      <c r="AF581" s="84">
        <v>0.0</v>
      </c>
      <c r="AG581" s="84">
        <v>0.0</v>
      </c>
      <c r="AH581" s="84">
        <v>0.0</v>
      </c>
      <c r="AI581" s="84">
        <v>0.0</v>
      </c>
      <c r="AJ581" s="84">
        <v>0.0</v>
      </c>
      <c r="AK581" s="84">
        <v>0.0</v>
      </c>
      <c r="AL581" s="84">
        <v>1.0</v>
      </c>
      <c r="AM581" s="84">
        <v>0.0</v>
      </c>
      <c r="AN581" s="93">
        <f t="shared" si="1"/>
        <v>0</v>
      </c>
      <c r="AO581" s="84">
        <f t="shared" si="2"/>
        <v>1</v>
      </c>
    </row>
    <row r="582" ht="12.75" customHeight="1">
      <c r="A582" s="84" t="s">
        <v>4642</v>
      </c>
      <c r="B582" s="84">
        <v>0.0</v>
      </c>
      <c r="C582" s="84">
        <v>0.0</v>
      </c>
      <c r="D582" s="84">
        <v>0.0</v>
      </c>
      <c r="E582" s="84">
        <v>0.0</v>
      </c>
      <c r="F582" s="84">
        <v>0.0</v>
      </c>
      <c r="G582" s="84">
        <v>0.0</v>
      </c>
      <c r="H582" s="84">
        <v>0.0</v>
      </c>
      <c r="I582" s="91">
        <v>0.0</v>
      </c>
      <c r="J582" s="84">
        <v>0.0</v>
      </c>
      <c r="K582" s="84">
        <v>0.0</v>
      </c>
      <c r="L582" s="84">
        <v>0.0</v>
      </c>
      <c r="M582" s="84">
        <v>0.0</v>
      </c>
      <c r="N582" s="84">
        <v>0.0</v>
      </c>
      <c r="O582" s="84">
        <v>0.0</v>
      </c>
      <c r="P582" s="84">
        <v>0.0</v>
      </c>
      <c r="Q582" s="84">
        <v>0.0</v>
      </c>
      <c r="R582" s="84">
        <v>0.0</v>
      </c>
      <c r="S582" s="84">
        <v>0.0</v>
      </c>
      <c r="T582" s="84">
        <v>0.0</v>
      </c>
      <c r="U582" s="84">
        <v>0.0</v>
      </c>
      <c r="V582" s="84">
        <v>0.0</v>
      </c>
      <c r="W582" s="84">
        <v>0.0</v>
      </c>
      <c r="X582" s="84">
        <v>0.0</v>
      </c>
      <c r="Y582" s="84">
        <v>0.0</v>
      </c>
      <c r="Z582" s="84">
        <v>0.0</v>
      </c>
      <c r="AA582" s="84">
        <v>0.0</v>
      </c>
      <c r="AB582" s="84">
        <v>0.0</v>
      </c>
      <c r="AC582" s="91">
        <v>0.0</v>
      </c>
      <c r="AD582" s="84">
        <v>0.0</v>
      </c>
      <c r="AE582" s="84">
        <v>0.0</v>
      </c>
      <c r="AF582" s="84">
        <v>0.0</v>
      </c>
      <c r="AG582" s="84">
        <v>0.0</v>
      </c>
      <c r="AH582" s="84">
        <v>0.0</v>
      </c>
      <c r="AI582" s="84">
        <v>0.0</v>
      </c>
      <c r="AJ582" s="84">
        <v>0.0</v>
      </c>
      <c r="AK582" s="84">
        <v>1.0</v>
      </c>
      <c r="AL582" s="84">
        <v>0.0</v>
      </c>
      <c r="AM582" s="84">
        <v>0.0</v>
      </c>
      <c r="AN582" s="93">
        <f t="shared" si="1"/>
        <v>0</v>
      </c>
      <c r="AO582" s="84">
        <f t="shared" si="2"/>
        <v>1</v>
      </c>
    </row>
    <row r="583" ht="12.75" customHeight="1">
      <c r="A583" s="84" t="s">
        <v>3866</v>
      </c>
      <c r="B583" s="84">
        <v>0.0</v>
      </c>
      <c r="C583" s="84">
        <v>0.0</v>
      </c>
      <c r="D583" s="84">
        <v>0.0</v>
      </c>
      <c r="E583" s="84">
        <v>0.0</v>
      </c>
      <c r="F583" s="84">
        <v>0.0</v>
      </c>
      <c r="G583" s="84">
        <v>0.0</v>
      </c>
      <c r="H583" s="84">
        <v>4.0</v>
      </c>
      <c r="I583" s="91">
        <v>0.0</v>
      </c>
      <c r="J583" s="84">
        <v>0.0</v>
      </c>
      <c r="K583" s="84">
        <v>0.0</v>
      </c>
      <c r="L583" s="84">
        <v>0.0</v>
      </c>
      <c r="M583" s="84">
        <v>0.0</v>
      </c>
      <c r="N583" s="84">
        <v>0.0</v>
      </c>
      <c r="O583" s="84">
        <v>0.0</v>
      </c>
      <c r="P583" s="84">
        <v>0.0</v>
      </c>
      <c r="Q583" s="84">
        <v>0.0</v>
      </c>
      <c r="R583" s="84">
        <v>0.0</v>
      </c>
      <c r="S583" s="84">
        <v>0.0</v>
      </c>
      <c r="T583" s="84">
        <v>0.0</v>
      </c>
      <c r="U583" s="84">
        <v>0.0</v>
      </c>
      <c r="V583" s="84">
        <v>0.0</v>
      </c>
      <c r="W583" s="84">
        <v>0.0</v>
      </c>
      <c r="X583" s="84">
        <v>0.0</v>
      </c>
      <c r="Y583" s="84">
        <v>0.0</v>
      </c>
      <c r="Z583" s="84">
        <v>0.0</v>
      </c>
      <c r="AA583" s="84">
        <v>0.0</v>
      </c>
      <c r="AB583" s="84">
        <v>8.0</v>
      </c>
      <c r="AC583" s="91">
        <v>0.0</v>
      </c>
      <c r="AD583" s="84">
        <v>0.0</v>
      </c>
      <c r="AE583" s="84">
        <v>0.0</v>
      </c>
      <c r="AF583" s="84">
        <v>0.0</v>
      </c>
      <c r="AG583" s="84">
        <v>0.0</v>
      </c>
      <c r="AH583" s="84">
        <v>0.0</v>
      </c>
      <c r="AI583" s="84">
        <v>0.0</v>
      </c>
      <c r="AJ583" s="84">
        <v>0.0</v>
      </c>
      <c r="AK583" s="84">
        <v>0.0</v>
      </c>
      <c r="AL583" s="84">
        <v>0.0</v>
      </c>
      <c r="AM583" s="84">
        <v>0.0</v>
      </c>
      <c r="AN583" s="93">
        <f t="shared" si="1"/>
        <v>0</v>
      </c>
      <c r="AO583" s="84">
        <f t="shared" si="2"/>
        <v>0</v>
      </c>
    </row>
    <row r="584" ht="12.75" customHeight="1">
      <c r="A584" s="84" t="s">
        <v>4660</v>
      </c>
      <c r="B584" s="84">
        <v>0.0</v>
      </c>
      <c r="C584" s="84">
        <v>0.0</v>
      </c>
      <c r="D584" s="84">
        <v>0.0</v>
      </c>
      <c r="E584" s="84">
        <v>0.0</v>
      </c>
      <c r="F584" s="84">
        <v>0.0</v>
      </c>
      <c r="G584" s="84">
        <v>0.0</v>
      </c>
      <c r="H584" s="84">
        <v>0.0</v>
      </c>
      <c r="I584" s="91">
        <v>0.0</v>
      </c>
      <c r="J584" s="84">
        <v>0.0</v>
      </c>
      <c r="K584" s="84">
        <v>0.0</v>
      </c>
      <c r="L584" s="84">
        <v>0.0</v>
      </c>
      <c r="M584" s="84">
        <v>0.0</v>
      </c>
      <c r="N584" s="84">
        <v>0.0</v>
      </c>
      <c r="O584" s="84">
        <v>0.0</v>
      </c>
      <c r="P584" s="84">
        <v>0.0</v>
      </c>
      <c r="Q584" s="84">
        <v>0.0</v>
      </c>
      <c r="R584" s="84">
        <v>0.0</v>
      </c>
      <c r="S584" s="84">
        <v>0.0</v>
      </c>
      <c r="T584" s="84">
        <v>0.0</v>
      </c>
      <c r="U584" s="84">
        <v>0.0</v>
      </c>
      <c r="V584" s="84">
        <v>0.0</v>
      </c>
      <c r="W584" s="84">
        <v>0.0</v>
      </c>
      <c r="X584" s="84">
        <v>0.0</v>
      </c>
      <c r="Y584" s="84">
        <v>0.0</v>
      </c>
      <c r="Z584" s="84">
        <v>0.0</v>
      </c>
      <c r="AA584" s="84">
        <v>0.0</v>
      </c>
      <c r="AB584" s="84">
        <v>0.0</v>
      </c>
      <c r="AC584" s="91">
        <v>0.0</v>
      </c>
      <c r="AD584" s="84">
        <v>0.0</v>
      </c>
      <c r="AE584" s="84">
        <v>0.0</v>
      </c>
      <c r="AF584" s="84">
        <v>0.0</v>
      </c>
      <c r="AG584" s="84">
        <v>0.0</v>
      </c>
      <c r="AH584" s="84">
        <v>0.0</v>
      </c>
      <c r="AI584" s="84">
        <v>0.0</v>
      </c>
      <c r="AJ584" s="84">
        <v>0.0</v>
      </c>
      <c r="AK584" s="84">
        <v>0.0</v>
      </c>
      <c r="AL584" s="84">
        <v>1.0</v>
      </c>
      <c r="AM584" s="84">
        <v>0.0</v>
      </c>
      <c r="AN584" s="93">
        <f t="shared" si="1"/>
        <v>0</v>
      </c>
      <c r="AO584" s="84">
        <f t="shared" si="2"/>
        <v>1</v>
      </c>
    </row>
    <row r="585" ht="12.75" customHeight="1">
      <c r="A585" s="84" t="s">
        <v>2979</v>
      </c>
      <c r="B585" s="84">
        <v>2.0</v>
      </c>
      <c r="C585" s="84">
        <v>0.0</v>
      </c>
      <c r="D585" s="84">
        <v>0.0</v>
      </c>
      <c r="E585" s="84">
        <v>0.0</v>
      </c>
      <c r="F585" s="84">
        <v>0.0</v>
      </c>
      <c r="G585" s="84">
        <v>0.0</v>
      </c>
      <c r="H585" s="84">
        <v>0.0</v>
      </c>
      <c r="I585" s="91">
        <v>0.0</v>
      </c>
      <c r="J585" s="84">
        <v>0.0</v>
      </c>
      <c r="K585" s="84">
        <v>0.0</v>
      </c>
      <c r="L585" s="84">
        <v>0.0</v>
      </c>
      <c r="M585" s="84">
        <v>0.0</v>
      </c>
      <c r="N585" s="84">
        <v>0.0</v>
      </c>
      <c r="O585" s="84">
        <v>0.0</v>
      </c>
      <c r="P585" s="84">
        <v>0.0</v>
      </c>
      <c r="Q585" s="84">
        <v>0.0</v>
      </c>
      <c r="R585" s="84">
        <v>0.0</v>
      </c>
      <c r="S585" s="84">
        <v>0.0</v>
      </c>
      <c r="T585" s="84">
        <v>0.0</v>
      </c>
      <c r="U585" s="84">
        <v>0.0</v>
      </c>
      <c r="V585" s="84">
        <v>3.0</v>
      </c>
      <c r="W585" s="84">
        <v>6.0</v>
      </c>
      <c r="X585" s="84">
        <v>0.0</v>
      </c>
      <c r="Y585" s="84">
        <v>0.0</v>
      </c>
      <c r="Z585" s="84">
        <v>0.0</v>
      </c>
      <c r="AA585" s="84">
        <v>0.0</v>
      </c>
      <c r="AB585" s="84">
        <v>0.0</v>
      </c>
      <c r="AC585" s="91">
        <v>0.0</v>
      </c>
      <c r="AD585" s="84">
        <v>0.0</v>
      </c>
      <c r="AE585" s="84">
        <v>0.0</v>
      </c>
      <c r="AF585" s="84">
        <v>0.0</v>
      </c>
      <c r="AG585" s="84">
        <v>0.0</v>
      </c>
      <c r="AH585" s="84">
        <v>0.0</v>
      </c>
      <c r="AI585" s="84">
        <v>0.0</v>
      </c>
      <c r="AJ585" s="84">
        <v>0.0</v>
      </c>
      <c r="AK585" s="84">
        <v>0.0</v>
      </c>
      <c r="AL585" s="84">
        <v>0.0</v>
      </c>
      <c r="AM585" s="84">
        <v>0.0</v>
      </c>
      <c r="AN585" s="93">
        <f t="shared" si="1"/>
        <v>0</v>
      </c>
      <c r="AO585" s="84">
        <f t="shared" si="2"/>
        <v>0</v>
      </c>
    </row>
    <row r="586" ht="12.75" customHeight="1">
      <c r="A586" s="84" t="s">
        <v>3854</v>
      </c>
      <c r="B586" s="84">
        <v>0.0</v>
      </c>
      <c r="C586" s="84">
        <v>0.0</v>
      </c>
      <c r="D586" s="84">
        <v>0.0</v>
      </c>
      <c r="E586" s="84">
        <v>0.0</v>
      </c>
      <c r="F586" s="84">
        <v>0.0</v>
      </c>
      <c r="G586" s="84">
        <v>5.0</v>
      </c>
      <c r="H586" s="84">
        <v>0.0</v>
      </c>
      <c r="I586" s="91">
        <v>0.0</v>
      </c>
      <c r="J586" s="84">
        <v>0.0</v>
      </c>
      <c r="K586" s="84">
        <v>0.0</v>
      </c>
      <c r="L586" s="84">
        <v>0.0</v>
      </c>
      <c r="M586" s="84">
        <v>0.0</v>
      </c>
      <c r="N586" s="84">
        <v>0.0</v>
      </c>
      <c r="O586" s="84">
        <v>0.0</v>
      </c>
      <c r="P586" s="84">
        <v>0.0</v>
      </c>
      <c r="Q586" s="84">
        <v>0.0</v>
      </c>
      <c r="R586" s="84">
        <v>0.0</v>
      </c>
      <c r="S586" s="84">
        <v>0.0</v>
      </c>
      <c r="T586" s="84">
        <v>0.0</v>
      </c>
      <c r="U586" s="84">
        <v>0.0</v>
      </c>
      <c r="V586" s="84">
        <v>0.0</v>
      </c>
      <c r="W586" s="84">
        <v>0.0</v>
      </c>
      <c r="X586" s="84">
        <v>0.0</v>
      </c>
      <c r="Y586" s="84">
        <v>0.0</v>
      </c>
      <c r="Z586" s="84">
        <v>0.0</v>
      </c>
      <c r="AA586" s="84">
        <v>6.0</v>
      </c>
      <c r="AB586" s="84">
        <v>0.0</v>
      </c>
      <c r="AC586" s="91">
        <v>0.0</v>
      </c>
      <c r="AD586" s="84">
        <v>0.0</v>
      </c>
      <c r="AE586" s="84">
        <v>0.0</v>
      </c>
      <c r="AF586" s="84">
        <v>0.0</v>
      </c>
      <c r="AG586" s="84">
        <v>0.0</v>
      </c>
      <c r="AH586" s="84">
        <v>0.0</v>
      </c>
      <c r="AI586" s="84">
        <v>0.0</v>
      </c>
      <c r="AJ586" s="84">
        <v>0.0</v>
      </c>
      <c r="AK586" s="84">
        <v>0.0</v>
      </c>
      <c r="AL586" s="84">
        <v>0.0</v>
      </c>
      <c r="AM586" s="84">
        <v>0.0</v>
      </c>
      <c r="AN586" s="93">
        <f t="shared" si="1"/>
        <v>0</v>
      </c>
      <c r="AO586" s="84">
        <f t="shared" si="2"/>
        <v>0</v>
      </c>
    </row>
    <row r="587" ht="12.75" customHeight="1">
      <c r="A587" s="84" t="s">
        <v>3695</v>
      </c>
      <c r="B587" s="84">
        <v>0.0</v>
      </c>
      <c r="C587" s="84">
        <v>0.0</v>
      </c>
      <c r="D587" s="84">
        <v>0.0</v>
      </c>
      <c r="E587" s="84">
        <v>0.0</v>
      </c>
      <c r="F587" s="84">
        <v>4.0</v>
      </c>
      <c r="G587" s="84">
        <v>0.0</v>
      </c>
      <c r="H587" s="84">
        <v>0.0</v>
      </c>
      <c r="I587" s="91">
        <v>0.0</v>
      </c>
      <c r="J587" s="84">
        <v>0.0</v>
      </c>
      <c r="K587" s="84">
        <v>0.0</v>
      </c>
      <c r="L587" s="84">
        <v>0.0</v>
      </c>
      <c r="M587" s="84">
        <v>0.0</v>
      </c>
      <c r="N587" s="84">
        <v>0.0</v>
      </c>
      <c r="O587" s="84">
        <v>0.0</v>
      </c>
      <c r="P587" s="84">
        <v>0.0</v>
      </c>
      <c r="Q587" s="84">
        <v>0.0</v>
      </c>
      <c r="R587" s="84">
        <v>0.0</v>
      </c>
      <c r="S587" s="84">
        <v>0.0</v>
      </c>
      <c r="T587" s="84">
        <v>0.0</v>
      </c>
      <c r="U587" s="84">
        <v>0.0</v>
      </c>
      <c r="V587" s="84">
        <v>0.0</v>
      </c>
      <c r="W587" s="84">
        <v>0.0</v>
      </c>
      <c r="X587" s="84">
        <v>0.0</v>
      </c>
      <c r="Y587" s="84">
        <v>0.0</v>
      </c>
      <c r="Z587" s="84">
        <v>6.0</v>
      </c>
      <c r="AA587" s="84">
        <v>4.0</v>
      </c>
      <c r="AB587" s="84">
        <v>0.0</v>
      </c>
      <c r="AC587" s="91">
        <v>0.0</v>
      </c>
      <c r="AD587" s="84">
        <v>0.0</v>
      </c>
      <c r="AE587" s="84">
        <v>0.0</v>
      </c>
      <c r="AF587" s="84">
        <v>0.0</v>
      </c>
      <c r="AG587" s="84">
        <v>0.0</v>
      </c>
      <c r="AH587" s="84">
        <v>0.0</v>
      </c>
      <c r="AI587" s="84">
        <v>0.0</v>
      </c>
      <c r="AJ587" s="84">
        <v>0.0</v>
      </c>
      <c r="AK587" s="84">
        <v>0.0</v>
      </c>
      <c r="AL587" s="84">
        <v>0.0</v>
      </c>
      <c r="AM587" s="84">
        <v>0.0</v>
      </c>
      <c r="AN587" s="93">
        <f t="shared" si="1"/>
        <v>0</v>
      </c>
      <c r="AO587" s="84">
        <f t="shared" si="2"/>
        <v>0</v>
      </c>
    </row>
    <row r="588" ht="12.75" customHeight="1">
      <c r="A588" s="84" t="s">
        <v>3110</v>
      </c>
      <c r="B588" s="84">
        <v>1.0</v>
      </c>
      <c r="C588" s="84">
        <v>0.0</v>
      </c>
      <c r="D588" s="84">
        <v>0.0</v>
      </c>
      <c r="E588" s="84">
        <v>0.0</v>
      </c>
      <c r="F588" s="84">
        <v>0.0</v>
      </c>
      <c r="G588" s="84">
        <v>0.0</v>
      </c>
      <c r="H588" s="84">
        <v>0.0</v>
      </c>
      <c r="I588" s="91">
        <v>0.0</v>
      </c>
      <c r="J588" s="84">
        <v>0.0</v>
      </c>
      <c r="K588" s="84">
        <v>0.0</v>
      </c>
      <c r="L588" s="84">
        <v>0.0</v>
      </c>
      <c r="M588" s="84">
        <v>0.0</v>
      </c>
      <c r="N588" s="84">
        <v>0.0</v>
      </c>
      <c r="O588" s="84">
        <v>0.0</v>
      </c>
      <c r="P588" s="84">
        <v>0.0</v>
      </c>
      <c r="Q588" s="84">
        <v>0.0</v>
      </c>
      <c r="R588" s="84">
        <v>0.0</v>
      </c>
      <c r="S588" s="84">
        <v>0.0</v>
      </c>
      <c r="T588" s="84">
        <v>0.0</v>
      </c>
      <c r="U588" s="84">
        <v>0.0</v>
      </c>
      <c r="V588" s="84">
        <v>4.0</v>
      </c>
      <c r="W588" s="84">
        <v>4.0</v>
      </c>
      <c r="X588" s="84">
        <v>0.0</v>
      </c>
      <c r="Y588" s="84">
        <v>0.0</v>
      </c>
      <c r="Z588" s="84">
        <v>0.0</v>
      </c>
      <c r="AA588" s="84">
        <v>0.0</v>
      </c>
      <c r="AB588" s="84">
        <v>0.0</v>
      </c>
      <c r="AC588" s="91">
        <v>0.0</v>
      </c>
      <c r="AD588" s="84">
        <v>0.0</v>
      </c>
      <c r="AE588" s="84">
        <v>0.0</v>
      </c>
      <c r="AF588" s="84">
        <v>0.0</v>
      </c>
      <c r="AG588" s="84">
        <v>0.0</v>
      </c>
      <c r="AH588" s="84">
        <v>0.0</v>
      </c>
      <c r="AI588" s="84">
        <v>0.0</v>
      </c>
      <c r="AJ588" s="84">
        <v>0.0</v>
      </c>
      <c r="AK588" s="84">
        <v>0.0</v>
      </c>
      <c r="AL588" s="84">
        <v>0.0</v>
      </c>
      <c r="AM588" s="84">
        <v>0.0</v>
      </c>
      <c r="AN588" s="93">
        <f t="shared" si="1"/>
        <v>0</v>
      </c>
      <c r="AO588" s="84">
        <f t="shared" si="2"/>
        <v>0</v>
      </c>
    </row>
    <row r="589" ht="12.75" customHeight="1">
      <c r="A589" s="84" t="s">
        <v>3445</v>
      </c>
      <c r="B589" s="84">
        <v>0.0</v>
      </c>
      <c r="C589" s="84">
        <v>0.0</v>
      </c>
      <c r="D589" s="84">
        <v>0.0</v>
      </c>
      <c r="E589" s="84">
        <v>5.0</v>
      </c>
      <c r="F589" s="84">
        <v>1.0</v>
      </c>
      <c r="G589" s="84">
        <v>0.0</v>
      </c>
      <c r="H589" s="84">
        <v>0.0</v>
      </c>
      <c r="I589" s="91">
        <v>0.0</v>
      </c>
      <c r="J589" s="84">
        <v>0.0</v>
      </c>
      <c r="K589" s="84">
        <v>0.0</v>
      </c>
      <c r="L589" s="84">
        <v>0.0</v>
      </c>
      <c r="M589" s="84">
        <v>0.0</v>
      </c>
      <c r="N589" s="84">
        <v>0.0</v>
      </c>
      <c r="O589" s="84">
        <v>0.0</v>
      </c>
      <c r="P589" s="84">
        <v>0.0</v>
      </c>
      <c r="Q589" s="84">
        <v>0.0</v>
      </c>
      <c r="R589" s="84">
        <v>0.0</v>
      </c>
      <c r="S589" s="84">
        <v>0.0</v>
      </c>
      <c r="T589" s="84">
        <v>0.0</v>
      </c>
      <c r="U589" s="84">
        <v>0.0</v>
      </c>
      <c r="V589" s="84">
        <v>0.0</v>
      </c>
      <c r="W589" s="84">
        <v>0.0</v>
      </c>
      <c r="X589" s="84">
        <v>0.0</v>
      </c>
      <c r="Y589" s="84">
        <v>6.0</v>
      </c>
      <c r="Z589" s="84">
        <v>0.0</v>
      </c>
      <c r="AA589" s="84">
        <v>0.0</v>
      </c>
      <c r="AB589" s="84">
        <v>0.0</v>
      </c>
      <c r="AC589" s="91">
        <v>0.0</v>
      </c>
      <c r="AD589" s="84">
        <v>0.0</v>
      </c>
      <c r="AE589" s="84">
        <v>0.0</v>
      </c>
      <c r="AF589" s="84">
        <v>0.0</v>
      </c>
      <c r="AG589" s="84">
        <v>0.0</v>
      </c>
      <c r="AH589" s="84">
        <v>0.0</v>
      </c>
      <c r="AI589" s="84">
        <v>0.0</v>
      </c>
      <c r="AJ589" s="84">
        <v>0.0</v>
      </c>
      <c r="AK589" s="84">
        <v>0.0</v>
      </c>
      <c r="AL589" s="84">
        <v>0.0</v>
      </c>
      <c r="AM589" s="84">
        <v>0.0</v>
      </c>
      <c r="AN589" s="93">
        <f t="shared" si="1"/>
        <v>0</v>
      </c>
      <c r="AO589" s="84">
        <f t="shared" si="2"/>
        <v>0</v>
      </c>
    </row>
    <row r="590" ht="12.75" customHeight="1">
      <c r="A590" s="84" t="s">
        <v>3946</v>
      </c>
      <c r="B590" s="84">
        <v>0.0</v>
      </c>
      <c r="C590" s="84">
        <v>0.0</v>
      </c>
      <c r="D590" s="84">
        <v>0.0</v>
      </c>
      <c r="E590" s="84">
        <v>0.0</v>
      </c>
      <c r="F590" s="84">
        <v>0.0</v>
      </c>
      <c r="G590" s="84">
        <v>0.0</v>
      </c>
      <c r="H590" s="84">
        <v>5.0</v>
      </c>
      <c r="I590" s="91">
        <v>0.0</v>
      </c>
      <c r="J590" s="84">
        <v>0.0</v>
      </c>
      <c r="K590" s="84">
        <v>0.0</v>
      </c>
      <c r="L590" s="84">
        <v>0.0</v>
      </c>
      <c r="M590" s="84">
        <v>0.0</v>
      </c>
      <c r="N590" s="84">
        <v>0.0</v>
      </c>
      <c r="O590" s="84">
        <v>0.0</v>
      </c>
      <c r="P590" s="84">
        <v>0.0</v>
      </c>
      <c r="Q590" s="84">
        <v>0.0</v>
      </c>
      <c r="R590" s="84">
        <v>0.0</v>
      </c>
      <c r="S590" s="84">
        <v>0.0</v>
      </c>
      <c r="T590" s="84">
        <v>0.0</v>
      </c>
      <c r="U590" s="84">
        <v>0.0</v>
      </c>
      <c r="V590" s="84">
        <v>0.0</v>
      </c>
      <c r="W590" s="84">
        <v>0.0</v>
      </c>
      <c r="X590" s="84">
        <v>0.0</v>
      </c>
      <c r="Y590" s="84">
        <v>0.0</v>
      </c>
      <c r="Z590" s="84">
        <v>0.0</v>
      </c>
      <c r="AA590" s="84">
        <v>0.0</v>
      </c>
      <c r="AB590" s="84">
        <v>6.0</v>
      </c>
      <c r="AC590" s="91">
        <v>0.0</v>
      </c>
      <c r="AD590" s="84">
        <v>0.0</v>
      </c>
      <c r="AE590" s="84">
        <v>0.0</v>
      </c>
      <c r="AF590" s="84">
        <v>0.0</v>
      </c>
      <c r="AG590" s="84">
        <v>0.0</v>
      </c>
      <c r="AH590" s="84">
        <v>0.0</v>
      </c>
      <c r="AI590" s="84">
        <v>0.0</v>
      </c>
      <c r="AJ590" s="84">
        <v>0.0</v>
      </c>
      <c r="AK590" s="84">
        <v>0.0</v>
      </c>
      <c r="AL590" s="84">
        <v>0.0</v>
      </c>
      <c r="AM590" s="84">
        <v>0.0</v>
      </c>
      <c r="AN590" s="93">
        <f t="shared" si="1"/>
        <v>0</v>
      </c>
      <c r="AO590" s="84">
        <f t="shared" si="2"/>
        <v>0</v>
      </c>
    </row>
    <row r="591" ht="12.75" customHeight="1">
      <c r="A591" s="84" t="s">
        <v>3601</v>
      </c>
      <c r="B591" s="84">
        <v>0.0</v>
      </c>
      <c r="C591" s="84">
        <v>0.0</v>
      </c>
      <c r="D591" s="84">
        <v>0.0</v>
      </c>
      <c r="E591" s="84">
        <v>0.0</v>
      </c>
      <c r="F591" s="84">
        <v>4.0</v>
      </c>
      <c r="G591" s="84">
        <v>2.0</v>
      </c>
      <c r="H591" s="84">
        <v>0.0</v>
      </c>
      <c r="I591" s="91">
        <v>0.0</v>
      </c>
      <c r="J591" s="84">
        <v>0.0</v>
      </c>
      <c r="K591" s="84">
        <v>0.0</v>
      </c>
      <c r="L591" s="84">
        <v>0.0</v>
      </c>
      <c r="M591" s="84">
        <v>0.0</v>
      </c>
      <c r="N591" s="84">
        <v>0.0</v>
      </c>
      <c r="O591" s="84">
        <v>0.0</v>
      </c>
      <c r="P591" s="84">
        <v>0.0</v>
      </c>
      <c r="Q591" s="84">
        <v>0.0</v>
      </c>
      <c r="R591" s="84">
        <v>0.0</v>
      </c>
      <c r="S591" s="84">
        <v>0.0</v>
      </c>
      <c r="T591" s="84">
        <v>0.0</v>
      </c>
      <c r="U591" s="84">
        <v>0.0</v>
      </c>
      <c r="V591" s="84">
        <v>0.0</v>
      </c>
      <c r="W591" s="84">
        <v>0.0</v>
      </c>
      <c r="X591" s="84">
        <v>0.0</v>
      </c>
      <c r="Y591" s="84">
        <v>0.0</v>
      </c>
      <c r="Z591" s="84">
        <v>6.0</v>
      </c>
      <c r="AA591" s="84">
        <v>2.0</v>
      </c>
      <c r="AB591" s="84">
        <v>0.0</v>
      </c>
      <c r="AC591" s="91">
        <v>0.0</v>
      </c>
      <c r="AD591" s="84">
        <v>0.0</v>
      </c>
      <c r="AE591" s="84">
        <v>0.0</v>
      </c>
      <c r="AF591" s="84">
        <v>0.0</v>
      </c>
      <c r="AG591" s="84">
        <v>0.0</v>
      </c>
      <c r="AH591" s="84">
        <v>0.0</v>
      </c>
      <c r="AI591" s="84">
        <v>0.0</v>
      </c>
      <c r="AJ591" s="84">
        <v>0.0</v>
      </c>
      <c r="AK591" s="84">
        <v>0.0</v>
      </c>
      <c r="AL591" s="84">
        <v>0.0</v>
      </c>
      <c r="AM591" s="84">
        <v>0.0</v>
      </c>
      <c r="AN591" s="93">
        <f t="shared" si="1"/>
        <v>0</v>
      </c>
      <c r="AO591" s="84">
        <f t="shared" si="2"/>
        <v>0</v>
      </c>
    </row>
    <row r="592" ht="12.75" customHeight="1">
      <c r="A592" s="84" t="s">
        <v>3040</v>
      </c>
      <c r="B592" s="84">
        <v>1.0</v>
      </c>
      <c r="C592" s="84">
        <v>0.0</v>
      </c>
      <c r="D592" s="84">
        <v>0.0</v>
      </c>
      <c r="E592" s="84">
        <v>0.0</v>
      </c>
      <c r="F592" s="84">
        <v>0.0</v>
      </c>
      <c r="G592" s="84">
        <v>0.0</v>
      </c>
      <c r="H592" s="84">
        <v>0.0</v>
      </c>
      <c r="I592" s="91">
        <v>0.0</v>
      </c>
      <c r="J592" s="84">
        <v>0.0</v>
      </c>
      <c r="K592" s="84">
        <v>0.0</v>
      </c>
      <c r="L592" s="84">
        <v>0.0</v>
      </c>
      <c r="M592" s="84">
        <v>0.0</v>
      </c>
      <c r="N592" s="84">
        <v>0.0</v>
      </c>
      <c r="O592" s="84">
        <v>0.0</v>
      </c>
      <c r="P592" s="84">
        <v>0.0</v>
      </c>
      <c r="Q592" s="84">
        <v>0.0</v>
      </c>
      <c r="R592" s="84">
        <v>0.0</v>
      </c>
      <c r="S592" s="84">
        <v>0.0</v>
      </c>
      <c r="T592" s="84">
        <v>0.0</v>
      </c>
      <c r="U592" s="84">
        <v>0.0</v>
      </c>
      <c r="V592" s="84">
        <v>6.0</v>
      </c>
      <c r="W592" s="84">
        <v>2.0</v>
      </c>
      <c r="X592" s="84">
        <v>0.0</v>
      </c>
      <c r="Y592" s="84">
        <v>0.0</v>
      </c>
      <c r="Z592" s="84">
        <v>0.0</v>
      </c>
      <c r="AA592" s="84">
        <v>0.0</v>
      </c>
      <c r="AB592" s="84">
        <v>0.0</v>
      </c>
      <c r="AC592" s="91">
        <v>0.0</v>
      </c>
      <c r="AD592" s="84">
        <v>0.0</v>
      </c>
      <c r="AE592" s="84">
        <v>0.0</v>
      </c>
      <c r="AF592" s="84">
        <v>0.0</v>
      </c>
      <c r="AG592" s="84">
        <v>0.0</v>
      </c>
      <c r="AH592" s="84">
        <v>0.0</v>
      </c>
      <c r="AI592" s="84">
        <v>0.0</v>
      </c>
      <c r="AJ592" s="84">
        <v>0.0</v>
      </c>
      <c r="AK592" s="84">
        <v>0.0</v>
      </c>
      <c r="AL592" s="84">
        <v>0.0</v>
      </c>
      <c r="AM592" s="84">
        <v>0.0</v>
      </c>
      <c r="AN592" s="93">
        <f t="shared" si="1"/>
        <v>0</v>
      </c>
      <c r="AO592" s="84">
        <f t="shared" si="2"/>
        <v>0</v>
      </c>
    </row>
    <row r="593" ht="12.75" customHeight="1">
      <c r="A593" s="84" t="s">
        <v>3155</v>
      </c>
      <c r="B593" s="84">
        <v>0.0</v>
      </c>
      <c r="C593" s="84">
        <v>4.0</v>
      </c>
      <c r="D593" s="84">
        <v>0.0</v>
      </c>
      <c r="E593" s="84">
        <v>0.0</v>
      </c>
      <c r="F593" s="84">
        <v>0.0</v>
      </c>
      <c r="G593" s="84">
        <v>0.0</v>
      </c>
      <c r="H593" s="84">
        <v>0.0</v>
      </c>
      <c r="I593" s="91">
        <v>0.0</v>
      </c>
      <c r="J593" s="84">
        <v>0.0</v>
      </c>
      <c r="K593" s="84">
        <v>0.0</v>
      </c>
      <c r="L593" s="84">
        <v>0.0</v>
      </c>
      <c r="M593" s="84">
        <v>0.0</v>
      </c>
      <c r="N593" s="84">
        <v>0.0</v>
      </c>
      <c r="O593" s="84">
        <v>0.0</v>
      </c>
      <c r="P593" s="84">
        <v>0.0</v>
      </c>
      <c r="Q593" s="84">
        <v>0.0</v>
      </c>
      <c r="R593" s="84">
        <v>0.0</v>
      </c>
      <c r="S593" s="84">
        <v>0.0</v>
      </c>
      <c r="T593" s="84">
        <v>0.0</v>
      </c>
      <c r="U593" s="84">
        <v>0.0</v>
      </c>
      <c r="V593" s="84">
        <v>0.0</v>
      </c>
      <c r="W593" s="84">
        <v>3.0</v>
      </c>
      <c r="X593" s="84">
        <v>1.0</v>
      </c>
      <c r="Y593" s="84">
        <v>0.0</v>
      </c>
      <c r="Z593" s="84">
        <v>0.0</v>
      </c>
      <c r="AA593" s="84">
        <v>0.0</v>
      </c>
      <c r="AB593" s="84">
        <v>0.0</v>
      </c>
      <c r="AC593" s="91">
        <v>0.0</v>
      </c>
      <c r="AD593" s="84">
        <v>0.0</v>
      </c>
      <c r="AE593" s="84">
        <v>0.0</v>
      </c>
      <c r="AF593" s="84">
        <v>0.0</v>
      </c>
      <c r="AG593" s="84">
        <v>0.0</v>
      </c>
      <c r="AH593" s="84">
        <v>0.0</v>
      </c>
      <c r="AI593" s="84">
        <v>0.0</v>
      </c>
      <c r="AJ593" s="84">
        <v>0.0</v>
      </c>
      <c r="AK593" s="84">
        <v>0.0</v>
      </c>
      <c r="AL593" s="84">
        <v>0.0</v>
      </c>
      <c r="AM593" s="84">
        <v>0.0</v>
      </c>
      <c r="AN593" s="93">
        <f t="shared" si="1"/>
        <v>0</v>
      </c>
      <c r="AO593" s="84">
        <f t="shared" si="2"/>
        <v>0</v>
      </c>
    </row>
    <row r="594" ht="12.75" customHeight="1">
      <c r="A594" s="84" t="s">
        <v>3864</v>
      </c>
      <c r="B594" s="84">
        <v>0.0</v>
      </c>
      <c r="C594" s="84">
        <v>0.0</v>
      </c>
      <c r="D594" s="84">
        <v>0.0</v>
      </c>
      <c r="E594" s="84">
        <v>0.0</v>
      </c>
      <c r="F594" s="84">
        <v>0.0</v>
      </c>
      <c r="G594" s="84">
        <v>0.0</v>
      </c>
      <c r="H594" s="84">
        <v>6.0</v>
      </c>
      <c r="I594" s="91">
        <v>0.0</v>
      </c>
      <c r="J594" s="84">
        <v>0.0</v>
      </c>
      <c r="K594" s="84">
        <v>0.0</v>
      </c>
      <c r="L594" s="84">
        <v>0.0</v>
      </c>
      <c r="M594" s="84">
        <v>0.0</v>
      </c>
      <c r="N594" s="84">
        <v>0.0</v>
      </c>
      <c r="O594" s="84">
        <v>0.0</v>
      </c>
      <c r="P594" s="84">
        <v>0.0</v>
      </c>
      <c r="Q594" s="84">
        <v>0.0</v>
      </c>
      <c r="R594" s="84">
        <v>0.0</v>
      </c>
      <c r="S594" s="84">
        <v>0.0</v>
      </c>
      <c r="T594" s="84">
        <v>0.0</v>
      </c>
      <c r="U594" s="84">
        <v>0.0</v>
      </c>
      <c r="V594" s="84">
        <v>0.0</v>
      </c>
      <c r="W594" s="84">
        <v>0.0</v>
      </c>
      <c r="X594" s="84">
        <v>0.0</v>
      </c>
      <c r="Y594" s="84">
        <v>0.0</v>
      </c>
      <c r="Z594" s="84">
        <v>0.0</v>
      </c>
      <c r="AA594" s="84">
        <v>0.0</v>
      </c>
      <c r="AB594" s="84">
        <v>4.0</v>
      </c>
      <c r="AC594" s="91">
        <v>0.0</v>
      </c>
      <c r="AD594" s="84">
        <v>0.0</v>
      </c>
      <c r="AE594" s="84">
        <v>0.0</v>
      </c>
      <c r="AF594" s="84">
        <v>0.0</v>
      </c>
      <c r="AG594" s="84">
        <v>0.0</v>
      </c>
      <c r="AH594" s="84">
        <v>0.0</v>
      </c>
      <c r="AI594" s="84">
        <v>0.0</v>
      </c>
      <c r="AJ594" s="84">
        <v>0.0</v>
      </c>
      <c r="AK594" s="84">
        <v>0.0</v>
      </c>
      <c r="AL594" s="84">
        <v>0.0</v>
      </c>
      <c r="AM594" s="84">
        <v>0.0</v>
      </c>
      <c r="AN594" s="93">
        <f t="shared" si="1"/>
        <v>0</v>
      </c>
      <c r="AO594" s="84">
        <f t="shared" si="2"/>
        <v>0</v>
      </c>
    </row>
    <row r="595" ht="12.75" customHeight="1">
      <c r="A595" s="84" t="s">
        <v>3755</v>
      </c>
      <c r="B595" s="84">
        <v>0.0</v>
      </c>
      <c r="C595" s="84">
        <v>0.0</v>
      </c>
      <c r="D595" s="84">
        <v>0.0</v>
      </c>
      <c r="E595" s="84">
        <v>0.0</v>
      </c>
      <c r="F595" s="84">
        <v>0.0</v>
      </c>
      <c r="G595" s="84">
        <v>6.0</v>
      </c>
      <c r="H595" s="84">
        <v>1.0</v>
      </c>
      <c r="I595" s="91">
        <v>0.0</v>
      </c>
      <c r="J595" s="84">
        <v>0.0</v>
      </c>
      <c r="K595" s="84">
        <v>0.0</v>
      </c>
      <c r="L595" s="84">
        <v>0.0</v>
      </c>
      <c r="M595" s="84">
        <v>0.0</v>
      </c>
      <c r="N595" s="84">
        <v>0.0</v>
      </c>
      <c r="O595" s="84">
        <v>0.0</v>
      </c>
      <c r="P595" s="84">
        <v>0.0</v>
      </c>
      <c r="Q595" s="84">
        <v>0.0</v>
      </c>
      <c r="R595" s="84">
        <v>0.0</v>
      </c>
      <c r="S595" s="84">
        <v>0.0</v>
      </c>
      <c r="T595" s="84">
        <v>0.0</v>
      </c>
      <c r="U595" s="84">
        <v>0.0</v>
      </c>
      <c r="V595" s="84">
        <v>0.0</v>
      </c>
      <c r="W595" s="84">
        <v>0.0</v>
      </c>
      <c r="X595" s="84">
        <v>0.0</v>
      </c>
      <c r="Y595" s="84">
        <v>0.0</v>
      </c>
      <c r="Z595" s="84">
        <v>0.0</v>
      </c>
      <c r="AA595" s="84">
        <v>6.0</v>
      </c>
      <c r="AB595" s="84">
        <v>4.0</v>
      </c>
      <c r="AC595" s="91">
        <v>0.0</v>
      </c>
      <c r="AD595" s="84">
        <v>0.0</v>
      </c>
      <c r="AE595" s="84">
        <v>0.0</v>
      </c>
      <c r="AF595" s="84">
        <v>0.0</v>
      </c>
      <c r="AG595" s="84">
        <v>0.0</v>
      </c>
      <c r="AH595" s="84">
        <v>0.0</v>
      </c>
      <c r="AI595" s="84">
        <v>0.0</v>
      </c>
      <c r="AJ595" s="84">
        <v>0.0</v>
      </c>
      <c r="AK595" s="84">
        <v>0.0</v>
      </c>
      <c r="AL595" s="84">
        <v>0.0</v>
      </c>
      <c r="AM595" s="84">
        <v>0.0</v>
      </c>
      <c r="AN595" s="93">
        <f t="shared" si="1"/>
        <v>0</v>
      </c>
      <c r="AO595" s="84">
        <f t="shared" si="2"/>
        <v>0</v>
      </c>
    </row>
    <row r="596" ht="12.75" customHeight="1">
      <c r="A596" s="84" t="s">
        <v>4520</v>
      </c>
      <c r="B596" s="84">
        <v>0.0</v>
      </c>
      <c r="C596" s="84">
        <v>0.0</v>
      </c>
      <c r="D596" s="84">
        <v>0.0</v>
      </c>
      <c r="E596" s="84">
        <v>0.0</v>
      </c>
      <c r="F596" s="84">
        <v>0.0</v>
      </c>
      <c r="G596" s="84">
        <v>0.0</v>
      </c>
      <c r="H596" s="84">
        <v>0.0</v>
      </c>
      <c r="I596" s="91">
        <v>0.0</v>
      </c>
      <c r="J596" s="84">
        <v>0.0</v>
      </c>
      <c r="K596" s="84">
        <v>0.0</v>
      </c>
      <c r="L596" s="84">
        <v>0.0</v>
      </c>
      <c r="M596" s="84">
        <v>0.0</v>
      </c>
      <c r="N596" s="84">
        <v>0.0</v>
      </c>
      <c r="O596" s="84">
        <v>1.0</v>
      </c>
      <c r="P596" s="84">
        <v>0.0</v>
      </c>
      <c r="Q596" s="84">
        <v>0.0</v>
      </c>
      <c r="R596" s="84">
        <v>0.0</v>
      </c>
      <c r="S596" s="84">
        <v>0.0</v>
      </c>
      <c r="T596" s="84">
        <v>0.0</v>
      </c>
      <c r="U596" s="84">
        <v>0.0</v>
      </c>
      <c r="V596" s="84">
        <v>0.0</v>
      </c>
      <c r="W596" s="84">
        <v>0.0</v>
      </c>
      <c r="X596" s="84">
        <v>0.0</v>
      </c>
      <c r="Y596" s="84">
        <v>0.0</v>
      </c>
      <c r="Z596" s="84">
        <v>0.0</v>
      </c>
      <c r="AA596" s="84">
        <v>0.0</v>
      </c>
      <c r="AB596" s="84">
        <v>0.0</v>
      </c>
      <c r="AC596" s="91">
        <v>0.0</v>
      </c>
      <c r="AD596" s="84">
        <v>0.0</v>
      </c>
      <c r="AE596" s="84">
        <v>0.0</v>
      </c>
      <c r="AF596" s="84">
        <v>0.0</v>
      </c>
      <c r="AG596" s="84">
        <v>0.0</v>
      </c>
      <c r="AH596" s="84">
        <v>0.0</v>
      </c>
      <c r="AI596" s="84">
        <v>0.0</v>
      </c>
      <c r="AJ596" s="84">
        <v>0.0</v>
      </c>
      <c r="AK596" s="84">
        <v>0.0</v>
      </c>
      <c r="AL596" s="84">
        <v>0.0</v>
      </c>
      <c r="AM596" s="84">
        <v>0.0</v>
      </c>
      <c r="AN596" s="93">
        <f t="shared" si="1"/>
        <v>0</v>
      </c>
      <c r="AO596" s="84">
        <f t="shared" si="2"/>
        <v>1</v>
      </c>
    </row>
    <row r="597" ht="12.75" customHeight="1">
      <c r="A597" s="84" t="s">
        <v>3858</v>
      </c>
      <c r="B597" s="84">
        <v>0.0</v>
      </c>
      <c r="C597" s="84">
        <v>0.0</v>
      </c>
      <c r="D597" s="84">
        <v>0.0</v>
      </c>
      <c r="E597" s="84">
        <v>0.0</v>
      </c>
      <c r="F597" s="84">
        <v>0.0</v>
      </c>
      <c r="G597" s="84">
        <v>0.0</v>
      </c>
      <c r="H597" s="84">
        <v>3.0</v>
      </c>
      <c r="I597" s="91">
        <v>0.0</v>
      </c>
      <c r="J597" s="84">
        <v>0.0</v>
      </c>
      <c r="K597" s="84">
        <v>0.0</v>
      </c>
      <c r="L597" s="84">
        <v>0.0</v>
      </c>
      <c r="M597" s="84">
        <v>0.0</v>
      </c>
      <c r="N597" s="84">
        <v>0.0</v>
      </c>
      <c r="O597" s="84">
        <v>0.0</v>
      </c>
      <c r="P597" s="84">
        <v>0.0</v>
      </c>
      <c r="Q597" s="84">
        <v>0.0</v>
      </c>
      <c r="R597" s="84">
        <v>0.0</v>
      </c>
      <c r="S597" s="84">
        <v>0.0</v>
      </c>
      <c r="T597" s="84">
        <v>0.0</v>
      </c>
      <c r="U597" s="84">
        <v>0.0</v>
      </c>
      <c r="V597" s="84">
        <v>0.0</v>
      </c>
      <c r="W597" s="84">
        <v>0.0</v>
      </c>
      <c r="X597" s="84">
        <v>0.0</v>
      </c>
      <c r="Y597" s="84">
        <v>0.0</v>
      </c>
      <c r="Z597" s="84">
        <v>0.0</v>
      </c>
      <c r="AA597" s="84">
        <v>0.0</v>
      </c>
      <c r="AB597" s="84">
        <v>6.0</v>
      </c>
      <c r="AC597" s="91">
        <v>0.0</v>
      </c>
      <c r="AD597" s="84">
        <v>0.0</v>
      </c>
      <c r="AE597" s="84">
        <v>0.0</v>
      </c>
      <c r="AF597" s="84">
        <v>0.0</v>
      </c>
      <c r="AG597" s="84">
        <v>0.0</v>
      </c>
      <c r="AH597" s="84">
        <v>0.0</v>
      </c>
      <c r="AI597" s="84">
        <v>0.0</v>
      </c>
      <c r="AJ597" s="84">
        <v>0.0</v>
      </c>
      <c r="AK597" s="84">
        <v>0.0</v>
      </c>
      <c r="AL597" s="84">
        <v>0.0</v>
      </c>
      <c r="AM597" s="84">
        <v>0.0</v>
      </c>
      <c r="AN597" s="93">
        <f t="shared" si="1"/>
        <v>0</v>
      </c>
      <c r="AO597" s="84">
        <f t="shared" si="2"/>
        <v>0</v>
      </c>
    </row>
    <row r="598" ht="12.75" customHeight="1">
      <c r="A598" s="84" t="s">
        <v>3654</v>
      </c>
      <c r="B598" s="84">
        <v>0.0</v>
      </c>
      <c r="C598" s="84">
        <v>0.0</v>
      </c>
      <c r="D598" s="84">
        <v>0.0</v>
      </c>
      <c r="E598" s="84">
        <v>0.0</v>
      </c>
      <c r="F598" s="84">
        <v>5.0</v>
      </c>
      <c r="G598" s="84">
        <v>0.0</v>
      </c>
      <c r="H598" s="84">
        <v>0.0</v>
      </c>
      <c r="I598" s="91">
        <v>0.0</v>
      </c>
      <c r="J598" s="84">
        <v>0.0</v>
      </c>
      <c r="K598" s="84">
        <v>0.0</v>
      </c>
      <c r="L598" s="84">
        <v>0.0</v>
      </c>
      <c r="M598" s="84">
        <v>0.0</v>
      </c>
      <c r="N598" s="84">
        <v>0.0</v>
      </c>
      <c r="O598" s="84">
        <v>0.0</v>
      </c>
      <c r="P598" s="84">
        <v>0.0</v>
      </c>
      <c r="Q598" s="84">
        <v>0.0</v>
      </c>
      <c r="R598" s="84">
        <v>0.0</v>
      </c>
      <c r="S598" s="84">
        <v>0.0</v>
      </c>
      <c r="T598" s="84">
        <v>0.0</v>
      </c>
      <c r="U598" s="84">
        <v>0.0</v>
      </c>
      <c r="V598" s="84">
        <v>0.0</v>
      </c>
      <c r="W598" s="84">
        <v>0.0</v>
      </c>
      <c r="X598" s="84">
        <v>0.0</v>
      </c>
      <c r="Y598" s="84">
        <v>0.0</v>
      </c>
      <c r="Z598" s="84">
        <v>6.0</v>
      </c>
      <c r="AA598" s="84">
        <v>0.0</v>
      </c>
      <c r="AB598" s="84">
        <v>0.0</v>
      </c>
      <c r="AC598" s="91">
        <v>0.0</v>
      </c>
      <c r="AD598" s="84">
        <v>0.0</v>
      </c>
      <c r="AE598" s="84">
        <v>0.0</v>
      </c>
      <c r="AF598" s="84">
        <v>0.0</v>
      </c>
      <c r="AG598" s="84">
        <v>0.0</v>
      </c>
      <c r="AH598" s="84">
        <v>0.0</v>
      </c>
      <c r="AI598" s="84">
        <v>0.0</v>
      </c>
      <c r="AJ598" s="84">
        <v>0.0</v>
      </c>
      <c r="AK598" s="84">
        <v>0.0</v>
      </c>
      <c r="AL598" s="84">
        <v>0.0</v>
      </c>
      <c r="AM598" s="84">
        <v>0.0</v>
      </c>
      <c r="AN598" s="93">
        <f t="shared" si="1"/>
        <v>0</v>
      </c>
      <c r="AO598" s="84">
        <f t="shared" si="2"/>
        <v>0</v>
      </c>
    </row>
    <row r="599" ht="12.75" customHeight="1">
      <c r="A599" s="84" t="s">
        <v>4560</v>
      </c>
      <c r="B599" s="84">
        <v>0.0</v>
      </c>
      <c r="C599" s="84">
        <v>0.0</v>
      </c>
      <c r="D599" s="84">
        <v>0.0</v>
      </c>
      <c r="E599" s="84">
        <v>0.0</v>
      </c>
      <c r="F599" s="84">
        <v>0.0</v>
      </c>
      <c r="G599" s="84">
        <v>0.0</v>
      </c>
      <c r="H599" s="84">
        <v>0.0</v>
      </c>
      <c r="I599" s="91">
        <v>0.0</v>
      </c>
      <c r="J599" s="84">
        <v>0.0</v>
      </c>
      <c r="K599" s="84">
        <v>0.0</v>
      </c>
      <c r="L599" s="84">
        <v>0.0</v>
      </c>
      <c r="M599" s="84">
        <v>0.0</v>
      </c>
      <c r="N599" s="84">
        <v>0.0</v>
      </c>
      <c r="O599" s="84">
        <v>0.0</v>
      </c>
      <c r="P599" s="84">
        <v>0.0</v>
      </c>
      <c r="Q599" s="84">
        <v>0.0</v>
      </c>
      <c r="R599" s="84">
        <v>0.0</v>
      </c>
      <c r="S599" s="84">
        <v>0.0</v>
      </c>
      <c r="T599" s="84">
        <v>0.0</v>
      </c>
      <c r="U599" s="84">
        <v>0.0</v>
      </c>
      <c r="V599" s="84">
        <v>0.0</v>
      </c>
      <c r="W599" s="84">
        <v>0.0</v>
      </c>
      <c r="X599" s="84">
        <v>0.0</v>
      </c>
      <c r="Y599" s="84">
        <v>0.0</v>
      </c>
      <c r="Z599" s="84">
        <v>0.0</v>
      </c>
      <c r="AA599" s="84">
        <v>0.0</v>
      </c>
      <c r="AB599" s="84">
        <v>0.0</v>
      </c>
      <c r="AC599" s="91">
        <v>0.0</v>
      </c>
      <c r="AD599" s="84">
        <v>0.0</v>
      </c>
      <c r="AE599" s="84">
        <v>0.0</v>
      </c>
      <c r="AF599" s="84">
        <v>0.0</v>
      </c>
      <c r="AG599" s="84">
        <v>0.0</v>
      </c>
      <c r="AH599" s="84">
        <v>1.0</v>
      </c>
      <c r="AI599" s="84">
        <v>0.0</v>
      </c>
      <c r="AJ599" s="84">
        <v>0.0</v>
      </c>
      <c r="AK599" s="84">
        <v>0.0</v>
      </c>
      <c r="AL599" s="84">
        <v>0.0</v>
      </c>
      <c r="AM599" s="84">
        <v>0.0</v>
      </c>
      <c r="AN599" s="93">
        <f t="shared" si="1"/>
        <v>0</v>
      </c>
      <c r="AO599" s="84">
        <f t="shared" si="2"/>
        <v>1</v>
      </c>
    </row>
    <row r="600" ht="12.75" customHeight="1">
      <c r="A600" s="84" t="s">
        <v>3703</v>
      </c>
      <c r="B600" s="84">
        <v>0.0</v>
      </c>
      <c r="C600" s="84">
        <v>0.0</v>
      </c>
      <c r="D600" s="84">
        <v>0.0</v>
      </c>
      <c r="E600" s="84">
        <v>0.0</v>
      </c>
      <c r="F600" s="84">
        <v>4.0</v>
      </c>
      <c r="G600" s="84">
        <v>2.0</v>
      </c>
      <c r="H600" s="84">
        <v>0.0</v>
      </c>
      <c r="I600" s="91">
        <v>0.0</v>
      </c>
      <c r="J600" s="84">
        <v>0.0</v>
      </c>
      <c r="K600" s="84">
        <v>0.0</v>
      </c>
      <c r="L600" s="84">
        <v>0.0</v>
      </c>
      <c r="M600" s="84">
        <v>0.0</v>
      </c>
      <c r="N600" s="84">
        <v>0.0</v>
      </c>
      <c r="O600" s="84">
        <v>0.0</v>
      </c>
      <c r="P600" s="84">
        <v>0.0</v>
      </c>
      <c r="Q600" s="84">
        <v>0.0</v>
      </c>
      <c r="R600" s="84">
        <v>0.0</v>
      </c>
      <c r="S600" s="84">
        <v>0.0</v>
      </c>
      <c r="T600" s="84">
        <v>0.0</v>
      </c>
      <c r="U600" s="84">
        <v>0.0</v>
      </c>
      <c r="V600" s="84">
        <v>0.0</v>
      </c>
      <c r="W600" s="84">
        <v>0.0</v>
      </c>
      <c r="X600" s="84">
        <v>0.0</v>
      </c>
      <c r="Y600" s="84">
        <v>0.0</v>
      </c>
      <c r="Z600" s="84">
        <v>6.0</v>
      </c>
      <c r="AA600" s="84">
        <v>4.0</v>
      </c>
      <c r="AB600" s="84">
        <v>0.0</v>
      </c>
      <c r="AC600" s="91">
        <v>0.0</v>
      </c>
      <c r="AD600" s="84">
        <v>0.0</v>
      </c>
      <c r="AE600" s="84">
        <v>0.0</v>
      </c>
      <c r="AF600" s="84">
        <v>0.0</v>
      </c>
      <c r="AG600" s="84">
        <v>0.0</v>
      </c>
      <c r="AH600" s="84">
        <v>0.0</v>
      </c>
      <c r="AI600" s="84">
        <v>0.0</v>
      </c>
      <c r="AJ600" s="84">
        <v>0.0</v>
      </c>
      <c r="AK600" s="84">
        <v>0.0</v>
      </c>
      <c r="AL600" s="84">
        <v>0.0</v>
      </c>
      <c r="AM600" s="84">
        <v>0.0</v>
      </c>
      <c r="AN600" s="93">
        <f t="shared" si="1"/>
        <v>0</v>
      </c>
      <c r="AO600" s="84">
        <f t="shared" si="2"/>
        <v>0</v>
      </c>
    </row>
    <row r="601" ht="12.75" customHeight="1">
      <c r="A601" s="84" t="s">
        <v>3342</v>
      </c>
      <c r="B601" s="84">
        <v>0.0</v>
      </c>
      <c r="C601" s="84">
        <v>0.0</v>
      </c>
      <c r="D601" s="84">
        <v>4.0</v>
      </c>
      <c r="E601" s="84">
        <v>2.0</v>
      </c>
      <c r="F601" s="84">
        <v>0.0</v>
      </c>
      <c r="G601" s="84">
        <v>0.0</v>
      </c>
      <c r="H601" s="84">
        <v>0.0</v>
      </c>
      <c r="I601" s="91">
        <v>0.0</v>
      </c>
      <c r="J601" s="84">
        <v>0.0</v>
      </c>
      <c r="K601" s="84">
        <v>0.0</v>
      </c>
      <c r="L601" s="84">
        <v>0.0</v>
      </c>
      <c r="M601" s="84">
        <v>0.0</v>
      </c>
      <c r="N601" s="84">
        <v>0.0</v>
      </c>
      <c r="O601" s="84">
        <v>0.0</v>
      </c>
      <c r="P601" s="84">
        <v>0.0</v>
      </c>
      <c r="Q601" s="84">
        <v>0.0</v>
      </c>
      <c r="R601" s="84">
        <v>0.0</v>
      </c>
      <c r="S601" s="84">
        <v>0.0</v>
      </c>
      <c r="T601" s="84">
        <v>0.0</v>
      </c>
      <c r="U601" s="84">
        <v>0.0</v>
      </c>
      <c r="V601" s="84">
        <v>0.0</v>
      </c>
      <c r="W601" s="84">
        <v>0.0</v>
      </c>
      <c r="X601" s="84">
        <v>6.0</v>
      </c>
      <c r="Y601" s="84">
        <v>3.0</v>
      </c>
      <c r="Z601" s="84">
        <v>0.0</v>
      </c>
      <c r="AA601" s="84">
        <v>0.0</v>
      </c>
      <c r="AB601" s="84">
        <v>0.0</v>
      </c>
      <c r="AC601" s="91">
        <v>0.0</v>
      </c>
      <c r="AD601" s="84">
        <v>0.0</v>
      </c>
      <c r="AE601" s="84">
        <v>0.0</v>
      </c>
      <c r="AF601" s="84">
        <v>0.0</v>
      </c>
      <c r="AG601" s="84">
        <v>0.0</v>
      </c>
      <c r="AH601" s="84">
        <v>0.0</v>
      </c>
      <c r="AI601" s="84">
        <v>0.0</v>
      </c>
      <c r="AJ601" s="84">
        <v>0.0</v>
      </c>
      <c r="AK601" s="84">
        <v>0.0</v>
      </c>
      <c r="AL601" s="84">
        <v>0.0</v>
      </c>
      <c r="AM601" s="84">
        <v>0.0</v>
      </c>
      <c r="AN601" s="93">
        <f t="shared" si="1"/>
        <v>0</v>
      </c>
      <c r="AO601" s="84">
        <f t="shared" si="2"/>
        <v>0</v>
      </c>
    </row>
    <row r="602" ht="12.75" customHeight="1">
      <c r="A602" s="84" t="s">
        <v>3331</v>
      </c>
      <c r="B602" s="84">
        <v>0.0</v>
      </c>
      <c r="C602" s="84">
        <v>0.0</v>
      </c>
      <c r="D602" s="84">
        <v>4.0</v>
      </c>
      <c r="E602" s="84">
        <v>0.0</v>
      </c>
      <c r="F602" s="84">
        <v>0.0</v>
      </c>
      <c r="G602" s="84">
        <v>0.0</v>
      </c>
      <c r="H602" s="84">
        <v>0.0</v>
      </c>
      <c r="I602" s="91">
        <v>0.0</v>
      </c>
      <c r="J602" s="84">
        <v>0.0</v>
      </c>
      <c r="K602" s="84">
        <v>0.0</v>
      </c>
      <c r="L602" s="84">
        <v>0.0</v>
      </c>
      <c r="M602" s="84">
        <v>0.0</v>
      </c>
      <c r="N602" s="84">
        <v>0.0</v>
      </c>
      <c r="O602" s="84">
        <v>0.0</v>
      </c>
      <c r="P602" s="84">
        <v>0.0</v>
      </c>
      <c r="Q602" s="84">
        <v>0.0</v>
      </c>
      <c r="R602" s="84">
        <v>0.0</v>
      </c>
      <c r="S602" s="84">
        <v>0.0</v>
      </c>
      <c r="T602" s="84">
        <v>0.0</v>
      </c>
      <c r="U602" s="84">
        <v>0.0</v>
      </c>
      <c r="V602" s="84">
        <v>0.0</v>
      </c>
      <c r="W602" s="84">
        <v>0.0</v>
      </c>
      <c r="X602" s="84">
        <v>6.0</v>
      </c>
      <c r="Y602" s="84">
        <v>2.0</v>
      </c>
      <c r="Z602" s="84">
        <v>0.0</v>
      </c>
      <c r="AA602" s="84">
        <v>0.0</v>
      </c>
      <c r="AB602" s="84">
        <v>0.0</v>
      </c>
      <c r="AC602" s="91">
        <v>0.0</v>
      </c>
      <c r="AD602" s="84">
        <v>0.0</v>
      </c>
      <c r="AE602" s="84">
        <v>0.0</v>
      </c>
      <c r="AF602" s="84">
        <v>0.0</v>
      </c>
      <c r="AG602" s="84">
        <v>0.0</v>
      </c>
      <c r="AH602" s="84">
        <v>0.0</v>
      </c>
      <c r="AI602" s="84">
        <v>0.0</v>
      </c>
      <c r="AJ602" s="84">
        <v>0.0</v>
      </c>
      <c r="AK602" s="84">
        <v>0.0</v>
      </c>
      <c r="AL602" s="84">
        <v>0.0</v>
      </c>
      <c r="AM602" s="84">
        <v>0.0</v>
      </c>
      <c r="AN602" s="93">
        <f t="shared" si="1"/>
        <v>0</v>
      </c>
      <c r="AO602" s="84">
        <f t="shared" si="2"/>
        <v>0</v>
      </c>
    </row>
    <row r="603" ht="12.75" customHeight="1">
      <c r="A603" s="84" t="s">
        <v>3850</v>
      </c>
      <c r="B603" s="84">
        <v>0.0</v>
      </c>
      <c r="C603" s="84">
        <v>0.0</v>
      </c>
      <c r="D603" s="84">
        <v>0.0</v>
      </c>
      <c r="E603" s="84">
        <v>0.0</v>
      </c>
      <c r="F603" s="84">
        <v>0.0</v>
      </c>
      <c r="G603" s="84">
        <v>5.0</v>
      </c>
      <c r="H603" s="84">
        <v>4.0</v>
      </c>
      <c r="I603" s="91">
        <v>0.0</v>
      </c>
      <c r="J603" s="84">
        <v>0.0</v>
      </c>
      <c r="K603" s="84">
        <v>0.0</v>
      </c>
      <c r="L603" s="84">
        <v>0.0</v>
      </c>
      <c r="M603" s="84">
        <v>0.0</v>
      </c>
      <c r="N603" s="84">
        <v>0.0</v>
      </c>
      <c r="O603" s="84">
        <v>0.0</v>
      </c>
      <c r="P603" s="84">
        <v>0.0</v>
      </c>
      <c r="Q603" s="84">
        <v>0.0</v>
      </c>
      <c r="R603" s="84">
        <v>0.0</v>
      </c>
      <c r="S603" s="84">
        <v>0.0</v>
      </c>
      <c r="T603" s="84">
        <v>0.0</v>
      </c>
      <c r="U603" s="84">
        <v>0.0</v>
      </c>
      <c r="V603" s="84">
        <v>0.0</v>
      </c>
      <c r="W603" s="84">
        <v>0.0</v>
      </c>
      <c r="X603" s="84">
        <v>0.0</v>
      </c>
      <c r="Y603" s="84">
        <v>0.0</v>
      </c>
      <c r="Z603" s="84">
        <v>0.0</v>
      </c>
      <c r="AA603" s="84">
        <v>6.0</v>
      </c>
      <c r="AB603" s="84">
        <v>2.0</v>
      </c>
      <c r="AC603" s="91">
        <v>0.0</v>
      </c>
      <c r="AD603" s="84">
        <v>0.0</v>
      </c>
      <c r="AE603" s="84">
        <v>0.0</v>
      </c>
      <c r="AF603" s="84">
        <v>0.0</v>
      </c>
      <c r="AG603" s="84">
        <v>0.0</v>
      </c>
      <c r="AH603" s="84">
        <v>0.0</v>
      </c>
      <c r="AI603" s="84">
        <v>0.0</v>
      </c>
      <c r="AJ603" s="84">
        <v>0.0</v>
      </c>
      <c r="AK603" s="84">
        <v>0.0</v>
      </c>
      <c r="AL603" s="84">
        <v>0.0</v>
      </c>
      <c r="AM603" s="84">
        <v>0.0</v>
      </c>
      <c r="AN603" s="93">
        <f t="shared" si="1"/>
        <v>0</v>
      </c>
      <c r="AO603" s="84">
        <f t="shared" si="2"/>
        <v>0</v>
      </c>
    </row>
    <row r="604" ht="12.75" customHeight="1">
      <c r="A604" s="84" t="s">
        <v>4501</v>
      </c>
      <c r="B604" s="84">
        <v>0.0</v>
      </c>
      <c r="C604" s="84">
        <v>0.0</v>
      </c>
      <c r="D604" s="84">
        <v>0.0</v>
      </c>
      <c r="E604" s="84">
        <v>0.0</v>
      </c>
      <c r="F604" s="84">
        <v>0.0</v>
      </c>
      <c r="G604" s="84">
        <v>0.0</v>
      </c>
      <c r="H604" s="84">
        <v>0.0</v>
      </c>
      <c r="I604" s="91">
        <v>0.0</v>
      </c>
      <c r="J604" s="84">
        <v>0.0</v>
      </c>
      <c r="K604" s="84">
        <v>0.0</v>
      </c>
      <c r="L604" s="84">
        <v>0.0</v>
      </c>
      <c r="M604" s="84">
        <v>0.0</v>
      </c>
      <c r="N604" s="84">
        <v>1.0</v>
      </c>
      <c r="O604" s="84">
        <v>0.0</v>
      </c>
      <c r="P604" s="84">
        <v>0.0</v>
      </c>
      <c r="Q604" s="84">
        <v>0.0</v>
      </c>
      <c r="R604" s="84">
        <v>0.0</v>
      </c>
      <c r="S604" s="84">
        <v>0.0</v>
      </c>
      <c r="T604" s="84">
        <v>0.0</v>
      </c>
      <c r="U604" s="84">
        <v>0.0</v>
      </c>
      <c r="V604" s="84">
        <v>0.0</v>
      </c>
      <c r="W604" s="84">
        <v>0.0</v>
      </c>
      <c r="X604" s="84">
        <v>0.0</v>
      </c>
      <c r="Y604" s="84">
        <v>0.0</v>
      </c>
      <c r="Z604" s="84">
        <v>0.0</v>
      </c>
      <c r="AA604" s="84">
        <v>0.0</v>
      </c>
      <c r="AB604" s="84">
        <v>0.0</v>
      </c>
      <c r="AC604" s="91">
        <v>0.0</v>
      </c>
      <c r="AD604" s="84">
        <v>0.0</v>
      </c>
      <c r="AE604" s="84">
        <v>0.0</v>
      </c>
      <c r="AF604" s="84">
        <v>0.0</v>
      </c>
      <c r="AG604" s="84">
        <v>0.0</v>
      </c>
      <c r="AH604" s="84">
        <v>0.0</v>
      </c>
      <c r="AI604" s="84">
        <v>0.0</v>
      </c>
      <c r="AJ604" s="84">
        <v>0.0</v>
      </c>
      <c r="AK604" s="84">
        <v>0.0</v>
      </c>
      <c r="AL604" s="84">
        <v>0.0</v>
      </c>
      <c r="AM604" s="84">
        <v>0.0</v>
      </c>
      <c r="AN604" s="93">
        <f t="shared" si="1"/>
        <v>0</v>
      </c>
      <c r="AO604" s="84">
        <f t="shared" si="2"/>
        <v>1</v>
      </c>
    </row>
    <row r="605" ht="12.75" customHeight="1">
      <c r="A605" s="84" t="s">
        <v>4328</v>
      </c>
      <c r="B605" s="84">
        <v>0.0</v>
      </c>
      <c r="C605" s="84">
        <v>0.0</v>
      </c>
      <c r="D605" s="84">
        <v>0.0</v>
      </c>
      <c r="E605" s="84">
        <v>0.0</v>
      </c>
      <c r="F605" s="84">
        <v>0.0</v>
      </c>
      <c r="G605" s="84">
        <v>0.0</v>
      </c>
      <c r="H605" s="84">
        <v>0.0</v>
      </c>
      <c r="I605" s="91">
        <v>0.0</v>
      </c>
      <c r="J605" s="84">
        <v>0.0</v>
      </c>
      <c r="K605" s="84">
        <v>0.0</v>
      </c>
      <c r="L605" s="84">
        <v>0.0</v>
      </c>
      <c r="M605" s="84">
        <v>0.0</v>
      </c>
      <c r="N605" s="84">
        <v>0.0</v>
      </c>
      <c r="O605" s="84">
        <v>0.0</v>
      </c>
      <c r="P605" s="84">
        <v>0.0</v>
      </c>
      <c r="Q605" s="84">
        <v>0.0</v>
      </c>
      <c r="R605" s="84">
        <v>0.0</v>
      </c>
      <c r="S605" s="84">
        <v>0.0</v>
      </c>
      <c r="T605" s="84">
        <v>0.0</v>
      </c>
      <c r="U605" s="84">
        <v>0.0</v>
      </c>
      <c r="V605" s="84">
        <v>0.0</v>
      </c>
      <c r="W605" s="84">
        <v>0.0</v>
      </c>
      <c r="X605" s="84">
        <v>0.0</v>
      </c>
      <c r="Y605" s="84">
        <v>0.0</v>
      </c>
      <c r="Z605" s="84">
        <v>0.0</v>
      </c>
      <c r="AA605" s="84">
        <v>0.0</v>
      </c>
      <c r="AB605" s="84">
        <v>0.0</v>
      </c>
      <c r="AC605" s="91">
        <v>0.001277139208173691</v>
      </c>
      <c r="AD605" s="84">
        <v>0.0</v>
      </c>
      <c r="AE605" s="84">
        <v>0.0</v>
      </c>
      <c r="AF605" s="84">
        <v>0.0</v>
      </c>
      <c r="AG605" s="84">
        <v>0.0</v>
      </c>
      <c r="AH605" s="84">
        <v>0.0</v>
      </c>
      <c r="AI605" s="84">
        <v>0.0</v>
      </c>
      <c r="AJ605" s="84">
        <v>0.0</v>
      </c>
      <c r="AK605" s="84">
        <v>0.0</v>
      </c>
      <c r="AL605" s="84">
        <v>0.0</v>
      </c>
      <c r="AM605" s="84">
        <v>0.0</v>
      </c>
      <c r="AN605" s="93">
        <f t="shared" si="1"/>
        <v>0.001277139208</v>
      </c>
      <c r="AO605" s="84">
        <f t="shared" si="2"/>
        <v>0</v>
      </c>
    </row>
    <row r="606" ht="12.75" customHeight="1">
      <c r="A606" s="84" t="s">
        <v>4591</v>
      </c>
      <c r="B606" s="84">
        <v>0.0</v>
      </c>
      <c r="C606" s="84">
        <v>0.0</v>
      </c>
      <c r="D606" s="84">
        <v>0.0</v>
      </c>
      <c r="E606" s="84">
        <v>0.0</v>
      </c>
      <c r="F606" s="84">
        <v>0.0</v>
      </c>
      <c r="G606" s="84">
        <v>0.0</v>
      </c>
      <c r="H606" s="84">
        <v>0.0</v>
      </c>
      <c r="I606" s="91">
        <v>0.0</v>
      </c>
      <c r="J606" s="84">
        <v>0.0</v>
      </c>
      <c r="K606" s="84">
        <v>0.0</v>
      </c>
      <c r="L606" s="84">
        <v>0.0</v>
      </c>
      <c r="M606" s="84">
        <v>0.0</v>
      </c>
      <c r="N606" s="84">
        <v>0.0</v>
      </c>
      <c r="O606" s="84">
        <v>0.0</v>
      </c>
      <c r="P606" s="84">
        <v>0.0</v>
      </c>
      <c r="Q606" s="84">
        <v>0.0</v>
      </c>
      <c r="R606" s="84">
        <v>0.0</v>
      </c>
      <c r="S606" s="84">
        <v>0.0</v>
      </c>
      <c r="T606" s="84">
        <v>0.0</v>
      </c>
      <c r="U606" s="84">
        <v>0.0</v>
      </c>
      <c r="V606" s="84">
        <v>0.0</v>
      </c>
      <c r="W606" s="84">
        <v>0.0</v>
      </c>
      <c r="X606" s="84">
        <v>0.0</v>
      </c>
      <c r="Y606" s="84">
        <v>0.0</v>
      </c>
      <c r="Z606" s="84">
        <v>0.0</v>
      </c>
      <c r="AA606" s="84">
        <v>0.0</v>
      </c>
      <c r="AB606" s="84">
        <v>0.0</v>
      </c>
      <c r="AC606" s="91">
        <v>0.0</v>
      </c>
      <c r="AD606" s="84">
        <v>0.0</v>
      </c>
      <c r="AE606" s="84">
        <v>0.0</v>
      </c>
      <c r="AF606" s="84">
        <v>0.0</v>
      </c>
      <c r="AG606" s="84">
        <v>0.0</v>
      </c>
      <c r="AH606" s="84">
        <v>0.0</v>
      </c>
      <c r="AI606" s="84">
        <v>1.0</v>
      </c>
      <c r="AJ606" s="84">
        <v>0.0</v>
      </c>
      <c r="AK606" s="84">
        <v>0.0</v>
      </c>
      <c r="AL606" s="84">
        <v>0.0</v>
      </c>
      <c r="AM606" s="84">
        <v>0.0</v>
      </c>
      <c r="AN606" s="93">
        <f t="shared" si="1"/>
        <v>0</v>
      </c>
      <c r="AO606" s="84">
        <f t="shared" si="2"/>
        <v>1</v>
      </c>
    </row>
    <row r="607" ht="12.75" customHeight="1">
      <c r="A607" s="84" t="s">
        <v>3935</v>
      </c>
      <c r="B607" s="84">
        <v>0.0</v>
      </c>
      <c r="C607" s="84">
        <v>0.0</v>
      </c>
      <c r="D607" s="84">
        <v>0.0</v>
      </c>
      <c r="E607" s="84">
        <v>0.0</v>
      </c>
      <c r="F607" s="84">
        <v>0.0</v>
      </c>
      <c r="G607" s="84">
        <v>0.0</v>
      </c>
      <c r="H607" s="84">
        <v>4.0</v>
      </c>
      <c r="I607" s="91">
        <v>0.0</v>
      </c>
      <c r="J607" s="84">
        <v>0.0</v>
      </c>
      <c r="K607" s="84">
        <v>0.0</v>
      </c>
      <c r="L607" s="84">
        <v>0.0</v>
      </c>
      <c r="M607" s="84">
        <v>0.0</v>
      </c>
      <c r="N607" s="84">
        <v>0.0</v>
      </c>
      <c r="O607" s="84">
        <v>0.0</v>
      </c>
      <c r="P607" s="84">
        <v>0.0</v>
      </c>
      <c r="Q607" s="84">
        <v>0.0</v>
      </c>
      <c r="R607" s="84">
        <v>0.0</v>
      </c>
      <c r="S607" s="84">
        <v>0.0</v>
      </c>
      <c r="T607" s="84">
        <v>0.0</v>
      </c>
      <c r="U607" s="84">
        <v>0.0</v>
      </c>
      <c r="V607" s="84">
        <v>0.0</v>
      </c>
      <c r="W607" s="84">
        <v>0.0</v>
      </c>
      <c r="X607" s="84">
        <v>0.0</v>
      </c>
      <c r="Y607" s="84">
        <v>0.0</v>
      </c>
      <c r="Z607" s="84">
        <v>0.0</v>
      </c>
      <c r="AA607" s="84">
        <v>0.0</v>
      </c>
      <c r="AB607" s="84">
        <v>8.0</v>
      </c>
      <c r="AC607" s="91">
        <v>0.0</v>
      </c>
      <c r="AD607" s="84">
        <v>0.0</v>
      </c>
      <c r="AE607" s="84">
        <v>0.0</v>
      </c>
      <c r="AF607" s="84">
        <v>0.0</v>
      </c>
      <c r="AG607" s="84">
        <v>0.0</v>
      </c>
      <c r="AH607" s="84">
        <v>0.0</v>
      </c>
      <c r="AI607" s="84">
        <v>0.0</v>
      </c>
      <c r="AJ607" s="84">
        <v>0.0</v>
      </c>
      <c r="AK607" s="84">
        <v>0.0</v>
      </c>
      <c r="AL607" s="84">
        <v>0.0</v>
      </c>
      <c r="AM607" s="84">
        <v>0.0</v>
      </c>
      <c r="AN607" s="93">
        <f t="shared" si="1"/>
        <v>0</v>
      </c>
      <c r="AO607" s="84">
        <f t="shared" si="2"/>
        <v>0</v>
      </c>
    </row>
    <row r="608" ht="12.75" customHeight="1">
      <c r="A608" s="84" t="s">
        <v>4339</v>
      </c>
      <c r="B608" s="84">
        <v>0.0</v>
      </c>
      <c r="C608" s="84">
        <v>0.0</v>
      </c>
      <c r="D608" s="84">
        <v>0.0</v>
      </c>
      <c r="E608" s="84">
        <v>0.0</v>
      </c>
      <c r="F608" s="84">
        <v>0.0</v>
      </c>
      <c r="G608" s="84">
        <v>0.0</v>
      </c>
      <c r="H608" s="84">
        <v>0.0</v>
      </c>
      <c r="I608" s="91">
        <v>0.0</v>
      </c>
      <c r="J608" s="84">
        <v>0.0</v>
      </c>
      <c r="K608" s="84">
        <v>0.0</v>
      </c>
      <c r="L608" s="84">
        <v>0.0</v>
      </c>
      <c r="M608" s="84">
        <v>0.0</v>
      </c>
      <c r="N608" s="84">
        <v>0.0</v>
      </c>
      <c r="O608" s="84">
        <v>0.0</v>
      </c>
      <c r="P608" s="84">
        <v>0.0</v>
      </c>
      <c r="Q608" s="84">
        <v>0.0</v>
      </c>
      <c r="R608" s="84">
        <v>0.0</v>
      </c>
      <c r="S608" s="84">
        <v>0.0</v>
      </c>
      <c r="T608" s="84">
        <v>0.0</v>
      </c>
      <c r="U608" s="84">
        <v>0.0</v>
      </c>
      <c r="V608" s="84">
        <v>0.0</v>
      </c>
      <c r="W608" s="84">
        <v>0.0</v>
      </c>
      <c r="X608" s="84">
        <v>0.0</v>
      </c>
      <c r="Y608" s="84">
        <v>0.0</v>
      </c>
      <c r="Z608" s="84">
        <v>0.0</v>
      </c>
      <c r="AA608" s="84">
        <v>0.0</v>
      </c>
      <c r="AB608" s="84">
        <v>0.0</v>
      </c>
      <c r="AC608" s="91">
        <v>0.001277139208173691</v>
      </c>
      <c r="AD608" s="84">
        <v>0.0</v>
      </c>
      <c r="AE608" s="84">
        <v>0.0</v>
      </c>
      <c r="AF608" s="84">
        <v>0.0</v>
      </c>
      <c r="AG608" s="84">
        <v>0.0</v>
      </c>
      <c r="AH608" s="84">
        <v>0.0</v>
      </c>
      <c r="AI608" s="84">
        <v>0.0</v>
      </c>
      <c r="AJ608" s="84">
        <v>0.0</v>
      </c>
      <c r="AK608" s="84">
        <v>0.0</v>
      </c>
      <c r="AL608" s="84">
        <v>0.0</v>
      </c>
      <c r="AM608" s="84">
        <v>0.0</v>
      </c>
      <c r="AN608" s="93">
        <f t="shared" si="1"/>
        <v>0.001277139208</v>
      </c>
      <c r="AO608" s="84">
        <f t="shared" si="2"/>
        <v>0</v>
      </c>
    </row>
    <row r="609" ht="12.75" customHeight="1">
      <c r="A609" s="84" t="s">
        <v>4653</v>
      </c>
      <c r="B609" s="84">
        <v>0.0</v>
      </c>
      <c r="C609" s="84">
        <v>0.0</v>
      </c>
      <c r="D609" s="84">
        <v>0.0</v>
      </c>
      <c r="E609" s="84">
        <v>0.0</v>
      </c>
      <c r="F609" s="84">
        <v>0.0</v>
      </c>
      <c r="G609" s="84">
        <v>0.0</v>
      </c>
      <c r="H609" s="84">
        <v>0.0</v>
      </c>
      <c r="I609" s="91">
        <v>0.0</v>
      </c>
      <c r="J609" s="84">
        <v>0.0</v>
      </c>
      <c r="K609" s="84">
        <v>0.0</v>
      </c>
      <c r="L609" s="84">
        <v>0.0</v>
      </c>
      <c r="M609" s="84">
        <v>0.0</v>
      </c>
      <c r="N609" s="84">
        <v>0.0</v>
      </c>
      <c r="O609" s="84">
        <v>0.0</v>
      </c>
      <c r="P609" s="84">
        <v>0.0</v>
      </c>
      <c r="Q609" s="84">
        <v>0.0</v>
      </c>
      <c r="R609" s="84">
        <v>0.0</v>
      </c>
      <c r="S609" s="84">
        <v>0.0</v>
      </c>
      <c r="T609" s="84">
        <v>1.0</v>
      </c>
      <c r="U609" s="84">
        <v>0.0</v>
      </c>
      <c r="V609" s="84">
        <v>0.0</v>
      </c>
      <c r="W609" s="84">
        <v>0.0</v>
      </c>
      <c r="X609" s="84">
        <v>0.0</v>
      </c>
      <c r="Y609" s="84">
        <v>0.0</v>
      </c>
      <c r="Z609" s="84">
        <v>0.0</v>
      </c>
      <c r="AA609" s="84">
        <v>0.0</v>
      </c>
      <c r="AB609" s="84">
        <v>0.0</v>
      </c>
      <c r="AC609" s="91">
        <v>0.0</v>
      </c>
      <c r="AD609" s="84">
        <v>0.0</v>
      </c>
      <c r="AE609" s="84">
        <v>0.0</v>
      </c>
      <c r="AF609" s="84">
        <v>0.0</v>
      </c>
      <c r="AG609" s="84">
        <v>0.0</v>
      </c>
      <c r="AH609" s="84">
        <v>0.0</v>
      </c>
      <c r="AI609" s="84">
        <v>0.0</v>
      </c>
      <c r="AJ609" s="84">
        <v>0.0</v>
      </c>
      <c r="AK609" s="84">
        <v>0.0</v>
      </c>
      <c r="AL609" s="84">
        <v>0.0</v>
      </c>
      <c r="AM609" s="84">
        <v>0.0</v>
      </c>
      <c r="AN609" s="93">
        <f t="shared" si="1"/>
        <v>0</v>
      </c>
      <c r="AO609" s="84">
        <f t="shared" si="2"/>
        <v>1</v>
      </c>
    </row>
    <row r="610" ht="12.75" customHeight="1">
      <c r="A610" s="84" t="s">
        <v>4650</v>
      </c>
      <c r="B610" s="84">
        <v>0.0</v>
      </c>
      <c r="C610" s="84">
        <v>0.0</v>
      </c>
      <c r="D610" s="84">
        <v>0.0</v>
      </c>
      <c r="E610" s="84">
        <v>0.0</v>
      </c>
      <c r="F610" s="84">
        <v>0.0</v>
      </c>
      <c r="G610" s="84">
        <v>0.0</v>
      </c>
      <c r="H610" s="84">
        <v>0.0</v>
      </c>
      <c r="I610" s="91">
        <v>0.0</v>
      </c>
      <c r="J610" s="84">
        <v>0.0</v>
      </c>
      <c r="K610" s="84">
        <v>0.0</v>
      </c>
      <c r="L610" s="84">
        <v>0.0</v>
      </c>
      <c r="M610" s="84">
        <v>0.0</v>
      </c>
      <c r="N610" s="84">
        <v>0.0</v>
      </c>
      <c r="O610" s="84">
        <v>0.0</v>
      </c>
      <c r="P610" s="84">
        <v>0.0</v>
      </c>
      <c r="Q610" s="84">
        <v>0.0</v>
      </c>
      <c r="R610" s="84">
        <v>0.0</v>
      </c>
      <c r="S610" s="84">
        <v>0.0</v>
      </c>
      <c r="T610" s="84">
        <v>1.0</v>
      </c>
      <c r="U610" s="84">
        <v>0.0</v>
      </c>
      <c r="V610" s="84">
        <v>0.0</v>
      </c>
      <c r="W610" s="84">
        <v>0.0</v>
      </c>
      <c r="X610" s="84">
        <v>0.0</v>
      </c>
      <c r="Y610" s="84">
        <v>0.0</v>
      </c>
      <c r="Z610" s="84">
        <v>0.0</v>
      </c>
      <c r="AA610" s="84">
        <v>0.0</v>
      </c>
      <c r="AB610" s="84">
        <v>0.0</v>
      </c>
      <c r="AC610" s="91">
        <v>0.0</v>
      </c>
      <c r="AD610" s="84">
        <v>0.0</v>
      </c>
      <c r="AE610" s="84">
        <v>0.0</v>
      </c>
      <c r="AF610" s="84">
        <v>0.0</v>
      </c>
      <c r="AG610" s="84">
        <v>0.0</v>
      </c>
      <c r="AH610" s="84">
        <v>0.0</v>
      </c>
      <c r="AI610" s="84">
        <v>0.0</v>
      </c>
      <c r="AJ610" s="84">
        <v>0.0</v>
      </c>
      <c r="AK610" s="84">
        <v>0.0</v>
      </c>
      <c r="AL610" s="84">
        <v>0.0</v>
      </c>
      <c r="AM610" s="84">
        <v>0.0</v>
      </c>
      <c r="AN610" s="93">
        <f t="shared" si="1"/>
        <v>0</v>
      </c>
      <c r="AO610" s="84">
        <f t="shared" si="2"/>
        <v>1</v>
      </c>
    </row>
    <row r="611" ht="12.75" customHeight="1">
      <c r="A611" s="84" t="s">
        <v>4647</v>
      </c>
      <c r="B611" s="84">
        <v>0.0</v>
      </c>
      <c r="C611" s="84">
        <v>0.0</v>
      </c>
      <c r="D611" s="84">
        <v>0.0</v>
      </c>
      <c r="E611" s="84">
        <v>0.0</v>
      </c>
      <c r="F611" s="84">
        <v>0.0</v>
      </c>
      <c r="G611" s="84">
        <v>0.0</v>
      </c>
      <c r="H611" s="84">
        <v>0.0</v>
      </c>
      <c r="I611" s="91">
        <v>0.0</v>
      </c>
      <c r="J611" s="84">
        <v>0.0</v>
      </c>
      <c r="K611" s="84">
        <v>0.0</v>
      </c>
      <c r="L611" s="84">
        <v>0.0</v>
      </c>
      <c r="M611" s="84">
        <v>0.0</v>
      </c>
      <c r="N611" s="84">
        <v>0.0</v>
      </c>
      <c r="O611" s="84">
        <v>0.0</v>
      </c>
      <c r="P611" s="84">
        <v>0.0</v>
      </c>
      <c r="Q611" s="84">
        <v>0.0</v>
      </c>
      <c r="R611" s="84">
        <v>0.0</v>
      </c>
      <c r="S611" s="84">
        <v>0.0</v>
      </c>
      <c r="T611" s="84">
        <v>1.0</v>
      </c>
      <c r="U611" s="84">
        <v>0.0</v>
      </c>
      <c r="V611" s="84">
        <v>0.0</v>
      </c>
      <c r="W611" s="84">
        <v>0.0</v>
      </c>
      <c r="X611" s="84">
        <v>0.0</v>
      </c>
      <c r="Y611" s="84">
        <v>0.0</v>
      </c>
      <c r="Z611" s="84">
        <v>0.0</v>
      </c>
      <c r="AA611" s="84">
        <v>0.0</v>
      </c>
      <c r="AB611" s="84">
        <v>0.0</v>
      </c>
      <c r="AC611" s="91">
        <v>0.0</v>
      </c>
      <c r="AD611" s="84">
        <v>0.0</v>
      </c>
      <c r="AE611" s="84">
        <v>0.0</v>
      </c>
      <c r="AF611" s="84">
        <v>0.0</v>
      </c>
      <c r="AG611" s="84">
        <v>0.0</v>
      </c>
      <c r="AH611" s="84">
        <v>0.0</v>
      </c>
      <c r="AI611" s="84">
        <v>0.0</v>
      </c>
      <c r="AJ611" s="84">
        <v>0.0</v>
      </c>
      <c r="AK611" s="84">
        <v>0.0</v>
      </c>
      <c r="AL611" s="84">
        <v>0.0</v>
      </c>
      <c r="AM611" s="84">
        <v>0.0</v>
      </c>
      <c r="AN611" s="93">
        <f t="shared" si="1"/>
        <v>0</v>
      </c>
      <c r="AO611" s="84">
        <f t="shared" si="2"/>
        <v>1</v>
      </c>
    </row>
    <row r="612" ht="12.75" customHeight="1">
      <c r="A612" s="84" t="s">
        <v>3847</v>
      </c>
      <c r="B612" s="84">
        <v>0.0</v>
      </c>
      <c r="C612" s="84">
        <v>0.0</v>
      </c>
      <c r="D612" s="84">
        <v>0.0</v>
      </c>
      <c r="E612" s="84">
        <v>0.0</v>
      </c>
      <c r="F612" s="84">
        <v>0.0</v>
      </c>
      <c r="G612" s="84">
        <v>6.0</v>
      </c>
      <c r="H612" s="84">
        <v>2.0</v>
      </c>
      <c r="I612" s="91">
        <v>0.0</v>
      </c>
      <c r="J612" s="84">
        <v>0.0</v>
      </c>
      <c r="K612" s="84">
        <v>0.0</v>
      </c>
      <c r="L612" s="84">
        <v>0.0</v>
      </c>
      <c r="M612" s="84">
        <v>0.0</v>
      </c>
      <c r="N612" s="84">
        <v>0.0</v>
      </c>
      <c r="O612" s="84">
        <v>0.0</v>
      </c>
      <c r="P612" s="84">
        <v>0.0</v>
      </c>
      <c r="Q612" s="84">
        <v>0.0</v>
      </c>
      <c r="R612" s="84">
        <v>0.0</v>
      </c>
      <c r="S612" s="84">
        <v>0.0</v>
      </c>
      <c r="T612" s="84">
        <v>0.0</v>
      </c>
      <c r="U612" s="84">
        <v>0.0</v>
      </c>
      <c r="V612" s="84">
        <v>0.0</v>
      </c>
      <c r="W612" s="84">
        <v>0.0</v>
      </c>
      <c r="X612" s="84">
        <v>0.0</v>
      </c>
      <c r="Y612" s="84">
        <v>0.0</v>
      </c>
      <c r="Z612" s="84">
        <v>0.0</v>
      </c>
      <c r="AA612" s="84">
        <v>6.0</v>
      </c>
      <c r="AB612" s="84">
        <v>5.0</v>
      </c>
      <c r="AC612" s="91">
        <v>0.0</v>
      </c>
      <c r="AD612" s="84">
        <v>0.0</v>
      </c>
      <c r="AE612" s="84">
        <v>0.0</v>
      </c>
      <c r="AF612" s="84">
        <v>0.0</v>
      </c>
      <c r="AG612" s="84">
        <v>0.0</v>
      </c>
      <c r="AH612" s="84">
        <v>0.0</v>
      </c>
      <c r="AI612" s="84">
        <v>0.0</v>
      </c>
      <c r="AJ612" s="84">
        <v>0.0</v>
      </c>
      <c r="AK612" s="84">
        <v>0.0</v>
      </c>
      <c r="AL612" s="84">
        <v>0.0</v>
      </c>
      <c r="AM612" s="84">
        <v>0.0</v>
      </c>
      <c r="AN612" s="93">
        <f t="shared" si="1"/>
        <v>0</v>
      </c>
      <c r="AO612" s="84">
        <f t="shared" si="2"/>
        <v>0</v>
      </c>
    </row>
    <row r="613" ht="12.75" customHeight="1">
      <c r="A613" s="84" t="s">
        <v>4489</v>
      </c>
      <c r="B613" s="84">
        <v>0.0</v>
      </c>
      <c r="C613" s="84">
        <v>0.0</v>
      </c>
      <c r="D613" s="84">
        <v>0.0</v>
      </c>
      <c r="E613" s="84">
        <v>0.0</v>
      </c>
      <c r="F613" s="84">
        <v>0.0</v>
      </c>
      <c r="G613" s="84">
        <v>0.0</v>
      </c>
      <c r="H613" s="84">
        <v>0.0</v>
      </c>
      <c r="I613" s="91">
        <v>0.0</v>
      </c>
      <c r="J613" s="84">
        <v>0.0</v>
      </c>
      <c r="K613" s="84">
        <v>0.0</v>
      </c>
      <c r="L613" s="84">
        <v>0.0</v>
      </c>
      <c r="M613" s="84">
        <v>0.0</v>
      </c>
      <c r="N613" s="84">
        <v>0.0</v>
      </c>
      <c r="O613" s="84">
        <v>0.0</v>
      </c>
      <c r="P613" s="84">
        <v>0.0</v>
      </c>
      <c r="Q613" s="84">
        <v>0.0</v>
      </c>
      <c r="R613" s="84">
        <v>0.0</v>
      </c>
      <c r="S613" s="84">
        <v>0.0</v>
      </c>
      <c r="T613" s="84">
        <v>0.0</v>
      </c>
      <c r="U613" s="84">
        <v>0.0</v>
      </c>
      <c r="V613" s="84">
        <v>0.0</v>
      </c>
      <c r="W613" s="84">
        <v>0.0</v>
      </c>
      <c r="X613" s="84">
        <v>0.0</v>
      </c>
      <c r="Y613" s="84">
        <v>0.0</v>
      </c>
      <c r="Z613" s="84">
        <v>0.0</v>
      </c>
      <c r="AA613" s="84">
        <v>0.0</v>
      </c>
      <c r="AB613" s="84">
        <v>0.0</v>
      </c>
      <c r="AC613" s="91">
        <v>0.0</v>
      </c>
      <c r="AD613" s="84">
        <v>0.0</v>
      </c>
      <c r="AE613" s="84">
        <v>1.0</v>
      </c>
      <c r="AF613" s="84">
        <v>0.0</v>
      </c>
      <c r="AG613" s="84">
        <v>0.0</v>
      </c>
      <c r="AH613" s="84">
        <v>0.0</v>
      </c>
      <c r="AI613" s="84">
        <v>0.0</v>
      </c>
      <c r="AJ613" s="84">
        <v>0.0</v>
      </c>
      <c r="AK613" s="84">
        <v>0.0</v>
      </c>
      <c r="AL613" s="84">
        <v>0.0</v>
      </c>
      <c r="AM613" s="84">
        <v>0.0</v>
      </c>
      <c r="AN613" s="93">
        <f t="shared" si="1"/>
        <v>0</v>
      </c>
      <c r="AO613" s="84">
        <f t="shared" si="2"/>
        <v>1</v>
      </c>
    </row>
    <row r="614" ht="12.75" customHeight="1">
      <c r="A614" s="84" t="s">
        <v>3677</v>
      </c>
      <c r="B614" s="84">
        <v>0.0</v>
      </c>
      <c r="C614" s="84">
        <v>0.0</v>
      </c>
      <c r="D614" s="84">
        <v>0.0</v>
      </c>
      <c r="E614" s="84">
        <v>0.0</v>
      </c>
      <c r="F614" s="84">
        <v>4.0</v>
      </c>
      <c r="G614" s="84">
        <v>0.0</v>
      </c>
      <c r="H614" s="84">
        <v>0.0</v>
      </c>
      <c r="I614" s="91">
        <v>0.0</v>
      </c>
      <c r="J614" s="84">
        <v>0.0</v>
      </c>
      <c r="K614" s="84">
        <v>0.0</v>
      </c>
      <c r="L614" s="84">
        <v>0.0</v>
      </c>
      <c r="M614" s="84">
        <v>0.0</v>
      </c>
      <c r="N614" s="84">
        <v>0.0</v>
      </c>
      <c r="O614" s="84">
        <v>0.0</v>
      </c>
      <c r="P614" s="84">
        <v>0.0</v>
      </c>
      <c r="Q614" s="84">
        <v>0.0</v>
      </c>
      <c r="R614" s="84">
        <v>0.0</v>
      </c>
      <c r="S614" s="84">
        <v>0.0</v>
      </c>
      <c r="T614" s="84">
        <v>0.0</v>
      </c>
      <c r="U614" s="84">
        <v>0.0</v>
      </c>
      <c r="V614" s="84">
        <v>0.0</v>
      </c>
      <c r="W614" s="84">
        <v>0.0</v>
      </c>
      <c r="X614" s="84">
        <v>0.0</v>
      </c>
      <c r="Y614" s="84">
        <v>0.0</v>
      </c>
      <c r="Z614" s="84">
        <v>6.0</v>
      </c>
      <c r="AA614" s="84">
        <v>3.0</v>
      </c>
      <c r="AB614" s="84">
        <v>0.0</v>
      </c>
      <c r="AC614" s="91">
        <v>0.0</v>
      </c>
      <c r="AD614" s="84">
        <v>0.0</v>
      </c>
      <c r="AE614" s="84">
        <v>0.0</v>
      </c>
      <c r="AF614" s="84">
        <v>0.0</v>
      </c>
      <c r="AG614" s="84">
        <v>0.0</v>
      </c>
      <c r="AH614" s="84">
        <v>0.0</v>
      </c>
      <c r="AI614" s="84">
        <v>0.0</v>
      </c>
      <c r="AJ614" s="84">
        <v>0.0</v>
      </c>
      <c r="AK614" s="84">
        <v>0.0</v>
      </c>
      <c r="AL614" s="84">
        <v>0.0</v>
      </c>
      <c r="AM614" s="84">
        <v>0.0</v>
      </c>
      <c r="AN614" s="93">
        <f t="shared" si="1"/>
        <v>0</v>
      </c>
      <c r="AO614" s="84">
        <f t="shared" si="2"/>
        <v>0</v>
      </c>
    </row>
    <row r="615" ht="12.75" customHeight="1">
      <c r="A615" s="84" t="s">
        <v>4651</v>
      </c>
      <c r="B615" s="84">
        <v>0.0</v>
      </c>
      <c r="C615" s="84">
        <v>0.0</v>
      </c>
      <c r="D615" s="84">
        <v>0.0</v>
      </c>
      <c r="E615" s="84">
        <v>0.0</v>
      </c>
      <c r="F615" s="84">
        <v>0.0</v>
      </c>
      <c r="G615" s="84">
        <v>0.0</v>
      </c>
      <c r="H615" s="84">
        <v>0.0</v>
      </c>
      <c r="I615" s="91">
        <v>0.0</v>
      </c>
      <c r="J615" s="84">
        <v>0.0</v>
      </c>
      <c r="K615" s="84">
        <v>0.0</v>
      </c>
      <c r="L615" s="84">
        <v>0.0</v>
      </c>
      <c r="M615" s="84">
        <v>0.0</v>
      </c>
      <c r="N615" s="84">
        <v>0.0</v>
      </c>
      <c r="O615" s="84">
        <v>0.0</v>
      </c>
      <c r="P615" s="84">
        <v>0.0</v>
      </c>
      <c r="Q615" s="84">
        <v>0.0</v>
      </c>
      <c r="R615" s="84">
        <v>0.0</v>
      </c>
      <c r="S615" s="84">
        <v>0.0</v>
      </c>
      <c r="T615" s="84">
        <v>1.0</v>
      </c>
      <c r="U615" s="84">
        <v>0.0</v>
      </c>
      <c r="V615" s="84">
        <v>0.0</v>
      </c>
      <c r="W615" s="84">
        <v>0.0</v>
      </c>
      <c r="X615" s="84">
        <v>0.0</v>
      </c>
      <c r="Y615" s="84">
        <v>0.0</v>
      </c>
      <c r="Z615" s="84">
        <v>0.0</v>
      </c>
      <c r="AA615" s="84">
        <v>0.0</v>
      </c>
      <c r="AB615" s="84">
        <v>0.0</v>
      </c>
      <c r="AC615" s="91">
        <v>0.0</v>
      </c>
      <c r="AD615" s="84">
        <v>0.0</v>
      </c>
      <c r="AE615" s="84">
        <v>0.0</v>
      </c>
      <c r="AF615" s="84">
        <v>0.0</v>
      </c>
      <c r="AG615" s="84">
        <v>0.0</v>
      </c>
      <c r="AH615" s="84">
        <v>0.0</v>
      </c>
      <c r="AI615" s="84">
        <v>0.0</v>
      </c>
      <c r="AJ615" s="84">
        <v>0.0</v>
      </c>
      <c r="AK615" s="84">
        <v>0.0</v>
      </c>
      <c r="AL615" s="84">
        <v>0.0</v>
      </c>
      <c r="AM615" s="84">
        <v>0.0</v>
      </c>
      <c r="AN615" s="93">
        <f t="shared" si="1"/>
        <v>0</v>
      </c>
      <c r="AO615" s="84">
        <f t="shared" si="2"/>
        <v>1</v>
      </c>
    </row>
    <row r="616" ht="12.75" customHeight="1">
      <c r="A616" s="84" t="s">
        <v>4508</v>
      </c>
      <c r="B616" s="84">
        <v>0.0</v>
      </c>
      <c r="C616" s="84">
        <v>0.0</v>
      </c>
      <c r="D616" s="84">
        <v>0.0</v>
      </c>
      <c r="E616" s="84">
        <v>0.0</v>
      </c>
      <c r="F616" s="84">
        <v>0.0</v>
      </c>
      <c r="G616" s="84">
        <v>0.0</v>
      </c>
      <c r="H616" s="84">
        <v>0.0</v>
      </c>
      <c r="I616" s="91">
        <v>0.0</v>
      </c>
      <c r="J616" s="84">
        <v>0.0</v>
      </c>
      <c r="K616" s="84">
        <v>0.0</v>
      </c>
      <c r="L616" s="84">
        <v>0.0</v>
      </c>
      <c r="M616" s="84">
        <v>0.0</v>
      </c>
      <c r="N616" s="84">
        <v>0.0</v>
      </c>
      <c r="O616" s="84">
        <v>0.0</v>
      </c>
      <c r="P616" s="84">
        <v>0.0</v>
      </c>
      <c r="Q616" s="84">
        <v>0.0</v>
      </c>
      <c r="R616" s="84">
        <v>0.0</v>
      </c>
      <c r="S616" s="84">
        <v>0.0</v>
      </c>
      <c r="T616" s="84">
        <v>0.0</v>
      </c>
      <c r="U616" s="84">
        <v>0.0</v>
      </c>
      <c r="V616" s="84">
        <v>0.0</v>
      </c>
      <c r="W616" s="84">
        <v>0.0</v>
      </c>
      <c r="X616" s="84">
        <v>0.0</v>
      </c>
      <c r="Y616" s="84">
        <v>0.0</v>
      </c>
      <c r="Z616" s="84">
        <v>0.0</v>
      </c>
      <c r="AA616" s="84">
        <v>0.0</v>
      </c>
      <c r="AB616" s="84">
        <v>0.0</v>
      </c>
      <c r="AC616" s="91">
        <v>0.0</v>
      </c>
      <c r="AD616" s="84">
        <v>0.0</v>
      </c>
      <c r="AE616" s="84">
        <v>0.0</v>
      </c>
      <c r="AF616" s="84">
        <v>1.0</v>
      </c>
      <c r="AG616" s="84">
        <v>0.0</v>
      </c>
      <c r="AH616" s="84">
        <v>0.0</v>
      </c>
      <c r="AI616" s="84">
        <v>0.0</v>
      </c>
      <c r="AJ616" s="84">
        <v>0.0</v>
      </c>
      <c r="AK616" s="84">
        <v>0.0</v>
      </c>
      <c r="AL616" s="84">
        <v>0.0</v>
      </c>
      <c r="AM616" s="84">
        <v>0.0</v>
      </c>
      <c r="AN616" s="93">
        <f t="shared" si="1"/>
        <v>0</v>
      </c>
      <c r="AO616" s="84">
        <f t="shared" si="2"/>
        <v>1</v>
      </c>
    </row>
    <row r="617" ht="12.75" customHeight="1">
      <c r="A617" s="84" t="s">
        <v>4512</v>
      </c>
      <c r="B617" s="84">
        <v>0.0</v>
      </c>
      <c r="C617" s="84">
        <v>0.0</v>
      </c>
      <c r="D617" s="84">
        <v>0.0</v>
      </c>
      <c r="E617" s="84">
        <v>0.0</v>
      </c>
      <c r="F617" s="84">
        <v>0.0</v>
      </c>
      <c r="G617" s="84">
        <v>0.0</v>
      </c>
      <c r="H617" s="84">
        <v>0.0</v>
      </c>
      <c r="I617" s="91">
        <v>0.0</v>
      </c>
      <c r="J617" s="84">
        <v>0.0</v>
      </c>
      <c r="K617" s="84">
        <v>0.0</v>
      </c>
      <c r="L617" s="84">
        <v>0.0</v>
      </c>
      <c r="M617" s="84">
        <v>0.0</v>
      </c>
      <c r="N617" s="84">
        <v>0.0</v>
      </c>
      <c r="O617" s="84">
        <v>0.0</v>
      </c>
      <c r="P617" s="84">
        <v>0.0</v>
      </c>
      <c r="Q617" s="84">
        <v>0.0</v>
      </c>
      <c r="R617" s="84">
        <v>0.0</v>
      </c>
      <c r="S617" s="84">
        <v>0.0</v>
      </c>
      <c r="T617" s="84">
        <v>0.0</v>
      </c>
      <c r="U617" s="84">
        <v>0.0</v>
      </c>
      <c r="V617" s="84">
        <v>0.0</v>
      </c>
      <c r="W617" s="84">
        <v>0.0</v>
      </c>
      <c r="X617" s="84">
        <v>0.0</v>
      </c>
      <c r="Y617" s="84">
        <v>0.0</v>
      </c>
      <c r="Z617" s="84">
        <v>0.0</v>
      </c>
      <c r="AA617" s="84">
        <v>0.0</v>
      </c>
      <c r="AB617" s="84">
        <v>0.0</v>
      </c>
      <c r="AC617" s="91">
        <v>0.0</v>
      </c>
      <c r="AD617" s="84">
        <v>0.0</v>
      </c>
      <c r="AE617" s="84">
        <v>0.0</v>
      </c>
      <c r="AF617" s="84">
        <v>1.0</v>
      </c>
      <c r="AG617" s="84">
        <v>0.0</v>
      </c>
      <c r="AH617" s="84">
        <v>0.0</v>
      </c>
      <c r="AI617" s="84">
        <v>0.0</v>
      </c>
      <c r="AJ617" s="84">
        <v>0.0</v>
      </c>
      <c r="AK617" s="84">
        <v>0.0</v>
      </c>
      <c r="AL617" s="84">
        <v>0.0</v>
      </c>
      <c r="AM617" s="84">
        <v>0.0</v>
      </c>
      <c r="AN617" s="93">
        <f t="shared" si="1"/>
        <v>0</v>
      </c>
      <c r="AO617" s="84">
        <f t="shared" si="2"/>
        <v>1</v>
      </c>
    </row>
    <row r="618" ht="12.75" customHeight="1">
      <c r="A618" s="84" t="s">
        <v>4534</v>
      </c>
      <c r="B618" s="84">
        <v>0.0</v>
      </c>
      <c r="C618" s="84">
        <v>0.0</v>
      </c>
      <c r="D618" s="84">
        <v>0.0</v>
      </c>
      <c r="E618" s="84">
        <v>0.0</v>
      </c>
      <c r="F618" s="84">
        <v>0.0</v>
      </c>
      <c r="G618" s="84">
        <v>0.0</v>
      </c>
      <c r="H618" s="84">
        <v>0.0</v>
      </c>
      <c r="I618" s="91">
        <v>0.0</v>
      </c>
      <c r="J618" s="84">
        <v>0.0</v>
      </c>
      <c r="K618" s="84">
        <v>0.0</v>
      </c>
      <c r="L618" s="84">
        <v>0.0</v>
      </c>
      <c r="M618" s="84">
        <v>0.0</v>
      </c>
      <c r="N618" s="84">
        <v>0.0</v>
      </c>
      <c r="O618" s="84">
        <v>0.0</v>
      </c>
      <c r="P618" s="84">
        <v>0.0</v>
      </c>
      <c r="Q618" s="84">
        <v>0.0</v>
      </c>
      <c r="R618" s="84">
        <v>0.0</v>
      </c>
      <c r="S618" s="84">
        <v>0.0</v>
      </c>
      <c r="T618" s="84">
        <v>0.0</v>
      </c>
      <c r="U618" s="84">
        <v>0.0</v>
      </c>
      <c r="V618" s="84">
        <v>0.0</v>
      </c>
      <c r="W618" s="84">
        <v>0.0</v>
      </c>
      <c r="X618" s="84">
        <v>0.0</v>
      </c>
      <c r="Y618" s="84">
        <v>0.0</v>
      </c>
      <c r="Z618" s="84">
        <v>0.0</v>
      </c>
      <c r="AA618" s="84">
        <v>0.0</v>
      </c>
      <c r="AB618" s="84">
        <v>0.0</v>
      </c>
      <c r="AC618" s="91">
        <v>0.0</v>
      </c>
      <c r="AD618" s="84">
        <v>0.0</v>
      </c>
      <c r="AE618" s="84">
        <v>0.0</v>
      </c>
      <c r="AF618" s="84">
        <v>0.0</v>
      </c>
      <c r="AG618" s="84">
        <v>1.0</v>
      </c>
      <c r="AH618" s="84">
        <v>0.0</v>
      </c>
      <c r="AI618" s="84">
        <v>0.0</v>
      </c>
      <c r="AJ618" s="84">
        <v>0.0</v>
      </c>
      <c r="AK618" s="84">
        <v>0.0</v>
      </c>
      <c r="AL618" s="84">
        <v>0.0</v>
      </c>
      <c r="AM618" s="84">
        <v>0.0</v>
      </c>
      <c r="AN618" s="93">
        <f t="shared" si="1"/>
        <v>0</v>
      </c>
      <c r="AO618" s="84">
        <f t="shared" si="2"/>
        <v>1</v>
      </c>
    </row>
    <row r="619" ht="12.75" customHeight="1">
      <c r="A619" s="84" t="s">
        <v>4549</v>
      </c>
      <c r="B619" s="84">
        <v>0.0</v>
      </c>
      <c r="C619" s="84">
        <v>0.0</v>
      </c>
      <c r="D619" s="84">
        <v>0.0</v>
      </c>
      <c r="E619" s="84">
        <v>0.0</v>
      </c>
      <c r="F619" s="84">
        <v>0.0</v>
      </c>
      <c r="G619" s="84">
        <v>0.0</v>
      </c>
      <c r="H619" s="84">
        <v>0.0</v>
      </c>
      <c r="I619" s="91">
        <v>0.0</v>
      </c>
      <c r="J619" s="84">
        <v>0.0</v>
      </c>
      <c r="K619" s="84">
        <v>0.0</v>
      </c>
      <c r="L619" s="84">
        <v>0.0</v>
      </c>
      <c r="M619" s="84">
        <v>0.0</v>
      </c>
      <c r="N619" s="84">
        <v>0.0</v>
      </c>
      <c r="O619" s="84">
        <v>0.0</v>
      </c>
      <c r="P619" s="84">
        <v>1.0</v>
      </c>
      <c r="Q619" s="84">
        <v>0.0</v>
      </c>
      <c r="R619" s="84">
        <v>0.0</v>
      </c>
      <c r="S619" s="84">
        <v>0.0</v>
      </c>
      <c r="T619" s="84">
        <v>0.0</v>
      </c>
      <c r="U619" s="84">
        <v>0.0</v>
      </c>
      <c r="V619" s="84">
        <v>0.0</v>
      </c>
      <c r="W619" s="84">
        <v>0.0</v>
      </c>
      <c r="X619" s="84">
        <v>0.0</v>
      </c>
      <c r="Y619" s="84">
        <v>0.0</v>
      </c>
      <c r="Z619" s="84">
        <v>0.0</v>
      </c>
      <c r="AA619" s="84">
        <v>0.0</v>
      </c>
      <c r="AB619" s="84">
        <v>0.0</v>
      </c>
      <c r="AC619" s="91">
        <v>0.0</v>
      </c>
      <c r="AD619" s="84">
        <v>0.0</v>
      </c>
      <c r="AE619" s="84">
        <v>0.0</v>
      </c>
      <c r="AF619" s="84">
        <v>0.0</v>
      </c>
      <c r="AG619" s="84">
        <v>0.0</v>
      </c>
      <c r="AH619" s="84">
        <v>0.0</v>
      </c>
      <c r="AI619" s="84">
        <v>0.0</v>
      </c>
      <c r="AJ619" s="84">
        <v>0.0</v>
      </c>
      <c r="AK619" s="84">
        <v>0.0</v>
      </c>
      <c r="AL619" s="84">
        <v>0.0</v>
      </c>
      <c r="AM619" s="84">
        <v>0.0</v>
      </c>
      <c r="AN619" s="93">
        <f t="shared" si="1"/>
        <v>0</v>
      </c>
      <c r="AO619" s="84">
        <f t="shared" si="2"/>
        <v>1</v>
      </c>
    </row>
    <row r="620" ht="12.75" customHeight="1">
      <c r="A620" s="84" t="s">
        <v>3773</v>
      </c>
      <c r="B620" s="84">
        <v>0.0</v>
      </c>
      <c r="C620" s="84">
        <v>0.0</v>
      </c>
      <c r="D620" s="84">
        <v>0.0</v>
      </c>
      <c r="E620" s="84">
        <v>0.0</v>
      </c>
      <c r="F620" s="84">
        <v>0.0</v>
      </c>
      <c r="G620" s="84">
        <v>4.0</v>
      </c>
      <c r="H620" s="84">
        <v>4.0</v>
      </c>
      <c r="I620" s="91">
        <v>0.0</v>
      </c>
      <c r="J620" s="84">
        <v>0.0</v>
      </c>
      <c r="K620" s="84">
        <v>0.0</v>
      </c>
      <c r="L620" s="84">
        <v>0.0</v>
      </c>
      <c r="M620" s="84">
        <v>0.0</v>
      </c>
      <c r="N620" s="84">
        <v>0.0</v>
      </c>
      <c r="O620" s="84">
        <v>0.0</v>
      </c>
      <c r="P620" s="84">
        <v>0.0</v>
      </c>
      <c r="Q620" s="84">
        <v>0.0</v>
      </c>
      <c r="R620" s="84">
        <v>0.0</v>
      </c>
      <c r="S620" s="84">
        <v>0.0</v>
      </c>
      <c r="T620" s="84">
        <v>0.0</v>
      </c>
      <c r="U620" s="84">
        <v>0.0</v>
      </c>
      <c r="V620" s="84">
        <v>0.0</v>
      </c>
      <c r="W620" s="84">
        <v>0.0</v>
      </c>
      <c r="X620" s="84">
        <v>0.0</v>
      </c>
      <c r="Y620" s="84">
        <v>0.0</v>
      </c>
      <c r="Z620" s="84">
        <v>0.0</v>
      </c>
      <c r="AA620" s="84">
        <v>7.0</v>
      </c>
      <c r="AB620" s="84">
        <v>2.0</v>
      </c>
      <c r="AC620" s="91">
        <v>0.0</v>
      </c>
      <c r="AD620" s="84">
        <v>0.0</v>
      </c>
      <c r="AE620" s="84">
        <v>0.0</v>
      </c>
      <c r="AF620" s="84">
        <v>0.0</v>
      </c>
      <c r="AG620" s="84">
        <v>0.0</v>
      </c>
      <c r="AH620" s="84">
        <v>0.0</v>
      </c>
      <c r="AI620" s="84">
        <v>0.0</v>
      </c>
      <c r="AJ620" s="84">
        <v>0.0</v>
      </c>
      <c r="AK620" s="84">
        <v>0.0</v>
      </c>
      <c r="AL620" s="84">
        <v>0.0</v>
      </c>
      <c r="AM620" s="84">
        <v>0.0</v>
      </c>
      <c r="AN620" s="93">
        <f t="shared" si="1"/>
        <v>0</v>
      </c>
      <c r="AO620" s="84">
        <f t="shared" si="2"/>
        <v>0</v>
      </c>
    </row>
    <row r="621" ht="12.75" customHeight="1">
      <c r="A621" s="84" t="s">
        <v>4483</v>
      </c>
      <c r="B621" s="84">
        <v>0.0</v>
      </c>
      <c r="C621" s="84">
        <v>0.0</v>
      </c>
      <c r="D621" s="84">
        <v>0.0</v>
      </c>
      <c r="E621" s="84">
        <v>0.0</v>
      </c>
      <c r="F621" s="84">
        <v>0.0</v>
      </c>
      <c r="G621" s="84">
        <v>0.0</v>
      </c>
      <c r="H621" s="84">
        <v>0.0</v>
      </c>
      <c r="I621" s="91">
        <v>0.0</v>
      </c>
      <c r="J621" s="84">
        <v>0.0</v>
      </c>
      <c r="K621" s="84">
        <v>0.0</v>
      </c>
      <c r="L621" s="84">
        <v>0.0</v>
      </c>
      <c r="M621" s="84">
        <v>0.0</v>
      </c>
      <c r="N621" s="84">
        <v>0.0</v>
      </c>
      <c r="O621" s="84">
        <v>0.0</v>
      </c>
      <c r="P621" s="84">
        <v>0.0</v>
      </c>
      <c r="Q621" s="84">
        <v>0.0</v>
      </c>
      <c r="R621" s="84">
        <v>0.0</v>
      </c>
      <c r="S621" s="84">
        <v>0.0</v>
      </c>
      <c r="T621" s="84">
        <v>0.0</v>
      </c>
      <c r="U621" s="84">
        <v>0.0</v>
      </c>
      <c r="V621" s="84">
        <v>0.0</v>
      </c>
      <c r="W621" s="84">
        <v>0.0</v>
      </c>
      <c r="X621" s="84">
        <v>0.0</v>
      </c>
      <c r="Y621" s="84">
        <v>0.0</v>
      </c>
      <c r="Z621" s="84">
        <v>0.0</v>
      </c>
      <c r="AA621" s="84">
        <v>0.0</v>
      </c>
      <c r="AB621" s="84">
        <v>0.0</v>
      </c>
      <c r="AC621" s="91">
        <v>0.0</v>
      </c>
      <c r="AD621" s="84">
        <v>0.0</v>
      </c>
      <c r="AE621" s="84">
        <v>1.0</v>
      </c>
      <c r="AF621" s="84">
        <v>0.0</v>
      </c>
      <c r="AG621" s="84">
        <v>0.0</v>
      </c>
      <c r="AH621" s="84">
        <v>0.0</v>
      </c>
      <c r="AI621" s="84">
        <v>0.0</v>
      </c>
      <c r="AJ621" s="84">
        <v>0.0</v>
      </c>
      <c r="AK621" s="84">
        <v>0.0</v>
      </c>
      <c r="AL621" s="84">
        <v>0.0</v>
      </c>
      <c r="AM621" s="84">
        <v>0.0</v>
      </c>
      <c r="AN621" s="93">
        <f t="shared" si="1"/>
        <v>0</v>
      </c>
      <c r="AO621" s="84">
        <f t="shared" si="2"/>
        <v>1</v>
      </c>
    </row>
    <row r="622" ht="12.75" customHeight="1">
      <c r="A622" s="84" t="s">
        <v>2909</v>
      </c>
      <c r="B622" s="84">
        <v>2.0</v>
      </c>
      <c r="C622" s="84">
        <v>1.0</v>
      </c>
      <c r="D622" s="84">
        <v>0.0</v>
      </c>
      <c r="E622" s="84">
        <v>0.0</v>
      </c>
      <c r="F622" s="84">
        <v>0.0</v>
      </c>
      <c r="G622" s="84">
        <v>0.0</v>
      </c>
      <c r="H622" s="84">
        <v>0.0</v>
      </c>
      <c r="I622" s="91">
        <v>0.0</v>
      </c>
      <c r="J622" s="84">
        <v>0.0</v>
      </c>
      <c r="K622" s="84">
        <v>0.0</v>
      </c>
      <c r="L622" s="84">
        <v>0.0</v>
      </c>
      <c r="M622" s="84">
        <v>0.0</v>
      </c>
      <c r="N622" s="84">
        <v>0.0</v>
      </c>
      <c r="O622" s="84">
        <v>0.0</v>
      </c>
      <c r="P622" s="84">
        <v>0.0</v>
      </c>
      <c r="Q622" s="84">
        <v>0.0</v>
      </c>
      <c r="R622" s="84">
        <v>0.0</v>
      </c>
      <c r="S622" s="84">
        <v>0.0</v>
      </c>
      <c r="T622" s="84">
        <v>0.0</v>
      </c>
      <c r="U622" s="84">
        <v>0.0</v>
      </c>
      <c r="V622" s="84">
        <v>1.0</v>
      </c>
      <c r="W622" s="84">
        <v>1.0</v>
      </c>
      <c r="X622" s="84">
        <v>0.0</v>
      </c>
      <c r="Y622" s="84">
        <v>0.0</v>
      </c>
      <c r="Z622" s="84">
        <v>0.0</v>
      </c>
      <c r="AA622" s="84">
        <v>0.0</v>
      </c>
      <c r="AB622" s="84">
        <v>0.0</v>
      </c>
      <c r="AC622" s="91">
        <v>0.0</v>
      </c>
      <c r="AD622" s="84">
        <v>0.0</v>
      </c>
      <c r="AE622" s="84">
        <v>0.0</v>
      </c>
      <c r="AF622" s="84">
        <v>0.0</v>
      </c>
      <c r="AG622" s="84">
        <v>0.0</v>
      </c>
      <c r="AH622" s="84">
        <v>0.0</v>
      </c>
      <c r="AI622" s="84">
        <v>0.0</v>
      </c>
      <c r="AJ622" s="84">
        <v>0.0</v>
      </c>
      <c r="AK622" s="84">
        <v>0.0</v>
      </c>
      <c r="AL622" s="84">
        <v>0.0</v>
      </c>
      <c r="AM622" s="84">
        <v>0.0</v>
      </c>
      <c r="AN622" s="93">
        <f t="shared" si="1"/>
        <v>0</v>
      </c>
      <c r="AO622" s="84">
        <f t="shared" si="2"/>
        <v>0</v>
      </c>
    </row>
    <row r="623" ht="12.75" customHeight="1">
      <c r="A623" s="84" t="s">
        <v>2754</v>
      </c>
      <c r="B623" s="84">
        <v>1.0</v>
      </c>
      <c r="C623" s="84">
        <v>0.0</v>
      </c>
      <c r="D623" s="84">
        <v>0.0</v>
      </c>
      <c r="E623" s="84">
        <v>0.0</v>
      </c>
      <c r="F623" s="84">
        <v>0.0</v>
      </c>
      <c r="G623" s="84">
        <v>0.0</v>
      </c>
      <c r="H623" s="84">
        <v>0.0</v>
      </c>
      <c r="I623" s="91">
        <v>0.0</v>
      </c>
      <c r="J623" s="84">
        <v>0.0</v>
      </c>
      <c r="K623" s="84">
        <v>0.0</v>
      </c>
      <c r="L623" s="84">
        <v>0.0</v>
      </c>
      <c r="M623" s="84">
        <v>0.0</v>
      </c>
      <c r="N623" s="84">
        <v>0.0</v>
      </c>
      <c r="O623" s="84">
        <v>0.0</v>
      </c>
      <c r="P623" s="84">
        <v>0.0</v>
      </c>
      <c r="Q623" s="84">
        <v>0.0</v>
      </c>
      <c r="R623" s="84">
        <v>0.0</v>
      </c>
      <c r="S623" s="84">
        <v>0.0</v>
      </c>
      <c r="T623" s="84">
        <v>0.0</v>
      </c>
      <c r="U623" s="84">
        <v>0.0</v>
      </c>
      <c r="V623" s="84">
        <v>2.0</v>
      </c>
      <c r="W623" s="84">
        <v>0.0</v>
      </c>
      <c r="X623" s="84">
        <v>0.0</v>
      </c>
      <c r="Y623" s="84">
        <v>0.0</v>
      </c>
      <c r="Z623" s="84">
        <v>0.0</v>
      </c>
      <c r="AA623" s="84">
        <v>0.0</v>
      </c>
      <c r="AB623" s="84">
        <v>0.0</v>
      </c>
      <c r="AC623" s="91">
        <v>0.0</v>
      </c>
      <c r="AD623" s="84">
        <v>0.0</v>
      </c>
      <c r="AE623" s="84">
        <v>0.0</v>
      </c>
      <c r="AF623" s="84">
        <v>0.0</v>
      </c>
      <c r="AG623" s="84">
        <v>0.0</v>
      </c>
      <c r="AH623" s="84">
        <v>0.0</v>
      </c>
      <c r="AI623" s="84">
        <v>0.0</v>
      </c>
      <c r="AJ623" s="84">
        <v>0.0</v>
      </c>
      <c r="AK623" s="84">
        <v>0.0</v>
      </c>
      <c r="AL623" s="84">
        <v>0.0</v>
      </c>
      <c r="AM623" s="84">
        <v>0.0</v>
      </c>
      <c r="AN623" s="93">
        <f t="shared" si="1"/>
        <v>0</v>
      </c>
      <c r="AO623" s="84">
        <f t="shared" si="2"/>
        <v>0</v>
      </c>
    </row>
    <row r="624" ht="12.75" customHeight="1">
      <c r="A624" s="84" t="s">
        <v>2799</v>
      </c>
      <c r="B624" s="84">
        <v>3.0</v>
      </c>
      <c r="C624" s="84">
        <v>0.0</v>
      </c>
      <c r="D624" s="84">
        <v>0.0</v>
      </c>
      <c r="E624" s="84">
        <v>0.0</v>
      </c>
      <c r="F624" s="84">
        <v>0.0</v>
      </c>
      <c r="G624" s="84">
        <v>0.0</v>
      </c>
      <c r="H624" s="84">
        <v>0.0</v>
      </c>
      <c r="I624" s="91">
        <v>0.0</v>
      </c>
      <c r="J624" s="84">
        <v>0.0</v>
      </c>
      <c r="K624" s="84">
        <v>0.0</v>
      </c>
      <c r="L624" s="84">
        <v>0.0</v>
      </c>
      <c r="M624" s="84">
        <v>0.0</v>
      </c>
      <c r="N624" s="84">
        <v>0.0</v>
      </c>
      <c r="O624" s="84">
        <v>0.0</v>
      </c>
      <c r="P624" s="84">
        <v>0.0</v>
      </c>
      <c r="Q624" s="84">
        <v>0.0</v>
      </c>
      <c r="R624" s="84">
        <v>0.0</v>
      </c>
      <c r="S624" s="84">
        <v>0.0</v>
      </c>
      <c r="T624" s="84">
        <v>0.0</v>
      </c>
      <c r="U624" s="84">
        <v>0.0</v>
      </c>
      <c r="V624" s="84">
        <v>2.0</v>
      </c>
      <c r="W624" s="84">
        <v>2.0</v>
      </c>
      <c r="X624" s="84">
        <v>0.0</v>
      </c>
      <c r="Y624" s="84">
        <v>0.0</v>
      </c>
      <c r="Z624" s="84">
        <v>0.0</v>
      </c>
      <c r="AA624" s="84">
        <v>0.0</v>
      </c>
      <c r="AB624" s="84">
        <v>0.0</v>
      </c>
      <c r="AC624" s="91">
        <v>0.0</v>
      </c>
      <c r="AD624" s="84">
        <v>0.0</v>
      </c>
      <c r="AE624" s="84">
        <v>0.0</v>
      </c>
      <c r="AF624" s="84">
        <v>0.0</v>
      </c>
      <c r="AG624" s="84">
        <v>0.0</v>
      </c>
      <c r="AH624" s="84">
        <v>0.0</v>
      </c>
      <c r="AI624" s="84">
        <v>0.0</v>
      </c>
      <c r="AJ624" s="84">
        <v>0.0</v>
      </c>
      <c r="AK624" s="84">
        <v>0.0</v>
      </c>
      <c r="AL624" s="84">
        <v>0.0</v>
      </c>
      <c r="AM624" s="84">
        <v>0.0</v>
      </c>
      <c r="AN624" s="93">
        <f t="shared" si="1"/>
        <v>0</v>
      </c>
      <c r="AO624" s="84">
        <f t="shared" si="2"/>
        <v>0</v>
      </c>
    </row>
    <row r="625" ht="12.75" customHeight="1">
      <c r="A625" s="84" t="s">
        <v>2918</v>
      </c>
      <c r="B625" s="84">
        <v>2.0</v>
      </c>
      <c r="C625" s="84">
        <v>2.0</v>
      </c>
      <c r="D625" s="84">
        <v>0.0</v>
      </c>
      <c r="E625" s="84">
        <v>0.0</v>
      </c>
      <c r="F625" s="84">
        <v>0.0</v>
      </c>
      <c r="G625" s="84">
        <v>0.0</v>
      </c>
      <c r="H625" s="84">
        <v>0.0</v>
      </c>
      <c r="I625" s="91">
        <v>0.0</v>
      </c>
      <c r="J625" s="84">
        <v>0.0</v>
      </c>
      <c r="K625" s="84">
        <v>0.0</v>
      </c>
      <c r="L625" s="84">
        <v>0.0</v>
      </c>
      <c r="M625" s="84">
        <v>0.0</v>
      </c>
      <c r="N625" s="84">
        <v>0.0</v>
      </c>
      <c r="O625" s="84">
        <v>0.0</v>
      </c>
      <c r="P625" s="84">
        <v>0.0</v>
      </c>
      <c r="Q625" s="84">
        <v>0.0</v>
      </c>
      <c r="R625" s="84">
        <v>0.0</v>
      </c>
      <c r="S625" s="84">
        <v>0.0</v>
      </c>
      <c r="T625" s="84">
        <v>0.0</v>
      </c>
      <c r="U625" s="84">
        <v>0.0</v>
      </c>
      <c r="V625" s="84">
        <v>1.0</v>
      </c>
      <c r="W625" s="84">
        <v>3.0</v>
      </c>
      <c r="X625" s="84">
        <v>0.0</v>
      </c>
      <c r="Y625" s="84">
        <v>0.0</v>
      </c>
      <c r="Z625" s="84">
        <v>0.0</v>
      </c>
      <c r="AA625" s="84">
        <v>0.0</v>
      </c>
      <c r="AB625" s="84">
        <v>0.0</v>
      </c>
      <c r="AC625" s="91">
        <v>0.0</v>
      </c>
      <c r="AD625" s="84">
        <v>0.0</v>
      </c>
      <c r="AE625" s="84">
        <v>0.0</v>
      </c>
      <c r="AF625" s="84">
        <v>0.0</v>
      </c>
      <c r="AG625" s="84">
        <v>0.0</v>
      </c>
      <c r="AH625" s="84">
        <v>0.0</v>
      </c>
      <c r="AI625" s="84">
        <v>0.0</v>
      </c>
      <c r="AJ625" s="84">
        <v>0.0</v>
      </c>
      <c r="AK625" s="84">
        <v>0.0</v>
      </c>
      <c r="AL625" s="84">
        <v>0.0</v>
      </c>
      <c r="AM625" s="84">
        <v>0.0</v>
      </c>
      <c r="AN625" s="93">
        <f t="shared" si="1"/>
        <v>0</v>
      </c>
      <c r="AO625" s="84">
        <f t="shared" si="2"/>
        <v>0</v>
      </c>
    </row>
    <row r="626" ht="12.75" customHeight="1">
      <c r="A626" s="84" t="s">
        <v>3488</v>
      </c>
      <c r="B626" s="84">
        <v>0.0</v>
      </c>
      <c r="C626" s="84">
        <v>0.0</v>
      </c>
      <c r="D626" s="84">
        <v>0.0</v>
      </c>
      <c r="E626" s="84">
        <v>4.0</v>
      </c>
      <c r="F626" s="84">
        <v>3.0</v>
      </c>
      <c r="G626" s="84">
        <v>0.0</v>
      </c>
      <c r="H626" s="84">
        <v>0.0</v>
      </c>
      <c r="I626" s="91">
        <v>0.0</v>
      </c>
      <c r="J626" s="84">
        <v>0.0</v>
      </c>
      <c r="K626" s="84">
        <v>0.0</v>
      </c>
      <c r="L626" s="84">
        <v>0.0</v>
      </c>
      <c r="M626" s="84">
        <v>0.0</v>
      </c>
      <c r="N626" s="84">
        <v>0.0</v>
      </c>
      <c r="O626" s="84">
        <v>0.0</v>
      </c>
      <c r="P626" s="84">
        <v>0.0</v>
      </c>
      <c r="Q626" s="84">
        <v>0.0</v>
      </c>
      <c r="R626" s="84">
        <v>0.0</v>
      </c>
      <c r="S626" s="84">
        <v>0.0</v>
      </c>
      <c r="T626" s="84">
        <v>0.0</v>
      </c>
      <c r="U626" s="84">
        <v>0.0</v>
      </c>
      <c r="V626" s="84">
        <v>0.0</v>
      </c>
      <c r="W626" s="84">
        <v>0.0</v>
      </c>
      <c r="X626" s="84">
        <v>0.0</v>
      </c>
      <c r="Y626" s="84">
        <v>6.0</v>
      </c>
      <c r="Z626" s="84">
        <v>1.0</v>
      </c>
      <c r="AA626" s="84">
        <v>0.0</v>
      </c>
      <c r="AB626" s="84">
        <v>0.0</v>
      </c>
      <c r="AC626" s="91">
        <v>0.0</v>
      </c>
      <c r="AD626" s="84">
        <v>0.0</v>
      </c>
      <c r="AE626" s="84">
        <v>0.0</v>
      </c>
      <c r="AF626" s="84">
        <v>0.0</v>
      </c>
      <c r="AG626" s="84">
        <v>0.0</v>
      </c>
      <c r="AH626" s="84">
        <v>0.0</v>
      </c>
      <c r="AI626" s="84">
        <v>0.0</v>
      </c>
      <c r="AJ626" s="84">
        <v>0.0</v>
      </c>
      <c r="AK626" s="84">
        <v>0.0</v>
      </c>
      <c r="AL626" s="84">
        <v>0.0</v>
      </c>
      <c r="AM626" s="84">
        <v>0.0</v>
      </c>
      <c r="AN626" s="93">
        <f t="shared" si="1"/>
        <v>0</v>
      </c>
      <c r="AO626" s="84">
        <f t="shared" si="2"/>
        <v>0</v>
      </c>
    </row>
    <row r="627" ht="12.75" customHeight="1">
      <c r="A627" s="84" t="s">
        <v>3872</v>
      </c>
      <c r="B627" s="84">
        <v>0.0</v>
      </c>
      <c r="C627" s="84">
        <v>0.0</v>
      </c>
      <c r="D627" s="84">
        <v>0.0</v>
      </c>
      <c r="E627" s="84">
        <v>0.0</v>
      </c>
      <c r="F627" s="84">
        <v>0.0</v>
      </c>
      <c r="G627" s="84">
        <v>0.0</v>
      </c>
      <c r="H627" s="84">
        <v>6.0</v>
      </c>
      <c r="I627" s="91">
        <v>0.0</v>
      </c>
      <c r="J627" s="84">
        <v>0.0</v>
      </c>
      <c r="K627" s="84">
        <v>0.0</v>
      </c>
      <c r="L627" s="84">
        <v>0.0</v>
      </c>
      <c r="M627" s="84">
        <v>0.0</v>
      </c>
      <c r="N627" s="84">
        <v>0.0</v>
      </c>
      <c r="O627" s="84">
        <v>0.0</v>
      </c>
      <c r="P627" s="84">
        <v>0.0</v>
      </c>
      <c r="Q627" s="84">
        <v>0.0</v>
      </c>
      <c r="R627" s="84">
        <v>0.0</v>
      </c>
      <c r="S627" s="84">
        <v>0.0</v>
      </c>
      <c r="T627" s="84">
        <v>0.0</v>
      </c>
      <c r="U627" s="84">
        <v>0.0</v>
      </c>
      <c r="V627" s="84">
        <v>0.0</v>
      </c>
      <c r="W627" s="84">
        <v>0.0</v>
      </c>
      <c r="X627" s="84">
        <v>0.0</v>
      </c>
      <c r="Y627" s="84">
        <v>0.0</v>
      </c>
      <c r="Z627" s="84">
        <v>0.0</v>
      </c>
      <c r="AA627" s="84">
        <v>0.0</v>
      </c>
      <c r="AB627" s="84">
        <v>6.0</v>
      </c>
      <c r="AC627" s="91">
        <v>0.0</v>
      </c>
      <c r="AD627" s="84">
        <v>0.0</v>
      </c>
      <c r="AE627" s="84">
        <v>0.0</v>
      </c>
      <c r="AF627" s="84">
        <v>0.0</v>
      </c>
      <c r="AG627" s="84">
        <v>0.0</v>
      </c>
      <c r="AH627" s="84">
        <v>0.0</v>
      </c>
      <c r="AI627" s="84">
        <v>0.0</v>
      </c>
      <c r="AJ627" s="84">
        <v>0.0</v>
      </c>
      <c r="AK627" s="84">
        <v>0.0</v>
      </c>
      <c r="AL627" s="84">
        <v>0.0</v>
      </c>
      <c r="AM627" s="84">
        <v>0.0</v>
      </c>
      <c r="AN627" s="93">
        <f t="shared" si="1"/>
        <v>0</v>
      </c>
      <c r="AO627" s="84">
        <f t="shared" si="2"/>
        <v>0</v>
      </c>
    </row>
    <row r="628" ht="12.75" customHeight="1">
      <c r="A628" s="84" t="s">
        <v>4599</v>
      </c>
      <c r="B628" s="84">
        <v>0.0</v>
      </c>
      <c r="C628" s="84">
        <v>0.0</v>
      </c>
      <c r="D628" s="84">
        <v>0.0</v>
      </c>
      <c r="E628" s="84">
        <v>0.0</v>
      </c>
      <c r="F628" s="84">
        <v>0.0</v>
      </c>
      <c r="G628" s="84">
        <v>0.0</v>
      </c>
      <c r="H628" s="84">
        <v>0.0</v>
      </c>
      <c r="I628" s="91">
        <v>0.0</v>
      </c>
      <c r="J628" s="84">
        <v>0.0</v>
      </c>
      <c r="K628" s="84">
        <v>0.0</v>
      </c>
      <c r="L628" s="84">
        <v>0.0</v>
      </c>
      <c r="M628" s="84">
        <v>0.0</v>
      </c>
      <c r="N628" s="84">
        <v>0.0</v>
      </c>
      <c r="O628" s="84">
        <v>0.0</v>
      </c>
      <c r="P628" s="84">
        <v>0.0</v>
      </c>
      <c r="Q628" s="84">
        <v>0.0</v>
      </c>
      <c r="R628" s="84">
        <v>1.0</v>
      </c>
      <c r="S628" s="84">
        <v>0.0</v>
      </c>
      <c r="T628" s="84">
        <v>0.0</v>
      </c>
      <c r="U628" s="84">
        <v>0.0</v>
      </c>
      <c r="V628" s="84">
        <v>0.0</v>
      </c>
      <c r="W628" s="84">
        <v>0.0</v>
      </c>
      <c r="X628" s="84">
        <v>0.0</v>
      </c>
      <c r="Y628" s="84">
        <v>0.0</v>
      </c>
      <c r="Z628" s="84">
        <v>0.0</v>
      </c>
      <c r="AA628" s="84">
        <v>0.0</v>
      </c>
      <c r="AB628" s="84">
        <v>0.0</v>
      </c>
      <c r="AC628" s="91">
        <v>0.0</v>
      </c>
      <c r="AD628" s="84">
        <v>0.0</v>
      </c>
      <c r="AE628" s="84">
        <v>0.0</v>
      </c>
      <c r="AF628" s="84">
        <v>0.0</v>
      </c>
      <c r="AG628" s="84">
        <v>0.0</v>
      </c>
      <c r="AH628" s="84">
        <v>0.0</v>
      </c>
      <c r="AI628" s="84">
        <v>0.0</v>
      </c>
      <c r="AJ628" s="84">
        <v>0.0</v>
      </c>
      <c r="AK628" s="84">
        <v>0.0</v>
      </c>
      <c r="AL628" s="84">
        <v>0.0</v>
      </c>
      <c r="AM628" s="84">
        <v>0.0</v>
      </c>
      <c r="AN628" s="93">
        <f t="shared" si="1"/>
        <v>0</v>
      </c>
      <c r="AO628" s="84">
        <f t="shared" si="2"/>
        <v>1</v>
      </c>
    </row>
    <row r="629" ht="12.75" customHeight="1">
      <c r="A629" s="84" t="s">
        <v>3698</v>
      </c>
      <c r="B629" s="84">
        <v>0.0</v>
      </c>
      <c r="C629" s="84">
        <v>0.0</v>
      </c>
      <c r="D629" s="84">
        <v>0.0</v>
      </c>
      <c r="E629" s="84">
        <v>0.0</v>
      </c>
      <c r="F629" s="84">
        <v>5.0</v>
      </c>
      <c r="G629" s="84">
        <v>1.0</v>
      </c>
      <c r="H629" s="84">
        <v>0.0</v>
      </c>
      <c r="I629" s="91">
        <v>0.0</v>
      </c>
      <c r="J629" s="84">
        <v>0.0</v>
      </c>
      <c r="K629" s="84">
        <v>0.0</v>
      </c>
      <c r="L629" s="84">
        <v>0.0</v>
      </c>
      <c r="M629" s="84">
        <v>0.0</v>
      </c>
      <c r="N629" s="84">
        <v>0.0</v>
      </c>
      <c r="O629" s="84">
        <v>0.0</v>
      </c>
      <c r="P629" s="84">
        <v>0.0</v>
      </c>
      <c r="Q629" s="84">
        <v>0.0</v>
      </c>
      <c r="R629" s="84">
        <v>0.0</v>
      </c>
      <c r="S629" s="84">
        <v>0.0</v>
      </c>
      <c r="T629" s="84">
        <v>0.0</v>
      </c>
      <c r="U629" s="84">
        <v>0.0</v>
      </c>
      <c r="V629" s="84">
        <v>0.0</v>
      </c>
      <c r="W629" s="84">
        <v>0.0</v>
      </c>
      <c r="X629" s="84">
        <v>0.0</v>
      </c>
      <c r="Y629" s="84">
        <v>0.0</v>
      </c>
      <c r="Z629" s="84">
        <v>6.0</v>
      </c>
      <c r="AA629" s="84">
        <v>3.0</v>
      </c>
      <c r="AB629" s="84">
        <v>0.0</v>
      </c>
      <c r="AC629" s="91">
        <v>0.0</v>
      </c>
      <c r="AD629" s="84">
        <v>0.0</v>
      </c>
      <c r="AE629" s="84">
        <v>0.0</v>
      </c>
      <c r="AF629" s="84">
        <v>0.0</v>
      </c>
      <c r="AG629" s="84">
        <v>0.0</v>
      </c>
      <c r="AH629" s="84">
        <v>0.0</v>
      </c>
      <c r="AI629" s="84">
        <v>0.0</v>
      </c>
      <c r="AJ629" s="84">
        <v>0.0</v>
      </c>
      <c r="AK629" s="84">
        <v>0.0</v>
      </c>
      <c r="AL629" s="84">
        <v>0.0</v>
      </c>
      <c r="AM629" s="84">
        <v>0.0</v>
      </c>
      <c r="AN629" s="93">
        <f t="shared" si="1"/>
        <v>0</v>
      </c>
      <c r="AO629" s="84">
        <f t="shared" si="2"/>
        <v>0</v>
      </c>
    </row>
    <row r="630" ht="12.75" customHeight="1">
      <c r="A630" s="84" t="s">
        <v>2850</v>
      </c>
      <c r="B630" s="84">
        <v>2.0</v>
      </c>
      <c r="C630" s="84">
        <v>0.0</v>
      </c>
      <c r="D630" s="84">
        <v>0.0</v>
      </c>
      <c r="E630" s="84">
        <v>0.0</v>
      </c>
      <c r="F630" s="84">
        <v>0.0</v>
      </c>
      <c r="G630" s="84">
        <v>0.0</v>
      </c>
      <c r="H630" s="84">
        <v>0.0</v>
      </c>
      <c r="I630" s="91">
        <v>0.0</v>
      </c>
      <c r="J630" s="84">
        <v>0.0</v>
      </c>
      <c r="K630" s="84">
        <v>0.0</v>
      </c>
      <c r="L630" s="84">
        <v>0.0</v>
      </c>
      <c r="M630" s="84">
        <v>0.0</v>
      </c>
      <c r="N630" s="84">
        <v>0.0</v>
      </c>
      <c r="O630" s="84">
        <v>0.0</v>
      </c>
      <c r="P630" s="84">
        <v>0.0</v>
      </c>
      <c r="Q630" s="84">
        <v>0.0</v>
      </c>
      <c r="R630" s="84">
        <v>0.0</v>
      </c>
      <c r="S630" s="84">
        <v>0.0</v>
      </c>
      <c r="T630" s="84">
        <v>0.0</v>
      </c>
      <c r="U630" s="84">
        <v>0.0</v>
      </c>
      <c r="V630" s="84">
        <v>2.0</v>
      </c>
      <c r="W630" s="84">
        <v>1.0</v>
      </c>
      <c r="X630" s="84">
        <v>0.0</v>
      </c>
      <c r="Y630" s="84">
        <v>0.0</v>
      </c>
      <c r="Z630" s="84">
        <v>0.0</v>
      </c>
      <c r="AA630" s="84">
        <v>0.0</v>
      </c>
      <c r="AB630" s="84">
        <v>0.0</v>
      </c>
      <c r="AC630" s="91">
        <v>0.0</v>
      </c>
      <c r="AD630" s="84">
        <v>0.0</v>
      </c>
      <c r="AE630" s="84">
        <v>0.0</v>
      </c>
      <c r="AF630" s="84">
        <v>0.0</v>
      </c>
      <c r="AG630" s="84">
        <v>0.0</v>
      </c>
      <c r="AH630" s="84">
        <v>0.0</v>
      </c>
      <c r="AI630" s="84">
        <v>0.0</v>
      </c>
      <c r="AJ630" s="84">
        <v>0.0</v>
      </c>
      <c r="AK630" s="84">
        <v>0.0</v>
      </c>
      <c r="AL630" s="84">
        <v>0.0</v>
      </c>
      <c r="AM630" s="84">
        <v>0.0</v>
      </c>
      <c r="AN630" s="93">
        <f t="shared" si="1"/>
        <v>0</v>
      </c>
      <c r="AO630" s="84">
        <f t="shared" si="2"/>
        <v>0</v>
      </c>
    </row>
    <row r="631" ht="12.75" customHeight="1">
      <c r="A631" s="84" t="s">
        <v>2928</v>
      </c>
      <c r="B631" s="84">
        <v>2.0</v>
      </c>
      <c r="C631" s="84">
        <v>2.0</v>
      </c>
      <c r="D631" s="84">
        <v>0.0</v>
      </c>
      <c r="E631" s="84">
        <v>0.0</v>
      </c>
      <c r="F631" s="84">
        <v>0.0</v>
      </c>
      <c r="G631" s="84">
        <v>0.0</v>
      </c>
      <c r="H631" s="84">
        <v>0.0</v>
      </c>
      <c r="I631" s="91">
        <v>0.0</v>
      </c>
      <c r="J631" s="84">
        <v>0.0</v>
      </c>
      <c r="K631" s="84">
        <v>0.0</v>
      </c>
      <c r="L631" s="84">
        <v>0.0</v>
      </c>
      <c r="M631" s="84">
        <v>0.0</v>
      </c>
      <c r="N631" s="84">
        <v>0.0</v>
      </c>
      <c r="O631" s="84">
        <v>0.0</v>
      </c>
      <c r="P631" s="84">
        <v>0.0</v>
      </c>
      <c r="Q631" s="84">
        <v>0.0</v>
      </c>
      <c r="R631" s="84">
        <v>0.0</v>
      </c>
      <c r="S631" s="84">
        <v>0.0</v>
      </c>
      <c r="T631" s="84">
        <v>0.0</v>
      </c>
      <c r="U631" s="84">
        <v>0.0</v>
      </c>
      <c r="V631" s="84">
        <v>2.0</v>
      </c>
      <c r="W631" s="84">
        <v>1.0</v>
      </c>
      <c r="X631" s="84">
        <v>0.0</v>
      </c>
      <c r="Y631" s="84">
        <v>0.0</v>
      </c>
      <c r="Z631" s="84">
        <v>0.0</v>
      </c>
      <c r="AA631" s="84">
        <v>0.0</v>
      </c>
      <c r="AB631" s="84">
        <v>0.0</v>
      </c>
      <c r="AC631" s="91">
        <v>0.0</v>
      </c>
      <c r="AD631" s="84">
        <v>0.0</v>
      </c>
      <c r="AE631" s="84">
        <v>0.0</v>
      </c>
      <c r="AF631" s="84">
        <v>0.0</v>
      </c>
      <c r="AG631" s="84">
        <v>0.0</v>
      </c>
      <c r="AH631" s="84">
        <v>0.0</v>
      </c>
      <c r="AI631" s="84">
        <v>0.0</v>
      </c>
      <c r="AJ631" s="84">
        <v>0.0</v>
      </c>
      <c r="AK631" s="84">
        <v>0.0</v>
      </c>
      <c r="AL631" s="84">
        <v>0.0</v>
      </c>
      <c r="AM631" s="84">
        <v>0.0</v>
      </c>
      <c r="AN631" s="93">
        <f t="shared" si="1"/>
        <v>0</v>
      </c>
      <c r="AO631" s="84">
        <f t="shared" si="2"/>
        <v>0</v>
      </c>
    </row>
    <row r="632" ht="12.75" customHeight="1">
      <c r="A632" s="84" t="s">
        <v>3383</v>
      </c>
      <c r="B632" s="84">
        <v>0.0</v>
      </c>
      <c r="C632" s="84">
        <v>0.0</v>
      </c>
      <c r="D632" s="84">
        <v>4.0</v>
      </c>
      <c r="E632" s="84">
        <v>0.0</v>
      </c>
      <c r="F632" s="84">
        <v>0.0</v>
      </c>
      <c r="G632" s="84">
        <v>0.0</v>
      </c>
      <c r="H632" s="84">
        <v>0.0</v>
      </c>
      <c r="I632" s="91">
        <v>0.0</v>
      </c>
      <c r="J632" s="84">
        <v>0.0</v>
      </c>
      <c r="K632" s="84">
        <v>0.0</v>
      </c>
      <c r="L632" s="84">
        <v>0.0</v>
      </c>
      <c r="M632" s="84">
        <v>0.0</v>
      </c>
      <c r="N632" s="84">
        <v>0.0</v>
      </c>
      <c r="O632" s="84">
        <v>0.0</v>
      </c>
      <c r="P632" s="84">
        <v>0.0</v>
      </c>
      <c r="Q632" s="84">
        <v>0.0</v>
      </c>
      <c r="R632" s="84">
        <v>0.0</v>
      </c>
      <c r="S632" s="84">
        <v>0.0</v>
      </c>
      <c r="T632" s="84">
        <v>0.0</v>
      </c>
      <c r="U632" s="84">
        <v>0.0</v>
      </c>
      <c r="V632" s="84">
        <v>0.0</v>
      </c>
      <c r="W632" s="84">
        <v>0.0</v>
      </c>
      <c r="X632" s="84">
        <v>6.0</v>
      </c>
      <c r="Y632" s="84">
        <v>1.0</v>
      </c>
      <c r="Z632" s="84">
        <v>0.0</v>
      </c>
      <c r="AA632" s="84">
        <v>0.0</v>
      </c>
      <c r="AB632" s="84">
        <v>0.0</v>
      </c>
      <c r="AC632" s="91">
        <v>0.0</v>
      </c>
      <c r="AD632" s="84">
        <v>0.0</v>
      </c>
      <c r="AE632" s="84">
        <v>0.0</v>
      </c>
      <c r="AF632" s="84">
        <v>0.0</v>
      </c>
      <c r="AG632" s="84">
        <v>0.0</v>
      </c>
      <c r="AH632" s="84">
        <v>0.0</v>
      </c>
      <c r="AI632" s="84">
        <v>0.0</v>
      </c>
      <c r="AJ632" s="84">
        <v>0.0</v>
      </c>
      <c r="AK632" s="84">
        <v>0.0</v>
      </c>
      <c r="AL632" s="84">
        <v>0.0</v>
      </c>
      <c r="AM632" s="84">
        <v>0.0</v>
      </c>
      <c r="AN632" s="93">
        <f t="shared" si="1"/>
        <v>0</v>
      </c>
      <c r="AO632" s="84">
        <f t="shared" si="2"/>
        <v>0</v>
      </c>
    </row>
    <row r="633" ht="12.75" customHeight="1">
      <c r="A633" s="84" t="s">
        <v>3831</v>
      </c>
      <c r="B633" s="84">
        <v>0.0</v>
      </c>
      <c r="C633" s="84">
        <v>0.0</v>
      </c>
      <c r="D633" s="84">
        <v>0.0</v>
      </c>
      <c r="E633" s="84">
        <v>0.0</v>
      </c>
      <c r="F633" s="84">
        <v>0.0</v>
      </c>
      <c r="G633" s="84">
        <v>6.0</v>
      </c>
      <c r="H633" s="84">
        <v>2.0</v>
      </c>
      <c r="I633" s="91">
        <v>0.0</v>
      </c>
      <c r="J633" s="84">
        <v>0.0</v>
      </c>
      <c r="K633" s="84">
        <v>0.0</v>
      </c>
      <c r="L633" s="84">
        <v>0.0</v>
      </c>
      <c r="M633" s="84">
        <v>0.0</v>
      </c>
      <c r="N633" s="84">
        <v>0.0</v>
      </c>
      <c r="O633" s="84">
        <v>0.0</v>
      </c>
      <c r="P633" s="84">
        <v>0.0</v>
      </c>
      <c r="Q633" s="84">
        <v>0.0</v>
      </c>
      <c r="R633" s="84">
        <v>0.0</v>
      </c>
      <c r="S633" s="84">
        <v>0.0</v>
      </c>
      <c r="T633" s="84">
        <v>0.0</v>
      </c>
      <c r="U633" s="84">
        <v>0.0</v>
      </c>
      <c r="V633" s="84">
        <v>0.0</v>
      </c>
      <c r="W633" s="84">
        <v>0.0</v>
      </c>
      <c r="X633" s="84">
        <v>0.0</v>
      </c>
      <c r="Y633" s="84">
        <v>0.0</v>
      </c>
      <c r="Z633" s="84">
        <v>0.0</v>
      </c>
      <c r="AA633" s="84">
        <v>6.0</v>
      </c>
      <c r="AB633" s="84">
        <v>4.0</v>
      </c>
      <c r="AC633" s="91">
        <v>0.0</v>
      </c>
      <c r="AD633" s="84">
        <v>0.0</v>
      </c>
      <c r="AE633" s="84">
        <v>0.0</v>
      </c>
      <c r="AF633" s="84">
        <v>0.0</v>
      </c>
      <c r="AG633" s="84">
        <v>0.0</v>
      </c>
      <c r="AH633" s="84">
        <v>0.0</v>
      </c>
      <c r="AI633" s="84">
        <v>0.0</v>
      </c>
      <c r="AJ633" s="84">
        <v>0.0</v>
      </c>
      <c r="AK633" s="84">
        <v>0.0</v>
      </c>
      <c r="AL633" s="84">
        <v>0.0</v>
      </c>
      <c r="AM633" s="84">
        <v>0.0</v>
      </c>
      <c r="AN633" s="93">
        <f t="shared" si="1"/>
        <v>0</v>
      </c>
      <c r="AO633" s="84">
        <f t="shared" si="2"/>
        <v>0</v>
      </c>
    </row>
    <row r="634" ht="12.75" customHeight="1">
      <c r="A634" s="84" t="s">
        <v>3223</v>
      </c>
      <c r="B634" s="84">
        <v>0.0</v>
      </c>
      <c r="C634" s="84">
        <v>5.0</v>
      </c>
      <c r="D634" s="84">
        <v>1.0</v>
      </c>
      <c r="E634" s="84">
        <v>0.0</v>
      </c>
      <c r="F634" s="84">
        <v>0.0</v>
      </c>
      <c r="G634" s="84">
        <v>0.0</v>
      </c>
      <c r="H634" s="84">
        <v>0.0</v>
      </c>
      <c r="I634" s="91">
        <v>0.0</v>
      </c>
      <c r="J634" s="84">
        <v>0.0</v>
      </c>
      <c r="K634" s="84">
        <v>0.0</v>
      </c>
      <c r="L634" s="84">
        <v>0.0</v>
      </c>
      <c r="M634" s="84">
        <v>0.0</v>
      </c>
      <c r="N634" s="84">
        <v>0.0</v>
      </c>
      <c r="O634" s="84">
        <v>0.0</v>
      </c>
      <c r="P634" s="84">
        <v>0.0</v>
      </c>
      <c r="Q634" s="84">
        <v>0.0</v>
      </c>
      <c r="R634" s="84">
        <v>0.0</v>
      </c>
      <c r="S634" s="84">
        <v>0.0</v>
      </c>
      <c r="T634" s="84">
        <v>0.0</v>
      </c>
      <c r="U634" s="84">
        <v>0.0</v>
      </c>
      <c r="V634" s="84">
        <v>0.0</v>
      </c>
      <c r="W634" s="84">
        <v>3.0</v>
      </c>
      <c r="X634" s="84">
        <v>2.0</v>
      </c>
      <c r="Y634" s="84">
        <v>0.0</v>
      </c>
      <c r="Z634" s="84">
        <v>0.0</v>
      </c>
      <c r="AA634" s="84">
        <v>0.0</v>
      </c>
      <c r="AB634" s="84">
        <v>0.0</v>
      </c>
      <c r="AC634" s="91">
        <v>0.0</v>
      </c>
      <c r="AD634" s="84">
        <v>0.0</v>
      </c>
      <c r="AE634" s="84">
        <v>0.0</v>
      </c>
      <c r="AF634" s="84">
        <v>0.0</v>
      </c>
      <c r="AG634" s="84">
        <v>0.0</v>
      </c>
      <c r="AH634" s="84">
        <v>0.0</v>
      </c>
      <c r="AI634" s="84">
        <v>0.0</v>
      </c>
      <c r="AJ634" s="84">
        <v>0.0</v>
      </c>
      <c r="AK634" s="84">
        <v>0.0</v>
      </c>
      <c r="AL634" s="84">
        <v>0.0</v>
      </c>
      <c r="AM634" s="84">
        <v>0.0</v>
      </c>
      <c r="AN634" s="93">
        <f t="shared" si="1"/>
        <v>0</v>
      </c>
      <c r="AO634" s="84">
        <f t="shared" si="2"/>
        <v>0</v>
      </c>
    </row>
    <row r="635" ht="12.75" customHeight="1">
      <c r="A635" s="84" t="s">
        <v>3473</v>
      </c>
      <c r="B635" s="84">
        <v>0.0</v>
      </c>
      <c r="C635" s="84">
        <v>0.0</v>
      </c>
      <c r="D635" s="84">
        <v>0.0</v>
      </c>
      <c r="E635" s="84">
        <v>5.0</v>
      </c>
      <c r="F635" s="84">
        <v>1.0</v>
      </c>
      <c r="G635" s="84">
        <v>0.0</v>
      </c>
      <c r="H635" s="84">
        <v>0.0</v>
      </c>
      <c r="I635" s="91">
        <v>0.0</v>
      </c>
      <c r="J635" s="84">
        <v>0.0</v>
      </c>
      <c r="K635" s="84">
        <v>0.0</v>
      </c>
      <c r="L635" s="84">
        <v>0.0</v>
      </c>
      <c r="M635" s="84">
        <v>0.0</v>
      </c>
      <c r="N635" s="84">
        <v>0.0</v>
      </c>
      <c r="O635" s="84">
        <v>0.0</v>
      </c>
      <c r="P635" s="84">
        <v>0.0</v>
      </c>
      <c r="Q635" s="84">
        <v>0.0</v>
      </c>
      <c r="R635" s="84">
        <v>0.0</v>
      </c>
      <c r="S635" s="84">
        <v>0.0</v>
      </c>
      <c r="T635" s="84">
        <v>0.0</v>
      </c>
      <c r="U635" s="84">
        <v>0.0</v>
      </c>
      <c r="V635" s="84">
        <v>0.0</v>
      </c>
      <c r="W635" s="84">
        <v>0.0</v>
      </c>
      <c r="X635" s="84">
        <v>0.0</v>
      </c>
      <c r="Y635" s="84">
        <v>6.0</v>
      </c>
      <c r="Z635" s="84">
        <v>5.0</v>
      </c>
      <c r="AA635" s="84">
        <v>0.0</v>
      </c>
      <c r="AB635" s="84">
        <v>0.0</v>
      </c>
      <c r="AC635" s="91">
        <v>0.0</v>
      </c>
      <c r="AD635" s="84">
        <v>0.0</v>
      </c>
      <c r="AE635" s="84">
        <v>0.0</v>
      </c>
      <c r="AF635" s="84">
        <v>0.0</v>
      </c>
      <c r="AG635" s="84">
        <v>0.0</v>
      </c>
      <c r="AH635" s="84">
        <v>0.0</v>
      </c>
      <c r="AI635" s="84">
        <v>0.0</v>
      </c>
      <c r="AJ635" s="84">
        <v>0.0</v>
      </c>
      <c r="AK635" s="84">
        <v>0.0</v>
      </c>
      <c r="AL635" s="84">
        <v>0.0</v>
      </c>
      <c r="AM635" s="84">
        <v>0.0</v>
      </c>
      <c r="AN635" s="93">
        <f t="shared" si="1"/>
        <v>0</v>
      </c>
      <c r="AO635" s="84">
        <f t="shared" si="2"/>
        <v>0</v>
      </c>
    </row>
    <row r="636" ht="12.75" customHeight="1">
      <c r="A636" s="84" t="s">
        <v>2946</v>
      </c>
      <c r="B636" s="84">
        <v>1.0</v>
      </c>
      <c r="C636" s="84">
        <v>0.0</v>
      </c>
      <c r="D636" s="84">
        <v>0.0</v>
      </c>
      <c r="E636" s="84">
        <v>0.0</v>
      </c>
      <c r="F636" s="84">
        <v>0.0</v>
      </c>
      <c r="G636" s="84">
        <v>0.0</v>
      </c>
      <c r="H636" s="84">
        <v>0.0</v>
      </c>
      <c r="I636" s="91">
        <v>0.0</v>
      </c>
      <c r="J636" s="84">
        <v>0.0</v>
      </c>
      <c r="K636" s="84">
        <v>0.0</v>
      </c>
      <c r="L636" s="84">
        <v>0.0</v>
      </c>
      <c r="M636" s="84">
        <v>0.0</v>
      </c>
      <c r="N636" s="84">
        <v>0.0</v>
      </c>
      <c r="O636" s="84">
        <v>0.0</v>
      </c>
      <c r="P636" s="84">
        <v>0.0</v>
      </c>
      <c r="Q636" s="84">
        <v>0.0</v>
      </c>
      <c r="R636" s="84">
        <v>0.0</v>
      </c>
      <c r="S636" s="84">
        <v>0.0</v>
      </c>
      <c r="T636" s="84">
        <v>0.0</v>
      </c>
      <c r="U636" s="84">
        <v>0.0</v>
      </c>
      <c r="V636" s="84">
        <v>1.0</v>
      </c>
      <c r="W636" s="84">
        <v>2.0</v>
      </c>
      <c r="X636" s="84">
        <v>0.0</v>
      </c>
      <c r="Y636" s="84">
        <v>0.0</v>
      </c>
      <c r="Z636" s="84">
        <v>0.0</v>
      </c>
      <c r="AA636" s="84">
        <v>0.0</v>
      </c>
      <c r="AB636" s="84">
        <v>0.0</v>
      </c>
      <c r="AC636" s="91">
        <v>0.0</v>
      </c>
      <c r="AD636" s="84">
        <v>0.0</v>
      </c>
      <c r="AE636" s="84">
        <v>0.0</v>
      </c>
      <c r="AF636" s="84">
        <v>0.0</v>
      </c>
      <c r="AG636" s="84">
        <v>0.0</v>
      </c>
      <c r="AH636" s="84">
        <v>0.0</v>
      </c>
      <c r="AI636" s="84">
        <v>0.0</v>
      </c>
      <c r="AJ636" s="84">
        <v>0.0</v>
      </c>
      <c r="AK636" s="84">
        <v>0.0</v>
      </c>
      <c r="AL636" s="84">
        <v>0.0</v>
      </c>
      <c r="AM636" s="84">
        <v>0.0</v>
      </c>
      <c r="AN636" s="93">
        <f t="shared" si="1"/>
        <v>0</v>
      </c>
      <c r="AO636" s="84">
        <f t="shared" si="2"/>
        <v>0</v>
      </c>
    </row>
    <row r="637" ht="12.75" customHeight="1">
      <c r="A637" s="84" t="s">
        <v>3764</v>
      </c>
      <c r="B637" s="84">
        <v>0.0</v>
      </c>
      <c r="C637" s="84">
        <v>0.0</v>
      </c>
      <c r="D637" s="84">
        <v>0.0</v>
      </c>
      <c r="E637" s="84">
        <v>0.0</v>
      </c>
      <c r="F637" s="84">
        <v>0.0</v>
      </c>
      <c r="G637" s="84">
        <v>5.0</v>
      </c>
      <c r="H637" s="84">
        <v>0.0</v>
      </c>
      <c r="I637" s="91">
        <v>0.0</v>
      </c>
      <c r="J637" s="84">
        <v>0.0</v>
      </c>
      <c r="K637" s="84">
        <v>0.0</v>
      </c>
      <c r="L637" s="84">
        <v>0.0</v>
      </c>
      <c r="M637" s="84">
        <v>0.0</v>
      </c>
      <c r="N637" s="84">
        <v>0.0</v>
      </c>
      <c r="O637" s="84">
        <v>0.0</v>
      </c>
      <c r="P637" s="84">
        <v>0.0</v>
      </c>
      <c r="Q637" s="84">
        <v>0.0</v>
      </c>
      <c r="R637" s="84">
        <v>0.0</v>
      </c>
      <c r="S637" s="84">
        <v>0.0</v>
      </c>
      <c r="T637" s="84">
        <v>0.0</v>
      </c>
      <c r="U637" s="84">
        <v>0.0</v>
      </c>
      <c r="V637" s="84">
        <v>0.0</v>
      </c>
      <c r="W637" s="84">
        <v>0.0</v>
      </c>
      <c r="X637" s="84">
        <v>0.0</v>
      </c>
      <c r="Y637" s="84">
        <v>0.0</v>
      </c>
      <c r="Z637" s="84">
        <v>0.0</v>
      </c>
      <c r="AA637" s="84">
        <v>6.0</v>
      </c>
      <c r="AB637" s="84">
        <v>1.0</v>
      </c>
      <c r="AC637" s="91">
        <v>0.0</v>
      </c>
      <c r="AD637" s="84">
        <v>0.0</v>
      </c>
      <c r="AE637" s="84">
        <v>0.0</v>
      </c>
      <c r="AF637" s="84">
        <v>0.0</v>
      </c>
      <c r="AG637" s="84">
        <v>0.0</v>
      </c>
      <c r="AH637" s="84">
        <v>0.0</v>
      </c>
      <c r="AI637" s="84">
        <v>0.0</v>
      </c>
      <c r="AJ637" s="84">
        <v>0.0</v>
      </c>
      <c r="AK637" s="84">
        <v>0.0</v>
      </c>
      <c r="AL637" s="84">
        <v>0.0</v>
      </c>
      <c r="AM637" s="84">
        <v>0.0</v>
      </c>
      <c r="AN637" s="93">
        <f t="shared" si="1"/>
        <v>0</v>
      </c>
      <c r="AO637" s="84">
        <f t="shared" si="2"/>
        <v>0</v>
      </c>
    </row>
    <row r="638" ht="12.75" customHeight="1">
      <c r="A638" s="84" t="s">
        <v>3711</v>
      </c>
      <c r="B638" s="84">
        <v>0.0</v>
      </c>
      <c r="C638" s="84">
        <v>0.0</v>
      </c>
      <c r="D638" s="84">
        <v>0.0</v>
      </c>
      <c r="E638" s="84">
        <v>0.0</v>
      </c>
      <c r="F638" s="84">
        <v>4.0</v>
      </c>
      <c r="G638" s="84">
        <v>2.0</v>
      </c>
      <c r="H638" s="84">
        <v>0.0</v>
      </c>
      <c r="I638" s="91">
        <v>0.0</v>
      </c>
      <c r="J638" s="84">
        <v>0.0</v>
      </c>
      <c r="K638" s="84">
        <v>0.0</v>
      </c>
      <c r="L638" s="84">
        <v>0.0</v>
      </c>
      <c r="M638" s="84">
        <v>0.0</v>
      </c>
      <c r="N638" s="84">
        <v>0.0</v>
      </c>
      <c r="O638" s="84">
        <v>0.0</v>
      </c>
      <c r="P638" s="84">
        <v>0.0</v>
      </c>
      <c r="Q638" s="84">
        <v>0.0</v>
      </c>
      <c r="R638" s="84">
        <v>0.0</v>
      </c>
      <c r="S638" s="84">
        <v>0.0</v>
      </c>
      <c r="T638" s="84">
        <v>0.0</v>
      </c>
      <c r="U638" s="84">
        <v>0.0</v>
      </c>
      <c r="V638" s="84">
        <v>0.0</v>
      </c>
      <c r="W638" s="84">
        <v>0.0</v>
      </c>
      <c r="X638" s="84">
        <v>0.0</v>
      </c>
      <c r="Y638" s="84">
        <v>0.0</v>
      </c>
      <c r="Z638" s="84">
        <v>6.0</v>
      </c>
      <c r="AA638" s="84">
        <v>2.0</v>
      </c>
      <c r="AB638" s="84">
        <v>0.0</v>
      </c>
      <c r="AC638" s="91">
        <v>0.0</v>
      </c>
      <c r="AD638" s="84">
        <v>0.0</v>
      </c>
      <c r="AE638" s="84">
        <v>0.0</v>
      </c>
      <c r="AF638" s="84">
        <v>0.0</v>
      </c>
      <c r="AG638" s="84">
        <v>0.0</v>
      </c>
      <c r="AH638" s="84">
        <v>0.0</v>
      </c>
      <c r="AI638" s="84">
        <v>0.0</v>
      </c>
      <c r="AJ638" s="84">
        <v>0.0</v>
      </c>
      <c r="AK638" s="84">
        <v>0.0</v>
      </c>
      <c r="AL638" s="84">
        <v>0.0</v>
      </c>
      <c r="AM638" s="84">
        <v>0.0</v>
      </c>
      <c r="AN638" s="93">
        <f t="shared" si="1"/>
        <v>0</v>
      </c>
      <c r="AO638" s="84">
        <f t="shared" si="2"/>
        <v>0</v>
      </c>
    </row>
    <row r="639" ht="12.75" customHeight="1">
      <c r="A639" s="84" t="s">
        <v>3564</v>
      </c>
      <c r="B639" s="84">
        <v>0.0</v>
      </c>
      <c r="C639" s="84">
        <v>0.0</v>
      </c>
      <c r="D639" s="84">
        <v>0.0</v>
      </c>
      <c r="E639" s="84">
        <v>4.0</v>
      </c>
      <c r="F639" s="84">
        <v>1.0</v>
      </c>
      <c r="G639" s="84">
        <v>0.0</v>
      </c>
      <c r="H639" s="84">
        <v>0.0</v>
      </c>
      <c r="I639" s="91">
        <v>0.0</v>
      </c>
      <c r="J639" s="84">
        <v>0.0</v>
      </c>
      <c r="K639" s="84">
        <v>0.0</v>
      </c>
      <c r="L639" s="84">
        <v>0.0</v>
      </c>
      <c r="M639" s="84">
        <v>0.0</v>
      </c>
      <c r="N639" s="84">
        <v>0.0</v>
      </c>
      <c r="O639" s="84">
        <v>0.0</v>
      </c>
      <c r="P639" s="84">
        <v>0.0</v>
      </c>
      <c r="Q639" s="84">
        <v>0.0</v>
      </c>
      <c r="R639" s="84">
        <v>0.0</v>
      </c>
      <c r="S639" s="84">
        <v>0.0</v>
      </c>
      <c r="T639" s="84">
        <v>0.0</v>
      </c>
      <c r="U639" s="84">
        <v>0.0</v>
      </c>
      <c r="V639" s="84">
        <v>0.0</v>
      </c>
      <c r="W639" s="84">
        <v>0.0</v>
      </c>
      <c r="X639" s="84">
        <v>0.0</v>
      </c>
      <c r="Y639" s="84">
        <v>6.0</v>
      </c>
      <c r="Z639" s="84">
        <v>3.0</v>
      </c>
      <c r="AA639" s="84">
        <v>0.0</v>
      </c>
      <c r="AB639" s="84">
        <v>0.0</v>
      </c>
      <c r="AC639" s="91">
        <v>0.0</v>
      </c>
      <c r="AD639" s="84">
        <v>0.0</v>
      </c>
      <c r="AE639" s="84">
        <v>0.0</v>
      </c>
      <c r="AF639" s="84">
        <v>0.0</v>
      </c>
      <c r="AG639" s="84">
        <v>0.0</v>
      </c>
      <c r="AH639" s="84">
        <v>0.0</v>
      </c>
      <c r="AI639" s="84">
        <v>0.0</v>
      </c>
      <c r="AJ639" s="84">
        <v>0.0</v>
      </c>
      <c r="AK639" s="84">
        <v>0.0</v>
      </c>
      <c r="AL639" s="84">
        <v>0.0</v>
      </c>
      <c r="AM639" s="84">
        <v>0.0</v>
      </c>
      <c r="AN639" s="93">
        <f t="shared" si="1"/>
        <v>0</v>
      </c>
      <c r="AO639" s="84">
        <f t="shared" si="2"/>
        <v>0</v>
      </c>
    </row>
    <row r="640" ht="12.75" customHeight="1">
      <c r="A640" s="84" t="s">
        <v>3633</v>
      </c>
      <c r="B640" s="84">
        <v>0.0</v>
      </c>
      <c r="C640" s="84">
        <v>0.0</v>
      </c>
      <c r="D640" s="84">
        <v>0.0</v>
      </c>
      <c r="E640" s="84">
        <v>0.0</v>
      </c>
      <c r="F640" s="84">
        <v>5.0</v>
      </c>
      <c r="G640" s="84">
        <v>2.0</v>
      </c>
      <c r="H640" s="84">
        <v>0.0</v>
      </c>
      <c r="I640" s="91">
        <v>0.0</v>
      </c>
      <c r="J640" s="84">
        <v>0.0</v>
      </c>
      <c r="K640" s="84">
        <v>0.0</v>
      </c>
      <c r="L640" s="84">
        <v>0.0</v>
      </c>
      <c r="M640" s="84">
        <v>0.0</v>
      </c>
      <c r="N640" s="84">
        <v>0.0</v>
      </c>
      <c r="O640" s="84">
        <v>0.0</v>
      </c>
      <c r="P640" s="84">
        <v>0.0</v>
      </c>
      <c r="Q640" s="84">
        <v>0.0</v>
      </c>
      <c r="R640" s="84">
        <v>0.0</v>
      </c>
      <c r="S640" s="84">
        <v>0.0</v>
      </c>
      <c r="T640" s="84">
        <v>0.0</v>
      </c>
      <c r="U640" s="84">
        <v>0.0</v>
      </c>
      <c r="V640" s="84">
        <v>0.0</v>
      </c>
      <c r="W640" s="84">
        <v>0.0</v>
      </c>
      <c r="X640" s="84">
        <v>0.0</v>
      </c>
      <c r="Y640" s="84">
        <v>0.0</v>
      </c>
      <c r="Z640" s="84">
        <v>6.0</v>
      </c>
      <c r="AA640" s="84">
        <v>1.0</v>
      </c>
      <c r="AB640" s="84">
        <v>0.0</v>
      </c>
      <c r="AC640" s="91">
        <v>0.0</v>
      </c>
      <c r="AD640" s="84">
        <v>0.0</v>
      </c>
      <c r="AE640" s="84">
        <v>0.0</v>
      </c>
      <c r="AF640" s="84">
        <v>0.0</v>
      </c>
      <c r="AG640" s="84">
        <v>0.0</v>
      </c>
      <c r="AH640" s="84">
        <v>0.0</v>
      </c>
      <c r="AI640" s="84">
        <v>0.0</v>
      </c>
      <c r="AJ640" s="84">
        <v>0.0</v>
      </c>
      <c r="AK640" s="84">
        <v>0.0</v>
      </c>
      <c r="AL640" s="84">
        <v>0.0</v>
      </c>
      <c r="AM640" s="84">
        <v>0.0</v>
      </c>
      <c r="AN640" s="93">
        <f t="shared" si="1"/>
        <v>0</v>
      </c>
      <c r="AO640" s="84">
        <f t="shared" si="2"/>
        <v>0</v>
      </c>
    </row>
    <row r="641" ht="12.75" customHeight="1">
      <c r="A641" s="84" t="s">
        <v>3208</v>
      </c>
      <c r="B641" s="84">
        <v>0.0</v>
      </c>
      <c r="C641" s="84">
        <v>4.0</v>
      </c>
      <c r="D641" s="84">
        <v>1.0</v>
      </c>
      <c r="E641" s="84">
        <v>0.0</v>
      </c>
      <c r="F641" s="84">
        <v>0.0</v>
      </c>
      <c r="G641" s="84">
        <v>0.0</v>
      </c>
      <c r="H641" s="84">
        <v>0.0</v>
      </c>
      <c r="I641" s="91">
        <v>0.0</v>
      </c>
      <c r="J641" s="84">
        <v>0.0</v>
      </c>
      <c r="K641" s="84">
        <v>0.0</v>
      </c>
      <c r="L641" s="84">
        <v>0.0</v>
      </c>
      <c r="M641" s="84">
        <v>0.0</v>
      </c>
      <c r="N641" s="84">
        <v>0.0</v>
      </c>
      <c r="O641" s="84">
        <v>0.0</v>
      </c>
      <c r="P641" s="84">
        <v>0.0</v>
      </c>
      <c r="Q641" s="84">
        <v>0.0</v>
      </c>
      <c r="R641" s="84">
        <v>0.0</v>
      </c>
      <c r="S641" s="84">
        <v>0.0</v>
      </c>
      <c r="T641" s="84">
        <v>0.0</v>
      </c>
      <c r="U641" s="84">
        <v>0.0</v>
      </c>
      <c r="V641" s="84">
        <v>0.0</v>
      </c>
      <c r="W641" s="84">
        <v>3.0</v>
      </c>
      <c r="X641" s="84">
        <v>1.0</v>
      </c>
      <c r="Y641" s="84">
        <v>0.0</v>
      </c>
      <c r="Z641" s="84">
        <v>0.0</v>
      </c>
      <c r="AA641" s="84">
        <v>0.0</v>
      </c>
      <c r="AB641" s="84">
        <v>0.0</v>
      </c>
      <c r="AC641" s="91">
        <v>0.0</v>
      </c>
      <c r="AD641" s="84">
        <v>0.0</v>
      </c>
      <c r="AE641" s="84">
        <v>0.0</v>
      </c>
      <c r="AF641" s="84">
        <v>0.0</v>
      </c>
      <c r="AG641" s="84">
        <v>0.0</v>
      </c>
      <c r="AH641" s="84">
        <v>0.0</v>
      </c>
      <c r="AI641" s="84">
        <v>0.0</v>
      </c>
      <c r="AJ641" s="84">
        <v>0.0</v>
      </c>
      <c r="AK641" s="84">
        <v>0.0</v>
      </c>
      <c r="AL641" s="84">
        <v>0.0</v>
      </c>
      <c r="AM641" s="84">
        <v>0.0</v>
      </c>
      <c r="AN641" s="93">
        <f t="shared" si="1"/>
        <v>0</v>
      </c>
      <c r="AO641" s="84">
        <f t="shared" si="2"/>
        <v>0</v>
      </c>
    </row>
    <row r="642" ht="12.75" customHeight="1">
      <c r="A642" s="84" t="s">
        <v>2969</v>
      </c>
      <c r="B642" s="84">
        <v>2.0</v>
      </c>
      <c r="C642" s="84">
        <v>1.0</v>
      </c>
      <c r="D642" s="84">
        <v>0.0</v>
      </c>
      <c r="E642" s="84">
        <v>0.0</v>
      </c>
      <c r="F642" s="84">
        <v>0.0</v>
      </c>
      <c r="G642" s="84">
        <v>0.0</v>
      </c>
      <c r="H642" s="84">
        <v>0.0</v>
      </c>
      <c r="I642" s="91">
        <v>0.0</v>
      </c>
      <c r="J642" s="84">
        <v>0.0</v>
      </c>
      <c r="K642" s="84">
        <v>0.0</v>
      </c>
      <c r="L642" s="84">
        <v>0.0</v>
      </c>
      <c r="M642" s="84">
        <v>0.0</v>
      </c>
      <c r="N642" s="84">
        <v>0.0</v>
      </c>
      <c r="O642" s="84">
        <v>0.0</v>
      </c>
      <c r="P642" s="84">
        <v>0.0</v>
      </c>
      <c r="Q642" s="84">
        <v>0.0</v>
      </c>
      <c r="R642" s="84">
        <v>0.0</v>
      </c>
      <c r="S642" s="84">
        <v>0.0</v>
      </c>
      <c r="T642" s="84">
        <v>0.0</v>
      </c>
      <c r="U642" s="84">
        <v>0.0</v>
      </c>
      <c r="V642" s="84">
        <v>2.0</v>
      </c>
      <c r="W642" s="84">
        <v>5.0</v>
      </c>
      <c r="X642" s="84">
        <v>0.0</v>
      </c>
      <c r="Y642" s="84">
        <v>0.0</v>
      </c>
      <c r="Z642" s="84">
        <v>0.0</v>
      </c>
      <c r="AA642" s="84">
        <v>0.0</v>
      </c>
      <c r="AB642" s="84">
        <v>0.0</v>
      </c>
      <c r="AC642" s="91">
        <v>0.0</v>
      </c>
      <c r="AD642" s="84">
        <v>0.0</v>
      </c>
      <c r="AE642" s="84">
        <v>0.0</v>
      </c>
      <c r="AF642" s="84">
        <v>0.0</v>
      </c>
      <c r="AG642" s="84">
        <v>0.0</v>
      </c>
      <c r="AH642" s="84">
        <v>0.0</v>
      </c>
      <c r="AI642" s="84">
        <v>0.0</v>
      </c>
      <c r="AJ642" s="84">
        <v>0.0</v>
      </c>
      <c r="AK642" s="84">
        <v>0.0</v>
      </c>
      <c r="AL642" s="84">
        <v>0.0</v>
      </c>
      <c r="AM642" s="84">
        <v>0.0</v>
      </c>
      <c r="AN642" s="93">
        <f t="shared" si="1"/>
        <v>0</v>
      </c>
      <c r="AO642" s="84">
        <f t="shared" si="2"/>
        <v>0</v>
      </c>
    </row>
    <row r="643" ht="12.75" customHeight="1">
      <c r="A643" s="84" t="s">
        <v>3307</v>
      </c>
      <c r="B643" s="84">
        <v>0.0</v>
      </c>
      <c r="C643" s="84">
        <v>0.0</v>
      </c>
      <c r="D643" s="84">
        <v>4.0</v>
      </c>
      <c r="E643" s="84">
        <v>1.0</v>
      </c>
      <c r="F643" s="84">
        <v>0.0</v>
      </c>
      <c r="G643" s="84">
        <v>0.0</v>
      </c>
      <c r="H643" s="84">
        <v>0.0</v>
      </c>
      <c r="I643" s="91">
        <v>0.0</v>
      </c>
      <c r="J643" s="84">
        <v>0.0</v>
      </c>
      <c r="K643" s="84">
        <v>0.0</v>
      </c>
      <c r="L643" s="84">
        <v>0.0</v>
      </c>
      <c r="M643" s="84">
        <v>0.0</v>
      </c>
      <c r="N643" s="84">
        <v>0.0</v>
      </c>
      <c r="O643" s="84">
        <v>0.0</v>
      </c>
      <c r="P643" s="84">
        <v>0.0</v>
      </c>
      <c r="Q643" s="84">
        <v>0.0</v>
      </c>
      <c r="R643" s="84">
        <v>0.0</v>
      </c>
      <c r="S643" s="84">
        <v>0.0</v>
      </c>
      <c r="T643" s="84">
        <v>0.0</v>
      </c>
      <c r="U643" s="84">
        <v>0.0</v>
      </c>
      <c r="V643" s="84">
        <v>0.0</v>
      </c>
      <c r="W643" s="84">
        <v>0.0</v>
      </c>
      <c r="X643" s="84">
        <v>6.0</v>
      </c>
      <c r="Y643" s="84">
        <v>5.0</v>
      </c>
      <c r="Z643" s="84">
        <v>0.0</v>
      </c>
      <c r="AA643" s="84">
        <v>0.0</v>
      </c>
      <c r="AB643" s="84">
        <v>0.0</v>
      </c>
      <c r="AC643" s="91">
        <v>0.0</v>
      </c>
      <c r="AD643" s="84">
        <v>0.0</v>
      </c>
      <c r="AE643" s="84">
        <v>0.0</v>
      </c>
      <c r="AF643" s="84">
        <v>0.0</v>
      </c>
      <c r="AG643" s="84">
        <v>0.0</v>
      </c>
      <c r="AH643" s="84">
        <v>0.0</v>
      </c>
      <c r="AI643" s="84">
        <v>0.0</v>
      </c>
      <c r="AJ643" s="84">
        <v>0.0</v>
      </c>
      <c r="AK643" s="84">
        <v>0.0</v>
      </c>
      <c r="AL643" s="84">
        <v>0.0</v>
      </c>
      <c r="AM643" s="84">
        <v>0.0</v>
      </c>
      <c r="AN643" s="93">
        <f t="shared" si="1"/>
        <v>0</v>
      </c>
      <c r="AO643" s="84">
        <f t="shared" si="2"/>
        <v>0</v>
      </c>
    </row>
    <row r="644" ht="12.75" customHeight="1">
      <c r="A644" s="84" t="s">
        <v>3301</v>
      </c>
      <c r="B644" s="84">
        <v>0.0</v>
      </c>
      <c r="C644" s="84">
        <v>0.0</v>
      </c>
      <c r="D644" s="84">
        <v>5.0</v>
      </c>
      <c r="E644" s="84">
        <v>1.0</v>
      </c>
      <c r="F644" s="84">
        <v>0.0</v>
      </c>
      <c r="G644" s="84">
        <v>0.0</v>
      </c>
      <c r="H644" s="84">
        <v>0.0</v>
      </c>
      <c r="I644" s="91">
        <v>0.0</v>
      </c>
      <c r="J644" s="84">
        <v>0.0</v>
      </c>
      <c r="K644" s="84">
        <v>0.0</v>
      </c>
      <c r="L644" s="84">
        <v>0.0</v>
      </c>
      <c r="M644" s="84">
        <v>0.0</v>
      </c>
      <c r="N644" s="84">
        <v>0.0</v>
      </c>
      <c r="O644" s="84">
        <v>0.0</v>
      </c>
      <c r="P644" s="84">
        <v>0.0</v>
      </c>
      <c r="Q644" s="84">
        <v>0.0</v>
      </c>
      <c r="R644" s="84">
        <v>0.0</v>
      </c>
      <c r="S644" s="84">
        <v>0.0</v>
      </c>
      <c r="T644" s="84">
        <v>0.0</v>
      </c>
      <c r="U644" s="84">
        <v>0.0</v>
      </c>
      <c r="V644" s="84">
        <v>0.0</v>
      </c>
      <c r="W644" s="84">
        <v>0.0</v>
      </c>
      <c r="X644" s="84">
        <v>6.0</v>
      </c>
      <c r="Y644" s="84">
        <v>2.0</v>
      </c>
      <c r="Z644" s="84">
        <v>0.0</v>
      </c>
      <c r="AA644" s="84">
        <v>0.0</v>
      </c>
      <c r="AB644" s="84">
        <v>0.0</v>
      </c>
      <c r="AC644" s="91">
        <v>0.0</v>
      </c>
      <c r="AD644" s="84">
        <v>0.0</v>
      </c>
      <c r="AE644" s="84">
        <v>0.0</v>
      </c>
      <c r="AF644" s="84">
        <v>0.0</v>
      </c>
      <c r="AG644" s="84">
        <v>0.0</v>
      </c>
      <c r="AH644" s="84">
        <v>0.0</v>
      </c>
      <c r="AI644" s="84">
        <v>0.0</v>
      </c>
      <c r="AJ644" s="84">
        <v>0.0</v>
      </c>
      <c r="AK644" s="84">
        <v>0.0</v>
      </c>
      <c r="AL644" s="84">
        <v>0.0</v>
      </c>
      <c r="AM644" s="84">
        <v>0.0</v>
      </c>
      <c r="AN644" s="93">
        <f t="shared" si="1"/>
        <v>0</v>
      </c>
      <c r="AO644" s="84">
        <f t="shared" si="2"/>
        <v>0</v>
      </c>
    </row>
    <row r="645" ht="12.75" customHeight="1">
      <c r="A645" s="84" t="s">
        <v>3098</v>
      </c>
      <c r="B645" s="84">
        <v>1.0</v>
      </c>
      <c r="C645" s="84">
        <v>0.0</v>
      </c>
      <c r="D645" s="84">
        <v>0.0</v>
      </c>
      <c r="E645" s="84">
        <v>0.0</v>
      </c>
      <c r="F645" s="84">
        <v>0.0</v>
      </c>
      <c r="G645" s="84">
        <v>0.0</v>
      </c>
      <c r="H645" s="84">
        <v>0.0</v>
      </c>
      <c r="I645" s="91">
        <v>0.0</v>
      </c>
      <c r="J645" s="84">
        <v>0.0</v>
      </c>
      <c r="K645" s="84">
        <v>0.0</v>
      </c>
      <c r="L645" s="84">
        <v>0.0</v>
      </c>
      <c r="M645" s="84">
        <v>0.0</v>
      </c>
      <c r="N645" s="84">
        <v>0.0</v>
      </c>
      <c r="O645" s="84">
        <v>0.0</v>
      </c>
      <c r="P645" s="84">
        <v>0.0</v>
      </c>
      <c r="Q645" s="84">
        <v>0.0</v>
      </c>
      <c r="R645" s="84">
        <v>0.0</v>
      </c>
      <c r="S645" s="84">
        <v>0.0</v>
      </c>
      <c r="T645" s="84">
        <v>0.0</v>
      </c>
      <c r="U645" s="84">
        <v>0.0</v>
      </c>
      <c r="V645" s="84">
        <v>3.0</v>
      </c>
      <c r="W645" s="84">
        <v>3.0</v>
      </c>
      <c r="X645" s="84">
        <v>0.0</v>
      </c>
      <c r="Y645" s="84">
        <v>0.0</v>
      </c>
      <c r="Z645" s="84">
        <v>0.0</v>
      </c>
      <c r="AA645" s="84">
        <v>0.0</v>
      </c>
      <c r="AB645" s="84">
        <v>0.0</v>
      </c>
      <c r="AC645" s="91">
        <v>0.0</v>
      </c>
      <c r="AD645" s="84">
        <v>0.0</v>
      </c>
      <c r="AE645" s="84">
        <v>0.0</v>
      </c>
      <c r="AF645" s="84">
        <v>0.0</v>
      </c>
      <c r="AG645" s="84">
        <v>0.0</v>
      </c>
      <c r="AH645" s="84">
        <v>0.0</v>
      </c>
      <c r="AI645" s="84">
        <v>0.0</v>
      </c>
      <c r="AJ645" s="84">
        <v>0.0</v>
      </c>
      <c r="AK645" s="84">
        <v>0.0</v>
      </c>
      <c r="AL645" s="84">
        <v>0.0</v>
      </c>
      <c r="AM645" s="84">
        <v>0.0</v>
      </c>
      <c r="AN645" s="93">
        <f t="shared" si="1"/>
        <v>0</v>
      </c>
      <c r="AO645" s="84">
        <f t="shared" si="2"/>
        <v>0</v>
      </c>
    </row>
    <row r="646" ht="12.75" customHeight="1">
      <c r="A646" s="84" t="s">
        <v>3544</v>
      </c>
      <c r="B646" s="84">
        <v>0.0</v>
      </c>
      <c r="C646" s="84">
        <v>0.0</v>
      </c>
      <c r="D646" s="84">
        <v>0.0</v>
      </c>
      <c r="E646" s="84">
        <v>5.0</v>
      </c>
      <c r="F646" s="84">
        <v>1.0</v>
      </c>
      <c r="G646" s="84">
        <v>0.0</v>
      </c>
      <c r="H646" s="84">
        <v>0.0</v>
      </c>
      <c r="I646" s="91">
        <v>0.0</v>
      </c>
      <c r="J646" s="84">
        <v>0.0</v>
      </c>
      <c r="K646" s="84">
        <v>0.0</v>
      </c>
      <c r="L646" s="84">
        <v>0.0</v>
      </c>
      <c r="M646" s="84">
        <v>0.0</v>
      </c>
      <c r="N646" s="84">
        <v>0.0</v>
      </c>
      <c r="O646" s="84">
        <v>0.0</v>
      </c>
      <c r="P646" s="84">
        <v>0.0</v>
      </c>
      <c r="Q646" s="84">
        <v>0.0</v>
      </c>
      <c r="R646" s="84">
        <v>0.0</v>
      </c>
      <c r="S646" s="84">
        <v>0.0</v>
      </c>
      <c r="T646" s="84">
        <v>0.0</v>
      </c>
      <c r="U646" s="84">
        <v>0.0</v>
      </c>
      <c r="V646" s="84">
        <v>0.0</v>
      </c>
      <c r="W646" s="84">
        <v>0.0</v>
      </c>
      <c r="X646" s="84">
        <v>0.0</v>
      </c>
      <c r="Y646" s="84">
        <v>6.0</v>
      </c>
      <c r="Z646" s="84">
        <v>3.0</v>
      </c>
      <c r="AA646" s="84">
        <v>0.0</v>
      </c>
      <c r="AB646" s="84">
        <v>0.0</v>
      </c>
      <c r="AC646" s="91">
        <v>0.0</v>
      </c>
      <c r="AD646" s="84">
        <v>0.0</v>
      </c>
      <c r="AE646" s="84">
        <v>0.0</v>
      </c>
      <c r="AF646" s="84">
        <v>0.0</v>
      </c>
      <c r="AG646" s="84">
        <v>0.0</v>
      </c>
      <c r="AH646" s="84">
        <v>0.0</v>
      </c>
      <c r="AI646" s="84">
        <v>0.0</v>
      </c>
      <c r="AJ646" s="84">
        <v>0.0</v>
      </c>
      <c r="AK646" s="84">
        <v>0.0</v>
      </c>
      <c r="AL646" s="84">
        <v>0.0</v>
      </c>
      <c r="AM646" s="84">
        <v>0.0</v>
      </c>
      <c r="AN646" s="93">
        <f t="shared" si="1"/>
        <v>0</v>
      </c>
      <c r="AO646" s="84">
        <f t="shared" si="2"/>
        <v>0</v>
      </c>
    </row>
    <row r="647" ht="12.75" customHeight="1">
      <c r="A647" s="84" t="s">
        <v>4286</v>
      </c>
      <c r="B647" s="84">
        <v>0.0</v>
      </c>
      <c r="C647" s="84">
        <v>0.0</v>
      </c>
      <c r="D647" s="84">
        <v>0.0</v>
      </c>
      <c r="E647" s="84">
        <v>0.0</v>
      </c>
      <c r="F647" s="84">
        <v>0.0</v>
      </c>
      <c r="G647" s="84">
        <v>0.0</v>
      </c>
      <c r="H647" s="84">
        <v>0.0</v>
      </c>
      <c r="I647" s="91">
        <v>0.0</v>
      </c>
      <c r="J647" s="84">
        <v>0.0</v>
      </c>
      <c r="K647" s="84">
        <v>0.0</v>
      </c>
      <c r="L647" s="84">
        <v>0.0</v>
      </c>
      <c r="M647" s="84">
        <v>0.0</v>
      </c>
      <c r="N647" s="84">
        <v>0.0</v>
      </c>
      <c r="O647" s="84">
        <v>0.0</v>
      </c>
      <c r="P647" s="84">
        <v>0.0</v>
      </c>
      <c r="Q647" s="84">
        <v>0.0</v>
      </c>
      <c r="R647" s="84">
        <v>0.0</v>
      </c>
      <c r="S647" s="84">
        <v>0.0</v>
      </c>
      <c r="T647" s="84">
        <v>0.0</v>
      </c>
      <c r="U647" s="84">
        <v>0.0</v>
      </c>
      <c r="V647" s="84">
        <v>0.0</v>
      </c>
      <c r="W647" s="84">
        <v>0.0</v>
      </c>
      <c r="X647" s="84">
        <v>0.0</v>
      </c>
      <c r="Y647" s="84">
        <v>0.0</v>
      </c>
      <c r="Z647" s="84">
        <v>0.0</v>
      </c>
      <c r="AA647" s="84">
        <v>0.0</v>
      </c>
      <c r="AB647" s="84">
        <v>0.0</v>
      </c>
      <c r="AC647" s="91">
        <v>0.0</v>
      </c>
      <c r="AD647" s="84">
        <v>0.0</v>
      </c>
      <c r="AE647" s="84">
        <v>0.0</v>
      </c>
      <c r="AF647" s="84">
        <v>0.0</v>
      </c>
      <c r="AG647" s="84">
        <v>0.0</v>
      </c>
      <c r="AH647" s="84">
        <v>0.0</v>
      </c>
      <c r="AI647" s="84">
        <v>0.0</v>
      </c>
      <c r="AJ647" s="84">
        <v>0.0</v>
      </c>
      <c r="AK647" s="84">
        <v>0.0</v>
      </c>
      <c r="AL647" s="84">
        <v>0.0</v>
      </c>
      <c r="AM647" s="84">
        <v>0.0</v>
      </c>
      <c r="AN647" s="93">
        <f t="shared" si="1"/>
        <v>0</v>
      </c>
      <c r="AO647" s="84">
        <f t="shared" si="2"/>
        <v>0</v>
      </c>
    </row>
    <row r="648" ht="12.75" customHeight="1">
      <c r="A648" s="84" t="s">
        <v>4623</v>
      </c>
      <c r="B648" s="84">
        <v>0.0</v>
      </c>
      <c r="C648" s="84">
        <v>0.0</v>
      </c>
      <c r="D648" s="84">
        <v>0.0</v>
      </c>
      <c r="E648" s="84">
        <v>0.0</v>
      </c>
      <c r="F648" s="84">
        <v>0.0</v>
      </c>
      <c r="G648" s="84">
        <v>0.0</v>
      </c>
      <c r="H648" s="84">
        <v>0.0</v>
      </c>
      <c r="I648" s="91">
        <v>0.0</v>
      </c>
      <c r="J648" s="84">
        <v>0.0</v>
      </c>
      <c r="K648" s="84">
        <v>0.0</v>
      </c>
      <c r="L648" s="84">
        <v>0.0</v>
      </c>
      <c r="M648" s="84">
        <v>0.0</v>
      </c>
      <c r="N648" s="84">
        <v>0.0</v>
      </c>
      <c r="O648" s="84">
        <v>0.0</v>
      </c>
      <c r="P648" s="84">
        <v>0.0</v>
      </c>
      <c r="Q648" s="84">
        <v>0.0</v>
      </c>
      <c r="R648" s="84">
        <v>0.0</v>
      </c>
      <c r="S648" s="84">
        <v>1.0</v>
      </c>
      <c r="T648" s="84">
        <v>0.0</v>
      </c>
      <c r="U648" s="84">
        <v>0.0</v>
      </c>
      <c r="V648" s="84">
        <v>0.0</v>
      </c>
      <c r="W648" s="84">
        <v>0.0</v>
      </c>
      <c r="X648" s="84">
        <v>0.0</v>
      </c>
      <c r="Y648" s="84">
        <v>0.0</v>
      </c>
      <c r="Z648" s="84">
        <v>0.0</v>
      </c>
      <c r="AA648" s="84">
        <v>0.0</v>
      </c>
      <c r="AB648" s="84">
        <v>0.0</v>
      </c>
      <c r="AC648" s="91">
        <v>0.0</v>
      </c>
      <c r="AD648" s="84">
        <v>0.0</v>
      </c>
      <c r="AE648" s="84">
        <v>0.0</v>
      </c>
      <c r="AF648" s="84">
        <v>0.0</v>
      </c>
      <c r="AG648" s="84">
        <v>0.0</v>
      </c>
      <c r="AH648" s="84">
        <v>0.0</v>
      </c>
      <c r="AI648" s="84">
        <v>0.0</v>
      </c>
      <c r="AJ648" s="84">
        <v>0.0</v>
      </c>
      <c r="AK648" s="84">
        <v>0.0</v>
      </c>
      <c r="AL648" s="84">
        <v>0.0</v>
      </c>
      <c r="AM648" s="84">
        <v>0.0</v>
      </c>
      <c r="AN648" s="93">
        <f t="shared" si="1"/>
        <v>0</v>
      </c>
      <c r="AO648" s="84">
        <f t="shared" si="2"/>
        <v>1</v>
      </c>
    </row>
    <row r="649" ht="12.75" customHeight="1">
      <c r="A649" s="84" t="s">
        <v>3906</v>
      </c>
      <c r="B649" s="84">
        <v>0.0</v>
      </c>
      <c r="C649" s="84">
        <v>0.0</v>
      </c>
      <c r="D649" s="84">
        <v>0.0</v>
      </c>
      <c r="E649" s="84">
        <v>0.0</v>
      </c>
      <c r="F649" s="84">
        <v>0.0</v>
      </c>
      <c r="G649" s="84">
        <v>0.0</v>
      </c>
      <c r="H649" s="84">
        <v>5.0</v>
      </c>
      <c r="I649" s="91">
        <v>0.0</v>
      </c>
      <c r="J649" s="84">
        <v>0.0</v>
      </c>
      <c r="K649" s="84">
        <v>0.0</v>
      </c>
      <c r="L649" s="84">
        <v>0.0</v>
      </c>
      <c r="M649" s="84">
        <v>0.0</v>
      </c>
      <c r="N649" s="84">
        <v>0.0</v>
      </c>
      <c r="O649" s="84">
        <v>0.0</v>
      </c>
      <c r="P649" s="84">
        <v>0.0</v>
      </c>
      <c r="Q649" s="84">
        <v>0.0</v>
      </c>
      <c r="R649" s="84">
        <v>0.0</v>
      </c>
      <c r="S649" s="84">
        <v>0.0</v>
      </c>
      <c r="T649" s="84">
        <v>0.0</v>
      </c>
      <c r="U649" s="84">
        <v>0.0</v>
      </c>
      <c r="V649" s="84">
        <v>0.0</v>
      </c>
      <c r="W649" s="84">
        <v>0.0</v>
      </c>
      <c r="X649" s="84">
        <v>0.0</v>
      </c>
      <c r="Y649" s="84">
        <v>0.0</v>
      </c>
      <c r="Z649" s="84">
        <v>0.0</v>
      </c>
      <c r="AA649" s="84">
        <v>0.0</v>
      </c>
      <c r="AB649" s="84">
        <v>7.0</v>
      </c>
      <c r="AC649" s="91">
        <v>0.0</v>
      </c>
      <c r="AD649" s="84">
        <v>0.0</v>
      </c>
      <c r="AE649" s="84">
        <v>0.0</v>
      </c>
      <c r="AF649" s="84">
        <v>0.0</v>
      </c>
      <c r="AG649" s="84">
        <v>0.0</v>
      </c>
      <c r="AH649" s="84">
        <v>0.0</v>
      </c>
      <c r="AI649" s="84">
        <v>0.0</v>
      </c>
      <c r="AJ649" s="84">
        <v>0.0</v>
      </c>
      <c r="AK649" s="84">
        <v>0.0</v>
      </c>
      <c r="AL649" s="84">
        <v>0.0</v>
      </c>
      <c r="AM649" s="84">
        <v>0.0</v>
      </c>
      <c r="AN649" s="93">
        <f t="shared" si="1"/>
        <v>0</v>
      </c>
      <c r="AO649" s="84">
        <f t="shared" si="2"/>
        <v>0</v>
      </c>
    </row>
    <row r="650" ht="12.75" customHeight="1">
      <c r="A650" s="84" t="s">
        <v>4667</v>
      </c>
      <c r="B650" s="84">
        <v>0.0</v>
      </c>
      <c r="C650" s="84">
        <v>0.0</v>
      </c>
      <c r="D650" s="84">
        <v>0.0</v>
      </c>
      <c r="E650" s="84">
        <v>0.0</v>
      </c>
      <c r="F650" s="84">
        <v>0.0</v>
      </c>
      <c r="G650" s="84">
        <v>0.0</v>
      </c>
      <c r="H650" s="84">
        <v>0.0</v>
      </c>
      <c r="I650" s="91">
        <v>0.0</v>
      </c>
      <c r="J650" s="84">
        <v>0.0</v>
      </c>
      <c r="K650" s="84">
        <v>0.0</v>
      </c>
      <c r="L650" s="84">
        <v>0.0</v>
      </c>
      <c r="M650" s="84">
        <v>0.0</v>
      </c>
      <c r="N650" s="84">
        <v>0.0</v>
      </c>
      <c r="O650" s="84">
        <v>0.0</v>
      </c>
      <c r="P650" s="84">
        <v>0.0</v>
      </c>
      <c r="Q650" s="84">
        <v>0.0</v>
      </c>
      <c r="R650" s="84">
        <v>0.0</v>
      </c>
      <c r="S650" s="84">
        <v>0.0</v>
      </c>
      <c r="T650" s="84">
        <v>0.0</v>
      </c>
      <c r="U650" s="84">
        <v>0.0</v>
      </c>
      <c r="V650" s="84">
        <v>0.0</v>
      </c>
      <c r="W650" s="84">
        <v>0.0</v>
      </c>
      <c r="X650" s="84">
        <v>0.0</v>
      </c>
      <c r="Y650" s="84">
        <v>0.0</v>
      </c>
      <c r="Z650" s="84">
        <v>0.0</v>
      </c>
      <c r="AA650" s="84">
        <v>0.0</v>
      </c>
      <c r="AB650" s="84">
        <v>0.0</v>
      </c>
      <c r="AC650" s="91">
        <v>0.0</v>
      </c>
      <c r="AD650" s="84">
        <v>0.0</v>
      </c>
      <c r="AE650" s="84">
        <v>0.0</v>
      </c>
      <c r="AF650" s="84">
        <v>0.0</v>
      </c>
      <c r="AG650" s="84">
        <v>0.0</v>
      </c>
      <c r="AH650" s="84">
        <v>0.0</v>
      </c>
      <c r="AI650" s="84">
        <v>0.0</v>
      </c>
      <c r="AJ650" s="84">
        <v>0.0</v>
      </c>
      <c r="AK650" s="84">
        <v>0.0</v>
      </c>
      <c r="AL650" s="84">
        <v>1.0</v>
      </c>
      <c r="AM650" s="84">
        <v>0.0</v>
      </c>
      <c r="AN650" s="93">
        <f t="shared" si="1"/>
        <v>0</v>
      </c>
      <c r="AO650" s="84">
        <f t="shared" si="2"/>
        <v>1</v>
      </c>
    </row>
    <row r="651" ht="12.75" customHeight="1">
      <c r="A651" s="84" t="s">
        <v>4656</v>
      </c>
      <c r="B651" s="84">
        <v>0.0</v>
      </c>
      <c r="C651" s="84">
        <v>0.0</v>
      </c>
      <c r="D651" s="84">
        <v>0.0</v>
      </c>
      <c r="E651" s="84">
        <v>0.0</v>
      </c>
      <c r="F651" s="84">
        <v>0.0</v>
      </c>
      <c r="G651" s="84">
        <v>0.0</v>
      </c>
      <c r="H651" s="84">
        <v>0.0</v>
      </c>
      <c r="I651" s="91">
        <v>0.0</v>
      </c>
      <c r="J651" s="84">
        <v>0.0</v>
      </c>
      <c r="K651" s="84">
        <v>0.0</v>
      </c>
      <c r="L651" s="84">
        <v>0.0</v>
      </c>
      <c r="M651" s="84">
        <v>0.0</v>
      </c>
      <c r="N651" s="84">
        <v>0.0</v>
      </c>
      <c r="O651" s="84">
        <v>0.0</v>
      </c>
      <c r="P651" s="84">
        <v>0.0</v>
      </c>
      <c r="Q651" s="84">
        <v>0.0</v>
      </c>
      <c r="R651" s="84">
        <v>0.0</v>
      </c>
      <c r="S651" s="84">
        <v>0.0</v>
      </c>
      <c r="T651" s="84">
        <v>0.0</v>
      </c>
      <c r="U651" s="84">
        <v>0.0</v>
      </c>
      <c r="V651" s="84">
        <v>0.0</v>
      </c>
      <c r="W651" s="84">
        <v>0.0</v>
      </c>
      <c r="X651" s="84">
        <v>0.0</v>
      </c>
      <c r="Y651" s="84">
        <v>0.0</v>
      </c>
      <c r="Z651" s="84">
        <v>0.0</v>
      </c>
      <c r="AA651" s="84">
        <v>0.0</v>
      </c>
      <c r="AB651" s="84">
        <v>0.0</v>
      </c>
      <c r="AC651" s="91">
        <v>0.0</v>
      </c>
      <c r="AD651" s="84">
        <v>0.0</v>
      </c>
      <c r="AE651" s="84">
        <v>0.0</v>
      </c>
      <c r="AF651" s="84">
        <v>0.0</v>
      </c>
      <c r="AG651" s="84">
        <v>0.0</v>
      </c>
      <c r="AH651" s="84">
        <v>0.0</v>
      </c>
      <c r="AI651" s="84">
        <v>0.0</v>
      </c>
      <c r="AJ651" s="84">
        <v>0.0</v>
      </c>
      <c r="AK651" s="84">
        <v>0.0</v>
      </c>
      <c r="AL651" s="84">
        <v>1.0</v>
      </c>
      <c r="AM651" s="84">
        <v>0.0</v>
      </c>
      <c r="AN651" s="93">
        <f t="shared" si="1"/>
        <v>0</v>
      </c>
      <c r="AO651" s="84">
        <f t="shared" si="2"/>
        <v>1</v>
      </c>
    </row>
    <row r="652" ht="12.75" customHeight="1">
      <c r="A652" s="84" t="s">
        <v>2882</v>
      </c>
      <c r="B652" s="84">
        <v>3.0</v>
      </c>
      <c r="C652" s="84">
        <v>1.0</v>
      </c>
      <c r="D652" s="84">
        <v>0.0</v>
      </c>
      <c r="E652" s="84">
        <v>0.0</v>
      </c>
      <c r="F652" s="84">
        <v>0.0</v>
      </c>
      <c r="G652" s="84">
        <v>0.0</v>
      </c>
      <c r="H652" s="84">
        <v>0.0</v>
      </c>
      <c r="I652" s="91">
        <v>0.0</v>
      </c>
      <c r="J652" s="84">
        <v>0.0</v>
      </c>
      <c r="K652" s="84">
        <v>0.0</v>
      </c>
      <c r="L652" s="84">
        <v>0.0</v>
      </c>
      <c r="M652" s="84">
        <v>0.0</v>
      </c>
      <c r="N652" s="84">
        <v>0.0</v>
      </c>
      <c r="O652" s="84">
        <v>0.0</v>
      </c>
      <c r="P652" s="84">
        <v>0.0</v>
      </c>
      <c r="Q652" s="84">
        <v>0.0</v>
      </c>
      <c r="R652" s="84">
        <v>0.0</v>
      </c>
      <c r="S652" s="84">
        <v>0.0</v>
      </c>
      <c r="T652" s="84">
        <v>0.0</v>
      </c>
      <c r="U652" s="84">
        <v>0.0</v>
      </c>
      <c r="V652" s="84">
        <v>3.0</v>
      </c>
      <c r="W652" s="84">
        <v>3.0</v>
      </c>
      <c r="X652" s="84">
        <v>0.0</v>
      </c>
      <c r="Y652" s="84">
        <v>0.0</v>
      </c>
      <c r="Z652" s="84">
        <v>0.0</v>
      </c>
      <c r="AA652" s="84">
        <v>0.0</v>
      </c>
      <c r="AB652" s="84">
        <v>0.0</v>
      </c>
      <c r="AC652" s="91">
        <v>0.0</v>
      </c>
      <c r="AD652" s="84">
        <v>0.0</v>
      </c>
      <c r="AE652" s="84">
        <v>0.0</v>
      </c>
      <c r="AF652" s="84">
        <v>0.0</v>
      </c>
      <c r="AG652" s="84">
        <v>0.0</v>
      </c>
      <c r="AH652" s="84">
        <v>0.0</v>
      </c>
      <c r="AI652" s="84">
        <v>0.0</v>
      </c>
      <c r="AJ652" s="84">
        <v>0.0</v>
      </c>
      <c r="AK652" s="84">
        <v>0.0</v>
      </c>
      <c r="AL652" s="84">
        <v>0.0</v>
      </c>
      <c r="AM652" s="84">
        <v>0.0</v>
      </c>
      <c r="AN652" s="93">
        <f t="shared" si="1"/>
        <v>0</v>
      </c>
      <c r="AO652" s="84">
        <f t="shared" si="2"/>
        <v>0</v>
      </c>
    </row>
    <row r="653" ht="12.75" customHeight="1">
      <c r="A653" s="84" t="s">
        <v>2654</v>
      </c>
      <c r="B653" s="84">
        <v>1.0</v>
      </c>
      <c r="C653" s="84">
        <v>0.0</v>
      </c>
      <c r="D653" s="84">
        <v>0.0</v>
      </c>
      <c r="E653" s="84">
        <v>0.0</v>
      </c>
      <c r="F653" s="84">
        <v>0.0</v>
      </c>
      <c r="G653" s="84">
        <v>0.0</v>
      </c>
      <c r="H653" s="84">
        <v>0.0</v>
      </c>
      <c r="I653" s="91">
        <v>0.0</v>
      </c>
      <c r="J653" s="84">
        <v>0.0</v>
      </c>
      <c r="K653" s="84">
        <v>0.0</v>
      </c>
      <c r="L653" s="84">
        <v>0.0</v>
      </c>
      <c r="M653" s="84">
        <v>0.0</v>
      </c>
      <c r="N653" s="84">
        <v>0.0</v>
      </c>
      <c r="O653" s="84">
        <v>0.0</v>
      </c>
      <c r="P653" s="84">
        <v>0.0</v>
      </c>
      <c r="Q653" s="84">
        <v>0.0</v>
      </c>
      <c r="R653" s="84">
        <v>0.0</v>
      </c>
      <c r="S653" s="84">
        <v>0.0</v>
      </c>
      <c r="T653" s="84">
        <v>0.0</v>
      </c>
      <c r="U653" s="84">
        <v>0.0</v>
      </c>
      <c r="V653" s="84">
        <v>3.0</v>
      </c>
      <c r="W653" s="84">
        <v>0.0</v>
      </c>
      <c r="X653" s="84">
        <v>0.0</v>
      </c>
      <c r="Y653" s="84">
        <v>0.0</v>
      </c>
      <c r="Z653" s="84">
        <v>0.0</v>
      </c>
      <c r="AA653" s="84">
        <v>0.0</v>
      </c>
      <c r="AB653" s="84">
        <v>0.0</v>
      </c>
      <c r="AC653" s="91">
        <v>0.0</v>
      </c>
      <c r="AD653" s="84">
        <v>0.0</v>
      </c>
      <c r="AE653" s="84">
        <v>0.0</v>
      </c>
      <c r="AF653" s="84">
        <v>0.0</v>
      </c>
      <c r="AG653" s="84">
        <v>0.0</v>
      </c>
      <c r="AH653" s="84">
        <v>0.0</v>
      </c>
      <c r="AI653" s="84">
        <v>0.0</v>
      </c>
      <c r="AJ653" s="84">
        <v>0.0</v>
      </c>
      <c r="AK653" s="84">
        <v>0.0</v>
      </c>
      <c r="AL653" s="84">
        <v>0.0</v>
      </c>
      <c r="AM653" s="84">
        <v>0.0</v>
      </c>
      <c r="AN653" s="93">
        <f t="shared" si="1"/>
        <v>0</v>
      </c>
      <c r="AO653" s="84">
        <f t="shared" si="2"/>
        <v>0</v>
      </c>
    </row>
    <row r="654" ht="12.75" customHeight="1">
      <c r="A654" s="84" t="s">
        <v>3663</v>
      </c>
      <c r="B654" s="84">
        <v>0.0</v>
      </c>
      <c r="C654" s="84">
        <v>0.0</v>
      </c>
      <c r="D654" s="84">
        <v>0.0</v>
      </c>
      <c r="E654" s="84">
        <v>0.0</v>
      </c>
      <c r="F654" s="84">
        <v>5.0</v>
      </c>
      <c r="G654" s="84">
        <v>1.0</v>
      </c>
      <c r="H654" s="84">
        <v>0.0</v>
      </c>
      <c r="I654" s="91">
        <v>0.0</v>
      </c>
      <c r="J654" s="84">
        <v>0.0</v>
      </c>
      <c r="K654" s="84">
        <v>0.0</v>
      </c>
      <c r="L654" s="84">
        <v>0.0</v>
      </c>
      <c r="M654" s="84">
        <v>0.0</v>
      </c>
      <c r="N654" s="84">
        <v>0.0</v>
      </c>
      <c r="O654" s="84">
        <v>0.0</v>
      </c>
      <c r="P654" s="84">
        <v>0.0</v>
      </c>
      <c r="Q654" s="84">
        <v>0.0</v>
      </c>
      <c r="R654" s="84">
        <v>0.0</v>
      </c>
      <c r="S654" s="84">
        <v>0.0</v>
      </c>
      <c r="T654" s="84">
        <v>0.0</v>
      </c>
      <c r="U654" s="84">
        <v>0.0</v>
      </c>
      <c r="V654" s="84">
        <v>0.0</v>
      </c>
      <c r="W654" s="84">
        <v>0.0</v>
      </c>
      <c r="X654" s="84">
        <v>0.0</v>
      </c>
      <c r="Y654" s="84">
        <v>0.0</v>
      </c>
      <c r="Z654" s="84">
        <v>6.0</v>
      </c>
      <c r="AA654" s="84">
        <v>2.0</v>
      </c>
      <c r="AB654" s="84">
        <v>0.0</v>
      </c>
      <c r="AC654" s="91">
        <v>0.0</v>
      </c>
      <c r="AD654" s="84">
        <v>0.0</v>
      </c>
      <c r="AE654" s="84">
        <v>0.0</v>
      </c>
      <c r="AF654" s="84">
        <v>0.0</v>
      </c>
      <c r="AG654" s="84">
        <v>0.0</v>
      </c>
      <c r="AH654" s="84">
        <v>0.0</v>
      </c>
      <c r="AI654" s="84">
        <v>0.0</v>
      </c>
      <c r="AJ654" s="84">
        <v>0.0</v>
      </c>
      <c r="AK654" s="84">
        <v>0.0</v>
      </c>
      <c r="AL654" s="84">
        <v>0.0</v>
      </c>
      <c r="AM654" s="84">
        <v>0.0</v>
      </c>
      <c r="AN654" s="93">
        <f t="shared" si="1"/>
        <v>0</v>
      </c>
      <c r="AO654" s="84">
        <f t="shared" si="2"/>
        <v>0</v>
      </c>
    </row>
    <row r="655" ht="12.75" customHeight="1">
      <c r="A655" s="84" t="s">
        <v>3254</v>
      </c>
      <c r="B655" s="84">
        <v>0.0</v>
      </c>
      <c r="C655" s="84">
        <v>7.0</v>
      </c>
      <c r="D655" s="84">
        <v>4.0</v>
      </c>
      <c r="E655" s="84">
        <v>0.0</v>
      </c>
      <c r="F655" s="84">
        <v>0.0</v>
      </c>
      <c r="G655" s="84">
        <v>0.0</v>
      </c>
      <c r="H655" s="84">
        <v>0.0</v>
      </c>
      <c r="I655" s="91">
        <v>0.0</v>
      </c>
      <c r="J655" s="84">
        <v>0.0</v>
      </c>
      <c r="K655" s="84">
        <v>0.0</v>
      </c>
      <c r="L655" s="84">
        <v>0.0</v>
      </c>
      <c r="M655" s="84">
        <v>0.0</v>
      </c>
      <c r="N655" s="84">
        <v>0.0</v>
      </c>
      <c r="O655" s="84">
        <v>0.0</v>
      </c>
      <c r="P655" s="84">
        <v>0.0</v>
      </c>
      <c r="Q655" s="84">
        <v>0.0</v>
      </c>
      <c r="R655" s="84">
        <v>0.0</v>
      </c>
      <c r="S655" s="84">
        <v>0.0</v>
      </c>
      <c r="T655" s="84">
        <v>0.0</v>
      </c>
      <c r="U655" s="84">
        <v>0.0</v>
      </c>
      <c r="V655" s="84">
        <v>0.0</v>
      </c>
      <c r="W655" s="84">
        <v>3.0</v>
      </c>
      <c r="X655" s="84">
        <v>5.0</v>
      </c>
      <c r="Y655" s="84">
        <v>0.0</v>
      </c>
      <c r="Z655" s="84">
        <v>0.0</v>
      </c>
      <c r="AA655" s="84">
        <v>0.0</v>
      </c>
      <c r="AB655" s="84">
        <v>0.0</v>
      </c>
      <c r="AC655" s="91">
        <v>0.0</v>
      </c>
      <c r="AD655" s="84">
        <v>0.0</v>
      </c>
      <c r="AE655" s="84">
        <v>0.0</v>
      </c>
      <c r="AF655" s="84">
        <v>0.0</v>
      </c>
      <c r="AG655" s="84">
        <v>0.0</v>
      </c>
      <c r="AH655" s="84">
        <v>0.0</v>
      </c>
      <c r="AI655" s="84">
        <v>0.0</v>
      </c>
      <c r="AJ655" s="84">
        <v>0.0</v>
      </c>
      <c r="AK655" s="84">
        <v>0.0</v>
      </c>
      <c r="AL655" s="84">
        <v>0.0</v>
      </c>
      <c r="AM655" s="84">
        <v>0.0</v>
      </c>
      <c r="AN655" s="93">
        <f t="shared" si="1"/>
        <v>0</v>
      </c>
      <c r="AO655" s="84">
        <f t="shared" si="2"/>
        <v>0</v>
      </c>
    </row>
    <row r="656" ht="12.75" customHeight="1">
      <c r="A656" s="84" t="s">
        <v>4597</v>
      </c>
      <c r="B656" s="84">
        <v>0.0</v>
      </c>
      <c r="C656" s="84">
        <v>0.0</v>
      </c>
      <c r="D656" s="84">
        <v>0.0</v>
      </c>
      <c r="E656" s="84">
        <v>0.0</v>
      </c>
      <c r="F656" s="84">
        <v>0.0</v>
      </c>
      <c r="G656" s="84">
        <v>0.0</v>
      </c>
      <c r="H656" s="84">
        <v>0.0</v>
      </c>
      <c r="I656" s="91">
        <v>0.0</v>
      </c>
      <c r="J656" s="84">
        <v>0.0</v>
      </c>
      <c r="K656" s="84">
        <v>0.0</v>
      </c>
      <c r="L656" s="84">
        <v>0.0</v>
      </c>
      <c r="M656" s="84">
        <v>0.0</v>
      </c>
      <c r="N656" s="84">
        <v>0.0</v>
      </c>
      <c r="O656" s="84">
        <v>0.0</v>
      </c>
      <c r="P656" s="84">
        <v>0.0</v>
      </c>
      <c r="Q656" s="84">
        <v>0.0</v>
      </c>
      <c r="R656" s="84">
        <v>1.0</v>
      </c>
      <c r="S656" s="84">
        <v>0.0</v>
      </c>
      <c r="T656" s="84">
        <v>0.0</v>
      </c>
      <c r="U656" s="84">
        <v>0.0</v>
      </c>
      <c r="V656" s="84">
        <v>0.0</v>
      </c>
      <c r="W656" s="84">
        <v>0.0</v>
      </c>
      <c r="X656" s="84">
        <v>0.0</v>
      </c>
      <c r="Y656" s="84">
        <v>0.0</v>
      </c>
      <c r="Z656" s="84">
        <v>0.0</v>
      </c>
      <c r="AA656" s="84">
        <v>0.0</v>
      </c>
      <c r="AB656" s="84">
        <v>0.0</v>
      </c>
      <c r="AC656" s="91">
        <v>0.0</v>
      </c>
      <c r="AD656" s="84">
        <v>0.0</v>
      </c>
      <c r="AE656" s="84">
        <v>0.0</v>
      </c>
      <c r="AF656" s="84">
        <v>0.0</v>
      </c>
      <c r="AG656" s="84">
        <v>0.0</v>
      </c>
      <c r="AH656" s="84">
        <v>0.0</v>
      </c>
      <c r="AI656" s="84">
        <v>0.0</v>
      </c>
      <c r="AJ656" s="84">
        <v>0.0</v>
      </c>
      <c r="AK656" s="84">
        <v>0.0</v>
      </c>
      <c r="AL656" s="84">
        <v>0.0</v>
      </c>
      <c r="AM656" s="84">
        <v>0.0</v>
      </c>
      <c r="AN656" s="93">
        <f t="shared" si="1"/>
        <v>0</v>
      </c>
      <c r="AO656" s="84">
        <f t="shared" si="2"/>
        <v>1</v>
      </c>
    </row>
    <row r="657" ht="12.75" customHeight="1">
      <c r="A657" s="84" t="s">
        <v>4670</v>
      </c>
      <c r="B657" s="84">
        <v>0.0</v>
      </c>
      <c r="C657" s="84">
        <v>0.0</v>
      </c>
      <c r="D657" s="84">
        <v>0.0</v>
      </c>
      <c r="E657" s="84">
        <v>0.0</v>
      </c>
      <c r="F657" s="84">
        <v>0.0</v>
      </c>
      <c r="G657" s="84">
        <v>0.0</v>
      </c>
      <c r="H657" s="84">
        <v>0.0</v>
      </c>
      <c r="I657" s="91">
        <v>0.0</v>
      </c>
      <c r="J657" s="84">
        <v>0.0</v>
      </c>
      <c r="K657" s="84">
        <v>0.0</v>
      </c>
      <c r="L657" s="84">
        <v>0.0</v>
      </c>
      <c r="M657" s="84">
        <v>0.0</v>
      </c>
      <c r="N657" s="84">
        <v>0.0</v>
      </c>
      <c r="O657" s="84">
        <v>0.0</v>
      </c>
      <c r="P657" s="84">
        <v>0.0</v>
      </c>
      <c r="Q657" s="84">
        <v>0.0</v>
      </c>
      <c r="R657" s="84">
        <v>0.0</v>
      </c>
      <c r="S657" s="84">
        <v>0.0</v>
      </c>
      <c r="T657" s="84">
        <v>0.0</v>
      </c>
      <c r="U657" s="84">
        <v>1.0</v>
      </c>
      <c r="V657" s="84">
        <v>0.0</v>
      </c>
      <c r="W657" s="84">
        <v>0.0</v>
      </c>
      <c r="X657" s="84">
        <v>0.0</v>
      </c>
      <c r="Y657" s="84">
        <v>0.0</v>
      </c>
      <c r="Z657" s="84">
        <v>0.0</v>
      </c>
      <c r="AA657" s="84">
        <v>0.0</v>
      </c>
      <c r="AB657" s="84">
        <v>0.0</v>
      </c>
      <c r="AC657" s="91">
        <v>0.0</v>
      </c>
      <c r="AD657" s="84">
        <v>0.0</v>
      </c>
      <c r="AE657" s="84">
        <v>0.0</v>
      </c>
      <c r="AF657" s="84">
        <v>0.0</v>
      </c>
      <c r="AG657" s="84">
        <v>0.0</v>
      </c>
      <c r="AH657" s="84">
        <v>0.0</v>
      </c>
      <c r="AI657" s="84">
        <v>0.0</v>
      </c>
      <c r="AJ657" s="84">
        <v>0.0</v>
      </c>
      <c r="AK657" s="84">
        <v>0.0</v>
      </c>
      <c r="AL657" s="84">
        <v>0.0</v>
      </c>
      <c r="AM657" s="84">
        <v>0.0</v>
      </c>
      <c r="AN657" s="93">
        <f t="shared" si="1"/>
        <v>0</v>
      </c>
      <c r="AO657" s="84">
        <f t="shared" si="2"/>
        <v>1</v>
      </c>
    </row>
    <row r="658" ht="12.75" customHeight="1">
      <c r="A658" s="84" t="s">
        <v>4675</v>
      </c>
      <c r="B658" s="84">
        <v>0.0</v>
      </c>
      <c r="C658" s="84">
        <v>0.0</v>
      </c>
      <c r="D658" s="84">
        <v>0.0</v>
      </c>
      <c r="E658" s="84">
        <v>0.0</v>
      </c>
      <c r="F658" s="84">
        <v>0.0</v>
      </c>
      <c r="G658" s="84">
        <v>0.0</v>
      </c>
      <c r="H658" s="84">
        <v>0.0</v>
      </c>
      <c r="I658" s="91">
        <v>0.0</v>
      </c>
      <c r="J658" s="84">
        <v>0.0</v>
      </c>
      <c r="K658" s="84">
        <v>0.0</v>
      </c>
      <c r="L658" s="84">
        <v>0.0</v>
      </c>
      <c r="M658" s="84">
        <v>0.0</v>
      </c>
      <c r="N658" s="84">
        <v>0.0</v>
      </c>
      <c r="O658" s="84">
        <v>0.0</v>
      </c>
      <c r="P658" s="84">
        <v>0.0</v>
      </c>
      <c r="Q658" s="84">
        <v>0.0</v>
      </c>
      <c r="R658" s="84">
        <v>0.0</v>
      </c>
      <c r="S658" s="84">
        <v>0.0</v>
      </c>
      <c r="T658" s="84">
        <v>0.0</v>
      </c>
      <c r="U658" s="84">
        <v>1.0</v>
      </c>
      <c r="V658" s="84">
        <v>0.0</v>
      </c>
      <c r="W658" s="84">
        <v>0.0</v>
      </c>
      <c r="X658" s="84">
        <v>0.0</v>
      </c>
      <c r="Y658" s="84">
        <v>0.0</v>
      </c>
      <c r="Z658" s="84">
        <v>0.0</v>
      </c>
      <c r="AA658" s="84">
        <v>0.0</v>
      </c>
      <c r="AB658" s="84">
        <v>0.0</v>
      </c>
      <c r="AC658" s="91">
        <v>0.0</v>
      </c>
      <c r="AD658" s="84">
        <v>0.0</v>
      </c>
      <c r="AE658" s="84">
        <v>0.0</v>
      </c>
      <c r="AF658" s="84">
        <v>0.0</v>
      </c>
      <c r="AG658" s="84">
        <v>0.0</v>
      </c>
      <c r="AH658" s="84">
        <v>0.0</v>
      </c>
      <c r="AI658" s="84">
        <v>0.0</v>
      </c>
      <c r="AJ658" s="84">
        <v>0.0</v>
      </c>
      <c r="AK658" s="84">
        <v>0.0</v>
      </c>
      <c r="AL658" s="84">
        <v>0.0</v>
      </c>
      <c r="AM658" s="84">
        <v>0.0</v>
      </c>
      <c r="AN658" s="93">
        <f t="shared" si="1"/>
        <v>0</v>
      </c>
      <c r="AO658" s="84">
        <f t="shared" si="2"/>
        <v>1</v>
      </c>
    </row>
    <row r="659" ht="12.75" customHeight="1">
      <c r="A659" s="84" t="s">
        <v>4578</v>
      </c>
      <c r="B659" s="84">
        <v>0.0</v>
      </c>
      <c r="C659" s="84">
        <v>0.0</v>
      </c>
      <c r="D659" s="84">
        <v>0.0</v>
      </c>
      <c r="E659" s="84">
        <v>0.0</v>
      </c>
      <c r="F659" s="84">
        <v>0.0</v>
      </c>
      <c r="G659" s="84">
        <v>0.0</v>
      </c>
      <c r="H659" s="84">
        <v>0.0</v>
      </c>
      <c r="I659" s="91">
        <v>0.0</v>
      </c>
      <c r="J659" s="84">
        <v>0.0</v>
      </c>
      <c r="K659" s="84">
        <v>0.0</v>
      </c>
      <c r="L659" s="84">
        <v>0.0</v>
      </c>
      <c r="M659" s="84">
        <v>0.0</v>
      </c>
      <c r="N659" s="84">
        <v>0.0</v>
      </c>
      <c r="O659" s="84">
        <v>0.0</v>
      </c>
      <c r="P659" s="84">
        <v>0.0</v>
      </c>
      <c r="Q659" s="84">
        <v>1.0</v>
      </c>
      <c r="R659" s="84">
        <v>0.0</v>
      </c>
      <c r="S659" s="84">
        <v>0.0</v>
      </c>
      <c r="T659" s="84">
        <v>0.0</v>
      </c>
      <c r="U659" s="84">
        <v>0.0</v>
      </c>
      <c r="V659" s="84">
        <v>0.0</v>
      </c>
      <c r="W659" s="84">
        <v>0.0</v>
      </c>
      <c r="X659" s="84">
        <v>0.0</v>
      </c>
      <c r="Y659" s="84">
        <v>0.0</v>
      </c>
      <c r="Z659" s="84">
        <v>0.0</v>
      </c>
      <c r="AA659" s="84">
        <v>0.0</v>
      </c>
      <c r="AB659" s="84">
        <v>0.0</v>
      </c>
      <c r="AC659" s="91">
        <v>0.0</v>
      </c>
      <c r="AD659" s="84">
        <v>0.0</v>
      </c>
      <c r="AE659" s="84">
        <v>0.0</v>
      </c>
      <c r="AF659" s="84">
        <v>0.0</v>
      </c>
      <c r="AG659" s="84">
        <v>0.0</v>
      </c>
      <c r="AH659" s="84">
        <v>0.0</v>
      </c>
      <c r="AI659" s="84">
        <v>0.0</v>
      </c>
      <c r="AJ659" s="84">
        <v>0.0</v>
      </c>
      <c r="AK659" s="84">
        <v>0.0</v>
      </c>
      <c r="AL659" s="84">
        <v>0.0</v>
      </c>
      <c r="AM659" s="84">
        <v>0.0</v>
      </c>
      <c r="AN659" s="93">
        <f t="shared" si="1"/>
        <v>0</v>
      </c>
      <c r="AO659" s="84">
        <f t="shared" si="2"/>
        <v>1</v>
      </c>
    </row>
    <row r="660" ht="12.75" customHeight="1">
      <c r="A660" s="84" t="s">
        <v>4465</v>
      </c>
      <c r="B660" s="84">
        <v>0.0</v>
      </c>
      <c r="C660" s="84">
        <v>0.0</v>
      </c>
      <c r="D660" s="84">
        <v>0.0</v>
      </c>
      <c r="E660" s="84">
        <v>0.0</v>
      </c>
      <c r="F660" s="84">
        <v>0.0</v>
      </c>
      <c r="G660" s="84">
        <v>0.0</v>
      </c>
      <c r="H660" s="84">
        <v>0.0</v>
      </c>
      <c r="I660" s="91">
        <v>0.0</v>
      </c>
      <c r="J660" s="84">
        <v>0.0</v>
      </c>
      <c r="K660" s="84">
        <v>0.0</v>
      </c>
      <c r="L660" s="84">
        <v>0.0</v>
      </c>
      <c r="M660" s="84">
        <v>0.0</v>
      </c>
      <c r="N660" s="84">
        <v>0.0</v>
      </c>
      <c r="O660" s="84">
        <v>0.0</v>
      </c>
      <c r="P660" s="84">
        <v>0.0</v>
      </c>
      <c r="Q660" s="84">
        <v>0.0</v>
      </c>
      <c r="R660" s="84">
        <v>0.0</v>
      </c>
      <c r="S660" s="84">
        <v>0.0</v>
      </c>
      <c r="T660" s="84">
        <v>0.0</v>
      </c>
      <c r="U660" s="84">
        <v>0.0</v>
      </c>
      <c r="V660" s="84">
        <v>0.0</v>
      </c>
      <c r="W660" s="84">
        <v>0.0</v>
      </c>
      <c r="X660" s="84">
        <v>0.0</v>
      </c>
      <c r="Y660" s="84">
        <v>0.0</v>
      </c>
      <c r="Z660" s="84">
        <v>0.0</v>
      </c>
      <c r="AA660" s="84">
        <v>0.0</v>
      </c>
      <c r="AB660" s="84">
        <v>0.0</v>
      </c>
      <c r="AC660" s="91">
        <v>0.0</v>
      </c>
      <c r="AD660" s="84">
        <v>1.0</v>
      </c>
      <c r="AE660" s="84">
        <v>0.0</v>
      </c>
      <c r="AF660" s="84">
        <v>0.0</v>
      </c>
      <c r="AG660" s="84">
        <v>0.0</v>
      </c>
      <c r="AH660" s="84">
        <v>0.0</v>
      </c>
      <c r="AI660" s="84">
        <v>0.0</v>
      </c>
      <c r="AJ660" s="84">
        <v>0.0</v>
      </c>
      <c r="AK660" s="84">
        <v>0.0</v>
      </c>
      <c r="AL660" s="84">
        <v>0.0</v>
      </c>
      <c r="AM660" s="84">
        <v>0.0</v>
      </c>
      <c r="AN660" s="93">
        <f t="shared" si="1"/>
        <v>0</v>
      </c>
      <c r="AO660" s="84">
        <f t="shared" si="2"/>
        <v>1</v>
      </c>
    </row>
    <row r="661" ht="12.75" customHeight="1">
      <c r="A661" s="84" t="s">
        <v>4691</v>
      </c>
      <c r="B661" s="84">
        <v>0.0</v>
      </c>
      <c r="C661" s="84">
        <v>0.0</v>
      </c>
      <c r="D661" s="84">
        <v>0.0</v>
      </c>
      <c r="E661" s="84">
        <v>0.0</v>
      </c>
      <c r="F661" s="84">
        <v>0.0</v>
      </c>
      <c r="G661" s="84">
        <v>0.0</v>
      </c>
      <c r="H661" s="84">
        <v>0.0</v>
      </c>
      <c r="I661" s="91">
        <v>0.0</v>
      </c>
      <c r="J661" s="84">
        <v>0.0</v>
      </c>
      <c r="K661" s="84">
        <v>0.0</v>
      </c>
      <c r="L661" s="84">
        <v>0.0</v>
      </c>
      <c r="M661" s="84">
        <v>0.0</v>
      </c>
      <c r="N661" s="84">
        <v>0.0</v>
      </c>
      <c r="O661" s="84">
        <v>0.0</v>
      </c>
      <c r="P661" s="84">
        <v>0.0</v>
      </c>
      <c r="Q661" s="84">
        <v>0.0</v>
      </c>
      <c r="R661" s="84">
        <v>0.0</v>
      </c>
      <c r="S661" s="84">
        <v>0.0</v>
      </c>
      <c r="T661" s="84">
        <v>0.0</v>
      </c>
      <c r="U661" s="84">
        <v>0.0</v>
      </c>
      <c r="V661" s="84">
        <v>0.0</v>
      </c>
      <c r="W661" s="84">
        <v>0.0</v>
      </c>
      <c r="X661" s="84">
        <v>0.0</v>
      </c>
      <c r="Y661" s="84">
        <v>0.0</v>
      </c>
      <c r="Z661" s="84">
        <v>0.0</v>
      </c>
      <c r="AA661" s="84">
        <v>0.0</v>
      </c>
      <c r="AB661" s="84">
        <v>0.0</v>
      </c>
      <c r="AC661" s="91">
        <v>0.0</v>
      </c>
      <c r="AD661" s="84">
        <v>0.0</v>
      </c>
      <c r="AE661" s="84">
        <v>0.0</v>
      </c>
      <c r="AF661" s="84">
        <v>0.0</v>
      </c>
      <c r="AG661" s="84">
        <v>0.0</v>
      </c>
      <c r="AH661" s="84">
        <v>0.0</v>
      </c>
      <c r="AI661" s="84">
        <v>0.0</v>
      </c>
      <c r="AJ661" s="84">
        <v>0.0</v>
      </c>
      <c r="AK661" s="84">
        <v>0.0</v>
      </c>
      <c r="AL661" s="84">
        <v>0.0</v>
      </c>
      <c r="AM661" s="84">
        <v>1.0</v>
      </c>
      <c r="AN661" s="93">
        <f t="shared" si="1"/>
        <v>0</v>
      </c>
      <c r="AO661" s="84">
        <f t="shared" si="2"/>
        <v>1</v>
      </c>
    </row>
    <row r="662" ht="12.75" customHeight="1">
      <c r="A662" s="84" t="s">
        <v>3957</v>
      </c>
      <c r="B662" s="84">
        <v>0.0</v>
      </c>
      <c r="C662" s="84">
        <v>0.0</v>
      </c>
      <c r="D662" s="84">
        <v>0.0</v>
      </c>
      <c r="E662" s="84">
        <v>0.0</v>
      </c>
      <c r="F662" s="84">
        <v>0.0</v>
      </c>
      <c r="G662" s="84">
        <v>0.0</v>
      </c>
      <c r="H662" s="84">
        <v>0.0</v>
      </c>
      <c r="I662" s="91">
        <v>0.0</v>
      </c>
      <c r="J662" s="84">
        <v>0.0</v>
      </c>
      <c r="K662" s="84">
        <v>3.0</v>
      </c>
      <c r="L662" s="84">
        <v>0.0</v>
      </c>
      <c r="M662" s="84">
        <v>0.0</v>
      </c>
      <c r="N662" s="84">
        <v>0.0</v>
      </c>
      <c r="O662" s="84">
        <v>0.0</v>
      </c>
      <c r="P662" s="84">
        <v>0.0</v>
      </c>
      <c r="Q662" s="84">
        <v>0.0</v>
      </c>
      <c r="R662" s="84">
        <v>0.0</v>
      </c>
      <c r="S662" s="84">
        <v>0.0</v>
      </c>
      <c r="T662" s="84">
        <v>0.0</v>
      </c>
      <c r="U662" s="84">
        <v>0.0</v>
      </c>
      <c r="V662" s="84">
        <v>0.0</v>
      </c>
      <c r="W662" s="84">
        <v>0.0</v>
      </c>
      <c r="X662" s="84">
        <v>0.0</v>
      </c>
      <c r="Y662" s="84">
        <v>0.0</v>
      </c>
      <c r="Z662" s="84">
        <v>0.0</v>
      </c>
      <c r="AA662" s="84">
        <v>0.0</v>
      </c>
      <c r="AB662" s="84">
        <v>1.0</v>
      </c>
      <c r="AC662" s="91">
        <v>0.0</v>
      </c>
      <c r="AD662" s="84">
        <v>0.0</v>
      </c>
      <c r="AE662" s="84">
        <v>0.0</v>
      </c>
      <c r="AF662" s="84">
        <v>0.0</v>
      </c>
      <c r="AG662" s="84">
        <v>0.0</v>
      </c>
      <c r="AH662" s="84">
        <v>0.0</v>
      </c>
      <c r="AI662" s="84">
        <v>0.0</v>
      </c>
      <c r="AJ662" s="84">
        <v>0.0</v>
      </c>
      <c r="AK662" s="84">
        <v>0.0</v>
      </c>
      <c r="AL662" s="84">
        <v>0.0</v>
      </c>
      <c r="AM662" s="84">
        <v>0.0</v>
      </c>
      <c r="AN662" s="93">
        <f t="shared" si="1"/>
        <v>0</v>
      </c>
      <c r="AO662" s="84">
        <f t="shared" si="2"/>
        <v>0</v>
      </c>
    </row>
    <row r="663" ht="12.75" customHeight="1">
      <c r="A663" s="84" t="s">
        <v>4683</v>
      </c>
      <c r="B663" s="84">
        <v>0.0</v>
      </c>
      <c r="C663" s="84">
        <v>0.0</v>
      </c>
      <c r="D663" s="84">
        <v>0.0</v>
      </c>
      <c r="E663" s="84">
        <v>0.0</v>
      </c>
      <c r="F663" s="84">
        <v>0.0</v>
      </c>
      <c r="G663" s="84">
        <v>0.0</v>
      </c>
      <c r="H663" s="84">
        <v>0.0</v>
      </c>
      <c r="I663" s="91">
        <v>0.0</v>
      </c>
      <c r="J663" s="84">
        <v>0.0</v>
      </c>
      <c r="K663" s="84">
        <v>0.0</v>
      </c>
      <c r="L663" s="84">
        <v>0.0</v>
      </c>
      <c r="M663" s="84">
        <v>0.0</v>
      </c>
      <c r="N663" s="84">
        <v>0.0</v>
      </c>
      <c r="O663" s="84">
        <v>0.0</v>
      </c>
      <c r="P663" s="84">
        <v>0.0</v>
      </c>
      <c r="Q663" s="84">
        <v>0.0</v>
      </c>
      <c r="R663" s="84">
        <v>0.0</v>
      </c>
      <c r="S663" s="84">
        <v>0.0</v>
      </c>
      <c r="T663" s="84">
        <v>0.0</v>
      </c>
      <c r="U663" s="84">
        <v>0.0</v>
      </c>
      <c r="V663" s="84">
        <v>0.0</v>
      </c>
      <c r="W663" s="84">
        <v>0.0</v>
      </c>
      <c r="X663" s="84">
        <v>0.0</v>
      </c>
      <c r="Y663" s="84">
        <v>0.0</v>
      </c>
      <c r="Z663" s="84">
        <v>0.0</v>
      </c>
      <c r="AA663" s="84">
        <v>0.0</v>
      </c>
      <c r="AB663" s="84">
        <v>0.0</v>
      </c>
      <c r="AC663" s="91">
        <v>0.0</v>
      </c>
      <c r="AD663" s="84">
        <v>0.0</v>
      </c>
      <c r="AE663" s="84">
        <v>0.0</v>
      </c>
      <c r="AF663" s="84">
        <v>0.0</v>
      </c>
      <c r="AG663" s="84">
        <v>0.0</v>
      </c>
      <c r="AH663" s="84">
        <v>0.0</v>
      </c>
      <c r="AI663" s="84">
        <v>0.0</v>
      </c>
      <c r="AJ663" s="84">
        <v>0.0</v>
      </c>
      <c r="AK663" s="84">
        <v>0.0</v>
      </c>
      <c r="AL663" s="84">
        <v>0.0</v>
      </c>
      <c r="AM663" s="84">
        <v>1.0</v>
      </c>
      <c r="AN663" s="93">
        <f t="shared" si="1"/>
        <v>0</v>
      </c>
      <c r="AO663" s="84">
        <f t="shared" si="2"/>
        <v>1</v>
      </c>
    </row>
    <row r="664" ht="12.75" customHeight="1">
      <c r="A664" s="84" t="s">
        <v>4684</v>
      </c>
      <c r="B664" s="84">
        <v>0.0</v>
      </c>
      <c r="C664" s="84">
        <v>0.0</v>
      </c>
      <c r="D664" s="84">
        <v>0.0</v>
      </c>
      <c r="E664" s="84">
        <v>0.0</v>
      </c>
      <c r="F664" s="84">
        <v>0.0</v>
      </c>
      <c r="G664" s="84">
        <v>0.0</v>
      </c>
      <c r="H664" s="84">
        <v>0.0</v>
      </c>
      <c r="I664" s="91">
        <v>0.0</v>
      </c>
      <c r="J664" s="84">
        <v>0.0</v>
      </c>
      <c r="K664" s="84">
        <v>0.0</v>
      </c>
      <c r="L664" s="84">
        <v>0.0</v>
      </c>
      <c r="M664" s="84">
        <v>0.0</v>
      </c>
      <c r="N664" s="84">
        <v>0.0</v>
      </c>
      <c r="O664" s="84">
        <v>0.0</v>
      </c>
      <c r="P664" s="84">
        <v>0.0</v>
      </c>
      <c r="Q664" s="84">
        <v>0.0</v>
      </c>
      <c r="R664" s="84">
        <v>0.0</v>
      </c>
      <c r="S664" s="84">
        <v>0.0</v>
      </c>
      <c r="T664" s="84">
        <v>0.0</v>
      </c>
      <c r="U664" s="84">
        <v>0.0</v>
      </c>
      <c r="V664" s="84">
        <v>0.0</v>
      </c>
      <c r="W664" s="84">
        <v>0.0</v>
      </c>
      <c r="X664" s="84">
        <v>0.0</v>
      </c>
      <c r="Y664" s="84">
        <v>0.0</v>
      </c>
      <c r="Z664" s="84">
        <v>0.0</v>
      </c>
      <c r="AA664" s="84">
        <v>0.0</v>
      </c>
      <c r="AB664" s="84">
        <v>0.0</v>
      </c>
      <c r="AC664" s="91">
        <v>0.0</v>
      </c>
      <c r="AD664" s="84">
        <v>0.0</v>
      </c>
      <c r="AE664" s="84">
        <v>0.0</v>
      </c>
      <c r="AF664" s="84">
        <v>0.0</v>
      </c>
      <c r="AG664" s="84">
        <v>0.0</v>
      </c>
      <c r="AH664" s="84">
        <v>0.0</v>
      </c>
      <c r="AI664" s="84">
        <v>0.0</v>
      </c>
      <c r="AJ664" s="84">
        <v>0.0</v>
      </c>
      <c r="AK664" s="84">
        <v>0.0</v>
      </c>
      <c r="AL664" s="84">
        <v>0.0</v>
      </c>
      <c r="AM664" s="84">
        <v>1.0</v>
      </c>
      <c r="AN664" s="93">
        <f t="shared" si="1"/>
        <v>0</v>
      </c>
      <c r="AO664" s="84">
        <f t="shared" si="2"/>
        <v>1</v>
      </c>
    </row>
    <row r="665" ht="12.75" customHeight="1">
      <c r="A665" s="84" t="s">
        <v>3785</v>
      </c>
      <c r="B665" s="84">
        <v>0.0</v>
      </c>
      <c r="C665" s="84">
        <v>0.0</v>
      </c>
      <c r="D665" s="84">
        <v>0.0</v>
      </c>
      <c r="E665" s="84">
        <v>0.0</v>
      </c>
      <c r="F665" s="84">
        <v>0.0</v>
      </c>
      <c r="G665" s="84">
        <v>4.0</v>
      </c>
      <c r="H665" s="84">
        <v>1.0</v>
      </c>
      <c r="I665" s="91">
        <v>0.0</v>
      </c>
      <c r="J665" s="84">
        <v>0.0</v>
      </c>
      <c r="K665" s="84">
        <v>0.0</v>
      </c>
      <c r="L665" s="84">
        <v>0.0</v>
      </c>
      <c r="M665" s="84">
        <v>0.0</v>
      </c>
      <c r="N665" s="84">
        <v>0.0</v>
      </c>
      <c r="O665" s="84">
        <v>0.0</v>
      </c>
      <c r="P665" s="84">
        <v>0.0</v>
      </c>
      <c r="Q665" s="84">
        <v>0.0</v>
      </c>
      <c r="R665" s="84">
        <v>0.0</v>
      </c>
      <c r="S665" s="84">
        <v>0.0</v>
      </c>
      <c r="T665" s="84">
        <v>0.0</v>
      </c>
      <c r="U665" s="84">
        <v>0.0</v>
      </c>
      <c r="V665" s="84">
        <v>0.0</v>
      </c>
      <c r="W665" s="84">
        <v>0.0</v>
      </c>
      <c r="X665" s="84">
        <v>0.0</v>
      </c>
      <c r="Y665" s="84">
        <v>0.0</v>
      </c>
      <c r="Z665" s="84">
        <v>0.0</v>
      </c>
      <c r="AA665" s="84">
        <v>6.0</v>
      </c>
      <c r="AB665" s="84">
        <v>1.0</v>
      </c>
      <c r="AC665" s="91">
        <v>0.0</v>
      </c>
      <c r="AD665" s="84">
        <v>0.0</v>
      </c>
      <c r="AE665" s="84">
        <v>0.0</v>
      </c>
      <c r="AF665" s="84">
        <v>0.0</v>
      </c>
      <c r="AG665" s="84">
        <v>0.0</v>
      </c>
      <c r="AH665" s="84">
        <v>0.0</v>
      </c>
      <c r="AI665" s="84">
        <v>0.0</v>
      </c>
      <c r="AJ665" s="84">
        <v>0.0</v>
      </c>
      <c r="AK665" s="84">
        <v>0.0</v>
      </c>
      <c r="AL665" s="84">
        <v>0.0</v>
      </c>
      <c r="AM665" s="84">
        <v>0.0</v>
      </c>
      <c r="AN665" s="93">
        <f t="shared" si="1"/>
        <v>0</v>
      </c>
      <c r="AO665" s="84">
        <f t="shared" si="2"/>
        <v>0</v>
      </c>
    </row>
    <row r="666" ht="12.75" customHeight="1">
      <c r="A666" s="84" t="s">
        <v>3032</v>
      </c>
      <c r="B666" s="84">
        <v>3.0</v>
      </c>
      <c r="C666" s="84">
        <v>0.0</v>
      </c>
      <c r="D666" s="84">
        <v>0.0</v>
      </c>
      <c r="E666" s="84">
        <v>0.0</v>
      </c>
      <c r="F666" s="84">
        <v>0.0</v>
      </c>
      <c r="G666" s="84">
        <v>0.0</v>
      </c>
      <c r="H666" s="84">
        <v>0.0</v>
      </c>
      <c r="I666" s="91">
        <v>0.0</v>
      </c>
      <c r="J666" s="84">
        <v>0.0</v>
      </c>
      <c r="K666" s="84">
        <v>0.0</v>
      </c>
      <c r="L666" s="84">
        <v>0.0</v>
      </c>
      <c r="M666" s="84">
        <v>0.0</v>
      </c>
      <c r="N666" s="84">
        <v>0.0</v>
      </c>
      <c r="O666" s="84">
        <v>0.0</v>
      </c>
      <c r="P666" s="84">
        <v>0.0</v>
      </c>
      <c r="Q666" s="84">
        <v>0.0</v>
      </c>
      <c r="R666" s="84">
        <v>0.0</v>
      </c>
      <c r="S666" s="84">
        <v>0.0</v>
      </c>
      <c r="T666" s="84">
        <v>0.0</v>
      </c>
      <c r="U666" s="84">
        <v>0.0</v>
      </c>
      <c r="V666" s="84">
        <v>4.0</v>
      </c>
      <c r="W666" s="84">
        <v>0.0</v>
      </c>
      <c r="X666" s="84">
        <v>0.0</v>
      </c>
      <c r="Y666" s="84">
        <v>0.0</v>
      </c>
      <c r="Z666" s="84">
        <v>0.0</v>
      </c>
      <c r="AA666" s="84">
        <v>0.0</v>
      </c>
      <c r="AB666" s="84">
        <v>0.0</v>
      </c>
      <c r="AC666" s="91">
        <v>0.0</v>
      </c>
      <c r="AD666" s="84">
        <v>0.0</v>
      </c>
      <c r="AE666" s="84">
        <v>0.0</v>
      </c>
      <c r="AF666" s="84">
        <v>0.0</v>
      </c>
      <c r="AG666" s="84">
        <v>0.0</v>
      </c>
      <c r="AH666" s="84">
        <v>0.0</v>
      </c>
      <c r="AI666" s="84">
        <v>0.0</v>
      </c>
      <c r="AJ666" s="84">
        <v>0.0</v>
      </c>
      <c r="AK666" s="84">
        <v>0.0</v>
      </c>
      <c r="AL666" s="84">
        <v>0.0</v>
      </c>
      <c r="AM666" s="84">
        <v>0.0</v>
      </c>
      <c r="AN666" s="93">
        <f t="shared" si="1"/>
        <v>0</v>
      </c>
      <c r="AO666" s="84">
        <f t="shared" si="2"/>
        <v>0</v>
      </c>
    </row>
    <row r="667" ht="12.75" customHeight="1">
      <c r="A667" s="84" t="s">
        <v>3878</v>
      </c>
      <c r="B667" s="84">
        <v>0.0</v>
      </c>
      <c r="C667" s="84">
        <v>0.0</v>
      </c>
      <c r="D667" s="84">
        <v>0.0</v>
      </c>
      <c r="E667" s="84">
        <v>0.0</v>
      </c>
      <c r="F667" s="84">
        <v>0.0</v>
      </c>
      <c r="G667" s="84">
        <v>0.0</v>
      </c>
      <c r="H667" s="84">
        <v>4.0</v>
      </c>
      <c r="I667" s="91">
        <v>0.0</v>
      </c>
      <c r="J667" s="84">
        <v>0.0</v>
      </c>
      <c r="K667" s="84">
        <v>0.0</v>
      </c>
      <c r="L667" s="84">
        <v>0.0</v>
      </c>
      <c r="M667" s="84">
        <v>0.0</v>
      </c>
      <c r="N667" s="84">
        <v>0.0</v>
      </c>
      <c r="O667" s="84">
        <v>0.0</v>
      </c>
      <c r="P667" s="84">
        <v>0.0</v>
      </c>
      <c r="Q667" s="84">
        <v>0.0</v>
      </c>
      <c r="R667" s="84">
        <v>0.0</v>
      </c>
      <c r="S667" s="84">
        <v>0.0</v>
      </c>
      <c r="T667" s="84">
        <v>0.0</v>
      </c>
      <c r="U667" s="84">
        <v>0.0</v>
      </c>
      <c r="V667" s="84">
        <v>0.0</v>
      </c>
      <c r="W667" s="84">
        <v>0.0</v>
      </c>
      <c r="X667" s="84">
        <v>0.0</v>
      </c>
      <c r="Y667" s="84">
        <v>0.0</v>
      </c>
      <c r="Z667" s="84">
        <v>0.0</v>
      </c>
      <c r="AA667" s="84">
        <v>0.0</v>
      </c>
      <c r="AB667" s="84">
        <v>6.0</v>
      </c>
      <c r="AC667" s="91">
        <v>0.0</v>
      </c>
      <c r="AD667" s="84">
        <v>0.0</v>
      </c>
      <c r="AE667" s="84">
        <v>0.0</v>
      </c>
      <c r="AF667" s="84">
        <v>0.0</v>
      </c>
      <c r="AG667" s="84">
        <v>0.0</v>
      </c>
      <c r="AH667" s="84">
        <v>0.0</v>
      </c>
      <c r="AI667" s="84">
        <v>0.0</v>
      </c>
      <c r="AJ667" s="84">
        <v>0.0</v>
      </c>
      <c r="AK667" s="84">
        <v>0.0</v>
      </c>
      <c r="AL667" s="84">
        <v>0.0</v>
      </c>
      <c r="AM667" s="84">
        <v>0.0</v>
      </c>
      <c r="AN667" s="93">
        <f t="shared" si="1"/>
        <v>0</v>
      </c>
      <c r="AO667" s="84">
        <f t="shared" si="2"/>
        <v>0</v>
      </c>
    </row>
    <row r="668" ht="12.75" customHeight="1">
      <c r="A668" s="84" t="s">
        <v>4610</v>
      </c>
      <c r="B668" s="84">
        <v>0.0</v>
      </c>
      <c r="C668" s="84">
        <v>0.0</v>
      </c>
      <c r="D668" s="84">
        <v>0.0</v>
      </c>
      <c r="E668" s="84">
        <v>0.0</v>
      </c>
      <c r="F668" s="84">
        <v>0.0</v>
      </c>
      <c r="G668" s="84">
        <v>0.0</v>
      </c>
      <c r="H668" s="84">
        <v>0.0</v>
      </c>
      <c r="I668" s="91">
        <v>0.0</v>
      </c>
      <c r="J668" s="84">
        <v>0.0</v>
      </c>
      <c r="K668" s="84">
        <v>0.0</v>
      </c>
      <c r="L668" s="84">
        <v>0.0</v>
      </c>
      <c r="M668" s="84">
        <v>0.0</v>
      </c>
      <c r="N668" s="84">
        <v>0.0</v>
      </c>
      <c r="O668" s="84">
        <v>0.0</v>
      </c>
      <c r="P668" s="84">
        <v>0.0</v>
      </c>
      <c r="Q668" s="84">
        <v>0.0</v>
      </c>
      <c r="R668" s="84">
        <v>0.0</v>
      </c>
      <c r="S668" s="84">
        <v>0.0</v>
      </c>
      <c r="T668" s="84">
        <v>0.0</v>
      </c>
      <c r="U668" s="84">
        <v>0.0</v>
      </c>
      <c r="V668" s="84">
        <v>0.0</v>
      </c>
      <c r="W668" s="84">
        <v>0.0</v>
      </c>
      <c r="X668" s="84">
        <v>0.0</v>
      </c>
      <c r="Y668" s="84">
        <v>0.0</v>
      </c>
      <c r="Z668" s="84">
        <v>0.0</v>
      </c>
      <c r="AA668" s="84">
        <v>0.0</v>
      </c>
      <c r="AB668" s="84">
        <v>0.0</v>
      </c>
      <c r="AC668" s="91">
        <v>0.0</v>
      </c>
      <c r="AD668" s="84">
        <v>0.0</v>
      </c>
      <c r="AE668" s="84">
        <v>0.0</v>
      </c>
      <c r="AF668" s="84">
        <v>0.0</v>
      </c>
      <c r="AG668" s="84">
        <v>0.0</v>
      </c>
      <c r="AH668" s="84">
        <v>0.0</v>
      </c>
      <c r="AI668" s="84">
        <v>0.0</v>
      </c>
      <c r="AJ668" s="84">
        <v>1.0</v>
      </c>
      <c r="AK668" s="84">
        <v>0.0</v>
      </c>
      <c r="AL668" s="84">
        <v>0.0</v>
      </c>
      <c r="AM668" s="84">
        <v>0.0</v>
      </c>
      <c r="AN668" s="93">
        <f t="shared" si="1"/>
        <v>0</v>
      </c>
      <c r="AO668" s="84">
        <f t="shared" si="2"/>
        <v>1</v>
      </c>
    </row>
    <row r="669" ht="12.75" customHeight="1">
      <c r="A669" s="84" t="s">
        <v>3485</v>
      </c>
      <c r="B669" s="84">
        <v>0.0</v>
      </c>
      <c r="C669" s="84">
        <v>0.0</v>
      </c>
      <c r="D669" s="84">
        <v>0.0</v>
      </c>
      <c r="E669" s="84">
        <v>4.0</v>
      </c>
      <c r="F669" s="84">
        <v>0.0</v>
      </c>
      <c r="G669" s="84">
        <v>0.0</v>
      </c>
      <c r="H669" s="84">
        <v>0.0</v>
      </c>
      <c r="I669" s="91">
        <v>0.0</v>
      </c>
      <c r="J669" s="84">
        <v>0.0</v>
      </c>
      <c r="K669" s="84">
        <v>0.0</v>
      </c>
      <c r="L669" s="84">
        <v>0.0</v>
      </c>
      <c r="M669" s="84">
        <v>0.0</v>
      </c>
      <c r="N669" s="84">
        <v>0.0</v>
      </c>
      <c r="O669" s="84">
        <v>0.0</v>
      </c>
      <c r="P669" s="84">
        <v>0.0</v>
      </c>
      <c r="Q669" s="84">
        <v>0.0</v>
      </c>
      <c r="R669" s="84">
        <v>0.0</v>
      </c>
      <c r="S669" s="84">
        <v>0.0</v>
      </c>
      <c r="T669" s="84">
        <v>0.0</v>
      </c>
      <c r="U669" s="84">
        <v>0.0</v>
      </c>
      <c r="V669" s="84">
        <v>0.0</v>
      </c>
      <c r="W669" s="84">
        <v>0.0</v>
      </c>
      <c r="X669" s="84">
        <v>0.0</v>
      </c>
      <c r="Y669" s="84">
        <v>6.0</v>
      </c>
      <c r="Z669" s="84">
        <v>2.0</v>
      </c>
      <c r="AA669" s="84">
        <v>0.0</v>
      </c>
      <c r="AB669" s="84">
        <v>0.0</v>
      </c>
      <c r="AC669" s="91">
        <v>0.0</v>
      </c>
      <c r="AD669" s="84">
        <v>0.0</v>
      </c>
      <c r="AE669" s="84">
        <v>0.0</v>
      </c>
      <c r="AF669" s="84">
        <v>0.0</v>
      </c>
      <c r="AG669" s="84">
        <v>0.0</v>
      </c>
      <c r="AH669" s="84">
        <v>0.0</v>
      </c>
      <c r="AI669" s="84">
        <v>0.0</v>
      </c>
      <c r="AJ669" s="84">
        <v>0.0</v>
      </c>
      <c r="AK669" s="84">
        <v>0.0</v>
      </c>
      <c r="AL669" s="84">
        <v>0.0</v>
      </c>
      <c r="AM669" s="84">
        <v>0.0</v>
      </c>
      <c r="AN669" s="93">
        <f t="shared" si="1"/>
        <v>0</v>
      </c>
      <c r="AO669" s="84">
        <f t="shared" si="2"/>
        <v>0</v>
      </c>
    </row>
    <row r="670" ht="12.75" customHeight="1">
      <c r="A670" s="84" t="s">
        <v>3480</v>
      </c>
      <c r="B670" s="84">
        <v>0.0</v>
      </c>
      <c r="C670" s="84">
        <v>0.0</v>
      </c>
      <c r="D670" s="84">
        <v>0.0</v>
      </c>
      <c r="E670" s="84">
        <v>5.0</v>
      </c>
      <c r="F670" s="84">
        <v>1.0</v>
      </c>
      <c r="G670" s="84">
        <v>0.0</v>
      </c>
      <c r="H670" s="84">
        <v>0.0</v>
      </c>
      <c r="I670" s="91">
        <v>0.0</v>
      </c>
      <c r="J670" s="84">
        <v>0.0</v>
      </c>
      <c r="K670" s="84">
        <v>0.0</v>
      </c>
      <c r="L670" s="84">
        <v>0.0</v>
      </c>
      <c r="M670" s="84">
        <v>0.0</v>
      </c>
      <c r="N670" s="84">
        <v>0.0</v>
      </c>
      <c r="O670" s="84">
        <v>0.0</v>
      </c>
      <c r="P670" s="84">
        <v>0.0</v>
      </c>
      <c r="Q670" s="84">
        <v>0.0</v>
      </c>
      <c r="R670" s="84">
        <v>0.0</v>
      </c>
      <c r="S670" s="84">
        <v>0.0</v>
      </c>
      <c r="T670" s="84">
        <v>0.0</v>
      </c>
      <c r="U670" s="84">
        <v>0.0</v>
      </c>
      <c r="V670" s="84">
        <v>0.0</v>
      </c>
      <c r="W670" s="84">
        <v>0.0</v>
      </c>
      <c r="X670" s="84">
        <v>0.0</v>
      </c>
      <c r="Y670" s="84">
        <v>6.0</v>
      </c>
      <c r="Z670" s="84">
        <v>2.0</v>
      </c>
      <c r="AA670" s="84">
        <v>0.0</v>
      </c>
      <c r="AB670" s="84">
        <v>0.0</v>
      </c>
      <c r="AC670" s="91">
        <v>0.0</v>
      </c>
      <c r="AD670" s="84">
        <v>0.0</v>
      </c>
      <c r="AE670" s="84">
        <v>0.0</v>
      </c>
      <c r="AF670" s="84">
        <v>0.0</v>
      </c>
      <c r="AG670" s="84">
        <v>0.0</v>
      </c>
      <c r="AH670" s="84">
        <v>0.0</v>
      </c>
      <c r="AI670" s="84">
        <v>0.0</v>
      </c>
      <c r="AJ670" s="84">
        <v>0.0</v>
      </c>
      <c r="AK670" s="84">
        <v>0.0</v>
      </c>
      <c r="AL670" s="84">
        <v>0.0</v>
      </c>
      <c r="AM670" s="84">
        <v>0.0</v>
      </c>
      <c r="AN670" s="93">
        <f t="shared" si="1"/>
        <v>0</v>
      </c>
      <c r="AO670" s="84">
        <f t="shared" si="2"/>
        <v>0</v>
      </c>
    </row>
    <row r="671" ht="12.75" customHeight="1">
      <c r="A671" s="84" t="s">
        <v>4497</v>
      </c>
      <c r="B671" s="84">
        <v>0.0</v>
      </c>
      <c r="C671" s="84">
        <v>0.0</v>
      </c>
      <c r="D671" s="84">
        <v>0.0</v>
      </c>
      <c r="E671" s="84">
        <v>0.0</v>
      </c>
      <c r="F671" s="84">
        <v>0.0</v>
      </c>
      <c r="G671" s="84">
        <v>0.0</v>
      </c>
      <c r="H671" s="84">
        <v>0.0</v>
      </c>
      <c r="I671" s="91">
        <v>0.0</v>
      </c>
      <c r="J671" s="84">
        <v>0.0</v>
      </c>
      <c r="K671" s="84">
        <v>0.0</v>
      </c>
      <c r="L671" s="84">
        <v>0.0</v>
      </c>
      <c r="M671" s="84">
        <v>0.0</v>
      </c>
      <c r="N671" s="84">
        <v>1.0</v>
      </c>
      <c r="O671" s="84">
        <v>0.0</v>
      </c>
      <c r="P671" s="84">
        <v>0.0</v>
      </c>
      <c r="Q671" s="84">
        <v>0.0</v>
      </c>
      <c r="R671" s="84">
        <v>0.0</v>
      </c>
      <c r="S671" s="84">
        <v>0.0</v>
      </c>
      <c r="T671" s="84">
        <v>0.0</v>
      </c>
      <c r="U671" s="84">
        <v>0.0</v>
      </c>
      <c r="V671" s="84">
        <v>0.0</v>
      </c>
      <c r="W671" s="84">
        <v>0.0</v>
      </c>
      <c r="X671" s="84">
        <v>0.0</v>
      </c>
      <c r="Y671" s="84">
        <v>0.0</v>
      </c>
      <c r="Z671" s="84">
        <v>0.0</v>
      </c>
      <c r="AA671" s="84">
        <v>0.0</v>
      </c>
      <c r="AB671" s="84">
        <v>0.0</v>
      </c>
      <c r="AC671" s="91">
        <v>0.0</v>
      </c>
      <c r="AD671" s="84">
        <v>0.0</v>
      </c>
      <c r="AE671" s="84">
        <v>0.0</v>
      </c>
      <c r="AF671" s="84">
        <v>0.0</v>
      </c>
      <c r="AG671" s="84">
        <v>0.0</v>
      </c>
      <c r="AH671" s="84">
        <v>0.0</v>
      </c>
      <c r="AI671" s="84">
        <v>0.0</v>
      </c>
      <c r="AJ671" s="84">
        <v>0.0</v>
      </c>
      <c r="AK671" s="84">
        <v>0.0</v>
      </c>
      <c r="AL671" s="84">
        <v>0.0</v>
      </c>
      <c r="AM671" s="84">
        <v>0.0</v>
      </c>
      <c r="AN671" s="93">
        <f t="shared" si="1"/>
        <v>0</v>
      </c>
      <c r="AO671" s="84">
        <f t="shared" si="2"/>
        <v>1</v>
      </c>
    </row>
    <row r="672" ht="12.75" customHeight="1">
      <c r="A672" s="84" t="s">
        <v>3491</v>
      </c>
      <c r="B672" s="84">
        <v>0.0</v>
      </c>
      <c r="C672" s="84">
        <v>0.0</v>
      </c>
      <c r="D672" s="84">
        <v>0.0</v>
      </c>
      <c r="E672" s="84">
        <v>4.0</v>
      </c>
      <c r="F672" s="84">
        <v>4.0</v>
      </c>
      <c r="G672" s="84">
        <v>0.0</v>
      </c>
      <c r="H672" s="84">
        <v>0.0</v>
      </c>
      <c r="I672" s="91">
        <v>0.0</v>
      </c>
      <c r="J672" s="84">
        <v>0.0</v>
      </c>
      <c r="K672" s="84">
        <v>0.0</v>
      </c>
      <c r="L672" s="84">
        <v>0.0</v>
      </c>
      <c r="M672" s="84">
        <v>0.0</v>
      </c>
      <c r="N672" s="84">
        <v>0.0</v>
      </c>
      <c r="O672" s="84">
        <v>0.0</v>
      </c>
      <c r="P672" s="84">
        <v>0.0</v>
      </c>
      <c r="Q672" s="84">
        <v>0.0</v>
      </c>
      <c r="R672" s="84">
        <v>0.0</v>
      </c>
      <c r="S672" s="84">
        <v>0.0</v>
      </c>
      <c r="T672" s="84">
        <v>0.0</v>
      </c>
      <c r="U672" s="84">
        <v>0.0</v>
      </c>
      <c r="V672" s="84">
        <v>0.0</v>
      </c>
      <c r="W672" s="84">
        <v>0.0</v>
      </c>
      <c r="X672" s="84">
        <v>0.0</v>
      </c>
      <c r="Y672" s="84">
        <v>6.0</v>
      </c>
      <c r="Z672" s="84">
        <v>0.0</v>
      </c>
      <c r="AA672" s="84">
        <v>0.0</v>
      </c>
      <c r="AB672" s="84">
        <v>0.0</v>
      </c>
      <c r="AC672" s="91">
        <v>0.0</v>
      </c>
      <c r="AD672" s="84">
        <v>0.0</v>
      </c>
      <c r="AE672" s="84">
        <v>0.0</v>
      </c>
      <c r="AF672" s="84">
        <v>0.0</v>
      </c>
      <c r="AG672" s="84">
        <v>0.0</v>
      </c>
      <c r="AH672" s="84">
        <v>0.0</v>
      </c>
      <c r="AI672" s="84">
        <v>0.0</v>
      </c>
      <c r="AJ672" s="84">
        <v>0.0</v>
      </c>
      <c r="AK672" s="84">
        <v>0.0</v>
      </c>
      <c r="AL672" s="84">
        <v>0.0</v>
      </c>
      <c r="AM672" s="84">
        <v>0.0</v>
      </c>
      <c r="AN672" s="93">
        <f t="shared" si="1"/>
        <v>0</v>
      </c>
      <c r="AO672" s="84">
        <f t="shared" si="2"/>
        <v>0</v>
      </c>
    </row>
    <row r="673" ht="12.75" customHeight="1">
      <c r="A673" s="84" t="s">
        <v>4555</v>
      </c>
      <c r="B673" s="84">
        <v>0.0</v>
      </c>
      <c r="C673" s="84">
        <v>0.0</v>
      </c>
      <c r="D673" s="84">
        <v>0.0</v>
      </c>
      <c r="E673" s="84">
        <v>0.0</v>
      </c>
      <c r="F673" s="84">
        <v>0.0</v>
      </c>
      <c r="G673" s="84">
        <v>0.0</v>
      </c>
      <c r="H673" s="84">
        <v>0.0</v>
      </c>
      <c r="I673" s="91">
        <v>0.0</v>
      </c>
      <c r="J673" s="84">
        <v>0.0</v>
      </c>
      <c r="K673" s="84">
        <v>0.0</v>
      </c>
      <c r="L673" s="84">
        <v>0.0</v>
      </c>
      <c r="M673" s="84">
        <v>0.0</v>
      </c>
      <c r="N673" s="84">
        <v>0.0</v>
      </c>
      <c r="O673" s="84">
        <v>0.0</v>
      </c>
      <c r="P673" s="84">
        <v>0.0</v>
      </c>
      <c r="Q673" s="84">
        <v>0.0</v>
      </c>
      <c r="R673" s="84">
        <v>0.0</v>
      </c>
      <c r="S673" s="84">
        <v>0.0</v>
      </c>
      <c r="T673" s="84">
        <v>0.0</v>
      </c>
      <c r="U673" s="84">
        <v>0.0</v>
      </c>
      <c r="V673" s="84">
        <v>0.0</v>
      </c>
      <c r="W673" s="84">
        <v>0.0</v>
      </c>
      <c r="X673" s="84">
        <v>0.0</v>
      </c>
      <c r="Y673" s="84">
        <v>0.0</v>
      </c>
      <c r="Z673" s="84">
        <v>0.0</v>
      </c>
      <c r="AA673" s="84">
        <v>0.0</v>
      </c>
      <c r="AB673" s="84">
        <v>0.0</v>
      </c>
      <c r="AC673" s="91">
        <v>0.0</v>
      </c>
      <c r="AD673" s="84">
        <v>0.0</v>
      </c>
      <c r="AE673" s="84">
        <v>0.0</v>
      </c>
      <c r="AF673" s="84">
        <v>0.0</v>
      </c>
      <c r="AG673" s="84">
        <v>0.0</v>
      </c>
      <c r="AH673" s="84">
        <v>1.0</v>
      </c>
      <c r="AI673" s="84">
        <v>0.0</v>
      </c>
      <c r="AJ673" s="84">
        <v>0.0</v>
      </c>
      <c r="AK673" s="84">
        <v>0.0</v>
      </c>
      <c r="AL673" s="84">
        <v>0.0</v>
      </c>
      <c r="AM673" s="84">
        <v>0.0</v>
      </c>
      <c r="AN673" s="93">
        <f t="shared" si="1"/>
        <v>0</v>
      </c>
      <c r="AO673" s="84">
        <f t="shared" si="2"/>
        <v>1</v>
      </c>
    </row>
    <row r="674" ht="12.75" customHeight="1">
      <c r="A674" s="84" t="s">
        <v>4565</v>
      </c>
      <c r="B674" s="84">
        <v>0.0</v>
      </c>
      <c r="C674" s="84">
        <v>0.0</v>
      </c>
      <c r="D674" s="84">
        <v>0.0</v>
      </c>
      <c r="E674" s="84">
        <v>0.0</v>
      </c>
      <c r="F674" s="84">
        <v>0.0</v>
      </c>
      <c r="G674" s="84">
        <v>0.0</v>
      </c>
      <c r="H674" s="84">
        <v>0.0</v>
      </c>
      <c r="I674" s="91">
        <v>0.0</v>
      </c>
      <c r="J674" s="84">
        <v>0.0</v>
      </c>
      <c r="K674" s="84">
        <v>0.0</v>
      </c>
      <c r="L674" s="84">
        <v>0.0</v>
      </c>
      <c r="M674" s="84">
        <v>0.0</v>
      </c>
      <c r="N674" s="84">
        <v>0.0</v>
      </c>
      <c r="O674" s="84">
        <v>0.0</v>
      </c>
      <c r="P674" s="84">
        <v>0.0</v>
      </c>
      <c r="Q674" s="84">
        <v>0.0</v>
      </c>
      <c r="R674" s="84">
        <v>0.0</v>
      </c>
      <c r="S674" s="84">
        <v>0.0</v>
      </c>
      <c r="T674" s="84">
        <v>0.0</v>
      </c>
      <c r="U674" s="84">
        <v>0.0</v>
      </c>
      <c r="V674" s="84">
        <v>0.0</v>
      </c>
      <c r="W674" s="84">
        <v>0.0</v>
      </c>
      <c r="X674" s="84">
        <v>0.0</v>
      </c>
      <c r="Y674" s="84">
        <v>0.0</v>
      </c>
      <c r="Z674" s="84">
        <v>0.0</v>
      </c>
      <c r="AA674" s="84">
        <v>0.0</v>
      </c>
      <c r="AB674" s="84">
        <v>0.0</v>
      </c>
      <c r="AC674" s="91">
        <v>0.0</v>
      </c>
      <c r="AD674" s="84">
        <v>0.0</v>
      </c>
      <c r="AE674" s="84">
        <v>0.0</v>
      </c>
      <c r="AF674" s="84">
        <v>0.0</v>
      </c>
      <c r="AG674" s="84">
        <v>0.0</v>
      </c>
      <c r="AH674" s="84">
        <v>1.0</v>
      </c>
      <c r="AI674" s="84">
        <v>0.0</v>
      </c>
      <c r="AJ674" s="84">
        <v>0.0</v>
      </c>
      <c r="AK674" s="84">
        <v>0.0</v>
      </c>
      <c r="AL674" s="84">
        <v>0.0</v>
      </c>
      <c r="AM674" s="84">
        <v>0.0</v>
      </c>
      <c r="AN674" s="93">
        <f t="shared" si="1"/>
        <v>0</v>
      </c>
      <c r="AO674" s="84">
        <f t="shared" si="2"/>
        <v>1</v>
      </c>
    </row>
    <row r="675" ht="12.75" customHeight="1">
      <c r="A675" s="84" t="s">
        <v>4561</v>
      </c>
      <c r="B675" s="84">
        <v>0.0</v>
      </c>
      <c r="C675" s="84">
        <v>0.0</v>
      </c>
      <c r="D675" s="84">
        <v>0.0</v>
      </c>
      <c r="E675" s="84">
        <v>0.0</v>
      </c>
      <c r="F675" s="84">
        <v>0.0</v>
      </c>
      <c r="G675" s="84">
        <v>0.0</v>
      </c>
      <c r="H675" s="84">
        <v>0.0</v>
      </c>
      <c r="I675" s="91">
        <v>0.0</v>
      </c>
      <c r="J675" s="84">
        <v>0.0</v>
      </c>
      <c r="K675" s="84">
        <v>0.0</v>
      </c>
      <c r="L675" s="84">
        <v>0.0</v>
      </c>
      <c r="M675" s="84">
        <v>0.0</v>
      </c>
      <c r="N675" s="84">
        <v>0.0</v>
      </c>
      <c r="O675" s="84">
        <v>0.0</v>
      </c>
      <c r="P675" s="84">
        <v>0.0</v>
      </c>
      <c r="Q675" s="84">
        <v>0.0</v>
      </c>
      <c r="R675" s="84">
        <v>0.0</v>
      </c>
      <c r="S675" s="84">
        <v>0.0</v>
      </c>
      <c r="T675" s="84">
        <v>0.0</v>
      </c>
      <c r="U675" s="84">
        <v>0.0</v>
      </c>
      <c r="V675" s="84">
        <v>0.0</v>
      </c>
      <c r="W675" s="84">
        <v>0.0</v>
      </c>
      <c r="X675" s="84">
        <v>0.0</v>
      </c>
      <c r="Y675" s="84">
        <v>0.0</v>
      </c>
      <c r="Z675" s="84">
        <v>0.0</v>
      </c>
      <c r="AA675" s="84">
        <v>0.0</v>
      </c>
      <c r="AB675" s="84">
        <v>0.0</v>
      </c>
      <c r="AC675" s="91">
        <v>0.0</v>
      </c>
      <c r="AD675" s="84">
        <v>0.0</v>
      </c>
      <c r="AE675" s="84">
        <v>0.0</v>
      </c>
      <c r="AF675" s="84">
        <v>0.0</v>
      </c>
      <c r="AG675" s="84">
        <v>0.0</v>
      </c>
      <c r="AH675" s="84">
        <v>1.0</v>
      </c>
      <c r="AI675" s="84">
        <v>0.0</v>
      </c>
      <c r="AJ675" s="84">
        <v>0.0</v>
      </c>
      <c r="AK675" s="84">
        <v>0.0</v>
      </c>
      <c r="AL675" s="84">
        <v>0.0</v>
      </c>
      <c r="AM675" s="84">
        <v>0.0</v>
      </c>
      <c r="AN675" s="93">
        <f t="shared" si="1"/>
        <v>0</v>
      </c>
      <c r="AO675" s="84">
        <f t="shared" si="2"/>
        <v>1</v>
      </c>
    </row>
    <row r="676" ht="12.75" customHeight="1">
      <c r="A676" s="84" t="s">
        <v>3823</v>
      </c>
      <c r="B676" s="84">
        <v>0.0</v>
      </c>
      <c r="C676" s="84">
        <v>0.0</v>
      </c>
      <c r="D676" s="84">
        <v>0.0</v>
      </c>
      <c r="E676" s="84">
        <v>0.0</v>
      </c>
      <c r="F676" s="84">
        <v>0.0</v>
      </c>
      <c r="G676" s="84">
        <v>4.0</v>
      </c>
      <c r="H676" s="84">
        <v>2.0</v>
      </c>
      <c r="I676" s="91">
        <v>0.0</v>
      </c>
      <c r="J676" s="84">
        <v>0.0</v>
      </c>
      <c r="K676" s="84">
        <v>0.0</v>
      </c>
      <c r="L676" s="84">
        <v>0.0</v>
      </c>
      <c r="M676" s="84">
        <v>0.0</v>
      </c>
      <c r="N676" s="84">
        <v>0.0</v>
      </c>
      <c r="O676" s="84">
        <v>0.0</v>
      </c>
      <c r="P676" s="84">
        <v>0.0</v>
      </c>
      <c r="Q676" s="84">
        <v>0.0</v>
      </c>
      <c r="R676" s="84">
        <v>0.0</v>
      </c>
      <c r="S676" s="84">
        <v>0.0</v>
      </c>
      <c r="T676" s="84">
        <v>0.0</v>
      </c>
      <c r="U676" s="84">
        <v>0.0</v>
      </c>
      <c r="V676" s="84">
        <v>0.0</v>
      </c>
      <c r="W676" s="84">
        <v>0.0</v>
      </c>
      <c r="X676" s="84">
        <v>0.0</v>
      </c>
      <c r="Y676" s="84">
        <v>0.0</v>
      </c>
      <c r="Z676" s="84">
        <v>0.0</v>
      </c>
      <c r="AA676" s="84">
        <v>6.0</v>
      </c>
      <c r="AB676" s="84">
        <v>2.0</v>
      </c>
      <c r="AC676" s="91">
        <v>0.0</v>
      </c>
      <c r="AD676" s="84">
        <v>0.0</v>
      </c>
      <c r="AE676" s="84">
        <v>0.0</v>
      </c>
      <c r="AF676" s="84">
        <v>0.0</v>
      </c>
      <c r="AG676" s="84">
        <v>0.0</v>
      </c>
      <c r="AH676" s="84">
        <v>0.0</v>
      </c>
      <c r="AI676" s="84">
        <v>0.0</v>
      </c>
      <c r="AJ676" s="84">
        <v>0.0</v>
      </c>
      <c r="AK676" s="84">
        <v>0.0</v>
      </c>
      <c r="AL676" s="84">
        <v>0.0</v>
      </c>
      <c r="AM676" s="84">
        <v>0.0</v>
      </c>
      <c r="AN676" s="93">
        <f t="shared" si="1"/>
        <v>0</v>
      </c>
      <c r="AO676" s="84">
        <f t="shared" si="2"/>
        <v>0</v>
      </c>
    </row>
    <row r="677" ht="12.75" customHeight="1">
      <c r="A677" s="84" t="s">
        <v>3791</v>
      </c>
      <c r="B677" s="84">
        <v>0.0</v>
      </c>
      <c r="C677" s="84">
        <v>0.0</v>
      </c>
      <c r="D677" s="84">
        <v>0.0</v>
      </c>
      <c r="E677" s="84">
        <v>0.0</v>
      </c>
      <c r="F677" s="84">
        <v>0.0</v>
      </c>
      <c r="G677" s="84">
        <v>5.0</v>
      </c>
      <c r="H677" s="84">
        <v>0.0</v>
      </c>
      <c r="I677" s="91">
        <v>0.0</v>
      </c>
      <c r="J677" s="84">
        <v>0.0</v>
      </c>
      <c r="K677" s="84">
        <v>0.0</v>
      </c>
      <c r="L677" s="84">
        <v>0.0</v>
      </c>
      <c r="M677" s="84">
        <v>0.0</v>
      </c>
      <c r="N677" s="84">
        <v>0.0</v>
      </c>
      <c r="O677" s="84">
        <v>0.0</v>
      </c>
      <c r="P677" s="84">
        <v>0.0</v>
      </c>
      <c r="Q677" s="84">
        <v>0.0</v>
      </c>
      <c r="R677" s="84">
        <v>0.0</v>
      </c>
      <c r="S677" s="84">
        <v>0.0</v>
      </c>
      <c r="T677" s="84">
        <v>0.0</v>
      </c>
      <c r="U677" s="84">
        <v>0.0</v>
      </c>
      <c r="V677" s="84">
        <v>0.0</v>
      </c>
      <c r="W677" s="84">
        <v>0.0</v>
      </c>
      <c r="X677" s="84">
        <v>0.0</v>
      </c>
      <c r="Y677" s="84">
        <v>0.0</v>
      </c>
      <c r="Z677" s="84">
        <v>0.0</v>
      </c>
      <c r="AA677" s="84">
        <v>6.0</v>
      </c>
      <c r="AB677" s="84">
        <v>1.0</v>
      </c>
      <c r="AC677" s="91">
        <v>0.0</v>
      </c>
      <c r="AD677" s="84">
        <v>0.0</v>
      </c>
      <c r="AE677" s="84">
        <v>0.0</v>
      </c>
      <c r="AF677" s="84">
        <v>0.0</v>
      </c>
      <c r="AG677" s="84">
        <v>0.0</v>
      </c>
      <c r="AH677" s="84">
        <v>0.0</v>
      </c>
      <c r="AI677" s="84">
        <v>0.0</v>
      </c>
      <c r="AJ677" s="84">
        <v>0.0</v>
      </c>
      <c r="AK677" s="84">
        <v>0.0</v>
      </c>
      <c r="AL677" s="84">
        <v>0.0</v>
      </c>
      <c r="AM677" s="84">
        <v>0.0</v>
      </c>
      <c r="AN677" s="93">
        <f t="shared" si="1"/>
        <v>0</v>
      </c>
      <c r="AO677" s="84">
        <f t="shared" si="2"/>
        <v>0</v>
      </c>
    </row>
    <row r="678" ht="12.75" customHeight="1">
      <c r="A678" s="84" t="s">
        <v>3012</v>
      </c>
      <c r="B678" s="84">
        <v>2.0</v>
      </c>
      <c r="C678" s="84">
        <v>1.0</v>
      </c>
      <c r="D678" s="84">
        <v>0.0</v>
      </c>
      <c r="E678" s="84">
        <v>0.0</v>
      </c>
      <c r="F678" s="84">
        <v>0.0</v>
      </c>
      <c r="G678" s="84">
        <v>0.0</v>
      </c>
      <c r="H678" s="84">
        <v>0.0</v>
      </c>
      <c r="I678" s="91">
        <v>0.0</v>
      </c>
      <c r="J678" s="84">
        <v>0.0</v>
      </c>
      <c r="K678" s="84">
        <v>0.0</v>
      </c>
      <c r="L678" s="84">
        <v>0.0</v>
      </c>
      <c r="M678" s="84">
        <v>0.0</v>
      </c>
      <c r="N678" s="84">
        <v>0.0</v>
      </c>
      <c r="O678" s="84">
        <v>0.0</v>
      </c>
      <c r="P678" s="84">
        <v>0.0</v>
      </c>
      <c r="Q678" s="84">
        <v>0.0</v>
      </c>
      <c r="R678" s="84">
        <v>0.0</v>
      </c>
      <c r="S678" s="84">
        <v>0.0</v>
      </c>
      <c r="T678" s="84">
        <v>0.0</v>
      </c>
      <c r="U678" s="84">
        <v>0.0</v>
      </c>
      <c r="V678" s="84">
        <v>6.0</v>
      </c>
      <c r="W678" s="84">
        <v>3.0</v>
      </c>
      <c r="X678" s="84">
        <v>0.0</v>
      </c>
      <c r="Y678" s="84">
        <v>0.0</v>
      </c>
      <c r="Z678" s="84">
        <v>0.0</v>
      </c>
      <c r="AA678" s="84">
        <v>0.0</v>
      </c>
      <c r="AB678" s="84">
        <v>0.0</v>
      </c>
      <c r="AC678" s="91">
        <v>0.0</v>
      </c>
      <c r="AD678" s="84">
        <v>0.0</v>
      </c>
      <c r="AE678" s="84">
        <v>0.0</v>
      </c>
      <c r="AF678" s="84">
        <v>0.0</v>
      </c>
      <c r="AG678" s="84">
        <v>0.0</v>
      </c>
      <c r="AH678" s="84">
        <v>0.0</v>
      </c>
      <c r="AI678" s="84">
        <v>0.0</v>
      </c>
      <c r="AJ678" s="84">
        <v>0.0</v>
      </c>
      <c r="AK678" s="84">
        <v>0.0</v>
      </c>
      <c r="AL678" s="84">
        <v>0.0</v>
      </c>
      <c r="AM678" s="84">
        <v>0.0</v>
      </c>
      <c r="AN678" s="93">
        <f t="shared" si="1"/>
        <v>0</v>
      </c>
      <c r="AO678" s="84">
        <f t="shared" si="2"/>
        <v>0</v>
      </c>
    </row>
    <row r="679" ht="12.75" customHeight="1">
      <c r="A679" s="84" t="s">
        <v>3562</v>
      </c>
      <c r="B679" s="84">
        <v>0.0</v>
      </c>
      <c r="C679" s="84">
        <v>0.0</v>
      </c>
      <c r="D679" s="84">
        <v>0.0</v>
      </c>
      <c r="E679" s="84">
        <v>4.0</v>
      </c>
      <c r="F679" s="84">
        <v>1.0</v>
      </c>
      <c r="G679" s="84">
        <v>0.0</v>
      </c>
      <c r="H679" s="84">
        <v>0.0</v>
      </c>
      <c r="I679" s="91">
        <v>0.0</v>
      </c>
      <c r="J679" s="84">
        <v>0.0</v>
      </c>
      <c r="K679" s="84">
        <v>0.0</v>
      </c>
      <c r="L679" s="84">
        <v>0.0</v>
      </c>
      <c r="M679" s="84">
        <v>0.0</v>
      </c>
      <c r="N679" s="84">
        <v>0.0</v>
      </c>
      <c r="O679" s="84">
        <v>0.0</v>
      </c>
      <c r="P679" s="84">
        <v>0.0</v>
      </c>
      <c r="Q679" s="84">
        <v>0.0</v>
      </c>
      <c r="R679" s="84">
        <v>0.0</v>
      </c>
      <c r="S679" s="84">
        <v>0.0</v>
      </c>
      <c r="T679" s="84">
        <v>0.0</v>
      </c>
      <c r="U679" s="84">
        <v>0.0</v>
      </c>
      <c r="V679" s="84">
        <v>0.0</v>
      </c>
      <c r="W679" s="84">
        <v>0.0</v>
      </c>
      <c r="X679" s="84">
        <v>0.0</v>
      </c>
      <c r="Y679" s="84">
        <v>6.0</v>
      </c>
      <c r="Z679" s="84">
        <v>5.0</v>
      </c>
      <c r="AA679" s="84">
        <v>0.0</v>
      </c>
      <c r="AB679" s="84">
        <v>0.0</v>
      </c>
      <c r="AC679" s="91">
        <v>0.0</v>
      </c>
      <c r="AD679" s="84">
        <v>0.0</v>
      </c>
      <c r="AE679" s="84">
        <v>0.0</v>
      </c>
      <c r="AF679" s="84">
        <v>0.0</v>
      </c>
      <c r="AG679" s="84">
        <v>0.0</v>
      </c>
      <c r="AH679" s="84">
        <v>0.0</v>
      </c>
      <c r="AI679" s="84">
        <v>0.0</v>
      </c>
      <c r="AJ679" s="84">
        <v>0.0</v>
      </c>
      <c r="AK679" s="84">
        <v>0.0</v>
      </c>
      <c r="AL679" s="84">
        <v>0.0</v>
      </c>
      <c r="AM679" s="84">
        <v>0.0</v>
      </c>
      <c r="AN679" s="93">
        <f t="shared" si="1"/>
        <v>0</v>
      </c>
      <c r="AO679" s="84">
        <f t="shared" si="2"/>
        <v>0</v>
      </c>
    </row>
    <row r="680" ht="12.75" customHeight="1">
      <c r="A680" s="84" t="s">
        <v>3708</v>
      </c>
      <c r="B680" s="84">
        <v>0.0</v>
      </c>
      <c r="C680" s="84">
        <v>0.0</v>
      </c>
      <c r="D680" s="84">
        <v>0.0</v>
      </c>
      <c r="E680" s="84">
        <v>0.0</v>
      </c>
      <c r="F680" s="84">
        <v>4.0</v>
      </c>
      <c r="G680" s="84">
        <v>0.0</v>
      </c>
      <c r="H680" s="84">
        <v>0.0</v>
      </c>
      <c r="I680" s="91">
        <v>0.0</v>
      </c>
      <c r="J680" s="84">
        <v>0.0</v>
      </c>
      <c r="K680" s="84">
        <v>0.0</v>
      </c>
      <c r="L680" s="84">
        <v>0.0</v>
      </c>
      <c r="M680" s="84">
        <v>0.0</v>
      </c>
      <c r="N680" s="84">
        <v>0.0</v>
      </c>
      <c r="O680" s="84">
        <v>0.0</v>
      </c>
      <c r="P680" s="84">
        <v>0.0</v>
      </c>
      <c r="Q680" s="84">
        <v>0.0</v>
      </c>
      <c r="R680" s="84">
        <v>0.0</v>
      </c>
      <c r="S680" s="84">
        <v>0.0</v>
      </c>
      <c r="T680" s="84">
        <v>0.0</v>
      </c>
      <c r="U680" s="84">
        <v>0.0</v>
      </c>
      <c r="V680" s="84">
        <v>0.0</v>
      </c>
      <c r="W680" s="84">
        <v>0.0</v>
      </c>
      <c r="X680" s="84">
        <v>0.0</v>
      </c>
      <c r="Y680" s="84">
        <v>0.0</v>
      </c>
      <c r="Z680" s="84">
        <v>6.0</v>
      </c>
      <c r="AA680" s="84">
        <v>0.0</v>
      </c>
      <c r="AB680" s="84">
        <v>0.0</v>
      </c>
      <c r="AC680" s="91">
        <v>0.0</v>
      </c>
      <c r="AD680" s="84">
        <v>0.0</v>
      </c>
      <c r="AE680" s="84">
        <v>0.0</v>
      </c>
      <c r="AF680" s="84">
        <v>0.0</v>
      </c>
      <c r="AG680" s="84">
        <v>0.0</v>
      </c>
      <c r="AH680" s="84">
        <v>0.0</v>
      </c>
      <c r="AI680" s="84">
        <v>0.0</v>
      </c>
      <c r="AJ680" s="84">
        <v>0.0</v>
      </c>
      <c r="AK680" s="84">
        <v>0.0</v>
      </c>
      <c r="AL680" s="84">
        <v>0.0</v>
      </c>
      <c r="AM680" s="84">
        <v>0.0</v>
      </c>
      <c r="AN680" s="93">
        <f t="shared" si="1"/>
        <v>0</v>
      </c>
      <c r="AO680" s="84">
        <f t="shared" si="2"/>
        <v>0</v>
      </c>
    </row>
    <row r="681" ht="12.75" customHeight="1">
      <c r="A681" s="84" t="s">
        <v>3237</v>
      </c>
      <c r="B681" s="84">
        <v>0.0</v>
      </c>
      <c r="C681" s="84">
        <v>5.0</v>
      </c>
      <c r="D681" s="84">
        <v>1.0</v>
      </c>
      <c r="E681" s="84">
        <v>0.0</v>
      </c>
      <c r="F681" s="84">
        <v>0.0</v>
      </c>
      <c r="G681" s="84">
        <v>0.0</v>
      </c>
      <c r="H681" s="84">
        <v>0.0</v>
      </c>
      <c r="I681" s="91">
        <v>0.0</v>
      </c>
      <c r="J681" s="84">
        <v>0.0</v>
      </c>
      <c r="K681" s="84">
        <v>0.0</v>
      </c>
      <c r="L681" s="84">
        <v>0.0</v>
      </c>
      <c r="M681" s="84">
        <v>0.0</v>
      </c>
      <c r="N681" s="84">
        <v>0.0</v>
      </c>
      <c r="O681" s="84">
        <v>0.0</v>
      </c>
      <c r="P681" s="84">
        <v>0.0</v>
      </c>
      <c r="Q681" s="84">
        <v>0.0</v>
      </c>
      <c r="R681" s="84">
        <v>0.0</v>
      </c>
      <c r="S681" s="84">
        <v>0.0</v>
      </c>
      <c r="T681" s="84">
        <v>0.0</v>
      </c>
      <c r="U681" s="84">
        <v>0.0</v>
      </c>
      <c r="V681" s="84">
        <v>0.0</v>
      </c>
      <c r="W681" s="84">
        <v>3.0</v>
      </c>
      <c r="X681" s="84">
        <v>2.0</v>
      </c>
      <c r="Y681" s="84">
        <v>0.0</v>
      </c>
      <c r="Z681" s="84">
        <v>0.0</v>
      </c>
      <c r="AA681" s="84">
        <v>0.0</v>
      </c>
      <c r="AB681" s="84">
        <v>0.0</v>
      </c>
      <c r="AC681" s="91">
        <v>0.0</v>
      </c>
      <c r="AD681" s="84">
        <v>0.0</v>
      </c>
      <c r="AE681" s="84">
        <v>0.0</v>
      </c>
      <c r="AF681" s="84">
        <v>0.0</v>
      </c>
      <c r="AG681" s="84">
        <v>0.0</v>
      </c>
      <c r="AH681" s="84">
        <v>0.0</v>
      </c>
      <c r="AI681" s="84">
        <v>0.0</v>
      </c>
      <c r="AJ681" s="84">
        <v>0.0</v>
      </c>
      <c r="AK681" s="84">
        <v>0.0</v>
      </c>
      <c r="AL681" s="84">
        <v>0.0</v>
      </c>
      <c r="AM681" s="84">
        <v>0.0</v>
      </c>
      <c r="AN681" s="93">
        <f t="shared" si="1"/>
        <v>0</v>
      </c>
      <c r="AO681" s="84">
        <f t="shared" si="2"/>
        <v>0</v>
      </c>
    </row>
    <row r="682" ht="12.75" customHeight="1">
      <c r="A682" s="84" t="s">
        <v>4686</v>
      </c>
      <c r="B682" s="84">
        <v>0.0</v>
      </c>
      <c r="C682" s="84">
        <v>0.0</v>
      </c>
      <c r="D682" s="84">
        <v>0.0</v>
      </c>
      <c r="E682" s="84">
        <v>0.0</v>
      </c>
      <c r="F682" s="84">
        <v>0.0</v>
      </c>
      <c r="G682" s="84">
        <v>0.0</v>
      </c>
      <c r="H682" s="84">
        <v>0.0</v>
      </c>
      <c r="I682" s="91">
        <v>0.0</v>
      </c>
      <c r="J682" s="84">
        <v>0.0</v>
      </c>
      <c r="K682" s="84">
        <v>0.0</v>
      </c>
      <c r="L682" s="84">
        <v>0.0</v>
      </c>
      <c r="M682" s="84">
        <v>0.0</v>
      </c>
      <c r="N682" s="84">
        <v>0.0</v>
      </c>
      <c r="O682" s="84">
        <v>0.0</v>
      </c>
      <c r="P682" s="84">
        <v>0.0</v>
      </c>
      <c r="Q682" s="84">
        <v>0.0</v>
      </c>
      <c r="R682" s="84">
        <v>0.0</v>
      </c>
      <c r="S682" s="84">
        <v>0.0</v>
      </c>
      <c r="T682" s="84">
        <v>0.0</v>
      </c>
      <c r="U682" s="84">
        <v>0.0</v>
      </c>
      <c r="V682" s="84">
        <v>0.0</v>
      </c>
      <c r="W682" s="84">
        <v>0.0</v>
      </c>
      <c r="X682" s="84">
        <v>0.0</v>
      </c>
      <c r="Y682" s="84">
        <v>0.0</v>
      </c>
      <c r="Z682" s="84">
        <v>0.0</v>
      </c>
      <c r="AA682" s="84">
        <v>0.0</v>
      </c>
      <c r="AB682" s="84">
        <v>0.0</v>
      </c>
      <c r="AC682" s="91">
        <v>0.0</v>
      </c>
      <c r="AD682" s="84">
        <v>0.0</v>
      </c>
      <c r="AE682" s="84">
        <v>0.0</v>
      </c>
      <c r="AF682" s="84">
        <v>0.0</v>
      </c>
      <c r="AG682" s="84">
        <v>0.0</v>
      </c>
      <c r="AH682" s="84">
        <v>0.0</v>
      </c>
      <c r="AI682" s="84">
        <v>0.0</v>
      </c>
      <c r="AJ682" s="84">
        <v>0.0</v>
      </c>
      <c r="AK682" s="84">
        <v>0.0</v>
      </c>
      <c r="AL682" s="84">
        <v>0.0</v>
      </c>
      <c r="AM682" s="84">
        <v>1.0</v>
      </c>
      <c r="AN682" s="93">
        <f t="shared" si="1"/>
        <v>0</v>
      </c>
      <c r="AO682" s="84">
        <f t="shared" si="2"/>
        <v>1</v>
      </c>
    </row>
    <row r="683" ht="12.75" customHeight="1">
      <c r="A683" s="84" t="s">
        <v>4500</v>
      </c>
      <c r="B683" s="84">
        <v>0.0</v>
      </c>
      <c r="C683" s="84">
        <v>0.0</v>
      </c>
      <c r="D683" s="84">
        <v>0.0</v>
      </c>
      <c r="E683" s="84">
        <v>0.0</v>
      </c>
      <c r="F683" s="84">
        <v>0.0</v>
      </c>
      <c r="G683" s="84">
        <v>0.0</v>
      </c>
      <c r="H683" s="84">
        <v>0.0</v>
      </c>
      <c r="I683" s="91">
        <v>0.0</v>
      </c>
      <c r="J683" s="84">
        <v>0.0</v>
      </c>
      <c r="K683" s="84">
        <v>0.0</v>
      </c>
      <c r="L683" s="84">
        <v>0.0</v>
      </c>
      <c r="M683" s="84">
        <v>0.0</v>
      </c>
      <c r="N683" s="84">
        <v>1.0</v>
      </c>
      <c r="O683" s="84">
        <v>0.0</v>
      </c>
      <c r="P683" s="84">
        <v>0.0</v>
      </c>
      <c r="Q683" s="84">
        <v>0.0</v>
      </c>
      <c r="R683" s="84">
        <v>0.0</v>
      </c>
      <c r="S683" s="84">
        <v>0.0</v>
      </c>
      <c r="T683" s="84">
        <v>0.0</v>
      </c>
      <c r="U683" s="84">
        <v>0.0</v>
      </c>
      <c r="V683" s="84">
        <v>0.0</v>
      </c>
      <c r="W683" s="84">
        <v>0.0</v>
      </c>
      <c r="X683" s="84">
        <v>0.0</v>
      </c>
      <c r="Y683" s="84">
        <v>0.0</v>
      </c>
      <c r="Z683" s="84">
        <v>0.0</v>
      </c>
      <c r="AA683" s="84">
        <v>0.0</v>
      </c>
      <c r="AB683" s="84">
        <v>0.0</v>
      </c>
      <c r="AC683" s="91">
        <v>0.0</v>
      </c>
      <c r="AD683" s="84">
        <v>0.0</v>
      </c>
      <c r="AE683" s="84">
        <v>0.0</v>
      </c>
      <c r="AF683" s="84">
        <v>0.0</v>
      </c>
      <c r="AG683" s="84">
        <v>0.0</v>
      </c>
      <c r="AH683" s="84">
        <v>0.0</v>
      </c>
      <c r="AI683" s="84">
        <v>0.0</v>
      </c>
      <c r="AJ683" s="84">
        <v>0.0</v>
      </c>
      <c r="AK683" s="84">
        <v>0.0</v>
      </c>
      <c r="AL683" s="84">
        <v>0.0</v>
      </c>
      <c r="AM683" s="84">
        <v>0.0</v>
      </c>
      <c r="AN683" s="93">
        <f t="shared" si="1"/>
        <v>0</v>
      </c>
      <c r="AO683" s="84">
        <f t="shared" si="2"/>
        <v>1</v>
      </c>
    </row>
    <row r="684" ht="12.75" customHeight="1">
      <c r="A684" s="84" t="s">
        <v>4639</v>
      </c>
      <c r="B684" s="84">
        <v>0.0</v>
      </c>
      <c r="C684" s="84">
        <v>0.0</v>
      </c>
      <c r="D684" s="84">
        <v>0.0</v>
      </c>
      <c r="E684" s="84">
        <v>0.0</v>
      </c>
      <c r="F684" s="84">
        <v>0.0</v>
      </c>
      <c r="G684" s="84">
        <v>0.0</v>
      </c>
      <c r="H684" s="84">
        <v>0.0</v>
      </c>
      <c r="I684" s="91">
        <v>0.0</v>
      </c>
      <c r="J684" s="84">
        <v>0.0</v>
      </c>
      <c r="K684" s="84">
        <v>0.0</v>
      </c>
      <c r="L684" s="84">
        <v>0.0</v>
      </c>
      <c r="M684" s="84">
        <v>0.0</v>
      </c>
      <c r="N684" s="84">
        <v>0.0</v>
      </c>
      <c r="O684" s="84">
        <v>0.0</v>
      </c>
      <c r="P684" s="84">
        <v>0.0</v>
      </c>
      <c r="Q684" s="84">
        <v>0.0</v>
      </c>
      <c r="R684" s="84">
        <v>0.0</v>
      </c>
      <c r="S684" s="84">
        <v>0.0</v>
      </c>
      <c r="T684" s="84">
        <v>0.0</v>
      </c>
      <c r="U684" s="84">
        <v>0.0</v>
      </c>
      <c r="V684" s="84">
        <v>0.0</v>
      </c>
      <c r="W684" s="84">
        <v>0.0</v>
      </c>
      <c r="X684" s="84">
        <v>0.0</v>
      </c>
      <c r="Y684" s="84">
        <v>0.0</v>
      </c>
      <c r="Z684" s="84">
        <v>0.0</v>
      </c>
      <c r="AA684" s="84">
        <v>0.0</v>
      </c>
      <c r="AB684" s="84">
        <v>0.0</v>
      </c>
      <c r="AC684" s="91">
        <v>0.0</v>
      </c>
      <c r="AD684" s="84">
        <v>0.0</v>
      </c>
      <c r="AE684" s="84">
        <v>0.0</v>
      </c>
      <c r="AF684" s="84">
        <v>0.0</v>
      </c>
      <c r="AG684" s="84">
        <v>0.0</v>
      </c>
      <c r="AH684" s="84">
        <v>0.0</v>
      </c>
      <c r="AI684" s="84">
        <v>0.0</v>
      </c>
      <c r="AJ684" s="84">
        <v>0.0</v>
      </c>
      <c r="AK684" s="84">
        <v>1.0</v>
      </c>
      <c r="AL684" s="84">
        <v>0.0</v>
      </c>
      <c r="AM684" s="84">
        <v>0.0</v>
      </c>
      <c r="AN684" s="93">
        <f t="shared" si="1"/>
        <v>0</v>
      </c>
      <c r="AO684" s="84">
        <f t="shared" si="2"/>
        <v>1</v>
      </c>
    </row>
    <row r="685" ht="12.75" customHeight="1">
      <c r="A685" s="84" t="s">
        <v>3615</v>
      </c>
      <c r="B685" s="84">
        <v>0.0</v>
      </c>
      <c r="C685" s="84">
        <v>0.0</v>
      </c>
      <c r="D685" s="84">
        <v>0.0</v>
      </c>
      <c r="E685" s="84">
        <v>0.0</v>
      </c>
      <c r="F685" s="84">
        <v>4.0</v>
      </c>
      <c r="G685" s="84">
        <v>0.0</v>
      </c>
      <c r="H685" s="84">
        <v>0.0</v>
      </c>
      <c r="I685" s="91">
        <v>0.0</v>
      </c>
      <c r="J685" s="84">
        <v>0.0</v>
      </c>
      <c r="K685" s="84">
        <v>0.0</v>
      </c>
      <c r="L685" s="84">
        <v>0.0</v>
      </c>
      <c r="M685" s="84">
        <v>0.0</v>
      </c>
      <c r="N685" s="84">
        <v>0.0</v>
      </c>
      <c r="O685" s="84">
        <v>0.0</v>
      </c>
      <c r="P685" s="84">
        <v>0.0</v>
      </c>
      <c r="Q685" s="84">
        <v>0.0</v>
      </c>
      <c r="R685" s="84">
        <v>0.0</v>
      </c>
      <c r="S685" s="84">
        <v>0.0</v>
      </c>
      <c r="T685" s="84">
        <v>0.0</v>
      </c>
      <c r="U685" s="84">
        <v>0.0</v>
      </c>
      <c r="V685" s="84">
        <v>0.0</v>
      </c>
      <c r="W685" s="84">
        <v>0.0</v>
      </c>
      <c r="X685" s="84">
        <v>0.0</v>
      </c>
      <c r="Y685" s="84">
        <v>0.0</v>
      </c>
      <c r="Z685" s="84">
        <v>6.0</v>
      </c>
      <c r="AA685" s="84">
        <v>2.0</v>
      </c>
      <c r="AB685" s="84">
        <v>0.0</v>
      </c>
      <c r="AC685" s="91">
        <v>0.0</v>
      </c>
      <c r="AD685" s="84">
        <v>0.0</v>
      </c>
      <c r="AE685" s="84">
        <v>0.0</v>
      </c>
      <c r="AF685" s="84">
        <v>0.0</v>
      </c>
      <c r="AG685" s="84">
        <v>0.0</v>
      </c>
      <c r="AH685" s="84">
        <v>0.0</v>
      </c>
      <c r="AI685" s="84">
        <v>0.0</v>
      </c>
      <c r="AJ685" s="84">
        <v>0.0</v>
      </c>
      <c r="AK685" s="84">
        <v>0.0</v>
      </c>
      <c r="AL685" s="84">
        <v>0.0</v>
      </c>
      <c r="AM685" s="84">
        <v>0.0</v>
      </c>
      <c r="AN685" s="93">
        <f t="shared" si="1"/>
        <v>0</v>
      </c>
      <c r="AO685" s="84">
        <f t="shared" si="2"/>
        <v>0</v>
      </c>
    </row>
    <row r="686" ht="12.75" customHeight="1">
      <c r="A686" s="84" t="s">
        <v>3953</v>
      </c>
      <c r="B686" s="84">
        <v>0.0</v>
      </c>
      <c r="C686" s="84">
        <v>0.0</v>
      </c>
      <c r="D686" s="84">
        <v>0.0</v>
      </c>
      <c r="E686" s="84">
        <v>0.0</v>
      </c>
      <c r="F686" s="84">
        <v>0.0</v>
      </c>
      <c r="G686" s="84">
        <v>0.0</v>
      </c>
      <c r="H686" s="84">
        <v>6.0</v>
      </c>
      <c r="I686" s="91">
        <v>0.0</v>
      </c>
      <c r="J686" s="84">
        <v>0.0</v>
      </c>
      <c r="K686" s="84">
        <v>0.0</v>
      </c>
      <c r="L686" s="84">
        <v>0.0</v>
      </c>
      <c r="M686" s="84">
        <v>0.0</v>
      </c>
      <c r="N686" s="84">
        <v>0.0</v>
      </c>
      <c r="O686" s="84">
        <v>0.0</v>
      </c>
      <c r="P686" s="84">
        <v>0.0</v>
      </c>
      <c r="Q686" s="84">
        <v>0.0</v>
      </c>
      <c r="R686" s="84">
        <v>0.0</v>
      </c>
      <c r="S686" s="84">
        <v>0.0</v>
      </c>
      <c r="T686" s="84">
        <v>0.0</v>
      </c>
      <c r="U686" s="84">
        <v>0.0</v>
      </c>
      <c r="V686" s="84">
        <v>0.0</v>
      </c>
      <c r="W686" s="84">
        <v>0.0</v>
      </c>
      <c r="X686" s="84">
        <v>0.0</v>
      </c>
      <c r="Y686" s="84">
        <v>0.0</v>
      </c>
      <c r="Z686" s="84">
        <v>0.0</v>
      </c>
      <c r="AA686" s="84">
        <v>0.0</v>
      </c>
      <c r="AB686" s="84">
        <v>5.0</v>
      </c>
      <c r="AC686" s="91">
        <v>0.0</v>
      </c>
      <c r="AD686" s="84">
        <v>0.0</v>
      </c>
      <c r="AE686" s="84">
        <v>0.0</v>
      </c>
      <c r="AF686" s="84">
        <v>0.0</v>
      </c>
      <c r="AG686" s="84">
        <v>0.0</v>
      </c>
      <c r="AH686" s="84">
        <v>0.0</v>
      </c>
      <c r="AI686" s="84">
        <v>0.0</v>
      </c>
      <c r="AJ686" s="84">
        <v>0.0</v>
      </c>
      <c r="AK686" s="84">
        <v>0.0</v>
      </c>
      <c r="AL686" s="84">
        <v>0.0</v>
      </c>
      <c r="AM686" s="84">
        <v>0.0</v>
      </c>
      <c r="AN686" s="93">
        <f t="shared" si="1"/>
        <v>0</v>
      </c>
      <c r="AO686" s="84">
        <f t="shared" si="2"/>
        <v>0</v>
      </c>
    </row>
    <row r="687" ht="12.75" customHeight="1">
      <c r="A687" s="84" t="s">
        <v>3287</v>
      </c>
      <c r="B687" s="84">
        <v>0.0</v>
      </c>
      <c r="C687" s="84">
        <v>0.0</v>
      </c>
      <c r="D687" s="84">
        <v>5.0</v>
      </c>
      <c r="E687" s="84">
        <v>9.0</v>
      </c>
      <c r="F687" s="84">
        <v>0.0</v>
      </c>
      <c r="G687" s="84">
        <v>0.0</v>
      </c>
      <c r="H687" s="84">
        <v>0.0</v>
      </c>
      <c r="I687" s="91">
        <v>0.0</v>
      </c>
      <c r="J687" s="84">
        <v>0.0</v>
      </c>
      <c r="K687" s="84">
        <v>0.0</v>
      </c>
      <c r="L687" s="84">
        <v>0.0</v>
      </c>
      <c r="M687" s="84">
        <v>0.0</v>
      </c>
      <c r="N687" s="84">
        <v>0.0</v>
      </c>
      <c r="O687" s="84">
        <v>0.0</v>
      </c>
      <c r="P687" s="84">
        <v>0.0</v>
      </c>
      <c r="Q687" s="84">
        <v>0.0</v>
      </c>
      <c r="R687" s="84">
        <v>0.0</v>
      </c>
      <c r="S687" s="84">
        <v>0.0</v>
      </c>
      <c r="T687" s="84">
        <v>0.0</v>
      </c>
      <c r="U687" s="84">
        <v>0.0</v>
      </c>
      <c r="V687" s="84">
        <v>0.0</v>
      </c>
      <c r="W687" s="84">
        <v>0.0</v>
      </c>
      <c r="X687" s="84">
        <v>6.0</v>
      </c>
      <c r="Y687" s="84">
        <v>5.0</v>
      </c>
      <c r="Z687" s="84">
        <v>0.0</v>
      </c>
      <c r="AA687" s="84">
        <v>0.0</v>
      </c>
      <c r="AB687" s="84">
        <v>0.0</v>
      </c>
      <c r="AC687" s="91">
        <v>0.0</v>
      </c>
      <c r="AD687" s="84">
        <v>0.0</v>
      </c>
      <c r="AE687" s="84">
        <v>0.0</v>
      </c>
      <c r="AF687" s="84">
        <v>0.0</v>
      </c>
      <c r="AG687" s="84">
        <v>0.0</v>
      </c>
      <c r="AH687" s="84">
        <v>0.0</v>
      </c>
      <c r="AI687" s="84">
        <v>0.0</v>
      </c>
      <c r="AJ687" s="84">
        <v>0.0</v>
      </c>
      <c r="AK687" s="84">
        <v>0.0</v>
      </c>
      <c r="AL687" s="84">
        <v>0.0</v>
      </c>
      <c r="AM687" s="84">
        <v>0.0</v>
      </c>
      <c r="AN687" s="93">
        <f t="shared" si="1"/>
        <v>0</v>
      </c>
      <c r="AO687" s="84">
        <f t="shared" si="2"/>
        <v>0</v>
      </c>
    </row>
    <row r="688" ht="12.75" customHeight="1">
      <c r="A688" s="84" t="s">
        <v>3862</v>
      </c>
      <c r="B688" s="84">
        <v>0.0</v>
      </c>
      <c r="C688" s="84">
        <v>0.0</v>
      </c>
      <c r="D688" s="84">
        <v>0.0</v>
      </c>
      <c r="E688" s="84">
        <v>0.0</v>
      </c>
      <c r="F688" s="84">
        <v>0.0</v>
      </c>
      <c r="G688" s="84">
        <v>0.0</v>
      </c>
      <c r="H688" s="84">
        <v>6.0</v>
      </c>
      <c r="I688" s="91">
        <v>0.0</v>
      </c>
      <c r="J688" s="84">
        <v>0.0</v>
      </c>
      <c r="K688" s="84">
        <v>0.0</v>
      </c>
      <c r="L688" s="84">
        <v>0.0</v>
      </c>
      <c r="M688" s="84">
        <v>0.0</v>
      </c>
      <c r="N688" s="84">
        <v>0.0</v>
      </c>
      <c r="O688" s="84">
        <v>0.0</v>
      </c>
      <c r="P688" s="84">
        <v>0.0</v>
      </c>
      <c r="Q688" s="84">
        <v>0.0</v>
      </c>
      <c r="R688" s="84">
        <v>0.0</v>
      </c>
      <c r="S688" s="84">
        <v>0.0</v>
      </c>
      <c r="T688" s="84">
        <v>0.0</v>
      </c>
      <c r="U688" s="84">
        <v>0.0</v>
      </c>
      <c r="V688" s="84">
        <v>0.0</v>
      </c>
      <c r="W688" s="84">
        <v>0.0</v>
      </c>
      <c r="X688" s="84">
        <v>0.0</v>
      </c>
      <c r="Y688" s="84">
        <v>0.0</v>
      </c>
      <c r="Z688" s="84">
        <v>0.0</v>
      </c>
      <c r="AA688" s="84">
        <v>0.0</v>
      </c>
      <c r="AB688" s="84">
        <v>6.0</v>
      </c>
      <c r="AC688" s="91">
        <v>0.0</v>
      </c>
      <c r="AD688" s="84">
        <v>0.0</v>
      </c>
      <c r="AE688" s="84">
        <v>0.0</v>
      </c>
      <c r="AF688" s="84">
        <v>0.0</v>
      </c>
      <c r="AG688" s="84">
        <v>0.0</v>
      </c>
      <c r="AH688" s="84">
        <v>0.0</v>
      </c>
      <c r="AI688" s="84">
        <v>0.0</v>
      </c>
      <c r="AJ688" s="84">
        <v>0.0</v>
      </c>
      <c r="AK688" s="84">
        <v>0.0</v>
      </c>
      <c r="AL688" s="84">
        <v>0.0</v>
      </c>
      <c r="AM688" s="84">
        <v>0.0</v>
      </c>
      <c r="AN688" s="93">
        <f t="shared" si="1"/>
        <v>0</v>
      </c>
      <c r="AO688" s="84">
        <f t="shared" si="2"/>
        <v>0</v>
      </c>
    </row>
    <row r="689" ht="12.75" customHeight="1">
      <c r="A689" s="84" t="s">
        <v>3462</v>
      </c>
      <c r="B689" s="84">
        <v>0.0</v>
      </c>
      <c r="C689" s="84">
        <v>0.0</v>
      </c>
      <c r="D689" s="84">
        <v>0.0</v>
      </c>
      <c r="E689" s="84">
        <v>5.0</v>
      </c>
      <c r="F689" s="84">
        <v>1.0</v>
      </c>
      <c r="G689" s="84">
        <v>0.0</v>
      </c>
      <c r="H689" s="84">
        <v>0.0</v>
      </c>
      <c r="I689" s="91">
        <v>0.0</v>
      </c>
      <c r="J689" s="84">
        <v>0.0</v>
      </c>
      <c r="K689" s="84">
        <v>0.0</v>
      </c>
      <c r="L689" s="84">
        <v>0.0</v>
      </c>
      <c r="M689" s="84">
        <v>0.0</v>
      </c>
      <c r="N689" s="84">
        <v>0.0</v>
      </c>
      <c r="O689" s="84">
        <v>0.0</v>
      </c>
      <c r="P689" s="84">
        <v>0.0</v>
      </c>
      <c r="Q689" s="84">
        <v>0.0</v>
      </c>
      <c r="R689" s="84">
        <v>0.0</v>
      </c>
      <c r="S689" s="84">
        <v>0.0</v>
      </c>
      <c r="T689" s="84">
        <v>0.0</v>
      </c>
      <c r="U689" s="84">
        <v>0.0</v>
      </c>
      <c r="V689" s="84">
        <v>0.0</v>
      </c>
      <c r="W689" s="84">
        <v>0.0</v>
      </c>
      <c r="X689" s="84">
        <v>0.0</v>
      </c>
      <c r="Y689" s="84">
        <v>6.0</v>
      </c>
      <c r="Z689" s="84">
        <v>5.0</v>
      </c>
      <c r="AA689" s="84">
        <v>0.0</v>
      </c>
      <c r="AB689" s="84">
        <v>0.0</v>
      </c>
      <c r="AC689" s="91">
        <v>0.0</v>
      </c>
      <c r="AD689" s="84">
        <v>0.0</v>
      </c>
      <c r="AE689" s="84">
        <v>0.0</v>
      </c>
      <c r="AF689" s="84">
        <v>0.0</v>
      </c>
      <c r="AG689" s="84">
        <v>0.0</v>
      </c>
      <c r="AH689" s="84">
        <v>0.0</v>
      </c>
      <c r="AI689" s="84">
        <v>0.0</v>
      </c>
      <c r="AJ689" s="84">
        <v>0.0</v>
      </c>
      <c r="AK689" s="84">
        <v>0.0</v>
      </c>
      <c r="AL689" s="84">
        <v>0.0</v>
      </c>
      <c r="AM689" s="84">
        <v>0.0</v>
      </c>
      <c r="AN689" s="93">
        <f t="shared" si="1"/>
        <v>0</v>
      </c>
      <c r="AO689" s="84">
        <f t="shared" si="2"/>
        <v>0</v>
      </c>
    </row>
    <row r="690" ht="12.75" customHeight="1">
      <c r="A690" s="84" t="s">
        <v>3637</v>
      </c>
      <c r="B690" s="84">
        <v>0.0</v>
      </c>
      <c r="C690" s="84">
        <v>0.0</v>
      </c>
      <c r="D690" s="84">
        <v>0.0</v>
      </c>
      <c r="E690" s="84">
        <v>0.0</v>
      </c>
      <c r="F690" s="84">
        <v>6.0</v>
      </c>
      <c r="G690" s="84">
        <v>1.0</v>
      </c>
      <c r="H690" s="84">
        <v>0.0</v>
      </c>
      <c r="I690" s="91">
        <v>0.0</v>
      </c>
      <c r="J690" s="84">
        <v>0.0</v>
      </c>
      <c r="K690" s="84">
        <v>0.0</v>
      </c>
      <c r="L690" s="84">
        <v>0.0</v>
      </c>
      <c r="M690" s="84">
        <v>0.0</v>
      </c>
      <c r="N690" s="84">
        <v>0.0</v>
      </c>
      <c r="O690" s="84">
        <v>0.0</v>
      </c>
      <c r="P690" s="84">
        <v>0.0</v>
      </c>
      <c r="Q690" s="84">
        <v>0.0</v>
      </c>
      <c r="R690" s="84">
        <v>0.0</v>
      </c>
      <c r="S690" s="84">
        <v>0.0</v>
      </c>
      <c r="T690" s="84">
        <v>0.0</v>
      </c>
      <c r="U690" s="84">
        <v>0.0</v>
      </c>
      <c r="V690" s="84">
        <v>0.0</v>
      </c>
      <c r="W690" s="84">
        <v>0.0</v>
      </c>
      <c r="X690" s="84">
        <v>0.0</v>
      </c>
      <c r="Y690" s="84">
        <v>0.0</v>
      </c>
      <c r="Z690" s="84">
        <v>6.0</v>
      </c>
      <c r="AA690" s="84">
        <v>1.0</v>
      </c>
      <c r="AB690" s="84">
        <v>0.0</v>
      </c>
      <c r="AC690" s="91">
        <v>0.0</v>
      </c>
      <c r="AD690" s="84">
        <v>0.0</v>
      </c>
      <c r="AE690" s="84">
        <v>0.0</v>
      </c>
      <c r="AF690" s="84">
        <v>0.0</v>
      </c>
      <c r="AG690" s="84">
        <v>0.0</v>
      </c>
      <c r="AH690" s="84">
        <v>0.0</v>
      </c>
      <c r="AI690" s="84">
        <v>0.0</v>
      </c>
      <c r="AJ690" s="84">
        <v>0.0</v>
      </c>
      <c r="AK690" s="84">
        <v>0.0</v>
      </c>
      <c r="AL690" s="84">
        <v>0.0</v>
      </c>
      <c r="AM690" s="84">
        <v>0.0</v>
      </c>
      <c r="AN690" s="93">
        <f t="shared" si="1"/>
        <v>0</v>
      </c>
      <c r="AO690" s="84">
        <f t="shared" si="2"/>
        <v>0</v>
      </c>
    </row>
    <row r="691" ht="12.75" customHeight="1">
      <c r="A691" s="84" t="s">
        <v>3119</v>
      </c>
      <c r="B691" s="84">
        <v>0.0</v>
      </c>
      <c r="C691" s="84">
        <v>5.0</v>
      </c>
      <c r="D691" s="84">
        <v>2.0</v>
      </c>
      <c r="E691" s="84">
        <v>0.0</v>
      </c>
      <c r="F691" s="84">
        <v>0.0</v>
      </c>
      <c r="G691" s="84">
        <v>0.0</v>
      </c>
      <c r="H691" s="84">
        <v>0.0</v>
      </c>
      <c r="I691" s="91">
        <v>0.0</v>
      </c>
      <c r="J691" s="84">
        <v>0.0</v>
      </c>
      <c r="K691" s="84">
        <v>0.0</v>
      </c>
      <c r="L691" s="84">
        <v>0.0</v>
      </c>
      <c r="M691" s="84">
        <v>0.0</v>
      </c>
      <c r="N691" s="84">
        <v>0.0</v>
      </c>
      <c r="O691" s="84">
        <v>0.0</v>
      </c>
      <c r="P691" s="84">
        <v>0.0</v>
      </c>
      <c r="Q691" s="84">
        <v>0.0</v>
      </c>
      <c r="R691" s="84">
        <v>0.0</v>
      </c>
      <c r="S691" s="84">
        <v>0.0</v>
      </c>
      <c r="T691" s="84">
        <v>0.0</v>
      </c>
      <c r="U691" s="84">
        <v>0.0</v>
      </c>
      <c r="V691" s="84">
        <v>0.0</v>
      </c>
      <c r="W691" s="84">
        <v>3.0</v>
      </c>
      <c r="X691" s="84">
        <v>0.0</v>
      </c>
      <c r="Y691" s="84">
        <v>0.0</v>
      </c>
      <c r="Z691" s="84">
        <v>0.0</v>
      </c>
      <c r="AA691" s="84">
        <v>0.0</v>
      </c>
      <c r="AB691" s="84">
        <v>0.0</v>
      </c>
      <c r="AC691" s="91">
        <v>0.0</v>
      </c>
      <c r="AD691" s="84">
        <v>0.0</v>
      </c>
      <c r="AE691" s="84">
        <v>0.0</v>
      </c>
      <c r="AF691" s="84">
        <v>0.0</v>
      </c>
      <c r="AG691" s="84">
        <v>0.0</v>
      </c>
      <c r="AH691" s="84">
        <v>0.0</v>
      </c>
      <c r="AI691" s="84">
        <v>0.0</v>
      </c>
      <c r="AJ691" s="84">
        <v>0.0</v>
      </c>
      <c r="AK691" s="84">
        <v>0.0</v>
      </c>
      <c r="AL691" s="84">
        <v>0.0</v>
      </c>
      <c r="AM691" s="84">
        <v>0.0</v>
      </c>
      <c r="AN691" s="93">
        <f t="shared" si="1"/>
        <v>0</v>
      </c>
      <c r="AO691" s="84">
        <f t="shared" si="2"/>
        <v>0</v>
      </c>
    </row>
    <row r="692" ht="12.75" customHeight="1">
      <c r="A692" s="84" t="s">
        <v>3576</v>
      </c>
      <c r="B692" s="84">
        <v>0.0</v>
      </c>
      <c r="C692" s="84">
        <v>0.0</v>
      </c>
      <c r="D692" s="84">
        <v>0.0</v>
      </c>
      <c r="E692" s="84">
        <v>6.0</v>
      </c>
      <c r="F692" s="84">
        <v>2.0</v>
      </c>
      <c r="G692" s="84">
        <v>0.0</v>
      </c>
      <c r="H692" s="84">
        <v>0.0</v>
      </c>
      <c r="I692" s="91">
        <v>0.0</v>
      </c>
      <c r="J692" s="84">
        <v>0.0</v>
      </c>
      <c r="K692" s="84">
        <v>0.0</v>
      </c>
      <c r="L692" s="84">
        <v>0.0</v>
      </c>
      <c r="M692" s="84">
        <v>0.0</v>
      </c>
      <c r="N692" s="84">
        <v>0.0</v>
      </c>
      <c r="O692" s="84">
        <v>0.0</v>
      </c>
      <c r="P692" s="84">
        <v>0.0</v>
      </c>
      <c r="Q692" s="84">
        <v>0.0</v>
      </c>
      <c r="R692" s="84">
        <v>0.0</v>
      </c>
      <c r="S692" s="84">
        <v>0.0</v>
      </c>
      <c r="T692" s="84">
        <v>0.0</v>
      </c>
      <c r="U692" s="84">
        <v>0.0</v>
      </c>
      <c r="V692" s="84">
        <v>0.0</v>
      </c>
      <c r="W692" s="84">
        <v>0.0</v>
      </c>
      <c r="X692" s="84">
        <v>0.0</v>
      </c>
      <c r="Y692" s="84">
        <v>6.0</v>
      </c>
      <c r="Z692" s="84">
        <v>2.0</v>
      </c>
      <c r="AA692" s="84">
        <v>0.0</v>
      </c>
      <c r="AB692" s="84">
        <v>0.0</v>
      </c>
      <c r="AC692" s="91">
        <v>0.0</v>
      </c>
      <c r="AD692" s="84">
        <v>0.0</v>
      </c>
      <c r="AE692" s="84">
        <v>0.0</v>
      </c>
      <c r="AF692" s="84">
        <v>0.0</v>
      </c>
      <c r="AG692" s="84">
        <v>0.0</v>
      </c>
      <c r="AH692" s="84">
        <v>0.0</v>
      </c>
      <c r="AI692" s="84">
        <v>0.0</v>
      </c>
      <c r="AJ692" s="84">
        <v>0.0</v>
      </c>
      <c r="AK692" s="84">
        <v>0.0</v>
      </c>
      <c r="AL692" s="84">
        <v>0.0</v>
      </c>
      <c r="AM692" s="84">
        <v>0.0</v>
      </c>
      <c r="AN692" s="93">
        <f t="shared" si="1"/>
        <v>0</v>
      </c>
      <c r="AO692" s="84">
        <f t="shared" si="2"/>
        <v>0</v>
      </c>
    </row>
    <row r="693" ht="12.75" customHeight="1">
      <c r="A693" s="84" t="s">
        <v>3230</v>
      </c>
      <c r="B693" s="84">
        <v>0.0</v>
      </c>
      <c r="C693" s="84">
        <v>5.0</v>
      </c>
      <c r="D693" s="84">
        <v>1.0</v>
      </c>
      <c r="E693" s="84">
        <v>0.0</v>
      </c>
      <c r="F693" s="84">
        <v>0.0</v>
      </c>
      <c r="G693" s="84">
        <v>0.0</v>
      </c>
      <c r="H693" s="84">
        <v>0.0</v>
      </c>
      <c r="I693" s="91">
        <v>0.0</v>
      </c>
      <c r="J693" s="84">
        <v>0.0</v>
      </c>
      <c r="K693" s="84">
        <v>0.0</v>
      </c>
      <c r="L693" s="84">
        <v>0.0</v>
      </c>
      <c r="M693" s="84">
        <v>0.0</v>
      </c>
      <c r="N693" s="84">
        <v>0.0</v>
      </c>
      <c r="O693" s="84">
        <v>0.0</v>
      </c>
      <c r="P693" s="84">
        <v>0.0</v>
      </c>
      <c r="Q693" s="84">
        <v>0.0</v>
      </c>
      <c r="R693" s="84">
        <v>0.0</v>
      </c>
      <c r="S693" s="84">
        <v>0.0</v>
      </c>
      <c r="T693" s="84">
        <v>0.0</v>
      </c>
      <c r="U693" s="84">
        <v>0.0</v>
      </c>
      <c r="V693" s="84">
        <v>0.0</v>
      </c>
      <c r="W693" s="84">
        <v>3.0</v>
      </c>
      <c r="X693" s="84">
        <v>4.0</v>
      </c>
      <c r="Y693" s="84">
        <v>0.0</v>
      </c>
      <c r="Z693" s="84">
        <v>0.0</v>
      </c>
      <c r="AA693" s="84">
        <v>0.0</v>
      </c>
      <c r="AB693" s="84">
        <v>0.0</v>
      </c>
      <c r="AC693" s="91">
        <v>0.0</v>
      </c>
      <c r="AD693" s="84">
        <v>0.0</v>
      </c>
      <c r="AE693" s="84">
        <v>0.0</v>
      </c>
      <c r="AF693" s="84">
        <v>0.0</v>
      </c>
      <c r="AG693" s="84">
        <v>0.0</v>
      </c>
      <c r="AH693" s="84">
        <v>0.0</v>
      </c>
      <c r="AI693" s="84">
        <v>0.0</v>
      </c>
      <c r="AJ693" s="84">
        <v>0.0</v>
      </c>
      <c r="AK693" s="84">
        <v>0.0</v>
      </c>
      <c r="AL693" s="84">
        <v>0.0</v>
      </c>
      <c r="AM693" s="84">
        <v>0.0</v>
      </c>
      <c r="AN693" s="93">
        <f t="shared" si="1"/>
        <v>0</v>
      </c>
      <c r="AO693" s="84">
        <f t="shared" si="2"/>
        <v>0</v>
      </c>
    </row>
    <row r="694" ht="12.75" customHeight="1">
      <c r="A694" s="84" t="s">
        <v>3722</v>
      </c>
      <c r="B694" s="84">
        <v>0.0</v>
      </c>
      <c r="C694" s="84">
        <v>0.0</v>
      </c>
      <c r="D694" s="84">
        <v>0.0</v>
      </c>
      <c r="E694" s="84">
        <v>0.0</v>
      </c>
      <c r="F694" s="84">
        <v>4.0</v>
      </c>
      <c r="G694" s="84">
        <v>3.0</v>
      </c>
      <c r="H694" s="84">
        <v>0.0</v>
      </c>
      <c r="I694" s="91">
        <v>0.0</v>
      </c>
      <c r="J694" s="84">
        <v>0.0</v>
      </c>
      <c r="K694" s="84">
        <v>0.0</v>
      </c>
      <c r="L694" s="84">
        <v>0.0</v>
      </c>
      <c r="M694" s="84">
        <v>0.0</v>
      </c>
      <c r="N694" s="84">
        <v>0.0</v>
      </c>
      <c r="O694" s="84">
        <v>0.0</v>
      </c>
      <c r="P694" s="84">
        <v>0.0</v>
      </c>
      <c r="Q694" s="84">
        <v>0.0</v>
      </c>
      <c r="R694" s="84">
        <v>0.0</v>
      </c>
      <c r="S694" s="84">
        <v>0.0</v>
      </c>
      <c r="T694" s="84">
        <v>0.0</v>
      </c>
      <c r="U694" s="84">
        <v>0.0</v>
      </c>
      <c r="V694" s="84">
        <v>0.0</v>
      </c>
      <c r="W694" s="84">
        <v>0.0</v>
      </c>
      <c r="X694" s="84">
        <v>0.0</v>
      </c>
      <c r="Y694" s="84">
        <v>0.0</v>
      </c>
      <c r="Z694" s="84">
        <v>6.0</v>
      </c>
      <c r="AA694" s="84">
        <v>2.0</v>
      </c>
      <c r="AB694" s="84">
        <v>0.0</v>
      </c>
      <c r="AC694" s="91">
        <v>0.0</v>
      </c>
      <c r="AD694" s="84">
        <v>0.0</v>
      </c>
      <c r="AE694" s="84">
        <v>0.0</v>
      </c>
      <c r="AF694" s="84">
        <v>0.0</v>
      </c>
      <c r="AG694" s="84">
        <v>0.0</v>
      </c>
      <c r="AH694" s="84">
        <v>0.0</v>
      </c>
      <c r="AI694" s="84">
        <v>0.0</v>
      </c>
      <c r="AJ694" s="84">
        <v>0.0</v>
      </c>
      <c r="AK694" s="84">
        <v>0.0</v>
      </c>
      <c r="AL694" s="84">
        <v>0.0</v>
      </c>
      <c r="AM694" s="84">
        <v>0.0</v>
      </c>
      <c r="AN694" s="93">
        <f t="shared" si="1"/>
        <v>0</v>
      </c>
      <c r="AO694" s="84">
        <f t="shared" si="2"/>
        <v>0</v>
      </c>
    </row>
    <row r="695" ht="12.75" customHeight="1">
      <c r="A695" s="84" t="s">
        <v>3422</v>
      </c>
      <c r="B695" s="84">
        <v>0.0</v>
      </c>
      <c r="C695" s="84">
        <v>0.0</v>
      </c>
      <c r="D695" s="84">
        <v>5.0</v>
      </c>
      <c r="E695" s="84">
        <v>0.0</v>
      </c>
      <c r="F695" s="84">
        <v>0.0</v>
      </c>
      <c r="G695" s="84">
        <v>0.0</v>
      </c>
      <c r="H695" s="84">
        <v>0.0</v>
      </c>
      <c r="I695" s="91">
        <v>0.0</v>
      </c>
      <c r="J695" s="84">
        <v>0.0</v>
      </c>
      <c r="K695" s="84">
        <v>0.0</v>
      </c>
      <c r="L695" s="84">
        <v>0.0</v>
      </c>
      <c r="M695" s="84">
        <v>0.0</v>
      </c>
      <c r="N695" s="84">
        <v>0.0</v>
      </c>
      <c r="O695" s="84">
        <v>0.0</v>
      </c>
      <c r="P695" s="84">
        <v>0.0</v>
      </c>
      <c r="Q695" s="84">
        <v>0.0</v>
      </c>
      <c r="R695" s="84">
        <v>0.0</v>
      </c>
      <c r="S695" s="84">
        <v>0.0</v>
      </c>
      <c r="T695" s="84">
        <v>0.0</v>
      </c>
      <c r="U695" s="84">
        <v>0.0</v>
      </c>
      <c r="V695" s="84">
        <v>0.0</v>
      </c>
      <c r="W695" s="84">
        <v>0.0</v>
      </c>
      <c r="X695" s="84">
        <v>6.0</v>
      </c>
      <c r="Y695" s="84">
        <v>2.0</v>
      </c>
      <c r="Z695" s="84">
        <v>0.0</v>
      </c>
      <c r="AA695" s="84">
        <v>0.0</v>
      </c>
      <c r="AB695" s="84">
        <v>0.0</v>
      </c>
      <c r="AC695" s="91">
        <v>0.0</v>
      </c>
      <c r="AD695" s="84">
        <v>0.0</v>
      </c>
      <c r="AE695" s="84">
        <v>0.0</v>
      </c>
      <c r="AF695" s="84">
        <v>0.0</v>
      </c>
      <c r="AG695" s="84">
        <v>0.0</v>
      </c>
      <c r="AH695" s="84">
        <v>0.0</v>
      </c>
      <c r="AI695" s="84">
        <v>0.0</v>
      </c>
      <c r="AJ695" s="84">
        <v>0.0</v>
      </c>
      <c r="AK695" s="84">
        <v>0.0</v>
      </c>
      <c r="AL695" s="84">
        <v>0.0</v>
      </c>
      <c r="AM695" s="84">
        <v>0.0</v>
      </c>
      <c r="AN695" s="93">
        <f t="shared" si="1"/>
        <v>0</v>
      </c>
      <c r="AO695" s="84">
        <f t="shared" si="2"/>
        <v>0</v>
      </c>
    </row>
    <row r="696" ht="12.75" customHeight="1">
      <c r="A696" s="84" t="s">
        <v>4527</v>
      </c>
      <c r="B696" s="84">
        <v>0.0</v>
      </c>
      <c r="C696" s="84">
        <v>0.0</v>
      </c>
      <c r="D696" s="84">
        <v>0.0</v>
      </c>
      <c r="E696" s="84">
        <v>0.0</v>
      </c>
      <c r="F696" s="84">
        <v>0.0</v>
      </c>
      <c r="G696" s="84">
        <v>0.0</v>
      </c>
      <c r="H696" s="84">
        <v>0.0</v>
      </c>
      <c r="I696" s="91">
        <v>0.0</v>
      </c>
      <c r="J696" s="84">
        <v>0.0</v>
      </c>
      <c r="K696" s="84">
        <v>0.0</v>
      </c>
      <c r="L696" s="84">
        <v>0.0</v>
      </c>
      <c r="M696" s="84">
        <v>0.0</v>
      </c>
      <c r="N696" s="84">
        <v>0.0</v>
      </c>
      <c r="O696" s="84">
        <v>1.0</v>
      </c>
      <c r="P696" s="84">
        <v>0.0</v>
      </c>
      <c r="Q696" s="84">
        <v>0.0</v>
      </c>
      <c r="R696" s="84">
        <v>0.0</v>
      </c>
      <c r="S696" s="84">
        <v>0.0</v>
      </c>
      <c r="T696" s="84">
        <v>0.0</v>
      </c>
      <c r="U696" s="84">
        <v>0.0</v>
      </c>
      <c r="V696" s="84">
        <v>0.0</v>
      </c>
      <c r="W696" s="84">
        <v>0.0</v>
      </c>
      <c r="X696" s="84">
        <v>0.0</v>
      </c>
      <c r="Y696" s="84">
        <v>0.0</v>
      </c>
      <c r="Z696" s="84">
        <v>0.0</v>
      </c>
      <c r="AA696" s="84">
        <v>0.0</v>
      </c>
      <c r="AB696" s="84">
        <v>0.0</v>
      </c>
      <c r="AC696" s="91">
        <v>0.0</v>
      </c>
      <c r="AD696" s="84">
        <v>0.0</v>
      </c>
      <c r="AE696" s="84">
        <v>0.0</v>
      </c>
      <c r="AF696" s="84">
        <v>0.0</v>
      </c>
      <c r="AG696" s="84">
        <v>0.0</v>
      </c>
      <c r="AH696" s="84">
        <v>0.0</v>
      </c>
      <c r="AI696" s="84">
        <v>0.0</v>
      </c>
      <c r="AJ696" s="84">
        <v>0.0</v>
      </c>
      <c r="AK696" s="84">
        <v>0.0</v>
      </c>
      <c r="AL696" s="84">
        <v>0.0</v>
      </c>
      <c r="AM696" s="84">
        <v>0.0</v>
      </c>
      <c r="AN696" s="93">
        <f t="shared" si="1"/>
        <v>0</v>
      </c>
      <c r="AO696" s="84">
        <f t="shared" si="2"/>
        <v>1</v>
      </c>
    </row>
    <row r="697" ht="12.75" customHeight="1">
      <c r="A697" s="84" t="s">
        <v>3911</v>
      </c>
      <c r="B697" s="84">
        <v>0.0</v>
      </c>
      <c r="C697" s="84">
        <v>0.0</v>
      </c>
      <c r="D697" s="84">
        <v>0.0</v>
      </c>
      <c r="E697" s="84">
        <v>0.0</v>
      </c>
      <c r="F697" s="84">
        <v>0.0</v>
      </c>
      <c r="G697" s="84">
        <v>0.0</v>
      </c>
      <c r="H697" s="84">
        <v>4.0</v>
      </c>
      <c r="I697" s="91">
        <v>0.0</v>
      </c>
      <c r="J697" s="84">
        <v>0.0</v>
      </c>
      <c r="K697" s="84">
        <v>0.0</v>
      </c>
      <c r="L697" s="84">
        <v>0.0</v>
      </c>
      <c r="M697" s="84">
        <v>0.0</v>
      </c>
      <c r="N697" s="84">
        <v>0.0</v>
      </c>
      <c r="O697" s="84">
        <v>0.0</v>
      </c>
      <c r="P697" s="84">
        <v>0.0</v>
      </c>
      <c r="Q697" s="84">
        <v>0.0</v>
      </c>
      <c r="R697" s="84">
        <v>0.0</v>
      </c>
      <c r="S697" s="84">
        <v>0.0</v>
      </c>
      <c r="T697" s="84">
        <v>0.0</v>
      </c>
      <c r="U697" s="84">
        <v>0.0</v>
      </c>
      <c r="V697" s="84">
        <v>0.0</v>
      </c>
      <c r="W697" s="84">
        <v>0.0</v>
      </c>
      <c r="X697" s="84">
        <v>0.0</v>
      </c>
      <c r="Y697" s="84">
        <v>0.0</v>
      </c>
      <c r="Z697" s="84">
        <v>0.0</v>
      </c>
      <c r="AA697" s="84">
        <v>0.0</v>
      </c>
      <c r="AB697" s="84">
        <v>6.0</v>
      </c>
      <c r="AC697" s="91">
        <v>0.0</v>
      </c>
      <c r="AD697" s="84">
        <v>0.0</v>
      </c>
      <c r="AE697" s="84">
        <v>0.0</v>
      </c>
      <c r="AF697" s="84">
        <v>0.0</v>
      </c>
      <c r="AG697" s="84">
        <v>0.0</v>
      </c>
      <c r="AH697" s="84">
        <v>0.0</v>
      </c>
      <c r="AI697" s="84">
        <v>0.0</v>
      </c>
      <c r="AJ697" s="84">
        <v>0.0</v>
      </c>
      <c r="AK697" s="84">
        <v>0.0</v>
      </c>
      <c r="AL697" s="84">
        <v>0.0</v>
      </c>
      <c r="AM697" s="84">
        <v>0.0</v>
      </c>
      <c r="AN697" s="93">
        <f t="shared" si="1"/>
        <v>0</v>
      </c>
      <c r="AO697" s="84">
        <f t="shared" si="2"/>
        <v>0</v>
      </c>
    </row>
    <row r="698" ht="12.75" customHeight="1">
      <c r="A698" s="84" t="s">
        <v>3549</v>
      </c>
      <c r="B698" s="84">
        <v>0.0</v>
      </c>
      <c r="C698" s="84">
        <v>0.0</v>
      </c>
      <c r="D698" s="84">
        <v>0.0</v>
      </c>
      <c r="E698" s="84">
        <v>6.0</v>
      </c>
      <c r="F698" s="84">
        <v>2.0</v>
      </c>
      <c r="G698" s="84">
        <v>0.0</v>
      </c>
      <c r="H698" s="84">
        <v>0.0</v>
      </c>
      <c r="I698" s="91">
        <v>0.0</v>
      </c>
      <c r="J698" s="84">
        <v>0.0</v>
      </c>
      <c r="K698" s="84">
        <v>0.0</v>
      </c>
      <c r="L698" s="84">
        <v>0.0</v>
      </c>
      <c r="M698" s="84">
        <v>0.0</v>
      </c>
      <c r="N698" s="84">
        <v>0.0</v>
      </c>
      <c r="O698" s="84">
        <v>0.0</v>
      </c>
      <c r="P698" s="84">
        <v>0.0</v>
      </c>
      <c r="Q698" s="84">
        <v>0.0</v>
      </c>
      <c r="R698" s="84">
        <v>0.0</v>
      </c>
      <c r="S698" s="84">
        <v>0.0</v>
      </c>
      <c r="T698" s="84">
        <v>0.0</v>
      </c>
      <c r="U698" s="84">
        <v>0.0</v>
      </c>
      <c r="V698" s="84">
        <v>0.0</v>
      </c>
      <c r="W698" s="84">
        <v>0.0</v>
      </c>
      <c r="X698" s="84">
        <v>0.0</v>
      </c>
      <c r="Y698" s="84">
        <v>6.0</v>
      </c>
      <c r="Z698" s="84">
        <v>1.0</v>
      </c>
      <c r="AA698" s="84">
        <v>0.0</v>
      </c>
      <c r="AB698" s="84">
        <v>0.0</v>
      </c>
      <c r="AC698" s="91">
        <v>0.0</v>
      </c>
      <c r="AD698" s="84">
        <v>0.0</v>
      </c>
      <c r="AE698" s="84">
        <v>0.0</v>
      </c>
      <c r="AF698" s="84">
        <v>0.0</v>
      </c>
      <c r="AG698" s="84">
        <v>0.0</v>
      </c>
      <c r="AH698" s="84">
        <v>0.0</v>
      </c>
      <c r="AI698" s="84">
        <v>0.0</v>
      </c>
      <c r="AJ698" s="84">
        <v>0.0</v>
      </c>
      <c r="AK698" s="84">
        <v>0.0</v>
      </c>
      <c r="AL698" s="84">
        <v>0.0</v>
      </c>
      <c r="AM698" s="84">
        <v>0.0</v>
      </c>
      <c r="AN698" s="93">
        <f t="shared" si="1"/>
        <v>0</v>
      </c>
      <c r="AO698" s="84">
        <f t="shared" si="2"/>
        <v>0</v>
      </c>
    </row>
    <row r="699" ht="12.75" customHeight="1">
      <c r="A699" s="84" t="s">
        <v>3060</v>
      </c>
      <c r="B699" s="84">
        <v>2.0</v>
      </c>
      <c r="C699" s="84">
        <v>1.0</v>
      </c>
      <c r="D699" s="84">
        <v>0.0</v>
      </c>
      <c r="E699" s="84">
        <v>0.0</v>
      </c>
      <c r="F699" s="84">
        <v>0.0</v>
      </c>
      <c r="G699" s="84">
        <v>0.0</v>
      </c>
      <c r="H699" s="84">
        <v>0.0</v>
      </c>
      <c r="I699" s="91">
        <v>0.0</v>
      </c>
      <c r="J699" s="84">
        <v>0.0</v>
      </c>
      <c r="K699" s="84">
        <v>0.0</v>
      </c>
      <c r="L699" s="84">
        <v>0.0</v>
      </c>
      <c r="M699" s="84">
        <v>0.0</v>
      </c>
      <c r="N699" s="84">
        <v>0.0</v>
      </c>
      <c r="O699" s="84">
        <v>0.0</v>
      </c>
      <c r="P699" s="84">
        <v>0.0</v>
      </c>
      <c r="Q699" s="84">
        <v>0.0</v>
      </c>
      <c r="R699" s="84">
        <v>0.0</v>
      </c>
      <c r="S699" s="84">
        <v>0.0</v>
      </c>
      <c r="T699" s="84">
        <v>0.0</v>
      </c>
      <c r="U699" s="84">
        <v>0.0</v>
      </c>
      <c r="V699" s="84">
        <v>6.0</v>
      </c>
      <c r="W699" s="84">
        <v>3.0</v>
      </c>
      <c r="X699" s="84">
        <v>0.0</v>
      </c>
      <c r="Y699" s="84">
        <v>0.0</v>
      </c>
      <c r="Z699" s="84">
        <v>0.0</v>
      </c>
      <c r="AA699" s="84">
        <v>0.0</v>
      </c>
      <c r="AB699" s="84">
        <v>0.0</v>
      </c>
      <c r="AC699" s="91">
        <v>0.0</v>
      </c>
      <c r="AD699" s="84">
        <v>0.0</v>
      </c>
      <c r="AE699" s="84">
        <v>0.0</v>
      </c>
      <c r="AF699" s="84">
        <v>0.0</v>
      </c>
      <c r="AG699" s="84">
        <v>0.0</v>
      </c>
      <c r="AH699" s="84">
        <v>0.0</v>
      </c>
      <c r="AI699" s="84">
        <v>0.0</v>
      </c>
      <c r="AJ699" s="84">
        <v>0.0</v>
      </c>
      <c r="AK699" s="84">
        <v>0.0</v>
      </c>
      <c r="AL699" s="84">
        <v>0.0</v>
      </c>
      <c r="AM699" s="84">
        <v>0.0</v>
      </c>
      <c r="AN699" s="93">
        <f t="shared" si="1"/>
        <v>0</v>
      </c>
      <c r="AO699" s="84">
        <f t="shared" si="2"/>
        <v>0</v>
      </c>
    </row>
    <row r="700" ht="12.75" customHeight="1">
      <c r="A700" s="84" t="s">
        <v>2974</v>
      </c>
      <c r="B700" s="84">
        <v>2.0</v>
      </c>
      <c r="C700" s="84">
        <v>0.0</v>
      </c>
      <c r="D700" s="84">
        <v>0.0</v>
      </c>
      <c r="E700" s="84">
        <v>0.0</v>
      </c>
      <c r="F700" s="84">
        <v>0.0</v>
      </c>
      <c r="G700" s="84">
        <v>0.0</v>
      </c>
      <c r="H700" s="84">
        <v>0.0</v>
      </c>
      <c r="I700" s="91">
        <v>0.0</v>
      </c>
      <c r="J700" s="84">
        <v>0.0</v>
      </c>
      <c r="K700" s="84">
        <v>0.0</v>
      </c>
      <c r="L700" s="84">
        <v>0.0</v>
      </c>
      <c r="M700" s="84">
        <v>0.0</v>
      </c>
      <c r="N700" s="84">
        <v>0.0</v>
      </c>
      <c r="O700" s="84">
        <v>0.0</v>
      </c>
      <c r="P700" s="84">
        <v>0.0</v>
      </c>
      <c r="Q700" s="84">
        <v>0.0</v>
      </c>
      <c r="R700" s="84">
        <v>0.0</v>
      </c>
      <c r="S700" s="84">
        <v>0.0</v>
      </c>
      <c r="T700" s="84">
        <v>0.0</v>
      </c>
      <c r="U700" s="84">
        <v>0.0</v>
      </c>
      <c r="V700" s="84">
        <v>3.0</v>
      </c>
      <c r="W700" s="84">
        <v>1.0</v>
      </c>
      <c r="X700" s="84">
        <v>0.0</v>
      </c>
      <c r="Y700" s="84">
        <v>0.0</v>
      </c>
      <c r="Z700" s="84">
        <v>0.0</v>
      </c>
      <c r="AA700" s="84">
        <v>0.0</v>
      </c>
      <c r="AB700" s="84">
        <v>0.0</v>
      </c>
      <c r="AC700" s="91">
        <v>0.0</v>
      </c>
      <c r="AD700" s="84">
        <v>0.0</v>
      </c>
      <c r="AE700" s="84">
        <v>0.0</v>
      </c>
      <c r="AF700" s="84">
        <v>0.0</v>
      </c>
      <c r="AG700" s="84">
        <v>0.0</v>
      </c>
      <c r="AH700" s="84">
        <v>0.0</v>
      </c>
      <c r="AI700" s="84">
        <v>0.0</v>
      </c>
      <c r="AJ700" s="84">
        <v>0.0</v>
      </c>
      <c r="AK700" s="84">
        <v>0.0</v>
      </c>
      <c r="AL700" s="84">
        <v>0.0</v>
      </c>
      <c r="AM700" s="84">
        <v>0.0</v>
      </c>
      <c r="AN700" s="93">
        <f t="shared" si="1"/>
        <v>0</v>
      </c>
      <c r="AO700" s="84">
        <f t="shared" si="2"/>
        <v>0</v>
      </c>
    </row>
    <row r="701" ht="12.75" customHeight="1">
      <c r="A701" s="84" t="s">
        <v>2881</v>
      </c>
      <c r="B701" s="84">
        <v>2.0</v>
      </c>
      <c r="C701" s="84">
        <v>0.0</v>
      </c>
      <c r="D701" s="84">
        <v>0.0</v>
      </c>
      <c r="E701" s="84">
        <v>0.0</v>
      </c>
      <c r="F701" s="84">
        <v>0.0</v>
      </c>
      <c r="G701" s="84">
        <v>0.0</v>
      </c>
      <c r="H701" s="84">
        <v>0.0</v>
      </c>
      <c r="I701" s="91">
        <v>0.0</v>
      </c>
      <c r="J701" s="84">
        <v>0.0</v>
      </c>
      <c r="K701" s="84">
        <v>0.0</v>
      </c>
      <c r="L701" s="84">
        <v>0.0</v>
      </c>
      <c r="M701" s="84">
        <v>0.0</v>
      </c>
      <c r="N701" s="84">
        <v>0.0</v>
      </c>
      <c r="O701" s="84">
        <v>0.0</v>
      </c>
      <c r="P701" s="84">
        <v>0.0</v>
      </c>
      <c r="Q701" s="84">
        <v>0.0</v>
      </c>
      <c r="R701" s="84">
        <v>0.0</v>
      </c>
      <c r="S701" s="84">
        <v>0.0</v>
      </c>
      <c r="T701" s="84">
        <v>0.0</v>
      </c>
      <c r="U701" s="84">
        <v>0.0</v>
      </c>
      <c r="V701" s="84">
        <v>1.0</v>
      </c>
      <c r="W701" s="84">
        <v>2.0</v>
      </c>
      <c r="X701" s="84">
        <v>0.0</v>
      </c>
      <c r="Y701" s="84">
        <v>0.0</v>
      </c>
      <c r="Z701" s="84">
        <v>0.0</v>
      </c>
      <c r="AA701" s="84">
        <v>0.0</v>
      </c>
      <c r="AB701" s="84">
        <v>0.0</v>
      </c>
      <c r="AC701" s="91">
        <v>0.0</v>
      </c>
      <c r="AD701" s="84">
        <v>0.0</v>
      </c>
      <c r="AE701" s="84">
        <v>0.0</v>
      </c>
      <c r="AF701" s="84">
        <v>0.0</v>
      </c>
      <c r="AG701" s="84">
        <v>0.0</v>
      </c>
      <c r="AH701" s="84">
        <v>0.0</v>
      </c>
      <c r="AI701" s="84">
        <v>0.0</v>
      </c>
      <c r="AJ701" s="84">
        <v>0.0</v>
      </c>
      <c r="AK701" s="84">
        <v>0.0</v>
      </c>
      <c r="AL701" s="84">
        <v>0.0</v>
      </c>
      <c r="AM701" s="84">
        <v>0.0</v>
      </c>
      <c r="AN701" s="93">
        <f t="shared" si="1"/>
        <v>0</v>
      </c>
      <c r="AO701" s="84">
        <f t="shared" si="2"/>
        <v>0</v>
      </c>
    </row>
    <row r="702" ht="12.75" customHeight="1">
      <c r="A702" s="84" t="s">
        <v>2646</v>
      </c>
      <c r="B702" s="84">
        <v>3.0</v>
      </c>
      <c r="C702" s="84">
        <v>0.0</v>
      </c>
      <c r="D702" s="84">
        <v>0.0</v>
      </c>
      <c r="E702" s="84">
        <v>0.0</v>
      </c>
      <c r="F702" s="84">
        <v>0.0</v>
      </c>
      <c r="G702" s="84">
        <v>0.0</v>
      </c>
      <c r="H702" s="84">
        <v>0.0</v>
      </c>
      <c r="I702" s="91">
        <v>0.0</v>
      </c>
      <c r="J702" s="84">
        <v>0.0</v>
      </c>
      <c r="K702" s="84">
        <v>0.0</v>
      </c>
      <c r="L702" s="84">
        <v>0.0</v>
      </c>
      <c r="M702" s="84">
        <v>0.0</v>
      </c>
      <c r="N702" s="84">
        <v>0.0</v>
      </c>
      <c r="O702" s="84">
        <v>0.0</v>
      </c>
      <c r="P702" s="84">
        <v>0.0</v>
      </c>
      <c r="Q702" s="84">
        <v>0.0</v>
      </c>
      <c r="R702" s="84">
        <v>0.0</v>
      </c>
      <c r="S702" s="84">
        <v>0.0</v>
      </c>
      <c r="T702" s="84">
        <v>0.0</v>
      </c>
      <c r="U702" s="84">
        <v>0.0</v>
      </c>
      <c r="V702" s="84">
        <v>3.0</v>
      </c>
      <c r="W702" s="84">
        <v>1.0</v>
      </c>
      <c r="X702" s="84">
        <v>0.0</v>
      </c>
      <c r="Y702" s="84">
        <v>0.0</v>
      </c>
      <c r="Z702" s="84">
        <v>0.0</v>
      </c>
      <c r="AA702" s="84">
        <v>0.0</v>
      </c>
      <c r="AB702" s="84">
        <v>0.0</v>
      </c>
      <c r="AC702" s="91">
        <v>0.0</v>
      </c>
      <c r="AD702" s="84">
        <v>0.0</v>
      </c>
      <c r="AE702" s="84">
        <v>0.0</v>
      </c>
      <c r="AF702" s="84">
        <v>0.0</v>
      </c>
      <c r="AG702" s="84">
        <v>0.0</v>
      </c>
      <c r="AH702" s="84">
        <v>0.0</v>
      </c>
      <c r="AI702" s="84">
        <v>0.0</v>
      </c>
      <c r="AJ702" s="84">
        <v>0.0</v>
      </c>
      <c r="AK702" s="84">
        <v>0.0</v>
      </c>
      <c r="AL702" s="84">
        <v>0.0</v>
      </c>
      <c r="AM702" s="84">
        <v>0.0</v>
      </c>
      <c r="AN702" s="93">
        <f t="shared" si="1"/>
        <v>0</v>
      </c>
      <c r="AO702" s="84">
        <f t="shared" si="2"/>
        <v>0</v>
      </c>
    </row>
    <row r="703" ht="12.75" customHeight="1">
      <c r="A703" s="84" t="s">
        <v>3178</v>
      </c>
      <c r="B703" s="84">
        <v>0.0</v>
      </c>
      <c r="C703" s="84">
        <v>4.0</v>
      </c>
      <c r="D703" s="84">
        <v>0.0</v>
      </c>
      <c r="E703" s="84">
        <v>0.0</v>
      </c>
      <c r="F703" s="84">
        <v>0.0</v>
      </c>
      <c r="G703" s="84">
        <v>0.0</v>
      </c>
      <c r="H703" s="84">
        <v>0.0</v>
      </c>
      <c r="I703" s="91">
        <v>0.0</v>
      </c>
      <c r="J703" s="84">
        <v>0.0</v>
      </c>
      <c r="K703" s="84">
        <v>0.0</v>
      </c>
      <c r="L703" s="84">
        <v>0.0</v>
      </c>
      <c r="M703" s="84">
        <v>0.0</v>
      </c>
      <c r="N703" s="84">
        <v>0.0</v>
      </c>
      <c r="O703" s="84">
        <v>0.0</v>
      </c>
      <c r="P703" s="84">
        <v>0.0</v>
      </c>
      <c r="Q703" s="84">
        <v>0.0</v>
      </c>
      <c r="R703" s="84">
        <v>0.0</v>
      </c>
      <c r="S703" s="84">
        <v>0.0</v>
      </c>
      <c r="T703" s="84">
        <v>0.0</v>
      </c>
      <c r="U703" s="84">
        <v>0.0</v>
      </c>
      <c r="V703" s="84">
        <v>0.0</v>
      </c>
      <c r="W703" s="84">
        <v>3.0</v>
      </c>
      <c r="X703" s="84">
        <v>3.0</v>
      </c>
      <c r="Y703" s="84">
        <v>0.0</v>
      </c>
      <c r="Z703" s="84">
        <v>0.0</v>
      </c>
      <c r="AA703" s="84">
        <v>0.0</v>
      </c>
      <c r="AB703" s="84">
        <v>0.0</v>
      </c>
      <c r="AC703" s="91">
        <v>0.0</v>
      </c>
      <c r="AD703" s="84">
        <v>0.0</v>
      </c>
      <c r="AE703" s="84">
        <v>0.0</v>
      </c>
      <c r="AF703" s="84">
        <v>0.0</v>
      </c>
      <c r="AG703" s="84">
        <v>0.0</v>
      </c>
      <c r="AH703" s="84">
        <v>0.0</v>
      </c>
      <c r="AI703" s="84">
        <v>0.0</v>
      </c>
      <c r="AJ703" s="84">
        <v>0.0</v>
      </c>
      <c r="AK703" s="84">
        <v>0.0</v>
      </c>
      <c r="AL703" s="84">
        <v>0.0</v>
      </c>
      <c r="AM703" s="84">
        <v>0.0</v>
      </c>
      <c r="AN703" s="93">
        <f t="shared" si="1"/>
        <v>0</v>
      </c>
      <c r="AO703" s="84">
        <f t="shared" si="2"/>
        <v>0</v>
      </c>
    </row>
    <row r="704" ht="12.75" customHeight="1">
      <c r="A704" s="84" t="s">
        <v>3400</v>
      </c>
      <c r="B704" s="84">
        <v>0.0</v>
      </c>
      <c r="C704" s="84">
        <v>0.0</v>
      </c>
      <c r="D704" s="84">
        <v>4.0</v>
      </c>
      <c r="E704" s="84">
        <v>0.0</v>
      </c>
      <c r="F704" s="84">
        <v>0.0</v>
      </c>
      <c r="G704" s="84">
        <v>0.0</v>
      </c>
      <c r="H704" s="84">
        <v>0.0</v>
      </c>
      <c r="I704" s="91">
        <v>0.0</v>
      </c>
      <c r="J704" s="84">
        <v>0.0</v>
      </c>
      <c r="K704" s="84">
        <v>0.0</v>
      </c>
      <c r="L704" s="84">
        <v>0.0</v>
      </c>
      <c r="M704" s="84">
        <v>0.0</v>
      </c>
      <c r="N704" s="84">
        <v>0.0</v>
      </c>
      <c r="O704" s="84">
        <v>0.0</v>
      </c>
      <c r="P704" s="84">
        <v>0.0</v>
      </c>
      <c r="Q704" s="84">
        <v>0.0</v>
      </c>
      <c r="R704" s="84">
        <v>0.0</v>
      </c>
      <c r="S704" s="84">
        <v>0.0</v>
      </c>
      <c r="T704" s="84">
        <v>0.0</v>
      </c>
      <c r="U704" s="84">
        <v>0.0</v>
      </c>
      <c r="V704" s="84">
        <v>0.0</v>
      </c>
      <c r="W704" s="84">
        <v>0.0</v>
      </c>
      <c r="X704" s="84">
        <v>6.0</v>
      </c>
      <c r="Y704" s="84">
        <v>2.0</v>
      </c>
      <c r="Z704" s="84">
        <v>0.0</v>
      </c>
      <c r="AA704" s="84">
        <v>0.0</v>
      </c>
      <c r="AB704" s="84">
        <v>0.0</v>
      </c>
      <c r="AC704" s="91">
        <v>0.0</v>
      </c>
      <c r="AD704" s="84">
        <v>0.0</v>
      </c>
      <c r="AE704" s="84">
        <v>0.0</v>
      </c>
      <c r="AF704" s="84">
        <v>0.0</v>
      </c>
      <c r="AG704" s="84">
        <v>0.0</v>
      </c>
      <c r="AH704" s="84">
        <v>0.0</v>
      </c>
      <c r="AI704" s="84">
        <v>0.0</v>
      </c>
      <c r="AJ704" s="84">
        <v>0.0</v>
      </c>
      <c r="AK704" s="84">
        <v>0.0</v>
      </c>
      <c r="AL704" s="84">
        <v>0.0</v>
      </c>
      <c r="AM704" s="84">
        <v>0.0</v>
      </c>
      <c r="AN704" s="93">
        <f t="shared" si="1"/>
        <v>0</v>
      </c>
      <c r="AO704" s="84">
        <f t="shared" si="2"/>
        <v>0</v>
      </c>
    </row>
    <row r="705" ht="12.75" customHeight="1">
      <c r="A705" s="84" t="s">
        <v>3647</v>
      </c>
      <c r="B705" s="84">
        <v>0.0</v>
      </c>
      <c r="C705" s="84">
        <v>0.0</v>
      </c>
      <c r="D705" s="84">
        <v>0.0</v>
      </c>
      <c r="E705" s="84">
        <v>0.0</v>
      </c>
      <c r="F705" s="84">
        <v>5.0</v>
      </c>
      <c r="G705" s="84">
        <v>0.0</v>
      </c>
      <c r="H705" s="84">
        <v>0.0</v>
      </c>
      <c r="I705" s="91">
        <v>0.0</v>
      </c>
      <c r="J705" s="84">
        <v>0.0</v>
      </c>
      <c r="K705" s="84">
        <v>0.0</v>
      </c>
      <c r="L705" s="84">
        <v>0.0</v>
      </c>
      <c r="M705" s="84">
        <v>0.0</v>
      </c>
      <c r="N705" s="84">
        <v>0.0</v>
      </c>
      <c r="O705" s="84">
        <v>0.0</v>
      </c>
      <c r="P705" s="84">
        <v>0.0</v>
      </c>
      <c r="Q705" s="84">
        <v>0.0</v>
      </c>
      <c r="R705" s="84">
        <v>0.0</v>
      </c>
      <c r="S705" s="84">
        <v>0.0</v>
      </c>
      <c r="T705" s="84">
        <v>0.0</v>
      </c>
      <c r="U705" s="84">
        <v>0.0</v>
      </c>
      <c r="V705" s="84">
        <v>0.0</v>
      </c>
      <c r="W705" s="84">
        <v>0.0</v>
      </c>
      <c r="X705" s="84">
        <v>0.0</v>
      </c>
      <c r="Y705" s="84">
        <v>0.0</v>
      </c>
      <c r="Z705" s="84">
        <v>6.0</v>
      </c>
      <c r="AA705" s="84">
        <v>2.0</v>
      </c>
      <c r="AB705" s="84">
        <v>0.0</v>
      </c>
      <c r="AC705" s="91">
        <v>0.0</v>
      </c>
      <c r="AD705" s="84">
        <v>0.0</v>
      </c>
      <c r="AE705" s="84">
        <v>0.0</v>
      </c>
      <c r="AF705" s="84">
        <v>0.0</v>
      </c>
      <c r="AG705" s="84">
        <v>0.0</v>
      </c>
      <c r="AH705" s="84">
        <v>0.0</v>
      </c>
      <c r="AI705" s="84">
        <v>0.0</v>
      </c>
      <c r="AJ705" s="84">
        <v>0.0</v>
      </c>
      <c r="AK705" s="84">
        <v>0.0</v>
      </c>
      <c r="AL705" s="84">
        <v>0.0</v>
      </c>
      <c r="AM705" s="84">
        <v>0.0</v>
      </c>
      <c r="AN705" s="93">
        <f t="shared" si="1"/>
        <v>0</v>
      </c>
      <c r="AO705" s="84">
        <f t="shared" si="2"/>
        <v>0</v>
      </c>
    </row>
    <row r="706" ht="12.75" customHeight="1">
      <c r="A706" s="84" t="s">
        <v>3895</v>
      </c>
      <c r="B706" s="84">
        <v>0.0</v>
      </c>
      <c r="C706" s="84">
        <v>0.0</v>
      </c>
      <c r="D706" s="84">
        <v>0.0</v>
      </c>
      <c r="E706" s="84">
        <v>0.0</v>
      </c>
      <c r="F706" s="84">
        <v>0.0</v>
      </c>
      <c r="G706" s="84">
        <v>0.0</v>
      </c>
      <c r="H706" s="84">
        <v>4.0</v>
      </c>
      <c r="I706" s="91">
        <v>0.0</v>
      </c>
      <c r="J706" s="84">
        <v>0.0</v>
      </c>
      <c r="K706" s="84">
        <v>0.0</v>
      </c>
      <c r="L706" s="84">
        <v>0.0</v>
      </c>
      <c r="M706" s="84">
        <v>0.0</v>
      </c>
      <c r="N706" s="84">
        <v>0.0</v>
      </c>
      <c r="O706" s="84">
        <v>0.0</v>
      </c>
      <c r="P706" s="84">
        <v>0.0</v>
      </c>
      <c r="Q706" s="84">
        <v>0.0</v>
      </c>
      <c r="R706" s="84">
        <v>0.0</v>
      </c>
      <c r="S706" s="84">
        <v>0.0</v>
      </c>
      <c r="T706" s="84">
        <v>0.0</v>
      </c>
      <c r="U706" s="84">
        <v>0.0</v>
      </c>
      <c r="V706" s="84">
        <v>0.0</v>
      </c>
      <c r="W706" s="84">
        <v>0.0</v>
      </c>
      <c r="X706" s="84">
        <v>0.0</v>
      </c>
      <c r="Y706" s="84">
        <v>0.0</v>
      </c>
      <c r="Z706" s="84">
        <v>0.0</v>
      </c>
      <c r="AA706" s="84">
        <v>0.0</v>
      </c>
      <c r="AB706" s="84">
        <v>6.0</v>
      </c>
      <c r="AC706" s="91">
        <v>0.0</v>
      </c>
      <c r="AD706" s="84">
        <v>0.0</v>
      </c>
      <c r="AE706" s="84">
        <v>0.0</v>
      </c>
      <c r="AF706" s="84">
        <v>0.0</v>
      </c>
      <c r="AG706" s="84">
        <v>0.0</v>
      </c>
      <c r="AH706" s="84">
        <v>0.0</v>
      </c>
      <c r="AI706" s="84">
        <v>0.0</v>
      </c>
      <c r="AJ706" s="84">
        <v>0.0</v>
      </c>
      <c r="AK706" s="84">
        <v>0.0</v>
      </c>
      <c r="AL706" s="84">
        <v>0.0</v>
      </c>
      <c r="AM706" s="84">
        <v>0.0</v>
      </c>
      <c r="AN706" s="93">
        <f t="shared" si="1"/>
        <v>0</v>
      </c>
      <c r="AO706" s="84">
        <f t="shared" si="2"/>
        <v>0</v>
      </c>
    </row>
    <row r="707" ht="12.75" customHeight="1">
      <c r="A707" s="84" t="s">
        <v>4600</v>
      </c>
      <c r="B707" s="84">
        <v>0.0</v>
      </c>
      <c r="C707" s="84">
        <v>0.0</v>
      </c>
      <c r="D707" s="84">
        <v>0.0</v>
      </c>
      <c r="E707" s="84">
        <v>0.0</v>
      </c>
      <c r="F707" s="84">
        <v>0.0</v>
      </c>
      <c r="G707" s="84">
        <v>0.0</v>
      </c>
      <c r="H707" s="84">
        <v>0.0</v>
      </c>
      <c r="I707" s="91">
        <v>0.0</v>
      </c>
      <c r="J707" s="84">
        <v>0.0</v>
      </c>
      <c r="K707" s="84">
        <v>0.0</v>
      </c>
      <c r="L707" s="84">
        <v>0.0</v>
      </c>
      <c r="M707" s="84">
        <v>0.0</v>
      </c>
      <c r="N707" s="84">
        <v>0.0</v>
      </c>
      <c r="O707" s="84">
        <v>0.0</v>
      </c>
      <c r="P707" s="84">
        <v>0.0</v>
      </c>
      <c r="Q707" s="84">
        <v>0.0</v>
      </c>
      <c r="R707" s="84">
        <v>1.0</v>
      </c>
      <c r="S707" s="84">
        <v>0.0</v>
      </c>
      <c r="T707" s="84">
        <v>0.0</v>
      </c>
      <c r="U707" s="84">
        <v>0.0</v>
      </c>
      <c r="V707" s="84">
        <v>0.0</v>
      </c>
      <c r="W707" s="84">
        <v>0.0</v>
      </c>
      <c r="X707" s="84">
        <v>0.0</v>
      </c>
      <c r="Y707" s="84">
        <v>0.0</v>
      </c>
      <c r="Z707" s="84">
        <v>0.0</v>
      </c>
      <c r="AA707" s="84">
        <v>0.0</v>
      </c>
      <c r="AB707" s="84">
        <v>0.0</v>
      </c>
      <c r="AC707" s="91">
        <v>0.0</v>
      </c>
      <c r="AD707" s="84">
        <v>0.0</v>
      </c>
      <c r="AE707" s="84">
        <v>0.0</v>
      </c>
      <c r="AF707" s="84">
        <v>0.0</v>
      </c>
      <c r="AG707" s="84">
        <v>0.0</v>
      </c>
      <c r="AH707" s="84">
        <v>0.0</v>
      </c>
      <c r="AI707" s="84">
        <v>0.0</v>
      </c>
      <c r="AJ707" s="84">
        <v>0.0</v>
      </c>
      <c r="AK707" s="84">
        <v>0.0</v>
      </c>
      <c r="AL707" s="84">
        <v>0.0</v>
      </c>
      <c r="AM707" s="84">
        <v>0.0</v>
      </c>
      <c r="AN707" s="93">
        <f t="shared" si="1"/>
        <v>0</v>
      </c>
      <c r="AO707" s="84">
        <f t="shared" si="2"/>
        <v>1</v>
      </c>
    </row>
    <row r="708" ht="12.75" customHeight="1">
      <c r="A708" s="84" t="s">
        <v>2913</v>
      </c>
      <c r="B708" s="84">
        <v>3.0</v>
      </c>
      <c r="C708" s="84">
        <v>1.0</v>
      </c>
      <c r="D708" s="84">
        <v>0.0</v>
      </c>
      <c r="E708" s="84">
        <v>0.0</v>
      </c>
      <c r="F708" s="84">
        <v>0.0</v>
      </c>
      <c r="G708" s="84">
        <v>0.0</v>
      </c>
      <c r="H708" s="84">
        <v>0.0</v>
      </c>
      <c r="I708" s="91">
        <v>0.0</v>
      </c>
      <c r="J708" s="84">
        <v>0.0</v>
      </c>
      <c r="K708" s="84">
        <v>0.0</v>
      </c>
      <c r="L708" s="84">
        <v>0.0</v>
      </c>
      <c r="M708" s="84">
        <v>0.0</v>
      </c>
      <c r="N708" s="84">
        <v>0.0</v>
      </c>
      <c r="O708" s="84">
        <v>0.0</v>
      </c>
      <c r="P708" s="84">
        <v>0.0</v>
      </c>
      <c r="Q708" s="84">
        <v>0.0</v>
      </c>
      <c r="R708" s="84">
        <v>0.0</v>
      </c>
      <c r="S708" s="84">
        <v>0.0</v>
      </c>
      <c r="T708" s="84">
        <v>0.0</v>
      </c>
      <c r="U708" s="84">
        <v>0.0</v>
      </c>
      <c r="V708" s="84">
        <v>3.0</v>
      </c>
      <c r="W708" s="84">
        <v>0.0</v>
      </c>
      <c r="X708" s="84">
        <v>0.0</v>
      </c>
      <c r="Y708" s="84">
        <v>0.0</v>
      </c>
      <c r="Z708" s="84">
        <v>0.0</v>
      </c>
      <c r="AA708" s="84">
        <v>0.0</v>
      </c>
      <c r="AB708" s="84">
        <v>0.0</v>
      </c>
      <c r="AC708" s="91">
        <v>0.0</v>
      </c>
      <c r="AD708" s="84">
        <v>0.0</v>
      </c>
      <c r="AE708" s="84">
        <v>0.0</v>
      </c>
      <c r="AF708" s="84">
        <v>0.0</v>
      </c>
      <c r="AG708" s="84">
        <v>0.0</v>
      </c>
      <c r="AH708" s="84">
        <v>0.0</v>
      </c>
      <c r="AI708" s="84">
        <v>0.0</v>
      </c>
      <c r="AJ708" s="84">
        <v>0.0</v>
      </c>
      <c r="AK708" s="84">
        <v>0.0</v>
      </c>
      <c r="AL708" s="84">
        <v>0.0</v>
      </c>
      <c r="AM708" s="84">
        <v>0.0</v>
      </c>
      <c r="AN708" s="93">
        <f t="shared" si="1"/>
        <v>0</v>
      </c>
      <c r="AO708" s="84">
        <f t="shared" si="2"/>
        <v>0</v>
      </c>
    </row>
    <row r="709" ht="12.75" customHeight="1">
      <c r="A709" s="84" t="s">
        <v>2774</v>
      </c>
      <c r="B709" s="84">
        <v>3.0</v>
      </c>
      <c r="C709" s="84">
        <v>2.0</v>
      </c>
      <c r="D709" s="84">
        <v>0.0</v>
      </c>
      <c r="E709" s="84">
        <v>0.0</v>
      </c>
      <c r="F709" s="84">
        <v>0.0</v>
      </c>
      <c r="G709" s="84">
        <v>0.0</v>
      </c>
      <c r="H709" s="84">
        <v>0.0</v>
      </c>
      <c r="I709" s="91">
        <v>0.0</v>
      </c>
      <c r="J709" s="84">
        <v>0.0</v>
      </c>
      <c r="K709" s="84">
        <v>0.0</v>
      </c>
      <c r="L709" s="84">
        <v>0.0</v>
      </c>
      <c r="M709" s="84">
        <v>0.0</v>
      </c>
      <c r="N709" s="84">
        <v>0.0</v>
      </c>
      <c r="O709" s="84">
        <v>0.0</v>
      </c>
      <c r="P709" s="84">
        <v>0.0</v>
      </c>
      <c r="Q709" s="84">
        <v>0.0</v>
      </c>
      <c r="R709" s="84">
        <v>0.0</v>
      </c>
      <c r="S709" s="84">
        <v>0.0</v>
      </c>
      <c r="T709" s="84">
        <v>0.0</v>
      </c>
      <c r="U709" s="84">
        <v>0.0</v>
      </c>
      <c r="V709" s="84">
        <v>2.0</v>
      </c>
      <c r="W709" s="84">
        <v>0.0</v>
      </c>
      <c r="X709" s="84">
        <v>0.0</v>
      </c>
      <c r="Y709" s="84">
        <v>0.0</v>
      </c>
      <c r="Z709" s="84">
        <v>0.0</v>
      </c>
      <c r="AA709" s="84">
        <v>0.0</v>
      </c>
      <c r="AB709" s="84">
        <v>0.0</v>
      </c>
      <c r="AC709" s="91">
        <v>0.0</v>
      </c>
      <c r="AD709" s="84">
        <v>0.0</v>
      </c>
      <c r="AE709" s="84">
        <v>0.0</v>
      </c>
      <c r="AF709" s="84">
        <v>0.0</v>
      </c>
      <c r="AG709" s="84">
        <v>0.0</v>
      </c>
      <c r="AH709" s="84">
        <v>0.0</v>
      </c>
      <c r="AI709" s="84">
        <v>0.0</v>
      </c>
      <c r="AJ709" s="84">
        <v>0.0</v>
      </c>
      <c r="AK709" s="84">
        <v>0.0</v>
      </c>
      <c r="AL709" s="84">
        <v>0.0</v>
      </c>
      <c r="AM709" s="84">
        <v>0.0</v>
      </c>
      <c r="AN709" s="93">
        <f t="shared" si="1"/>
        <v>0</v>
      </c>
      <c r="AO709" s="84">
        <f t="shared" si="2"/>
        <v>0</v>
      </c>
    </row>
    <row r="710" ht="12.75" customHeight="1">
      <c r="A710" s="84" t="s">
        <v>4490</v>
      </c>
      <c r="B710" s="84">
        <v>0.0</v>
      </c>
      <c r="C710" s="84">
        <v>0.0</v>
      </c>
      <c r="D710" s="84">
        <v>0.0</v>
      </c>
      <c r="E710" s="84">
        <v>0.0</v>
      </c>
      <c r="F710" s="84">
        <v>0.0</v>
      </c>
      <c r="G710" s="84">
        <v>0.0</v>
      </c>
      <c r="H710" s="84">
        <v>0.0</v>
      </c>
      <c r="I710" s="91">
        <v>0.0</v>
      </c>
      <c r="J710" s="84">
        <v>0.0</v>
      </c>
      <c r="K710" s="84">
        <v>0.0</v>
      </c>
      <c r="L710" s="84">
        <v>0.0</v>
      </c>
      <c r="M710" s="84">
        <v>0.0</v>
      </c>
      <c r="N710" s="84">
        <v>0.0</v>
      </c>
      <c r="O710" s="84">
        <v>0.0</v>
      </c>
      <c r="P710" s="84">
        <v>0.0</v>
      </c>
      <c r="Q710" s="84">
        <v>0.0</v>
      </c>
      <c r="R710" s="84">
        <v>0.0</v>
      </c>
      <c r="S710" s="84">
        <v>0.0</v>
      </c>
      <c r="T710" s="84">
        <v>0.0</v>
      </c>
      <c r="U710" s="84">
        <v>0.0</v>
      </c>
      <c r="V710" s="84">
        <v>0.0</v>
      </c>
      <c r="W710" s="84">
        <v>0.0</v>
      </c>
      <c r="X710" s="84">
        <v>0.0</v>
      </c>
      <c r="Y710" s="84">
        <v>0.0</v>
      </c>
      <c r="Z710" s="84">
        <v>0.0</v>
      </c>
      <c r="AA710" s="84">
        <v>0.0</v>
      </c>
      <c r="AB710" s="84">
        <v>0.0</v>
      </c>
      <c r="AC710" s="91">
        <v>0.0</v>
      </c>
      <c r="AD710" s="84">
        <v>0.0</v>
      </c>
      <c r="AE710" s="84">
        <v>1.0</v>
      </c>
      <c r="AF710" s="84">
        <v>0.0</v>
      </c>
      <c r="AG710" s="84">
        <v>0.0</v>
      </c>
      <c r="AH710" s="84">
        <v>0.0</v>
      </c>
      <c r="AI710" s="84">
        <v>0.0</v>
      </c>
      <c r="AJ710" s="84">
        <v>0.0</v>
      </c>
      <c r="AK710" s="84">
        <v>0.0</v>
      </c>
      <c r="AL710" s="84">
        <v>0.0</v>
      </c>
      <c r="AM710" s="84">
        <v>0.0</v>
      </c>
      <c r="AN710" s="93">
        <f t="shared" si="1"/>
        <v>0</v>
      </c>
      <c r="AO710" s="84">
        <f t="shared" si="2"/>
        <v>1</v>
      </c>
    </row>
    <row r="711" ht="12.75" customHeight="1">
      <c r="A711" s="84" t="s">
        <v>3870</v>
      </c>
      <c r="B711" s="84">
        <v>0.0</v>
      </c>
      <c r="C711" s="84">
        <v>0.0</v>
      </c>
      <c r="D711" s="84">
        <v>0.0</v>
      </c>
      <c r="E711" s="84">
        <v>0.0</v>
      </c>
      <c r="F711" s="84">
        <v>0.0</v>
      </c>
      <c r="G711" s="84">
        <v>0.0</v>
      </c>
      <c r="H711" s="84">
        <v>4.0</v>
      </c>
      <c r="I711" s="91">
        <v>0.0</v>
      </c>
      <c r="J711" s="84">
        <v>0.0</v>
      </c>
      <c r="K711" s="84">
        <v>0.0</v>
      </c>
      <c r="L711" s="84">
        <v>0.0</v>
      </c>
      <c r="M711" s="84">
        <v>0.0</v>
      </c>
      <c r="N711" s="84">
        <v>0.0</v>
      </c>
      <c r="O711" s="84">
        <v>0.0</v>
      </c>
      <c r="P711" s="84">
        <v>0.0</v>
      </c>
      <c r="Q711" s="84">
        <v>0.0</v>
      </c>
      <c r="R711" s="84">
        <v>0.0</v>
      </c>
      <c r="S711" s="84">
        <v>0.0</v>
      </c>
      <c r="T711" s="84">
        <v>0.0</v>
      </c>
      <c r="U711" s="84">
        <v>0.0</v>
      </c>
      <c r="V711" s="84">
        <v>0.0</v>
      </c>
      <c r="W711" s="84">
        <v>0.0</v>
      </c>
      <c r="X711" s="84">
        <v>0.0</v>
      </c>
      <c r="Y711" s="84">
        <v>0.0</v>
      </c>
      <c r="Z711" s="84">
        <v>0.0</v>
      </c>
      <c r="AA711" s="84">
        <v>0.0</v>
      </c>
      <c r="AB711" s="84">
        <v>6.0</v>
      </c>
      <c r="AC711" s="91">
        <v>0.0</v>
      </c>
      <c r="AD711" s="84">
        <v>0.0</v>
      </c>
      <c r="AE711" s="84">
        <v>0.0</v>
      </c>
      <c r="AF711" s="84">
        <v>0.0</v>
      </c>
      <c r="AG711" s="84">
        <v>0.0</v>
      </c>
      <c r="AH711" s="84">
        <v>0.0</v>
      </c>
      <c r="AI711" s="84">
        <v>0.0</v>
      </c>
      <c r="AJ711" s="84">
        <v>0.0</v>
      </c>
      <c r="AK711" s="84">
        <v>0.0</v>
      </c>
      <c r="AL711" s="84">
        <v>0.0</v>
      </c>
      <c r="AM711" s="84">
        <v>0.0</v>
      </c>
      <c r="AN711" s="93">
        <f t="shared" si="1"/>
        <v>0</v>
      </c>
      <c r="AO711" s="84">
        <f t="shared" si="2"/>
        <v>0</v>
      </c>
    </row>
    <row r="712" ht="12.75" customHeight="1">
      <c r="A712" s="84" t="s">
        <v>3210</v>
      </c>
      <c r="B712" s="84">
        <v>0.0</v>
      </c>
      <c r="C712" s="84">
        <v>5.0</v>
      </c>
      <c r="D712" s="84">
        <v>1.0</v>
      </c>
      <c r="E712" s="84">
        <v>0.0</v>
      </c>
      <c r="F712" s="84">
        <v>0.0</v>
      </c>
      <c r="G712" s="84">
        <v>0.0</v>
      </c>
      <c r="H712" s="84">
        <v>0.0</v>
      </c>
      <c r="I712" s="91">
        <v>0.0</v>
      </c>
      <c r="J712" s="84">
        <v>0.0</v>
      </c>
      <c r="K712" s="84">
        <v>0.0</v>
      </c>
      <c r="L712" s="84">
        <v>0.0</v>
      </c>
      <c r="M712" s="84">
        <v>0.0</v>
      </c>
      <c r="N712" s="84">
        <v>0.0</v>
      </c>
      <c r="O712" s="84">
        <v>0.0</v>
      </c>
      <c r="P712" s="84">
        <v>0.0</v>
      </c>
      <c r="Q712" s="84">
        <v>0.0</v>
      </c>
      <c r="R712" s="84">
        <v>0.0</v>
      </c>
      <c r="S712" s="84">
        <v>0.0</v>
      </c>
      <c r="T712" s="84">
        <v>0.0</v>
      </c>
      <c r="U712" s="84">
        <v>0.0</v>
      </c>
      <c r="V712" s="84">
        <v>0.0</v>
      </c>
      <c r="W712" s="84">
        <v>3.0</v>
      </c>
      <c r="X712" s="84">
        <v>0.0</v>
      </c>
      <c r="Y712" s="84">
        <v>0.0</v>
      </c>
      <c r="Z712" s="84">
        <v>0.0</v>
      </c>
      <c r="AA712" s="84">
        <v>0.0</v>
      </c>
      <c r="AB712" s="84">
        <v>0.0</v>
      </c>
      <c r="AC712" s="91">
        <v>0.0</v>
      </c>
      <c r="AD712" s="84">
        <v>0.0</v>
      </c>
      <c r="AE712" s="84">
        <v>0.0</v>
      </c>
      <c r="AF712" s="84">
        <v>0.0</v>
      </c>
      <c r="AG712" s="84">
        <v>0.0</v>
      </c>
      <c r="AH712" s="84">
        <v>0.0</v>
      </c>
      <c r="AI712" s="84">
        <v>0.0</v>
      </c>
      <c r="AJ712" s="84">
        <v>0.0</v>
      </c>
      <c r="AK712" s="84">
        <v>0.0</v>
      </c>
      <c r="AL712" s="84">
        <v>0.0</v>
      </c>
      <c r="AM712" s="84">
        <v>0.0</v>
      </c>
      <c r="AN712" s="93">
        <f t="shared" si="1"/>
        <v>0</v>
      </c>
      <c r="AO712" s="84">
        <f t="shared" si="2"/>
        <v>0</v>
      </c>
    </row>
    <row r="713" ht="12.75" customHeight="1">
      <c r="A713" s="84" t="s">
        <v>3842</v>
      </c>
      <c r="B713" s="84">
        <v>0.0</v>
      </c>
      <c r="C713" s="84">
        <v>0.0</v>
      </c>
      <c r="D713" s="84">
        <v>0.0</v>
      </c>
      <c r="E713" s="84">
        <v>0.0</v>
      </c>
      <c r="F713" s="84">
        <v>0.0</v>
      </c>
      <c r="G713" s="84">
        <v>4.0</v>
      </c>
      <c r="H713" s="84">
        <v>1.0</v>
      </c>
      <c r="I713" s="91">
        <v>0.0</v>
      </c>
      <c r="J713" s="84">
        <v>0.0</v>
      </c>
      <c r="K713" s="84">
        <v>0.0</v>
      </c>
      <c r="L713" s="84">
        <v>0.0</v>
      </c>
      <c r="M713" s="84">
        <v>0.0</v>
      </c>
      <c r="N713" s="84">
        <v>0.0</v>
      </c>
      <c r="O713" s="84">
        <v>0.0</v>
      </c>
      <c r="P713" s="84">
        <v>0.0</v>
      </c>
      <c r="Q713" s="84">
        <v>0.0</v>
      </c>
      <c r="R713" s="84">
        <v>0.0</v>
      </c>
      <c r="S713" s="84">
        <v>0.0</v>
      </c>
      <c r="T713" s="84">
        <v>0.0</v>
      </c>
      <c r="U713" s="84">
        <v>0.0</v>
      </c>
      <c r="V713" s="84">
        <v>0.0</v>
      </c>
      <c r="W713" s="84">
        <v>0.0</v>
      </c>
      <c r="X713" s="84">
        <v>0.0</v>
      </c>
      <c r="Y713" s="84">
        <v>0.0</v>
      </c>
      <c r="Z713" s="84">
        <v>0.0</v>
      </c>
      <c r="AA713" s="84">
        <v>6.0</v>
      </c>
      <c r="AB713" s="84">
        <v>2.0</v>
      </c>
      <c r="AC713" s="91">
        <v>0.0</v>
      </c>
      <c r="AD713" s="84">
        <v>0.0</v>
      </c>
      <c r="AE713" s="84">
        <v>0.0</v>
      </c>
      <c r="AF713" s="84">
        <v>0.0</v>
      </c>
      <c r="AG713" s="84">
        <v>0.0</v>
      </c>
      <c r="AH713" s="84">
        <v>0.0</v>
      </c>
      <c r="AI713" s="84">
        <v>0.0</v>
      </c>
      <c r="AJ713" s="84">
        <v>0.0</v>
      </c>
      <c r="AK713" s="84">
        <v>0.0</v>
      </c>
      <c r="AL713" s="84">
        <v>0.0</v>
      </c>
      <c r="AM713" s="84">
        <v>0.0</v>
      </c>
      <c r="AN713" s="93">
        <f t="shared" si="1"/>
        <v>0</v>
      </c>
      <c r="AO713" s="84">
        <f t="shared" si="2"/>
        <v>0</v>
      </c>
    </row>
    <row r="714" ht="12.75" customHeight="1">
      <c r="A714" s="84" t="s">
        <v>3195</v>
      </c>
      <c r="B714" s="84">
        <v>0.0</v>
      </c>
      <c r="C714" s="84">
        <v>5.0</v>
      </c>
      <c r="D714" s="84">
        <v>1.0</v>
      </c>
      <c r="E714" s="84">
        <v>0.0</v>
      </c>
      <c r="F714" s="84">
        <v>0.0</v>
      </c>
      <c r="G714" s="84">
        <v>0.0</v>
      </c>
      <c r="H714" s="84">
        <v>0.0</v>
      </c>
      <c r="I714" s="91">
        <v>0.0</v>
      </c>
      <c r="J714" s="84">
        <v>0.0</v>
      </c>
      <c r="K714" s="84">
        <v>0.0</v>
      </c>
      <c r="L714" s="84">
        <v>0.0</v>
      </c>
      <c r="M714" s="84">
        <v>0.0</v>
      </c>
      <c r="N714" s="84">
        <v>0.0</v>
      </c>
      <c r="O714" s="84">
        <v>0.0</v>
      </c>
      <c r="P714" s="84">
        <v>0.0</v>
      </c>
      <c r="Q714" s="84">
        <v>0.0</v>
      </c>
      <c r="R714" s="84">
        <v>0.0</v>
      </c>
      <c r="S714" s="84">
        <v>0.0</v>
      </c>
      <c r="T714" s="84">
        <v>0.0</v>
      </c>
      <c r="U714" s="84">
        <v>0.0</v>
      </c>
      <c r="V714" s="84">
        <v>0.0</v>
      </c>
      <c r="W714" s="84">
        <v>3.0</v>
      </c>
      <c r="X714" s="84">
        <v>1.0</v>
      </c>
      <c r="Y714" s="84">
        <v>0.0</v>
      </c>
      <c r="Z714" s="84">
        <v>0.0</v>
      </c>
      <c r="AA714" s="84">
        <v>0.0</v>
      </c>
      <c r="AB714" s="84">
        <v>0.0</v>
      </c>
      <c r="AC714" s="91">
        <v>0.0</v>
      </c>
      <c r="AD714" s="84">
        <v>0.0</v>
      </c>
      <c r="AE714" s="84">
        <v>0.0</v>
      </c>
      <c r="AF714" s="84">
        <v>0.0</v>
      </c>
      <c r="AG714" s="84">
        <v>0.0</v>
      </c>
      <c r="AH714" s="84">
        <v>0.0</v>
      </c>
      <c r="AI714" s="84">
        <v>0.0</v>
      </c>
      <c r="AJ714" s="84">
        <v>0.0</v>
      </c>
      <c r="AK714" s="84">
        <v>0.0</v>
      </c>
      <c r="AL714" s="84">
        <v>0.0</v>
      </c>
      <c r="AM714" s="84">
        <v>0.0</v>
      </c>
      <c r="AN714" s="93">
        <f t="shared" si="1"/>
        <v>0</v>
      </c>
      <c r="AO714" s="84">
        <f t="shared" si="2"/>
        <v>0</v>
      </c>
    </row>
    <row r="715" ht="12.75" customHeight="1">
      <c r="A715" s="84" t="s">
        <v>3121</v>
      </c>
      <c r="B715" s="84">
        <v>0.0</v>
      </c>
      <c r="C715" s="84">
        <v>5.0</v>
      </c>
      <c r="D715" s="84">
        <v>2.0</v>
      </c>
      <c r="E715" s="84">
        <v>0.0</v>
      </c>
      <c r="F715" s="84">
        <v>0.0</v>
      </c>
      <c r="G715" s="84">
        <v>0.0</v>
      </c>
      <c r="H715" s="84">
        <v>0.0</v>
      </c>
      <c r="I715" s="91">
        <v>0.0</v>
      </c>
      <c r="J715" s="84">
        <v>0.0</v>
      </c>
      <c r="K715" s="84">
        <v>0.0</v>
      </c>
      <c r="L715" s="84">
        <v>0.0</v>
      </c>
      <c r="M715" s="84">
        <v>0.0</v>
      </c>
      <c r="N715" s="84">
        <v>0.0</v>
      </c>
      <c r="O715" s="84">
        <v>0.0</v>
      </c>
      <c r="P715" s="84">
        <v>0.0</v>
      </c>
      <c r="Q715" s="84">
        <v>0.0</v>
      </c>
      <c r="R715" s="84">
        <v>0.0</v>
      </c>
      <c r="S715" s="84">
        <v>0.0</v>
      </c>
      <c r="T715" s="84">
        <v>0.0</v>
      </c>
      <c r="U715" s="84">
        <v>0.0</v>
      </c>
      <c r="V715" s="84">
        <v>0.0</v>
      </c>
      <c r="W715" s="84">
        <v>3.0</v>
      </c>
      <c r="X715" s="84">
        <v>3.0</v>
      </c>
      <c r="Y715" s="84">
        <v>0.0</v>
      </c>
      <c r="Z715" s="84">
        <v>0.0</v>
      </c>
      <c r="AA715" s="84">
        <v>0.0</v>
      </c>
      <c r="AB715" s="84">
        <v>0.0</v>
      </c>
      <c r="AC715" s="91">
        <v>0.0</v>
      </c>
      <c r="AD715" s="84">
        <v>0.0</v>
      </c>
      <c r="AE715" s="84">
        <v>0.0</v>
      </c>
      <c r="AF715" s="84">
        <v>0.0</v>
      </c>
      <c r="AG715" s="84">
        <v>0.0</v>
      </c>
      <c r="AH715" s="84">
        <v>0.0</v>
      </c>
      <c r="AI715" s="84">
        <v>0.0</v>
      </c>
      <c r="AJ715" s="84">
        <v>0.0</v>
      </c>
      <c r="AK715" s="84">
        <v>0.0</v>
      </c>
      <c r="AL715" s="84">
        <v>0.0</v>
      </c>
      <c r="AM715" s="84">
        <v>0.0</v>
      </c>
      <c r="AN715" s="93">
        <f t="shared" si="1"/>
        <v>0</v>
      </c>
      <c r="AO715" s="84">
        <f t="shared" si="2"/>
        <v>0</v>
      </c>
    </row>
    <row r="716" ht="12.75" customHeight="1">
      <c r="A716" s="84" t="s">
        <v>3358</v>
      </c>
      <c r="B716" s="84">
        <v>0.0</v>
      </c>
      <c r="C716" s="84">
        <v>0.0</v>
      </c>
      <c r="D716" s="84">
        <v>6.0</v>
      </c>
      <c r="E716" s="84">
        <v>0.0</v>
      </c>
      <c r="F716" s="84">
        <v>0.0</v>
      </c>
      <c r="G716" s="84">
        <v>0.0</v>
      </c>
      <c r="H716" s="84">
        <v>0.0</v>
      </c>
      <c r="I716" s="91">
        <v>0.0</v>
      </c>
      <c r="J716" s="84">
        <v>0.0</v>
      </c>
      <c r="K716" s="84">
        <v>0.0</v>
      </c>
      <c r="L716" s="84">
        <v>0.0</v>
      </c>
      <c r="M716" s="84">
        <v>0.0</v>
      </c>
      <c r="N716" s="84">
        <v>0.0</v>
      </c>
      <c r="O716" s="84">
        <v>0.0</v>
      </c>
      <c r="P716" s="84">
        <v>0.0</v>
      </c>
      <c r="Q716" s="84">
        <v>0.0</v>
      </c>
      <c r="R716" s="84">
        <v>0.0</v>
      </c>
      <c r="S716" s="84">
        <v>0.0</v>
      </c>
      <c r="T716" s="84">
        <v>0.0</v>
      </c>
      <c r="U716" s="84">
        <v>0.0</v>
      </c>
      <c r="V716" s="84">
        <v>0.0</v>
      </c>
      <c r="W716" s="84">
        <v>0.0</v>
      </c>
      <c r="X716" s="84">
        <v>6.0</v>
      </c>
      <c r="Y716" s="84">
        <v>0.0</v>
      </c>
      <c r="Z716" s="84">
        <v>0.0</v>
      </c>
      <c r="AA716" s="84">
        <v>0.0</v>
      </c>
      <c r="AB716" s="84">
        <v>0.0</v>
      </c>
      <c r="AC716" s="91">
        <v>0.0</v>
      </c>
      <c r="AD716" s="84">
        <v>0.0</v>
      </c>
      <c r="AE716" s="84">
        <v>0.0</v>
      </c>
      <c r="AF716" s="84">
        <v>0.0</v>
      </c>
      <c r="AG716" s="84">
        <v>0.0</v>
      </c>
      <c r="AH716" s="84">
        <v>0.0</v>
      </c>
      <c r="AI716" s="84">
        <v>0.0</v>
      </c>
      <c r="AJ716" s="84">
        <v>0.0</v>
      </c>
      <c r="AK716" s="84">
        <v>0.0</v>
      </c>
      <c r="AL716" s="84">
        <v>0.0</v>
      </c>
      <c r="AM716" s="84">
        <v>0.0</v>
      </c>
      <c r="AN716" s="93">
        <f t="shared" si="1"/>
        <v>0</v>
      </c>
      <c r="AO716" s="84">
        <f t="shared" si="2"/>
        <v>0</v>
      </c>
    </row>
    <row r="717" ht="12.75" customHeight="1">
      <c r="A717" s="84" t="s">
        <v>3069</v>
      </c>
      <c r="B717" s="84">
        <v>2.0</v>
      </c>
      <c r="C717" s="84">
        <v>0.0</v>
      </c>
      <c r="D717" s="84">
        <v>0.0</v>
      </c>
      <c r="E717" s="84">
        <v>0.0</v>
      </c>
      <c r="F717" s="84">
        <v>0.0</v>
      </c>
      <c r="G717" s="84">
        <v>0.0</v>
      </c>
      <c r="H717" s="84">
        <v>0.0</v>
      </c>
      <c r="I717" s="91">
        <v>0.0</v>
      </c>
      <c r="J717" s="84">
        <v>0.0</v>
      </c>
      <c r="K717" s="84">
        <v>0.0</v>
      </c>
      <c r="L717" s="84">
        <v>0.0</v>
      </c>
      <c r="M717" s="84">
        <v>0.0</v>
      </c>
      <c r="N717" s="84">
        <v>0.0</v>
      </c>
      <c r="O717" s="84">
        <v>0.0</v>
      </c>
      <c r="P717" s="84">
        <v>0.0</v>
      </c>
      <c r="Q717" s="84">
        <v>0.0</v>
      </c>
      <c r="R717" s="84">
        <v>0.0</v>
      </c>
      <c r="S717" s="84">
        <v>0.0</v>
      </c>
      <c r="T717" s="84">
        <v>0.0</v>
      </c>
      <c r="U717" s="84">
        <v>0.0</v>
      </c>
      <c r="V717" s="84">
        <v>5.0</v>
      </c>
      <c r="W717" s="84">
        <v>2.0</v>
      </c>
      <c r="X717" s="84">
        <v>0.0</v>
      </c>
      <c r="Y717" s="84">
        <v>0.0</v>
      </c>
      <c r="Z717" s="84">
        <v>0.0</v>
      </c>
      <c r="AA717" s="84">
        <v>0.0</v>
      </c>
      <c r="AB717" s="84">
        <v>0.0</v>
      </c>
      <c r="AC717" s="91">
        <v>0.0</v>
      </c>
      <c r="AD717" s="84">
        <v>0.0</v>
      </c>
      <c r="AE717" s="84">
        <v>0.0</v>
      </c>
      <c r="AF717" s="84">
        <v>0.0</v>
      </c>
      <c r="AG717" s="84">
        <v>0.0</v>
      </c>
      <c r="AH717" s="84">
        <v>0.0</v>
      </c>
      <c r="AI717" s="84">
        <v>0.0</v>
      </c>
      <c r="AJ717" s="84">
        <v>0.0</v>
      </c>
      <c r="AK717" s="84">
        <v>0.0</v>
      </c>
      <c r="AL717" s="84">
        <v>0.0</v>
      </c>
      <c r="AM717" s="84">
        <v>0.0</v>
      </c>
      <c r="AN717" s="93">
        <f t="shared" si="1"/>
        <v>0</v>
      </c>
      <c r="AO717" s="84">
        <f t="shared" si="2"/>
        <v>0</v>
      </c>
    </row>
    <row r="718" ht="12.75" customHeight="1">
      <c r="A718" s="84" t="s">
        <v>3701</v>
      </c>
      <c r="B718" s="84">
        <v>0.0</v>
      </c>
      <c r="C718" s="84">
        <v>0.0</v>
      </c>
      <c r="D718" s="84">
        <v>0.0</v>
      </c>
      <c r="E718" s="84">
        <v>0.0</v>
      </c>
      <c r="F718" s="84">
        <v>4.0</v>
      </c>
      <c r="G718" s="84">
        <v>0.0</v>
      </c>
      <c r="H718" s="84">
        <v>0.0</v>
      </c>
      <c r="I718" s="91">
        <v>0.0</v>
      </c>
      <c r="J718" s="84">
        <v>0.0</v>
      </c>
      <c r="K718" s="84">
        <v>0.0</v>
      </c>
      <c r="L718" s="84">
        <v>0.0</v>
      </c>
      <c r="M718" s="84">
        <v>0.0</v>
      </c>
      <c r="N718" s="84">
        <v>0.0</v>
      </c>
      <c r="O718" s="84">
        <v>0.0</v>
      </c>
      <c r="P718" s="84">
        <v>0.0</v>
      </c>
      <c r="Q718" s="84">
        <v>0.0</v>
      </c>
      <c r="R718" s="84">
        <v>0.0</v>
      </c>
      <c r="S718" s="84">
        <v>0.0</v>
      </c>
      <c r="T718" s="84">
        <v>0.0</v>
      </c>
      <c r="U718" s="84">
        <v>0.0</v>
      </c>
      <c r="V718" s="84">
        <v>0.0</v>
      </c>
      <c r="W718" s="84">
        <v>0.0</v>
      </c>
      <c r="X718" s="84">
        <v>0.0</v>
      </c>
      <c r="Y718" s="84">
        <v>0.0</v>
      </c>
      <c r="Z718" s="84">
        <v>6.0</v>
      </c>
      <c r="AA718" s="84">
        <v>1.0</v>
      </c>
      <c r="AB718" s="84">
        <v>0.0</v>
      </c>
      <c r="AC718" s="91">
        <v>0.0</v>
      </c>
      <c r="AD718" s="84">
        <v>0.0</v>
      </c>
      <c r="AE718" s="84">
        <v>0.0</v>
      </c>
      <c r="AF718" s="84">
        <v>0.0</v>
      </c>
      <c r="AG718" s="84">
        <v>0.0</v>
      </c>
      <c r="AH718" s="84">
        <v>0.0</v>
      </c>
      <c r="AI718" s="84">
        <v>0.0</v>
      </c>
      <c r="AJ718" s="84">
        <v>0.0</v>
      </c>
      <c r="AK718" s="84">
        <v>0.0</v>
      </c>
      <c r="AL718" s="84">
        <v>0.0</v>
      </c>
      <c r="AM718" s="84">
        <v>0.0</v>
      </c>
      <c r="AN718" s="93">
        <f t="shared" si="1"/>
        <v>0</v>
      </c>
      <c r="AO718" s="84">
        <f t="shared" si="2"/>
        <v>0</v>
      </c>
    </row>
    <row r="719" ht="12.75" customHeight="1">
      <c r="A719" s="84" t="s">
        <v>3137</v>
      </c>
      <c r="B719" s="84">
        <v>0.0</v>
      </c>
      <c r="C719" s="84">
        <v>4.0</v>
      </c>
      <c r="D719" s="84">
        <v>1.0</v>
      </c>
      <c r="E719" s="84">
        <v>0.0</v>
      </c>
      <c r="F719" s="84">
        <v>0.0</v>
      </c>
      <c r="G719" s="84">
        <v>0.0</v>
      </c>
      <c r="H719" s="84">
        <v>0.0</v>
      </c>
      <c r="I719" s="91">
        <v>0.0</v>
      </c>
      <c r="J719" s="84">
        <v>0.0</v>
      </c>
      <c r="K719" s="84">
        <v>0.0</v>
      </c>
      <c r="L719" s="84">
        <v>0.0</v>
      </c>
      <c r="M719" s="84">
        <v>0.0</v>
      </c>
      <c r="N719" s="84">
        <v>0.0</v>
      </c>
      <c r="O719" s="84">
        <v>0.0</v>
      </c>
      <c r="P719" s="84">
        <v>0.0</v>
      </c>
      <c r="Q719" s="84">
        <v>0.0</v>
      </c>
      <c r="R719" s="84">
        <v>0.0</v>
      </c>
      <c r="S719" s="84">
        <v>0.0</v>
      </c>
      <c r="T719" s="84">
        <v>0.0</v>
      </c>
      <c r="U719" s="84">
        <v>0.0</v>
      </c>
      <c r="V719" s="84">
        <v>0.0</v>
      </c>
      <c r="W719" s="84">
        <v>3.0</v>
      </c>
      <c r="X719" s="84">
        <v>1.0</v>
      </c>
      <c r="Y719" s="84">
        <v>0.0</v>
      </c>
      <c r="Z719" s="84">
        <v>0.0</v>
      </c>
      <c r="AA719" s="84">
        <v>0.0</v>
      </c>
      <c r="AB719" s="84">
        <v>0.0</v>
      </c>
      <c r="AC719" s="91">
        <v>0.0</v>
      </c>
      <c r="AD719" s="84">
        <v>0.0</v>
      </c>
      <c r="AE719" s="84">
        <v>0.0</v>
      </c>
      <c r="AF719" s="84">
        <v>0.0</v>
      </c>
      <c r="AG719" s="84">
        <v>0.0</v>
      </c>
      <c r="AH719" s="84">
        <v>0.0</v>
      </c>
      <c r="AI719" s="84">
        <v>0.0</v>
      </c>
      <c r="AJ719" s="84">
        <v>0.0</v>
      </c>
      <c r="AK719" s="84">
        <v>0.0</v>
      </c>
      <c r="AL719" s="84">
        <v>0.0</v>
      </c>
      <c r="AM719" s="84">
        <v>0.0</v>
      </c>
      <c r="AN719" s="93">
        <f t="shared" si="1"/>
        <v>0</v>
      </c>
      <c r="AO719" s="84">
        <f t="shared" si="2"/>
        <v>0</v>
      </c>
    </row>
    <row r="720" ht="12.75" customHeight="1">
      <c r="A720" s="84" t="s">
        <v>4644</v>
      </c>
      <c r="B720" s="84">
        <v>0.0</v>
      </c>
      <c r="C720" s="84">
        <v>0.0</v>
      </c>
      <c r="D720" s="84">
        <v>0.0</v>
      </c>
      <c r="E720" s="84">
        <v>0.0</v>
      </c>
      <c r="F720" s="84">
        <v>0.0</v>
      </c>
      <c r="G720" s="84">
        <v>0.0</v>
      </c>
      <c r="H720" s="84">
        <v>0.0</v>
      </c>
      <c r="I720" s="91">
        <v>0.0</v>
      </c>
      <c r="J720" s="84">
        <v>0.0</v>
      </c>
      <c r="K720" s="84">
        <v>0.0</v>
      </c>
      <c r="L720" s="84">
        <v>0.0</v>
      </c>
      <c r="M720" s="84">
        <v>0.0</v>
      </c>
      <c r="N720" s="84">
        <v>0.0</v>
      </c>
      <c r="O720" s="84">
        <v>0.0</v>
      </c>
      <c r="P720" s="84">
        <v>0.0</v>
      </c>
      <c r="Q720" s="84">
        <v>0.0</v>
      </c>
      <c r="R720" s="84">
        <v>0.0</v>
      </c>
      <c r="S720" s="84">
        <v>0.0</v>
      </c>
      <c r="T720" s="84">
        <v>1.0</v>
      </c>
      <c r="U720" s="84">
        <v>0.0</v>
      </c>
      <c r="V720" s="84">
        <v>0.0</v>
      </c>
      <c r="W720" s="84">
        <v>0.0</v>
      </c>
      <c r="X720" s="84">
        <v>0.0</v>
      </c>
      <c r="Y720" s="84">
        <v>0.0</v>
      </c>
      <c r="Z720" s="84">
        <v>0.0</v>
      </c>
      <c r="AA720" s="84">
        <v>0.0</v>
      </c>
      <c r="AB720" s="84">
        <v>0.0</v>
      </c>
      <c r="AC720" s="91">
        <v>0.0</v>
      </c>
      <c r="AD720" s="84">
        <v>0.0</v>
      </c>
      <c r="AE720" s="84">
        <v>0.0</v>
      </c>
      <c r="AF720" s="84">
        <v>0.0</v>
      </c>
      <c r="AG720" s="84">
        <v>0.0</v>
      </c>
      <c r="AH720" s="84">
        <v>0.0</v>
      </c>
      <c r="AI720" s="84">
        <v>0.0</v>
      </c>
      <c r="AJ720" s="84">
        <v>0.0</v>
      </c>
      <c r="AK720" s="84">
        <v>0.0</v>
      </c>
      <c r="AL720" s="84">
        <v>0.0</v>
      </c>
      <c r="AM720" s="84">
        <v>0.0</v>
      </c>
      <c r="AN720" s="93">
        <f t="shared" si="1"/>
        <v>0</v>
      </c>
      <c r="AO720" s="84">
        <f t="shared" si="2"/>
        <v>1</v>
      </c>
    </row>
    <row r="721" ht="12.75" customHeight="1">
      <c r="A721" s="84" t="s">
        <v>4652</v>
      </c>
      <c r="B721" s="84">
        <v>0.0</v>
      </c>
      <c r="C721" s="84">
        <v>0.0</v>
      </c>
      <c r="D721" s="84">
        <v>0.0</v>
      </c>
      <c r="E721" s="84">
        <v>0.0</v>
      </c>
      <c r="F721" s="84">
        <v>0.0</v>
      </c>
      <c r="G721" s="84">
        <v>0.0</v>
      </c>
      <c r="H721" s="84">
        <v>0.0</v>
      </c>
      <c r="I721" s="91">
        <v>0.0</v>
      </c>
      <c r="J721" s="84">
        <v>0.0</v>
      </c>
      <c r="K721" s="84">
        <v>0.0</v>
      </c>
      <c r="L721" s="84">
        <v>0.0</v>
      </c>
      <c r="M721" s="84">
        <v>0.0</v>
      </c>
      <c r="N721" s="84">
        <v>0.0</v>
      </c>
      <c r="O721" s="84">
        <v>0.0</v>
      </c>
      <c r="P721" s="84">
        <v>0.0</v>
      </c>
      <c r="Q721" s="84">
        <v>0.0</v>
      </c>
      <c r="R721" s="84">
        <v>0.0</v>
      </c>
      <c r="S721" s="84">
        <v>0.0</v>
      </c>
      <c r="T721" s="84">
        <v>1.0</v>
      </c>
      <c r="U721" s="84">
        <v>0.0</v>
      </c>
      <c r="V721" s="84">
        <v>0.0</v>
      </c>
      <c r="W721" s="84">
        <v>0.0</v>
      </c>
      <c r="X721" s="84">
        <v>0.0</v>
      </c>
      <c r="Y721" s="84">
        <v>0.0</v>
      </c>
      <c r="Z721" s="84">
        <v>0.0</v>
      </c>
      <c r="AA721" s="84">
        <v>0.0</v>
      </c>
      <c r="AB721" s="84">
        <v>0.0</v>
      </c>
      <c r="AC721" s="91">
        <v>0.0</v>
      </c>
      <c r="AD721" s="84">
        <v>0.0</v>
      </c>
      <c r="AE721" s="84">
        <v>0.0</v>
      </c>
      <c r="AF721" s="84">
        <v>0.0</v>
      </c>
      <c r="AG721" s="84">
        <v>0.0</v>
      </c>
      <c r="AH721" s="84">
        <v>0.0</v>
      </c>
      <c r="AI721" s="84">
        <v>0.0</v>
      </c>
      <c r="AJ721" s="84">
        <v>0.0</v>
      </c>
      <c r="AK721" s="84">
        <v>0.0</v>
      </c>
      <c r="AL721" s="84">
        <v>0.0</v>
      </c>
      <c r="AM721" s="84">
        <v>0.0</v>
      </c>
      <c r="AN721" s="93">
        <f t="shared" si="1"/>
        <v>0</v>
      </c>
      <c r="AO721" s="84">
        <f t="shared" si="2"/>
        <v>1</v>
      </c>
    </row>
    <row r="722" ht="12.75" customHeight="1">
      <c r="A722" s="84" t="s">
        <v>4502</v>
      </c>
      <c r="B722" s="84">
        <v>0.0</v>
      </c>
      <c r="C722" s="84">
        <v>0.0</v>
      </c>
      <c r="D722" s="84">
        <v>0.0</v>
      </c>
      <c r="E722" s="84">
        <v>0.0</v>
      </c>
      <c r="F722" s="84">
        <v>0.0</v>
      </c>
      <c r="G722" s="84">
        <v>0.0</v>
      </c>
      <c r="H722" s="84">
        <v>0.0</v>
      </c>
      <c r="I722" s="91">
        <v>0.0</v>
      </c>
      <c r="J722" s="84">
        <v>0.0</v>
      </c>
      <c r="K722" s="84">
        <v>0.0</v>
      </c>
      <c r="L722" s="84">
        <v>0.0</v>
      </c>
      <c r="M722" s="84">
        <v>0.0</v>
      </c>
      <c r="N722" s="84">
        <v>1.0</v>
      </c>
      <c r="O722" s="84">
        <v>0.0</v>
      </c>
      <c r="P722" s="84">
        <v>0.0</v>
      </c>
      <c r="Q722" s="84">
        <v>0.0</v>
      </c>
      <c r="R722" s="84">
        <v>0.0</v>
      </c>
      <c r="S722" s="84">
        <v>0.0</v>
      </c>
      <c r="T722" s="84">
        <v>0.0</v>
      </c>
      <c r="U722" s="84">
        <v>0.0</v>
      </c>
      <c r="V722" s="84">
        <v>0.0</v>
      </c>
      <c r="W722" s="84">
        <v>0.0</v>
      </c>
      <c r="X722" s="84">
        <v>0.0</v>
      </c>
      <c r="Y722" s="84">
        <v>0.0</v>
      </c>
      <c r="Z722" s="84">
        <v>0.0</v>
      </c>
      <c r="AA722" s="84">
        <v>0.0</v>
      </c>
      <c r="AB722" s="84">
        <v>0.0</v>
      </c>
      <c r="AC722" s="91">
        <v>0.0</v>
      </c>
      <c r="AD722" s="84">
        <v>0.0</v>
      </c>
      <c r="AE722" s="84">
        <v>0.0</v>
      </c>
      <c r="AF722" s="84">
        <v>0.0</v>
      </c>
      <c r="AG722" s="84">
        <v>0.0</v>
      </c>
      <c r="AH722" s="84">
        <v>0.0</v>
      </c>
      <c r="AI722" s="84">
        <v>0.0</v>
      </c>
      <c r="AJ722" s="84">
        <v>0.0</v>
      </c>
      <c r="AK722" s="84">
        <v>0.0</v>
      </c>
      <c r="AL722" s="84">
        <v>0.0</v>
      </c>
      <c r="AM722" s="84">
        <v>0.0</v>
      </c>
      <c r="AN722" s="93">
        <f t="shared" si="1"/>
        <v>0</v>
      </c>
      <c r="AO722" s="84">
        <f t="shared" si="2"/>
        <v>1</v>
      </c>
    </row>
    <row r="723" ht="12.75" customHeight="1">
      <c r="A723" s="84" t="s">
        <v>3875</v>
      </c>
      <c r="B723" s="84">
        <v>0.0</v>
      </c>
      <c r="C723" s="84">
        <v>0.0</v>
      </c>
      <c r="D723" s="84">
        <v>0.0</v>
      </c>
      <c r="E723" s="84">
        <v>0.0</v>
      </c>
      <c r="F723" s="84">
        <v>0.0</v>
      </c>
      <c r="G723" s="84">
        <v>0.0</v>
      </c>
      <c r="H723" s="84">
        <v>6.0</v>
      </c>
      <c r="I723" s="91">
        <v>0.0</v>
      </c>
      <c r="J723" s="84">
        <v>0.0</v>
      </c>
      <c r="K723" s="84">
        <v>0.0</v>
      </c>
      <c r="L723" s="84">
        <v>0.0</v>
      </c>
      <c r="M723" s="84">
        <v>0.0</v>
      </c>
      <c r="N723" s="84">
        <v>0.0</v>
      </c>
      <c r="O723" s="84">
        <v>0.0</v>
      </c>
      <c r="P723" s="84">
        <v>0.0</v>
      </c>
      <c r="Q723" s="84">
        <v>0.0</v>
      </c>
      <c r="R723" s="84">
        <v>0.0</v>
      </c>
      <c r="S723" s="84">
        <v>0.0</v>
      </c>
      <c r="T723" s="84">
        <v>0.0</v>
      </c>
      <c r="U723" s="84">
        <v>0.0</v>
      </c>
      <c r="V723" s="84">
        <v>0.0</v>
      </c>
      <c r="W723" s="84">
        <v>0.0</v>
      </c>
      <c r="X723" s="84">
        <v>0.0</v>
      </c>
      <c r="Y723" s="84">
        <v>0.0</v>
      </c>
      <c r="Z723" s="84">
        <v>0.0</v>
      </c>
      <c r="AA723" s="84">
        <v>0.0</v>
      </c>
      <c r="AB723" s="84">
        <v>6.0</v>
      </c>
      <c r="AC723" s="91">
        <v>0.0</v>
      </c>
      <c r="AD723" s="84">
        <v>0.0</v>
      </c>
      <c r="AE723" s="84">
        <v>0.0</v>
      </c>
      <c r="AF723" s="84">
        <v>0.0</v>
      </c>
      <c r="AG723" s="84">
        <v>0.0</v>
      </c>
      <c r="AH723" s="84">
        <v>0.0</v>
      </c>
      <c r="AI723" s="84">
        <v>0.0</v>
      </c>
      <c r="AJ723" s="84">
        <v>0.0</v>
      </c>
      <c r="AK723" s="84">
        <v>0.0</v>
      </c>
      <c r="AL723" s="84">
        <v>0.0</v>
      </c>
      <c r="AM723" s="84">
        <v>0.0</v>
      </c>
      <c r="AN723" s="93">
        <f t="shared" si="1"/>
        <v>0</v>
      </c>
      <c r="AO723" s="84">
        <f t="shared" si="2"/>
        <v>0</v>
      </c>
    </row>
    <row r="724" ht="12.75" customHeight="1">
      <c r="A724" s="84" t="s">
        <v>4559</v>
      </c>
      <c r="B724" s="84">
        <v>0.0</v>
      </c>
      <c r="C724" s="84">
        <v>0.0</v>
      </c>
      <c r="D724" s="84">
        <v>0.0</v>
      </c>
      <c r="E724" s="84">
        <v>0.0</v>
      </c>
      <c r="F724" s="84">
        <v>0.0</v>
      </c>
      <c r="G724" s="84">
        <v>0.0</v>
      </c>
      <c r="H724" s="84">
        <v>0.0</v>
      </c>
      <c r="I724" s="91">
        <v>0.0</v>
      </c>
      <c r="J724" s="84">
        <v>0.0</v>
      </c>
      <c r="K724" s="84">
        <v>0.0</v>
      </c>
      <c r="L724" s="84">
        <v>0.0</v>
      </c>
      <c r="M724" s="84">
        <v>0.0</v>
      </c>
      <c r="N724" s="84">
        <v>0.0</v>
      </c>
      <c r="O724" s="84">
        <v>0.0</v>
      </c>
      <c r="P724" s="84">
        <v>0.0</v>
      </c>
      <c r="Q724" s="84">
        <v>0.0</v>
      </c>
      <c r="R724" s="84">
        <v>0.0</v>
      </c>
      <c r="S724" s="84">
        <v>0.0</v>
      </c>
      <c r="T724" s="84">
        <v>0.0</v>
      </c>
      <c r="U724" s="84">
        <v>0.0</v>
      </c>
      <c r="V724" s="84">
        <v>0.0</v>
      </c>
      <c r="W724" s="84">
        <v>0.0</v>
      </c>
      <c r="X724" s="84">
        <v>0.0</v>
      </c>
      <c r="Y724" s="84">
        <v>0.0</v>
      </c>
      <c r="Z724" s="84">
        <v>0.0</v>
      </c>
      <c r="AA724" s="84">
        <v>0.0</v>
      </c>
      <c r="AB724" s="84">
        <v>0.0</v>
      </c>
      <c r="AC724" s="91">
        <v>0.0</v>
      </c>
      <c r="AD724" s="84">
        <v>0.0</v>
      </c>
      <c r="AE724" s="84">
        <v>0.0</v>
      </c>
      <c r="AF724" s="84">
        <v>0.0</v>
      </c>
      <c r="AG724" s="84">
        <v>0.0</v>
      </c>
      <c r="AH724" s="84">
        <v>1.0</v>
      </c>
      <c r="AI724" s="84">
        <v>0.0</v>
      </c>
      <c r="AJ724" s="84">
        <v>0.0</v>
      </c>
      <c r="AK724" s="84">
        <v>0.0</v>
      </c>
      <c r="AL724" s="84">
        <v>0.0</v>
      </c>
      <c r="AM724" s="84">
        <v>0.0</v>
      </c>
      <c r="AN724" s="93">
        <f t="shared" si="1"/>
        <v>0</v>
      </c>
      <c r="AO724" s="84">
        <f t="shared" si="2"/>
        <v>1</v>
      </c>
    </row>
    <row r="725" ht="12.75" customHeight="1">
      <c r="A725" s="84" t="s">
        <v>4563</v>
      </c>
      <c r="B725" s="84">
        <v>0.0</v>
      </c>
      <c r="C725" s="84">
        <v>0.0</v>
      </c>
      <c r="D725" s="84">
        <v>0.0</v>
      </c>
      <c r="E725" s="84">
        <v>0.0</v>
      </c>
      <c r="F725" s="84">
        <v>0.0</v>
      </c>
      <c r="G725" s="84">
        <v>0.0</v>
      </c>
      <c r="H725" s="84">
        <v>0.0</v>
      </c>
      <c r="I725" s="91">
        <v>0.0</v>
      </c>
      <c r="J725" s="84">
        <v>0.0</v>
      </c>
      <c r="K725" s="84">
        <v>0.0</v>
      </c>
      <c r="L725" s="84">
        <v>0.0</v>
      </c>
      <c r="M725" s="84">
        <v>0.0</v>
      </c>
      <c r="N725" s="84">
        <v>0.0</v>
      </c>
      <c r="O725" s="84">
        <v>0.0</v>
      </c>
      <c r="P725" s="84">
        <v>0.0</v>
      </c>
      <c r="Q725" s="84">
        <v>0.0</v>
      </c>
      <c r="R725" s="84">
        <v>0.0</v>
      </c>
      <c r="S725" s="84">
        <v>0.0</v>
      </c>
      <c r="T725" s="84">
        <v>0.0</v>
      </c>
      <c r="U725" s="84">
        <v>0.0</v>
      </c>
      <c r="V725" s="84">
        <v>0.0</v>
      </c>
      <c r="W725" s="84">
        <v>0.0</v>
      </c>
      <c r="X725" s="84">
        <v>0.0</v>
      </c>
      <c r="Y725" s="84">
        <v>0.0</v>
      </c>
      <c r="Z725" s="84">
        <v>0.0</v>
      </c>
      <c r="AA725" s="84">
        <v>0.0</v>
      </c>
      <c r="AB725" s="84">
        <v>0.0</v>
      </c>
      <c r="AC725" s="91">
        <v>0.0</v>
      </c>
      <c r="AD725" s="84">
        <v>0.0</v>
      </c>
      <c r="AE725" s="84">
        <v>0.0</v>
      </c>
      <c r="AF725" s="84">
        <v>0.0</v>
      </c>
      <c r="AG725" s="84">
        <v>0.0</v>
      </c>
      <c r="AH725" s="84">
        <v>1.0</v>
      </c>
      <c r="AI725" s="84">
        <v>0.0</v>
      </c>
      <c r="AJ725" s="84">
        <v>0.0</v>
      </c>
      <c r="AK725" s="84">
        <v>0.0</v>
      </c>
      <c r="AL725" s="84">
        <v>0.0</v>
      </c>
      <c r="AM725" s="84">
        <v>0.0</v>
      </c>
      <c r="AN725" s="93">
        <f t="shared" si="1"/>
        <v>0</v>
      </c>
      <c r="AO725" s="84">
        <f t="shared" si="2"/>
        <v>1</v>
      </c>
    </row>
    <row r="726" ht="12.75" customHeight="1">
      <c r="A726" s="84" t="s">
        <v>4583</v>
      </c>
      <c r="B726" s="84">
        <v>0.0</v>
      </c>
      <c r="C726" s="84">
        <v>0.0</v>
      </c>
      <c r="D726" s="84">
        <v>0.0</v>
      </c>
      <c r="E726" s="84">
        <v>0.0</v>
      </c>
      <c r="F726" s="84">
        <v>0.0</v>
      </c>
      <c r="G726" s="84">
        <v>0.0</v>
      </c>
      <c r="H726" s="84">
        <v>0.0</v>
      </c>
      <c r="I726" s="91">
        <v>0.0</v>
      </c>
      <c r="J726" s="84">
        <v>0.0</v>
      </c>
      <c r="K726" s="84">
        <v>0.0</v>
      </c>
      <c r="L726" s="84">
        <v>0.0</v>
      </c>
      <c r="M726" s="84">
        <v>0.0</v>
      </c>
      <c r="N726" s="84">
        <v>0.0</v>
      </c>
      <c r="O726" s="84">
        <v>0.0</v>
      </c>
      <c r="P726" s="84">
        <v>0.0</v>
      </c>
      <c r="Q726" s="84">
        <v>0.0</v>
      </c>
      <c r="R726" s="84">
        <v>0.0</v>
      </c>
      <c r="S726" s="84">
        <v>0.0</v>
      </c>
      <c r="T726" s="84">
        <v>0.0</v>
      </c>
      <c r="U726" s="84">
        <v>0.0</v>
      </c>
      <c r="V726" s="84">
        <v>0.0</v>
      </c>
      <c r="W726" s="84">
        <v>0.0</v>
      </c>
      <c r="X726" s="84">
        <v>0.0</v>
      </c>
      <c r="Y726" s="84">
        <v>0.0</v>
      </c>
      <c r="Z726" s="84">
        <v>0.0</v>
      </c>
      <c r="AA726" s="84">
        <v>0.0</v>
      </c>
      <c r="AB726" s="84">
        <v>0.0</v>
      </c>
      <c r="AC726" s="91">
        <v>0.0</v>
      </c>
      <c r="AD726" s="84">
        <v>0.0</v>
      </c>
      <c r="AE726" s="84">
        <v>0.0</v>
      </c>
      <c r="AF726" s="84">
        <v>0.0</v>
      </c>
      <c r="AG726" s="84">
        <v>0.0</v>
      </c>
      <c r="AH726" s="84">
        <v>0.0</v>
      </c>
      <c r="AI726" s="84">
        <v>1.0</v>
      </c>
      <c r="AJ726" s="84">
        <v>0.0</v>
      </c>
      <c r="AK726" s="84">
        <v>0.0</v>
      </c>
      <c r="AL726" s="84">
        <v>0.0</v>
      </c>
      <c r="AM726" s="84">
        <v>0.0</v>
      </c>
      <c r="AN726" s="93">
        <f t="shared" si="1"/>
        <v>0</v>
      </c>
      <c r="AO726" s="84">
        <f t="shared" si="2"/>
        <v>1</v>
      </c>
    </row>
    <row r="727" ht="12.75" customHeight="1">
      <c r="A727" s="84" t="s">
        <v>4589</v>
      </c>
      <c r="B727" s="84">
        <v>0.0</v>
      </c>
      <c r="C727" s="84">
        <v>0.0</v>
      </c>
      <c r="D727" s="84">
        <v>0.0</v>
      </c>
      <c r="E727" s="84">
        <v>0.0</v>
      </c>
      <c r="F727" s="84">
        <v>0.0</v>
      </c>
      <c r="G727" s="84">
        <v>0.0</v>
      </c>
      <c r="H727" s="84">
        <v>0.0</v>
      </c>
      <c r="I727" s="91">
        <v>0.0</v>
      </c>
      <c r="J727" s="84">
        <v>0.0</v>
      </c>
      <c r="K727" s="84">
        <v>0.0</v>
      </c>
      <c r="L727" s="84">
        <v>0.0</v>
      </c>
      <c r="M727" s="84">
        <v>0.0</v>
      </c>
      <c r="N727" s="84">
        <v>0.0</v>
      </c>
      <c r="O727" s="84">
        <v>0.0</v>
      </c>
      <c r="P727" s="84">
        <v>0.0</v>
      </c>
      <c r="Q727" s="84">
        <v>0.0</v>
      </c>
      <c r="R727" s="84">
        <v>0.0</v>
      </c>
      <c r="S727" s="84">
        <v>0.0</v>
      </c>
      <c r="T727" s="84">
        <v>0.0</v>
      </c>
      <c r="U727" s="84">
        <v>0.0</v>
      </c>
      <c r="V727" s="84">
        <v>0.0</v>
      </c>
      <c r="W727" s="84">
        <v>0.0</v>
      </c>
      <c r="X727" s="84">
        <v>0.0</v>
      </c>
      <c r="Y727" s="84">
        <v>0.0</v>
      </c>
      <c r="Z727" s="84">
        <v>0.0</v>
      </c>
      <c r="AA727" s="84">
        <v>0.0</v>
      </c>
      <c r="AB727" s="84">
        <v>0.0</v>
      </c>
      <c r="AC727" s="91">
        <v>0.0</v>
      </c>
      <c r="AD727" s="84">
        <v>0.0</v>
      </c>
      <c r="AE727" s="84">
        <v>0.0</v>
      </c>
      <c r="AF727" s="84">
        <v>0.0</v>
      </c>
      <c r="AG727" s="84">
        <v>0.0</v>
      </c>
      <c r="AH727" s="84">
        <v>0.0</v>
      </c>
      <c r="AI727" s="84">
        <v>1.0</v>
      </c>
      <c r="AJ727" s="84">
        <v>0.0</v>
      </c>
      <c r="AK727" s="84">
        <v>0.0</v>
      </c>
      <c r="AL727" s="84">
        <v>0.0</v>
      </c>
      <c r="AM727" s="84">
        <v>0.0</v>
      </c>
      <c r="AN727" s="93">
        <f t="shared" si="1"/>
        <v>0</v>
      </c>
      <c r="AO727" s="84">
        <f t="shared" si="2"/>
        <v>1</v>
      </c>
    </row>
    <row r="728" ht="12.75" customHeight="1">
      <c r="A728" s="84" t="s">
        <v>4499</v>
      </c>
      <c r="B728" s="84">
        <v>0.0</v>
      </c>
      <c r="C728" s="84">
        <v>0.0</v>
      </c>
      <c r="D728" s="84">
        <v>0.0</v>
      </c>
      <c r="E728" s="84">
        <v>0.0</v>
      </c>
      <c r="F728" s="84">
        <v>0.0</v>
      </c>
      <c r="G728" s="84">
        <v>0.0</v>
      </c>
      <c r="H728" s="84">
        <v>0.0</v>
      </c>
      <c r="I728" s="91">
        <v>0.0</v>
      </c>
      <c r="J728" s="84">
        <v>0.0</v>
      </c>
      <c r="K728" s="84">
        <v>0.0</v>
      </c>
      <c r="L728" s="84">
        <v>0.0</v>
      </c>
      <c r="M728" s="84">
        <v>0.0</v>
      </c>
      <c r="N728" s="84">
        <v>1.0</v>
      </c>
      <c r="O728" s="84">
        <v>0.0</v>
      </c>
      <c r="P728" s="84">
        <v>0.0</v>
      </c>
      <c r="Q728" s="84">
        <v>0.0</v>
      </c>
      <c r="R728" s="84">
        <v>0.0</v>
      </c>
      <c r="S728" s="84">
        <v>0.0</v>
      </c>
      <c r="T728" s="84">
        <v>0.0</v>
      </c>
      <c r="U728" s="84">
        <v>0.0</v>
      </c>
      <c r="V728" s="84">
        <v>0.0</v>
      </c>
      <c r="W728" s="84">
        <v>0.0</v>
      </c>
      <c r="X728" s="84">
        <v>0.0</v>
      </c>
      <c r="Y728" s="84">
        <v>0.0</v>
      </c>
      <c r="Z728" s="84">
        <v>0.0</v>
      </c>
      <c r="AA728" s="84">
        <v>0.0</v>
      </c>
      <c r="AB728" s="84">
        <v>0.0</v>
      </c>
      <c r="AC728" s="91">
        <v>0.0</v>
      </c>
      <c r="AD728" s="84">
        <v>0.0</v>
      </c>
      <c r="AE728" s="84">
        <v>0.0</v>
      </c>
      <c r="AF728" s="84">
        <v>0.0</v>
      </c>
      <c r="AG728" s="84">
        <v>0.0</v>
      </c>
      <c r="AH728" s="84">
        <v>0.0</v>
      </c>
      <c r="AI728" s="84">
        <v>0.0</v>
      </c>
      <c r="AJ728" s="84">
        <v>0.0</v>
      </c>
      <c r="AK728" s="84">
        <v>0.0</v>
      </c>
      <c r="AL728" s="84">
        <v>0.0</v>
      </c>
      <c r="AM728" s="84">
        <v>0.0</v>
      </c>
      <c r="AN728" s="93">
        <f t="shared" si="1"/>
        <v>0</v>
      </c>
      <c r="AO728" s="84">
        <f t="shared" si="2"/>
        <v>1</v>
      </c>
    </row>
    <row r="729" ht="12.75" customHeight="1">
      <c r="A729" s="84" t="s">
        <v>4524</v>
      </c>
      <c r="B729" s="84">
        <v>0.0</v>
      </c>
      <c r="C729" s="84">
        <v>0.0</v>
      </c>
      <c r="D729" s="84">
        <v>0.0</v>
      </c>
      <c r="E729" s="84">
        <v>0.0</v>
      </c>
      <c r="F729" s="84">
        <v>0.0</v>
      </c>
      <c r="G729" s="84">
        <v>0.0</v>
      </c>
      <c r="H729" s="84">
        <v>0.0</v>
      </c>
      <c r="I729" s="91">
        <v>0.0</v>
      </c>
      <c r="J729" s="84">
        <v>0.0</v>
      </c>
      <c r="K729" s="84">
        <v>0.0</v>
      </c>
      <c r="L729" s="84">
        <v>0.0</v>
      </c>
      <c r="M729" s="84">
        <v>0.0</v>
      </c>
      <c r="N729" s="84">
        <v>0.0</v>
      </c>
      <c r="O729" s="84">
        <v>1.0</v>
      </c>
      <c r="P729" s="84">
        <v>0.0</v>
      </c>
      <c r="Q729" s="84">
        <v>0.0</v>
      </c>
      <c r="R729" s="84">
        <v>0.0</v>
      </c>
      <c r="S729" s="84">
        <v>0.0</v>
      </c>
      <c r="T729" s="84">
        <v>0.0</v>
      </c>
      <c r="U729" s="84">
        <v>0.0</v>
      </c>
      <c r="V729" s="84">
        <v>0.0</v>
      </c>
      <c r="W729" s="84">
        <v>0.0</v>
      </c>
      <c r="X729" s="84">
        <v>0.0</v>
      </c>
      <c r="Y729" s="84">
        <v>0.0</v>
      </c>
      <c r="Z729" s="84">
        <v>0.0</v>
      </c>
      <c r="AA729" s="84">
        <v>0.0</v>
      </c>
      <c r="AB729" s="84">
        <v>0.0</v>
      </c>
      <c r="AC729" s="91">
        <v>0.0</v>
      </c>
      <c r="AD729" s="84">
        <v>0.0</v>
      </c>
      <c r="AE729" s="84">
        <v>0.0</v>
      </c>
      <c r="AF729" s="84">
        <v>0.0</v>
      </c>
      <c r="AG729" s="84">
        <v>0.0</v>
      </c>
      <c r="AH729" s="84">
        <v>0.0</v>
      </c>
      <c r="AI729" s="84">
        <v>0.0</v>
      </c>
      <c r="AJ729" s="84">
        <v>0.0</v>
      </c>
      <c r="AK729" s="84">
        <v>0.0</v>
      </c>
      <c r="AL729" s="84">
        <v>0.0</v>
      </c>
      <c r="AM729" s="84">
        <v>0.0</v>
      </c>
      <c r="AN729" s="93">
        <f t="shared" si="1"/>
        <v>0</v>
      </c>
      <c r="AO729" s="84">
        <f t="shared" si="2"/>
        <v>1</v>
      </c>
    </row>
    <row r="730" ht="12.75" customHeight="1">
      <c r="A730" s="84" t="s">
        <v>3690</v>
      </c>
      <c r="B730" s="84">
        <v>0.0</v>
      </c>
      <c r="C730" s="84">
        <v>0.0</v>
      </c>
      <c r="D730" s="84">
        <v>0.0</v>
      </c>
      <c r="E730" s="84">
        <v>0.0</v>
      </c>
      <c r="F730" s="84">
        <v>4.0</v>
      </c>
      <c r="G730" s="84">
        <v>1.0</v>
      </c>
      <c r="H730" s="84">
        <v>0.0</v>
      </c>
      <c r="I730" s="91">
        <v>0.0</v>
      </c>
      <c r="J730" s="84">
        <v>0.0</v>
      </c>
      <c r="K730" s="84">
        <v>0.0</v>
      </c>
      <c r="L730" s="84">
        <v>0.0</v>
      </c>
      <c r="M730" s="84">
        <v>0.0</v>
      </c>
      <c r="N730" s="84">
        <v>0.0</v>
      </c>
      <c r="O730" s="84">
        <v>0.0</v>
      </c>
      <c r="P730" s="84">
        <v>0.0</v>
      </c>
      <c r="Q730" s="84">
        <v>0.0</v>
      </c>
      <c r="R730" s="84">
        <v>0.0</v>
      </c>
      <c r="S730" s="84">
        <v>0.0</v>
      </c>
      <c r="T730" s="84">
        <v>0.0</v>
      </c>
      <c r="U730" s="84">
        <v>0.0</v>
      </c>
      <c r="V730" s="84">
        <v>0.0</v>
      </c>
      <c r="W730" s="84">
        <v>0.0</v>
      </c>
      <c r="X730" s="84">
        <v>0.0</v>
      </c>
      <c r="Y730" s="84">
        <v>0.0</v>
      </c>
      <c r="Z730" s="84">
        <v>6.0</v>
      </c>
      <c r="AA730" s="84">
        <v>1.0</v>
      </c>
      <c r="AB730" s="84">
        <v>0.0</v>
      </c>
      <c r="AC730" s="91">
        <v>0.0</v>
      </c>
      <c r="AD730" s="84">
        <v>0.0</v>
      </c>
      <c r="AE730" s="84">
        <v>0.0</v>
      </c>
      <c r="AF730" s="84">
        <v>0.0</v>
      </c>
      <c r="AG730" s="84">
        <v>0.0</v>
      </c>
      <c r="AH730" s="84">
        <v>0.0</v>
      </c>
      <c r="AI730" s="84">
        <v>0.0</v>
      </c>
      <c r="AJ730" s="84">
        <v>0.0</v>
      </c>
      <c r="AK730" s="84">
        <v>0.0</v>
      </c>
      <c r="AL730" s="84">
        <v>0.0</v>
      </c>
      <c r="AM730" s="84">
        <v>0.0</v>
      </c>
      <c r="AN730" s="93">
        <f t="shared" si="1"/>
        <v>0</v>
      </c>
      <c r="AO730" s="84">
        <f t="shared" si="2"/>
        <v>0</v>
      </c>
    </row>
    <row r="731" ht="12.75" customHeight="1">
      <c r="A731" s="84" t="s">
        <v>3518</v>
      </c>
      <c r="B731" s="84">
        <v>0.0</v>
      </c>
      <c r="C731" s="84">
        <v>0.0</v>
      </c>
      <c r="D731" s="84">
        <v>0.0</v>
      </c>
      <c r="E731" s="84">
        <v>4.0</v>
      </c>
      <c r="F731" s="84">
        <v>2.0</v>
      </c>
      <c r="G731" s="84">
        <v>0.0</v>
      </c>
      <c r="H731" s="84">
        <v>0.0</v>
      </c>
      <c r="I731" s="91">
        <v>0.0</v>
      </c>
      <c r="J731" s="84">
        <v>0.0</v>
      </c>
      <c r="K731" s="84">
        <v>0.0</v>
      </c>
      <c r="L731" s="84">
        <v>0.0</v>
      </c>
      <c r="M731" s="84">
        <v>0.0</v>
      </c>
      <c r="N731" s="84">
        <v>0.0</v>
      </c>
      <c r="O731" s="84">
        <v>0.0</v>
      </c>
      <c r="P731" s="84">
        <v>0.0</v>
      </c>
      <c r="Q731" s="84">
        <v>0.0</v>
      </c>
      <c r="R731" s="84">
        <v>0.0</v>
      </c>
      <c r="S731" s="84">
        <v>0.0</v>
      </c>
      <c r="T731" s="84">
        <v>0.0</v>
      </c>
      <c r="U731" s="84">
        <v>0.0</v>
      </c>
      <c r="V731" s="84">
        <v>0.0</v>
      </c>
      <c r="W731" s="84">
        <v>0.0</v>
      </c>
      <c r="X731" s="84">
        <v>0.0</v>
      </c>
      <c r="Y731" s="84">
        <v>6.0</v>
      </c>
      <c r="Z731" s="84">
        <v>2.0</v>
      </c>
      <c r="AA731" s="84">
        <v>0.0</v>
      </c>
      <c r="AB731" s="84">
        <v>0.0</v>
      </c>
      <c r="AC731" s="91">
        <v>0.0</v>
      </c>
      <c r="AD731" s="84">
        <v>0.0</v>
      </c>
      <c r="AE731" s="84">
        <v>0.0</v>
      </c>
      <c r="AF731" s="84">
        <v>0.0</v>
      </c>
      <c r="AG731" s="84">
        <v>0.0</v>
      </c>
      <c r="AH731" s="84">
        <v>0.0</v>
      </c>
      <c r="AI731" s="84">
        <v>0.0</v>
      </c>
      <c r="AJ731" s="84">
        <v>0.0</v>
      </c>
      <c r="AK731" s="84">
        <v>0.0</v>
      </c>
      <c r="AL731" s="84">
        <v>0.0</v>
      </c>
      <c r="AM731" s="84">
        <v>0.0</v>
      </c>
      <c r="AN731" s="93">
        <f t="shared" si="1"/>
        <v>0</v>
      </c>
      <c r="AO731" s="84">
        <f t="shared" si="2"/>
        <v>0</v>
      </c>
    </row>
    <row r="732" ht="12.75" customHeight="1">
      <c r="A732" s="84" t="s">
        <v>4449</v>
      </c>
      <c r="B732" s="84">
        <v>0.0</v>
      </c>
      <c r="C732" s="84">
        <v>0.0</v>
      </c>
      <c r="D732" s="84">
        <v>0.0</v>
      </c>
      <c r="E732" s="84">
        <v>0.0</v>
      </c>
      <c r="F732" s="84">
        <v>0.0</v>
      </c>
      <c r="G732" s="84">
        <v>0.0</v>
      </c>
      <c r="H732" s="84">
        <v>0.0</v>
      </c>
      <c r="I732" s="91">
        <v>0.0</v>
      </c>
      <c r="J732" s="84">
        <v>0.0</v>
      </c>
      <c r="K732" s="84">
        <v>0.0</v>
      </c>
      <c r="L732" s="84">
        <v>1.0</v>
      </c>
      <c r="M732" s="84">
        <v>0.0</v>
      </c>
      <c r="N732" s="84">
        <v>0.0</v>
      </c>
      <c r="O732" s="84">
        <v>0.0</v>
      </c>
      <c r="P732" s="84">
        <v>0.0</v>
      </c>
      <c r="Q732" s="84">
        <v>0.0</v>
      </c>
      <c r="R732" s="84">
        <v>0.0</v>
      </c>
      <c r="S732" s="84">
        <v>0.0</v>
      </c>
      <c r="T732" s="84">
        <v>0.0</v>
      </c>
      <c r="U732" s="84">
        <v>0.0</v>
      </c>
      <c r="V732" s="84">
        <v>0.0</v>
      </c>
      <c r="W732" s="84">
        <v>0.0</v>
      </c>
      <c r="X732" s="84">
        <v>0.0</v>
      </c>
      <c r="Y732" s="84">
        <v>0.0</v>
      </c>
      <c r="Z732" s="84">
        <v>0.0</v>
      </c>
      <c r="AA732" s="84">
        <v>0.0</v>
      </c>
      <c r="AB732" s="84">
        <v>0.0</v>
      </c>
      <c r="AC732" s="91">
        <v>0.0</v>
      </c>
      <c r="AD732" s="84">
        <v>0.0</v>
      </c>
      <c r="AE732" s="84">
        <v>0.0</v>
      </c>
      <c r="AF732" s="84">
        <v>0.0</v>
      </c>
      <c r="AG732" s="84">
        <v>0.0</v>
      </c>
      <c r="AH732" s="84">
        <v>0.0</v>
      </c>
      <c r="AI732" s="84">
        <v>0.0</v>
      </c>
      <c r="AJ732" s="84">
        <v>0.0</v>
      </c>
      <c r="AK732" s="84">
        <v>0.0</v>
      </c>
      <c r="AL732" s="84">
        <v>0.0</v>
      </c>
      <c r="AM732" s="84">
        <v>0.0</v>
      </c>
      <c r="AN732" s="93">
        <f t="shared" si="1"/>
        <v>0</v>
      </c>
      <c r="AO732" s="84">
        <f t="shared" si="2"/>
        <v>1</v>
      </c>
    </row>
    <row r="733" ht="12.75" customHeight="1">
      <c r="A733" s="84" t="s">
        <v>3417</v>
      </c>
      <c r="B733" s="84">
        <v>0.0</v>
      </c>
      <c r="C733" s="84">
        <v>0.0</v>
      </c>
      <c r="D733" s="84">
        <v>5.0</v>
      </c>
      <c r="E733" s="84">
        <v>0.0</v>
      </c>
      <c r="F733" s="84">
        <v>0.0</v>
      </c>
      <c r="G733" s="84">
        <v>0.0</v>
      </c>
      <c r="H733" s="84">
        <v>0.0</v>
      </c>
      <c r="I733" s="91">
        <v>0.0</v>
      </c>
      <c r="J733" s="84">
        <v>0.0</v>
      </c>
      <c r="K733" s="84">
        <v>0.0</v>
      </c>
      <c r="L733" s="84">
        <v>0.0</v>
      </c>
      <c r="M733" s="84">
        <v>0.0</v>
      </c>
      <c r="N733" s="84">
        <v>0.0</v>
      </c>
      <c r="O733" s="84">
        <v>0.0</v>
      </c>
      <c r="P733" s="84">
        <v>0.0</v>
      </c>
      <c r="Q733" s="84">
        <v>0.0</v>
      </c>
      <c r="R733" s="84">
        <v>0.0</v>
      </c>
      <c r="S733" s="84">
        <v>0.0</v>
      </c>
      <c r="T733" s="84">
        <v>0.0</v>
      </c>
      <c r="U733" s="84">
        <v>0.0</v>
      </c>
      <c r="V733" s="84">
        <v>0.0</v>
      </c>
      <c r="W733" s="84">
        <v>0.0</v>
      </c>
      <c r="X733" s="84">
        <v>6.0</v>
      </c>
      <c r="Y733" s="84">
        <v>0.0</v>
      </c>
      <c r="Z733" s="84">
        <v>0.0</v>
      </c>
      <c r="AA733" s="84">
        <v>0.0</v>
      </c>
      <c r="AB733" s="84">
        <v>0.0</v>
      </c>
      <c r="AC733" s="91">
        <v>0.0</v>
      </c>
      <c r="AD733" s="84">
        <v>0.0</v>
      </c>
      <c r="AE733" s="84">
        <v>0.0</v>
      </c>
      <c r="AF733" s="84">
        <v>0.0</v>
      </c>
      <c r="AG733" s="84">
        <v>0.0</v>
      </c>
      <c r="AH733" s="84">
        <v>0.0</v>
      </c>
      <c r="AI733" s="84">
        <v>0.0</v>
      </c>
      <c r="AJ733" s="84">
        <v>0.0</v>
      </c>
      <c r="AK733" s="84">
        <v>0.0</v>
      </c>
      <c r="AL733" s="84">
        <v>0.0</v>
      </c>
      <c r="AM733" s="84">
        <v>0.0</v>
      </c>
      <c r="AN733" s="93">
        <f t="shared" si="1"/>
        <v>0</v>
      </c>
      <c r="AO733" s="84">
        <f t="shared" si="2"/>
        <v>0</v>
      </c>
    </row>
    <row r="734" ht="12.75" customHeight="1">
      <c r="A734" s="84" t="s">
        <v>3026</v>
      </c>
      <c r="B734" s="84">
        <v>1.0</v>
      </c>
      <c r="C734" s="84">
        <v>0.0</v>
      </c>
      <c r="D734" s="84">
        <v>0.0</v>
      </c>
      <c r="E734" s="84">
        <v>0.0</v>
      </c>
      <c r="F734" s="84">
        <v>0.0</v>
      </c>
      <c r="G734" s="84">
        <v>0.0</v>
      </c>
      <c r="H734" s="84">
        <v>0.0</v>
      </c>
      <c r="I734" s="91">
        <v>0.0</v>
      </c>
      <c r="J734" s="84">
        <v>0.0</v>
      </c>
      <c r="K734" s="84">
        <v>0.0</v>
      </c>
      <c r="L734" s="84">
        <v>0.0</v>
      </c>
      <c r="M734" s="84">
        <v>0.0</v>
      </c>
      <c r="N734" s="84">
        <v>0.0</v>
      </c>
      <c r="O734" s="84">
        <v>0.0</v>
      </c>
      <c r="P734" s="84">
        <v>0.0</v>
      </c>
      <c r="Q734" s="84">
        <v>0.0</v>
      </c>
      <c r="R734" s="84">
        <v>0.0</v>
      </c>
      <c r="S734" s="84">
        <v>0.0</v>
      </c>
      <c r="T734" s="84">
        <v>0.0</v>
      </c>
      <c r="U734" s="84">
        <v>0.0</v>
      </c>
      <c r="V734" s="84">
        <v>3.0</v>
      </c>
      <c r="W734" s="84">
        <v>4.0</v>
      </c>
      <c r="X734" s="84">
        <v>0.0</v>
      </c>
      <c r="Y734" s="84">
        <v>0.0</v>
      </c>
      <c r="Z734" s="84">
        <v>0.0</v>
      </c>
      <c r="AA734" s="84">
        <v>0.0</v>
      </c>
      <c r="AB734" s="84">
        <v>0.0</v>
      </c>
      <c r="AC734" s="91">
        <v>0.0</v>
      </c>
      <c r="AD734" s="84">
        <v>0.0</v>
      </c>
      <c r="AE734" s="84">
        <v>0.0</v>
      </c>
      <c r="AF734" s="84">
        <v>0.0</v>
      </c>
      <c r="AG734" s="84">
        <v>0.0</v>
      </c>
      <c r="AH734" s="84">
        <v>0.0</v>
      </c>
      <c r="AI734" s="84">
        <v>0.0</v>
      </c>
      <c r="AJ734" s="84">
        <v>0.0</v>
      </c>
      <c r="AK734" s="84">
        <v>0.0</v>
      </c>
      <c r="AL734" s="84">
        <v>0.0</v>
      </c>
      <c r="AM734" s="84">
        <v>0.0</v>
      </c>
      <c r="AN734" s="93">
        <f t="shared" si="1"/>
        <v>0</v>
      </c>
      <c r="AO734" s="84">
        <f t="shared" si="2"/>
        <v>0</v>
      </c>
    </row>
    <row r="735" ht="12.75" customHeight="1">
      <c r="A735" s="84" t="s">
        <v>3146</v>
      </c>
      <c r="B735" s="84">
        <v>0.0</v>
      </c>
      <c r="C735" s="84">
        <v>5.0</v>
      </c>
      <c r="D735" s="84">
        <v>1.0</v>
      </c>
      <c r="E735" s="84">
        <v>0.0</v>
      </c>
      <c r="F735" s="84">
        <v>0.0</v>
      </c>
      <c r="G735" s="84">
        <v>0.0</v>
      </c>
      <c r="H735" s="84">
        <v>0.0</v>
      </c>
      <c r="I735" s="91">
        <v>0.0</v>
      </c>
      <c r="J735" s="84">
        <v>0.0</v>
      </c>
      <c r="K735" s="84">
        <v>0.0</v>
      </c>
      <c r="L735" s="84">
        <v>0.0</v>
      </c>
      <c r="M735" s="84">
        <v>0.0</v>
      </c>
      <c r="N735" s="84">
        <v>0.0</v>
      </c>
      <c r="O735" s="84">
        <v>0.0</v>
      </c>
      <c r="P735" s="84">
        <v>0.0</v>
      </c>
      <c r="Q735" s="84">
        <v>0.0</v>
      </c>
      <c r="R735" s="84">
        <v>0.0</v>
      </c>
      <c r="S735" s="84">
        <v>0.0</v>
      </c>
      <c r="T735" s="84">
        <v>0.0</v>
      </c>
      <c r="U735" s="84">
        <v>0.0</v>
      </c>
      <c r="V735" s="84">
        <v>0.0</v>
      </c>
      <c r="W735" s="84">
        <v>3.0</v>
      </c>
      <c r="X735" s="84">
        <v>1.0</v>
      </c>
      <c r="Y735" s="84">
        <v>0.0</v>
      </c>
      <c r="Z735" s="84">
        <v>0.0</v>
      </c>
      <c r="AA735" s="84">
        <v>0.0</v>
      </c>
      <c r="AB735" s="84">
        <v>0.0</v>
      </c>
      <c r="AC735" s="91">
        <v>0.0</v>
      </c>
      <c r="AD735" s="84">
        <v>0.0</v>
      </c>
      <c r="AE735" s="84">
        <v>0.0</v>
      </c>
      <c r="AF735" s="84">
        <v>0.0</v>
      </c>
      <c r="AG735" s="84">
        <v>0.0</v>
      </c>
      <c r="AH735" s="84">
        <v>0.0</v>
      </c>
      <c r="AI735" s="84">
        <v>0.0</v>
      </c>
      <c r="AJ735" s="84">
        <v>0.0</v>
      </c>
      <c r="AK735" s="84">
        <v>0.0</v>
      </c>
      <c r="AL735" s="84">
        <v>0.0</v>
      </c>
      <c r="AM735" s="84">
        <v>0.0</v>
      </c>
      <c r="AN735" s="93">
        <f t="shared" si="1"/>
        <v>0</v>
      </c>
      <c r="AO735" s="84">
        <f t="shared" si="2"/>
        <v>0</v>
      </c>
    </row>
    <row r="736" ht="12.75" customHeight="1">
      <c r="A736" s="84" t="s">
        <v>3810</v>
      </c>
      <c r="B736" s="84">
        <v>0.0</v>
      </c>
      <c r="C736" s="84">
        <v>0.0</v>
      </c>
      <c r="D736" s="84">
        <v>0.0</v>
      </c>
      <c r="E736" s="84">
        <v>0.0</v>
      </c>
      <c r="F736" s="84">
        <v>0.0</v>
      </c>
      <c r="G736" s="84">
        <v>4.0</v>
      </c>
      <c r="H736" s="84">
        <v>3.0</v>
      </c>
      <c r="I736" s="91">
        <v>0.0</v>
      </c>
      <c r="J736" s="84">
        <v>0.0</v>
      </c>
      <c r="K736" s="84">
        <v>0.0</v>
      </c>
      <c r="L736" s="84">
        <v>0.0</v>
      </c>
      <c r="M736" s="84">
        <v>0.0</v>
      </c>
      <c r="N736" s="84">
        <v>0.0</v>
      </c>
      <c r="O736" s="84">
        <v>0.0</v>
      </c>
      <c r="P736" s="84">
        <v>0.0</v>
      </c>
      <c r="Q736" s="84">
        <v>0.0</v>
      </c>
      <c r="R736" s="84">
        <v>0.0</v>
      </c>
      <c r="S736" s="84">
        <v>0.0</v>
      </c>
      <c r="T736" s="84">
        <v>0.0</v>
      </c>
      <c r="U736" s="84">
        <v>0.0</v>
      </c>
      <c r="V736" s="84">
        <v>0.0</v>
      </c>
      <c r="W736" s="84">
        <v>0.0</v>
      </c>
      <c r="X736" s="84">
        <v>0.0</v>
      </c>
      <c r="Y736" s="84">
        <v>0.0</v>
      </c>
      <c r="Z736" s="84">
        <v>0.0</v>
      </c>
      <c r="AA736" s="84">
        <v>6.0</v>
      </c>
      <c r="AB736" s="84">
        <v>3.0</v>
      </c>
      <c r="AC736" s="91">
        <v>0.0</v>
      </c>
      <c r="AD736" s="84">
        <v>0.0</v>
      </c>
      <c r="AE736" s="84">
        <v>0.0</v>
      </c>
      <c r="AF736" s="84">
        <v>0.0</v>
      </c>
      <c r="AG736" s="84">
        <v>0.0</v>
      </c>
      <c r="AH736" s="84">
        <v>0.0</v>
      </c>
      <c r="AI736" s="84">
        <v>0.0</v>
      </c>
      <c r="AJ736" s="84">
        <v>0.0</v>
      </c>
      <c r="AK736" s="84">
        <v>0.0</v>
      </c>
      <c r="AL736" s="84">
        <v>0.0</v>
      </c>
      <c r="AM736" s="84">
        <v>0.0</v>
      </c>
      <c r="AN736" s="93">
        <f t="shared" si="1"/>
        <v>0</v>
      </c>
      <c r="AO736" s="84">
        <f t="shared" si="2"/>
        <v>0</v>
      </c>
    </row>
    <row r="737" ht="12.75" customHeight="1">
      <c r="A737" s="84" t="s">
        <v>4640</v>
      </c>
      <c r="B737" s="84">
        <v>0.0</v>
      </c>
      <c r="C737" s="84">
        <v>0.0</v>
      </c>
      <c r="D737" s="84">
        <v>0.0</v>
      </c>
      <c r="E737" s="84">
        <v>0.0</v>
      </c>
      <c r="F737" s="84">
        <v>0.0</v>
      </c>
      <c r="G737" s="84">
        <v>0.0</v>
      </c>
      <c r="H737" s="84">
        <v>0.0</v>
      </c>
      <c r="I737" s="91">
        <v>0.0</v>
      </c>
      <c r="J737" s="84">
        <v>0.0</v>
      </c>
      <c r="K737" s="84">
        <v>0.0</v>
      </c>
      <c r="L737" s="84">
        <v>0.0</v>
      </c>
      <c r="M737" s="84">
        <v>0.0</v>
      </c>
      <c r="N737" s="84">
        <v>0.0</v>
      </c>
      <c r="O737" s="84">
        <v>0.0</v>
      </c>
      <c r="P737" s="84">
        <v>0.0</v>
      </c>
      <c r="Q737" s="84">
        <v>0.0</v>
      </c>
      <c r="R737" s="84">
        <v>0.0</v>
      </c>
      <c r="S737" s="84">
        <v>0.0</v>
      </c>
      <c r="T737" s="84">
        <v>0.0</v>
      </c>
      <c r="U737" s="84">
        <v>0.0</v>
      </c>
      <c r="V737" s="84">
        <v>0.0</v>
      </c>
      <c r="W737" s="84">
        <v>0.0</v>
      </c>
      <c r="X737" s="84">
        <v>0.0</v>
      </c>
      <c r="Y737" s="84">
        <v>0.0</v>
      </c>
      <c r="Z737" s="84">
        <v>0.0</v>
      </c>
      <c r="AA737" s="84">
        <v>0.0</v>
      </c>
      <c r="AB737" s="84">
        <v>0.0</v>
      </c>
      <c r="AC737" s="91">
        <v>0.0</v>
      </c>
      <c r="AD737" s="84">
        <v>0.0</v>
      </c>
      <c r="AE737" s="84">
        <v>0.0</v>
      </c>
      <c r="AF737" s="84">
        <v>0.0</v>
      </c>
      <c r="AG737" s="84">
        <v>0.0</v>
      </c>
      <c r="AH737" s="84">
        <v>0.0</v>
      </c>
      <c r="AI737" s="84">
        <v>0.0</v>
      </c>
      <c r="AJ737" s="84">
        <v>0.0</v>
      </c>
      <c r="AK737" s="84">
        <v>1.0</v>
      </c>
      <c r="AL737" s="84">
        <v>0.0</v>
      </c>
      <c r="AM737" s="84">
        <v>0.0</v>
      </c>
      <c r="AN737" s="93">
        <f t="shared" si="1"/>
        <v>0</v>
      </c>
      <c r="AO737" s="84">
        <f t="shared" si="2"/>
        <v>1</v>
      </c>
    </row>
    <row r="738" ht="12.75" customHeight="1">
      <c r="A738" s="84" t="s">
        <v>4621</v>
      </c>
      <c r="B738" s="84">
        <v>0.0</v>
      </c>
      <c r="C738" s="84">
        <v>0.0</v>
      </c>
      <c r="D738" s="84">
        <v>0.0</v>
      </c>
      <c r="E738" s="84">
        <v>0.0</v>
      </c>
      <c r="F738" s="84">
        <v>0.0</v>
      </c>
      <c r="G738" s="84">
        <v>0.0</v>
      </c>
      <c r="H738" s="84">
        <v>0.0</v>
      </c>
      <c r="I738" s="91">
        <v>0.0</v>
      </c>
      <c r="J738" s="84">
        <v>0.0</v>
      </c>
      <c r="K738" s="84">
        <v>0.0</v>
      </c>
      <c r="L738" s="84">
        <v>0.0</v>
      </c>
      <c r="M738" s="84">
        <v>0.0</v>
      </c>
      <c r="N738" s="84">
        <v>0.0</v>
      </c>
      <c r="O738" s="84">
        <v>0.0</v>
      </c>
      <c r="P738" s="84">
        <v>0.0</v>
      </c>
      <c r="Q738" s="84">
        <v>0.0</v>
      </c>
      <c r="R738" s="84">
        <v>0.0</v>
      </c>
      <c r="S738" s="84">
        <v>1.0</v>
      </c>
      <c r="T738" s="84">
        <v>0.0</v>
      </c>
      <c r="U738" s="84">
        <v>0.0</v>
      </c>
      <c r="V738" s="84">
        <v>0.0</v>
      </c>
      <c r="W738" s="84">
        <v>0.0</v>
      </c>
      <c r="X738" s="84">
        <v>0.0</v>
      </c>
      <c r="Y738" s="84">
        <v>0.0</v>
      </c>
      <c r="Z738" s="84">
        <v>0.0</v>
      </c>
      <c r="AA738" s="84">
        <v>0.0</v>
      </c>
      <c r="AB738" s="84">
        <v>0.0</v>
      </c>
      <c r="AC738" s="91">
        <v>0.0</v>
      </c>
      <c r="AD738" s="84">
        <v>0.0</v>
      </c>
      <c r="AE738" s="84">
        <v>0.0</v>
      </c>
      <c r="AF738" s="84">
        <v>0.0</v>
      </c>
      <c r="AG738" s="84">
        <v>0.0</v>
      </c>
      <c r="AH738" s="84">
        <v>0.0</v>
      </c>
      <c r="AI738" s="84">
        <v>0.0</v>
      </c>
      <c r="AJ738" s="84">
        <v>0.0</v>
      </c>
      <c r="AK738" s="84">
        <v>0.0</v>
      </c>
      <c r="AL738" s="84">
        <v>0.0</v>
      </c>
      <c r="AM738" s="84">
        <v>0.0</v>
      </c>
      <c r="AN738" s="93">
        <f t="shared" si="1"/>
        <v>0</v>
      </c>
      <c r="AO738" s="84">
        <f t="shared" si="2"/>
        <v>1</v>
      </c>
    </row>
    <row r="739" ht="12.75" customHeight="1">
      <c r="A739" s="84" t="s">
        <v>3815</v>
      </c>
      <c r="B739" s="84">
        <v>0.0</v>
      </c>
      <c r="C739" s="84">
        <v>0.0</v>
      </c>
      <c r="D739" s="84">
        <v>0.0</v>
      </c>
      <c r="E739" s="84">
        <v>0.0</v>
      </c>
      <c r="F739" s="84">
        <v>0.0</v>
      </c>
      <c r="G739" s="84">
        <v>5.0</v>
      </c>
      <c r="H739" s="84">
        <v>1.0</v>
      </c>
      <c r="I739" s="91">
        <v>0.0</v>
      </c>
      <c r="J739" s="84">
        <v>0.0</v>
      </c>
      <c r="K739" s="84">
        <v>0.0</v>
      </c>
      <c r="L739" s="84">
        <v>0.0</v>
      </c>
      <c r="M739" s="84">
        <v>0.0</v>
      </c>
      <c r="N739" s="84">
        <v>0.0</v>
      </c>
      <c r="O739" s="84">
        <v>0.0</v>
      </c>
      <c r="P739" s="84">
        <v>0.0</v>
      </c>
      <c r="Q739" s="84">
        <v>0.0</v>
      </c>
      <c r="R739" s="84">
        <v>0.0</v>
      </c>
      <c r="S739" s="84">
        <v>0.0</v>
      </c>
      <c r="T739" s="84">
        <v>0.0</v>
      </c>
      <c r="U739" s="84">
        <v>0.0</v>
      </c>
      <c r="V739" s="84">
        <v>0.0</v>
      </c>
      <c r="W739" s="84">
        <v>0.0</v>
      </c>
      <c r="X739" s="84">
        <v>0.0</v>
      </c>
      <c r="Y739" s="84">
        <v>0.0</v>
      </c>
      <c r="Z739" s="84">
        <v>0.0</v>
      </c>
      <c r="AA739" s="84">
        <v>6.0</v>
      </c>
      <c r="AB739" s="84">
        <v>3.0</v>
      </c>
      <c r="AC739" s="91">
        <v>0.0</v>
      </c>
      <c r="AD739" s="84">
        <v>0.0</v>
      </c>
      <c r="AE739" s="84">
        <v>0.0</v>
      </c>
      <c r="AF739" s="84">
        <v>0.0</v>
      </c>
      <c r="AG739" s="84">
        <v>0.0</v>
      </c>
      <c r="AH739" s="84">
        <v>0.0</v>
      </c>
      <c r="AI739" s="84">
        <v>0.0</v>
      </c>
      <c r="AJ739" s="84">
        <v>0.0</v>
      </c>
      <c r="AK739" s="84">
        <v>0.0</v>
      </c>
      <c r="AL739" s="84">
        <v>0.0</v>
      </c>
      <c r="AM739" s="84">
        <v>0.0</v>
      </c>
      <c r="AN739" s="93">
        <f t="shared" si="1"/>
        <v>0</v>
      </c>
      <c r="AO739" s="84">
        <f t="shared" si="2"/>
        <v>0</v>
      </c>
    </row>
    <row r="740" ht="12.75" customHeight="1">
      <c r="A740" s="84" t="s">
        <v>3251</v>
      </c>
      <c r="B740" s="84">
        <v>0.0</v>
      </c>
      <c r="C740" s="84">
        <v>6.0</v>
      </c>
      <c r="D740" s="84">
        <v>3.0</v>
      </c>
      <c r="E740" s="84">
        <v>0.0</v>
      </c>
      <c r="F740" s="84">
        <v>0.0</v>
      </c>
      <c r="G740" s="84">
        <v>0.0</v>
      </c>
      <c r="H740" s="84">
        <v>0.0</v>
      </c>
      <c r="I740" s="91">
        <v>0.0</v>
      </c>
      <c r="J740" s="84">
        <v>0.0</v>
      </c>
      <c r="K740" s="84">
        <v>0.0</v>
      </c>
      <c r="L740" s="84">
        <v>0.0</v>
      </c>
      <c r="M740" s="84">
        <v>0.0</v>
      </c>
      <c r="N740" s="84">
        <v>0.0</v>
      </c>
      <c r="O740" s="84">
        <v>0.0</v>
      </c>
      <c r="P740" s="84">
        <v>0.0</v>
      </c>
      <c r="Q740" s="84">
        <v>0.0</v>
      </c>
      <c r="R740" s="84">
        <v>0.0</v>
      </c>
      <c r="S740" s="84">
        <v>0.0</v>
      </c>
      <c r="T740" s="84">
        <v>0.0</v>
      </c>
      <c r="U740" s="84">
        <v>0.0</v>
      </c>
      <c r="V740" s="84">
        <v>0.0</v>
      </c>
      <c r="W740" s="84">
        <v>3.0</v>
      </c>
      <c r="X740" s="84">
        <v>1.0</v>
      </c>
      <c r="Y740" s="84">
        <v>0.0</v>
      </c>
      <c r="Z740" s="84">
        <v>0.0</v>
      </c>
      <c r="AA740" s="84">
        <v>0.0</v>
      </c>
      <c r="AB740" s="84">
        <v>0.0</v>
      </c>
      <c r="AC740" s="91">
        <v>0.0</v>
      </c>
      <c r="AD740" s="84">
        <v>0.0</v>
      </c>
      <c r="AE740" s="84">
        <v>0.0</v>
      </c>
      <c r="AF740" s="84">
        <v>0.0</v>
      </c>
      <c r="AG740" s="84">
        <v>0.0</v>
      </c>
      <c r="AH740" s="84">
        <v>0.0</v>
      </c>
      <c r="AI740" s="84">
        <v>0.0</v>
      </c>
      <c r="AJ740" s="84">
        <v>0.0</v>
      </c>
      <c r="AK740" s="84">
        <v>0.0</v>
      </c>
      <c r="AL740" s="84">
        <v>0.0</v>
      </c>
      <c r="AM740" s="84">
        <v>0.0</v>
      </c>
      <c r="AN740" s="93">
        <f t="shared" si="1"/>
        <v>0</v>
      </c>
      <c r="AO740" s="84">
        <f t="shared" si="2"/>
        <v>0</v>
      </c>
    </row>
    <row r="741" ht="12.75" customHeight="1">
      <c r="A741" s="84" t="s">
        <v>2815</v>
      </c>
      <c r="B741" s="84">
        <v>3.0</v>
      </c>
      <c r="C741" s="84">
        <v>0.0</v>
      </c>
      <c r="D741" s="84">
        <v>0.0</v>
      </c>
      <c r="E741" s="84">
        <v>0.0</v>
      </c>
      <c r="F741" s="84">
        <v>0.0</v>
      </c>
      <c r="G741" s="84">
        <v>0.0</v>
      </c>
      <c r="H741" s="84">
        <v>0.0</v>
      </c>
      <c r="I741" s="91">
        <v>0.0</v>
      </c>
      <c r="J741" s="84">
        <v>0.0</v>
      </c>
      <c r="K741" s="84">
        <v>0.0</v>
      </c>
      <c r="L741" s="84">
        <v>0.0</v>
      </c>
      <c r="M741" s="84">
        <v>0.0</v>
      </c>
      <c r="N741" s="84">
        <v>0.0</v>
      </c>
      <c r="O741" s="84">
        <v>0.0</v>
      </c>
      <c r="P741" s="84">
        <v>0.0</v>
      </c>
      <c r="Q741" s="84">
        <v>0.0</v>
      </c>
      <c r="R741" s="84">
        <v>0.0</v>
      </c>
      <c r="S741" s="84">
        <v>0.0</v>
      </c>
      <c r="T741" s="84">
        <v>0.0</v>
      </c>
      <c r="U741" s="84">
        <v>0.0</v>
      </c>
      <c r="V741" s="84">
        <v>2.0</v>
      </c>
      <c r="W741" s="84">
        <v>0.0</v>
      </c>
      <c r="X741" s="84">
        <v>0.0</v>
      </c>
      <c r="Y741" s="84">
        <v>0.0</v>
      </c>
      <c r="Z741" s="84">
        <v>0.0</v>
      </c>
      <c r="AA741" s="84">
        <v>0.0</v>
      </c>
      <c r="AB741" s="84">
        <v>0.0</v>
      </c>
      <c r="AC741" s="91">
        <v>0.0</v>
      </c>
      <c r="AD741" s="84">
        <v>0.0</v>
      </c>
      <c r="AE741" s="84">
        <v>0.0</v>
      </c>
      <c r="AF741" s="84">
        <v>0.0</v>
      </c>
      <c r="AG741" s="84">
        <v>0.0</v>
      </c>
      <c r="AH741" s="84">
        <v>0.0</v>
      </c>
      <c r="AI741" s="84">
        <v>0.0</v>
      </c>
      <c r="AJ741" s="84">
        <v>0.0</v>
      </c>
      <c r="AK741" s="84">
        <v>0.0</v>
      </c>
      <c r="AL741" s="84">
        <v>0.0</v>
      </c>
      <c r="AM741" s="84">
        <v>0.0</v>
      </c>
      <c r="AN741" s="93">
        <f t="shared" si="1"/>
        <v>0</v>
      </c>
      <c r="AO741" s="84">
        <f t="shared" si="2"/>
        <v>0</v>
      </c>
    </row>
    <row r="742" ht="12.75" customHeight="1">
      <c r="A742" s="84" t="s">
        <v>2921</v>
      </c>
      <c r="B742" s="84">
        <v>3.0</v>
      </c>
      <c r="C742" s="84">
        <v>0.0</v>
      </c>
      <c r="D742" s="84">
        <v>0.0</v>
      </c>
      <c r="E742" s="84">
        <v>0.0</v>
      </c>
      <c r="F742" s="84">
        <v>0.0</v>
      </c>
      <c r="G742" s="84">
        <v>0.0</v>
      </c>
      <c r="H742" s="84">
        <v>0.0</v>
      </c>
      <c r="I742" s="91">
        <v>0.0</v>
      </c>
      <c r="J742" s="84">
        <v>0.0</v>
      </c>
      <c r="K742" s="84">
        <v>0.0</v>
      </c>
      <c r="L742" s="84">
        <v>0.0</v>
      </c>
      <c r="M742" s="84">
        <v>0.0</v>
      </c>
      <c r="N742" s="84">
        <v>0.0</v>
      </c>
      <c r="O742" s="84">
        <v>0.0</v>
      </c>
      <c r="P742" s="84">
        <v>0.0</v>
      </c>
      <c r="Q742" s="84">
        <v>0.0</v>
      </c>
      <c r="R742" s="84">
        <v>0.0</v>
      </c>
      <c r="S742" s="84">
        <v>0.0</v>
      </c>
      <c r="T742" s="84">
        <v>0.0</v>
      </c>
      <c r="U742" s="84">
        <v>0.0</v>
      </c>
      <c r="V742" s="84">
        <v>2.0</v>
      </c>
      <c r="W742" s="84">
        <v>2.0</v>
      </c>
      <c r="X742" s="84">
        <v>0.0</v>
      </c>
      <c r="Y742" s="84">
        <v>0.0</v>
      </c>
      <c r="Z742" s="84">
        <v>0.0</v>
      </c>
      <c r="AA742" s="84">
        <v>0.0</v>
      </c>
      <c r="AB742" s="84">
        <v>0.0</v>
      </c>
      <c r="AC742" s="91">
        <v>0.0</v>
      </c>
      <c r="AD742" s="84">
        <v>0.0</v>
      </c>
      <c r="AE742" s="84">
        <v>0.0</v>
      </c>
      <c r="AF742" s="84">
        <v>0.0</v>
      </c>
      <c r="AG742" s="84">
        <v>0.0</v>
      </c>
      <c r="AH742" s="84">
        <v>0.0</v>
      </c>
      <c r="AI742" s="84">
        <v>0.0</v>
      </c>
      <c r="AJ742" s="84">
        <v>0.0</v>
      </c>
      <c r="AK742" s="84">
        <v>0.0</v>
      </c>
      <c r="AL742" s="84">
        <v>0.0</v>
      </c>
      <c r="AM742" s="84">
        <v>0.0</v>
      </c>
      <c r="AN742" s="93">
        <f t="shared" si="1"/>
        <v>0</v>
      </c>
      <c r="AO742" s="84">
        <f t="shared" si="2"/>
        <v>0</v>
      </c>
    </row>
    <row r="743" ht="12.75" customHeight="1">
      <c r="A743" s="84" t="s">
        <v>3158</v>
      </c>
      <c r="B743" s="84">
        <v>0.0</v>
      </c>
      <c r="C743" s="84">
        <v>6.0</v>
      </c>
      <c r="D743" s="84">
        <v>0.0</v>
      </c>
      <c r="E743" s="84">
        <v>0.0</v>
      </c>
      <c r="F743" s="84">
        <v>0.0</v>
      </c>
      <c r="G743" s="84">
        <v>0.0</v>
      </c>
      <c r="H743" s="84">
        <v>0.0</v>
      </c>
      <c r="I743" s="91">
        <v>0.0</v>
      </c>
      <c r="J743" s="84">
        <v>0.0</v>
      </c>
      <c r="K743" s="84">
        <v>0.0</v>
      </c>
      <c r="L743" s="84">
        <v>0.0</v>
      </c>
      <c r="M743" s="84">
        <v>0.0</v>
      </c>
      <c r="N743" s="84">
        <v>0.0</v>
      </c>
      <c r="O743" s="84">
        <v>0.0</v>
      </c>
      <c r="P743" s="84">
        <v>0.0</v>
      </c>
      <c r="Q743" s="84">
        <v>0.0</v>
      </c>
      <c r="R743" s="84">
        <v>0.0</v>
      </c>
      <c r="S743" s="84">
        <v>0.0</v>
      </c>
      <c r="T743" s="84">
        <v>0.0</v>
      </c>
      <c r="U743" s="84">
        <v>0.0</v>
      </c>
      <c r="V743" s="84">
        <v>0.0</v>
      </c>
      <c r="W743" s="84">
        <v>3.0</v>
      </c>
      <c r="X743" s="84">
        <v>2.0</v>
      </c>
      <c r="Y743" s="84">
        <v>0.0</v>
      </c>
      <c r="Z743" s="84">
        <v>0.0</v>
      </c>
      <c r="AA743" s="84">
        <v>0.0</v>
      </c>
      <c r="AB743" s="84">
        <v>0.0</v>
      </c>
      <c r="AC743" s="91">
        <v>0.0</v>
      </c>
      <c r="AD743" s="84">
        <v>0.0</v>
      </c>
      <c r="AE743" s="84">
        <v>0.0</v>
      </c>
      <c r="AF743" s="84">
        <v>0.0</v>
      </c>
      <c r="AG743" s="84">
        <v>0.0</v>
      </c>
      <c r="AH743" s="84">
        <v>0.0</v>
      </c>
      <c r="AI743" s="84">
        <v>0.0</v>
      </c>
      <c r="AJ743" s="84">
        <v>0.0</v>
      </c>
      <c r="AK743" s="84">
        <v>0.0</v>
      </c>
      <c r="AL743" s="84">
        <v>0.0</v>
      </c>
      <c r="AM743" s="84">
        <v>0.0</v>
      </c>
      <c r="AN743" s="93">
        <f t="shared" si="1"/>
        <v>0</v>
      </c>
      <c r="AO743" s="84">
        <f t="shared" si="2"/>
        <v>0</v>
      </c>
    </row>
    <row r="744" ht="12.75" customHeight="1">
      <c r="A744" s="84" t="s">
        <v>3321</v>
      </c>
      <c r="B744" s="84">
        <v>0.0</v>
      </c>
      <c r="C744" s="84">
        <v>0.0</v>
      </c>
      <c r="D744" s="84">
        <v>5.0</v>
      </c>
      <c r="E744" s="84">
        <v>1.0</v>
      </c>
      <c r="F744" s="84">
        <v>0.0</v>
      </c>
      <c r="G744" s="84">
        <v>0.0</v>
      </c>
      <c r="H744" s="84">
        <v>0.0</v>
      </c>
      <c r="I744" s="91">
        <v>0.0</v>
      </c>
      <c r="J744" s="84">
        <v>0.0</v>
      </c>
      <c r="K744" s="84">
        <v>0.0</v>
      </c>
      <c r="L744" s="84">
        <v>0.0</v>
      </c>
      <c r="M744" s="84">
        <v>0.0</v>
      </c>
      <c r="N744" s="84">
        <v>0.0</v>
      </c>
      <c r="O744" s="84">
        <v>0.0</v>
      </c>
      <c r="P744" s="84">
        <v>0.0</v>
      </c>
      <c r="Q744" s="84">
        <v>0.0</v>
      </c>
      <c r="R744" s="84">
        <v>0.0</v>
      </c>
      <c r="S744" s="84">
        <v>0.0</v>
      </c>
      <c r="T744" s="84">
        <v>0.0</v>
      </c>
      <c r="U744" s="84">
        <v>0.0</v>
      </c>
      <c r="V744" s="84">
        <v>0.0</v>
      </c>
      <c r="W744" s="84">
        <v>0.0</v>
      </c>
      <c r="X744" s="84">
        <v>6.0</v>
      </c>
      <c r="Y744" s="84">
        <v>4.0</v>
      </c>
      <c r="Z744" s="84">
        <v>0.0</v>
      </c>
      <c r="AA744" s="84">
        <v>0.0</v>
      </c>
      <c r="AB744" s="84">
        <v>0.0</v>
      </c>
      <c r="AC744" s="91">
        <v>0.0</v>
      </c>
      <c r="AD744" s="84">
        <v>0.0</v>
      </c>
      <c r="AE744" s="84">
        <v>0.0</v>
      </c>
      <c r="AF744" s="84">
        <v>0.0</v>
      </c>
      <c r="AG744" s="84">
        <v>0.0</v>
      </c>
      <c r="AH744" s="84">
        <v>0.0</v>
      </c>
      <c r="AI744" s="84">
        <v>0.0</v>
      </c>
      <c r="AJ744" s="84">
        <v>0.0</v>
      </c>
      <c r="AK744" s="84">
        <v>0.0</v>
      </c>
      <c r="AL744" s="84">
        <v>0.0</v>
      </c>
      <c r="AM744" s="84">
        <v>0.0</v>
      </c>
      <c r="AN744" s="93">
        <f t="shared" si="1"/>
        <v>0</v>
      </c>
      <c r="AO744" s="84">
        <f t="shared" si="2"/>
        <v>0</v>
      </c>
    </row>
    <row r="745" ht="12.75" customHeight="1">
      <c r="A745" s="84" t="s">
        <v>3572</v>
      </c>
      <c r="B745" s="84">
        <v>0.0</v>
      </c>
      <c r="C745" s="84">
        <v>0.0</v>
      </c>
      <c r="D745" s="84">
        <v>0.0</v>
      </c>
      <c r="E745" s="84">
        <v>6.0</v>
      </c>
      <c r="F745" s="84">
        <v>2.0</v>
      </c>
      <c r="G745" s="84">
        <v>0.0</v>
      </c>
      <c r="H745" s="84">
        <v>0.0</v>
      </c>
      <c r="I745" s="91">
        <v>0.0</v>
      </c>
      <c r="J745" s="84">
        <v>0.0</v>
      </c>
      <c r="K745" s="84">
        <v>0.0</v>
      </c>
      <c r="L745" s="84">
        <v>0.0</v>
      </c>
      <c r="M745" s="84">
        <v>0.0</v>
      </c>
      <c r="N745" s="84">
        <v>0.0</v>
      </c>
      <c r="O745" s="84">
        <v>0.0</v>
      </c>
      <c r="P745" s="84">
        <v>0.0</v>
      </c>
      <c r="Q745" s="84">
        <v>0.0</v>
      </c>
      <c r="R745" s="84">
        <v>0.0</v>
      </c>
      <c r="S745" s="84">
        <v>0.0</v>
      </c>
      <c r="T745" s="84">
        <v>0.0</v>
      </c>
      <c r="U745" s="84">
        <v>0.0</v>
      </c>
      <c r="V745" s="84">
        <v>0.0</v>
      </c>
      <c r="W745" s="84">
        <v>0.0</v>
      </c>
      <c r="X745" s="84">
        <v>0.0</v>
      </c>
      <c r="Y745" s="84">
        <v>6.0</v>
      </c>
      <c r="Z745" s="84">
        <v>3.0</v>
      </c>
      <c r="AA745" s="84">
        <v>0.0</v>
      </c>
      <c r="AB745" s="84">
        <v>0.0</v>
      </c>
      <c r="AC745" s="91">
        <v>0.0</v>
      </c>
      <c r="AD745" s="84">
        <v>0.0</v>
      </c>
      <c r="AE745" s="84">
        <v>0.0</v>
      </c>
      <c r="AF745" s="84">
        <v>0.0</v>
      </c>
      <c r="AG745" s="84">
        <v>0.0</v>
      </c>
      <c r="AH745" s="84">
        <v>0.0</v>
      </c>
      <c r="AI745" s="84">
        <v>0.0</v>
      </c>
      <c r="AJ745" s="84">
        <v>0.0</v>
      </c>
      <c r="AK745" s="84">
        <v>0.0</v>
      </c>
      <c r="AL745" s="84">
        <v>0.0</v>
      </c>
      <c r="AM745" s="84">
        <v>0.0</v>
      </c>
      <c r="AN745" s="93">
        <f t="shared" si="1"/>
        <v>0</v>
      </c>
      <c r="AO745" s="84">
        <f t="shared" si="2"/>
        <v>0</v>
      </c>
    </row>
    <row r="746" ht="12.75" customHeight="1">
      <c r="A746" s="84" t="s">
        <v>3919</v>
      </c>
      <c r="B746" s="84">
        <v>0.0</v>
      </c>
      <c r="C746" s="84">
        <v>0.0</v>
      </c>
      <c r="D746" s="84">
        <v>0.0</v>
      </c>
      <c r="E746" s="84">
        <v>0.0</v>
      </c>
      <c r="F746" s="84">
        <v>0.0</v>
      </c>
      <c r="G746" s="84">
        <v>0.0</v>
      </c>
      <c r="H746" s="84">
        <v>4.0</v>
      </c>
      <c r="I746" s="91">
        <v>0.0</v>
      </c>
      <c r="J746" s="84">
        <v>0.0</v>
      </c>
      <c r="K746" s="84">
        <v>0.0</v>
      </c>
      <c r="L746" s="84">
        <v>0.0</v>
      </c>
      <c r="M746" s="84">
        <v>0.0</v>
      </c>
      <c r="N746" s="84">
        <v>0.0</v>
      </c>
      <c r="O746" s="84">
        <v>0.0</v>
      </c>
      <c r="P746" s="84">
        <v>0.0</v>
      </c>
      <c r="Q746" s="84">
        <v>0.0</v>
      </c>
      <c r="R746" s="84">
        <v>0.0</v>
      </c>
      <c r="S746" s="84">
        <v>0.0</v>
      </c>
      <c r="T746" s="84">
        <v>0.0</v>
      </c>
      <c r="U746" s="84">
        <v>0.0</v>
      </c>
      <c r="V746" s="84">
        <v>0.0</v>
      </c>
      <c r="W746" s="84">
        <v>0.0</v>
      </c>
      <c r="X746" s="84">
        <v>0.0</v>
      </c>
      <c r="Y746" s="84">
        <v>0.0</v>
      </c>
      <c r="Z746" s="84">
        <v>0.0</v>
      </c>
      <c r="AA746" s="84">
        <v>0.0</v>
      </c>
      <c r="AB746" s="84">
        <v>6.0</v>
      </c>
      <c r="AC746" s="91">
        <v>0.0</v>
      </c>
      <c r="AD746" s="84">
        <v>0.0</v>
      </c>
      <c r="AE746" s="84">
        <v>0.0</v>
      </c>
      <c r="AF746" s="84">
        <v>0.0</v>
      </c>
      <c r="AG746" s="84">
        <v>0.0</v>
      </c>
      <c r="AH746" s="84">
        <v>0.0</v>
      </c>
      <c r="AI746" s="84">
        <v>0.0</v>
      </c>
      <c r="AJ746" s="84">
        <v>0.0</v>
      </c>
      <c r="AK746" s="84">
        <v>0.0</v>
      </c>
      <c r="AL746" s="84">
        <v>0.0</v>
      </c>
      <c r="AM746" s="84">
        <v>0.0</v>
      </c>
      <c r="AN746" s="93">
        <f t="shared" si="1"/>
        <v>0</v>
      </c>
      <c r="AO746" s="84">
        <f t="shared" si="2"/>
        <v>0</v>
      </c>
    </row>
    <row r="747" ht="12.75" customHeight="1">
      <c r="A747" s="84" t="s">
        <v>4633</v>
      </c>
      <c r="B747" s="84">
        <v>0.0</v>
      </c>
      <c r="C747" s="84">
        <v>0.0</v>
      </c>
      <c r="D747" s="84">
        <v>0.0</v>
      </c>
      <c r="E747" s="84">
        <v>0.0</v>
      </c>
      <c r="F747" s="84">
        <v>0.0</v>
      </c>
      <c r="G747" s="84">
        <v>0.0</v>
      </c>
      <c r="H747" s="84">
        <v>0.0</v>
      </c>
      <c r="I747" s="91">
        <v>0.0</v>
      </c>
      <c r="J747" s="84">
        <v>0.0</v>
      </c>
      <c r="K747" s="84">
        <v>0.0</v>
      </c>
      <c r="L747" s="84">
        <v>0.0</v>
      </c>
      <c r="M747" s="84">
        <v>0.0</v>
      </c>
      <c r="N747" s="84">
        <v>0.0</v>
      </c>
      <c r="O747" s="84">
        <v>0.0</v>
      </c>
      <c r="P747" s="84">
        <v>0.0</v>
      </c>
      <c r="Q747" s="84">
        <v>0.0</v>
      </c>
      <c r="R747" s="84">
        <v>0.0</v>
      </c>
      <c r="S747" s="84">
        <v>0.0</v>
      </c>
      <c r="T747" s="84">
        <v>0.0</v>
      </c>
      <c r="U747" s="84">
        <v>0.0</v>
      </c>
      <c r="V747" s="84">
        <v>0.0</v>
      </c>
      <c r="W747" s="84">
        <v>0.0</v>
      </c>
      <c r="X747" s="84">
        <v>0.0</v>
      </c>
      <c r="Y747" s="84">
        <v>0.0</v>
      </c>
      <c r="Z747" s="84">
        <v>0.0</v>
      </c>
      <c r="AA747" s="84">
        <v>0.0</v>
      </c>
      <c r="AB747" s="84">
        <v>0.0</v>
      </c>
      <c r="AC747" s="91">
        <v>0.0</v>
      </c>
      <c r="AD747" s="84">
        <v>0.0</v>
      </c>
      <c r="AE747" s="84">
        <v>0.0</v>
      </c>
      <c r="AF747" s="84">
        <v>0.0</v>
      </c>
      <c r="AG747" s="84">
        <v>0.0</v>
      </c>
      <c r="AH747" s="84">
        <v>0.0</v>
      </c>
      <c r="AI747" s="84">
        <v>0.0</v>
      </c>
      <c r="AJ747" s="84">
        <v>0.0</v>
      </c>
      <c r="AK747" s="84">
        <v>1.0</v>
      </c>
      <c r="AL747" s="84">
        <v>0.0</v>
      </c>
      <c r="AM747" s="84">
        <v>0.0</v>
      </c>
      <c r="AN747" s="93">
        <f t="shared" si="1"/>
        <v>0</v>
      </c>
      <c r="AO747" s="84">
        <f t="shared" si="2"/>
        <v>1</v>
      </c>
    </row>
    <row r="748" ht="12.75" customHeight="1">
      <c r="A748" s="84" t="s">
        <v>4637</v>
      </c>
      <c r="B748" s="84">
        <v>0.0</v>
      </c>
      <c r="C748" s="84">
        <v>0.0</v>
      </c>
      <c r="D748" s="84">
        <v>0.0</v>
      </c>
      <c r="E748" s="84">
        <v>0.0</v>
      </c>
      <c r="F748" s="84">
        <v>0.0</v>
      </c>
      <c r="G748" s="84">
        <v>0.0</v>
      </c>
      <c r="H748" s="84">
        <v>0.0</v>
      </c>
      <c r="I748" s="91">
        <v>0.0</v>
      </c>
      <c r="J748" s="84">
        <v>0.0</v>
      </c>
      <c r="K748" s="84">
        <v>0.0</v>
      </c>
      <c r="L748" s="84">
        <v>0.0</v>
      </c>
      <c r="M748" s="84">
        <v>0.0</v>
      </c>
      <c r="N748" s="84">
        <v>0.0</v>
      </c>
      <c r="O748" s="84">
        <v>0.0</v>
      </c>
      <c r="P748" s="84">
        <v>0.0</v>
      </c>
      <c r="Q748" s="84">
        <v>0.0</v>
      </c>
      <c r="R748" s="84">
        <v>0.0</v>
      </c>
      <c r="S748" s="84">
        <v>0.0</v>
      </c>
      <c r="T748" s="84">
        <v>0.0</v>
      </c>
      <c r="U748" s="84">
        <v>0.0</v>
      </c>
      <c r="V748" s="84">
        <v>0.0</v>
      </c>
      <c r="W748" s="84">
        <v>0.0</v>
      </c>
      <c r="X748" s="84">
        <v>0.0</v>
      </c>
      <c r="Y748" s="84">
        <v>0.0</v>
      </c>
      <c r="Z748" s="84">
        <v>0.0</v>
      </c>
      <c r="AA748" s="84">
        <v>0.0</v>
      </c>
      <c r="AB748" s="84">
        <v>0.0</v>
      </c>
      <c r="AC748" s="91">
        <v>0.0</v>
      </c>
      <c r="AD748" s="84">
        <v>0.0</v>
      </c>
      <c r="AE748" s="84">
        <v>0.0</v>
      </c>
      <c r="AF748" s="84">
        <v>0.0</v>
      </c>
      <c r="AG748" s="84">
        <v>0.0</v>
      </c>
      <c r="AH748" s="84">
        <v>0.0</v>
      </c>
      <c r="AI748" s="84">
        <v>0.0</v>
      </c>
      <c r="AJ748" s="84">
        <v>0.0</v>
      </c>
      <c r="AK748" s="84">
        <v>1.0</v>
      </c>
      <c r="AL748" s="84">
        <v>0.0</v>
      </c>
      <c r="AM748" s="84">
        <v>0.0</v>
      </c>
      <c r="AN748" s="93">
        <f t="shared" si="1"/>
        <v>0</v>
      </c>
      <c r="AO748" s="84">
        <f t="shared" si="2"/>
        <v>1</v>
      </c>
    </row>
    <row r="749" ht="12.75" customHeight="1">
      <c r="A749" s="84" t="s">
        <v>2959</v>
      </c>
      <c r="B749" s="84">
        <v>3.0</v>
      </c>
      <c r="C749" s="84">
        <v>0.0</v>
      </c>
      <c r="D749" s="84">
        <v>0.0</v>
      </c>
      <c r="E749" s="84">
        <v>0.0</v>
      </c>
      <c r="F749" s="84">
        <v>0.0</v>
      </c>
      <c r="G749" s="84">
        <v>0.0</v>
      </c>
      <c r="H749" s="84">
        <v>0.0</v>
      </c>
      <c r="I749" s="91">
        <v>0.0</v>
      </c>
      <c r="J749" s="84">
        <v>0.0</v>
      </c>
      <c r="K749" s="84">
        <v>0.0</v>
      </c>
      <c r="L749" s="84">
        <v>0.0</v>
      </c>
      <c r="M749" s="84">
        <v>0.0</v>
      </c>
      <c r="N749" s="84">
        <v>0.0</v>
      </c>
      <c r="O749" s="84">
        <v>0.0</v>
      </c>
      <c r="P749" s="84">
        <v>0.0</v>
      </c>
      <c r="Q749" s="84">
        <v>0.0</v>
      </c>
      <c r="R749" s="84">
        <v>0.0</v>
      </c>
      <c r="S749" s="84">
        <v>0.0</v>
      </c>
      <c r="T749" s="84">
        <v>0.0</v>
      </c>
      <c r="U749" s="84">
        <v>0.0</v>
      </c>
      <c r="V749" s="84">
        <v>2.0</v>
      </c>
      <c r="W749" s="84">
        <v>5.0</v>
      </c>
      <c r="X749" s="84">
        <v>0.0</v>
      </c>
      <c r="Y749" s="84">
        <v>0.0</v>
      </c>
      <c r="Z749" s="84">
        <v>0.0</v>
      </c>
      <c r="AA749" s="84">
        <v>0.0</v>
      </c>
      <c r="AB749" s="84">
        <v>0.0</v>
      </c>
      <c r="AC749" s="91">
        <v>0.0</v>
      </c>
      <c r="AD749" s="84">
        <v>0.0</v>
      </c>
      <c r="AE749" s="84">
        <v>0.0</v>
      </c>
      <c r="AF749" s="84">
        <v>0.0</v>
      </c>
      <c r="AG749" s="84">
        <v>0.0</v>
      </c>
      <c r="AH749" s="84">
        <v>0.0</v>
      </c>
      <c r="AI749" s="84">
        <v>0.0</v>
      </c>
      <c r="AJ749" s="84">
        <v>0.0</v>
      </c>
      <c r="AK749" s="84">
        <v>0.0</v>
      </c>
      <c r="AL749" s="84">
        <v>0.0</v>
      </c>
      <c r="AM749" s="84">
        <v>0.0</v>
      </c>
      <c r="AN749" s="93">
        <f t="shared" si="1"/>
        <v>0</v>
      </c>
      <c r="AO749" s="84">
        <f t="shared" si="2"/>
        <v>0</v>
      </c>
    </row>
    <row r="750" ht="12.75" customHeight="1">
      <c r="A750" s="84" t="s">
        <v>3520</v>
      </c>
      <c r="B750" s="84">
        <v>0.0</v>
      </c>
      <c r="C750" s="84">
        <v>0.0</v>
      </c>
      <c r="D750" s="84">
        <v>0.0</v>
      </c>
      <c r="E750" s="84">
        <v>5.0</v>
      </c>
      <c r="F750" s="84">
        <v>3.0</v>
      </c>
      <c r="G750" s="84">
        <v>0.0</v>
      </c>
      <c r="H750" s="84">
        <v>0.0</v>
      </c>
      <c r="I750" s="91">
        <v>0.0</v>
      </c>
      <c r="J750" s="84">
        <v>0.0</v>
      </c>
      <c r="K750" s="84">
        <v>0.0</v>
      </c>
      <c r="L750" s="84">
        <v>0.0</v>
      </c>
      <c r="M750" s="84">
        <v>0.0</v>
      </c>
      <c r="N750" s="84">
        <v>0.0</v>
      </c>
      <c r="O750" s="84">
        <v>0.0</v>
      </c>
      <c r="P750" s="84">
        <v>0.0</v>
      </c>
      <c r="Q750" s="84">
        <v>0.0</v>
      </c>
      <c r="R750" s="84">
        <v>0.0</v>
      </c>
      <c r="S750" s="84">
        <v>0.0</v>
      </c>
      <c r="T750" s="84">
        <v>0.0</v>
      </c>
      <c r="U750" s="84">
        <v>0.0</v>
      </c>
      <c r="V750" s="84">
        <v>0.0</v>
      </c>
      <c r="W750" s="84">
        <v>0.0</v>
      </c>
      <c r="X750" s="84">
        <v>0.0</v>
      </c>
      <c r="Y750" s="84">
        <v>6.0</v>
      </c>
      <c r="Z750" s="84">
        <v>4.0</v>
      </c>
      <c r="AA750" s="84">
        <v>0.0</v>
      </c>
      <c r="AB750" s="84">
        <v>0.0</v>
      </c>
      <c r="AC750" s="91">
        <v>0.0</v>
      </c>
      <c r="AD750" s="84">
        <v>0.0</v>
      </c>
      <c r="AE750" s="84">
        <v>0.0</v>
      </c>
      <c r="AF750" s="84">
        <v>0.0</v>
      </c>
      <c r="AG750" s="84">
        <v>0.0</v>
      </c>
      <c r="AH750" s="84">
        <v>0.0</v>
      </c>
      <c r="AI750" s="84">
        <v>0.0</v>
      </c>
      <c r="AJ750" s="84">
        <v>0.0</v>
      </c>
      <c r="AK750" s="84">
        <v>0.0</v>
      </c>
      <c r="AL750" s="84">
        <v>0.0</v>
      </c>
      <c r="AM750" s="84">
        <v>0.0</v>
      </c>
      <c r="AN750" s="93">
        <f t="shared" si="1"/>
        <v>0</v>
      </c>
      <c r="AO750" s="84">
        <f t="shared" si="2"/>
        <v>0</v>
      </c>
    </row>
    <row r="751" ht="12.75" customHeight="1">
      <c r="A751" s="84" t="s">
        <v>4620</v>
      </c>
      <c r="B751" s="84">
        <v>0.0</v>
      </c>
      <c r="C751" s="84">
        <v>0.0</v>
      </c>
      <c r="D751" s="84">
        <v>0.0</v>
      </c>
      <c r="E751" s="84">
        <v>0.0</v>
      </c>
      <c r="F751" s="84">
        <v>0.0</v>
      </c>
      <c r="G751" s="84">
        <v>0.0</v>
      </c>
      <c r="H751" s="84">
        <v>0.0</v>
      </c>
      <c r="I751" s="91">
        <v>0.0</v>
      </c>
      <c r="J751" s="84">
        <v>0.0</v>
      </c>
      <c r="K751" s="84">
        <v>0.0</v>
      </c>
      <c r="L751" s="84">
        <v>0.0</v>
      </c>
      <c r="M751" s="84">
        <v>0.0</v>
      </c>
      <c r="N751" s="84">
        <v>0.0</v>
      </c>
      <c r="O751" s="84">
        <v>0.0</v>
      </c>
      <c r="P751" s="84">
        <v>0.0</v>
      </c>
      <c r="Q751" s="84">
        <v>0.0</v>
      </c>
      <c r="R751" s="84">
        <v>0.0</v>
      </c>
      <c r="S751" s="84">
        <v>1.0</v>
      </c>
      <c r="T751" s="84">
        <v>0.0</v>
      </c>
      <c r="U751" s="84">
        <v>0.0</v>
      </c>
      <c r="V751" s="84">
        <v>0.0</v>
      </c>
      <c r="W751" s="84">
        <v>0.0</v>
      </c>
      <c r="X751" s="84">
        <v>0.0</v>
      </c>
      <c r="Y751" s="84">
        <v>0.0</v>
      </c>
      <c r="Z751" s="84">
        <v>0.0</v>
      </c>
      <c r="AA751" s="84">
        <v>0.0</v>
      </c>
      <c r="AB751" s="84">
        <v>0.0</v>
      </c>
      <c r="AC751" s="91">
        <v>0.0</v>
      </c>
      <c r="AD751" s="84">
        <v>0.0</v>
      </c>
      <c r="AE751" s="84">
        <v>0.0</v>
      </c>
      <c r="AF751" s="84">
        <v>0.0</v>
      </c>
      <c r="AG751" s="84">
        <v>0.0</v>
      </c>
      <c r="AH751" s="84">
        <v>0.0</v>
      </c>
      <c r="AI751" s="84">
        <v>0.0</v>
      </c>
      <c r="AJ751" s="84">
        <v>0.0</v>
      </c>
      <c r="AK751" s="84">
        <v>0.0</v>
      </c>
      <c r="AL751" s="84">
        <v>0.0</v>
      </c>
      <c r="AM751" s="84">
        <v>0.0</v>
      </c>
      <c r="AN751" s="93">
        <f t="shared" si="1"/>
        <v>0</v>
      </c>
      <c r="AO751" s="84">
        <f t="shared" si="2"/>
        <v>1</v>
      </c>
    </row>
    <row r="752" ht="12.75" customHeight="1">
      <c r="A752" s="84" t="s">
        <v>3899</v>
      </c>
      <c r="B752" s="84">
        <v>0.0</v>
      </c>
      <c r="C752" s="84">
        <v>0.0</v>
      </c>
      <c r="D752" s="84">
        <v>0.0</v>
      </c>
      <c r="E752" s="84">
        <v>0.0</v>
      </c>
      <c r="F752" s="84">
        <v>0.0</v>
      </c>
      <c r="G752" s="84">
        <v>0.0</v>
      </c>
      <c r="H752" s="84">
        <v>6.0</v>
      </c>
      <c r="I752" s="91">
        <v>0.0</v>
      </c>
      <c r="J752" s="84">
        <v>0.0</v>
      </c>
      <c r="K752" s="84">
        <v>0.0</v>
      </c>
      <c r="L752" s="84">
        <v>0.0</v>
      </c>
      <c r="M752" s="84">
        <v>0.0</v>
      </c>
      <c r="N752" s="84">
        <v>0.0</v>
      </c>
      <c r="O752" s="84">
        <v>0.0</v>
      </c>
      <c r="P752" s="84">
        <v>0.0</v>
      </c>
      <c r="Q752" s="84">
        <v>0.0</v>
      </c>
      <c r="R752" s="84">
        <v>0.0</v>
      </c>
      <c r="S752" s="84">
        <v>0.0</v>
      </c>
      <c r="T752" s="84">
        <v>0.0</v>
      </c>
      <c r="U752" s="84">
        <v>0.0</v>
      </c>
      <c r="V752" s="84">
        <v>0.0</v>
      </c>
      <c r="W752" s="84">
        <v>0.0</v>
      </c>
      <c r="X752" s="84">
        <v>0.0</v>
      </c>
      <c r="Y752" s="84">
        <v>0.0</v>
      </c>
      <c r="Z752" s="84">
        <v>0.0</v>
      </c>
      <c r="AA752" s="84">
        <v>0.0</v>
      </c>
      <c r="AB752" s="84">
        <v>6.0</v>
      </c>
      <c r="AC752" s="91">
        <v>0.0</v>
      </c>
      <c r="AD752" s="84">
        <v>0.0</v>
      </c>
      <c r="AE752" s="84">
        <v>0.0</v>
      </c>
      <c r="AF752" s="84">
        <v>0.0</v>
      </c>
      <c r="AG752" s="84">
        <v>0.0</v>
      </c>
      <c r="AH752" s="84">
        <v>0.0</v>
      </c>
      <c r="AI752" s="84">
        <v>0.0</v>
      </c>
      <c r="AJ752" s="84">
        <v>0.0</v>
      </c>
      <c r="AK752" s="84">
        <v>0.0</v>
      </c>
      <c r="AL752" s="84">
        <v>0.0</v>
      </c>
      <c r="AM752" s="84">
        <v>0.0</v>
      </c>
      <c r="AN752" s="93">
        <f t="shared" si="1"/>
        <v>0</v>
      </c>
      <c r="AO752" s="84">
        <f t="shared" si="2"/>
        <v>0</v>
      </c>
    </row>
    <row r="753" ht="12.75" customHeight="1">
      <c r="A753" s="84" t="s">
        <v>3892</v>
      </c>
      <c r="B753" s="84">
        <v>0.0</v>
      </c>
      <c r="C753" s="84">
        <v>0.0</v>
      </c>
      <c r="D753" s="84">
        <v>0.0</v>
      </c>
      <c r="E753" s="84">
        <v>0.0</v>
      </c>
      <c r="F753" s="84">
        <v>0.0</v>
      </c>
      <c r="G753" s="84">
        <v>0.0</v>
      </c>
      <c r="H753" s="84">
        <v>6.0</v>
      </c>
      <c r="I753" s="91">
        <v>0.0</v>
      </c>
      <c r="J753" s="84">
        <v>0.0</v>
      </c>
      <c r="K753" s="84">
        <v>0.0</v>
      </c>
      <c r="L753" s="84">
        <v>0.0</v>
      </c>
      <c r="M753" s="84">
        <v>0.0</v>
      </c>
      <c r="N753" s="84">
        <v>0.0</v>
      </c>
      <c r="O753" s="84">
        <v>0.0</v>
      </c>
      <c r="P753" s="84">
        <v>0.0</v>
      </c>
      <c r="Q753" s="84">
        <v>0.0</v>
      </c>
      <c r="R753" s="84">
        <v>0.0</v>
      </c>
      <c r="S753" s="84">
        <v>0.0</v>
      </c>
      <c r="T753" s="84">
        <v>0.0</v>
      </c>
      <c r="U753" s="84">
        <v>0.0</v>
      </c>
      <c r="V753" s="84">
        <v>0.0</v>
      </c>
      <c r="W753" s="84">
        <v>0.0</v>
      </c>
      <c r="X753" s="84">
        <v>0.0</v>
      </c>
      <c r="Y753" s="84">
        <v>0.0</v>
      </c>
      <c r="Z753" s="84">
        <v>0.0</v>
      </c>
      <c r="AA753" s="84">
        <v>0.0</v>
      </c>
      <c r="AB753" s="84">
        <v>4.0</v>
      </c>
      <c r="AC753" s="91">
        <v>0.0</v>
      </c>
      <c r="AD753" s="84">
        <v>0.0</v>
      </c>
      <c r="AE753" s="84">
        <v>0.0</v>
      </c>
      <c r="AF753" s="84">
        <v>0.0</v>
      </c>
      <c r="AG753" s="84">
        <v>0.0</v>
      </c>
      <c r="AH753" s="84">
        <v>0.0</v>
      </c>
      <c r="AI753" s="84">
        <v>0.0</v>
      </c>
      <c r="AJ753" s="84">
        <v>0.0</v>
      </c>
      <c r="AK753" s="84">
        <v>0.0</v>
      </c>
      <c r="AL753" s="84">
        <v>0.0</v>
      </c>
      <c r="AM753" s="84">
        <v>0.0</v>
      </c>
      <c r="AN753" s="93">
        <f t="shared" si="1"/>
        <v>0</v>
      </c>
      <c r="AO753" s="84">
        <f t="shared" si="2"/>
        <v>0</v>
      </c>
    </row>
    <row r="754" ht="12.75" customHeight="1">
      <c r="A754" s="84" t="s">
        <v>4601</v>
      </c>
      <c r="B754" s="84">
        <v>0.0</v>
      </c>
      <c r="C754" s="84">
        <v>0.0</v>
      </c>
      <c r="D754" s="84">
        <v>0.0</v>
      </c>
      <c r="E754" s="84">
        <v>0.0</v>
      </c>
      <c r="F754" s="84">
        <v>0.0</v>
      </c>
      <c r="G754" s="84">
        <v>0.0</v>
      </c>
      <c r="H754" s="84">
        <v>0.0</v>
      </c>
      <c r="I754" s="91">
        <v>0.0</v>
      </c>
      <c r="J754" s="84">
        <v>0.0</v>
      </c>
      <c r="K754" s="84">
        <v>0.0</v>
      </c>
      <c r="L754" s="84">
        <v>0.0</v>
      </c>
      <c r="M754" s="84">
        <v>0.0</v>
      </c>
      <c r="N754" s="84">
        <v>0.0</v>
      </c>
      <c r="O754" s="84">
        <v>0.0</v>
      </c>
      <c r="P754" s="84">
        <v>0.0</v>
      </c>
      <c r="Q754" s="84">
        <v>0.0</v>
      </c>
      <c r="R754" s="84">
        <v>1.0</v>
      </c>
      <c r="S754" s="84">
        <v>0.0</v>
      </c>
      <c r="T754" s="84">
        <v>0.0</v>
      </c>
      <c r="U754" s="84">
        <v>0.0</v>
      </c>
      <c r="V754" s="84">
        <v>0.0</v>
      </c>
      <c r="W754" s="84">
        <v>0.0</v>
      </c>
      <c r="X754" s="84">
        <v>0.0</v>
      </c>
      <c r="Y754" s="84">
        <v>0.0</v>
      </c>
      <c r="Z754" s="84">
        <v>0.0</v>
      </c>
      <c r="AA754" s="84">
        <v>0.0</v>
      </c>
      <c r="AB754" s="84">
        <v>0.0</v>
      </c>
      <c r="AC754" s="91">
        <v>0.0</v>
      </c>
      <c r="AD754" s="84">
        <v>0.0</v>
      </c>
      <c r="AE754" s="84">
        <v>0.0</v>
      </c>
      <c r="AF754" s="84">
        <v>0.0</v>
      </c>
      <c r="AG754" s="84">
        <v>0.0</v>
      </c>
      <c r="AH754" s="84">
        <v>0.0</v>
      </c>
      <c r="AI754" s="84">
        <v>0.0</v>
      </c>
      <c r="AJ754" s="84">
        <v>0.0</v>
      </c>
      <c r="AK754" s="84">
        <v>0.0</v>
      </c>
      <c r="AL754" s="84">
        <v>0.0</v>
      </c>
      <c r="AM754" s="84">
        <v>0.0</v>
      </c>
      <c r="AN754" s="93">
        <f t="shared" si="1"/>
        <v>0</v>
      </c>
      <c r="AO754" s="84">
        <f t="shared" si="2"/>
        <v>1</v>
      </c>
    </row>
    <row r="755" ht="12.75" customHeight="1">
      <c r="A755" s="84" t="s">
        <v>4598</v>
      </c>
      <c r="B755" s="84">
        <v>0.0</v>
      </c>
      <c r="C755" s="84">
        <v>0.0</v>
      </c>
      <c r="D755" s="84">
        <v>0.0</v>
      </c>
      <c r="E755" s="84">
        <v>0.0</v>
      </c>
      <c r="F755" s="84">
        <v>0.0</v>
      </c>
      <c r="G755" s="84">
        <v>0.0</v>
      </c>
      <c r="H755" s="84">
        <v>0.0</v>
      </c>
      <c r="I755" s="91">
        <v>0.0</v>
      </c>
      <c r="J755" s="84">
        <v>0.0</v>
      </c>
      <c r="K755" s="84">
        <v>0.0</v>
      </c>
      <c r="L755" s="84">
        <v>0.0</v>
      </c>
      <c r="M755" s="84">
        <v>0.0</v>
      </c>
      <c r="N755" s="84">
        <v>0.0</v>
      </c>
      <c r="O755" s="84">
        <v>0.0</v>
      </c>
      <c r="P755" s="84">
        <v>0.0</v>
      </c>
      <c r="Q755" s="84">
        <v>0.0</v>
      </c>
      <c r="R755" s="84">
        <v>1.0</v>
      </c>
      <c r="S755" s="84">
        <v>0.0</v>
      </c>
      <c r="T755" s="84">
        <v>0.0</v>
      </c>
      <c r="U755" s="84">
        <v>0.0</v>
      </c>
      <c r="V755" s="84">
        <v>0.0</v>
      </c>
      <c r="W755" s="84">
        <v>0.0</v>
      </c>
      <c r="X755" s="84">
        <v>0.0</v>
      </c>
      <c r="Y755" s="84">
        <v>0.0</v>
      </c>
      <c r="Z755" s="84">
        <v>0.0</v>
      </c>
      <c r="AA755" s="84">
        <v>0.0</v>
      </c>
      <c r="AB755" s="84">
        <v>0.0</v>
      </c>
      <c r="AC755" s="91">
        <v>0.0</v>
      </c>
      <c r="AD755" s="84">
        <v>0.0</v>
      </c>
      <c r="AE755" s="84">
        <v>0.0</v>
      </c>
      <c r="AF755" s="84">
        <v>0.0</v>
      </c>
      <c r="AG755" s="84">
        <v>0.0</v>
      </c>
      <c r="AH755" s="84">
        <v>0.0</v>
      </c>
      <c r="AI755" s="84">
        <v>0.0</v>
      </c>
      <c r="AJ755" s="84">
        <v>0.0</v>
      </c>
      <c r="AK755" s="84">
        <v>0.0</v>
      </c>
      <c r="AL755" s="84">
        <v>0.0</v>
      </c>
      <c r="AM755" s="84">
        <v>0.0</v>
      </c>
      <c r="AN755" s="93">
        <f t="shared" si="1"/>
        <v>0</v>
      </c>
      <c r="AO755" s="84">
        <f t="shared" si="2"/>
        <v>1</v>
      </c>
    </row>
    <row r="756" ht="12.75" customHeight="1">
      <c r="A756" s="84" t="s">
        <v>3673</v>
      </c>
      <c r="B756" s="84">
        <v>0.0</v>
      </c>
      <c r="C756" s="84">
        <v>0.0</v>
      </c>
      <c r="D756" s="84">
        <v>0.0</v>
      </c>
      <c r="E756" s="84">
        <v>0.0</v>
      </c>
      <c r="F756" s="84">
        <v>4.0</v>
      </c>
      <c r="G756" s="84">
        <v>2.0</v>
      </c>
      <c r="H756" s="84">
        <v>0.0</v>
      </c>
      <c r="I756" s="91">
        <v>0.0</v>
      </c>
      <c r="J756" s="84">
        <v>0.0</v>
      </c>
      <c r="K756" s="84">
        <v>0.0</v>
      </c>
      <c r="L756" s="84">
        <v>0.0</v>
      </c>
      <c r="M756" s="84">
        <v>0.0</v>
      </c>
      <c r="N756" s="84">
        <v>0.0</v>
      </c>
      <c r="O756" s="84">
        <v>0.0</v>
      </c>
      <c r="P756" s="84">
        <v>0.0</v>
      </c>
      <c r="Q756" s="84">
        <v>0.0</v>
      </c>
      <c r="R756" s="84">
        <v>0.0</v>
      </c>
      <c r="S756" s="84">
        <v>0.0</v>
      </c>
      <c r="T756" s="84">
        <v>0.0</v>
      </c>
      <c r="U756" s="84">
        <v>0.0</v>
      </c>
      <c r="V756" s="84">
        <v>0.0</v>
      </c>
      <c r="W756" s="84">
        <v>0.0</v>
      </c>
      <c r="X756" s="84">
        <v>0.0</v>
      </c>
      <c r="Y756" s="84">
        <v>0.0</v>
      </c>
      <c r="Z756" s="84">
        <v>6.0</v>
      </c>
      <c r="AA756" s="84">
        <v>3.0</v>
      </c>
      <c r="AB756" s="84">
        <v>0.0</v>
      </c>
      <c r="AC756" s="91">
        <v>0.0</v>
      </c>
      <c r="AD756" s="84">
        <v>0.0</v>
      </c>
      <c r="AE756" s="84">
        <v>0.0</v>
      </c>
      <c r="AF756" s="84">
        <v>0.0</v>
      </c>
      <c r="AG756" s="84">
        <v>0.0</v>
      </c>
      <c r="AH756" s="84">
        <v>0.0</v>
      </c>
      <c r="AI756" s="84">
        <v>0.0</v>
      </c>
      <c r="AJ756" s="84">
        <v>0.0</v>
      </c>
      <c r="AK756" s="84">
        <v>0.0</v>
      </c>
      <c r="AL756" s="84">
        <v>0.0</v>
      </c>
      <c r="AM756" s="84">
        <v>0.0</v>
      </c>
      <c r="AN756" s="93">
        <f t="shared" si="1"/>
        <v>0</v>
      </c>
      <c r="AO756" s="84">
        <f t="shared" si="2"/>
        <v>0</v>
      </c>
    </row>
    <row r="757" ht="12.75" customHeight="1">
      <c r="A757" s="84" t="s">
        <v>3525</v>
      </c>
      <c r="B757" s="84">
        <v>0.0</v>
      </c>
      <c r="C757" s="84">
        <v>0.0</v>
      </c>
      <c r="D757" s="84">
        <v>0.0</v>
      </c>
      <c r="E757" s="84">
        <v>4.0</v>
      </c>
      <c r="F757" s="84">
        <v>1.0</v>
      </c>
      <c r="G757" s="84">
        <v>0.0</v>
      </c>
      <c r="H757" s="84">
        <v>0.0</v>
      </c>
      <c r="I757" s="91">
        <v>0.0</v>
      </c>
      <c r="J757" s="84">
        <v>0.0</v>
      </c>
      <c r="K757" s="84">
        <v>0.0</v>
      </c>
      <c r="L757" s="84">
        <v>0.0</v>
      </c>
      <c r="M757" s="84">
        <v>0.0</v>
      </c>
      <c r="N757" s="84">
        <v>0.0</v>
      </c>
      <c r="O757" s="84">
        <v>0.0</v>
      </c>
      <c r="P757" s="84">
        <v>0.0</v>
      </c>
      <c r="Q757" s="84">
        <v>0.0</v>
      </c>
      <c r="R757" s="84">
        <v>0.0</v>
      </c>
      <c r="S757" s="84">
        <v>0.0</v>
      </c>
      <c r="T757" s="84">
        <v>0.0</v>
      </c>
      <c r="U757" s="84">
        <v>0.0</v>
      </c>
      <c r="V757" s="84">
        <v>0.0</v>
      </c>
      <c r="W757" s="84">
        <v>0.0</v>
      </c>
      <c r="X757" s="84">
        <v>0.0</v>
      </c>
      <c r="Y757" s="84">
        <v>6.0</v>
      </c>
      <c r="Z757" s="84">
        <v>4.0</v>
      </c>
      <c r="AA757" s="84">
        <v>0.0</v>
      </c>
      <c r="AB757" s="84">
        <v>0.0</v>
      </c>
      <c r="AC757" s="91">
        <v>0.0</v>
      </c>
      <c r="AD757" s="84">
        <v>0.0</v>
      </c>
      <c r="AE757" s="84">
        <v>0.0</v>
      </c>
      <c r="AF757" s="84">
        <v>0.0</v>
      </c>
      <c r="AG757" s="84">
        <v>0.0</v>
      </c>
      <c r="AH757" s="84">
        <v>0.0</v>
      </c>
      <c r="AI757" s="84">
        <v>0.0</v>
      </c>
      <c r="AJ757" s="84">
        <v>0.0</v>
      </c>
      <c r="AK757" s="84">
        <v>0.0</v>
      </c>
      <c r="AL757" s="84">
        <v>0.0</v>
      </c>
      <c r="AM757" s="84">
        <v>0.0</v>
      </c>
      <c r="AN757" s="93">
        <f t="shared" si="1"/>
        <v>0</v>
      </c>
      <c r="AO757" s="84">
        <f t="shared" si="2"/>
        <v>0</v>
      </c>
    </row>
    <row r="758" ht="12.75" customHeight="1">
      <c r="A758" s="84" t="s">
        <v>3089</v>
      </c>
      <c r="B758" s="84">
        <v>2.0</v>
      </c>
      <c r="C758" s="84">
        <v>0.0</v>
      </c>
      <c r="D758" s="84">
        <v>0.0</v>
      </c>
      <c r="E758" s="84">
        <v>0.0</v>
      </c>
      <c r="F758" s="84">
        <v>0.0</v>
      </c>
      <c r="G758" s="84">
        <v>0.0</v>
      </c>
      <c r="H758" s="84">
        <v>0.0</v>
      </c>
      <c r="I758" s="91">
        <v>0.0</v>
      </c>
      <c r="J758" s="84">
        <v>0.0</v>
      </c>
      <c r="K758" s="84">
        <v>0.0</v>
      </c>
      <c r="L758" s="84">
        <v>0.0</v>
      </c>
      <c r="M758" s="84">
        <v>0.0</v>
      </c>
      <c r="N758" s="84">
        <v>0.0</v>
      </c>
      <c r="O758" s="84">
        <v>0.0</v>
      </c>
      <c r="P758" s="84">
        <v>0.0</v>
      </c>
      <c r="Q758" s="84">
        <v>0.0</v>
      </c>
      <c r="R758" s="84">
        <v>0.0</v>
      </c>
      <c r="S758" s="84">
        <v>0.0</v>
      </c>
      <c r="T758" s="84">
        <v>0.0</v>
      </c>
      <c r="U758" s="84">
        <v>0.0</v>
      </c>
      <c r="V758" s="84">
        <v>3.0</v>
      </c>
      <c r="W758" s="84">
        <v>1.0</v>
      </c>
      <c r="X758" s="84">
        <v>0.0</v>
      </c>
      <c r="Y758" s="84">
        <v>0.0</v>
      </c>
      <c r="Z758" s="84">
        <v>0.0</v>
      </c>
      <c r="AA758" s="84">
        <v>0.0</v>
      </c>
      <c r="AB758" s="84">
        <v>0.0</v>
      </c>
      <c r="AC758" s="91">
        <v>0.0</v>
      </c>
      <c r="AD758" s="84">
        <v>0.0</v>
      </c>
      <c r="AE758" s="84">
        <v>0.0</v>
      </c>
      <c r="AF758" s="84">
        <v>0.0</v>
      </c>
      <c r="AG758" s="84">
        <v>0.0</v>
      </c>
      <c r="AH758" s="84">
        <v>0.0</v>
      </c>
      <c r="AI758" s="84">
        <v>0.0</v>
      </c>
      <c r="AJ758" s="84">
        <v>0.0</v>
      </c>
      <c r="AK758" s="84">
        <v>0.0</v>
      </c>
      <c r="AL758" s="84">
        <v>0.0</v>
      </c>
      <c r="AM758" s="84">
        <v>0.0</v>
      </c>
      <c r="AN758" s="93">
        <f t="shared" si="1"/>
        <v>0</v>
      </c>
      <c r="AO758" s="84">
        <f t="shared" si="2"/>
        <v>0</v>
      </c>
    </row>
    <row r="759" ht="12.75" customHeight="1">
      <c r="A759" s="84" t="s">
        <v>3956</v>
      </c>
      <c r="B759" s="84">
        <v>0.0</v>
      </c>
      <c r="C759" s="84">
        <v>0.0</v>
      </c>
      <c r="D759" s="84">
        <v>0.0</v>
      </c>
      <c r="E759" s="84">
        <v>0.0</v>
      </c>
      <c r="F759" s="84">
        <v>0.0</v>
      </c>
      <c r="G759" s="84">
        <v>0.0</v>
      </c>
      <c r="H759" s="84">
        <v>6.0</v>
      </c>
      <c r="I759" s="91">
        <v>0.0</v>
      </c>
      <c r="J759" s="84">
        <v>0.0</v>
      </c>
      <c r="K759" s="84">
        <v>0.0</v>
      </c>
      <c r="L759" s="84">
        <v>0.0</v>
      </c>
      <c r="M759" s="84">
        <v>0.0</v>
      </c>
      <c r="N759" s="84">
        <v>0.0</v>
      </c>
      <c r="O759" s="84">
        <v>0.0</v>
      </c>
      <c r="P759" s="84">
        <v>0.0</v>
      </c>
      <c r="Q759" s="84">
        <v>0.0</v>
      </c>
      <c r="R759" s="84">
        <v>0.0</v>
      </c>
      <c r="S759" s="84">
        <v>0.0</v>
      </c>
      <c r="T759" s="84">
        <v>0.0</v>
      </c>
      <c r="U759" s="84">
        <v>0.0</v>
      </c>
      <c r="V759" s="84">
        <v>0.0</v>
      </c>
      <c r="W759" s="84">
        <v>0.0</v>
      </c>
      <c r="X759" s="84">
        <v>0.0</v>
      </c>
      <c r="Y759" s="84">
        <v>0.0</v>
      </c>
      <c r="Z759" s="84">
        <v>0.0</v>
      </c>
      <c r="AA759" s="84">
        <v>0.0</v>
      </c>
      <c r="AB759" s="84">
        <v>7.0</v>
      </c>
      <c r="AC759" s="91">
        <v>0.0</v>
      </c>
      <c r="AD759" s="84">
        <v>0.0</v>
      </c>
      <c r="AE759" s="84">
        <v>0.0</v>
      </c>
      <c r="AF759" s="84">
        <v>0.0</v>
      </c>
      <c r="AG759" s="84">
        <v>0.0</v>
      </c>
      <c r="AH759" s="84">
        <v>0.0</v>
      </c>
      <c r="AI759" s="84">
        <v>0.0</v>
      </c>
      <c r="AJ759" s="84">
        <v>0.0</v>
      </c>
      <c r="AK759" s="84">
        <v>0.0</v>
      </c>
      <c r="AL759" s="84">
        <v>0.0</v>
      </c>
      <c r="AM759" s="84">
        <v>0.0</v>
      </c>
      <c r="AN759" s="93">
        <f t="shared" si="1"/>
        <v>0</v>
      </c>
      <c r="AO759" s="84">
        <f t="shared" si="2"/>
        <v>0</v>
      </c>
    </row>
    <row r="760" ht="12.75" customHeight="1">
      <c r="A760" s="84" t="s">
        <v>3623</v>
      </c>
      <c r="B760" s="84">
        <v>0.0</v>
      </c>
      <c r="C760" s="84">
        <v>0.0</v>
      </c>
      <c r="D760" s="84">
        <v>0.0</v>
      </c>
      <c r="E760" s="84">
        <v>0.0</v>
      </c>
      <c r="F760" s="84">
        <v>5.0</v>
      </c>
      <c r="G760" s="84">
        <v>2.0</v>
      </c>
      <c r="H760" s="84">
        <v>0.0</v>
      </c>
      <c r="I760" s="91">
        <v>0.0</v>
      </c>
      <c r="J760" s="84">
        <v>0.0</v>
      </c>
      <c r="K760" s="84">
        <v>0.0</v>
      </c>
      <c r="L760" s="84">
        <v>0.0</v>
      </c>
      <c r="M760" s="84">
        <v>0.0</v>
      </c>
      <c r="N760" s="84">
        <v>0.0</v>
      </c>
      <c r="O760" s="84">
        <v>0.0</v>
      </c>
      <c r="P760" s="84">
        <v>0.0</v>
      </c>
      <c r="Q760" s="84">
        <v>0.0</v>
      </c>
      <c r="R760" s="84">
        <v>0.0</v>
      </c>
      <c r="S760" s="84">
        <v>0.0</v>
      </c>
      <c r="T760" s="84">
        <v>0.0</v>
      </c>
      <c r="U760" s="84">
        <v>0.0</v>
      </c>
      <c r="V760" s="84">
        <v>0.0</v>
      </c>
      <c r="W760" s="84">
        <v>0.0</v>
      </c>
      <c r="X760" s="84">
        <v>0.0</v>
      </c>
      <c r="Y760" s="84">
        <v>0.0</v>
      </c>
      <c r="Z760" s="84">
        <v>6.0</v>
      </c>
      <c r="AA760" s="84">
        <v>3.0</v>
      </c>
      <c r="AB760" s="84">
        <v>0.0</v>
      </c>
      <c r="AC760" s="91">
        <v>0.0</v>
      </c>
      <c r="AD760" s="84">
        <v>0.0</v>
      </c>
      <c r="AE760" s="84">
        <v>0.0</v>
      </c>
      <c r="AF760" s="84">
        <v>0.0</v>
      </c>
      <c r="AG760" s="84">
        <v>0.0</v>
      </c>
      <c r="AH760" s="84">
        <v>0.0</v>
      </c>
      <c r="AI760" s="84">
        <v>0.0</v>
      </c>
      <c r="AJ760" s="84">
        <v>0.0</v>
      </c>
      <c r="AK760" s="84">
        <v>0.0</v>
      </c>
      <c r="AL760" s="84">
        <v>0.0</v>
      </c>
      <c r="AM760" s="84">
        <v>0.0</v>
      </c>
      <c r="AN760" s="93">
        <f t="shared" si="1"/>
        <v>0</v>
      </c>
      <c r="AO760" s="84">
        <f t="shared" si="2"/>
        <v>0</v>
      </c>
    </row>
    <row r="761" ht="12.75" customHeight="1">
      <c r="A761" s="84" t="s">
        <v>3305</v>
      </c>
      <c r="B761" s="84">
        <v>0.0</v>
      </c>
      <c r="C761" s="84">
        <v>0.0</v>
      </c>
      <c r="D761" s="84">
        <v>4.0</v>
      </c>
      <c r="E761" s="84">
        <v>0.0</v>
      </c>
      <c r="F761" s="84">
        <v>0.0</v>
      </c>
      <c r="G761" s="84">
        <v>0.0</v>
      </c>
      <c r="H761" s="84">
        <v>0.0</v>
      </c>
      <c r="I761" s="91">
        <v>0.0</v>
      </c>
      <c r="J761" s="84">
        <v>0.0</v>
      </c>
      <c r="K761" s="84">
        <v>0.0</v>
      </c>
      <c r="L761" s="84">
        <v>0.0</v>
      </c>
      <c r="M761" s="84">
        <v>0.0</v>
      </c>
      <c r="N761" s="84">
        <v>0.0</v>
      </c>
      <c r="O761" s="84">
        <v>0.0</v>
      </c>
      <c r="P761" s="84">
        <v>0.0</v>
      </c>
      <c r="Q761" s="84">
        <v>0.0</v>
      </c>
      <c r="R761" s="84">
        <v>0.0</v>
      </c>
      <c r="S761" s="84">
        <v>0.0</v>
      </c>
      <c r="T761" s="84">
        <v>0.0</v>
      </c>
      <c r="U761" s="84">
        <v>0.0</v>
      </c>
      <c r="V761" s="84">
        <v>0.0</v>
      </c>
      <c r="W761" s="84">
        <v>0.0</v>
      </c>
      <c r="X761" s="84">
        <v>6.0</v>
      </c>
      <c r="Y761" s="84">
        <v>1.0</v>
      </c>
      <c r="Z761" s="84">
        <v>0.0</v>
      </c>
      <c r="AA761" s="84">
        <v>0.0</v>
      </c>
      <c r="AB761" s="84">
        <v>0.0</v>
      </c>
      <c r="AC761" s="91">
        <v>0.0</v>
      </c>
      <c r="AD761" s="84">
        <v>0.0</v>
      </c>
      <c r="AE761" s="84">
        <v>0.0</v>
      </c>
      <c r="AF761" s="84">
        <v>0.0</v>
      </c>
      <c r="AG761" s="84">
        <v>0.0</v>
      </c>
      <c r="AH761" s="84">
        <v>0.0</v>
      </c>
      <c r="AI761" s="84">
        <v>0.0</v>
      </c>
      <c r="AJ761" s="84">
        <v>0.0</v>
      </c>
      <c r="AK761" s="84">
        <v>0.0</v>
      </c>
      <c r="AL761" s="84">
        <v>0.0</v>
      </c>
      <c r="AM761" s="84">
        <v>0.0</v>
      </c>
      <c r="AN761" s="93">
        <f t="shared" si="1"/>
        <v>0</v>
      </c>
      <c r="AO761" s="84">
        <f t="shared" si="2"/>
        <v>0</v>
      </c>
    </row>
    <row r="762" ht="12.75" customHeight="1">
      <c r="A762" s="84" t="s">
        <v>3339</v>
      </c>
      <c r="B762" s="84">
        <v>0.0</v>
      </c>
      <c r="C762" s="84">
        <v>0.0</v>
      </c>
      <c r="D762" s="84">
        <v>4.0</v>
      </c>
      <c r="E762" s="84">
        <v>0.0</v>
      </c>
      <c r="F762" s="84">
        <v>0.0</v>
      </c>
      <c r="G762" s="84">
        <v>0.0</v>
      </c>
      <c r="H762" s="84">
        <v>0.0</v>
      </c>
      <c r="I762" s="91">
        <v>0.0</v>
      </c>
      <c r="J762" s="84">
        <v>0.0</v>
      </c>
      <c r="K762" s="84">
        <v>0.0</v>
      </c>
      <c r="L762" s="84">
        <v>0.0</v>
      </c>
      <c r="M762" s="84">
        <v>0.0</v>
      </c>
      <c r="N762" s="84">
        <v>0.0</v>
      </c>
      <c r="O762" s="84">
        <v>0.0</v>
      </c>
      <c r="P762" s="84">
        <v>0.0</v>
      </c>
      <c r="Q762" s="84">
        <v>0.0</v>
      </c>
      <c r="R762" s="84">
        <v>0.0</v>
      </c>
      <c r="S762" s="84">
        <v>0.0</v>
      </c>
      <c r="T762" s="84">
        <v>0.0</v>
      </c>
      <c r="U762" s="84">
        <v>0.0</v>
      </c>
      <c r="V762" s="84">
        <v>0.0</v>
      </c>
      <c r="W762" s="84">
        <v>0.0</v>
      </c>
      <c r="X762" s="84">
        <v>6.0</v>
      </c>
      <c r="Y762" s="84">
        <v>2.0</v>
      </c>
      <c r="Z762" s="84">
        <v>0.0</v>
      </c>
      <c r="AA762" s="84">
        <v>0.0</v>
      </c>
      <c r="AB762" s="84">
        <v>0.0</v>
      </c>
      <c r="AC762" s="91">
        <v>0.0</v>
      </c>
      <c r="AD762" s="84">
        <v>0.0</v>
      </c>
      <c r="AE762" s="84">
        <v>0.0</v>
      </c>
      <c r="AF762" s="84">
        <v>0.0</v>
      </c>
      <c r="AG762" s="84">
        <v>0.0</v>
      </c>
      <c r="AH762" s="84">
        <v>0.0</v>
      </c>
      <c r="AI762" s="84">
        <v>0.0</v>
      </c>
      <c r="AJ762" s="84">
        <v>0.0</v>
      </c>
      <c r="AK762" s="84">
        <v>0.0</v>
      </c>
      <c r="AL762" s="84">
        <v>0.0</v>
      </c>
      <c r="AM762" s="84">
        <v>0.0</v>
      </c>
      <c r="AN762" s="93">
        <f t="shared" si="1"/>
        <v>0</v>
      </c>
      <c r="AO762" s="84">
        <f t="shared" si="2"/>
        <v>0</v>
      </c>
    </row>
    <row r="763" ht="12.75" customHeight="1">
      <c r="A763" s="84" t="s">
        <v>3176</v>
      </c>
      <c r="B763" s="84">
        <v>0.0</v>
      </c>
      <c r="C763" s="84">
        <v>4.0</v>
      </c>
      <c r="D763" s="84">
        <v>3.0</v>
      </c>
      <c r="E763" s="84">
        <v>0.0</v>
      </c>
      <c r="F763" s="84">
        <v>0.0</v>
      </c>
      <c r="G763" s="84">
        <v>0.0</v>
      </c>
      <c r="H763" s="84">
        <v>0.0</v>
      </c>
      <c r="I763" s="91">
        <v>0.0</v>
      </c>
      <c r="J763" s="84">
        <v>0.0</v>
      </c>
      <c r="K763" s="84">
        <v>0.0</v>
      </c>
      <c r="L763" s="84">
        <v>0.0</v>
      </c>
      <c r="M763" s="84">
        <v>0.0</v>
      </c>
      <c r="N763" s="84">
        <v>0.0</v>
      </c>
      <c r="O763" s="84">
        <v>0.0</v>
      </c>
      <c r="P763" s="84">
        <v>0.0</v>
      </c>
      <c r="Q763" s="84">
        <v>0.0</v>
      </c>
      <c r="R763" s="84">
        <v>0.0</v>
      </c>
      <c r="S763" s="84">
        <v>0.0</v>
      </c>
      <c r="T763" s="84">
        <v>0.0</v>
      </c>
      <c r="U763" s="84">
        <v>0.0</v>
      </c>
      <c r="V763" s="84">
        <v>0.0</v>
      </c>
      <c r="W763" s="84">
        <v>3.0</v>
      </c>
      <c r="X763" s="84">
        <v>3.0</v>
      </c>
      <c r="Y763" s="84">
        <v>0.0</v>
      </c>
      <c r="Z763" s="84">
        <v>0.0</v>
      </c>
      <c r="AA763" s="84">
        <v>0.0</v>
      </c>
      <c r="AB763" s="84">
        <v>0.0</v>
      </c>
      <c r="AC763" s="91">
        <v>0.0</v>
      </c>
      <c r="AD763" s="84">
        <v>0.0</v>
      </c>
      <c r="AE763" s="84">
        <v>0.0</v>
      </c>
      <c r="AF763" s="84">
        <v>0.0</v>
      </c>
      <c r="AG763" s="84">
        <v>0.0</v>
      </c>
      <c r="AH763" s="84">
        <v>0.0</v>
      </c>
      <c r="AI763" s="84">
        <v>0.0</v>
      </c>
      <c r="AJ763" s="84">
        <v>0.0</v>
      </c>
      <c r="AK763" s="84">
        <v>0.0</v>
      </c>
      <c r="AL763" s="84">
        <v>0.0</v>
      </c>
      <c r="AM763" s="84">
        <v>0.0</v>
      </c>
      <c r="AN763" s="93">
        <f t="shared" si="1"/>
        <v>0</v>
      </c>
      <c r="AO763" s="84">
        <f t="shared" si="2"/>
        <v>0</v>
      </c>
    </row>
    <row r="764" ht="12.75" customHeight="1">
      <c r="A764" s="84" t="s">
        <v>3627</v>
      </c>
      <c r="B764" s="84">
        <v>0.0</v>
      </c>
      <c r="C764" s="84">
        <v>0.0</v>
      </c>
      <c r="D764" s="84">
        <v>0.0</v>
      </c>
      <c r="E764" s="84">
        <v>0.0</v>
      </c>
      <c r="F764" s="84">
        <v>5.0</v>
      </c>
      <c r="G764" s="84">
        <v>0.0</v>
      </c>
      <c r="H764" s="84">
        <v>0.0</v>
      </c>
      <c r="I764" s="91">
        <v>0.0</v>
      </c>
      <c r="J764" s="84">
        <v>0.0</v>
      </c>
      <c r="K764" s="84">
        <v>0.0</v>
      </c>
      <c r="L764" s="84">
        <v>0.0</v>
      </c>
      <c r="M764" s="84">
        <v>0.0</v>
      </c>
      <c r="N764" s="84">
        <v>0.0</v>
      </c>
      <c r="O764" s="84">
        <v>0.0</v>
      </c>
      <c r="P764" s="84">
        <v>0.0</v>
      </c>
      <c r="Q764" s="84">
        <v>0.0</v>
      </c>
      <c r="R764" s="84">
        <v>0.0</v>
      </c>
      <c r="S764" s="84">
        <v>0.0</v>
      </c>
      <c r="T764" s="84">
        <v>0.0</v>
      </c>
      <c r="U764" s="84">
        <v>0.0</v>
      </c>
      <c r="V764" s="84">
        <v>0.0</v>
      </c>
      <c r="W764" s="84">
        <v>0.0</v>
      </c>
      <c r="X764" s="84">
        <v>0.0</v>
      </c>
      <c r="Y764" s="84">
        <v>0.0</v>
      </c>
      <c r="Z764" s="84">
        <v>6.0</v>
      </c>
      <c r="AA764" s="84">
        <v>2.0</v>
      </c>
      <c r="AB764" s="84">
        <v>0.0</v>
      </c>
      <c r="AC764" s="91">
        <v>0.0</v>
      </c>
      <c r="AD764" s="84">
        <v>0.0</v>
      </c>
      <c r="AE764" s="84">
        <v>0.0</v>
      </c>
      <c r="AF764" s="84">
        <v>0.0</v>
      </c>
      <c r="AG764" s="84">
        <v>0.0</v>
      </c>
      <c r="AH764" s="84">
        <v>0.0</v>
      </c>
      <c r="AI764" s="84">
        <v>0.0</v>
      </c>
      <c r="AJ764" s="84">
        <v>0.0</v>
      </c>
      <c r="AK764" s="84">
        <v>0.0</v>
      </c>
      <c r="AL764" s="84">
        <v>0.0</v>
      </c>
      <c r="AM764" s="84">
        <v>0.0</v>
      </c>
      <c r="AN764" s="93">
        <f t="shared" si="1"/>
        <v>0</v>
      </c>
      <c r="AO764" s="84">
        <f t="shared" si="2"/>
        <v>0</v>
      </c>
    </row>
    <row r="765" ht="12.75" customHeight="1">
      <c r="A765" s="84" t="s">
        <v>3943</v>
      </c>
      <c r="B765" s="84">
        <v>0.0</v>
      </c>
      <c r="C765" s="84">
        <v>0.0</v>
      </c>
      <c r="D765" s="84">
        <v>0.0</v>
      </c>
      <c r="E765" s="84">
        <v>0.0</v>
      </c>
      <c r="F765" s="84">
        <v>0.0</v>
      </c>
      <c r="G765" s="84">
        <v>0.0</v>
      </c>
      <c r="H765" s="84">
        <v>5.0</v>
      </c>
      <c r="I765" s="91">
        <v>0.0</v>
      </c>
      <c r="J765" s="84">
        <v>0.0</v>
      </c>
      <c r="K765" s="84">
        <v>0.0</v>
      </c>
      <c r="L765" s="84">
        <v>0.0</v>
      </c>
      <c r="M765" s="84">
        <v>0.0</v>
      </c>
      <c r="N765" s="84">
        <v>0.0</v>
      </c>
      <c r="O765" s="84">
        <v>0.0</v>
      </c>
      <c r="P765" s="84">
        <v>0.0</v>
      </c>
      <c r="Q765" s="84">
        <v>0.0</v>
      </c>
      <c r="R765" s="84">
        <v>0.0</v>
      </c>
      <c r="S765" s="84">
        <v>0.0</v>
      </c>
      <c r="T765" s="84">
        <v>0.0</v>
      </c>
      <c r="U765" s="84">
        <v>0.0</v>
      </c>
      <c r="V765" s="84">
        <v>0.0</v>
      </c>
      <c r="W765" s="84">
        <v>0.0</v>
      </c>
      <c r="X765" s="84">
        <v>0.0</v>
      </c>
      <c r="Y765" s="84">
        <v>0.0</v>
      </c>
      <c r="Z765" s="84">
        <v>0.0</v>
      </c>
      <c r="AA765" s="84">
        <v>0.0</v>
      </c>
      <c r="AB765" s="84">
        <v>6.0</v>
      </c>
      <c r="AC765" s="91">
        <v>0.0</v>
      </c>
      <c r="AD765" s="84">
        <v>0.0</v>
      </c>
      <c r="AE765" s="84">
        <v>0.0</v>
      </c>
      <c r="AF765" s="84">
        <v>0.0</v>
      </c>
      <c r="AG765" s="84">
        <v>0.0</v>
      </c>
      <c r="AH765" s="84">
        <v>0.0</v>
      </c>
      <c r="AI765" s="84">
        <v>0.0</v>
      </c>
      <c r="AJ765" s="84">
        <v>0.0</v>
      </c>
      <c r="AK765" s="84">
        <v>0.0</v>
      </c>
      <c r="AL765" s="84">
        <v>0.0</v>
      </c>
      <c r="AM765" s="84">
        <v>0.0</v>
      </c>
      <c r="AN765" s="93">
        <f t="shared" si="1"/>
        <v>0</v>
      </c>
      <c r="AO765" s="84">
        <f t="shared" si="2"/>
        <v>0</v>
      </c>
    </row>
    <row r="766" ht="12.75" customHeight="1">
      <c r="A766" s="84" t="s">
        <v>3595</v>
      </c>
      <c r="B766" s="84">
        <v>0.0</v>
      </c>
      <c r="C766" s="84">
        <v>0.0</v>
      </c>
      <c r="D766" s="84">
        <v>0.0</v>
      </c>
      <c r="E766" s="84">
        <v>0.0</v>
      </c>
      <c r="F766" s="84">
        <v>6.0</v>
      </c>
      <c r="G766" s="84">
        <v>0.0</v>
      </c>
      <c r="H766" s="84">
        <v>0.0</v>
      </c>
      <c r="I766" s="91">
        <v>0.0</v>
      </c>
      <c r="J766" s="84">
        <v>0.0</v>
      </c>
      <c r="K766" s="84">
        <v>0.0</v>
      </c>
      <c r="L766" s="84">
        <v>0.0</v>
      </c>
      <c r="M766" s="84">
        <v>0.0</v>
      </c>
      <c r="N766" s="84">
        <v>0.0</v>
      </c>
      <c r="O766" s="84">
        <v>0.0</v>
      </c>
      <c r="P766" s="84">
        <v>0.0</v>
      </c>
      <c r="Q766" s="84">
        <v>0.0</v>
      </c>
      <c r="R766" s="84">
        <v>0.0</v>
      </c>
      <c r="S766" s="84">
        <v>0.0</v>
      </c>
      <c r="T766" s="84">
        <v>0.0</v>
      </c>
      <c r="U766" s="84">
        <v>0.0</v>
      </c>
      <c r="V766" s="84">
        <v>0.0</v>
      </c>
      <c r="W766" s="84">
        <v>0.0</v>
      </c>
      <c r="X766" s="84">
        <v>0.0</v>
      </c>
      <c r="Y766" s="84">
        <v>0.0</v>
      </c>
      <c r="Z766" s="84">
        <v>6.0</v>
      </c>
      <c r="AA766" s="84">
        <v>2.0</v>
      </c>
      <c r="AB766" s="84">
        <v>0.0</v>
      </c>
      <c r="AC766" s="91">
        <v>0.0</v>
      </c>
      <c r="AD766" s="84">
        <v>0.0</v>
      </c>
      <c r="AE766" s="84">
        <v>0.0</v>
      </c>
      <c r="AF766" s="84">
        <v>0.0</v>
      </c>
      <c r="AG766" s="84">
        <v>0.0</v>
      </c>
      <c r="AH766" s="84">
        <v>0.0</v>
      </c>
      <c r="AI766" s="84">
        <v>0.0</v>
      </c>
      <c r="AJ766" s="84">
        <v>0.0</v>
      </c>
      <c r="AK766" s="84">
        <v>0.0</v>
      </c>
      <c r="AL766" s="84">
        <v>0.0</v>
      </c>
      <c r="AM766" s="84">
        <v>0.0</v>
      </c>
      <c r="AN766" s="93">
        <f t="shared" si="1"/>
        <v>0</v>
      </c>
      <c r="AO766" s="84">
        <f t="shared" si="2"/>
        <v>0</v>
      </c>
    </row>
    <row r="767" ht="12.75" customHeight="1">
      <c r="A767" s="84" t="s">
        <v>4571</v>
      </c>
      <c r="B767" s="84">
        <v>0.0</v>
      </c>
      <c r="C767" s="84">
        <v>0.0</v>
      </c>
      <c r="D767" s="84">
        <v>0.0</v>
      </c>
      <c r="E767" s="84">
        <v>0.0</v>
      </c>
      <c r="F767" s="84">
        <v>0.0</v>
      </c>
      <c r="G767" s="84">
        <v>0.0</v>
      </c>
      <c r="H767" s="84">
        <v>0.0</v>
      </c>
      <c r="I767" s="91">
        <v>0.0</v>
      </c>
      <c r="J767" s="84">
        <v>0.0</v>
      </c>
      <c r="K767" s="84">
        <v>0.0</v>
      </c>
      <c r="L767" s="84">
        <v>0.0</v>
      </c>
      <c r="M767" s="84">
        <v>0.0</v>
      </c>
      <c r="N767" s="84">
        <v>0.0</v>
      </c>
      <c r="O767" s="84">
        <v>0.0</v>
      </c>
      <c r="P767" s="84">
        <v>0.0</v>
      </c>
      <c r="Q767" s="84">
        <v>1.0</v>
      </c>
      <c r="R767" s="84">
        <v>0.0</v>
      </c>
      <c r="S767" s="84">
        <v>0.0</v>
      </c>
      <c r="T767" s="84">
        <v>0.0</v>
      </c>
      <c r="U767" s="84">
        <v>0.0</v>
      </c>
      <c r="V767" s="84">
        <v>0.0</v>
      </c>
      <c r="W767" s="84">
        <v>0.0</v>
      </c>
      <c r="X767" s="84">
        <v>0.0</v>
      </c>
      <c r="Y767" s="84">
        <v>0.0</v>
      </c>
      <c r="Z767" s="84">
        <v>0.0</v>
      </c>
      <c r="AA767" s="84">
        <v>0.0</v>
      </c>
      <c r="AB767" s="84">
        <v>0.0</v>
      </c>
      <c r="AC767" s="91">
        <v>0.0</v>
      </c>
      <c r="AD767" s="84">
        <v>0.0</v>
      </c>
      <c r="AE767" s="84">
        <v>0.0</v>
      </c>
      <c r="AF767" s="84">
        <v>0.0</v>
      </c>
      <c r="AG767" s="84">
        <v>0.0</v>
      </c>
      <c r="AH767" s="84">
        <v>0.0</v>
      </c>
      <c r="AI767" s="84">
        <v>0.0</v>
      </c>
      <c r="AJ767" s="84">
        <v>0.0</v>
      </c>
      <c r="AK767" s="84">
        <v>0.0</v>
      </c>
      <c r="AL767" s="84">
        <v>0.0</v>
      </c>
      <c r="AM767" s="84">
        <v>0.0</v>
      </c>
      <c r="AN767" s="93">
        <f t="shared" si="1"/>
        <v>0</v>
      </c>
      <c r="AO767" s="84">
        <f t="shared" si="2"/>
        <v>1</v>
      </c>
    </row>
    <row r="768" ht="12.75" customHeight="1">
      <c r="A768" s="84" t="s">
        <v>4463</v>
      </c>
      <c r="B768" s="84">
        <v>0.0</v>
      </c>
      <c r="C768" s="84">
        <v>0.0</v>
      </c>
      <c r="D768" s="84">
        <v>0.0</v>
      </c>
      <c r="E768" s="84">
        <v>0.0</v>
      </c>
      <c r="F768" s="84">
        <v>0.0</v>
      </c>
      <c r="G768" s="84">
        <v>0.0</v>
      </c>
      <c r="H768" s="84">
        <v>0.0</v>
      </c>
      <c r="I768" s="91">
        <v>0.0</v>
      </c>
      <c r="J768" s="84">
        <v>0.0</v>
      </c>
      <c r="K768" s="84">
        <v>0.0</v>
      </c>
      <c r="L768" s="84">
        <v>0.0</v>
      </c>
      <c r="M768" s="84">
        <v>0.0</v>
      </c>
      <c r="N768" s="84">
        <v>0.0</v>
      </c>
      <c r="O768" s="84">
        <v>0.0</v>
      </c>
      <c r="P768" s="84">
        <v>0.0</v>
      </c>
      <c r="Q768" s="84">
        <v>0.0</v>
      </c>
      <c r="R768" s="84">
        <v>0.0</v>
      </c>
      <c r="S768" s="84">
        <v>0.0</v>
      </c>
      <c r="T768" s="84">
        <v>0.0</v>
      </c>
      <c r="U768" s="84">
        <v>0.0</v>
      </c>
      <c r="V768" s="84">
        <v>0.0</v>
      </c>
      <c r="W768" s="84">
        <v>0.0</v>
      </c>
      <c r="X768" s="84">
        <v>0.0</v>
      </c>
      <c r="Y768" s="84">
        <v>0.0</v>
      </c>
      <c r="Z768" s="84">
        <v>0.0</v>
      </c>
      <c r="AA768" s="84">
        <v>0.0</v>
      </c>
      <c r="AB768" s="84">
        <v>0.0</v>
      </c>
      <c r="AC768" s="91">
        <v>0.0</v>
      </c>
      <c r="AD768" s="84">
        <v>1.0</v>
      </c>
      <c r="AE768" s="84">
        <v>0.0</v>
      </c>
      <c r="AF768" s="84">
        <v>0.0</v>
      </c>
      <c r="AG768" s="84">
        <v>0.0</v>
      </c>
      <c r="AH768" s="84">
        <v>0.0</v>
      </c>
      <c r="AI768" s="84">
        <v>0.0</v>
      </c>
      <c r="AJ768" s="84">
        <v>0.0</v>
      </c>
      <c r="AK768" s="84">
        <v>0.0</v>
      </c>
      <c r="AL768" s="84">
        <v>0.0</v>
      </c>
      <c r="AM768" s="84">
        <v>0.0</v>
      </c>
      <c r="AN768" s="93">
        <f t="shared" si="1"/>
        <v>0</v>
      </c>
      <c r="AO768" s="84">
        <f t="shared" si="2"/>
        <v>1</v>
      </c>
    </row>
    <row r="769" ht="12.75" customHeight="1">
      <c r="A769" s="84" t="s">
        <v>4576</v>
      </c>
      <c r="B769" s="84">
        <v>0.0</v>
      </c>
      <c r="C769" s="84">
        <v>0.0</v>
      </c>
      <c r="D769" s="84">
        <v>0.0</v>
      </c>
      <c r="E769" s="84">
        <v>0.0</v>
      </c>
      <c r="F769" s="84">
        <v>0.0</v>
      </c>
      <c r="G769" s="84">
        <v>0.0</v>
      </c>
      <c r="H769" s="84">
        <v>0.0</v>
      </c>
      <c r="I769" s="91">
        <v>0.0</v>
      </c>
      <c r="J769" s="84">
        <v>0.0</v>
      </c>
      <c r="K769" s="84">
        <v>0.0</v>
      </c>
      <c r="L769" s="84">
        <v>0.0</v>
      </c>
      <c r="M769" s="84">
        <v>0.0</v>
      </c>
      <c r="N769" s="84">
        <v>0.0</v>
      </c>
      <c r="O769" s="84">
        <v>0.0</v>
      </c>
      <c r="P769" s="84">
        <v>0.0</v>
      </c>
      <c r="Q769" s="84">
        <v>1.0</v>
      </c>
      <c r="R769" s="84">
        <v>0.0</v>
      </c>
      <c r="S769" s="84">
        <v>0.0</v>
      </c>
      <c r="T769" s="84">
        <v>0.0</v>
      </c>
      <c r="U769" s="84">
        <v>0.0</v>
      </c>
      <c r="V769" s="84">
        <v>0.0</v>
      </c>
      <c r="W769" s="84">
        <v>0.0</v>
      </c>
      <c r="X769" s="84">
        <v>0.0</v>
      </c>
      <c r="Y769" s="84">
        <v>0.0</v>
      </c>
      <c r="Z769" s="84">
        <v>0.0</v>
      </c>
      <c r="AA769" s="84">
        <v>0.0</v>
      </c>
      <c r="AB769" s="84">
        <v>0.0</v>
      </c>
      <c r="AC769" s="91">
        <v>0.0</v>
      </c>
      <c r="AD769" s="84">
        <v>0.0</v>
      </c>
      <c r="AE769" s="84">
        <v>0.0</v>
      </c>
      <c r="AF769" s="84">
        <v>0.0</v>
      </c>
      <c r="AG769" s="84">
        <v>0.0</v>
      </c>
      <c r="AH769" s="84">
        <v>0.0</v>
      </c>
      <c r="AI769" s="84">
        <v>0.0</v>
      </c>
      <c r="AJ769" s="84">
        <v>0.0</v>
      </c>
      <c r="AK769" s="84">
        <v>0.0</v>
      </c>
      <c r="AL769" s="84">
        <v>0.0</v>
      </c>
      <c r="AM769" s="84">
        <v>0.0</v>
      </c>
      <c r="AN769" s="93">
        <f t="shared" si="1"/>
        <v>0</v>
      </c>
      <c r="AO769" s="84">
        <f t="shared" si="2"/>
        <v>1</v>
      </c>
    </row>
    <row r="770" ht="12.75" customHeight="1">
      <c r="A770" s="84" t="s">
        <v>4587</v>
      </c>
      <c r="B770" s="84">
        <v>0.0</v>
      </c>
      <c r="C770" s="84">
        <v>0.0</v>
      </c>
      <c r="D770" s="84">
        <v>0.0</v>
      </c>
      <c r="E770" s="84">
        <v>0.0</v>
      </c>
      <c r="F770" s="84">
        <v>0.0</v>
      </c>
      <c r="G770" s="84">
        <v>0.0</v>
      </c>
      <c r="H770" s="84">
        <v>0.0</v>
      </c>
      <c r="I770" s="91">
        <v>0.0</v>
      </c>
      <c r="J770" s="84">
        <v>0.0</v>
      </c>
      <c r="K770" s="84">
        <v>0.0</v>
      </c>
      <c r="L770" s="84">
        <v>0.0</v>
      </c>
      <c r="M770" s="84">
        <v>0.0</v>
      </c>
      <c r="N770" s="84">
        <v>0.0</v>
      </c>
      <c r="O770" s="84">
        <v>0.0</v>
      </c>
      <c r="P770" s="84">
        <v>0.0</v>
      </c>
      <c r="Q770" s="84">
        <v>0.0</v>
      </c>
      <c r="R770" s="84">
        <v>0.0</v>
      </c>
      <c r="S770" s="84">
        <v>0.0</v>
      </c>
      <c r="T770" s="84">
        <v>0.0</v>
      </c>
      <c r="U770" s="84">
        <v>0.0</v>
      </c>
      <c r="V770" s="84">
        <v>0.0</v>
      </c>
      <c r="W770" s="84">
        <v>0.0</v>
      </c>
      <c r="X770" s="84">
        <v>0.0</v>
      </c>
      <c r="Y770" s="84">
        <v>0.0</v>
      </c>
      <c r="Z770" s="84">
        <v>0.0</v>
      </c>
      <c r="AA770" s="84">
        <v>0.0</v>
      </c>
      <c r="AB770" s="84">
        <v>0.0</v>
      </c>
      <c r="AC770" s="91">
        <v>0.0</v>
      </c>
      <c r="AD770" s="84">
        <v>0.0</v>
      </c>
      <c r="AE770" s="84">
        <v>0.0</v>
      </c>
      <c r="AF770" s="84">
        <v>0.0</v>
      </c>
      <c r="AG770" s="84">
        <v>0.0</v>
      </c>
      <c r="AH770" s="84">
        <v>0.0</v>
      </c>
      <c r="AI770" s="84">
        <v>1.0</v>
      </c>
      <c r="AJ770" s="84">
        <v>0.0</v>
      </c>
      <c r="AK770" s="84">
        <v>0.0</v>
      </c>
      <c r="AL770" s="84">
        <v>0.0</v>
      </c>
      <c r="AM770" s="84">
        <v>0.0</v>
      </c>
      <c r="AN770" s="93">
        <f t="shared" si="1"/>
        <v>0</v>
      </c>
      <c r="AO770" s="84">
        <f t="shared" si="2"/>
        <v>1</v>
      </c>
    </row>
    <row r="771" ht="12.75" customHeight="1">
      <c r="A771" s="84" t="s">
        <v>3932</v>
      </c>
      <c r="B771" s="84">
        <v>0.0</v>
      </c>
      <c r="C771" s="84">
        <v>0.0</v>
      </c>
      <c r="D771" s="84">
        <v>0.0</v>
      </c>
      <c r="E771" s="84">
        <v>0.0</v>
      </c>
      <c r="F771" s="84">
        <v>0.0</v>
      </c>
      <c r="G771" s="84">
        <v>0.0</v>
      </c>
      <c r="H771" s="84">
        <v>4.0</v>
      </c>
      <c r="I771" s="91">
        <v>0.0</v>
      </c>
      <c r="J771" s="84">
        <v>0.0</v>
      </c>
      <c r="K771" s="84">
        <v>0.0</v>
      </c>
      <c r="L771" s="84">
        <v>0.0</v>
      </c>
      <c r="M771" s="84">
        <v>0.0</v>
      </c>
      <c r="N771" s="84">
        <v>0.0</v>
      </c>
      <c r="O771" s="84">
        <v>0.0</v>
      </c>
      <c r="P771" s="84">
        <v>0.0</v>
      </c>
      <c r="Q771" s="84">
        <v>0.0</v>
      </c>
      <c r="R771" s="84">
        <v>0.0</v>
      </c>
      <c r="S771" s="84">
        <v>0.0</v>
      </c>
      <c r="T771" s="84">
        <v>0.0</v>
      </c>
      <c r="U771" s="84">
        <v>0.0</v>
      </c>
      <c r="V771" s="84">
        <v>0.0</v>
      </c>
      <c r="W771" s="84">
        <v>0.0</v>
      </c>
      <c r="X771" s="84">
        <v>0.0</v>
      </c>
      <c r="Y771" s="84">
        <v>0.0</v>
      </c>
      <c r="Z771" s="84">
        <v>0.0</v>
      </c>
      <c r="AA771" s="84">
        <v>0.0</v>
      </c>
      <c r="AB771" s="84">
        <v>6.0</v>
      </c>
      <c r="AC771" s="91">
        <v>0.0</v>
      </c>
      <c r="AD771" s="84">
        <v>0.0</v>
      </c>
      <c r="AE771" s="84">
        <v>0.0</v>
      </c>
      <c r="AF771" s="84">
        <v>0.0</v>
      </c>
      <c r="AG771" s="84">
        <v>0.0</v>
      </c>
      <c r="AH771" s="84">
        <v>0.0</v>
      </c>
      <c r="AI771" s="84">
        <v>0.0</v>
      </c>
      <c r="AJ771" s="84">
        <v>0.0</v>
      </c>
      <c r="AK771" s="84">
        <v>0.0</v>
      </c>
      <c r="AL771" s="84">
        <v>0.0</v>
      </c>
      <c r="AM771" s="84">
        <v>0.0</v>
      </c>
      <c r="AN771" s="93">
        <f t="shared" si="1"/>
        <v>0</v>
      </c>
      <c r="AO771" s="84">
        <f t="shared" si="2"/>
        <v>0</v>
      </c>
    </row>
    <row r="772" ht="12.75" customHeight="1">
      <c r="A772" s="84" t="s">
        <v>3368</v>
      </c>
      <c r="B772" s="84">
        <v>0.0</v>
      </c>
      <c r="C772" s="84">
        <v>0.0</v>
      </c>
      <c r="D772" s="84">
        <v>5.0</v>
      </c>
      <c r="E772" s="84">
        <v>1.0</v>
      </c>
      <c r="F772" s="84">
        <v>0.0</v>
      </c>
      <c r="G772" s="84">
        <v>0.0</v>
      </c>
      <c r="H772" s="84">
        <v>0.0</v>
      </c>
      <c r="I772" s="91">
        <v>0.0</v>
      </c>
      <c r="J772" s="84">
        <v>0.0</v>
      </c>
      <c r="K772" s="84">
        <v>0.0</v>
      </c>
      <c r="L772" s="84">
        <v>0.0</v>
      </c>
      <c r="M772" s="84">
        <v>0.0</v>
      </c>
      <c r="N772" s="84">
        <v>0.0</v>
      </c>
      <c r="O772" s="84">
        <v>0.0</v>
      </c>
      <c r="P772" s="84">
        <v>0.0</v>
      </c>
      <c r="Q772" s="84">
        <v>0.0</v>
      </c>
      <c r="R772" s="84">
        <v>0.0</v>
      </c>
      <c r="S772" s="84">
        <v>0.0</v>
      </c>
      <c r="T772" s="84">
        <v>0.0</v>
      </c>
      <c r="U772" s="84">
        <v>0.0</v>
      </c>
      <c r="V772" s="84">
        <v>0.0</v>
      </c>
      <c r="W772" s="84">
        <v>0.0</v>
      </c>
      <c r="X772" s="84">
        <v>6.0</v>
      </c>
      <c r="Y772" s="84">
        <v>4.0</v>
      </c>
      <c r="Z772" s="84">
        <v>0.0</v>
      </c>
      <c r="AA772" s="84">
        <v>0.0</v>
      </c>
      <c r="AB772" s="84">
        <v>0.0</v>
      </c>
      <c r="AC772" s="91">
        <v>0.0</v>
      </c>
      <c r="AD772" s="84">
        <v>0.0</v>
      </c>
      <c r="AE772" s="84">
        <v>0.0</v>
      </c>
      <c r="AF772" s="84">
        <v>0.0</v>
      </c>
      <c r="AG772" s="84">
        <v>0.0</v>
      </c>
      <c r="AH772" s="84">
        <v>0.0</v>
      </c>
      <c r="AI772" s="84">
        <v>0.0</v>
      </c>
      <c r="AJ772" s="84">
        <v>0.0</v>
      </c>
      <c r="AK772" s="84">
        <v>0.0</v>
      </c>
      <c r="AL772" s="84">
        <v>0.0</v>
      </c>
      <c r="AM772" s="84">
        <v>0.0</v>
      </c>
      <c r="AN772" s="93">
        <f t="shared" si="1"/>
        <v>0</v>
      </c>
      <c r="AO772" s="84">
        <f t="shared" si="2"/>
        <v>0</v>
      </c>
    </row>
    <row r="773" ht="12.75" customHeight="1">
      <c r="A773" s="84" t="s">
        <v>3355</v>
      </c>
      <c r="B773" s="84">
        <v>0.0</v>
      </c>
      <c r="C773" s="84">
        <v>0.0</v>
      </c>
      <c r="D773" s="84">
        <v>6.0</v>
      </c>
      <c r="E773" s="84">
        <v>1.0</v>
      </c>
      <c r="F773" s="84">
        <v>0.0</v>
      </c>
      <c r="G773" s="84">
        <v>0.0</v>
      </c>
      <c r="H773" s="84">
        <v>0.0</v>
      </c>
      <c r="I773" s="91">
        <v>0.0</v>
      </c>
      <c r="J773" s="84">
        <v>0.0</v>
      </c>
      <c r="K773" s="84">
        <v>0.0</v>
      </c>
      <c r="L773" s="84">
        <v>0.0</v>
      </c>
      <c r="M773" s="84">
        <v>0.0</v>
      </c>
      <c r="N773" s="84">
        <v>0.0</v>
      </c>
      <c r="O773" s="84">
        <v>0.0</v>
      </c>
      <c r="P773" s="84">
        <v>0.0</v>
      </c>
      <c r="Q773" s="84">
        <v>0.0</v>
      </c>
      <c r="R773" s="84">
        <v>0.0</v>
      </c>
      <c r="S773" s="84">
        <v>0.0</v>
      </c>
      <c r="T773" s="84">
        <v>0.0</v>
      </c>
      <c r="U773" s="84">
        <v>0.0</v>
      </c>
      <c r="V773" s="84">
        <v>0.0</v>
      </c>
      <c r="W773" s="84">
        <v>0.0</v>
      </c>
      <c r="X773" s="84">
        <v>6.0</v>
      </c>
      <c r="Y773" s="84">
        <v>0.0</v>
      </c>
      <c r="Z773" s="84">
        <v>0.0</v>
      </c>
      <c r="AA773" s="84">
        <v>0.0</v>
      </c>
      <c r="AB773" s="84">
        <v>0.0</v>
      </c>
      <c r="AC773" s="91">
        <v>0.0</v>
      </c>
      <c r="AD773" s="84">
        <v>0.0</v>
      </c>
      <c r="AE773" s="84">
        <v>0.0</v>
      </c>
      <c r="AF773" s="84">
        <v>0.0</v>
      </c>
      <c r="AG773" s="84">
        <v>0.0</v>
      </c>
      <c r="AH773" s="84">
        <v>0.0</v>
      </c>
      <c r="AI773" s="84">
        <v>0.0</v>
      </c>
      <c r="AJ773" s="84">
        <v>0.0</v>
      </c>
      <c r="AK773" s="84">
        <v>0.0</v>
      </c>
      <c r="AL773" s="84">
        <v>0.0</v>
      </c>
      <c r="AM773" s="84">
        <v>0.0</v>
      </c>
      <c r="AN773" s="93">
        <f t="shared" si="1"/>
        <v>0</v>
      </c>
      <c r="AO773" s="84">
        <f t="shared" si="2"/>
        <v>0</v>
      </c>
    </row>
    <row r="774" ht="12.75" customHeight="1">
      <c r="A774" s="84" t="s">
        <v>4473</v>
      </c>
      <c r="B774" s="84">
        <v>0.0</v>
      </c>
      <c r="C774" s="84">
        <v>0.0</v>
      </c>
      <c r="D774" s="84">
        <v>0.0</v>
      </c>
      <c r="E774" s="84">
        <v>0.0</v>
      </c>
      <c r="F774" s="84">
        <v>0.0</v>
      </c>
      <c r="G774" s="84">
        <v>0.0</v>
      </c>
      <c r="H774" s="84">
        <v>0.0</v>
      </c>
      <c r="I774" s="91">
        <v>0.0</v>
      </c>
      <c r="J774" s="84">
        <v>0.0</v>
      </c>
      <c r="K774" s="84">
        <v>0.0</v>
      </c>
      <c r="L774" s="84">
        <v>0.0</v>
      </c>
      <c r="M774" s="84">
        <v>1.0</v>
      </c>
      <c r="N774" s="84">
        <v>0.0</v>
      </c>
      <c r="O774" s="84">
        <v>0.0</v>
      </c>
      <c r="P774" s="84">
        <v>0.0</v>
      </c>
      <c r="Q774" s="84">
        <v>0.0</v>
      </c>
      <c r="R774" s="84">
        <v>0.0</v>
      </c>
      <c r="S774" s="84">
        <v>0.0</v>
      </c>
      <c r="T774" s="84">
        <v>0.0</v>
      </c>
      <c r="U774" s="84">
        <v>0.0</v>
      </c>
      <c r="V774" s="84">
        <v>0.0</v>
      </c>
      <c r="W774" s="84">
        <v>0.0</v>
      </c>
      <c r="X774" s="84">
        <v>0.0</v>
      </c>
      <c r="Y774" s="84">
        <v>0.0</v>
      </c>
      <c r="Z774" s="84">
        <v>0.0</v>
      </c>
      <c r="AA774" s="84">
        <v>0.0</v>
      </c>
      <c r="AB774" s="84">
        <v>0.0</v>
      </c>
      <c r="AC774" s="91">
        <v>0.0</v>
      </c>
      <c r="AD774" s="84">
        <v>0.0</v>
      </c>
      <c r="AE774" s="84">
        <v>0.0</v>
      </c>
      <c r="AF774" s="84">
        <v>0.0</v>
      </c>
      <c r="AG774" s="84">
        <v>0.0</v>
      </c>
      <c r="AH774" s="84">
        <v>0.0</v>
      </c>
      <c r="AI774" s="84">
        <v>0.0</v>
      </c>
      <c r="AJ774" s="84">
        <v>0.0</v>
      </c>
      <c r="AK774" s="84">
        <v>0.0</v>
      </c>
      <c r="AL774" s="84">
        <v>0.0</v>
      </c>
      <c r="AM774" s="84">
        <v>0.0</v>
      </c>
      <c r="AN774" s="93">
        <f t="shared" si="1"/>
        <v>0</v>
      </c>
      <c r="AO774" s="84">
        <f t="shared" si="2"/>
        <v>1</v>
      </c>
    </row>
    <row r="775" ht="12.75" customHeight="1">
      <c r="A775" s="84" t="s">
        <v>3915</v>
      </c>
      <c r="B775" s="84">
        <v>0.0</v>
      </c>
      <c r="C775" s="84">
        <v>0.0</v>
      </c>
      <c r="D775" s="84">
        <v>0.0</v>
      </c>
      <c r="E775" s="84">
        <v>0.0</v>
      </c>
      <c r="F775" s="84">
        <v>0.0</v>
      </c>
      <c r="G775" s="84">
        <v>0.0</v>
      </c>
      <c r="H775" s="84">
        <v>4.0</v>
      </c>
      <c r="I775" s="91">
        <v>0.0</v>
      </c>
      <c r="J775" s="84">
        <v>0.0</v>
      </c>
      <c r="K775" s="84">
        <v>0.0</v>
      </c>
      <c r="L775" s="84">
        <v>0.0</v>
      </c>
      <c r="M775" s="84">
        <v>0.0</v>
      </c>
      <c r="N775" s="84">
        <v>0.0</v>
      </c>
      <c r="O775" s="84">
        <v>0.0</v>
      </c>
      <c r="P775" s="84">
        <v>0.0</v>
      </c>
      <c r="Q775" s="84">
        <v>0.0</v>
      </c>
      <c r="R775" s="84">
        <v>0.0</v>
      </c>
      <c r="S775" s="84">
        <v>0.0</v>
      </c>
      <c r="T775" s="84">
        <v>0.0</v>
      </c>
      <c r="U775" s="84">
        <v>0.0</v>
      </c>
      <c r="V775" s="84">
        <v>0.0</v>
      </c>
      <c r="W775" s="84">
        <v>0.0</v>
      </c>
      <c r="X775" s="84">
        <v>0.0</v>
      </c>
      <c r="Y775" s="84">
        <v>0.0</v>
      </c>
      <c r="Z775" s="84">
        <v>0.0</v>
      </c>
      <c r="AA775" s="84">
        <v>0.0</v>
      </c>
      <c r="AB775" s="84">
        <v>6.0</v>
      </c>
      <c r="AC775" s="91">
        <v>0.0</v>
      </c>
      <c r="AD775" s="84">
        <v>0.0</v>
      </c>
      <c r="AE775" s="84">
        <v>0.0</v>
      </c>
      <c r="AF775" s="84">
        <v>0.0</v>
      </c>
      <c r="AG775" s="84">
        <v>0.0</v>
      </c>
      <c r="AH775" s="84">
        <v>0.0</v>
      </c>
      <c r="AI775" s="84">
        <v>0.0</v>
      </c>
      <c r="AJ775" s="84">
        <v>0.0</v>
      </c>
      <c r="AK775" s="84">
        <v>0.0</v>
      </c>
      <c r="AL775" s="84">
        <v>0.0</v>
      </c>
      <c r="AM775" s="84">
        <v>0.0</v>
      </c>
      <c r="AN775" s="93">
        <f t="shared" si="1"/>
        <v>0</v>
      </c>
      <c r="AO775" s="84">
        <f t="shared" si="2"/>
        <v>0</v>
      </c>
    </row>
    <row r="776" ht="12.75" customHeight="1">
      <c r="A776" s="84" t="s">
        <v>4689</v>
      </c>
      <c r="B776" s="84">
        <v>0.0</v>
      </c>
      <c r="C776" s="84">
        <v>0.0</v>
      </c>
      <c r="D776" s="84">
        <v>0.0</v>
      </c>
      <c r="E776" s="84">
        <v>0.0</v>
      </c>
      <c r="F776" s="84">
        <v>0.0</v>
      </c>
      <c r="G776" s="84">
        <v>0.0</v>
      </c>
      <c r="H776" s="84">
        <v>0.0</v>
      </c>
      <c r="I776" s="91">
        <v>0.0</v>
      </c>
      <c r="J776" s="84">
        <v>0.0</v>
      </c>
      <c r="K776" s="84">
        <v>0.0</v>
      </c>
      <c r="L776" s="84">
        <v>0.0</v>
      </c>
      <c r="M776" s="84">
        <v>0.0</v>
      </c>
      <c r="N776" s="84">
        <v>0.0</v>
      </c>
      <c r="O776" s="84">
        <v>0.0</v>
      </c>
      <c r="P776" s="84">
        <v>0.0</v>
      </c>
      <c r="Q776" s="84">
        <v>0.0</v>
      </c>
      <c r="R776" s="84">
        <v>0.0</v>
      </c>
      <c r="S776" s="84">
        <v>0.0</v>
      </c>
      <c r="T776" s="84">
        <v>0.0</v>
      </c>
      <c r="U776" s="84">
        <v>0.0</v>
      </c>
      <c r="V776" s="84">
        <v>0.0</v>
      </c>
      <c r="W776" s="84">
        <v>0.0</v>
      </c>
      <c r="X776" s="84">
        <v>0.0</v>
      </c>
      <c r="Y776" s="84">
        <v>0.0</v>
      </c>
      <c r="Z776" s="84">
        <v>0.0</v>
      </c>
      <c r="AA776" s="84">
        <v>0.0</v>
      </c>
      <c r="AB776" s="84">
        <v>0.0</v>
      </c>
      <c r="AC776" s="91">
        <v>0.0</v>
      </c>
      <c r="AD776" s="84">
        <v>0.0</v>
      </c>
      <c r="AE776" s="84">
        <v>0.0</v>
      </c>
      <c r="AF776" s="84">
        <v>0.0</v>
      </c>
      <c r="AG776" s="84">
        <v>0.0</v>
      </c>
      <c r="AH776" s="84">
        <v>0.0</v>
      </c>
      <c r="AI776" s="84">
        <v>0.0</v>
      </c>
      <c r="AJ776" s="84">
        <v>0.0</v>
      </c>
      <c r="AK776" s="84">
        <v>0.0</v>
      </c>
      <c r="AL776" s="84">
        <v>0.0</v>
      </c>
      <c r="AM776" s="84">
        <v>1.0</v>
      </c>
      <c r="AN776" s="93">
        <f t="shared" si="1"/>
        <v>0</v>
      </c>
      <c r="AO776" s="84">
        <f t="shared" si="2"/>
        <v>1</v>
      </c>
    </row>
    <row r="777" ht="12.75" customHeight="1">
      <c r="A777" s="84" t="s">
        <v>3425</v>
      </c>
      <c r="B777" s="84">
        <v>0.0</v>
      </c>
      <c r="C777" s="84">
        <v>0.0</v>
      </c>
      <c r="D777" s="84">
        <v>0.0</v>
      </c>
      <c r="E777" s="84">
        <v>0.0</v>
      </c>
      <c r="F777" s="84">
        <v>0.0</v>
      </c>
      <c r="G777" s="84">
        <v>0.0</v>
      </c>
      <c r="H777" s="84">
        <v>0.0</v>
      </c>
      <c r="I777" s="91">
        <v>0.0</v>
      </c>
      <c r="J777" s="84">
        <v>3.0</v>
      </c>
      <c r="K777" s="84">
        <v>0.0</v>
      </c>
      <c r="L777" s="84">
        <v>0.0</v>
      </c>
      <c r="M777" s="84">
        <v>0.0</v>
      </c>
      <c r="N777" s="84">
        <v>0.0</v>
      </c>
      <c r="O777" s="84">
        <v>0.0</v>
      </c>
      <c r="P777" s="84">
        <v>0.0</v>
      </c>
      <c r="Q777" s="84">
        <v>0.0</v>
      </c>
      <c r="R777" s="84">
        <v>0.0</v>
      </c>
      <c r="S777" s="84">
        <v>0.0</v>
      </c>
      <c r="T777" s="84">
        <v>0.0</v>
      </c>
      <c r="U777" s="84">
        <v>0.0</v>
      </c>
      <c r="V777" s="84">
        <v>0.0</v>
      </c>
      <c r="W777" s="84">
        <v>0.0</v>
      </c>
      <c r="X777" s="84">
        <v>0.0</v>
      </c>
      <c r="Y777" s="84">
        <v>0.0</v>
      </c>
      <c r="Z777" s="84">
        <v>0.0</v>
      </c>
      <c r="AA777" s="84">
        <v>0.0</v>
      </c>
      <c r="AB777" s="84">
        <v>0.0</v>
      </c>
      <c r="AC777" s="91">
        <v>0.0</v>
      </c>
      <c r="AD777" s="84">
        <v>0.0</v>
      </c>
      <c r="AE777" s="84">
        <v>0.0</v>
      </c>
      <c r="AF777" s="84">
        <v>0.0</v>
      </c>
      <c r="AG777" s="84">
        <v>0.0</v>
      </c>
      <c r="AH777" s="84">
        <v>0.0</v>
      </c>
      <c r="AI777" s="84">
        <v>0.0</v>
      </c>
      <c r="AJ777" s="84">
        <v>0.0</v>
      </c>
      <c r="AK777" s="84">
        <v>0.0</v>
      </c>
      <c r="AL777" s="84">
        <v>0.0</v>
      </c>
      <c r="AM777" s="84">
        <v>0.0</v>
      </c>
      <c r="AN777" s="93">
        <f t="shared" si="1"/>
        <v>0</v>
      </c>
      <c r="AO777" s="84">
        <f t="shared" si="2"/>
        <v>0</v>
      </c>
    </row>
    <row r="778" ht="12.75" customHeight="1">
      <c r="A778" s="84" t="s">
        <v>4649</v>
      </c>
      <c r="B778" s="84">
        <v>0.0</v>
      </c>
      <c r="C778" s="84">
        <v>0.0</v>
      </c>
      <c r="D778" s="84">
        <v>0.0</v>
      </c>
      <c r="E778" s="84">
        <v>0.0</v>
      </c>
      <c r="F778" s="84">
        <v>0.0</v>
      </c>
      <c r="G778" s="84">
        <v>0.0</v>
      </c>
      <c r="H778" s="84">
        <v>0.0</v>
      </c>
      <c r="I778" s="91">
        <v>0.0</v>
      </c>
      <c r="J778" s="84">
        <v>0.0</v>
      </c>
      <c r="K778" s="84">
        <v>0.0</v>
      </c>
      <c r="L778" s="84">
        <v>0.0</v>
      </c>
      <c r="M778" s="84">
        <v>0.0</v>
      </c>
      <c r="N778" s="84">
        <v>0.0</v>
      </c>
      <c r="O778" s="84">
        <v>0.0</v>
      </c>
      <c r="P778" s="84">
        <v>0.0</v>
      </c>
      <c r="Q778" s="84">
        <v>0.0</v>
      </c>
      <c r="R778" s="84">
        <v>0.0</v>
      </c>
      <c r="S778" s="84">
        <v>0.0</v>
      </c>
      <c r="T778" s="84">
        <v>1.0</v>
      </c>
      <c r="U778" s="84">
        <v>0.0</v>
      </c>
      <c r="V778" s="84">
        <v>0.0</v>
      </c>
      <c r="W778" s="84">
        <v>0.0</v>
      </c>
      <c r="X778" s="84">
        <v>0.0</v>
      </c>
      <c r="Y778" s="84">
        <v>0.0</v>
      </c>
      <c r="Z778" s="84">
        <v>0.0</v>
      </c>
      <c r="AA778" s="84">
        <v>0.0</v>
      </c>
      <c r="AB778" s="84">
        <v>0.0</v>
      </c>
      <c r="AC778" s="91">
        <v>0.0</v>
      </c>
      <c r="AD778" s="84">
        <v>0.0</v>
      </c>
      <c r="AE778" s="84">
        <v>0.0</v>
      </c>
      <c r="AF778" s="84">
        <v>0.0</v>
      </c>
      <c r="AG778" s="84">
        <v>0.0</v>
      </c>
      <c r="AH778" s="84">
        <v>0.0</v>
      </c>
      <c r="AI778" s="84">
        <v>0.0</v>
      </c>
      <c r="AJ778" s="84">
        <v>0.0</v>
      </c>
      <c r="AK778" s="84">
        <v>0.0</v>
      </c>
      <c r="AL778" s="84">
        <v>0.0</v>
      </c>
      <c r="AM778" s="84">
        <v>0.0</v>
      </c>
      <c r="AN778" s="93">
        <f t="shared" si="1"/>
        <v>0</v>
      </c>
      <c r="AO778" s="84">
        <f t="shared" si="2"/>
        <v>1</v>
      </c>
    </row>
    <row r="779" ht="12.75" customHeight="1">
      <c r="A779" s="84" t="s">
        <v>4674</v>
      </c>
      <c r="B779" s="84">
        <v>0.0</v>
      </c>
      <c r="C779" s="84">
        <v>0.0</v>
      </c>
      <c r="D779" s="84">
        <v>0.0</v>
      </c>
      <c r="E779" s="84">
        <v>0.0</v>
      </c>
      <c r="F779" s="84">
        <v>0.0</v>
      </c>
      <c r="G779" s="84">
        <v>0.0</v>
      </c>
      <c r="H779" s="84">
        <v>0.0</v>
      </c>
      <c r="I779" s="91">
        <v>0.0</v>
      </c>
      <c r="J779" s="84">
        <v>0.0</v>
      </c>
      <c r="K779" s="84">
        <v>0.0</v>
      </c>
      <c r="L779" s="84">
        <v>0.0</v>
      </c>
      <c r="M779" s="84">
        <v>0.0</v>
      </c>
      <c r="N779" s="84">
        <v>0.0</v>
      </c>
      <c r="O779" s="84">
        <v>0.0</v>
      </c>
      <c r="P779" s="84">
        <v>0.0</v>
      </c>
      <c r="Q779" s="84">
        <v>0.0</v>
      </c>
      <c r="R779" s="84">
        <v>0.0</v>
      </c>
      <c r="S779" s="84">
        <v>0.0</v>
      </c>
      <c r="T779" s="84">
        <v>0.0</v>
      </c>
      <c r="U779" s="84">
        <v>1.0</v>
      </c>
      <c r="V779" s="84">
        <v>0.0</v>
      </c>
      <c r="W779" s="84">
        <v>0.0</v>
      </c>
      <c r="X779" s="84">
        <v>0.0</v>
      </c>
      <c r="Y779" s="84">
        <v>0.0</v>
      </c>
      <c r="Z779" s="84">
        <v>0.0</v>
      </c>
      <c r="AA779" s="84">
        <v>0.0</v>
      </c>
      <c r="AB779" s="84">
        <v>0.0</v>
      </c>
      <c r="AC779" s="91">
        <v>0.0</v>
      </c>
      <c r="AD779" s="84">
        <v>0.0</v>
      </c>
      <c r="AE779" s="84">
        <v>0.0</v>
      </c>
      <c r="AF779" s="84">
        <v>0.0</v>
      </c>
      <c r="AG779" s="84">
        <v>0.0</v>
      </c>
      <c r="AH779" s="84">
        <v>0.0</v>
      </c>
      <c r="AI779" s="84">
        <v>0.0</v>
      </c>
      <c r="AJ779" s="84">
        <v>0.0</v>
      </c>
      <c r="AK779" s="84">
        <v>0.0</v>
      </c>
      <c r="AL779" s="84">
        <v>0.0</v>
      </c>
      <c r="AM779" s="84">
        <v>0.0</v>
      </c>
      <c r="AN779" s="93">
        <f t="shared" si="1"/>
        <v>0</v>
      </c>
      <c r="AO779" s="84">
        <f t="shared" si="2"/>
        <v>1</v>
      </c>
    </row>
    <row r="780" ht="12.75" customHeight="1">
      <c r="A780" s="84" t="s">
        <v>3734</v>
      </c>
      <c r="B780" s="84">
        <v>0.0</v>
      </c>
      <c r="C780" s="84">
        <v>0.0</v>
      </c>
      <c r="D780" s="84">
        <v>0.0</v>
      </c>
      <c r="E780" s="84">
        <v>0.0</v>
      </c>
      <c r="F780" s="84">
        <v>0.0</v>
      </c>
      <c r="G780" s="84">
        <v>5.0</v>
      </c>
      <c r="H780" s="84">
        <v>2.0</v>
      </c>
      <c r="I780" s="91">
        <v>0.0</v>
      </c>
      <c r="J780" s="84">
        <v>0.0</v>
      </c>
      <c r="K780" s="84">
        <v>0.0</v>
      </c>
      <c r="L780" s="84">
        <v>0.0</v>
      </c>
      <c r="M780" s="84">
        <v>0.0</v>
      </c>
      <c r="N780" s="84">
        <v>0.0</v>
      </c>
      <c r="O780" s="84">
        <v>0.0</v>
      </c>
      <c r="P780" s="84">
        <v>0.0</v>
      </c>
      <c r="Q780" s="84">
        <v>0.0</v>
      </c>
      <c r="R780" s="84">
        <v>0.0</v>
      </c>
      <c r="S780" s="84">
        <v>0.0</v>
      </c>
      <c r="T780" s="84">
        <v>0.0</v>
      </c>
      <c r="U780" s="84">
        <v>0.0</v>
      </c>
      <c r="V780" s="84">
        <v>0.0</v>
      </c>
      <c r="W780" s="84">
        <v>0.0</v>
      </c>
      <c r="X780" s="84">
        <v>0.0</v>
      </c>
      <c r="Y780" s="84">
        <v>0.0</v>
      </c>
      <c r="Z780" s="84">
        <v>0.0</v>
      </c>
      <c r="AA780" s="84">
        <v>6.0</v>
      </c>
      <c r="AB780" s="84">
        <v>1.0</v>
      </c>
      <c r="AC780" s="91">
        <v>0.0</v>
      </c>
      <c r="AD780" s="84">
        <v>0.0</v>
      </c>
      <c r="AE780" s="84">
        <v>0.0</v>
      </c>
      <c r="AF780" s="84">
        <v>0.0</v>
      </c>
      <c r="AG780" s="84">
        <v>0.0</v>
      </c>
      <c r="AH780" s="84">
        <v>0.0</v>
      </c>
      <c r="AI780" s="84">
        <v>0.0</v>
      </c>
      <c r="AJ780" s="84">
        <v>0.0</v>
      </c>
      <c r="AK780" s="84">
        <v>0.0</v>
      </c>
      <c r="AL780" s="84">
        <v>0.0</v>
      </c>
      <c r="AM780" s="84">
        <v>0.0</v>
      </c>
      <c r="AN780" s="93">
        <f t="shared" si="1"/>
        <v>0</v>
      </c>
      <c r="AO780" s="84">
        <f t="shared" si="2"/>
        <v>0</v>
      </c>
    </row>
    <row r="781" ht="12.75" customHeight="1">
      <c r="A781" s="84" t="s">
        <v>2929</v>
      </c>
      <c r="B781" s="84">
        <v>2.0</v>
      </c>
      <c r="C781" s="84">
        <v>0.0</v>
      </c>
      <c r="D781" s="84">
        <v>0.0</v>
      </c>
      <c r="E781" s="84">
        <v>0.0</v>
      </c>
      <c r="F781" s="84">
        <v>0.0</v>
      </c>
      <c r="G781" s="84">
        <v>0.0</v>
      </c>
      <c r="H781" s="84">
        <v>0.0</v>
      </c>
      <c r="I781" s="91">
        <v>0.0</v>
      </c>
      <c r="J781" s="84">
        <v>0.0</v>
      </c>
      <c r="K781" s="84">
        <v>0.0</v>
      </c>
      <c r="L781" s="84">
        <v>0.0</v>
      </c>
      <c r="M781" s="84">
        <v>0.0</v>
      </c>
      <c r="N781" s="84">
        <v>0.0</v>
      </c>
      <c r="O781" s="84">
        <v>0.0</v>
      </c>
      <c r="P781" s="84">
        <v>0.0</v>
      </c>
      <c r="Q781" s="84">
        <v>0.0</v>
      </c>
      <c r="R781" s="84">
        <v>0.0</v>
      </c>
      <c r="S781" s="84">
        <v>0.0</v>
      </c>
      <c r="T781" s="84">
        <v>0.0</v>
      </c>
      <c r="U781" s="84">
        <v>0.0</v>
      </c>
      <c r="V781" s="84">
        <v>4.0</v>
      </c>
      <c r="W781" s="84">
        <v>2.0</v>
      </c>
      <c r="X781" s="84">
        <v>0.0</v>
      </c>
      <c r="Y781" s="84">
        <v>0.0</v>
      </c>
      <c r="Z781" s="84">
        <v>0.0</v>
      </c>
      <c r="AA781" s="84">
        <v>0.0</v>
      </c>
      <c r="AB781" s="84">
        <v>0.0</v>
      </c>
      <c r="AC781" s="91">
        <v>0.0</v>
      </c>
      <c r="AD781" s="84">
        <v>0.0</v>
      </c>
      <c r="AE781" s="84">
        <v>0.0</v>
      </c>
      <c r="AF781" s="84">
        <v>0.0</v>
      </c>
      <c r="AG781" s="84">
        <v>0.0</v>
      </c>
      <c r="AH781" s="84">
        <v>0.0</v>
      </c>
      <c r="AI781" s="84">
        <v>0.0</v>
      </c>
      <c r="AJ781" s="84">
        <v>0.0</v>
      </c>
      <c r="AK781" s="84">
        <v>0.0</v>
      </c>
      <c r="AL781" s="84">
        <v>0.0</v>
      </c>
      <c r="AM781" s="84">
        <v>0.0</v>
      </c>
      <c r="AN781" s="93">
        <f t="shared" si="1"/>
        <v>0</v>
      </c>
      <c r="AO781" s="84">
        <f t="shared" si="2"/>
        <v>0</v>
      </c>
    </row>
    <row r="782" ht="12.75" customHeight="1">
      <c r="A782" s="84" t="s">
        <v>3273</v>
      </c>
      <c r="B782" s="84">
        <v>0.0</v>
      </c>
      <c r="C782" s="84">
        <v>4.0</v>
      </c>
      <c r="D782" s="84">
        <v>0.0</v>
      </c>
      <c r="E782" s="84">
        <v>0.0</v>
      </c>
      <c r="F782" s="84">
        <v>0.0</v>
      </c>
      <c r="G782" s="84">
        <v>0.0</v>
      </c>
      <c r="H782" s="84">
        <v>0.0</v>
      </c>
      <c r="I782" s="91">
        <v>0.0</v>
      </c>
      <c r="J782" s="84">
        <v>0.0</v>
      </c>
      <c r="K782" s="84">
        <v>0.0</v>
      </c>
      <c r="L782" s="84">
        <v>0.0</v>
      </c>
      <c r="M782" s="84">
        <v>0.0</v>
      </c>
      <c r="N782" s="84">
        <v>0.0</v>
      </c>
      <c r="O782" s="84">
        <v>0.0</v>
      </c>
      <c r="P782" s="84">
        <v>0.0</v>
      </c>
      <c r="Q782" s="84">
        <v>0.0</v>
      </c>
      <c r="R782" s="84">
        <v>0.0</v>
      </c>
      <c r="S782" s="84">
        <v>0.0</v>
      </c>
      <c r="T782" s="84">
        <v>0.0</v>
      </c>
      <c r="U782" s="84">
        <v>0.0</v>
      </c>
      <c r="V782" s="84">
        <v>0.0</v>
      </c>
      <c r="W782" s="84">
        <v>3.0</v>
      </c>
      <c r="X782" s="84">
        <v>3.0</v>
      </c>
      <c r="Y782" s="84">
        <v>0.0</v>
      </c>
      <c r="Z782" s="84">
        <v>0.0</v>
      </c>
      <c r="AA782" s="84">
        <v>0.0</v>
      </c>
      <c r="AB782" s="84">
        <v>0.0</v>
      </c>
      <c r="AC782" s="91">
        <v>0.0</v>
      </c>
      <c r="AD782" s="84">
        <v>0.0</v>
      </c>
      <c r="AE782" s="84">
        <v>0.0</v>
      </c>
      <c r="AF782" s="84">
        <v>0.0</v>
      </c>
      <c r="AG782" s="84">
        <v>0.0</v>
      </c>
      <c r="AH782" s="84">
        <v>0.0</v>
      </c>
      <c r="AI782" s="84">
        <v>0.0</v>
      </c>
      <c r="AJ782" s="84">
        <v>0.0</v>
      </c>
      <c r="AK782" s="84">
        <v>0.0</v>
      </c>
      <c r="AL782" s="84">
        <v>0.0</v>
      </c>
      <c r="AM782" s="84">
        <v>0.0</v>
      </c>
      <c r="AN782" s="93">
        <f t="shared" si="1"/>
        <v>0</v>
      </c>
      <c r="AO782" s="84">
        <f t="shared" si="2"/>
        <v>0</v>
      </c>
    </row>
    <row r="783" ht="12.75" customHeight="1">
      <c r="A783" s="84" t="s">
        <v>3405</v>
      </c>
      <c r="B783" s="84">
        <v>0.0</v>
      </c>
      <c r="C783" s="84">
        <v>0.0</v>
      </c>
      <c r="D783" s="84">
        <v>4.0</v>
      </c>
      <c r="E783" s="84">
        <v>1.0</v>
      </c>
      <c r="F783" s="84">
        <v>0.0</v>
      </c>
      <c r="G783" s="84">
        <v>0.0</v>
      </c>
      <c r="H783" s="84">
        <v>0.0</v>
      </c>
      <c r="I783" s="91">
        <v>0.0</v>
      </c>
      <c r="J783" s="84">
        <v>0.0</v>
      </c>
      <c r="K783" s="84">
        <v>0.0</v>
      </c>
      <c r="L783" s="84">
        <v>0.0</v>
      </c>
      <c r="M783" s="84">
        <v>0.0</v>
      </c>
      <c r="N783" s="84">
        <v>0.0</v>
      </c>
      <c r="O783" s="84">
        <v>0.0</v>
      </c>
      <c r="P783" s="84">
        <v>0.0</v>
      </c>
      <c r="Q783" s="84">
        <v>0.0</v>
      </c>
      <c r="R783" s="84">
        <v>0.0</v>
      </c>
      <c r="S783" s="84">
        <v>0.0</v>
      </c>
      <c r="T783" s="84">
        <v>0.0</v>
      </c>
      <c r="U783" s="84">
        <v>0.0</v>
      </c>
      <c r="V783" s="84">
        <v>0.0</v>
      </c>
      <c r="W783" s="84">
        <v>0.0</v>
      </c>
      <c r="X783" s="84">
        <v>6.0</v>
      </c>
      <c r="Y783" s="84">
        <v>1.0</v>
      </c>
      <c r="Z783" s="84">
        <v>0.0</v>
      </c>
      <c r="AA783" s="84">
        <v>0.0</v>
      </c>
      <c r="AB783" s="84">
        <v>0.0</v>
      </c>
      <c r="AC783" s="91">
        <v>0.0</v>
      </c>
      <c r="AD783" s="84">
        <v>0.0</v>
      </c>
      <c r="AE783" s="84">
        <v>0.0</v>
      </c>
      <c r="AF783" s="84">
        <v>0.0</v>
      </c>
      <c r="AG783" s="84">
        <v>0.0</v>
      </c>
      <c r="AH783" s="84">
        <v>0.0</v>
      </c>
      <c r="AI783" s="84">
        <v>0.0</v>
      </c>
      <c r="AJ783" s="84">
        <v>0.0</v>
      </c>
      <c r="AK783" s="84">
        <v>0.0</v>
      </c>
      <c r="AL783" s="84">
        <v>0.0</v>
      </c>
      <c r="AM783" s="84">
        <v>0.0</v>
      </c>
      <c r="AN783" s="93">
        <f t="shared" si="1"/>
        <v>0</v>
      </c>
      <c r="AO783" s="84">
        <f t="shared" si="2"/>
        <v>0</v>
      </c>
    </row>
    <row r="784" ht="12.75" customHeight="1">
      <c r="A784" s="84" t="s">
        <v>3757</v>
      </c>
      <c r="B784" s="84">
        <v>0.0</v>
      </c>
      <c r="C784" s="84">
        <v>0.0</v>
      </c>
      <c r="D784" s="84">
        <v>0.0</v>
      </c>
      <c r="E784" s="84">
        <v>0.0</v>
      </c>
      <c r="F784" s="84">
        <v>0.0</v>
      </c>
      <c r="G784" s="84">
        <v>4.0</v>
      </c>
      <c r="H784" s="84">
        <v>0.0</v>
      </c>
      <c r="I784" s="91">
        <v>0.0</v>
      </c>
      <c r="J784" s="84">
        <v>0.0</v>
      </c>
      <c r="K784" s="84">
        <v>0.0</v>
      </c>
      <c r="L784" s="84">
        <v>0.0</v>
      </c>
      <c r="M784" s="84">
        <v>0.0</v>
      </c>
      <c r="N784" s="84">
        <v>0.0</v>
      </c>
      <c r="O784" s="84">
        <v>0.0</v>
      </c>
      <c r="P784" s="84">
        <v>0.0</v>
      </c>
      <c r="Q784" s="84">
        <v>0.0</v>
      </c>
      <c r="R784" s="84">
        <v>0.0</v>
      </c>
      <c r="S784" s="84">
        <v>0.0</v>
      </c>
      <c r="T784" s="84">
        <v>0.0</v>
      </c>
      <c r="U784" s="84">
        <v>0.0</v>
      </c>
      <c r="V784" s="84">
        <v>0.0</v>
      </c>
      <c r="W784" s="84">
        <v>0.0</v>
      </c>
      <c r="X784" s="84">
        <v>0.0</v>
      </c>
      <c r="Y784" s="84">
        <v>0.0</v>
      </c>
      <c r="Z784" s="84">
        <v>0.0</v>
      </c>
      <c r="AA784" s="84">
        <v>6.0</v>
      </c>
      <c r="AB784" s="84">
        <v>0.0</v>
      </c>
      <c r="AC784" s="91">
        <v>0.0</v>
      </c>
      <c r="AD784" s="84">
        <v>0.0</v>
      </c>
      <c r="AE784" s="84">
        <v>0.0</v>
      </c>
      <c r="AF784" s="84">
        <v>0.0</v>
      </c>
      <c r="AG784" s="84">
        <v>0.0</v>
      </c>
      <c r="AH784" s="84">
        <v>0.0</v>
      </c>
      <c r="AI784" s="84">
        <v>0.0</v>
      </c>
      <c r="AJ784" s="84">
        <v>0.0</v>
      </c>
      <c r="AK784" s="84">
        <v>0.0</v>
      </c>
      <c r="AL784" s="84">
        <v>0.0</v>
      </c>
      <c r="AM784" s="84">
        <v>0.0</v>
      </c>
      <c r="AN784" s="93">
        <f t="shared" si="1"/>
        <v>0</v>
      </c>
      <c r="AO784" s="84">
        <f t="shared" si="2"/>
        <v>0</v>
      </c>
    </row>
    <row r="785" ht="12.75" customHeight="1">
      <c r="A785" s="84" t="s">
        <v>4546</v>
      </c>
      <c r="B785" s="84">
        <v>0.0</v>
      </c>
      <c r="C785" s="84">
        <v>0.0</v>
      </c>
      <c r="D785" s="84">
        <v>0.0</v>
      </c>
      <c r="E785" s="84">
        <v>0.0</v>
      </c>
      <c r="F785" s="84">
        <v>0.0</v>
      </c>
      <c r="G785" s="84">
        <v>0.0</v>
      </c>
      <c r="H785" s="84">
        <v>0.0</v>
      </c>
      <c r="I785" s="91">
        <v>0.0</v>
      </c>
      <c r="J785" s="84">
        <v>0.0</v>
      </c>
      <c r="K785" s="84">
        <v>0.0</v>
      </c>
      <c r="L785" s="84">
        <v>0.0</v>
      </c>
      <c r="M785" s="84">
        <v>0.0</v>
      </c>
      <c r="N785" s="84">
        <v>0.0</v>
      </c>
      <c r="O785" s="84">
        <v>0.0</v>
      </c>
      <c r="P785" s="84">
        <v>1.0</v>
      </c>
      <c r="Q785" s="84">
        <v>0.0</v>
      </c>
      <c r="R785" s="84">
        <v>0.0</v>
      </c>
      <c r="S785" s="84">
        <v>0.0</v>
      </c>
      <c r="T785" s="84">
        <v>0.0</v>
      </c>
      <c r="U785" s="84">
        <v>0.0</v>
      </c>
      <c r="V785" s="84">
        <v>0.0</v>
      </c>
      <c r="W785" s="84">
        <v>0.0</v>
      </c>
      <c r="X785" s="84">
        <v>0.0</v>
      </c>
      <c r="Y785" s="84">
        <v>0.0</v>
      </c>
      <c r="Z785" s="84">
        <v>0.0</v>
      </c>
      <c r="AA785" s="84">
        <v>0.0</v>
      </c>
      <c r="AB785" s="84">
        <v>0.0</v>
      </c>
      <c r="AC785" s="91">
        <v>0.0</v>
      </c>
      <c r="AD785" s="84">
        <v>0.0</v>
      </c>
      <c r="AE785" s="84">
        <v>0.0</v>
      </c>
      <c r="AF785" s="84">
        <v>0.0</v>
      </c>
      <c r="AG785" s="84">
        <v>0.0</v>
      </c>
      <c r="AH785" s="84">
        <v>0.0</v>
      </c>
      <c r="AI785" s="84">
        <v>0.0</v>
      </c>
      <c r="AJ785" s="84">
        <v>0.0</v>
      </c>
      <c r="AK785" s="84">
        <v>0.0</v>
      </c>
      <c r="AL785" s="84">
        <v>0.0</v>
      </c>
      <c r="AM785" s="84">
        <v>0.0</v>
      </c>
      <c r="AN785" s="93">
        <f t="shared" si="1"/>
        <v>0</v>
      </c>
      <c r="AO785" s="84">
        <f t="shared" si="2"/>
        <v>1</v>
      </c>
    </row>
    <row r="786" ht="12.75" customHeight="1">
      <c r="A786" s="84" t="s">
        <v>4569</v>
      </c>
      <c r="B786" s="84">
        <v>0.0</v>
      </c>
      <c r="C786" s="84">
        <v>0.0</v>
      </c>
      <c r="D786" s="84">
        <v>0.0</v>
      </c>
      <c r="E786" s="84">
        <v>0.0</v>
      </c>
      <c r="F786" s="84">
        <v>0.0</v>
      </c>
      <c r="G786" s="84">
        <v>0.0</v>
      </c>
      <c r="H786" s="84">
        <v>0.0</v>
      </c>
      <c r="I786" s="91">
        <v>0.0</v>
      </c>
      <c r="J786" s="84">
        <v>0.0</v>
      </c>
      <c r="K786" s="84">
        <v>0.0</v>
      </c>
      <c r="L786" s="84">
        <v>0.0</v>
      </c>
      <c r="M786" s="84">
        <v>0.0</v>
      </c>
      <c r="N786" s="84">
        <v>0.0</v>
      </c>
      <c r="O786" s="84">
        <v>0.0</v>
      </c>
      <c r="P786" s="84">
        <v>0.0</v>
      </c>
      <c r="Q786" s="84">
        <v>1.0</v>
      </c>
      <c r="R786" s="84">
        <v>0.0</v>
      </c>
      <c r="S786" s="84">
        <v>0.0</v>
      </c>
      <c r="T786" s="84">
        <v>0.0</v>
      </c>
      <c r="U786" s="84">
        <v>0.0</v>
      </c>
      <c r="V786" s="84">
        <v>0.0</v>
      </c>
      <c r="W786" s="84">
        <v>0.0</v>
      </c>
      <c r="X786" s="84">
        <v>0.0</v>
      </c>
      <c r="Y786" s="84">
        <v>0.0</v>
      </c>
      <c r="Z786" s="84">
        <v>0.0</v>
      </c>
      <c r="AA786" s="84">
        <v>0.0</v>
      </c>
      <c r="AB786" s="84">
        <v>0.0</v>
      </c>
      <c r="AC786" s="91">
        <v>0.0</v>
      </c>
      <c r="AD786" s="84">
        <v>0.0</v>
      </c>
      <c r="AE786" s="84">
        <v>0.0</v>
      </c>
      <c r="AF786" s="84">
        <v>0.0</v>
      </c>
      <c r="AG786" s="84">
        <v>0.0</v>
      </c>
      <c r="AH786" s="84">
        <v>0.0</v>
      </c>
      <c r="AI786" s="84">
        <v>0.0</v>
      </c>
      <c r="AJ786" s="84">
        <v>0.0</v>
      </c>
      <c r="AK786" s="84">
        <v>0.0</v>
      </c>
      <c r="AL786" s="84">
        <v>0.0</v>
      </c>
      <c r="AM786" s="84">
        <v>0.0</v>
      </c>
      <c r="AN786" s="93">
        <f t="shared" si="1"/>
        <v>0</v>
      </c>
      <c r="AO786" s="84">
        <f t="shared" si="2"/>
        <v>1</v>
      </c>
    </row>
    <row r="787" ht="12.75" customHeight="1">
      <c r="A787" s="84" t="s">
        <v>3309</v>
      </c>
      <c r="B787" s="84">
        <v>0.0</v>
      </c>
      <c r="C787" s="84">
        <v>0.0</v>
      </c>
      <c r="D787" s="84">
        <v>5.0</v>
      </c>
      <c r="E787" s="84">
        <v>0.0</v>
      </c>
      <c r="F787" s="84">
        <v>0.0</v>
      </c>
      <c r="G787" s="84">
        <v>0.0</v>
      </c>
      <c r="H787" s="84">
        <v>0.0</v>
      </c>
      <c r="I787" s="91">
        <v>0.0</v>
      </c>
      <c r="J787" s="84">
        <v>0.0</v>
      </c>
      <c r="K787" s="84">
        <v>0.0</v>
      </c>
      <c r="L787" s="84">
        <v>0.0</v>
      </c>
      <c r="M787" s="84">
        <v>0.0</v>
      </c>
      <c r="N787" s="84">
        <v>0.0</v>
      </c>
      <c r="O787" s="84">
        <v>0.0</v>
      </c>
      <c r="P787" s="84">
        <v>0.0</v>
      </c>
      <c r="Q787" s="84">
        <v>0.0</v>
      </c>
      <c r="R787" s="84">
        <v>0.0</v>
      </c>
      <c r="S787" s="84">
        <v>0.0</v>
      </c>
      <c r="T787" s="84">
        <v>0.0</v>
      </c>
      <c r="U787" s="84">
        <v>0.0</v>
      </c>
      <c r="V787" s="84">
        <v>0.0</v>
      </c>
      <c r="W787" s="84">
        <v>0.0</v>
      </c>
      <c r="X787" s="84">
        <v>6.0</v>
      </c>
      <c r="Y787" s="84">
        <v>3.0</v>
      </c>
      <c r="Z787" s="84">
        <v>0.0</v>
      </c>
      <c r="AA787" s="84">
        <v>0.0</v>
      </c>
      <c r="AB787" s="84">
        <v>0.0</v>
      </c>
      <c r="AC787" s="91">
        <v>0.0</v>
      </c>
      <c r="AD787" s="84">
        <v>0.0</v>
      </c>
      <c r="AE787" s="84">
        <v>0.0</v>
      </c>
      <c r="AF787" s="84">
        <v>0.0</v>
      </c>
      <c r="AG787" s="84">
        <v>0.0</v>
      </c>
      <c r="AH787" s="84">
        <v>0.0</v>
      </c>
      <c r="AI787" s="84">
        <v>0.0</v>
      </c>
      <c r="AJ787" s="84">
        <v>0.0</v>
      </c>
      <c r="AK787" s="84">
        <v>0.0</v>
      </c>
      <c r="AL787" s="84">
        <v>0.0</v>
      </c>
      <c r="AM787" s="84">
        <v>0.0</v>
      </c>
      <c r="AN787" s="93">
        <f t="shared" si="1"/>
        <v>0</v>
      </c>
      <c r="AO787" s="84">
        <f t="shared" si="2"/>
        <v>0</v>
      </c>
    </row>
    <row r="788" ht="12.75" customHeight="1">
      <c r="A788" s="84" t="s">
        <v>3373</v>
      </c>
      <c r="B788" s="84">
        <v>0.0</v>
      </c>
      <c r="C788" s="84">
        <v>0.0</v>
      </c>
      <c r="D788" s="84">
        <v>5.0</v>
      </c>
      <c r="E788" s="84">
        <v>0.0</v>
      </c>
      <c r="F788" s="84">
        <v>0.0</v>
      </c>
      <c r="G788" s="84">
        <v>0.0</v>
      </c>
      <c r="H788" s="84">
        <v>0.0</v>
      </c>
      <c r="I788" s="91">
        <v>0.0</v>
      </c>
      <c r="J788" s="84">
        <v>0.0</v>
      </c>
      <c r="K788" s="84">
        <v>0.0</v>
      </c>
      <c r="L788" s="84">
        <v>0.0</v>
      </c>
      <c r="M788" s="84">
        <v>0.0</v>
      </c>
      <c r="N788" s="84">
        <v>0.0</v>
      </c>
      <c r="O788" s="84">
        <v>0.0</v>
      </c>
      <c r="P788" s="84">
        <v>0.0</v>
      </c>
      <c r="Q788" s="84">
        <v>0.0</v>
      </c>
      <c r="R788" s="84">
        <v>0.0</v>
      </c>
      <c r="S788" s="84">
        <v>0.0</v>
      </c>
      <c r="T788" s="84">
        <v>0.0</v>
      </c>
      <c r="U788" s="84">
        <v>0.0</v>
      </c>
      <c r="V788" s="84">
        <v>0.0</v>
      </c>
      <c r="W788" s="84">
        <v>0.0</v>
      </c>
      <c r="X788" s="84">
        <v>6.0</v>
      </c>
      <c r="Y788" s="84">
        <v>3.0</v>
      </c>
      <c r="Z788" s="84">
        <v>0.0</v>
      </c>
      <c r="AA788" s="84">
        <v>0.0</v>
      </c>
      <c r="AB788" s="84">
        <v>0.0</v>
      </c>
      <c r="AC788" s="91">
        <v>0.0</v>
      </c>
      <c r="AD788" s="84">
        <v>0.0</v>
      </c>
      <c r="AE788" s="84">
        <v>0.0</v>
      </c>
      <c r="AF788" s="84">
        <v>0.0</v>
      </c>
      <c r="AG788" s="84">
        <v>0.0</v>
      </c>
      <c r="AH788" s="84">
        <v>0.0</v>
      </c>
      <c r="AI788" s="84">
        <v>0.0</v>
      </c>
      <c r="AJ788" s="84">
        <v>0.0</v>
      </c>
      <c r="AK788" s="84">
        <v>0.0</v>
      </c>
      <c r="AL788" s="84">
        <v>0.0</v>
      </c>
      <c r="AM788" s="84">
        <v>0.0</v>
      </c>
      <c r="AN788" s="93">
        <f t="shared" si="1"/>
        <v>0</v>
      </c>
      <c r="AO788" s="84">
        <f t="shared" si="2"/>
        <v>0</v>
      </c>
    </row>
    <row r="789" ht="12.75" customHeight="1">
      <c r="A789" s="84" t="s">
        <v>3643</v>
      </c>
      <c r="B789" s="84">
        <v>0.0</v>
      </c>
      <c r="C789" s="84">
        <v>0.0</v>
      </c>
      <c r="D789" s="84">
        <v>0.0</v>
      </c>
      <c r="E789" s="84">
        <v>0.0</v>
      </c>
      <c r="F789" s="84">
        <v>6.0</v>
      </c>
      <c r="G789" s="84">
        <v>0.0</v>
      </c>
      <c r="H789" s="84">
        <v>0.0</v>
      </c>
      <c r="I789" s="91">
        <v>0.0</v>
      </c>
      <c r="J789" s="84">
        <v>0.0</v>
      </c>
      <c r="K789" s="84">
        <v>0.0</v>
      </c>
      <c r="L789" s="84">
        <v>0.0</v>
      </c>
      <c r="M789" s="84">
        <v>0.0</v>
      </c>
      <c r="N789" s="84">
        <v>0.0</v>
      </c>
      <c r="O789" s="84">
        <v>0.0</v>
      </c>
      <c r="P789" s="84">
        <v>0.0</v>
      </c>
      <c r="Q789" s="84">
        <v>0.0</v>
      </c>
      <c r="R789" s="84">
        <v>0.0</v>
      </c>
      <c r="S789" s="84">
        <v>0.0</v>
      </c>
      <c r="T789" s="84">
        <v>0.0</v>
      </c>
      <c r="U789" s="84">
        <v>0.0</v>
      </c>
      <c r="V789" s="84">
        <v>0.0</v>
      </c>
      <c r="W789" s="84">
        <v>0.0</v>
      </c>
      <c r="X789" s="84">
        <v>0.0</v>
      </c>
      <c r="Y789" s="84">
        <v>0.0</v>
      </c>
      <c r="Z789" s="84">
        <v>6.0</v>
      </c>
      <c r="AA789" s="84">
        <v>4.0</v>
      </c>
      <c r="AB789" s="84">
        <v>0.0</v>
      </c>
      <c r="AC789" s="91">
        <v>0.0</v>
      </c>
      <c r="AD789" s="84">
        <v>0.0</v>
      </c>
      <c r="AE789" s="84">
        <v>0.0</v>
      </c>
      <c r="AF789" s="84">
        <v>0.0</v>
      </c>
      <c r="AG789" s="84">
        <v>0.0</v>
      </c>
      <c r="AH789" s="84">
        <v>0.0</v>
      </c>
      <c r="AI789" s="84">
        <v>0.0</v>
      </c>
      <c r="AJ789" s="84">
        <v>0.0</v>
      </c>
      <c r="AK789" s="84">
        <v>0.0</v>
      </c>
      <c r="AL789" s="84">
        <v>0.0</v>
      </c>
      <c r="AM789" s="84">
        <v>0.0</v>
      </c>
      <c r="AN789" s="93">
        <f t="shared" si="1"/>
        <v>0</v>
      </c>
      <c r="AO789" s="84">
        <f t="shared" si="2"/>
        <v>0</v>
      </c>
    </row>
    <row r="790" ht="12.75" customHeight="1">
      <c r="A790" s="84" t="s">
        <v>2621</v>
      </c>
      <c r="B790" s="84">
        <v>2.0</v>
      </c>
      <c r="C790" s="84">
        <v>0.0</v>
      </c>
      <c r="D790" s="84">
        <v>0.0</v>
      </c>
      <c r="E790" s="84">
        <v>0.0</v>
      </c>
      <c r="F790" s="84">
        <v>0.0</v>
      </c>
      <c r="G790" s="84">
        <v>0.0</v>
      </c>
      <c r="H790" s="84">
        <v>0.0</v>
      </c>
      <c r="I790" s="91">
        <v>0.0</v>
      </c>
      <c r="J790" s="84">
        <v>0.0</v>
      </c>
      <c r="K790" s="84">
        <v>0.0</v>
      </c>
      <c r="L790" s="84">
        <v>0.0</v>
      </c>
      <c r="M790" s="84">
        <v>0.0</v>
      </c>
      <c r="N790" s="84">
        <v>0.0</v>
      </c>
      <c r="O790" s="84">
        <v>0.0</v>
      </c>
      <c r="P790" s="84">
        <v>0.0</v>
      </c>
      <c r="Q790" s="84">
        <v>0.0</v>
      </c>
      <c r="R790" s="84">
        <v>0.0</v>
      </c>
      <c r="S790" s="84">
        <v>0.0</v>
      </c>
      <c r="T790" s="84">
        <v>0.0</v>
      </c>
      <c r="U790" s="84">
        <v>0.0</v>
      </c>
      <c r="V790" s="84">
        <v>2.0</v>
      </c>
      <c r="W790" s="84">
        <v>2.0</v>
      </c>
      <c r="X790" s="84">
        <v>0.0</v>
      </c>
      <c r="Y790" s="84">
        <v>0.0</v>
      </c>
      <c r="Z790" s="84">
        <v>0.0</v>
      </c>
      <c r="AA790" s="84">
        <v>0.0</v>
      </c>
      <c r="AB790" s="84">
        <v>0.0</v>
      </c>
      <c r="AC790" s="91">
        <v>0.0</v>
      </c>
      <c r="AD790" s="84">
        <v>0.0</v>
      </c>
      <c r="AE790" s="84">
        <v>0.0</v>
      </c>
      <c r="AF790" s="84">
        <v>0.0</v>
      </c>
      <c r="AG790" s="84">
        <v>0.0</v>
      </c>
      <c r="AH790" s="84">
        <v>0.0</v>
      </c>
      <c r="AI790" s="84">
        <v>0.0</v>
      </c>
      <c r="AJ790" s="84">
        <v>0.0</v>
      </c>
      <c r="AK790" s="84">
        <v>0.0</v>
      </c>
      <c r="AL790" s="84">
        <v>0.0</v>
      </c>
      <c r="AM790" s="84">
        <v>0.0</v>
      </c>
      <c r="AN790" s="93">
        <f t="shared" si="1"/>
        <v>0</v>
      </c>
      <c r="AO790" s="84">
        <f t="shared" si="2"/>
        <v>0</v>
      </c>
    </row>
    <row r="791" ht="12.75" customHeight="1">
      <c r="A791" s="84" t="s">
        <v>2873</v>
      </c>
      <c r="B791" s="84">
        <v>2.0</v>
      </c>
      <c r="C791" s="84">
        <v>0.0</v>
      </c>
      <c r="D791" s="84">
        <v>0.0</v>
      </c>
      <c r="E791" s="84">
        <v>0.0</v>
      </c>
      <c r="F791" s="84">
        <v>0.0</v>
      </c>
      <c r="G791" s="84">
        <v>0.0</v>
      </c>
      <c r="H791" s="84">
        <v>0.0</v>
      </c>
      <c r="I791" s="91">
        <v>0.0</v>
      </c>
      <c r="J791" s="84">
        <v>0.0</v>
      </c>
      <c r="K791" s="84">
        <v>0.0</v>
      </c>
      <c r="L791" s="84">
        <v>0.0</v>
      </c>
      <c r="M791" s="84">
        <v>0.0</v>
      </c>
      <c r="N791" s="84">
        <v>0.0</v>
      </c>
      <c r="O791" s="84">
        <v>0.0</v>
      </c>
      <c r="P791" s="84">
        <v>0.0</v>
      </c>
      <c r="Q791" s="84">
        <v>0.0</v>
      </c>
      <c r="R791" s="84">
        <v>0.0</v>
      </c>
      <c r="S791" s="84">
        <v>0.0</v>
      </c>
      <c r="T791" s="84">
        <v>0.0</v>
      </c>
      <c r="U791" s="84">
        <v>0.0</v>
      </c>
      <c r="V791" s="84">
        <v>3.0</v>
      </c>
      <c r="W791" s="84">
        <v>2.0</v>
      </c>
      <c r="X791" s="84">
        <v>0.0</v>
      </c>
      <c r="Y791" s="84">
        <v>0.0</v>
      </c>
      <c r="Z791" s="84">
        <v>0.0</v>
      </c>
      <c r="AA791" s="84">
        <v>0.0</v>
      </c>
      <c r="AB791" s="84">
        <v>0.0</v>
      </c>
      <c r="AC791" s="91">
        <v>0.0</v>
      </c>
      <c r="AD791" s="84">
        <v>0.0</v>
      </c>
      <c r="AE791" s="84">
        <v>0.0</v>
      </c>
      <c r="AF791" s="84">
        <v>0.0</v>
      </c>
      <c r="AG791" s="84">
        <v>0.0</v>
      </c>
      <c r="AH791" s="84">
        <v>0.0</v>
      </c>
      <c r="AI791" s="84">
        <v>0.0</v>
      </c>
      <c r="AJ791" s="84">
        <v>0.0</v>
      </c>
      <c r="AK791" s="84">
        <v>0.0</v>
      </c>
      <c r="AL791" s="84">
        <v>0.0</v>
      </c>
      <c r="AM791" s="84">
        <v>0.0</v>
      </c>
      <c r="AN791" s="93">
        <f t="shared" si="1"/>
        <v>0</v>
      </c>
      <c r="AO791" s="84">
        <f t="shared" si="2"/>
        <v>0</v>
      </c>
    </row>
    <row r="792" ht="12.75" customHeight="1">
      <c r="A792" s="84" t="s">
        <v>3771</v>
      </c>
      <c r="B792" s="84">
        <v>0.0</v>
      </c>
      <c r="C792" s="84">
        <v>0.0</v>
      </c>
      <c r="D792" s="84">
        <v>0.0</v>
      </c>
      <c r="E792" s="84">
        <v>0.0</v>
      </c>
      <c r="F792" s="84">
        <v>0.0</v>
      </c>
      <c r="G792" s="84">
        <v>4.0</v>
      </c>
      <c r="H792" s="84">
        <v>0.0</v>
      </c>
      <c r="I792" s="91">
        <v>0.0</v>
      </c>
      <c r="J792" s="84">
        <v>0.0</v>
      </c>
      <c r="K792" s="84">
        <v>0.0</v>
      </c>
      <c r="L792" s="84">
        <v>0.0</v>
      </c>
      <c r="M792" s="84">
        <v>0.0</v>
      </c>
      <c r="N792" s="84">
        <v>0.0</v>
      </c>
      <c r="O792" s="84">
        <v>0.0</v>
      </c>
      <c r="P792" s="84">
        <v>0.0</v>
      </c>
      <c r="Q792" s="84">
        <v>0.0</v>
      </c>
      <c r="R792" s="84">
        <v>0.0</v>
      </c>
      <c r="S792" s="84">
        <v>0.0</v>
      </c>
      <c r="T792" s="84">
        <v>0.0</v>
      </c>
      <c r="U792" s="84">
        <v>0.0</v>
      </c>
      <c r="V792" s="84">
        <v>0.0</v>
      </c>
      <c r="W792" s="84">
        <v>0.0</v>
      </c>
      <c r="X792" s="84">
        <v>0.0</v>
      </c>
      <c r="Y792" s="84">
        <v>0.0</v>
      </c>
      <c r="Z792" s="84">
        <v>0.0</v>
      </c>
      <c r="AA792" s="84">
        <v>6.0</v>
      </c>
      <c r="AB792" s="84">
        <v>1.0</v>
      </c>
      <c r="AC792" s="91">
        <v>0.0</v>
      </c>
      <c r="AD792" s="84">
        <v>0.0</v>
      </c>
      <c r="AE792" s="84">
        <v>0.0</v>
      </c>
      <c r="AF792" s="84">
        <v>0.0</v>
      </c>
      <c r="AG792" s="84">
        <v>0.0</v>
      </c>
      <c r="AH792" s="84">
        <v>0.0</v>
      </c>
      <c r="AI792" s="84">
        <v>0.0</v>
      </c>
      <c r="AJ792" s="84">
        <v>0.0</v>
      </c>
      <c r="AK792" s="84">
        <v>0.0</v>
      </c>
      <c r="AL792" s="84">
        <v>0.0</v>
      </c>
      <c r="AM792" s="84">
        <v>0.0</v>
      </c>
      <c r="AN792" s="93">
        <f t="shared" si="1"/>
        <v>0</v>
      </c>
      <c r="AO792" s="84">
        <f t="shared" si="2"/>
        <v>0</v>
      </c>
    </row>
    <row r="793" ht="12.75" customHeight="1">
      <c r="A793" s="84" t="s">
        <v>3218</v>
      </c>
      <c r="B793" s="84">
        <v>0.0</v>
      </c>
      <c r="C793" s="84">
        <v>5.0</v>
      </c>
      <c r="D793" s="84">
        <v>1.0</v>
      </c>
      <c r="E793" s="84">
        <v>0.0</v>
      </c>
      <c r="F793" s="84">
        <v>0.0</v>
      </c>
      <c r="G793" s="84">
        <v>0.0</v>
      </c>
      <c r="H793" s="84">
        <v>0.0</v>
      </c>
      <c r="I793" s="91">
        <v>0.0</v>
      </c>
      <c r="J793" s="84">
        <v>0.0</v>
      </c>
      <c r="K793" s="84">
        <v>0.0</v>
      </c>
      <c r="L793" s="84">
        <v>0.0</v>
      </c>
      <c r="M793" s="84">
        <v>0.0</v>
      </c>
      <c r="N793" s="84">
        <v>0.0</v>
      </c>
      <c r="O793" s="84">
        <v>0.0</v>
      </c>
      <c r="P793" s="84">
        <v>0.0</v>
      </c>
      <c r="Q793" s="84">
        <v>0.0</v>
      </c>
      <c r="R793" s="84">
        <v>0.0</v>
      </c>
      <c r="S793" s="84">
        <v>0.0</v>
      </c>
      <c r="T793" s="84">
        <v>0.0</v>
      </c>
      <c r="U793" s="84">
        <v>0.0</v>
      </c>
      <c r="V793" s="84">
        <v>0.0</v>
      </c>
      <c r="W793" s="84">
        <v>3.0</v>
      </c>
      <c r="X793" s="84">
        <v>1.0</v>
      </c>
      <c r="Y793" s="84">
        <v>0.0</v>
      </c>
      <c r="Z793" s="84">
        <v>0.0</v>
      </c>
      <c r="AA793" s="84">
        <v>0.0</v>
      </c>
      <c r="AB793" s="84">
        <v>0.0</v>
      </c>
      <c r="AC793" s="91">
        <v>0.0</v>
      </c>
      <c r="AD793" s="84">
        <v>0.0</v>
      </c>
      <c r="AE793" s="84">
        <v>0.0</v>
      </c>
      <c r="AF793" s="84">
        <v>0.0</v>
      </c>
      <c r="AG793" s="84">
        <v>0.0</v>
      </c>
      <c r="AH793" s="84">
        <v>0.0</v>
      </c>
      <c r="AI793" s="84">
        <v>0.0</v>
      </c>
      <c r="AJ793" s="84">
        <v>0.0</v>
      </c>
      <c r="AK793" s="84">
        <v>0.0</v>
      </c>
      <c r="AL793" s="84">
        <v>0.0</v>
      </c>
      <c r="AM793" s="84">
        <v>0.0</v>
      </c>
      <c r="AN793" s="93">
        <f t="shared" si="1"/>
        <v>0</v>
      </c>
      <c r="AO793" s="84">
        <f t="shared" si="2"/>
        <v>0</v>
      </c>
    </row>
    <row r="794" ht="12.75" customHeight="1">
      <c r="A794" s="84" t="s">
        <v>3262</v>
      </c>
      <c r="B794" s="84">
        <v>0.0</v>
      </c>
      <c r="C794" s="84">
        <v>4.0</v>
      </c>
      <c r="D794" s="84">
        <v>1.0</v>
      </c>
      <c r="E794" s="84">
        <v>0.0</v>
      </c>
      <c r="F794" s="84">
        <v>0.0</v>
      </c>
      <c r="G794" s="84">
        <v>0.0</v>
      </c>
      <c r="H794" s="84">
        <v>0.0</v>
      </c>
      <c r="I794" s="91">
        <v>0.0</v>
      </c>
      <c r="J794" s="84">
        <v>0.0</v>
      </c>
      <c r="K794" s="84">
        <v>0.0</v>
      </c>
      <c r="L794" s="84">
        <v>0.0</v>
      </c>
      <c r="M794" s="84">
        <v>0.0</v>
      </c>
      <c r="N794" s="84">
        <v>0.0</v>
      </c>
      <c r="O794" s="84">
        <v>0.0</v>
      </c>
      <c r="P794" s="84">
        <v>0.0</v>
      </c>
      <c r="Q794" s="84">
        <v>0.0</v>
      </c>
      <c r="R794" s="84">
        <v>0.0</v>
      </c>
      <c r="S794" s="84">
        <v>0.0</v>
      </c>
      <c r="T794" s="84">
        <v>0.0</v>
      </c>
      <c r="U794" s="84">
        <v>0.0</v>
      </c>
      <c r="V794" s="84">
        <v>0.0</v>
      </c>
      <c r="W794" s="84">
        <v>3.0</v>
      </c>
      <c r="X794" s="84">
        <v>3.0</v>
      </c>
      <c r="Y794" s="84">
        <v>0.0</v>
      </c>
      <c r="Z794" s="84">
        <v>0.0</v>
      </c>
      <c r="AA794" s="84">
        <v>0.0</v>
      </c>
      <c r="AB794" s="84">
        <v>0.0</v>
      </c>
      <c r="AC794" s="91">
        <v>0.0</v>
      </c>
      <c r="AD794" s="84">
        <v>0.0</v>
      </c>
      <c r="AE794" s="84">
        <v>0.0</v>
      </c>
      <c r="AF794" s="84">
        <v>0.0</v>
      </c>
      <c r="AG794" s="84">
        <v>0.0</v>
      </c>
      <c r="AH794" s="84">
        <v>0.0</v>
      </c>
      <c r="AI794" s="84">
        <v>0.0</v>
      </c>
      <c r="AJ794" s="84">
        <v>0.0</v>
      </c>
      <c r="AK794" s="84">
        <v>0.0</v>
      </c>
      <c r="AL794" s="84">
        <v>0.0</v>
      </c>
      <c r="AM794" s="84">
        <v>0.0</v>
      </c>
      <c r="AN794" s="93">
        <f t="shared" si="1"/>
        <v>0</v>
      </c>
      <c r="AO794" s="84">
        <f t="shared" si="2"/>
        <v>0</v>
      </c>
    </row>
    <row r="795" ht="12.75" customHeight="1">
      <c r="A795" s="84" t="s">
        <v>2949</v>
      </c>
      <c r="B795" s="84">
        <v>2.0</v>
      </c>
      <c r="C795" s="84">
        <v>0.0</v>
      </c>
      <c r="D795" s="84">
        <v>0.0</v>
      </c>
      <c r="E795" s="84">
        <v>0.0</v>
      </c>
      <c r="F795" s="84">
        <v>0.0</v>
      </c>
      <c r="G795" s="84">
        <v>0.0</v>
      </c>
      <c r="H795" s="84">
        <v>0.0</v>
      </c>
      <c r="I795" s="91">
        <v>0.0</v>
      </c>
      <c r="J795" s="84">
        <v>0.0</v>
      </c>
      <c r="K795" s="84">
        <v>0.0</v>
      </c>
      <c r="L795" s="84">
        <v>0.0</v>
      </c>
      <c r="M795" s="84">
        <v>0.0</v>
      </c>
      <c r="N795" s="84">
        <v>0.0</v>
      </c>
      <c r="O795" s="84">
        <v>0.0</v>
      </c>
      <c r="P795" s="84">
        <v>0.0</v>
      </c>
      <c r="Q795" s="84">
        <v>0.0</v>
      </c>
      <c r="R795" s="84">
        <v>0.0</v>
      </c>
      <c r="S795" s="84">
        <v>0.0</v>
      </c>
      <c r="T795" s="84">
        <v>0.0</v>
      </c>
      <c r="U795" s="84">
        <v>0.0</v>
      </c>
      <c r="V795" s="84">
        <v>2.0</v>
      </c>
      <c r="W795" s="84">
        <v>4.0</v>
      </c>
      <c r="X795" s="84">
        <v>0.0</v>
      </c>
      <c r="Y795" s="84">
        <v>0.0</v>
      </c>
      <c r="Z795" s="84">
        <v>0.0</v>
      </c>
      <c r="AA795" s="84">
        <v>0.0</v>
      </c>
      <c r="AB795" s="84">
        <v>0.0</v>
      </c>
      <c r="AC795" s="91">
        <v>0.0</v>
      </c>
      <c r="AD795" s="84">
        <v>0.0</v>
      </c>
      <c r="AE795" s="84">
        <v>0.0</v>
      </c>
      <c r="AF795" s="84">
        <v>0.0</v>
      </c>
      <c r="AG795" s="84">
        <v>0.0</v>
      </c>
      <c r="AH795" s="84">
        <v>0.0</v>
      </c>
      <c r="AI795" s="84">
        <v>0.0</v>
      </c>
      <c r="AJ795" s="84">
        <v>0.0</v>
      </c>
      <c r="AK795" s="84">
        <v>0.0</v>
      </c>
      <c r="AL795" s="84">
        <v>0.0</v>
      </c>
      <c r="AM795" s="84">
        <v>0.0</v>
      </c>
      <c r="AN795" s="93">
        <f t="shared" si="1"/>
        <v>0</v>
      </c>
      <c r="AO795" s="84">
        <f t="shared" si="2"/>
        <v>0</v>
      </c>
    </row>
    <row r="796" ht="12.75" customHeight="1">
      <c r="A796" s="84" t="s">
        <v>3746</v>
      </c>
      <c r="B796" s="84">
        <v>0.0</v>
      </c>
      <c r="C796" s="84">
        <v>0.0</v>
      </c>
      <c r="D796" s="84">
        <v>0.0</v>
      </c>
      <c r="E796" s="84">
        <v>0.0</v>
      </c>
      <c r="F796" s="84">
        <v>0.0</v>
      </c>
      <c r="G796" s="84">
        <v>4.0</v>
      </c>
      <c r="H796" s="84">
        <v>2.0</v>
      </c>
      <c r="I796" s="91">
        <v>0.0</v>
      </c>
      <c r="J796" s="84">
        <v>0.0</v>
      </c>
      <c r="K796" s="84">
        <v>0.0</v>
      </c>
      <c r="L796" s="84">
        <v>0.0</v>
      </c>
      <c r="M796" s="84">
        <v>0.0</v>
      </c>
      <c r="N796" s="84">
        <v>0.0</v>
      </c>
      <c r="O796" s="84">
        <v>0.0</v>
      </c>
      <c r="P796" s="84">
        <v>0.0</v>
      </c>
      <c r="Q796" s="84">
        <v>0.0</v>
      </c>
      <c r="R796" s="84">
        <v>0.0</v>
      </c>
      <c r="S796" s="84">
        <v>0.0</v>
      </c>
      <c r="T796" s="84">
        <v>0.0</v>
      </c>
      <c r="U796" s="84">
        <v>0.0</v>
      </c>
      <c r="V796" s="84">
        <v>0.0</v>
      </c>
      <c r="W796" s="84">
        <v>0.0</v>
      </c>
      <c r="X796" s="84">
        <v>0.0</v>
      </c>
      <c r="Y796" s="84">
        <v>0.0</v>
      </c>
      <c r="Z796" s="84">
        <v>0.0</v>
      </c>
      <c r="AA796" s="84">
        <v>6.0</v>
      </c>
      <c r="AB796" s="84">
        <v>3.0</v>
      </c>
      <c r="AC796" s="91">
        <v>0.0</v>
      </c>
      <c r="AD796" s="84">
        <v>0.0</v>
      </c>
      <c r="AE796" s="84">
        <v>0.0</v>
      </c>
      <c r="AF796" s="84">
        <v>0.0</v>
      </c>
      <c r="AG796" s="84">
        <v>0.0</v>
      </c>
      <c r="AH796" s="84">
        <v>0.0</v>
      </c>
      <c r="AI796" s="84">
        <v>0.0</v>
      </c>
      <c r="AJ796" s="84">
        <v>0.0</v>
      </c>
      <c r="AK796" s="84">
        <v>0.0</v>
      </c>
      <c r="AL796" s="84">
        <v>0.0</v>
      </c>
      <c r="AM796" s="84">
        <v>0.0</v>
      </c>
      <c r="AN796" s="93">
        <f t="shared" si="1"/>
        <v>0</v>
      </c>
      <c r="AO796" s="84">
        <f t="shared" si="2"/>
        <v>0</v>
      </c>
    </row>
    <row r="797" ht="12.75" customHeight="1">
      <c r="A797" s="84" t="s">
        <v>4528</v>
      </c>
      <c r="B797" s="84">
        <v>0.0</v>
      </c>
      <c r="C797" s="84">
        <v>0.0</v>
      </c>
      <c r="D797" s="84">
        <v>0.0</v>
      </c>
      <c r="E797" s="84">
        <v>0.0</v>
      </c>
      <c r="F797" s="84">
        <v>0.0</v>
      </c>
      <c r="G797" s="84">
        <v>0.0</v>
      </c>
      <c r="H797" s="84">
        <v>0.0</v>
      </c>
      <c r="I797" s="91">
        <v>0.0</v>
      </c>
      <c r="J797" s="84">
        <v>0.0</v>
      </c>
      <c r="K797" s="84">
        <v>0.0</v>
      </c>
      <c r="L797" s="84">
        <v>0.0</v>
      </c>
      <c r="M797" s="84">
        <v>0.0</v>
      </c>
      <c r="N797" s="84">
        <v>0.0</v>
      </c>
      <c r="O797" s="84">
        <v>0.0</v>
      </c>
      <c r="P797" s="84">
        <v>0.0</v>
      </c>
      <c r="Q797" s="84">
        <v>0.0</v>
      </c>
      <c r="R797" s="84">
        <v>0.0</v>
      </c>
      <c r="S797" s="84">
        <v>0.0</v>
      </c>
      <c r="T797" s="84">
        <v>0.0</v>
      </c>
      <c r="U797" s="84">
        <v>0.0</v>
      </c>
      <c r="V797" s="84">
        <v>0.0</v>
      </c>
      <c r="W797" s="84">
        <v>0.0</v>
      </c>
      <c r="X797" s="84">
        <v>0.0</v>
      </c>
      <c r="Y797" s="84">
        <v>0.0</v>
      </c>
      <c r="Z797" s="84">
        <v>0.0</v>
      </c>
      <c r="AA797" s="84">
        <v>0.0</v>
      </c>
      <c r="AB797" s="84">
        <v>0.0</v>
      </c>
      <c r="AC797" s="91">
        <v>0.0</v>
      </c>
      <c r="AD797" s="84">
        <v>0.0</v>
      </c>
      <c r="AE797" s="84">
        <v>0.0</v>
      </c>
      <c r="AF797" s="84">
        <v>0.0</v>
      </c>
      <c r="AG797" s="84">
        <v>1.0</v>
      </c>
      <c r="AH797" s="84">
        <v>0.0</v>
      </c>
      <c r="AI797" s="84">
        <v>0.0</v>
      </c>
      <c r="AJ797" s="84">
        <v>0.0</v>
      </c>
      <c r="AK797" s="84">
        <v>0.0</v>
      </c>
      <c r="AL797" s="84">
        <v>0.0</v>
      </c>
      <c r="AM797" s="84">
        <v>0.0</v>
      </c>
      <c r="AN797" s="93">
        <f t="shared" si="1"/>
        <v>0</v>
      </c>
      <c r="AO797" s="84">
        <f t="shared" si="2"/>
        <v>1</v>
      </c>
    </row>
    <row r="798" ht="12.75" customHeight="1">
      <c r="A798" s="84" t="s">
        <v>3743</v>
      </c>
      <c r="B798" s="84">
        <v>0.0</v>
      </c>
      <c r="C798" s="84">
        <v>0.0</v>
      </c>
      <c r="D798" s="84">
        <v>0.0</v>
      </c>
      <c r="E798" s="84">
        <v>0.0</v>
      </c>
      <c r="F798" s="84">
        <v>0.0</v>
      </c>
      <c r="G798" s="84">
        <v>4.0</v>
      </c>
      <c r="H798" s="84">
        <v>1.0</v>
      </c>
      <c r="I798" s="91">
        <v>0.0</v>
      </c>
      <c r="J798" s="84">
        <v>0.0</v>
      </c>
      <c r="K798" s="84">
        <v>0.0</v>
      </c>
      <c r="L798" s="84">
        <v>0.0</v>
      </c>
      <c r="M798" s="84">
        <v>0.0</v>
      </c>
      <c r="N798" s="84">
        <v>0.0</v>
      </c>
      <c r="O798" s="84">
        <v>0.0</v>
      </c>
      <c r="P798" s="84">
        <v>0.0</v>
      </c>
      <c r="Q798" s="84">
        <v>0.0</v>
      </c>
      <c r="R798" s="84">
        <v>0.0</v>
      </c>
      <c r="S798" s="84">
        <v>0.0</v>
      </c>
      <c r="T798" s="84">
        <v>0.0</v>
      </c>
      <c r="U798" s="84">
        <v>0.0</v>
      </c>
      <c r="V798" s="84">
        <v>0.0</v>
      </c>
      <c r="W798" s="84">
        <v>0.0</v>
      </c>
      <c r="X798" s="84">
        <v>0.0</v>
      </c>
      <c r="Y798" s="84">
        <v>0.0</v>
      </c>
      <c r="Z798" s="84">
        <v>0.0</v>
      </c>
      <c r="AA798" s="84">
        <v>6.0</v>
      </c>
      <c r="AB798" s="84">
        <v>3.0</v>
      </c>
      <c r="AC798" s="91">
        <v>0.0</v>
      </c>
      <c r="AD798" s="84">
        <v>0.0</v>
      </c>
      <c r="AE798" s="84">
        <v>0.0</v>
      </c>
      <c r="AF798" s="84">
        <v>0.0</v>
      </c>
      <c r="AG798" s="84">
        <v>0.0</v>
      </c>
      <c r="AH798" s="84">
        <v>0.0</v>
      </c>
      <c r="AI798" s="84">
        <v>0.0</v>
      </c>
      <c r="AJ798" s="84">
        <v>0.0</v>
      </c>
      <c r="AK798" s="84">
        <v>0.0</v>
      </c>
      <c r="AL798" s="84">
        <v>0.0</v>
      </c>
      <c r="AM798" s="84">
        <v>0.0</v>
      </c>
      <c r="AN798" s="93">
        <f t="shared" si="1"/>
        <v>0</v>
      </c>
      <c r="AO798" s="84">
        <f t="shared" si="2"/>
        <v>0</v>
      </c>
    </row>
    <row r="799" ht="12.75" customHeight="1">
      <c r="A799" s="84" t="s">
        <v>3149</v>
      </c>
      <c r="B799" s="84">
        <v>0.0</v>
      </c>
      <c r="C799" s="84">
        <v>5.0</v>
      </c>
      <c r="D799" s="84">
        <v>0.0</v>
      </c>
      <c r="E799" s="84">
        <v>0.0</v>
      </c>
      <c r="F799" s="84">
        <v>0.0</v>
      </c>
      <c r="G799" s="84">
        <v>0.0</v>
      </c>
      <c r="H799" s="84">
        <v>0.0</v>
      </c>
      <c r="I799" s="91">
        <v>0.0</v>
      </c>
      <c r="J799" s="84">
        <v>0.0</v>
      </c>
      <c r="K799" s="84">
        <v>0.0</v>
      </c>
      <c r="L799" s="84">
        <v>0.0</v>
      </c>
      <c r="M799" s="84">
        <v>0.0</v>
      </c>
      <c r="N799" s="84">
        <v>0.0</v>
      </c>
      <c r="O799" s="84">
        <v>0.0</v>
      </c>
      <c r="P799" s="84">
        <v>0.0</v>
      </c>
      <c r="Q799" s="84">
        <v>0.0</v>
      </c>
      <c r="R799" s="84">
        <v>0.0</v>
      </c>
      <c r="S799" s="84">
        <v>0.0</v>
      </c>
      <c r="T799" s="84">
        <v>0.0</v>
      </c>
      <c r="U799" s="84">
        <v>0.0</v>
      </c>
      <c r="V799" s="84">
        <v>0.0</v>
      </c>
      <c r="W799" s="84">
        <v>3.0</v>
      </c>
      <c r="X799" s="84">
        <v>2.0</v>
      </c>
      <c r="Y799" s="84">
        <v>0.0</v>
      </c>
      <c r="Z799" s="84">
        <v>0.0</v>
      </c>
      <c r="AA799" s="84">
        <v>0.0</v>
      </c>
      <c r="AB799" s="84">
        <v>0.0</v>
      </c>
      <c r="AC799" s="91">
        <v>0.0</v>
      </c>
      <c r="AD799" s="84">
        <v>0.0</v>
      </c>
      <c r="AE799" s="84">
        <v>0.0</v>
      </c>
      <c r="AF799" s="84">
        <v>0.0</v>
      </c>
      <c r="AG799" s="84">
        <v>0.0</v>
      </c>
      <c r="AH799" s="84">
        <v>0.0</v>
      </c>
      <c r="AI799" s="84">
        <v>0.0</v>
      </c>
      <c r="AJ799" s="84">
        <v>0.0</v>
      </c>
      <c r="AK799" s="84">
        <v>0.0</v>
      </c>
      <c r="AL799" s="84">
        <v>0.0</v>
      </c>
      <c r="AM799" s="84">
        <v>0.0</v>
      </c>
      <c r="AN799" s="93">
        <f t="shared" si="1"/>
        <v>0</v>
      </c>
      <c r="AO799" s="84">
        <f t="shared" si="2"/>
        <v>0</v>
      </c>
    </row>
    <row r="800" ht="12.75" customHeight="1">
      <c r="A800" s="84" t="s">
        <v>3153</v>
      </c>
      <c r="B800" s="84">
        <v>0.0</v>
      </c>
      <c r="C800" s="84">
        <v>6.0</v>
      </c>
      <c r="D800" s="84">
        <v>1.0</v>
      </c>
      <c r="E800" s="84">
        <v>0.0</v>
      </c>
      <c r="F800" s="84">
        <v>0.0</v>
      </c>
      <c r="G800" s="84">
        <v>0.0</v>
      </c>
      <c r="H800" s="84">
        <v>0.0</v>
      </c>
      <c r="I800" s="91">
        <v>0.0</v>
      </c>
      <c r="J800" s="84">
        <v>0.0</v>
      </c>
      <c r="K800" s="84">
        <v>0.0</v>
      </c>
      <c r="L800" s="84">
        <v>0.0</v>
      </c>
      <c r="M800" s="84">
        <v>0.0</v>
      </c>
      <c r="N800" s="84">
        <v>0.0</v>
      </c>
      <c r="O800" s="84">
        <v>0.0</v>
      </c>
      <c r="P800" s="84">
        <v>0.0</v>
      </c>
      <c r="Q800" s="84">
        <v>0.0</v>
      </c>
      <c r="R800" s="84">
        <v>0.0</v>
      </c>
      <c r="S800" s="84">
        <v>0.0</v>
      </c>
      <c r="T800" s="84">
        <v>0.0</v>
      </c>
      <c r="U800" s="84">
        <v>0.0</v>
      </c>
      <c r="V800" s="84">
        <v>0.0</v>
      </c>
      <c r="W800" s="84">
        <v>3.0</v>
      </c>
      <c r="X800" s="84">
        <v>0.0</v>
      </c>
      <c r="Y800" s="84">
        <v>0.0</v>
      </c>
      <c r="Z800" s="84">
        <v>0.0</v>
      </c>
      <c r="AA800" s="84">
        <v>0.0</v>
      </c>
      <c r="AB800" s="84">
        <v>0.0</v>
      </c>
      <c r="AC800" s="91">
        <v>0.0</v>
      </c>
      <c r="AD800" s="84">
        <v>0.0</v>
      </c>
      <c r="AE800" s="84">
        <v>0.0</v>
      </c>
      <c r="AF800" s="84">
        <v>0.0</v>
      </c>
      <c r="AG800" s="84">
        <v>0.0</v>
      </c>
      <c r="AH800" s="84">
        <v>0.0</v>
      </c>
      <c r="AI800" s="84">
        <v>0.0</v>
      </c>
      <c r="AJ800" s="84">
        <v>0.0</v>
      </c>
      <c r="AK800" s="84">
        <v>0.0</v>
      </c>
      <c r="AL800" s="84">
        <v>0.0</v>
      </c>
      <c r="AM800" s="84">
        <v>0.0</v>
      </c>
      <c r="AN800" s="93">
        <f t="shared" si="1"/>
        <v>0</v>
      </c>
      <c r="AO800" s="84">
        <f t="shared" si="2"/>
        <v>0</v>
      </c>
    </row>
    <row r="801" ht="12.75" customHeight="1">
      <c r="A801" s="84" t="s">
        <v>3813</v>
      </c>
      <c r="B801" s="84">
        <v>0.0</v>
      </c>
      <c r="C801" s="84">
        <v>0.0</v>
      </c>
      <c r="D801" s="84">
        <v>0.0</v>
      </c>
      <c r="E801" s="84">
        <v>0.0</v>
      </c>
      <c r="F801" s="84">
        <v>0.0</v>
      </c>
      <c r="G801" s="84">
        <v>4.0</v>
      </c>
      <c r="H801" s="84">
        <v>0.0</v>
      </c>
      <c r="I801" s="91">
        <v>0.0</v>
      </c>
      <c r="J801" s="84">
        <v>0.0</v>
      </c>
      <c r="K801" s="84">
        <v>0.0</v>
      </c>
      <c r="L801" s="84">
        <v>0.0</v>
      </c>
      <c r="M801" s="84">
        <v>0.0</v>
      </c>
      <c r="N801" s="84">
        <v>0.0</v>
      </c>
      <c r="O801" s="84">
        <v>0.0</v>
      </c>
      <c r="P801" s="84">
        <v>0.0</v>
      </c>
      <c r="Q801" s="84">
        <v>0.0</v>
      </c>
      <c r="R801" s="84">
        <v>0.0</v>
      </c>
      <c r="S801" s="84">
        <v>0.0</v>
      </c>
      <c r="T801" s="84">
        <v>0.0</v>
      </c>
      <c r="U801" s="84">
        <v>0.0</v>
      </c>
      <c r="V801" s="84">
        <v>0.0</v>
      </c>
      <c r="W801" s="84">
        <v>0.0</v>
      </c>
      <c r="X801" s="84">
        <v>0.0</v>
      </c>
      <c r="Y801" s="84">
        <v>0.0</v>
      </c>
      <c r="Z801" s="84">
        <v>0.0</v>
      </c>
      <c r="AA801" s="84">
        <v>6.0</v>
      </c>
      <c r="AB801" s="84">
        <v>2.0</v>
      </c>
      <c r="AC801" s="91">
        <v>0.0</v>
      </c>
      <c r="AD801" s="84">
        <v>0.0</v>
      </c>
      <c r="AE801" s="84">
        <v>0.0</v>
      </c>
      <c r="AF801" s="84">
        <v>0.0</v>
      </c>
      <c r="AG801" s="84">
        <v>0.0</v>
      </c>
      <c r="AH801" s="84">
        <v>0.0</v>
      </c>
      <c r="AI801" s="84">
        <v>0.0</v>
      </c>
      <c r="AJ801" s="84">
        <v>0.0</v>
      </c>
      <c r="AK801" s="84">
        <v>0.0</v>
      </c>
      <c r="AL801" s="84">
        <v>0.0</v>
      </c>
      <c r="AM801" s="84">
        <v>0.0</v>
      </c>
      <c r="AN801" s="93">
        <f t="shared" si="1"/>
        <v>0</v>
      </c>
      <c r="AO801" s="84">
        <f t="shared" si="2"/>
        <v>0</v>
      </c>
    </row>
    <row r="802" ht="12.75" customHeight="1">
      <c r="A802" s="84" t="s">
        <v>4475</v>
      </c>
      <c r="B802" s="84">
        <v>0.0</v>
      </c>
      <c r="C802" s="84">
        <v>0.0</v>
      </c>
      <c r="D802" s="84">
        <v>0.0</v>
      </c>
      <c r="E802" s="84">
        <v>0.0</v>
      </c>
      <c r="F802" s="84">
        <v>0.0</v>
      </c>
      <c r="G802" s="84">
        <v>0.0</v>
      </c>
      <c r="H802" s="84">
        <v>0.0</v>
      </c>
      <c r="I802" s="91">
        <v>0.0</v>
      </c>
      <c r="J802" s="84">
        <v>0.0</v>
      </c>
      <c r="K802" s="84">
        <v>0.0</v>
      </c>
      <c r="L802" s="84">
        <v>0.0</v>
      </c>
      <c r="M802" s="84">
        <v>1.0</v>
      </c>
      <c r="N802" s="84">
        <v>0.0</v>
      </c>
      <c r="O802" s="84">
        <v>0.0</v>
      </c>
      <c r="P802" s="84">
        <v>0.0</v>
      </c>
      <c r="Q802" s="84">
        <v>0.0</v>
      </c>
      <c r="R802" s="84">
        <v>0.0</v>
      </c>
      <c r="S802" s="84">
        <v>0.0</v>
      </c>
      <c r="T802" s="84">
        <v>0.0</v>
      </c>
      <c r="U802" s="84">
        <v>0.0</v>
      </c>
      <c r="V802" s="84">
        <v>0.0</v>
      </c>
      <c r="W802" s="84">
        <v>0.0</v>
      </c>
      <c r="X802" s="84">
        <v>0.0</v>
      </c>
      <c r="Y802" s="84">
        <v>0.0</v>
      </c>
      <c r="Z802" s="84">
        <v>0.0</v>
      </c>
      <c r="AA802" s="84">
        <v>0.0</v>
      </c>
      <c r="AB802" s="84">
        <v>0.0</v>
      </c>
      <c r="AC802" s="91">
        <v>0.0</v>
      </c>
      <c r="AD802" s="84">
        <v>0.0</v>
      </c>
      <c r="AE802" s="84">
        <v>0.0</v>
      </c>
      <c r="AF802" s="84">
        <v>0.0</v>
      </c>
      <c r="AG802" s="84">
        <v>0.0</v>
      </c>
      <c r="AH802" s="84">
        <v>0.0</v>
      </c>
      <c r="AI802" s="84">
        <v>0.0</v>
      </c>
      <c r="AJ802" s="84">
        <v>0.0</v>
      </c>
      <c r="AK802" s="84">
        <v>0.0</v>
      </c>
      <c r="AL802" s="84">
        <v>0.0</v>
      </c>
      <c r="AM802" s="84">
        <v>0.0</v>
      </c>
      <c r="AN802" s="93">
        <f t="shared" si="1"/>
        <v>0</v>
      </c>
      <c r="AO802" s="84">
        <f t="shared" si="2"/>
        <v>1</v>
      </c>
    </row>
    <row r="803" ht="12.75" customHeight="1">
      <c r="A803" s="84" t="s">
        <v>3500</v>
      </c>
      <c r="B803" s="84">
        <v>0.0</v>
      </c>
      <c r="C803" s="84">
        <v>0.0</v>
      </c>
      <c r="D803" s="84">
        <v>0.0</v>
      </c>
      <c r="E803" s="84">
        <v>5.0</v>
      </c>
      <c r="F803" s="84">
        <v>0.0</v>
      </c>
      <c r="G803" s="84">
        <v>0.0</v>
      </c>
      <c r="H803" s="84">
        <v>0.0</v>
      </c>
      <c r="I803" s="91">
        <v>0.0</v>
      </c>
      <c r="J803" s="84">
        <v>0.0</v>
      </c>
      <c r="K803" s="84">
        <v>0.0</v>
      </c>
      <c r="L803" s="84">
        <v>0.0</v>
      </c>
      <c r="M803" s="84">
        <v>0.0</v>
      </c>
      <c r="N803" s="84">
        <v>0.0</v>
      </c>
      <c r="O803" s="84">
        <v>0.0</v>
      </c>
      <c r="P803" s="84">
        <v>0.0</v>
      </c>
      <c r="Q803" s="84">
        <v>0.0</v>
      </c>
      <c r="R803" s="84">
        <v>0.0</v>
      </c>
      <c r="S803" s="84">
        <v>0.0</v>
      </c>
      <c r="T803" s="84">
        <v>0.0</v>
      </c>
      <c r="U803" s="84">
        <v>0.0</v>
      </c>
      <c r="V803" s="84">
        <v>0.0</v>
      </c>
      <c r="W803" s="84">
        <v>0.0</v>
      </c>
      <c r="X803" s="84">
        <v>0.0</v>
      </c>
      <c r="Y803" s="84">
        <v>6.0</v>
      </c>
      <c r="Z803" s="84">
        <v>3.0</v>
      </c>
      <c r="AA803" s="84">
        <v>0.0</v>
      </c>
      <c r="AB803" s="84">
        <v>0.0</v>
      </c>
      <c r="AC803" s="91">
        <v>0.0</v>
      </c>
      <c r="AD803" s="84">
        <v>0.0</v>
      </c>
      <c r="AE803" s="84">
        <v>0.0</v>
      </c>
      <c r="AF803" s="84">
        <v>0.0</v>
      </c>
      <c r="AG803" s="84">
        <v>0.0</v>
      </c>
      <c r="AH803" s="84">
        <v>0.0</v>
      </c>
      <c r="AI803" s="84">
        <v>0.0</v>
      </c>
      <c r="AJ803" s="84">
        <v>0.0</v>
      </c>
      <c r="AK803" s="84">
        <v>0.0</v>
      </c>
      <c r="AL803" s="84">
        <v>0.0</v>
      </c>
      <c r="AM803" s="84">
        <v>0.0</v>
      </c>
      <c r="AN803" s="93">
        <f t="shared" si="1"/>
        <v>0</v>
      </c>
      <c r="AO803" s="84">
        <f t="shared" si="2"/>
        <v>0</v>
      </c>
    </row>
    <row r="804" ht="12.75" customHeight="1">
      <c r="A804" s="84" t="s">
        <v>3449</v>
      </c>
      <c r="B804" s="84">
        <v>0.0</v>
      </c>
      <c r="C804" s="84">
        <v>0.0</v>
      </c>
      <c r="D804" s="84">
        <v>0.0</v>
      </c>
      <c r="E804" s="84">
        <v>6.0</v>
      </c>
      <c r="F804" s="84">
        <v>1.0</v>
      </c>
      <c r="G804" s="84">
        <v>0.0</v>
      </c>
      <c r="H804" s="84">
        <v>0.0</v>
      </c>
      <c r="I804" s="91">
        <v>0.0</v>
      </c>
      <c r="J804" s="84">
        <v>0.0</v>
      </c>
      <c r="K804" s="84">
        <v>0.0</v>
      </c>
      <c r="L804" s="84">
        <v>0.0</v>
      </c>
      <c r="M804" s="84">
        <v>0.0</v>
      </c>
      <c r="N804" s="84">
        <v>0.0</v>
      </c>
      <c r="O804" s="84">
        <v>0.0</v>
      </c>
      <c r="P804" s="84">
        <v>0.0</v>
      </c>
      <c r="Q804" s="84">
        <v>0.0</v>
      </c>
      <c r="R804" s="84">
        <v>0.0</v>
      </c>
      <c r="S804" s="84">
        <v>0.0</v>
      </c>
      <c r="T804" s="84">
        <v>0.0</v>
      </c>
      <c r="U804" s="84">
        <v>0.0</v>
      </c>
      <c r="V804" s="84">
        <v>0.0</v>
      </c>
      <c r="W804" s="84">
        <v>0.0</v>
      </c>
      <c r="X804" s="84">
        <v>0.0</v>
      </c>
      <c r="Y804" s="84">
        <v>6.0</v>
      </c>
      <c r="Z804" s="84">
        <v>1.0</v>
      </c>
      <c r="AA804" s="84">
        <v>0.0</v>
      </c>
      <c r="AB804" s="84">
        <v>0.0</v>
      </c>
      <c r="AC804" s="91">
        <v>0.0</v>
      </c>
      <c r="AD804" s="84">
        <v>0.0</v>
      </c>
      <c r="AE804" s="84">
        <v>0.0</v>
      </c>
      <c r="AF804" s="84">
        <v>0.0</v>
      </c>
      <c r="AG804" s="84">
        <v>0.0</v>
      </c>
      <c r="AH804" s="84">
        <v>0.0</v>
      </c>
      <c r="AI804" s="84">
        <v>0.0</v>
      </c>
      <c r="AJ804" s="84">
        <v>0.0</v>
      </c>
      <c r="AK804" s="84">
        <v>0.0</v>
      </c>
      <c r="AL804" s="84">
        <v>0.0</v>
      </c>
      <c r="AM804" s="84">
        <v>0.0</v>
      </c>
      <c r="AN804" s="93">
        <f t="shared" si="1"/>
        <v>0</v>
      </c>
      <c r="AO804" s="84">
        <f t="shared" si="2"/>
        <v>0</v>
      </c>
    </row>
    <row r="805" ht="12.75" customHeight="1">
      <c r="A805" s="84" t="s">
        <v>3163</v>
      </c>
      <c r="B805" s="84">
        <v>0.0</v>
      </c>
      <c r="C805" s="84">
        <v>5.0</v>
      </c>
      <c r="D805" s="84">
        <v>1.0</v>
      </c>
      <c r="E805" s="84">
        <v>0.0</v>
      </c>
      <c r="F805" s="84">
        <v>0.0</v>
      </c>
      <c r="G805" s="84">
        <v>0.0</v>
      </c>
      <c r="H805" s="84">
        <v>0.0</v>
      </c>
      <c r="I805" s="91">
        <v>0.0</v>
      </c>
      <c r="J805" s="84">
        <v>0.0</v>
      </c>
      <c r="K805" s="84">
        <v>0.0</v>
      </c>
      <c r="L805" s="84">
        <v>0.0</v>
      </c>
      <c r="M805" s="84">
        <v>0.0</v>
      </c>
      <c r="N805" s="84">
        <v>0.0</v>
      </c>
      <c r="O805" s="84">
        <v>0.0</v>
      </c>
      <c r="P805" s="84">
        <v>0.0</v>
      </c>
      <c r="Q805" s="84">
        <v>0.0</v>
      </c>
      <c r="R805" s="84">
        <v>0.0</v>
      </c>
      <c r="S805" s="84">
        <v>0.0</v>
      </c>
      <c r="T805" s="84">
        <v>0.0</v>
      </c>
      <c r="U805" s="84">
        <v>0.0</v>
      </c>
      <c r="V805" s="84">
        <v>0.0</v>
      </c>
      <c r="W805" s="84">
        <v>3.0</v>
      </c>
      <c r="X805" s="84">
        <v>4.0</v>
      </c>
      <c r="Y805" s="84">
        <v>0.0</v>
      </c>
      <c r="Z805" s="84">
        <v>0.0</v>
      </c>
      <c r="AA805" s="84">
        <v>0.0</v>
      </c>
      <c r="AB805" s="84">
        <v>0.0</v>
      </c>
      <c r="AC805" s="91">
        <v>0.0</v>
      </c>
      <c r="AD805" s="84">
        <v>0.0</v>
      </c>
      <c r="AE805" s="84">
        <v>0.0</v>
      </c>
      <c r="AF805" s="84">
        <v>0.0</v>
      </c>
      <c r="AG805" s="84">
        <v>0.0</v>
      </c>
      <c r="AH805" s="84">
        <v>0.0</v>
      </c>
      <c r="AI805" s="84">
        <v>0.0</v>
      </c>
      <c r="AJ805" s="84">
        <v>0.0</v>
      </c>
      <c r="AK805" s="84">
        <v>0.0</v>
      </c>
      <c r="AL805" s="84">
        <v>0.0</v>
      </c>
      <c r="AM805" s="84">
        <v>0.0</v>
      </c>
      <c r="AN805" s="93">
        <f t="shared" si="1"/>
        <v>0</v>
      </c>
      <c r="AO805" s="84">
        <f t="shared" si="2"/>
        <v>0</v>
      </c>
    </row>
    <row r="806" ht="12.75" customHeight="1">
      <c r="A806" s="84" t="s">
        <v>2829</v>
      </c>
      <c r="B806" s="84">
        <v>3.0</v>
      </c>
      <c r="C806" s="84">
        <v>0.0</v>
      </c>
      <c r="D806" s="84">
        <v>0.0</v>
      </c>
      <c r="E806" s="84">
        <v>0.0</v>
      </c>
      <c r="F806" s="84">
        <v>0.0</v>
      </c>
      <c r="G806" s="84">
        <v>0.0</v>
      </c>
      <c r="H806" s="84">
        <v>0.0</v>
      </c>
      <c r="I806" s="91">
        <v>0.0</v>
      </c>
      <c r="J806" s="84">
        <v>0.0</v>
      </c>
      <c r="K806" s="84">
        <v>0.0</v>
      </c>
      <c r="L806" s="84">
        <v>0.0</v>
      </c>
      <c r="M806" s="84">
        <v>0.0</v>
      </c>
      <c r="N806" s="84">
        <v>0.0</v>
      </c>
      <c r="O806" s="84">
        <v>0.0</v>
      </c>
      <c r="P806" s="84">
        <v>0.0</v>
      </c>
      <c r="Q806" s="84">
        <v>0.0</v>
      </c>
      <c r="R806" s="84">
        <v>0.0</v>
      </c>
      <c r="S806" s="84">
        <v>0.0</v>
      </c>
      <c r="T806" s="84">
        <v>0.0</v>
      </c>
      <c r="U806" s="84">
        <v>0.0</v>
      </c>
      <c r="V806" s="84">
        <v>1.0</v>
      </c>
      <c r="W806" s="84">
        <v>0.0</v>
      </c>
      <c r="X806" s="84">
        <v>0.0</v>
      </c>
      <c r="Y806" s="84">
        <v>0.0</v>
      </c>
      <c r="Z806" s="84">
        <v>0.0</v>
      </c>
      <c r="AA806" s="84">
        <v>0.0</v>
      </c>
      <c r="AB806" s="84">
        <v>0.0</v>
      </c>
      <c r="AC806" s="91">
        <v>0.0</v>
      </c>
      <c r="AD806" s="84">
        <v>0.0</v>
      </c>
      <c r="AE806" s="84">
        <v>0.0</v>
      </c>
      <c r="AF806" s="84">
        <v>0.0</v>
      </c>
      <c r="AG806" s="84">
        <v>0.0</v>
      </c>
      <c r="AH806" s="84">
        <v>0.0</v>
      </c>
      <c r="AI806" s="84">
        <v>0.0</v>
      </c>
      <c r="AJ806" s="84">
        <v>0.0</v>
      </c>
      <c r="AK806" s="84">
        <v>0.0</v>
      </c>
      <c r="AL806" s="84">
        <v>0.0</v>
      </c>
      <c r="AM806" s="84">
        <v>0.0</v>
      </c>
      <c r="AN806" s="93">
        <f t="shared" si="1"/>
        <v>0</v>
      </c>
      <c r="AO806" s="84">
        <f t="shared" si="2"/>
        <v>0</v>
      </c>
    </row>
    <row r="807" ht="12.75" customHeight="1">
      <c r="A807" s="84" t="s">
        <v>2924</v>
      </c>
      <c r="B807" s="84">
        <v>2.0</v>
      </c>
      <c r="C807" s="84">
        <v>0.0</v>
      </c>
      <c r="D807" s="84">
        <v>0.0</v>
      </c>
      <c r="E807" s="84">
        <v>0.0</v>
      </c>
      <c r="F807" s="84">
        <v>0.0</v>
      </c>
      <c r="G807" s="84">
        <v>0.0</v>
      </c>
      <c r="H807" s="84">
        <v>0.0</v>
      </c>
      <c r="I807" s="91">
        <v>0.0</v>
      </c>
      <c r="J807" s="84">
        <v>0.0</v>
      </c>
      <c r="K807" s="84">
        <v>0.0</v>
      </c>
      <c r="L807" s="84">
        <v>0.0</v>
      </c>
      <c r="M807" s="84">
        <v>0.0</v>
      </c>
      <c r="N807" s="84">
        <v>0.0</v>
      </c>
      <c r="O807" s="84">
        <v>0.0</v>
      </c>
      <c r="P807" s="84">
        <v>0.0</v>
      </c>
      <c r="Q807" s="84">
        <v>0.0</v>
      </c>
      <c r="R807" s="84">
        <v>0.0</v>
      </c>
      <c r="S807" s="84">
        <v>0.0</v>
      </c>
      <c r="T807" s="84">
        <v>0.0</v>
      </c>
      <c r="U807" s="84">
        <v>0.0</v>
      </c>
      <c r="V807" s="84">
        <v>1.0</v>
      </c>
      <c r="W807" s="84">
        <v>0.0</v>
      </c>
      <c r="X807" s="84">
        <v>0.0</v>
      </c>
      <c r="Y807" s="84">
        <v>0.0</v>
      </c>
      <c r="Z807" s="84">
        <v>0.0</v>
      </c>
      <c r="AA807" s="84">
        <v>0.0</v>
      </c>
      <c r="AB807" s="84">
        <v>0.0</v>
      </c>
      <c r="AC807" s="91">
        <v>0.0</v>
      </c>
      <c r="AD807" s="84">
        <v>0.0</v>
      </c>
      <c r="AE807" s="84">
        <v>0.0</v>
      </c>
      <c r="AF807" s="84">
        <v>0.0</v>
      </c>
      <c r="AG807" s="84">
        <v>0.0</v>
      </c>
      <c r="AH807" s="84">
        <v>0.0</v>
      </c>
      <c r="AI807" s="84">
        <v>0.0</v>
      </c>
      <c r="AJ807" s="84">
        <v>0.0</v>
      </c>
      <c r="AK807" s="84">
        <v>0.0</v>
      </c>
      <c r="AL807" s="84">
        <v>0.0</v>
      </c>
      <c r="AM807" s="84">
        <v>0.0</v>
      </c>
      <c r="AN807" s="93">
        <f t="shared" si="1"/>
        <v>0</v>
      </c>
      <c r="AO807" s="84">
        <f t="shared" si="2"/>
        <v>0</v>
      </c>
    </row>
    <row r="808" ht="12.75" customHeight="1">
      <c r="A808" s="84" t="s">
        <v>3073</v>
      </c>
      <c r="B808" s="84">
        <v>1.0</v>
      </c>
      <c r="C808" s="84">
        <v>0.0</v>
      </c>
      <c r="D808" s="84">
        <v>0.0</v>
      </c>
      <c r="E808" s="84">
        <v>0.0</v>
      </c>
      <c r="F808" s="84">
        <v>0.0</v>
      </c>
      <c r="G808" s="84">
        <v>0.0</v>
      </c>
      <c r="H808" s="84">
        <v>0.0</v>
      </c>
      <c r="I808" s="91">
        <v>0.0</v>
      </c>
      <c r="J808" s="84">
        <v>0.0</v>
      </c>
      <c r="K808" s="84">
        <v>0.0</v>
      </c>
      <c r="L808" s="84">
        <v>0.0</v>
      </c>
      <c r="M808" s="84">
        <v>0.0</v>
      </c>
      <c r="N808" s="84">
        <v>0.0</v>
      </c>
      <c r="O808" s="84">
        <v>0.0</v>
      </c>
      <c r="P808" s="84">
        <v>0.0</v>
      </c>
      <c r="Q808" s="84">
        <v>0.0</v>
      </c>
      <c r="R808" s="84">
        <v>0.0</v>
      </c>
      <c r="S808" s="84">
        <v>0.0</v>
      </c>
      <c r="T808" s="84">
        <v>0.0</v>
      </c>
      <c r="U808" s="84">
        <v>0.0</v>
      </c>
      <c r="V808" s="84">
        <v>5.0</v>
      </c>
      <c r="W808" s="84">
        <v>1.0</v>
      </c>
      <c r="X808" s="84">
        <v>0.0</v>
      </c>
      <c r="Y808" s="84">
        <v>0.0</v>
      </c>
      <c r="Z808" s="84">
        <v>0.0</v>
      </c>
      <c r="AA808" s="84">
        <v>0.0</v>
      </c>
      <c r="AB808" s="84">
        <v>0.0</v>
      </c>
      <c r="AC808" s="91">
        <v>0.0</v>
      </c>
      <c r="AD808" s="84">
        <v>0.0</v>
      </c>
      <c r="AE808" s="84">
        <v>0.0</v>
      </c>
      <c r="AF808" s="84">
        <v>0.0</v>
      </c>
      <c r="AG808" s="84">
        <v>0.0</v>
      </c>
      <c r="AH808" s="84">
        <v>0.0</v>
      </c>
      <c r="AI808" s="84">
        <v>0.0</v>
      </c>
      <c r="AJ808" s="84">
        <v>0.0</v>
      </c>
      <c r="AK808" s="84">
        <v>0.0</v>
      </c>
      <c r="AL808" s="84">
        <v>0.0</v>
      </c>
      <c r="AM808" s="84">
        <v>0.0</v>
      </c>
      <c r="AN808" s="93">
        <f t="shared" si="1"/>
        <v>0</v>
      </c>
      <c r="AO808" s="84">
        <f t="shared" si="2"/>
        <v>0</v>
      </c>
    </row>
    <row r="809" ht="12.75" customHeight="1">
      <c r="A809" s="84" t="s">
        <v>3559</v>
      </c>
      <c r="B809" s="84">
        <v>0.0</v>
      </c>
      <c r="C809" s="84">
        <v>0.0</v>
      </c>
      <c r="D809" s="84">
        <v>0.0</v>
      </c>
      <c r="E809" s="84">
        <v>4.0</v>
      </c>
      <c r="F809" s="84">
        <v>4.0</v>
      </c>
      <c r="G809" s="84">
        <v>0.0</v>
      </c>
      <c r="H809" s="84">
        <v>0.0</v>
      </c>
      <c r="I809" s="91">
        <v>0.0</v>
      </c>
      <c r="J809" s="84">
        <v>0.0</v>
      </c>
      <c r="K809" s="84">
        <v>0.0</v>
      </c>
      <c r="L809" s="84">
        <v>0.0</v>
      </c>
      <c r="M809" s="84">
        <v>0.0</v>
      </c>
      <c r="N809" s="84">
        <v>0.0</v>
      </c>
      <c r="O809" s="84">
        <v>0.0</v>
      </c>
      <c r="P809" s="84">
        <v>0.0</v>
      </c>
      <c r="Q809" s="84">
        <v>0.0</v>
      </c>
      <c r="R809" s="84">
        <v>0.0</v>
      </c>
      <c r="S809" s="84">
        <v>0.0</v>
      </c>
      <c r="T809" s="84">
        <v>0.0</v>
      </c>
      <c r="U809" s="84">
        <v>0.0</v>
      </c>
      <c r="V809" s="84">
        <v>0.0</v>
      </c>
      <c r="W809" s="84">
        <v>0.0</v>
      </c>
      <c r="X809" s="84">
        <v>0.0</v>
      </c>
      <c r="Y809" s="84">
        <v>6.0</v>
      </c>
      <c r="Z809" s="84">
        <v>2.0</v>
      </c>
      <c r="AA809" s="84">
        <v>0.0</v>
      </c>
      <c r="AB809" s="84">
        <v>0.0</v>
      </c>
      <c r="AC809" s="91">
        <v>0.0</v>
      </c>
      <c r="AD809" s="84">
        <v>0.0</v>
      </c>
      <c r="AE809" s="84">
        <v>0.0</v>
      </c>
      <c r="AF809" s="84">
        <v>0.0</v>
      </c>
      <c r="AG809" s="84">
        <v>0.0</v>
      </c>
      <c r="AH809" s="84">
        <v>0.0</v>
      </c>
      <c r="AI809" s="84">
        <v>0.0</v>
      </c>
      <c r="AJ809" s="84">
        <v>0.0</v>
      </c>
      <c r="AK809" s="84">
        <v>0.0</v>
      </c>
      <c r="AL809" s="84">
        <v>0.0</v>
      </c>
      <c r="AM809" s="84">
        <v>0.0</v>
      </c>
      <c r="AN809" s="93">
        <f t="shared" si="1"/>
        <v>0</v>
      </c>
      <c r="AO809" s="84">
        <f t="shared" si="2"/>
        <v>0</v>
      </c>
    </row>
    <row r="810" ht="12.75" customHeight="1">
      <c r="A810" s="84" t="s">
        <v>2934</v>
      </c>
      <c r="B810" s="84">
        <v>3.0</v>
      </c>
      <c r="C810" s="84">
        <v>0.0</v>
      </c>
      <c r="D810" s="84">
        <v>0.0</v>
      </c>
      <c r="E810" s="84">
        <v>0.0</v>
      </c>
      <c r="F810" s="84">
        <v>0.0</v>
      </c>
      <c r="G810" s="84">
        <v>0.0</v>
      </c>
      <c r="H810" s="84">
        <v>0.0</v>
      </c>
      <c r="I810" s="91">
        <v>0.0</v>
      </c>
      <c r="J810" s="84">
        <v>0.0</v>
      </c>
      <c r="K810" s="84">
        <v>0.0</v>
      </c>
      <c r="L810" s="84">
        <v>0.0</v>
      </c>
      <c r="M810" s="84">
        <v>0.0</v>
      </c>
      <c r="N810" s="84">
        <v>0.0</v>
      </c>
      <c r="O810" s="84">
        <v>0.0</v>
      </c>
      <c r="P810" s="84">
        <v>0.0</v>
      </c>
      <c r="Q810" s="84">
        <v>0.0</v>
      </c>
      <c r="R810" s="84">
        <v>0.0</v>
      </c>
      <c r="S810" s="84">
        <v>0.0</v>
      </c>
      <c r="T810" s="84">
        <v>0.0</v>
      </c>
      <c r="U810" s="84">
        <v>0.0</v>
      </c>
      <c r="V810" s="84">
        <v>4.0</v>
      </c>
      <c r="W810" s="84">
        <v>2.0</v>
      </c>
      <c r="X810" s="84">
        <v>0.0</v>
      </c>
      <c r="Y810" s="84">
        <v>0.0</v>
      </c>
      <c r="Z810" s="84">
        <v>0.0</v>
      </c>
      <c r="AA810" s="84">
        <v>0.0</v>
      </c>
      <c r="AB810" s="84">
        <v>0.0</v>
      </c>
      <c r="AC810" s="91">
        <v>0.0</v>
      </c>
      <c r="AD810" s="84">
        <v>0.0</v>
      </c>
      <c r="AE810" s="84">
        <v>0.0</v>
      </c>
      <c r="AF810" s="84">
        <v>0.0</v>
      </c>
      <c r="AG810" s="84">
        <v>0.0</v>
      </c>
      <c r="AH810" s="84">
        <v>0.0</v>
      </c>
      <c r="AI810" s="84">
        <v>0.0</v>
      </c>
      <c r="AJ810" s="84">
        <v>0.0</v>
      </c>
      <c r="AK810" s="84">
        <v>0.0</v>
      </c>
      <c r="AL810" s="84">
        <v>0.0</v>
      </c>
      <c r="AM810" s="84">
        <v>0.0</v>
      </c>
      <c r="AN810" s="93">
        <f t="shared" si="1"/>
        <v>0</v>
      </c>
      <c r="AO810" s="84">
        <f t="shared" si="2"/>
        <v>0</v>
      </c>
    </row>
    <row r="811" ht="12.75" customHeight="1">
      <c r="A811" s="84" t="s">
        <v>3115</v>
      </c>
      <c r="B811" s="84">
        <v>0.0</v>
      </c>
      <c r="C811" s="84">
        <v>5.0</v>
      </c>
      <c r="D811" s="84">
        <v>2.0</v>
      </c>
      <c r="E811" s="84">
        <v>0.0</v>
      </c>
      <c r="F811" s="84">
        <v>0.0</v>
      </c>
      <c r="G811" s="84">
        <v>0.0</v>
      </c>
      <c r="H811" s="84">
        <v>0.0</v>
      </c>
      <c r="I811" s="91">
        <v>0.0</v>
      </c>
      <c r="J811" s="84">
        <v>0.0</v>
      </c>
      <c r="K811" s="84">
        <v>0.0</v>
      </c>
      <c r="L811" s="84">
        <v>0.0</v>
      </c>
      <c r="M811" s="84">
        <v>0.0</v>
      </c>
      <c r="N811" s="84">
        <v>0.0</v>
      </c>
      <c r="O811" s="84">
        <v>0.0</v>
      </c>
      <c r="P811" s="84">
        <v>0.0</v>
      </c>
      <c r="Q811" s="84">
        <v>0.0</v>
      </c>
      <c r="R811" s="84">
        <v>0.0</v>
      </c>
      <c r="S811" s="84">
        <v>0.0</v>
      </c>
      <c r="T811" s="84">
        <v>0.0</v>
      </c>
      <c r="U811" s="84">
        <v>0.0</v>
      </c>
      <c r="V811" s="84">
        <v>0.0</v>
      </c>
      <c r="W811" s="84">
        <v>3.0</v>
      </c>
      <c r="X811" s="84">
        <v>3.0</v>
      </c>
      <c r="Y811" s="84">
        <v>0.0</v>
      </c>
      <c r="Z811" s="84">
        <v>0.0</v>
      </c>
      <c r="AA811" s="84">
        <v>0.0</v>
      </c>
      <c r="AB811" s="84">
        <v>0.0</v>
      </c>
      <c r="AC811" s="91">
        <v>0.0</v>
      </c>
      <c r="AD811" s="84">
        <v>0.0</v>
      </c>
      <c r="AE811" s="84">
        <v>0.0</v>
      </c>
      <c r="AF811" s="84">
        <v>0.0</v>
      </c>
      <c r="AG811" s="84">
        <v>0.0</v>
      </c>
      <c r="AH811" s="84">
        <v>0.0</v>
      </c>
      <c r="AI811" s="84">
        <v>0.0</v>
      </c>
      <c r="AJ811" s="84">
        <v>0.0</v>
      </c>
      <c r="AK811" s="84">
        <v>0.0</v>
      </c>
      <c r="AL811" s="84">
        <v>0.0</v>
      </c>
      <c r="AM811" s="84">
        <v>0.0</v>
      </c>
      <c r="AN811" s="93">
        <f t="shared" si="1"/>
        <v>0</v>
      </c>
      <c r="AO811" s="84">
        <f t="shared" si="2"/>
        <v>0</v>
      </c>
    </row>
    <row r="812" ht="12.75" customHeight="1">
      <c r="A812" s="84" t="s">
        <v>3574</v>
      </c>
      <c r="B812" s="84">
        <v>0.0</v>
      </c>
      <c r="C812" s="84">
        <v>0.0</v>
      </c>
      <c r="D812" s="84">
        <v>0.0</v>
      </c>
      <c r="E812" s="84">
        <v>4.0</v>
      </c>
      <c r="F812" s="84">
        <v>1.0</v>
      </c>
      <c r="G812" s="84">
        <v>0.0</v>
      </c>
      <c r="H812" s="84">
        <v>0.0</v>
      </c>
      <c r="I812" s="91">
        <v>0.0</v>
      </c>
      <c r="J812" s="84">
        <v>0.0</v>
      </c>
      <c r="K812" s="84">
        <v>0.0</v>
      </c>
      <c r="L812" s="84">
        <v>0.0</v>
      </c>
      <c r="M812" s="84">
        <v>0.0</v>
      </c>
      <c r="N812" s="84">
        <v>0.0</v>
      </c>
      <c r="O812" s="84">
        <v>0.0</v>
      </c>
      <c r="P812" s="84">
        <v>0.0</v>
      </c>
      <c r="Q812" s="84">
        <v>0.0</v>
      </c>
      <c r="R812" s="84">
        <v>0.0</v>
      </c>
      <c r="S812" s="84">
        <v>0.0</v>
      </c>
      <c r="T812" s="84">
        <v>0.0</v>
      </c>
      <c r="U812" s="84">
        <v>0.0</v>
      </c>
      <c r="V812" s="84">
        <v>0.0</v>
      </c>
      <c r="W812" s="84">
        <v>0.0</v>
      </c>
      <c r="X812" s="84">
        <v>0.0</v>
      </c>
      <c r="Y812" s="84">
        <v>6.0</v>
      </c>
      <c r="Z812" s="84">
        <v>4.0</v>
      </c>
      <c r="AA812" s="84">
        <v>0.0</v>
      </c>
      <c r="AB812" s="84">
        <v>0.0</v>
      </c>
      <c r="AC812" s="91">
        <v>0.0</v>
      </c>
      <c r="AD812" s="84">
        <v>0.0</v>
      </c>
      <c r="AE812" s="84">
        <v>0.0</v>
      </c>
      <c r="AF812" s="84">
        <v>0.0</v>
      </c>
      <c r="AG812" s="84">
        <v>0.0</v>
      </c>
      <c r="AH812" s="84">
        <v>0.0</v>
      </c>
      <c r="AI812" s="84">
        <v>0.0</v>
      </c>
      <c r="AJ812" s="84">
        <v>0.0</v>
      </c>
      <c r="AK812" s="84">
        <v>0.0</v>
      </c>
      <c r="AL812" s="84">
        <v>0.0</v>
      </c>
      <c r="AM812" s="84">
        <v>0.0</v>
      </c>
      <c r="AN812" s="93">
        <f t="shared" si="1"/>
        <v>0</v>
      </c>
      <c r="AO812" s="84">
        <f t="shared" si="2"/>
        <v>0</v>
      </c>
    </row>
    <row r="813" ht="12.75" customHeight="1">
      <c r="A813" s="84" t="s">
        <v>3192</v>
      </c>
      <c r="B813" s="84">
        <v>0.0</v>
      </c>
      <c r="C813" s="84">
        <v>4.0</v>
      </c>
      <c r="D813" s="84">
        <v>2.0</v>
      </c>
      <c r="E813" s="84">
        <v>0.0</v>
      </c>
      <c r="F813" s="84">
        <v>0.0</v>
      </c>
      <c r="G813" s="84">
        <v>0.0</v>
      </c>
      <c r="H813" s="84">
        <v>0.0</v>
      </c>
      <c r="I813" s="91">
        <v>0.0</v>
      </c>
      <c r="J813" s="84">
        <v>0.0</v>
      </c>
      <c r="K813" s="84">
        <v>0.0</v>
      </c>
      <c r="L813" s="84">
        <v>0.0</v>
      </c>
      <c r="M813" s="84">
        <v>0.0</v>
      </c>
      <c r="N813" s="84">
        <v>0.0</v>
      </c>
      <c r="O813" s="84">
        <v>0.0</v>
      </c>
      <c r="P813" s="84">
        <v>0.0</v>
      </c>
      <c r="Q813" s="84">
        <v>0.0</v>
      </c>
      <c r="R813" s="84">
        <v>0.0</v>
      </c>
      <c r="S813" s="84">
        <v>0.0</v>
      </c>
      <c r="T813" s="84">
        <v>0.0</v>
      </c>
      <c r="U813" s="84">
        <v>0.0</v>
      </c>
      <c r="V813" s="84">
        <v>0.0</v>
      </c>
      <c r="W813" s="84">
        <v>3.0</v>
      </c>
      <c r="X813" s="84">
        <v>1.0</v>
      </c>
      <c r="Y813" s="84">
        <v>0.0</v>
      </c>
      <c r="Z813" s="84">
        <v>0.0</v>
      </c>
      <c r="AA813" s="84">
        <v>0.0</v>
      </c>
      <c r="AB813" s="84">
        <v>0.0</v>
      </c>
      <c r="AC813" s="91">
        <v>0.0</v>
      </c>
      <c r="AD813" s="84">
        <v>0.0</v>
      </c>
      <c r="AE813" s="84">
        <v>0.0</v>
      </c>
      <c r="AF813" s="84">
        <v>0.0</v>
      </c>
      <c r="AG813" s="84">
        <v>0.0</v>
      </c>
      <c r="AH813" s="84">
        <v>0.0</v>
      </c>
      <c r="AI813" s="84">
        <v>0.0</v>
      </c>
      <c r="AJ813" s="84">
        <v>0.0</v>
      </c>
      <c r="AK813" s="84">
        <v>0.0</v>
      </c>
      <c r="AL813" s="84">
        <v>0.0</v>
      </c>
      <c r="AM813" s="84">
        <v>0.0</v>
      </c>
      <c r="AN813" s="93">
        <f t="shared" si="1"/>
        <v>0</v>
      </c>
      <c r="AO813" s="84">
        <f t="shared" si="2"/>
        <v>0</v>
      </c>
    </row>
    <row r="814" ht="12.75" customHeight="1">
      <c r="A814" s="84" t="s">
        <v>3276</v>
      </c>
      <c r="B814" s="84">
        <v>0.0</v>
      </c>
      <c r="C814" s="84">
        <v>5.0</v>
      </c>
      <c r="D814" s="84">
        <v>2.0</v>
      </c>
      <c r="E814" s="84">
        <v>0.0</v>
      </c>
      <c r="F814" s="84">
        <v>0.0</v>
      </c>
      <c r="G814" s="84">
        <v>0.0</v>
      </c>
      <c r="H814" s="84">
        <v>0.0</v>
      </c>
      <c r="I814" s="91">
        <v>0.0</v>
      </c>
      <c r="J814" s="84">
        <v>0.0</v>
      </c>
      <c r="K814" s="84">
        <v>0.0</v>
      </c>
      <c r="L814" s="84">
        <v>0.0</v>
      </c>
      <c r="M814" s="84">
        <v>0.0</v>
      </c>
      <c r="N814" s="84">
        <v>0.0</v>
      </c>
      <c r="O814" s="84">
        <v>0.0</v>
      </c>
      <c r="P814" s="84">
        <v>0.0</v>
      </c>
      <c r="Q814" s="84">
        <v>0.0</v>
      </c>
      <c r="R814" s="84">
        <v>0.0</v>
      </c>
      <c r="S814" s="84">
        <v>0.0</v>
      </c>
      <c r="T814" s="84">
        <v>0.0</v>
      </c>
      <c r="U814" s="84">
        <v>0.0</v>
      </c>
      <c r="V814" s="84">
        <v>0.0</v>
      </c>
      <c r="W814" s="84">
        <v>3.0</v>
      </c>
      <c r="X814" s="84">
        <v>2.0</v>
      </c>
      <c r="Y814" s="84">
        <v>0.0</v>
      </c>
      <c r="Z814" s="84">
        <v>0.0</v>
      </c>
      <c r="AA814" s="84">
        <v>0.0</v>
      </c>
      <c r="AB814" s="84">
        <v>0.0</v>
      </c>
      <c r="AC814" s="91">
        <v>0.0</v>
      </c>
      <c r="AD814" s="84">
        <v>0.0</v>
      </c>
      <c r="AE814" s="84">
        <v>0.0</v>
      </c>
      <c r="AF814" s="84">
        <v>0.0</v>
      </c>
      <c r="AG814" s="84">
        <v>0.0</v>
      </c>
      <c r="AH814" s="84">
        <v>0.0</v>
      </c>
      <c r="AI814" s="84">
        <v>0.0</v>
      </c>
      <c r="AJ814" s="84">
        <v>0.0</v>
      </c>
      <c r="AK814" s="84">
        <v>0.0</v>
      </c>
      <c r="AL814" s="84">
        <v>0.0</v>
      </c>
      <c r="AM814" s="84">
        <v>0.0</v>
      </c>
      <c r="AN814" s="93">
        <f t="shared" si="1"/>
        <v>0</v>
      </c>
      <c r="AO814" s="84">
        <f t="shared" si="2"/>
        <v>0</v>
      </c>
    </row>
    <row r="815" ht="12.75" customHeight="1">
      <c r="A815" s="84" t="s">
        <v>3246</v>
      </c>
      <c r="B815" s="84">
        <v>0.0</v>
      </c>
      <c r="C815" s="84">
        <v>4.0</v>
      </c>
      <c r="D815" s="84">
        <v>0.0</v>
      </c>
      <c r="E815" s="84">
        <v>0.0</v>
      </c>
      <c r="F815" s="84">
        <v>0.0</v>
      </c>
      <c r="G815" s="84">
        <v>0.0</v>
      </c>
      <c r="H815" s="84">
        <v>0.0</v>
      </c>
      <c r="I815" s="91">
        <v>0.0</v>
      </c>
      <c r="J815" s="84">
        <v>0.0</v>
      </c>
      <c r="K815" s="84">
        <v>0.0</v>
      </c>
      <c r="L815" s="84">
        <v>0.0</v>
      </c>
      <c r="M815" s="84">
        <v>0.0</v>
      </c>
      <c r="N815" s="84">
        <v>0.0</v>
      </c>
      <c r="O815" s="84">
        <v>0.0</v>
      </c>
      <c r="P815" s="84">
        <v>0.0</v>
      </c>
      <c r="Q815" s="84">
        <v>0.0</v>
      </c>
      <c r="R815" s="84">
        <v>0.0</v>
      </c>
      <c r="S815" s="84">
        <v>0.0</v>
      </c>
      <c r="T815" s="84">
        <v>0.0</v>
      </c>
      <c r="U815" s="84">
        <v>0.0</v>
      </c>
      <c r="V815" s="84">
        <v>0.0</v>
      </c>
      <c r="W815" s="84">
        <v>3.0</v>
      </c>
      <c r="X815" s="84">
        <v>1.0</v>
      </c>
      <c r="Y815" s="84">
        <v>0.0</v>
      </c>
      <c r="Z815" s="84">
        <v>0.0</v>
      </c>
      <c r="AA815" s="84">
        <v>0.0</v>
      </c>
      <c r="AB815" s="84">
        <v>0.0</v>
      </c>
      <c r="AC815" s="91">
        <v>0.0</v>
      </c>
      <c r="AD815" s="84">
        <v>0.0</v>
      </c>
      <c r="AE815" s="84">
        <v>0.0</v>
      </c>
      <c r="AF815" s="84">
        <v>0.0</v>
      </c>
      <c r="AG815" s="84">
        <v>0.0</v>
      </c>
      <c r="AH815" s="84">
        <v>0.0</v>
      </c>
      <c r="AI815" s="84">
        <v>0.0</v>
      </c>
      <c r="AJ815" s="84">
        <v>0.0</v>
      </c>
      <c r="AK815" s="84">
        <v>0.0</v>
      </c>
      <c r="AL815" s="84">
        <v>0.0</v>
      </c>
      <c r="AM815" s="84">
        <v>0.0</v>
      </c>
      <c r="AN815" s="93">
        <f t="shared" si="1"/>
        <v>0</v>
      </c>
      <c r="AO815" s="84">
        <f t="shared" si="2"/>
        <v>0</v>
      </c>
    </row>
    <row r="816" ht="12.75" customHeight="1">
      <c r="A816" s="84" t="s">
        <v>3396</v>
      </c>
      <c r="B816" s="84">
        <v>0.0</v>
      </c>
      <c r="C816" s="84">
        <v>0.0</v>
      </c>
      <c r="D816" s="84">
        <v>5.0</v>
      </c>
      <c r="E816" s="84">
        <v>0.0</v>
      </c>
      <c r="F816" s="84">
        <v>0.0</v>
      </c>
      <c r="G816" s="84">
        <v>0.0</v>
      </c>
      <c r="H816" s="84">
        <v>0.0</v>
      </c>
      <c r="I816" s="91">
        <v>0.0</v>
      </c>
      <c r="J816" s="84">
        <v>0.0</v>
      </c>
      <c r="K816" s="84">
        <v>0.0</v>
      </c>
      <c r="L816" s="84">
        <v>0.0</v>
      </c>
      <c r="M816" s="84">
        <v>0.0</v>
      </c>
      <c r="N816" s="84">
        <v>0.0</v>
      </c>
      <c r="O816" s="84">
        <v>0.0</v>
      </c>
      <c r="P816" s="84">
        <v>0.0</v>
      </c>
      <c r="Q816" s="84">
        <v>0.0</v>
      </c>
      <c r="R816" s="84">
        <v>0.0</v>
      </c>
      <c r="S816" s="84">
        <v>0.0</v>
      </c>
      <c r="T816" s="84">
        <v>0.0</v>
      </c>
      <c r="U816" s="84">
        <v>0.0</v>
      </c>
      <c r="V816" s="84">
        <v>0.0</v>
      </c>
      <c r="W816" s="84">
        <v>0.0</v>
      </c>
      <c r="X816" s="84">
        <v>6.0</v>
      </c>
      <c r="Y816" s="84">
        <v>0.0</v>
      </c>
      <c r="Z816" s="84">
        <v>0.0</v>
      </c>
      <c r="AA816" s="84">
        <v>0.0</v>
      </c>
      <c r="AB816" s="84">
        <v>0.0</v>
      </c>
      <c r="AC816" s="91">
        <v>0.0</v>
      </c>
      <c r="AD816" s="84">
        <v>0.0</v>
      </c>
      <c r="AE816" s="84">
        <v>0.0</v>
      </c>
      <c r="AF816" s="84">
        <v>0.0</v>
      </c>
      <c r="AG816" s="84">
        <v>0.0</v>
      </c>
      <c r="AH816" s="84">
        <v>0.0</v>
      </c>
      <c r="AI816" s="84">
        <v>0.0</v>
      </c>
      <c r="AJ816" s="84">
        <v>0.0</v>
      </c>
      <c r="AK816" s="84">
        <v>0.0</v>
      </c>
      <c r="AL816" s="84">
        <v>0.0</v>
      </c>
      <c r="AM816" s="84">
        <v>0.0</v>
      </c>
      <c r="AN816" s="93">
        <f t="shared" si="1"/>
        <v>0</v>
      </c>
      <c r="AO816" s="84">
        <f t="shared" si="2"/>
        <v>0</v>
      </c>
    </row>
    <row r="817" ht="12.75" customHeight="1">
      <c r="A817" s="84" t="s">
        <v>4574</v>
      </c>
      <c r="B817" s="84">
        <v>0.0</v>
      </c>
      <c r="C817" s="84">
        <v>0.0</v>
      </c>
      <c r="D817" s="84">
        <v>0.0</v>
      </c>
      <c r="E817" s="84">
        <v>0.0</v>
      </c>
      <c r="F817" s="84">
        <v>0.0</v>
      </c>
      <c r="G817" s="84">
        <v>0.0</v>
      </c>
      <c r="H817" s="84">
        <v>0.0</v>
      </c>
      <c r="I817" s="91">
        <v>0.0</v>
      </c>
      <c r="J817" s="84">
        <v>0.0</v>
      </c>
      <c r="K817" s="84">
        <v>0.0</v>
      </c>
      <c r="L817" s="84">
        <v>0.0</v>
      </c>
      <c r="M817" s="84">
        <v>0.0</v>
      </c>
      <c r="N817" s="84">
        <v>0.0</v>
      </c>
      <c r="O817" s="84">
        <v>0.0</v>
      </c>
      <c r="P817" s="84">
        <v>0.0</v>
      </c>
      <c r="Q817" s="84">
        <v>1.0</v>
      </c>
      <c r="R817" s="84">
        <v>0.0</v>
      </c>
      <c r="S817" s="84">
        <v>0.0</v>
      </c>
      <c r="T817" s="84">
        <v>0.0</v>
      </c>
      <c r="U817" s="84">
        <v>0.0</v>
      </c>
      <c r="V817" s="84">
        <v>0.0</v>
      </c>
      <c r="W817" s="84">
        <v>0.0</v>
      </c>
      <c r="X817" s="84">
        <v>0.0</v>
      </c>
      <c r="Y817" s="84">
        <v>0.0</v>
      </c>
      <c r="Z817" s="84">
        <v>0.0</v>
      </c>
      <c r="AA817" s="84">
        <v>0.0</v>
      </c>
      <c r="AB817" s="84">
        <v>0.0</v>
      </c>
      <c r="AC817" s="91">
        <v>0.0</v>
      </c>
      <c r="AD817" s="84">
        <v>0.0</v>
      </c>
      <c r="AE817" s="84">
        <v>0.0</v>
      </c>
      <c r="AF817" s="84">
        <v>0.0</v>
      </c>
      <c r="AG817" s="84">
        <v>0.0</v>
      </c>
      <c r="AH817" s="84">
        <v>0.0</v>
      </c>
      <c r="AI817" s="84">
        <v>0.0</v>
      </c>
      <c r="AJ817" s="84">
        <v>0.0</v>
      </c>
      <c r="AK817" s="84">
        <v>0.0</v>
      </c>
      <c r="AL817" s="84">
        <v>0.0</v>
      </c>
      <c r="AM817" s="84">
        <v>0.0</v>
      </c>
      <c r="AN817" s="93">
        <f t="shared" si="1"/>
        <v>0</v>
      </c>
      <c r="AO817" s="84">
        <f t="shared" si="2"/>
        <v>1</v>
      </c>
    </row>
    <row r="818" ht="12.75" customHeight="1">
      <c r="A818" s="84" t="s">
        <v>4525</v>
      </c>
      <c r="B818" s="84">
        <v>0.0</v>
      </c>
      <c r="C818" s="84">
        <v>0.0</v>
      </c>
      <c r="D818" s="84">
        <v>0.0</v>
      </c>
      <c r="E818" s="84">
        <v>0.0</v>
      </c>
      <c r="F818" s="84">
        <v>0.0</v>
      </c>
      <c r="G818" s="84">
        <v>0.0</v>
      </c>
      <c r="H818" s="84">
        <v>0.0</v>
      </c>
      <c r="I818" s="91">
        <v>0.0</v>
      </c>
      <c r="J818" s="84">
        <v>0.0</v>
      </c>
      <c r="K818" s="84">
        <v>0.0</v>
      </c>
      <c r="L818" s="84">
        <v>0.0</v>
      </c>
      <c r="M818" s="84">
        <v>0.0</v>
      </c>
      <c r="N818" s="84">
        <v>0.0</v>
      </c>
      <c r="O818" s="84">
        <v>1.0</v>
      </c>
      <c r="P818" s="84">
        <v>0.0</v>
      </c>
      <c r="Q818" s="84">
        <v>0.0</v>
      </c>
      <c r="R818" s="84">
        <v>0.0</v>
      </c>
      <c r="S818" s="84">
        <v>0.0</v>
      </c>
      <c r="T818" s="84">
        <v>0.0</v>
      </c>
      <c r="U818" s="84">
        <v>0.0</v>
      </c>
      <c r="V818" s="84">
        <v>0.0</v>
      </c>
      <c r="W818" s="84">
        <v>0.0</v>
      </c>
      <c r="X818" s="84">
        <v>0.0</v>
      </c>
      <c r="Y818" s="84">
        <v>0.0</v>
      </c>
      <c r="Z818" s="84">
        <v>0.0</v>
      </c>
      <c r="AA818" s="84">
        <v>0.0</v>
      </c>
      <c r="AB818" s="84">
        <v>0.0</v>
      </c>
      <c r="AC818" s="91">
        <v>0.0</v>
      </c>
      <c r="AD818" s="84">
        <v>0.0</v>
      </c>
      <c r="AE818" s="84">
        <v>0.0</v>
      </c>
      <c r="AF818" s="84">
        <v>0.0</v>
      </c>
      <c r="AG818" s="84">
        <v>0.0</v>
      </c>
      <c r="AH818" s="84">
        <v>0.0</v>
      </c>
      <c r="AI818" s="84">
        <v>0.0</v>
      </c>
      <c r="AJ818" s="84">
        <v>0.0</v>
      </c>
      <c r="AK818" s="84">
        <v>0.0</v>
      </c>
      <c r="AL818" s="84">
        <v>0.0</v>
      </c>
      <c r="AM818" s="84">
        <v>0.0</v>
      </c>
      <c r="AN818" s="93">
        <f t="shared" si="1"/>
        <v>0</v>
      </c>
      <c r="AO818" s="84">
        <f t="shared" si="2"/>
        <v>1</v>
      </c>
    </row>
    <row r="819" ht="12.75" customHeight="1">
      <c r="A819" s="84" t="s">
        <v>3410</v>
      </c>
      <c r="B819" s="84">
        <v>0.0</v>
      </c>
      <c r="C819" s="84">
        <v>0.0</v>
      </c>
      <c r="D819" s="84">
        <v>4.0</v>
      </c>
      <c r="E819" s="84">
        <v>0.0</v>
      </c>
      <c r="F819" s="84">
        <v>0.0</v>
      </c>
      <c r="G819" s="84">
        <v>0.0</v>
      </c>
      <c r="H819" s="84">
        <v>0.0</v>
      </c>
      <c r="I819" s="91">
        <v>0.0</v>
      </c>
      <c r="J819" s="84">
        <v>0.0</v>
      </c>
      <c r="K819" s="84">
        <v>0.0</v>
      </c>
      <c r="L819" s="84">
        <v>0.0</v>
      </c>
      <c r="M819" s="84">
        <v>0.0</v>
      </c>
      <c r="N819" s="84">
        <v>0.0</v>
      </c>
      <c r="O819" s="84">
        <v>0.0</v>
      </c>
      <c r="P819" s="84">
        <v>0.0</v>
      </c>
      <c r="Q819" s="84">
        <v>0.0</v>
      </c>
      <c r="R819" s="84">
        <v>0.0</v>
      </c>
      <c r="S819" s="84">
        <v>0.0</v>
      </c>
      <c r="T819" s="84">
        <v>0.0</v>
      </c>
      <c r="U819" s="84">
        <v>0.0</v>
      </c>
      <c r="V819" s="84">
        <v>0.0</v>
      </c>
      <c r="W819" s="84">
        <v>0.0</v>
      </c>
      <c r="X819" s="84">
        <v>6.0</v>
      </c>
      <c r="Y819" s="84">
        <v>3.0</v>
      </c>
      <c r="Z819" s="84">
        <v>0.0</v>
      </c>
      <c r="AA819" s="84">
        <v>0.0</v>
      </c>
      <c r="AB819" s="84">
        <v>0.0</v>
      </c>
      <c r="AC819" s="91">
        <v>0.0</v>
      </c>
      <c r="AD819" s="84">
        <v>0.0</v>
      </c>
      <c r="AE819" s="84">
        <v>0.0</v>
      </c>
      <c r="AF819" s="84">
        <v>0.0</v>
      </c>
      <c r="AG819" s="84">
        <v>0.0</v>
      </c>
      <c r="AH819" s="84">
        <v>0.0</v>
      </c>
      <c r="AI819" s="84">
        <v>0.0</v>
      </c>
      <c r="AJ819" s="84">
        <v>0.0</v>
      </c>
      <c r="AK819" s="84">
        <v>0.0</v>
      </c>
      <c r="AL819" s="84">
        <v>0.0</v>
      </c>
      <c r="AM819" s="84">
        <v>0.0</v>
      </c>
      <c r="AN819" s="93">
        <f t="shared" si="1"/>
        <v>0</v>
      </c>
      <c r="AO819" s="84">
        <f t="shared" si="2"/>
        <v>0</v>
      </c>
    </row>
    <row r="820" ht="12.75" customHeight="1">
      <c r="A820" s="84" t="s">
        <v>3017</v>
      </c>
      <c r="B820" s="84">
        <v>2.0</v>
      </c>
      <c r="C820" s="84">
        <v>1.0</v>
      </c>
      <c r="D820" s="84">
        <v>0.0</v>
      </c>
      <c r="E820" s="84">
        <v>0.0</v>
      </c>
      <c r="F820" s="84">
        <v>0.0</v>
      </c>
      <c r="G820" s="84">
        <v>0.0</v>
      </c>
      <c r="H820" s="84">
        <v>0.0</v>
      </c>
      <c r="I820" s="91">
        <v>0.0</v>
      </c>
      <c r="J820" s="84">
        <v>0.0</v>
      </c>
      <c r="K820" s="84">
        <v>0.0</v>
      </c>
      <c r="L820" s="84">
        <v>0.0</v>
      </c>
      <c r="M820" s="84">
        <v>0.0</v>
      </c>
      <c r="N820" s="84">
        <v>0.0</v>
      </c>
      <c r="O820" s="84">
        <v>0.0</v>
      </c>
      <c r="P820" s="84">
        <v>0.0</v>
      </c>
      <c r="Q820" s="84">
        <v>0.0</v>
      </c>
      <c r="R820" s="84">
        <v>0.0</v>
      </c>
      <c r="S820" s="84">
        <v>0.0</v>
      </c>
      <c r="T820" s="84">
        <v>0.0</v>
      </c>
      <c r="U820" s="84">
        <v>0.0</v>
      </c>
      <c r="V820" s="84">
        <v>4.0</v>
      </c>
      <c r="W820" s="84">
        <v>3.0</v>
      </c>
      <c r="X820" s="84">
        <v>0.0</v>
      </c>
      <c r="Y820" s="84">
        <v>0.0</v>
      </c>
      <c r="Z820" s="84">
        <v>0.0</v>
      </c>
      <c r="AA820" s="84">
        <v>0.0</v>
      </c>
      <c r="AB820" s="84">
        <v>0.0</v>
      </c>
      <c r="AC820" s="91">
        <v>0.0</v>
      </c>
      <c r="AD820" s="84">
        <v>0.0</v>
      </c>
      <c r="AE820" s="84">
        <v>0.0</v>
      </c>
      <c r="AF820" s="84">
        <v>0.0</v>
      </c>
      <c r="AG820" s="84">
        <v>0.0</v>
      </c>
      <c r="AH820" s="84">
        <v>0.0</v>
      </c>
      <c r="AI820" s="84">
        <v>0.0</v>
      </c>
      <c r="AJ820" s="84">
        <v>0.0</v>
      </c>
      <c r="AK820" s="84">
        <v>0.0</v>
      </c>
      <c r="AL820" s="84">
        <v>0.0</v>
      </c>
      <c r="AM820" s="84">
        <v>0.0</v>
      </c>
      <c r="AN820" s="93">
        <f t="shared" si="1"/>
        <v>0</v>
      </c>
      <c r="AO820" s="84">
        <f t="shared" si="2"/>
        <v>0</v>
      </c>
    </row>
    <row r="821" ht="12.75" customHeight="1">
      <c r="A821" s="84" t="s">
        <v>3536</v>
      </c>
      <c r="B821" s="84">
        <v>0.0</v>
      </c>
      <c r="C821" s="84">
        <v>0.0</v>
      </c>
      <c r="D821" s="84">
        <v>0.0</v>
      </c>
      <c r="E821" s="84">
        <v>4.0</v>
      </c>
      <c r="F821" s="84">
        <v>0.0</v>
      </c>
      <c r="G821" s="84">
        <v>0.0</v>
      </c>
      <c r="H821" s="84">
        <v>0.0</v>
      </c>
      <c r="I821" s="91">
        <v>0.0</v>
      </c>
      <c r="J821" s="84">
        <v>0.0</v>
      </c>
      <c r="K821" s="84">
        <v>0.0</v>
      </c>
      <c r="L821" s="84">
        <v>0.0</v>
      </c>
      <c r="M821" s="84">
        <v>0.0</v>
      </c>
      <c r="N821" s="84">
        <v>0.0</v>
      </c>
      <c r="O821" s="84">
        <v>0.0</v>
      </c>
      <c r="P821" s="84">
        <v>0.0</v>
      </c>
      <c r="Q821" s="84">
        <v>0.0</v>
      </c>
      <c r="R821" s="84">
        <v>0.0</v>
      </c>
      <c r="S821" s="84">
        <v>0.0</v>
      </c>
      <c r="T821" s="84">
        <v>0.0</v>
      </c>
      <c r="U821" s="84">
        <v>0.0</v>
      </c>
      <c r="V821" s="84">
        <v>0.0</v>
      </c>
      <c r="W821" s="84">
        <v>0.0</v>
      </c>
      <c r="X821" s="84">
        <v>0.0</v>
      </c>
      <c r="Y821" s="84">
        <v>6.0</v>
      </c>
      <c r="Z821" s="84">
        <v>1.0</v>
      </c>
      <c r="AA821" s="84">
        <v>0.0</v>
      </c>
      <c r="AB821" s="84">
        <v>0.0</v>
      </c>
      <c r="AC821" s="91">
        <v>0.0</v>
      </c>
      <c r="AD821" s="84">
        <v>0.0</v>
      </c>
      <c r="AE821" s="84">
        <v>0.0</v>
      </c>
      <c r="AF821" s="84">
        <v>0.0</v>
      </c>
      <c r="AG821" s="84">
        <v>0.0</v>
      </c>
      <c r="AH821" s="84">
        <v>0.0</v>
      </c>
      <c r="AI821" s="84">
        <v>0.0</v>
      </c>
      <c r="AJ821" s="84">
        <v>0.0</v>
      </c>
      <c r="AK821" s="84">
        <v>0.0</v>
      </c>
      <c r="AL821" s="84">
        <v>0.0</v>
      </c>
      <c r="AM821" s="84">
        <v>0.0</v>
      </c>
      <c r="AN821" s="93">
        <f t="shared" si="1"/>
        <v>0</v>
      </c>
      <c r="AO821" s="84">
        <f t="shared" si="2"/>
        <v>0</v>
      </c>
    </row>
    <row r="822" ht="12.75" customHeight="1">
      <c r="A822" s="84" t="s">
        <v>3094</v>
      </c>
      <c r="B822" s="84">
        <v>3.0</v>
      </c>
      <c r="C822" s="84">
        <v>0.0</v>
      </c>
      <c r="D822" s="84">
        <v>0.0</v>
      </c>
      <c r="E822" s="84">
        <v>0.0</v>
      </c>
      <c r="F822" s="84">
        <v>0.0</v>
      </c>
      <c r="G822" s="84">
        <v>0.0</v>
      </c>
      <c r="H822" s="84">
        <v>0.0</v>
      </c>
      <c r="I822" s="91">
        <v>0.0</v>
      </c>
      <c r="J822" s="84">
        <v>0.0</v>
      </c>
      <c r="K822" s="84">
        <v>0.0</v>
      </c>
      <c r="L822" s="84">
        <v>0.0</v>
      </c>
      <c r="M822" s="84">
        <v>0.0</v>
      </c>
      <c r="N822" s="84">
        <v>0.0</v>
      </c>
      <c r="O822" s="84">
        <v>0.0</v>
      </c>
      <c r="P822" s="84">
        <v>0.0</v>
      </c>
      <c r="Q822" s="84">
        <v>0.0</v>
      </c>
      <c r="R822" s="84">
        <v>0.0</v>
      </c>
      <c r="S822" s="84">
        <v>0.0</v>
      </c>
      <c r="T822" s="84">
        <v>0.0</v>
      </c>
      <c r="U822" s="84">
        <v>0.0</v>
      </c>
      <c r="V822" s="84">
        <v>6.0</v>
      </c>
      <c r="W822" s="84">
        <v>7.0</v>
      </c>
      <c r="X822" s="84">
        <v>0.0</v>
      </c>
      <c r="Y822" s="84">
        <v>0.0</v>
      </c>
      <c r="Z822" s="84">
        <v>0.0</v>
      </c>
      <c r="AA822" s="84">
        <v>0.0</v>
      </c>
      <c r="AB822" s="84">
        <v>0.0</v>
      </c>
      <c r="AC822" s="91">
        <v>0.0</v>
      </c>
      <c r="AD822" s="84">
        <v>0.0</v>
      </c>
      <c r="AE822" s="84">
        <v>0.0</v>
      </c>
      <c r="AF822" s="84">
        <v>0.0</v>
      </c>
      <c r="AG822" s="84">
        <v>0.0</v>
      </c>
      <c r="AH822" s="84">
        <v>0.0</v>
      </c>
      <c r="AI822" s="84">
        <v>0.0</v>
      </c>
      <c r="AJ822" s="84">
        <v>0.0</v>
      </c>
      <c r="AK822" s="84">
        <v>0.0</v>
      </c>
      <c r="AL822" s="84">
        <v>0.0</v>
      </c>
      <c r="AM822" s="84">
        <v>0.0</v>
      </c>
      <c r="AN822" s="93">
        <f t="shared" si="1"/>
        <v>0</v>
      </c>
      <c r="AO822" s="84">
        <f t="shared" si="2"/>
        <v>0</v>
      </c>
    </row>
    <row r="823" ht="12.75" customHeight="1">
      <c r="A823" s="84" t="s">
        <v>2743</v>
      </c>
      <c r="B823" s="84">
        <v>2.0</v>
      </c>
      <c r="C823" s="84">
        <v>0.0</v>
      </c>
      <c r="D823" s="84">
        <v>0.0</v>
      </c>
      <c r="E823" s="84">
        <v>0.0</v>
      </c>
      <c r="F823" s="84">
        <v>0.0</v>
      </c>
      <c r="G823" s="84">
        <v>0.0</v>
      </c>
      <c r="H823" s="84">
        <v>0.0</v>
      </c>
      <c r="I823" s="91">
        <v>0.0</v>
      </c>
      <c r="J823" s="84">
        <v>0.0</v>
      </c>
      <c r="K823" s="84">
        <v>0.0</v>
      </c>
      <c r="L823" s="84">
        <v>0.0</v>
      </c>
      <c r="M823" s="84">
        <v>0.0</v>
      </c>
      <c r="N823" s="84">
        <v>0.0</v>
      </c>
      <c r="O823" s="84">
        <v>0.0</v>
      </c>
      <c r="P823" s="84">
        <v>0.0</v>
      </c>
      <c r="Q823" s="84">
        <v>0.0</v>
      </c>
      <c r="R823" s="84">
        <v>0.0</v>
      </c>
      <c r="S823" s="84">
        <v>0.0</v>
      </c>
      <c r="T823" s="84">
        <v>0.0</v>
      </c>
      <c r="U823" s="84">
        <v>0.0</v>
      </c>
      <c r="V823" s="84">
        <v>2.0</v>
      </c>
      <c r="W823" s="84">
        <v>0.0</v>
      </c>
      <c r="X823" s="84">
        <v>0.0</v>
      </c>
      <c r="Y823" s="84">
        <v>0.0</v>
      </c>
      <c r="Z823" s="84">
        <v>0.0</v>
      </c>
      <c r="AA823" s="84">
        <v>0.0</v>
      </c>
      <c r="AB823" s="84">
        <v>0.0</v>
      </c>
      <c r="AC823" s="91">
        <v>0.0</v>
      </c>
      <c r="AD823" s="84">
        <v>0.0</v>
      </c>
      <c r="AE823" s="84">
        <v>0.0</v>
      </c>
      <c r="AF823" s="84">
        <v>0.0</v>
      </c>
      <c r="AG823" s="84">
        <v>0.0</v>
      </c>
      <c r="AH823" s="84">
        <v>0.0</v>
      </c>
      <c r="AI823" s="84">
        <v>0.0</v>
      </c>
      <c r="AJ823" s="84">
        <v>0.0</v>
      </c>
      <c r="AK823" s="84">
        <v>0.0</v>
      </c>
      <c r="AL823" s="84">
        <v>0.0</v>
      </c>
      <c r="AM823" s="84">
        <v>0.0</v>
      </c>
      <c r="AN823" s="93">
        <f t="shared" si="1"/>
        <v>0</v>
      </c>
      <c r="AO823" s="84">
        <f t="shared" si="2"/>
        <v>0</v>
      </c>
    </row>
    <row r="824" ht="12.75" customHeight="1">
      <c r="A824" s="84" t="s">
        <v>2907</v>
      </c>
      <c r="B824" s="84">
        <v>2.0</v>
      </c>
      <c r="C824" s="84">
        <v>0.0</v>
      </c>
      <c r="D824" s="84">
        <v>0.0</v>
      </c>
      <c r="E824" s="84">
        <v>0.0</v>
      </c>
      <c r="F824" s="84">
        <v>0.0</v>
      </c>
      <c r="G824" s="84">
        <v>0.0</v>
      </c>
      <c r="H824" s="84">
        <v>0.0</v>
      </c>
      <c r="I824" s="91">
        <v>0.0</v>
      </c>
      <c r="J824" s="84">
        <v>0.0</v>
      </c>
      <c r="K824" s="84">
        <v>0.0</v>
      </c>
      <c r="L824" s="84">
        <v>0.0</v>
      </c>
      <c r="M824" s="84">
        <v>0.0</v>
      </c>
      <c r="N824" s="84">
        <v>0.0</v>
      </c>
      <c r="O824" s="84">
        <v>0.0</v>
      </c>
      <c r="P824" s="84">
        <v>0.0</v>
      </c>
      <c r="Q824" s="84">
        <v>0.0</v>
      </c>
      <c r="R824" s="84">
        <v>0.0</v>
      </c>
      <c r="S824" s="84">
        <v>0.0</v>
      </c>
      <c r="T824" s="84">
        <v>0.0</v>
      </c>
      <c r="U824" s="84">
        <v>0.0</v>
      </c>
      <c r="V824" s="84">
        <v>1.0</v>
      </c>
      <c r="W824" s="84">
        <v>2.0</v>
      </c>
      <c r="X824" s="84">
        <v>0.0</v>
      </c>
      <c r="Y824" s="84">
        <v>0.0</v>
      </c>
      <c r="Z824" s="84">
        <v>0.0</v>
      </c>
      <c r="AA824" s="84">
        <v>0.0</v>
      </c>
      <c r="AB824" s="84">
        <v>0.0</v>
      </c>
      <c r="AC824" s="91">
        <v>0.0</v>
      </c>
      <c r="AD824" s="84">
        <v>0.0</v>
      </c>
      <c r="AE824" s="84">
        <v>0.0</v>
      </c>
      <c r="AF824" s="84">
        <v>0.0</v>
      </c>
      <c r="AG824" s="84">
        <v>0.0</v>
      </c>
      <c r="AH824" s="84">
        <v>0.0</v>
      </c>
      <c r="AI824" s="84">
        <v>0.0</v>
      </c>
      <c r="AJ824" s="84">
        <v>0.0</v>
      </c>
      <c r="AK824" s="84">
        <v>0.0</v>
      </c>
      <c r="AL824" s="84">
        <v>0.0</v>
      </c>
      <c r="AM824" s="84">
        <v>0.0</v>
      </c>
      <c r="AN824" s="93">
        <f t="shared" si="1"/>
        <v>0</v>
      </c>
      <c r="AO824" s="84">
        <f t="shared" si="2"/>
        <v>0</v>
      </c>
    </row>
    <row r="825" ht="12.75" customHeight="1">
      <c r="A825" s="84" t="s">
        <v>3465</v>
      </c>
      <c r="B825" s="84">
        <v>0.0</v>
      </c>
      <c r="C825" s="84">
        <v>0.0</v>
      </c>
      <c r="D825" s="84">
        <v>0.0</v>
      </c>
      <c r="E825" s="84">
        <v>5.0</v>
      </c>
      <c r="F825" s="84">
        <v>0.0</v>
      </c>
      <c r="G825" s="84">
        <v>0.0</v>
      </c>
      <c r="H825" s="84">
        <v>0.0</v>
      </c>
      <c r="I825" s="91">
        <v>0.0</v>
      </c>
      <c r="J825" s="84">
        <v>0.0</v>
      </c>
      <c r="K825" s="84">
        <v>0.0</v>
      </c>
      <c r="L825" s="84">
        <v>0.0</v>
      </c>
      <c r="M825" s="84">
        <v>0.0</v>
      </c>
      <c r="N825" s="84">
        <v>0.0</v>
      </c>
      <c r="O825" s="84">
        <v>0.0</v>
      </c>
      <c r="P825" s="84">
        <v>0.0</v>
      </c>
      <c r="Q825" s="84">
        <v>0.0</v>
      </c>
      <c r="R825" s="84">
        <v>0.0</v>
      </c>
      <c r="S825" s="84">
        <v>0.0</v>
      </c>
      <c r="T825" s="84">
        <v>0.0</v>
      </c>
      <c r="U825" s="84">
        <v>0.0</v>
      </c>
      <c r="V825" s="84">
        <v>0.0</v>
      </c>
      <c r="W825" s="84">
        <v>0.0</v>
      </c>
      <c r="X825" s="84">
        <v>0.0</v>
      </c>
      <c r="Y825" s="84">
        <v>6.0</v>
      </c>
      <c r="Z825" s="84">
        <v>1.0</v>
      </c>
      <c r="AA825" s="84">
        <v>0.0</v>
      </c>
      <c r="AB825" s="84">
        <v>0.0</v>
      </c>
      <c r="AC825" s="91">
        <v>0.0</v>
      </c>
      <c r="AD825" s="84">
        <v>0.0</v>
      </c>
      <c r="AE825" s="84">
        <v>0.0</v>
      </c>
      <c r="AF825" s="84">
        <v>0.0</v>
      </c>
      <c r="AG825" s="84">
        <v>0.0</v>
      </c>
      <c r="AH825" s="84">
        <v>0.0</v>
      </c>
      <c r="AI825" s="84">
        <v>0.0</v>
      </c>
      <c r="AJ825" s="84">
        <v>0.0</v>
      </c>
      <c r="AK825" s="84">
        <v>0.0</v>
      </c>
      <c r="AL825" s="84">
        <v>0.0</v>
      </c>
      <c r="AM825" s="84">
        <v>0.0</v>
      </c>
      <c r="AN825" s="93">
        <f t="shared" si="1"/>
        <v>0</v>
      </c>
      <c r="AO825" s="84">
        <f t="shared" si="2"/>
        <v>0</v>
      </c>
    </row>
    <row r="826" ht="12.75" customHeight="1">
      <c r="A826" s="84" t="s">
        <v>3780</v>
      </c>
      <c r="B826" s="84">
        <v>0.0</v>
      </c>
      <c r="C826" s="84">
        <v>0.0</v>
      </c>
      <c r="D826" s="84">
        <v>0.0</v>
      </c>
      <c r="E826" s="84">
        <v>0.0</v>
      </c>
      <c r="F826" s="84">
        <v>0.0</v>
      </c>
      <c r="G826" s="84">
        <v>4.0</v>
      </c>
      <c r="H826" s="84">
        <v>0.0</v>
      </c>
      <c r="I826" s="91">
        <v>0.0</v>
      </c>
      <c r="J826" s="84">
        <v>0.0</v>
      </c>
      <c r="K826" s="84">
        <v>0.0</v>
      </c>
      <c r="L826" s="84">
        <v>0.0</v>
      </c>
      <c r="M826" s="84">
        <v>0.0</v>
      </c>
      <c r="N826" s="84">
        <v>0.0</v>
      </c>
      <c r="O826" s="84">
        <v>0.0</v>
      </c>
      <c r="P826" s="84">
        <v>0.0</v>
      </c>
      <c r="Q826" s="84">
        <v>0.0</v>
      </c>
      <c r="R826" s="84">
        <v>0.0</v>
      </c>
      <c r="S826" s="84">
        <v>0.0</v>
      </c>
      <c r="T826" s="84">
        <v>0.0</v>
      </c>
      <c r="U826" s="84">
        <v>0.0</v>
      </c>
      <c r="V826" s="84">
        <v>0.0</v>
      </c>
      <c r="W826" s="84">
        <v>0.0</v>
      </c>
      <c r="X826" s="84">
        <v>0.0</v>
      </c>
      <c r="Y826" s="84">
        <v>0.0</v>
      </c>
      <c r="Z826" s="84">
        <v>0.0</v>
      </c>
      <c r="AA826" s="84">
        <v>6.0</v>
      </c>
      <c r="AB826" s="84">
        <v>2.0</v>
      </c>
      <c r="AC826" s="91">
        <v>0.0</v>
      </c>
      <c r="AD826" s="84">
        <v>0.0</v>
      </c>
      <c r="AE826" s="84">
        <v>0.0</v>
      </c>
      <c r="AF826" s="84">
        <v>0.0</v>
      </c>
      <c r="AG826" s="84">
        <v>0.0</v>
      </c>
      <c r="AH826" s="84">
        <v>0.0</v>
      </c>
      <c r="AI826" s="84">
        <v>0.0</v>
      </c>
      <c r="AJ826" s="84">
        <v>0.0</v>
      </c>
      <c r="AK826" s="84">
        <v>0.0</v>
      </c>
      <c r="AL826" s="84">
        <v>0.0</v>
      </c>
      <c r="AM826" s="84">
        <v>0.0</v>
      </c>
      <c r="AN826" s="93">
        <f t="shared" si="1"/>
        <v>0</v>
      </c>
      <c r="AO826" s="84">
        <f t="shared" si="2"/>
        <v>0</v>
      </c>
    </row>
    <row r="827" ht="12.75" customHeight="1">
      <c r="A827" s="84" t="s">
        <v>2639</v>
      </c>
      <c r="B827" s="84">
        <v>1.0</v>
      </c>
      <c r="C827" s="84">
        <v>0.0</v>
      </c>
      <c r="D827" s="84">
        <v>0.0</v>
      </c>
      <c r="E827" s="84">
        <v>0.0</v>
      </c>
      <c r="F827" s="84">
        <v>0.0</v>
      </c>
      <c r="G827" s="84">
        <v>0.0</v>
      </c>
      <c r="H827" s="84">
        <v>0.0</v>
      </c>
      <c r="I827" s="91">
        <v>0.0</v>
      </c>
      <c r="J827" s="84">
        <v>0.0</v>
      </c>
      <c r="K827" s="84">
        <v>0.0</v>
      </c>
      <c r="L827" s="84">
        <v>0.0</v>
      </c>
      <c r="M827" s="84">
        <v>0.0</v>
      </c>
      <c r="N827" s="84">
        <v>0.0</v>
      </c>
      <c r="O827" s="84">
        <v>0.0</v>
      </c>
      <c r="P827" s="84">
        <v>0.0</v>
      </c>
      <c r="Q827" s="84">
        <v>0.0</v>
      </c>
      <c r="R827" s="84">
        <v>0.0</v>
      </c>
      <c r="S827" s="84">
        <v>0.0</v>
      </c>
      <c r="T827" s="84">
        <v>0.0</v>
      </c>
      <c r="U827" s="84">
        <v>0.0</v>
      </c>
      <c r="V827" s="84">
        <v>2.0</v>
      </c>
      <c r="W827" s="84">
        <v>1.0</v>
      </c>
      <c r="X827" s="84">
        <v>0.0</v>
      </c>
      <c r="Y827" s="84">
        <v>0.0</v>
      </c>
      <c r="Z827" s="84">
        <v>0.0</v>
      </c>
      <c r="AA827" s="84">
        <v>0.0</v>
      </c>
      <c r="AB827" s="84">
        <v>0.0</v>
      </c>
      <c r="AC827" s="91">
        <v>0.0</v>
      </c>
      <c r="AD827" s="84">
        <v>0.0</v>
      </c>
      <c r="AE827" s="84">
        <v>0.0</v>
      </c>
      <c r="AF827" s="84">
        <v>0.0</v>
      </c>
      <c r="AG827" s="84">
        <v>0.0</v>
      </c>
      <c r="AH827" s="84">
        <v>0.0</v>
      </c>
      <c r="AI827" s="84">
        <v>0.0</v>
      </c>
      <c r="AJ827" s="84">
        <v>0.0</v>
      </c>
      <c r="AK827" s="84">
        <v>0.0</v>
      </c>
      <c r="AL827" s="84">
        <v>0.0</v>
      </c>
      <c r="AM827" s="84">
        <v>0.0</v>
      </c>
      <c r="AN827" s="93">
        <f t="shared" si="1"/>
        <v>0</v>
      </c>
      <c r="AO827" s="84">
        <f t="shared" si="2"/>
        <v>0</v>
      </c>
    </row>
    <row r="828" ht="12.75" customHeight="1">
      <c r="A828" s="84" t="s">
        <v>2879</v>
      </c>
      <c r="B828" s="84">
        <v>2.0</v>
      </c>
      <c r="C828" s="84">
        <v>0.0</v>
      </c>
      <c r="D828" s="84">
        <v>0.0</v>
      </c>
      <c r="E828" s="84">
        <v>0.0</v>
      </c>
      <c r="F828" s="84">
        <v>0.0</v>
      </c>
      <c r="G828" s="84">
        <v>0.0</v>
      </c>
      <c r="H828" s="84">
        <v>0.0</v>
      </c>
      <c r="I828" s="91">
        <v>0.0</v>
      </c>
      <c r="J828" s="84">
        <v>0.0</v>
      </c>
      <c r="K828" s="84">
        <v>0.0</v>
      </c>
      <c r="L828" s="84">
        <v>0.0</v>
      </c>
      <c r="M828" s="84">
        <v>0.0</v>
      </c>
      <c r="N828" s="84">
        <v>0.0</v>
      </c>
      <c r="O828" s="84">
        <v>0.0</v>
      </c>
      <c r="P828" s="84">
        <v>0.0</v>
      </c>
      <c r="Q828" s="84">
        <v>0.0</v>
      </c>
      <c r="R828" s="84">
        <v>0.0</v>
      </c>
      <c r="S828" s="84">
        <v>0.0</v>
      </c>
      <c r="T828" s="84">
        <v>0.0</v>
      </c>
      <c r="U828" s="84">
        <v>0.0</v>
      </c>
      <c r="V828" s="84">
        <v>2.0</v>
      </c>
      <c r="W828" s="84">
        <v>1.0</v>
      </c>
      <c r="X828" s="84">
        <v>0.0</v>
      </c>
      <c r="Y828" s="84">
        <v>0.0</v>
      </c>
      <c r="Z828" s="84">
        <v>0.0</v>
      </c>
      <c r="AA828" s="84">
        <v>0.0</v>
      </c>
      <c r="AB828" s="84">
        <v>0.0</v>
      </c>
      <c r="AC828" s="91">
        <v>0.0</v>
      </c>
      <c r="AD828" s="84">
        <v>0.0</v>
      </c>
      <c r="AE828" s="84">
        <v>0.0</v>
      </c>
      <c r="AF828" s="84">
        <v>0.0</v>
      </c>
      <c r="AG828" s="84">
        <v>0.0</v>
      </c>
      <c r="AH828" s="84">
        <v>0.0</v>
      </c>
      <c r="AI828" s="84">
        <v>0.0</v>
      </c>
      <c r="AJ828" s="84">
        <v>0.0</v>
      </c>
      <c r="AK828" s="84">
        <v>0.0</v>
      </c>
      <c r="AL828" s="84">
        <v>0.0</v>
      </c>
      <c r="AM828" s="84">
        <v>0.0</v>
      </c>
      <c r="AN828" s="93">
        <f t="shared" si="1"/>
        <v>0</v>
      </c>
      <c r="AO828" s="84">
        <f t="shared" si="2"/>
        <v>0</v>
      </c>
    </row>
    <row r="829" ht="12.75" customHeight="1">
      <c r="A829" s="84" t="s">
        <v>3270</v>
      </c>
      <c r="B829" s="84">
        <v>0.0</v>
      </c>
      <c r="C829" s="84">
        <v>4.0</v>
      </c>
      <c r="D829" s="84">
        <v>0.0</v>
      </c>
      <c r="E829" s="84">
        <v>0.0</v>
      </c>
      <c r="F829" s="84">
        <v>0.0</v>
      </c>
      <c r="G829" s="84">
        <v>0.0</v>
      </c>
      <c r="H829" s="84">
        <v>0.0</v>
      </c>
      <c r="I829" s="91">
        <v>0.0</v>
      </c>
      <c r="J829" s="84">
        <v>0.0</v>
      </c>
      <c r="K829" s="84">
        <v>0.0</v>
      </c>
      <c r="L829" s="84">
        <v>0.0</v>
      </c>
      <c r="M829" s="84">
        <v>0.0</v>
      </c>
      <c r="N829" s="84">
        <v>0.0</v>
      </c>
      <c r="O829" s="84">
        <v>0.0</v>
      </c>
      <c r="P829" s="84">
        <v>0.0</v>
      </c>
      <c r="Q829" s="84">
        <v>0.0</v>
      </c>
      <c r="R829" s="84">
        <v>0.0</v>
      </c>
      <c r="S829" s="84">
        <v>0.0</v>
      </c>
      <c r="T829" s="84">
        <v>0.0</v>
      </c>
      <c r="U829" s="84">
        <v>0.0</v>
      </c>
      <c r="V829" s="84">
        <v>0.0</v>
      </c>
      <c r="W829" s="84">
        <v>3.0</v>
      </c>
      <c r="X829" s="84">
        <v>1.0</v>
      </c>
      <c r="Y829" s="84">
        <v>0.0</v>
      </c>
      <c r="Z829" s="84">
        <v>0.0</v>
      </c>
      <c r="AA829" s="84">
        <v>0.0</v>
      </c>
      <c r="AB829" s="84">
        <v>0.0</v>
      </c>
      <c r="AC829" s="91">
        <v>0.0</v>
      </c>
      <c r="AD829" s="84">
        <v>0.0</v>
      </c>
      <c r="AE829" s="84">
        <v>0.0</v>
      </c>
      <c r="AF829" s="84">
        <v>0.0</v>
      </c>
      <c r="AG829" s="84">
        <v>0.0</v>
      </c>
      <c r="AH829" s="84">
        <v>0.0</v>
      </c>
      <c r="AI829" s="84">
        <v>0.0</v>
      </c>
      <c r="AJ829" s="84">
        <v>0.0</v>
      </c>
      <c r="AK829" s="84">
        <v>0.0</v>
      </c>
      <c r="AL829" s="84">
        <v>0.0</v>
      </c>
      <c r="AM829" s="84">
        <v>0.0</v>
      </c>
      <c r="AN829" s="93">
        <f t="shared" si="1"/>
        <v>0</v>
      </c>
      <c r="AO829" s="84">
        <f t="shared" si="2"/>
        <v>0</v>
      </c>
    </row>
    <row r="830" ht="12.75" customHeight="1">
      <c r="A830" s="84" t="s">
        <v>3778</v>
      </c>
      <c r="B830" s="84">
        <v>0.0</v>
      </c>
      <c r="C830" s="84">
        <v>0.0</v>
      </c>
      <c r="D830" s="84">
        <v>0.0</v>
      </c>
      <c r="E830" s="84">
        <v>0.0</v>
      </c>
      <c r="F830" s="84">
        <v>0.0</v>
      </c>
      <c r="G830" s="84">
        <v>4.0</v>
      </c>
      <c r="H830" s="84">
        <v>2.0</v>
      </c>
      <c r="I830" s="91">
        <v>0.0</v>
      </c>
      <c r="J830" s="84">
        <v>0.0</v>
      </c>
      <c r="K830" s="84">
        <v>0.0</v>
      </c>
      <c r="L830" s="84">
        <v>0.0</v>
      </c>
      <c r="M830" s="84">
        <v>0.0</v>
      </c>
      <c r="N830" s="84">
        <v>0.0</v>
      </c>
      <c r="O830" s="84">
        <v>0.0</v>
      </c>
      <c r="P830" s="84">
        <v>0.0</v>
      </c>
      <c r="Q830" s="84">
        <v>0.0</v>
      </c>
      <c r="R830" s="84">
        <v>0.0</v>
      </c>
      <c r="S830" s="84">
        <v>0.0</v>
      </c>
      <c r="T830" s="84">
        <v>0.0</v>
      </c>
      <c r="U830" s="84">
        <v>0.0</v>
      </c>
      <c r="V830" s="84">
        <v>0.0</v>
      </c>
      <c r="W830" s="84">
        <v>0.0</v>
      </c>
      <c r="X830" s="84">
        <v>0.0</v>
      </c>
      <c r="Y830" s="84">
        <v>0.0</v>
      </c>
      <c r="Z830" s="84">
        <v>0.0</v>
      </c>
      <c r="AA830" s="84">
        <v>6.0</v>
      </c>
      <c r="AB830" s="84">
        <v>2.0</v>
      </c>
      <c r="AC830" s="91">
        <v>0.0</v>
      </c>
      <c r="AD830" s="84">
        <v>0.0</v>
      </c>
      <c r="AE830" s="84">
        <v>0.0</v>
      </c>
      <c r="AF830" s="84">
        <v>0.0</v>
      </c>
      <c r="AG830" s="84">
        <v>0.0</v>
      </c>
      <c r="AH830" s="84">
        <v>0.0</v>
      </c>
      <c r="AI830" s="84">
        <v>0.0</v>
      </c>
      <c r="AJ830" s="84">
        <v>0.0</v>
      </c>
      <c r="AK830" s="84">
        <v>0.0</v>
      </c>
      <c r="AL830" s="84">
        <v>0.0</v>
      </c>
      <c r="AM830" s="84">
        <v>0.0</v>
      </c>
      <c r="AN830" s="93">
        <f t="shared" si="1"/>
        <v>0</v>
      </c>
      <c r="AO830" s="84">
        <f t="shared" si="2"/>
        <v>0</v>
      </c>
    </row>
    <row r="831" ht="12.75" customHeight="1">
      <c r="A831" s="84" t="s">
        <v>4522</v>
      </c>
      <c r="B831" s="84">
        <v>0.0</v>
      </c>
      <c r="C831" s="84">
        <v>0.0</v>
      </c>
      <c r="D831" s="84">
        <v>0.0</v>
      </c>
      <c r="E831" s="84">
        <v>0.0</v>
      </c>
      <c r="F831" s="84">
        <v>0.0</v>
      </c>
      <c r="G831" s="84">
        <v>0.0</v>
      </c>
      <c r="H831" s="84">
        <v>0.0</v>
      </c>
      <c r="I831" s="91">
        <v>0.0</v>
      </c>
      <c r="J831" s="84">
        <v>0.0</v>
      </c>
      <c r="K831" s="84">
        <v>0.0</v>
      </c>
      <c r="L831" s="84">
        <v>0.0</v>
      </c>
      <c r="M831" s="84">
        <v>0.0</v>
      </c>
      <c r="N831" s="84">
        <v>0.0</v>
      </c>
      <c r="O831" s="84">
        <v>1.0</v>
      </c>
      <c r="P831" s="84">
        <v>0.0</v>
      </c>
      <c r="Q831" s="84">
        <v>0.0</v>
      </c>
      <c r="R831" s="84">
        <v>0.0</v>
      </c>
      <c r="S831" s="84">
        <v>0.0</v>
      </c>
      <c r="T831" s="84">
        <v>0.0</v>
      </c>
      <c r="U831" s="84">
        <v>0.0</v>
      </c>
      <c r="V831" s="84">
        <v>0.0</v>
      </c>
      <c r="W831" s="84">
        <v>0.0</v>
      </c>
      <c r="X831" s="84">
        <v>0.0</v>
      </c>
      <c r="Y831" s="84">
        <v>0.0</v>
      </c>
      <c r="Z831" s="84">
        <v>0.0</v>
      </c>
      <c r="AA831" s="84">
        <v>0.0</v>
      </c>
      <c r="AB831" s="84">
        <v>0.0</v>
      </c>
      <c r="AC831" s="91">
        <v>0.0</v>
      </c>
      <c r="AD831" s="84">
        <v>0.0</v>
      </c>
      <c r="AE831" s="84">
        <v>0.0</v>
      </c>
      <c r="AF831" s="84">
        <v>0.0</v>
      </c>
      <c r="AG831" s="84">
        <v>0.0</v>
      </c>
      <c r="AH831" s="84">
        <v>0.0</v>
      </c>
      <c r="AI831" s="84">
        <v>0.0</v>
      </c>
      <c r="AJ831" s="84">
        <v>0.0</v>
      </c>
      <c r="AK831" s="84">
        <v>0.0</v>
      </c>
      <c r="AL831" s="84">
        <v>0.0</v>
      </c>
      <c r="AM831" s="84">
        <v>0.0</v>
      </c>
      <c r="AN831" s="93">
        <f t="shared" si="1"/>
        <v>0</v>
      </c>
      <c r="AO831" s="84">
        <f t="shared" si="2"/>
        <v>1</v>
      </c>
    </row>
    <row r="832" ht="12.75" customHeight="1">
      <c r="A832" s="84" t="s">
        <v>3190</v>
      </c>
      <c r="B832" s="84">
        <v>0.0</v>
      </c>
      <c r="C832" s="84">
        <v>6.0</v>
      </c>
      <c r="D832" s="84">
        <v>1.0</v>
      </c>
      <c r="E832" s="84">
        <v>0.0</v>
      </c>
      <c r="F832" s="84">
        <v>0.0</v>
      </c>
      <c r="G832" s="84">
        <v>0.0</v>
      </c>
      <c r="H832" s="84">
        <v>0.0</v>
      </c>
      <c r="I832" s="91">
        <v>0.0</v>
      </c>
      <c r="J832" s="84">
        <v>0.0</v>
      </c>
      <c r="K832" s="84">
        <v>0.0</v>
      </c>
      <c r="L832" s="84">
        <v>0.0</v>
      </c>
      <c r="M832" s="84">
        <v>0.0</v>
      </c>
      <c r="N832" s="84">
        <v>0.0</v>
      </c>
      <c r="O832" s="84">
        <v>0.0</v>
      </c>
      <c r="P832" s="84">
        <v>0.0</v>
      </c>
      <c r="Q832" s="84">
        <v>0.0</v>
      </c>
      <c r="R832" s="84">
        <v>0.0</v>
      </c>
      <c r="S832" s="84">
        <v>0.0</v>
      </c>
      <c r="T832" s="84">
        <v>0.0</v>
      </c>
      <c r="U832" s="84">
        <v>0.0</v>
      </c>
      <c r="V832" s="84">
        <v>0.0</v>
      </c>
      <c r="W832" s="84">
        <v>3.0</v>
      </c>
      <c r="X832" s="84">
        <v>2.0</v>
      </c>
      <c r="Y832" s="84">
        <v>0.0</v>
      </c>
      <c r="Z832" s="84">
        <v>0.0</v>
      </c>
      <c r="AA832" s="84">
        <v>0.0</v>
      </c>
      <c r="AB832" s="84">
        <v>0.0</v>
      </c>
      <c r="AC832" s="91">
        <v>0.0</v>
      </c>
      <c r="AD832" s="84">
        <v>0.0</v>
      </c>
      <c r="AE832" s="84">
        <v>0.0</v>
      </c>
      <c r="AF832" s="84">
        <v>0.0</v>
      </c>
      <c r="AG832" s="84">
        <v>0.0</v>
      </c>
      <c r="AH832" s="84">
        <v>0.0</v>
      </c>
      <c r="AI832" s="84">
        <v>0.0</v>
      </c>
      <c r="AJ832" s="84">
        <v>0.0</v>
      </c>
      <c r="AK832" s="84">
        <v>0.0</v>
      </c>
      <c r="AL832" s="84">
        <v>0.0</v>
      </c>
      <c r="AM832" s="84">
        <v>0.0</v>
      </c>
      <c r="AN832" s="93">
        <f t="shared" si="1"/>
        <v>0</v>
      </c>
      <c r="AO832" s="84">
        <f t="shared" si="2"/>
        <v>0</v>
      </c>
    </row>
    <row r="833" ht="12.75" customHeight="1">
      <c r="A833" s="84" t="s">
        <v>3766</v>
      </c>
      <c r="B833" s="84">
        <v>0.0</v>
      </c>
      <c r="C833" s="84">
        <v>0.0</v>
      </c>
      <c r="D833" s="84">
        <v>0.0</v>
      </c>
      <c r="E833" s="84">
        <v>0.0</v>
      </c>
      <c r="F833" s="84">
        <v>0.0</v>
      </c>
      <c r="G833" s="84">
        <v>6.0</v>
      </c>
      <c r="H833" s="84">
        <v>2.0</v>
      </c>
      <c r="I833" s="91">
        <v>0.0</v>
      </c>
      <c r="J833" s="84">
        <v>0.0</v>
      </c>
      <c r="K833" s="84">
        <v>0.0</v>
      </c>
      <c r="L833" s="84">
        <v>0.0</v>
      </c>
      <c r="M833" s="84">
        <v>0.0</v>
      </c>
      <c r="N833" s="84">
        <v>0.0</v>
      </c>
      <c r="O833" s="84">
        <v>0.0</v>
      </c>
      <c r="P833" s="84">
        <v>0.0</v>
      </c>
      <c r="Q833" s="84">
        <v>0.0</v>
      </c>
      <c r="R833" s="84">
        <v>0.0</v>
      </c>
      <c r="S833" s="84">
        <v>0.0</v>
      </c>
      <c r="T833" s="84">
        <v>0.0</v>
      </c>
      <c r="U833" s="84">
        <v>0.0</v>
      </c>
      <c r="V833" s="84">
        <v>0.0</v>
      </c>
      <c r="W833" s="84">
        <v>0.0</v>
      </c>
      <c r="X833" s="84">
        <v>0.0</v>
      </c>
      <c r="Y833" s="84">
        <v>0.0</v>
      </c>
      <c r="Z833" s="84">
        <v>0.0</v>
      </c>
      <c r="AA833" s="84">
        <v>6.0</v>
      </c>
      <c r="AB833" s="84">
        <v>2.0</v>
      </c>
      <c r="AC833" s="91">
        <v>0.0</v>
      </c>
      <c r="AD833" s="84">
        <v>0.0</v>
      </c>
      <c r="AE833" s="84">
        <v>0.0</v>
      </c>
      <c r="AF833" s="84">
        <v>0.0</v>
      </c>
      <c r="AG833" s="84">
        <v>0.0</v>
      </c>
      <c r="AH833" s="84">
        <v>0.0</v>
      </c>
      <c r="AI833" s="84">
        <v>0.0</v>
      </c>
      <c r="AJ833" s="84">
        <v>0.0</v>
      </c>
      <c r="AK833" s="84">
        <v>0.0</v>
      </c>
      <c r="AL833" s="84">
        <v>0.0</v>
      </c>
      <c r="AM833" s="84">
        <v>0.0</v>
      </c>
      <c r="AN833" s="93">
        <f t="shared" si="1"/>
        <v>0</v>
      </c>
      <c r="AO833" s="84">
        <f t="shared" si="2"/>
        <v>0</v>
      </c>
    </row>
    <row r="834" ht="12.75" customHeight="1">
      <c r="A834" s="84" t="s">
        <v>3280</v>
      </c>
      <c r="B834" s="84">
        <v>0.0</v>
      </c>
      <c r="C834" s="84">
        <v>5.0</v>
      </c>
      <c r="D834" s="84">
        <v>0.0</v>
      </c>
      <c r="E834" s="84">
        <v>0.0</v>
      </c>
      <c r="F834" s="84">
        <v>0.0</v>
      </c>
      <c r="G834" s="84">
        <v>0.0</v>
      </c>
      <c r="H834" s="84">
        <v>0.0</v>
      </c>
      <c r="I834" s="91">
        <v>0.0</v>
      </c>
      <c r="J834" s="84">
        <v>0.0</v>
      </c>
      <c r="K834" s="84">
        <v>0.0</v>
      </c>
      <c r="L834" s="84">
        <v>0.0</v>
      </c>
      <c r="M834" s="84">
        <v>0.0</v>
      </c>
      <c r="N834" s="84">
        <v>0.0</v>
      </c>
      <c r="O834" s="84">
        <v>0.0</v>
      </c>
      <c r="P834" s="84">
        <v>0.0</v>
      </c>
      <c r="Q834" s="84">
        <v>0.0</v>
      </c>
      <c r="R834" s="84">
        <v>0.0</v>
      </c>
      <c r="S834" s="84">
        <v>0.0</v>
      </c>
      <c r="T834" s="84">
        <v>0.0</v>
      </c>
      <c r="U834" s="84">
        <v>0.0</v>
      </c>
      <c r="V834" s="84">
        <v>0.0</v>
      </c>
      <c r="W834" s="84">
        <v>3.0</v>
      </c>
      <c r="X834" s="84">
        <v>3.0</v>
      </c>
      <c r="Y834" s="84">
        <v>0.0</v>
      </c>
      <c r="Z834" s="84">
        <v>0.0</v>
      </c>
      <c r="AA834" s="84">
        <v>0.0</v>
      </c>
      <c r="AB834" s="84">
        <v>0.0</v>
      </c>
      <c r="AC834" s="91">
        <v>0.0</v>
      </c>
      <c r="AD834" s="84">
        <v>0.0</v>
      </c>
      <c r="AE834" s="84">
        <v>0.0</v>
      </c>
      <c r="AF834" s="84">
        <v>0.0</v>
      </c>
      <c r="AG834" s="84">
        <v>0.0</v>
      </c>
      <c r="AH834" s="84">
        <v>0.0</v>
      </c>
      <c r="AI834" s="84">
        <v>0.0</v>
      </c>
      <c r="AJ834" s="84">
        <v>0.0</v>
      </c>
      <c r="AK834" s="84">
        <v>0.0</v>
      </c>
      <c r="AL834" s="84">
        <v>0.0</v>
      </c>
      <c r="AM834" s="84">
        <v>0.0</v>
      </c>
      <c r="AN834" s="93">
        <f t="shared" si="1"/>
        <v>0</v>
      </c>
      <c r="AO834" s="84">
        <f t="shared" si="2"/>
        <v>0</v>
      </c>
    </row>
    <row r="835" ht="12.75" customHeight="1">
      <c r="A835" s="84" t="s">
        <v>3226</v>
      </c>
      <c r="B835" s="84">
        <v>0.0</v>
      </c>
      <c r="C835" s="84">
        <v>5.0</v>
      </c>
      <c r="D835" s="84">
        <v>1.0</v>
      </c>
      <c r="E835" s="84">
        <v>0.0</v>
      </c>
      <c r="F835" s="84">
        <v>0.0</v>
      </c>
      <c r="G835" s="84">
        <v>0.0</v>
      </c>
      <c r="H835" s="84">
        <v>0.0</v>
      </c>
      <c r="I835" s="91">
        <v>0.0</v>
      </c>
      <c r="J835" s="84">
        <v>0.0</v>
      </c>
      <c r="K835" s="84">
        <v>0.0</v>
      </c>
      <c r="L835" s="84">
        <v>0.0</v>
      </c>
      <c r="M835" s="84">
        <v>0.0</v>
      </c>
      <c r="N835" s="84">
        <v>0.0</v>
      </c>
      <c r="O835" s="84">
        <v>0.0</v>
      </c>
      <c r="P835" s="84">
        <v>0.0</v>
      </c>
      <c r="Q835" s="84">
        <v>0.0</v>
      </c>
      <c r="R835" s="84">
        <v>0.0</v>
      </c>
      <c r="S835" s="84">
        <v>0.0</v>
      </c>
      <c r="T835" s="84">
        <v>0.0</v>
      </c>
      <c r="U835" s="84">
        <v>0.0</v>
      </c>
      <c r="V835" s="84">
        <v>0.0</v>
      </c>
      <c r="W835" s="84">
        <v>3.0</v>
      </c>
      <c r="X835" s="84">
        <v>2.0</v>
      </c>
      <c r="Y835" s="84">
        <v>0.0</v>
      </c>
      <c r="Z835" s="84">
        <v>0.0</v>
      </c>
      <c r="AA835" s="84">
        <v>0.0</v>
      </c>
      <c r="AB835" s="84">
        <v>0.0</v>
      </c>
      <c r="AC835" s="91">
        <v>0.0</v>
      </c>
      <c r="AD835" s="84">
        <v>0.0</v>
      </c>
      <c r="AE835" s="84">
        <v>0.0</v>
      </c>
      <c r="AF835" s="84">
        <v>0.0</v>
      </c>
      <c r="AG835" s="84">
        <v>0.0</v>
      </c>
      <c r="AH835" s="84">
        <v>0.0</v>
      </c>
      <c r="AI835" s="84">
        <v>0.0</v>
      </c>
      <c r="AJ835" s="84">
        <v>0.0</v>
      </c>
      <c r="AK835" s="84">
        <v>0.0</v>
      </c>
      <c r="AL835" s="84">
        <v>0.0</v>
      </c>
      <c r="AM835" s="84">
        <v>0.0</v>
      </c>
      <c r="AN835" s="93">
        <f t="shared" si="1"/>
        <v>0</v>
      </c>
      <c r="AO835" s="84">
        <f t="shared" si="2"/>
        <v>0</v>
      </c>
    </row>
    <row r="836" ht="12.75" customHeight="1">
      <c r="A836" s="84" t="s">
        <v>4492</v>
      </c>
      <c r="B836" s="84">
        <v>0.0</v>
      </c>
      <c r="C836" s="84">
        <v>0.0</v>
      </c>
      <c r="D836" s="84">
        <v>0.0</v>
      </c>
      <c r="E836" s="84">
        <v>0.0</v>
      </c>
      <c r="F836" s="84">
        <v>0.0</v>
      </c>
      <c r="G836" s="84">
        <v>0.0</v>
      </c>
      <c r="H836" s="84">
        <v>0.0</v>
      </c>
      <c r="I836" s="91">
        <v>0.0</v>
      </c>
      <c r="J836" s="84">
        <v>0.0</v>
      </c>
      <c r="K836" s="84">
        <v>0.0</v>
      </c>
      <c r="L836" s="84">
        <v>0.0</v>
      </c>
      <c r="M836" s="84">
        <v>0.0</v>
      </c>
      <c r="N836" s="84">
        <v>0.0</v>
      </c>
      <c r="O836" s="84">
        <v>0.0</v>
      </c>
      <c r="P836" s="84">
        <v>0.0</v>
      </c>
      <c r="Q836" s="84">
        <v>0.0</v>
      </c>
      <c r="R836" s="84">
        <v>0.0</v>
      </c>
      <c r="S836" s="84">
        <v>0.0</v>
      </c>
      <c r="T836" s="84">
        <v>0.0</v>
      </c>
      <c r="U836" s="84">
        <v>0.0</v>
      </c>
      <c r="V836" s="84">
        <v>0.0</v>
      </c>
      <c r="W836" s="84">
        <v>0.0</v>
      </c>
      <c r="X836" s="84">
        <v>0.0</v>
      </c>
      <c r="Y836" s="84">
        <v>0.0</v>
      </c>
      <c r="Z836" s="84">
        <v>0.0</v>
      </c>
      <c r="AA836" s="84">
        <v>0.0</v>
      </c>
      <c r="AB836" s="84">
        <v>0.0</v>
      </c>
      <c r="AC836" s="91">
        <v>0.0</v>
      </c>
      <c r="AD836" s="84">
        <v>0.0</v>
      </c>
      <c r="AE836" s="84">
        <v>1.0</v>
      </c>
      <c r="AF836" s="84">
        <v>0.0</v>
      </c>
      <c r="AG836" s="84">
        <v>0.0</v>
      </c>
      <c r="AH836" s="84">
        <v>0.0</v>
      </c>
      <c r="AI836" s="84">
        <v>0.0</v>
      </c>
      <c r="AJ836" s="84">
        <v>0.0</v>
      </c>
      <c r="AK836" s="84">
        <v>0.0</v>
      </c>
      <c r="AL836" s="84">
        <v>0.0</v>
      </c>
      <c r="AM836" s="84">
        <v>0.0</v>
      </c>
      <c r="AN836" s="93">
        <f t="shared" si="1"/>
        <v>0</v>
      </c>
      <c r="AO836" s="84">
        <f t="shared" si="2"/>
        <v>1</v>
      </c>
    </row>
    <row r="837" ht="12.75" customHeight="1">
      <c r="A837" s="84" t="s">
        <v>4488</v>
      </c>
      <c r="B837" s="84">
        <v>0.0</v>
      </c>
      <c r="C837" s="84">
        <v>0.0</v>
      </c>
      <c r="D837" s="84">
        <v>0.0</v>
      </c>
      <c r="E837" s="84">
        <v>0.0</v>
      </c>
      <c r="F837" s="84">
        <v>0.0</v>
      </c>
      <c r="G837" s="84">
        <v>0.0</v>
      </c>
      <c r="H837" s="84">
        <v>0.0</v>
      </c>
      <c r="I837" s="91">
        <v>0.0</v>
      </c>
      <c r="J837" s="84">
        <v>0.0</v>
      </c>
      <c r="K837" s="84">
        <v>0.0</v>
      </c>
      <c r="L837" s="84">
        <v>0.0</v>
      </c>
      <c r="M837" s="84">
        <v>0.0</v>
      </c>
      <c r="N837" s="84">
        <v>0.0</v>
      </c>
      <c r="O837" s="84">
        <v>0.0</v>
      </c>
      <c r="P837" s="84">
        <v>0.0</v>
      </c>
      <c r="Q837" s="84">
        <v>0.0</v>
      </c>
      <c r="R837" s="84">
        <v>0.0</v>
      </c>
      <c r="S837" s="84">
        <v>0.0</v>
      </c>
      <c r="T837" s="84">
        <v>0.0</v>
      </c>
      <c r="U837" s="84">
        <v>0.0</v>
      </c>
      <c r="V837" s="84">
        <v>0.0</v>
      </c>
      <c r="W837" s="84">
        <v>0.0</v>
      </c>
      <c r="X837" s="84">
        <v>0.0</v>
      </c>
      <c r="Y837" s="84">
        <v>0.0</v>
      </c>
      <c r="Z837" s="84">
        <v>0.0</v>
      </c>
      <c r="AA837" s="84">
        <v>0.0</v>
      </c>
      <c r="AB837" s="84">
        <v>0.0</v>
      </c>
      <c r="AC837" s="91">
        <v>0.0</v>
      </c>
      <c r="AD837" s="84">
        <v>0.0</v>
      </c>
      <c r="AE837" s="84">
        <v>1.0</v>
      </c>
      <c r="AF837" s="84">
        <v>0.0</v>
      </c>
      <c r="AG837" s="84">
        <v>0.0</v>
      </c>
      <c r="AH837" s="84">
        <v>0.0</v>
      </c>
      <c r="AI837" s="84">
        <v>0.0</v>
      </c>
      <c r="AJ837" s="84">
        <v>0.0</v>
      </c>
      <c r="AK837" s="84">
        <v>0.0</v>
      </c>
      <c r="AL837" s="84">
        <v>0.0</v>
      </c>
      <c r="AM837" s="84">
        <v>0.0</v>
      </c>
      <c r="AN837" s="93">
        <f t="shared" si="1"/>
        <v>0</v>
      </c>
      <c r="AO837" s="84">
        <f t="shared" si="2"/>
        <v>1</v>
      </c>
    </row>
    <row r="838" ht="12.75" customHeight="1">
      <c r="A838" s="84" t="s">
        <v>3904</v>
      </c>
      <c r="B838" s="84">
        <v>0.0</v>
      </c>
      <c r="C838" s="84">
        <v>0.0</v>
      </c>
      <c r="D838" s="84">
        <v>0.0</v>
      </c>
      <c r="E838" s="84">
        <v>0.0</v>
      </c>
      <c r="F838" s="84">
        <v>0.0</v>
      </c>
      <c r="G838" s="84">
        <v>0.0</v>
      </c>
      <c r="H838" s="84">
        <v>5.0</v>
      </c>
      <c r="I838" s="91">
        <v>0.0</v>
      </c>
      <c r="J838" s="84">
        <v>0.0</v>
      </c>
      <c r="K838" s="84">
        <v>0.0</v>
      </c>
      <c r="L838" s="84">
        <v>0.0</v>
      </c>
      <c r="M838" s="84">
        <v>0.0</v>
      </c>
      <c r="N838" s="84">
        <v>0.0</v>
      </c>
      <c r="O838" s="84">
        <v>0.0</v>
      </c>
      <c r="P838" s="84">
        <v>0.0</v>
      </c>
      <c r="Q838" s="84">
        <v>0.0</v>
      </c>
      <c r="R838" s="84">
        <v>0.0</v>
      </c>
      <c r="S838" s="84">
        <v>0.0</v>
      </c>
      <c r="T838" s="84">
        <v>0.0</v>
      </c>
      <c r="U838" s="84">
        <v>0.0</v>
      </c>
      <c r="V838" s="84">
        <v>0.0</v>
      </c>
      <c r="W838" s="84">
        <v>0.0</v>
      </c>
      <c r="X838" s="84">
        <v>0.0</v>
      </c>
      <c r="Y838" s="84">
        <v>0.0</v>
      </c>
      <c r="Z838" s="84">
        <v>0.0</v>
      </c>
      <c r="AA838" s="84">
        <v>0.0</v>
      </c>
      <c r="AB838" s="84">
        <v>6.0</v>
      </c>
      <c r="AC838" s="91">
        <v>0.0</v>
      </c>
      <c r="AD838" s="84">
        <v>0.0</v>
      </c>
      <c r="AE838" s="84">
        <v>0.0</v>
      </c>
      <c r="AF838" s="84">
        <v>0.0</v>
      </c>
      <c r="AG838" s="84">
        <v>0.0</v>
      </c>
      <c r="AH838" s="84">
        <v>0.0</v>
      </c>
      <c r="AI838" s="84">
        <v>0.0</v>
      </c>
      <c r="AJ838" s="84">
        <v>0.0</v>
      </c>
      <c r="AK838" s="84">
        <v>0.0</v>
      </c>
      <c r="AL838" s="84">
        <v>0.0</v>
      </c>
      <c r="AM838" s="84">
        <v>0.0</v>
      </c>
      <c r="AN838" s="93">
        <f t="shared" si="1"/>
        <v>0</v>
      </c>
      <c r="AO838" s="84">
        <f t="shared" si="2"/>
        <v>0</v>
      </c>
    </row>
    <row r="839" ht="12.75" customHeight="1">
      <c r="A839" s="84" t="s">
        <v>3837</v>
      </c>
      <c r="B839" s="84">
        <v>0.0</v>
      </c>
      <c r="C839" s="84">
        <v>0.0</v>
      </c>
      <c r="D839" s="84">
        <v>0.0</v>
      </c>
      <c r="E839" s="84">
        <v>0.0</v>
      </c>
      <c r="F839" s="84">
        <v>0.0</v>
      </c>
      <c r="G839" s="84">
        <v>6.0</v>
      </c>
      <c r="H839" s="84">
        <v>0.0</v>
      </c>
      <c r="I839" s="91">
        <v>0.0</v>
      </c>
      <c r="J839" s="84">
        <v>0.0</v>
      </c>
      <c r="K839" s="84">
        <v>0.0</v>
      </c>
      <c r="L839" s="84">
        <v>0.0</v>
      </c>
      <c r="M839" s="84">
        <v>0.0</v>
      </c>
      <c r="N839" s="84">
        <v>0.0</v>
      </c>
      <c r="O839" s="84">
        <v>0.0</v>
      </c>
      <c r="P839" s="84">
        <v>0.0</v>
      </c>
      <c r="Q839" s="84">
        <v>0.0</v>
      </c>
      <c r="R839" s="84">
        <v>0.0</v>
      </c>
      <c r="S839" s="84">
        <v>0.0</v>
      </c>
      <c r="T839" s="84">
        <v>0.0</v>
      </c>
      <c r="U839" s="84">
        <v>0.0</v>
      </c>
      <c r="V839" s="84">
        <v>0.0</v>
      </c>
      <c r="W839" s="84">
        <v>0.0</v>
      </c>
      <c r="X839" s="84">
        <v>0.0</v>
      </c>
      <c r="Y839" s="84">
        <v>0.0</v>
      </c>
      <c r="Z839" s="84">
        <v>0.0</v>
      </c>
      <c r="AA839" s="84">
        <v>6.0</v>
      </c>
      <c r="AB839" s="84">
        <v>1.0</v>
      </c>
      <c r="AC839" s="91">
        <v>0.0</v>
      </c>
      <c r="AD839" s="84">
        <v>0.0</v>
      </c>
      <c r="AE839" s="84">
        <v>0.0</v>
      </c>
      <c r="AF839" s="84">
        <v>0.0</v>
      </c>
      <c r="AG839" s="84">
        <v>0.0</v>
      </c>
      <c r="AH839" s="84">
        <v>0.0</v>
      </c>
      <c r="AI839" s="84">
        <v>0.0</v>
      </c>
      <c r="AJ839" s="84">
        <v>0.0</v>
      </c>
      <c r="AK839" s="84">
        <v>0.0</v>
      </c>
      <c r="AL839" s="84">
        <v>0.0</v>
      </c>
      <c r="AM839" s="84">
        <v>0.0</v>
      </c>
      <c r="AN839" s="93">
        <f t="shared" si="1"/>
        <v>0</v>
      </c>
      <c r="AO839" s="84">
        <f t="shared" si="2"/>
        <v>0</v>
      </c>
    </row>
    <row r="840" ht="12.75" customHeight="1">
      <c r="A840" s="84" t="s">
        <v>3476</v>
      </c>
      <c r="B840" s="84">
        <v>0.0</v>
      </c>
      <c r="C840" s="84">
        <v>0.0</v>
      </c>
      <c r="D840" s="84">
        <v>0.0</v>
      </c>
      <c r="E840" s="84">
        <v>5.0</v>
      </c>
      <c r="F840" s="84">
        <v>0.0</v>
      </c>
      <c r="G840" s="84">
        <v>0.0</v>
      </c>
      <c r="H840" s="84">
        <v>0.0</v>
      </c>
      <c r="I840" s="91">
        <v>0.0</v>
      </c>
      <c r="J840" s="84">
        <v>0.0</v>
      </c>
      <c r="K840" s="84">
        <v>0.0</v>
      </c>
      <c r="L840" s="84">
        <v>0.0</v>
      </c>
      <c r="M840" s="84">
        <v>0.0</v>
      </c>
      <c r="N840" s="84">
        <v>0.0</v>
      </c>
      <c r="O840" s="84">
        <v>0.0</v>
      </c>
      <c r="P840" s="84">
        <v>0.0</v>
      </c>
      <c r="Q840" s="84">
        <v>0.0</v>
      </c>
      <c r="R840" s="84">
        <v>0.0</v>
      </c>
      <c r="S840" s="84">
        <v>0.0</v>
      </c>
      <c r="T840" s="84">
        <v>0.0</v>
      </c>
      <c r="U840" s="84">
        <v>0.0</v>
      </c>
      <c r="V840" s="84">
        <v>0.0</v>
      </c>
      <c r="W840" s="84">
        <v>0.0</v>
      </c>
      <c r="X840" s="84">
        <v>0.0</v>
      </c>
      <c r="Y840" s="84">
        <v>6.0</v>
      </c>
      <c r="Z840" s="84">
        <v>3.0</v>
      </c>
      <c r="AA840" s="84">
        <v>0.0</v>
      </c>
      <c r="AB840" s="84">
        <v>0.0</v>
      </c>
      <c r="AC840" s="91">
        <v>0.0</v>
      </c>
      <c r="AD840" s="84">
        <v>0.0</v>
      </c>
      <c r="AE840" s="84">
        <v>0.0</v>
      </c>
      <c r="AF840" s="84">
        <v>0.0</v>
      </c>
      <c r="AG840" s="84">
        <v>0.0</v>
      </c>
      <c r="AH840" s="84">
        <v>0.0</v>
      </c>
      <c r="AI840" s="84">
        <v>0.0</v>
      </c>
      <c r="AJ840" s="84">
        <v>0.0</v>
      </c>
      <c r="AK840" s="84">
        <v>0.0</v>
      </c>
      <c r="AL840" s="84">
        <v>0.0</v>
      </c>
      <c r="AM840" s="84">
        <v>0.0</v>
      </c>
      <c r="AN840" s="93">
        <f t="shared" si="1"/>
        <v>0</v>
      </c>
      <c r="AO840" s="84">
        <f t="shared" si="2"/>
        <v>0</v>
      </c>
    </row>
    <row r="841" ht="12.75" customHeight="1">
      <c r="A841" s="84" t="s">
        <v>3315</v>
      </c>
      <c r="B841" s="84">
        <v>0.0</v>
      </c>
      <c r="C841" s="84">
        <v>0.0</v>
      </c>
      <c r="D841" s="84">
        <v>5.0</v>
      </c>
      <c r="E841" s="84">
        <v>3.0</v>
      </c>
      <c r="F841" s="84">
        <v>0.0</v>
      </c>
      <c r="G841" s="84">
        <v>0.0</v>
      </c>
      <c r="H841" s="84">
        <v>0.0</v>
      </c>
      <c r="I841" s="91">
        <v>0.0</v>
      </c>
      <c r="J841" s="84">
        <v>0.0</v>
      </c>
      <c r="K841" s="84">
        <v>0.0</v>
      </c>
      <c r="L841" s="84">
        <v>0.0</v>
      </c>
      <c r="M841" s="84">
        <v>0.0</v>
      </c>
      <c r="N841" s="84">
        <v>0.0</v>
      </c>
      <c r="O841" s="84">
        <v>0.0</v>
      </c>
      <c r="P841" s="84">
        <v>0.0</v>
      </c>
      <c r="Q841" s="84">
        <v>0.0</v>
      </c>
      <c r="R841" s="84">
        <v>0.0</v>
      </c>
      <c r="S841" s="84">
        <v>0.0</v>
      </c>
      <c r="T841" s="84">
        <v>0.0</v>
      </c>
      <c r="U841" s="84">
        <v>0.0</v>
      </c>
      <c r="V841" s="84">
        <v>0.0</v>
      </c>
      <c r="W841" s="84">
        <v>0.0</v>
      </c>
      <c r="X841" s="84">
        <v>6.0</v>
      </c>
      <c r="Y841" s="84">
        <v>0.0</v>
      </c>
      <c r="Z841" s="84">
        <v>0.0</v>
      </c>
      <c r="AA841" s="84">
        <v>0.0</v>
      </c>
      <c r="AB841" s="84">
        <v>0.0</v>
      </c>
      <c r="AC841" s="91">
        <v>0.0</v>
      </c>
      <c r="AD841" s="84">
        <v>0.0</v>
      </c>
      <c r="AE841" s="84">
        <v>0.0</v>
      </c>
      <c r="AF841" s="84">
        <v>0.0</v>
      </c>
      <c r="AG841" s="84">
        <v>0.0</v>
      </c>
      <c r="AH841" s="84">
        <v>0.0</v>
      </c>
      <c r="AI841" s="84">
        <v>0.0</v>
      </c>
      <c r="AJ841" s="84">
        <v>0.0</v>
      </c>
      <c r="AK841" s="84">
        <v>0.0</v>
      </c>
      <c r="AL841" s="84">
        <v>0.0</v>
      </c>
      <c r="AM841" s="84">
        <v>0.0</v>
      </c>
      <c r="AN841" s="93">
        <f t="shared" si="1"/>
        <v>0</v>
      </c>
      <c r="AO841" s="84">
        <f t="shared" si="2"/>
        <v>0</v>
      </c>
    </row>
    <row r="842" ht="12.75" customHeight="1">
      <c r="A842" s="84" t="s">
        <v>3880</v>
      </c>
      <c r="B842" s="84">
        <v>0.0</v>
      </c>
      <c r="C842" s="84">
        <v>0.0</v>
      </c>
      <c r="D842" s="84">
        <v>0.0</v>
      </c>
      <c r="E842" s="84">
        <v>0.0</v>
      </c>
      <c r="F842" s="84">
        <v>0.0</v>
      </c>
      <c r="G842" s="84">
        <v>0.0</v>
      </c>
      <c r="H842" s="84">
        <v>5.0</v>
      </c>
      <c r="I842" s="91">
        <v>0.0</v>
      </c>
      <c r="J842" s="84">
        <v>0.0</v>
      </c>
      <c r="K842" s="84">
        <v>0.0</v>
      </c>
      <c r="L842" s="84">
        <v>0.0</v>
      </c>
      <c r="M842" s="84">
        <v>0.0</v>
      </c>
      <c r="N842" s="84">
        <v>0.0</v>
      </c>
      <c r="O842" s="84">
        <v>0.0</v>
      </c>
      <c r="P842" s="84">
        <v>0.0</v>
      </c>
      <c r="Q842" s="84">
        <v>0.0</v>
      </c>
      <c r="R842" s="84">
        <v>0.0</v>
      </c>
      <c r="S842" s="84">
        <v>0.0</v>
      </c>
      <c r="T842" s="84">
        <v>0.0</v>
      </c>
      <c r="U842" s="84">
        <v>0.0</v>
      </c>
      <c r="V842" s="84">
        <v>0.0</v>
      </c>
      <c r="W842" s="84">
        <v>0.0</v>
      </c>
      <c r="X842" s="84">
        <v>0.0</v>
      </c>
      <c r="Y842" s="84">
        <v>0.0</v>
      </c>
      <c r="Z842" s="84">
        <v>0.0</v>
      </c>
      <c r="AA842" s="84">
        <v>0.0</v>
      </c>
      <c r="AB842" s="84">
        <v>6.0</v>
      </c>
      <c r="AC842" s="91">
        <v>0.0</v>
      </c>
      <c r="AD842" s="84">
        <v>0.0</v>
      </c>
      <c r="AE842" s="84">
        <v>0.0</v>
      </c>
      <c r="AF842" s="84">
        <v>0.0</v>
      </c>
      <c r="AG842" s="84">
        <v>0.0</v>
      </c>
      <c r="AH842" s="84">
        <v>0.0</v>
      </c>
      <c r="AI842" s="84">
        <v>0.0</v>
      </c>
      <c r="AJ842" s="84">
        <v>0.0</v>
      </c>
      <c r="AK842" s="84">
        <v>0.0</v>
      </c>
      <c r="AL842" s="84">
        <v>0.0</v>
      </c>
      <c r="AM842" s="84">
        <v>0.0</v>
      </c>
      <c r="AN842" s="93">
        <f t="shared" si="1"/>
        <v>0</v>
      </c>
      <c r="AO842" s="84">
        <f t="shared" si="2"/>
        <v>0</v>
      </c>
    </row>
    <row r="843" ht="12.75" customHeight="1">
      <c r="A843" s="84" t="s">
        <v>2939</v>
      </c>
      <c r="B843" s="84">
        <v>2.0</v>
      </c>
      <c r="C843" s="84">
        <v>2.0</v>
      </c>
      <c r="D843" s="84">
        <v>0.0</v>
      </c>
      <c r="E843" s="84">
        <v>0.0</v>
      </c>
      <c r="F843" s="84">
        <v>0.0</v>
      </c>
      <c r="G843" s="84">
        <v>0.0</v>
      </c>
      <c r="H843" s="84">
        <v>0.0</v>
      </c>
      <c r="I843" s="91">
        <v>0.0</v>
      </c>
      <c r="J843" s="84">
        <v>0.0</v>
      </c>
      <c r="K843" s="84">
        <v>0.0</v>
      </c>
      <c r="L843" s="84">
        <v>0.0</v>
      </c>
      <c r="M843" s="84">
        <v>0.0</v>
      </c>
      <c r="N843" s="84">
        <v>0.0</v>
      </c>
      <c r="O843" s="84">
        <v>0.0</v>
      </c>
      <c r="P843" s="84">
        <v>0.0</v>
      </c>
      <c r="Q843" s="84">
        <v>0.0</v>
      </c>
      <c r="R843" s="84">
        <v>0.0</v>
      </c>
      <c r="S843" s="84">
        <v>0.0</v>
      </c>
      <c r="T843" s="84">
        <v>0.0</v>
      </c>
      <c r="U843" s="84">
        <v>0.0</v>
      </c>
      <c r="V843" s="84">
        <v>4.0</v>
      </c>
      <c r="W843" s="84">
        <v>2.0</v>
      </c>
      <c r="X843" s="84">
        <v>0.0</v>
      </c>
      <c r="Y843" s="84">
        <v>0.0</v>
      </c>
      <c r="Z843" s="84">
        <v>0.0</v>
      </c>
      <c r="AA843" s="84">
        <v>0.0</v>
      </c>
      <c r="AB843" s="84">
        <v>0.0</v>
      </c>
      <c r="AC843" s="91">
        <v>0.0</v>
      </c>
      <c r="AD843" s="84">
        <v>0.0</v>
      </c>
      <c r="AE843" s="84">
        <v>0.0</v>
      </c>
      <c r="AF843" s="84">
        <v>0.0</v>
      </c>
      <c r="AG843" s="84">
        <v>0.0</v>
      </c>
      <c r="AH843" s="84">
        <v>0.0</v>
      </c>
      <c r="AI843" s="84">
        <v>0.0</v>
      </c>
      <c r="AJ843" s="84">
        <v>0.0</v>
      </c>
      <c r="AK843" s="84">
        <v>0.0</v>
      </c>
      <c r="AL843" s="84">
        <v>0.0</v>
      </c>
      <c r="AM843" s="84">
        <v>0.0</v>
      </c>
      <c r="AN843" s="93">
        <f t="shared" si="1"/>
        <v>0</v>
      </c>
      <c r="AO843" s="84">
        <f t="shared" si="2"/>
        <v>0</v>
      </c>
    </row>
    <row r="844" ht="12.75" customHeight="1">
      <c r="A844" s="84" t="s">
        <v>3323</v>
      </c>
      <c r="B844" s="84">
        <v>0.0</v>
      </c>
      <c r="C844" s="84">
        <v>0.0</v>
      </c>
      <c r="D844" s="84">
        <v>6.0</v>
      </c>
      <c r="E844" s="84">
        <v>2.0</v>
      </c>
      <c r="F844" s="84">
        <v>0.0</v>
      </c>
      <c r="G844" s="84">
        <v>0.0</v>
      </c>
      <c r="H844" s="84">
        <v>0.0</v>
      </c>
      <c r="I844" s="91">
        <v>0.0</v>
      </c>
      <c r="J844" s="84">
        <v>0.0</v>
      </c>
      <c r="K844" s="84">
        <v>0.0</v>
      </c>
      <c r="L844" s="84">
        <v>0.0</v>
      </c>
      <c r="M844" s="84">
        <v>0.0</v>
      </c>
      <c r="N844" s="84">
        <v>0.0</v>
      </c>
      <c r="O844" s="84">
        <v>0.0</v>
      </c>
      <c r="P844" s="84">
        <v>0.0</v>
      </c>
      <c r="Q844" s="84">
        <v>0.0</v>
      </c>
      <c r="R844" s="84">
        <v>0.0</v>
      </c>
      <c r="S844" s="84">
        <v>0.0</v>
      </c>
      <c r="T844" s="84">
        <v>0.0</v>
      </c>
      <c r="U844" s="84">
        <v>0.0</v>
      </c>
      <c r="V844" s="84">
        <v>0.0</v>
      </c>
      <c r="W844" s="84">
        <v>0.0</v>
      </c>
      <c r="X844" s="84">
        <v>6.0</v>
      </c>
      <c r="Y844" s="84">
        <v>4.0</v>
      </c>
      <c r="Z844" s="84">
        <v>0.0</v>
      </c>
      <c r="AA844" s="84">
        <v>0.0</v>
      </c>
      <c r="AB844" s="84">
        <v>0.0</v>
      </c>
      <c r="AC844" s="91">
        <v>0.0</v>
      </c>
      <c r="AD844" s="84">
        <v>0.0</v>
      </c>
      <c r="AE844" s="84">
        <v>0.0</v>
      </c>
      <c r="AF844" s="84">
        <v>0.0</v>
      </c>
      <c r="AG844" s="84">
        <v>0.0</v>
      </c>
      <c r="AH844" s="84">
        <v>0.0</v>
      </c>
      <c r="AI844" s="84">
        <v>0.0</v>
      </c>
      <c r="AJ844" s="84">
        <v>0.0</v>
      </c>
      <c r="AK844" s="84">
        <v>0.0</v>
      </c>
      <c r="AL844" s="84">
        <v>0.0</v>
      </c>
      <c r="AM844" s="84">
        <v>0.0</v>
      </c>
      <c r="AN844" s="93">
        <f t="shared" si="1"/>
        <v>0</v>
      </c>
      <c r="AO844" s="84">
        <f t="shared" si="2"/>
        <v>0</v>
      </c>
    </row>
    <row r="845" ht="12.75" customHeight="1">
      <c r="A845" s="84" t="s">
        <v>4666</v>
      </c>
      <c r="B845" s="84">
        <v>0.0</v>
      </c>
      <c r="C845" s="84">
        <v>0.0</v>
      </c>
      <c r="D845" s="84">
        <v>0.0</v>
      </c>
      <c r="E845" s="84">
        <v>0.0</v>
      </c>
      <c r="F845" s="84">
        <v>0.0</v>
      </c>
      <c r="G845" s="84">
        <v>0.0</v>
      </c>
      <c r="H845" s="84">
        <v>0.0</v>
      </c>
      <c r="I845" s="91">
        <v>0.0</v>
      </c>
      <c r="J845" s="84">
        <v>0.0</v>
      </c>
      <c r="K845" s="84">
        <v>0.0</v>
      </c>
      <c r="L845" s="84">
        <v>0.0</v>
      </c>
      <c r="M845" s="84">
        <v>0.0</v>
      </c>
      <c r="N845" s="84">
        <v>0.0</v>
      </c>
      <c r="O845" s="84">
        <v>0.0</v>
      </c>
      <c r="P845" s="84">
        <v>0.0</v>
      </c>
      <c r="Q845" s="84">
        <v>0.0</v>
      </c>
      <c r="R845" s="84">
        <v>0.0</v>
      </c>
      <c r="S845" s="84">
        <v>0.0</v>
      </c>
      <c r="T845" s="84">
        <v>0.0</v>
      </c>
      <c r="U845" s="84">
        <v>0.0</v>
      </c>
      <c r="V845" s="84">
        <v>0.0</v>
      </c>
      <c r="W845" s="84">
        <v>0.0</v>
      </c>
      <c r="X845" s="84">
        <v>0.0</v>
      </c>
      <c r="Y845" s="84">
        <v>0.0</v>
      </c>
      <c r="Z845" s="84">
        <v>0.0</v>
      </c>
      <c r="AA845" s="84">
        <v>0.0</v>
      </c>
      <c r="AB845" s="84">
        <v>0.0</v>
      </c>
      <c r="AC845" s="91">
        <v>0.0</v>
      </c>
      <c r="AD845" s="84">
        <v>0.0</v>
      </c>
      <c r="AE845" s="84">
        <v>0.0</v>
      </c>
      <c r="AF845" s="84">
        <v>0.0</v>
      </c>
      <c r="AG845" s="84">
        <v>0.0</v>
      </c>
      <c r="AH845" s="84">
        <v>0.0</v>
      </c>
      <c r="AI845" s="84">
        <v>0.0</v>
      </c>
      <c r="AJ845" s="84">
        <v>0.0</v>
      </c>
      <c r="AK845" s="84">
        <v>0.0</v>
      </c>
      <c r="AL845" s="84">
        <v>1.0</v>
      </c>
      <c r="AM845" s="84">
        <v>0.0</v>
      </c>
      <c r="AN845" s="93">
        <f t="shared" si="1"/>
        <v>0</v>
      </c>
      <c r="AO845" s="84">
        <f t="shared" si="2"/>
        <v>1</v>
      </c>
    </row>
    <row r="846" ht="12.75" customHeight="1">
      <c r="A846" s="84" t="s">
        <v>3467</v>
      </c>
      <c r="B846" s="84">
        <v>0.0</v>
      </c>
      <c r="C846" s="84">
        <v>0.0</v>
      </c>
      <c r="D846" s="84">
        <v>0.0</v>
      </c>
      <c r="E846" s="84">
        <v>6.0</v>
      </c>
      <c r="F846" s="84">
        <v>1.0</v>
      </c>
      <c r="G846" s="84">
        <v>0.0</v>
      </c>
      <c r="H846" s="84">
        <v>0.0</v>
      </c>
      <c r="I846" s="91">
        <v>0.0</v>
      </c>
      <c r="J846" s="84">
        <v>0.0</v>
      </c>
      <c r="K846" s="84">
        <v>0.0</v>
      </c>
      <c r="L846" s="84">
        <v>0.0</v>
      </c>
      <c r="M846" s="84">
        <v>0.0</v>
      </c>
      <c r="N846" s="84">
        <v>0.0</v>
      </c>
      <c r="O846" s="84">
        <v>0.0</v>
      </c>
      <c r="P846" s="84">
        <v>0.0</v>
      </c>
      <c r="Q846" s="84">
        <v>0.0</v>
      </c>
      <c r="R846" s="84">
        <v>0.0</v>
      </c>
      <c r="S846" s="84">
        <v>0.0</v>
      </c>
      <c r="T846" s="84">
        <v>0.0</v>
      </c>
      <c r="U846" s="84">
        <v>0.0</v>
      </c>
      <c r="V846" s="84">
        <v>0.0</v>
      </c>
      <c r="W846" s="84">
        <v>0.0</v>
      </c>
      <c r="X846" s="84">
        <v>0.0</v>
      </c>
      <c r="Y846" s="84">
        <v>6.0</v>
      </c>
      <c r="Z846" s="84">
        <v>2.0</v>
      </c>
      <c r="AA846" s="84">
        <v>0.0</v>
      </c>
      <c r="AB846" s="84">
        <v>0.0</v>
      </c>
      <c r="AC846" s="91">
        <v>0.0</v>
      </c>
      <c r="AD846" s="84">
        <v>0.0</v>
      </c>
      <c r="AE846" s="84">
        <v>0.0</v>
      </c>
      <c r="AF846" s="84">
        <v>0.0</v>
      </c>
      <c r="AG846" s="84">
        <v>0.0</v>
      </c>
      <c r="AH846" s="84">
        <v>0.0</v>
      </c>
      <c r="AI846" s="84">
        <v>0.0</v>
      </c>
      <c r="AJ846" s="84">
        <v>0.0</v>
      </c>
      <c r="AK846" s="84">
        <v>0.0</v>
      </c>
      <c r="AL846" s="84">
        <v>0.0</v>
      </c>
      <c r="AM846" s="84">
        <v>0.0</v>
      </c>
      <c r="AN846" s="93">
        <f t="shared" si="1"/>
        <v>0</v>
      </c>
      <c r="AO846" s="84">
        <f t="shared" si="2"/>
        <v>0</v>
      </c>
    </row>
    <row r="847" ht="12.75" customHeight="1">
      <c r="A847" s="84" t="s">
        <v>3631</v>
      </c>
      <c r="B847" s="84">
        <v>0.0</v>
      </c>
      <c r="C847" s="84">
        <v>0.0</v>
      </c>
      <c r="D847" s="84">
        <v>0.0</v>
      </c>
      <c r="E847" s="84">
        <v>0.0</v>
      </c>
      <c r="F847" s="84">
        <v>6.0</v>
      </c>
      <c r="G847" s="84">
        <v>2.0</v>
      </c>
      <c r="H847" s="84">
        <v>0.0</v>
      </c>
      <c r="I847" s="91">
        <v>0.0</v>
      </c>
      <c r="J847" s="84">
        <v>0.0</v>
      </c>
      <c r="K847" s="84">
        <v>0.0</v>
      </c>
      <c r="L847" s="84">
        <v>0.0</v>
      </c>
      <c r="M847" s="84">
        <v>0.0</v>
      </c>
      <c r="N847" s="84">
        <v>0.0</v>
      </c>
      <c r="O847" s="84">
        <v>0.0</v>
      </c>
      <c r="P847" s="84">
        <v>0.0</v>
      </c>
      <c r="Q847" s="84">
        <v>0.0</v>
      </c>
      <c r="R847" s="84">
        <v>0.0</v>
      </c>
      <c r="S847" s="84">
        <v>0.0</v>
      </c>
      <c r="T847" s="84">
        <v>0.0</v>
      </c>
      <c r="U847" s="84">
        <v>0.0</v>
      </c>
      <c r="V847" s="84">
        <v>0.0</v>
      </c>
      <c r="W847" s="84">
        <v>0.0</v>
      </c>
      <c r="X847" s="84">
        <v>0.0</v>
      </c>
      <c r="Y847" s="84">
        <v>0.0</v>
      </c>
      <c r="Z847" s="84">
        <v>6.0</v>
      </c>
      <c r="AA847" s="84">
        <v>2.0</v>
      </c>
      <c r="AB847" s="84">
        <v>0.0</v>
      </c>
      <c r="AC847" s="91">
        <v>0.0</v>
      </c>
      <c r="AD847" s="84">
        <v>0.0</v>
      </c>
      <c r="AE847" s="84">
        <v>0.0</v>
      </c>
      <c r="AF847" s="84">
        <v>0.0</v>
      </c>
      <c r="AG847" s="84">
        <v>0.0</v>
      </c>
      <c r="AH847" s="84">
        <v>0.0</v>
      </c>
      <c r="AI847" s="84">
        <v>0.0</v>
      </c>
      <c r="AJ847" s="84">
        <v>0.0</v>
      </c>
      <c r="AK847" s="84">
        <v>0.0</v>
      </c>
      <c r="AL847" s="84">
        <v>0.0</v>
      </c>
      <c r="AM847" s="84">
        <v>0.0</v>
      </c>
      <c r="AN847" s="93">
        <f t="shared" si="1"/>
        <v>0</v>
      </c>
      <c r="AO847" s="84">
        <f t="shared" si="2"/>
        <v>0</v>
      </c>
    </row>
    <row r="848" ht="12.75" customHeight="1">
      <c r="A848" s="84" t="s">
        <v>3297</v>
      </c>
      <c r="B848" s="84">
        <v>0.0</v>
      </c>
      <c r="C848" s="84">
        <v>0.0</v>
      </c>
      <c r="D848" s="84">
        <v>6.0</v>
      </c>
      <c r="E848" s="84">
        <v>0.0</v>
      </c>
      <c r="F848" s="84">
        <v>0.0</v>
      </c>
      <c r="G848" s="84">
        <v>0.0</v>
      </c>
      <c r="H848" s="84">
        <v>0.0</v>
      </c>
      <c r="I848" s="91">
        <v>0.0</v>
      </c>
      <c r="J848" s="84">
        <v>0.0</v>
      </c>
      <c r="K848" s="84">
        <v>0.0</v>
      </c>
      <c r="L848" s="84">
        <v>0.0</v>
      </c>
      <c r="M848" s="84">
        <v>0.0</v>
      </c>
      <c r="N848" s="84">
        <v>0.0</v>
      </c>
      <c r="O848" s="84">
        <v>0.0</v>
      </c>
      <c r="P848" s="84">
        <v>0.0</v>
      </c>
      <c r="Q848" s="84">
        <v>0.0</v>
      </c>
      <c r="R848" s="84">
        <v>0.0</v>
      </c>
      <c r="S848" s="84">
        <v>0.0</v>
      </c>
      <c r="T848" s="84">
        <v>0.0</v>
      </c>
      <c r="U848" s="84">
        <v>0.0</v>
      </c>
      <c r="V848" s="84">
        <v>0.0</v>
      </c>
      <c r="W848" s="84">
        <v>0.0</v>
      </c>
      <c r="X848" s="84">
        <v>6.0</v>
      </c>
      <c r="Y848" s="84">
        <v>2.0</v>
      </c>
      <c r="Z848" s="84">
        <v>0.0</v>
      </c>
      <c r="AA848" s="84">
        <v>0.0</v>
      </c>
      <c r="AB848" s="84">
        <v>0.0</v>
      </c>
      <c r="AC848" s="91">
        <v>0.0</v>
      </c>
      <c r="AD848" s="84">
        <v>0.0</v>
      </c>
      <c r="AE848" s="84">
        <v>0.0</v>
      </c>
      <c r="AF848" s="84">
        <v>0.0</v>
      </c>
      <c r="AG848" s="84">
        <v>0.0</v>
      </c>
      <c r="AH848" s="84">
        <v>0.0</v>
      </c>
      <c r="AI848" s="84">
        <v>0.0</v>
      </c>
      <c r="AJ848" s="84">
        <v>0.0</v>
      </c>
      <c r="AK848" s="84">
        <v>0.0</v>
      </c>
      <c r="AL848" s="84">
        <v>0.0</v>
      </c>
      <c r="AM848" s="84">
        <v>0.0</v>
      </c>
      <c r="AN848" s="93">
        <f t="shared" si="1"/>
        <v>0</v>
      </c>
      <c r="AO848" s="84">
        <f t="shared" si="2"/>
        <v>0</v>
      </c>
    </row>
    <row r="849" ht="12.75" customHeight="1">
      <c r="A849" s="84" t="s">
        <v>3385</v>
      </c>
      <c r="B849" s="84">
        <v>0.0</v>
      </c>
      <c r="C849" s="84">
        <v>0.0</v>
      </c>
      <c r="D849" s="84">
        <v>6.0</v>
      </c>
      <c r="E849" s="84">
        <v>1.0</v>
      </c>
      <c r="F849" s="84">
        <v>0.0</v>
      </c>
      <c r="G849" s="84">
        <v>0.0</v>
      </c>
      <c r="H849" s="84">
        <v>0.0</v>
      </c>
      <c r="I849" s="91">
        <v>0.0</v>
      </c>
      <c r="J849" s="84">
        <v>0.0</v>
      </c>
      <c r="K849" s="84">
        <v>0.0</v>
      </c>
      <c r="L849" s="84">
        <v>0.0</v>
      </c>
      <c r="M849" s="84">
        <v>0.0</v>
      </c>
      <c r="N849" s="84">
        <v>0.0</v>
      </c>
      <c r="O849" s="84">
        <v>0.0</v>
      </c>
      <c r="P849" s="84">
        <v>0.0</v>
      </c>
      <c r="Q849" s="84">
        <v>0.0</v>
      </c>
      <c r="R849" s="84">
        <v>0.0</v>
      </c>
      <c r="S849" s="84">
        <v>0.0</v>
      </c>
      <c r="T849" s="84">
        <v>0.0</v>
      </c>
      <c r="U849" s="84">
        <v>0.0</v>
      </c>
      <c r="V849" s="84">
        <v>0.0</v>
      </c>
      <c r="W849" s="84">
        <v>0.0</v>
      </c>
      <c r="X849" s="84">
        <v>6.0</v>
      </c>
      <c r="Y849" s="84">
        <v>1.0</v>
      </c>
      <c r="Z849" s="84">
        <v>0.0</v>
      </c>
      <c r="AA849" s="84">
        <v>0.0</v>
      </c>
      <c r="AB849" s="84">
        <v>0.0</v>
      </c>
      <c r="AC849" s="91">
        <v>0.0</v>
      </c>
      <c r="AD849" s="84">
        <v>0.0</v>
      </c>
      <c r="AE849" s="84">
        <v>0.0</v>
      </c>
      <c r="AF849" s="84">
        <v>0.0</v>
      </c>
      <c r="AG849" s="84">
        <v>0.0</v>
      </c>
      <c r="AH849" s="84">
        <v>0.0</v>
      </c>
      <c r="AI849" s="84">
        <v>0.0</v>
      </c>
      <c r="AJ849" s="84">
        <v>0.0</v>
      </c>
      <c r="AK849" s="84">
        <v>0.0</v>
      </c>
      <c r="AL849" s="84">
        <v>0.0</v>
      </c>
      <c r="AM849" s="84">
        <v>0.0</v>
      </c>
      <c r="AN849" s="93">
        <f t="shared" si="1"/>
        <v>0</v>
      </c>
      <c r="AO849" s="84">
        <f t="shared" si="2"/>
        <v>0</v>
      </c>
    </row>
    <row r="850" ht="12.75" customHeight="1">
      <c r="A850" s="84" t="s">
        <v>4654</v>
      </c>
      <c r="B850" s="84">
        <v>0.0</v>
      </c>
      <c r="C850" s="84">
        <v>0.0</v>
      </c>
      <c r="D850" s="84">
        <v>0.0</v>
      </c>
      <c r="E850" s="84">
        <v>0.0</v>
      </c>
      <c r="F850" s="84">
        <v>0.0</v>
      </c>
      <c r="G850" s="84">
        <v>0.0</v>
      </c>
      <c r="H850" s="84">
        <v>0.0</v>
      </c>
      <c r="I850" s="91">
        <v>0.0</v>
      </c>
      <c r="J850" s="84">
        <v>0.0</v>
      </c>
      <c r="K850" s="84">
        <v>0.0</v>
      </c>
      <c r="L850" s="84">
        <v>0.0</v>
      </c>
      <c r="M850" s="84">
        <v>0.0</v>
      </c>
      <c r="N850" s="84">
        <v>0.0</v>
      </c>
      <c r="O850" s="84">
        <v>0.0</v>
      </c>
      <c r="P850" s="84">
        <v>0.0</v>
      </c>
      <c r="Q850" s="84">
        <v>0.0</v>
      </c>
      <c r="R850" s="84">
        <v>0.0</v>
      </c>
      <c r="S850" s="84">
        <v>0.0</v>
      </c>
      <c r="T850" s="84">
        <v>0.0</v>
      </c>
      <c r="U850" s="84">
        <v>0.0</v>
      </c>
      <c r="V850" s="84">
        <v>0.0</v>
      </c>
      <c r="W850" s="84">
        <v>0.0</v>
      </c>
      <c r="X850" s="84">
        <v>0.0</v>
      </c>
      <c r="Y850" s="84">
        <v>0.0</v>
      </c>
      <c r="Z850" s="84">
        <v>0.0</v>
      </c>
      <c r="AA850" s="84">
        <v>0.0</v>
      </c>
      <c r="AB850" s="84">
        <v>0.0</v>
      </c>
      <c r="AC850" s="91">
        <v>0.0</v>
      </c>
      <c r="AD850" s="84">
        <v>0.0</v>
      </c>
      <c r="AE850" s="84">
        <v>0.0</v>
      </c>
      <c r="AF850" s="84">
        <v>0.0</v>
      </c>
      <c r="AG850" s="84">
        <v>0.0</v>
      </c>
      <c r="AH850" s="84">
        <v>0.0</v>
      </c>
      <c r="AI850" s="84">
        <v>0.0</v>
      </c>
      <c r="AJ850" s="84">
        <v>0.0</v>
      </c>
      <c r="AK850" s="84">
        <v>0.0</v>
      </c>
      <c r="AL850" s="84">
        <v>1.0</v>
      </c>
      <c r="AM850" s="84">
        <v>0.0</v>
      </c>
      <c r="AN850" s="93">
        <f t="shared" si="1"/>
        <v>0</v>
      </c>
      <c r="AO850" s="84">
        <f t="shared" si="2"/>
        <v>1</v>
      </c>
    </row>
    <row r="851" ht="12.75" customHeight="1">
      <c r="A851" s="84" t="s">
        <v>3669</v>
      </c>
      <c r="B851" s="84">
        <v>0.0</v>
      </c>
      <c r="C851" s="84">
        <v>0.0</v>
      </c>
      <c r="D851" s="84">
        <v>0.0</v>
      </c>
      <c r="E851" s="84">
        <v>0.0</v>
      </c>
      <c r="F851" s="84">
        <v>5.0</v>
      </c>
      <c r="G851" s="84">
        <v>1.0</v>
      </c>
      <c r="H851" s="84">
        <v>0.0</v>
      </c>
      <c r="I851" s="91">
        <v>0.0</v>
      </c>
      <c r="J851" s="84">
        <v>0.0</v>
      </c>
      <c r="K851" s="84">
        <v>0.0</v>
      </c>
      <c r="L851" s="84">
        <v>0.0</v>
      </c>
      <c r="M851" s="84">
        <v>0.0</v>
      </c>
      <c r="N851" s="84">
        <v>0.0</v>
      </c>
      <c r="O851" s="84">
        <v>0.0</v>
      </c>
      <c r="P851" s="84">
        <v>0.0</v>
      </c>
      <c r="Q851" s="84">
        <v>0.0</v>
      </c>
      <c r="R851" s="84">
        <v>0.0</v>
      </c>
      <c r="S851" s="84">
        <v>0.0</v>
      </c>
      <c r="T851" s="84">
        <v>0.0</v>
      </c>
      <c r="U851" s="84">
        <v>0.0</v>
      </c>
      <c r="V851" s="84">
        <v>0.0</v>
      </c>
      <c r="W851" s="84">
        <v>0.0</v>
      </c>
      <c r="X851" s="84">
        <v>0.0</v>
      </c>
      <c r="Y851" s="84">
        <v>0.0</v>
      </c>
      <c r="Z851" s="84">
        <v>6.0</v>
      </c>
      <c r="AA851" s="84">
        <v>4.0</v>
      </c>
      <c r="AB851" s="84">
        <v>0.0</v>
      </c>
      <c r="AC851" s="91">
        <v>0.0</v>
      </c>
      <c r="AD851" s="84">
        <v>0.0</v>
      </c>
      <c r="AE851" s="84">
        <v>0.0</v>
      </c>
      <c r="AF851" s="84">
        <v>0.0</v>
      </c>
      <c r="AG851" s="84">
        <v>0.0</v>
      </c>
      <c r="AH851" s="84">
        <v>0.0</v>
      </c>
      <c r="AI851" s="84">
        <v>0.0</v>
      </c>
      <c r="AJ851" s="84">
        <v>0.0</v>
      </c>
      <c r="AK851" s="84">
        <v>0.0</v>
      </c>
      <c r="AL851" s="84">
        <v>0.0</v>
      </c>
      <c r="AM851" s="84">
        <v>0.0</v>
      </c>
      <c r="AN851" s="93">
        <f t="shared" si="1"/>
        <v>0</v>
      </c>
      <c r="AO851" s="84">
        <f t="shared" si="2"/>
        <v>0</v>
      </c>
    </row>
    <row r="852" ht="12.75" customHeight="1">
      <c r="A852" s="84" t="s">
        <v>4154</v>
      </c>
      <c r="B852" s="84">
        <v>0.0</v>
      </c>
      <c r="C852" s="84">
        <v>0.0</v>
      </c>
      <c r="D852" s="84">
        <v>0.0</v>
      </c>
      <c r="E852" s="84">
        <v>0.0</v>
      </c>
      <c r="F852" s="84">
        <v>0.0</v>
      </c>
      <c r="G852" s="84">
        <v>0.0</v>
      </c>
      <c r="H852" s="84">
        <v>0.0</v>
      </c>
      <c r="I852" s="91">
        <v>0.0</v>
      </c>
      <c r="J852" s="84">
        <v>0.0</v>
      </c>
      <c r="K852" s="84">
        <v>0.0</v>
      </c>
      <c r="L852" s="84">
        <v>0.0</v>
      </c>
      <c r="M852" s="84">
        <v>0.0</v>
      </c>
      <c r="N852" s="84">
        <v>0.0</v>
      </c>
      <c r="O852" s="84">
        <v>0.0</v>
      </c>
      <c r="P852" s="84">
        <v>0.0</v>
      </c>
      <c r="Q852" s="84">
        <v>0.0</v>
      </c>
      <c r="R852" s="84">
        <v>0.0</v>
      </c>
      <c r="S852" s="84">
        <v>0.0</v>
      </c>
      <c r="T852" s="84">
        <v>0.0</v>
      </c>
      <c r="U852" s="84">
        <v>0.0</v>
      </c>
      <c r="V852" s="84">
        <v>0.0</v>
      </c>
      <c r="W852" s="84">
        <v>0.0</v>
      </c>
      <c r="X852" s="84">
        <v>0.0</v>
      </c>
      <c r="Y852" s="84">
        <v>0.0</v>
      </c>
      <c r="Z852" s="84">
        <v>0.0</v>
      </c>
      <c r="AA852" s="84">
        <v>0.0</v>
      </c>
      <c r="AB852" s="84">
        <v>0.0</v>
      </c>
      <c r="AC852" s="91">
        <v>0.0</v>
      </c>
      <c r="AD852" s="84">
        <v>0.0</v>
      </c>
      <c r="AE852" s="84">
        <v>0.0</v>
      </c>
      <c r="AF852" s="84">
        <v>0.0</v>
      </c>
      <c r="AG852" s="84">
        <v>0.0</v>
      </c>
      <c r="AH852" s="84">
        <v>0.0</v>
      </c>
      <c r="AI852" s="84">
        <v>0.0</v>
      </c>
      <c r="AJ852" s="84">
        <v>0.0</v>
      </c>
      <c r="AK852" s="84">
        <v>0.0</v>
      </c>
      <c r="AL852" s="84">
        <v>0.0</v>
      </c>
      <c r="AM852" s="84">
        <v>0.0</v>
      </c>
      <c r="AN852" s="93">
        <f t="shared" si="1"/>
        <v>0</v>
      </c>
      <c r="AO852" s="84">
        <f t="shared" si="2"/>
        <v>0</v>
      </c>
    </row>
    <row r="853" ht="12.75" customHeight="1">
      <c r="A853" s="84" t="s">
        <v>4458</v>
      </c>
      <c r="B853" s="84">
        <v>0.0</v>
      </c>
      <c r="C853" s="84">
        <v>0.0</v>
      </c>
      <c r="D853" s="84">
        <v>0.0</v>
      </c>
      <c r="E853" s="84">
        <v>0.0</v>
      </c>
      <c r="F853" s="84">
        <v>0.0</v>
      </c>
      <c r="G853" s="84">
        <v>0.0</v>
      </c>
      <c r="H853" s="84">
        <v>0.0</v>
      </c>
      <c r="I853" s="91">
        <v>0.0</v>
      </c>
      <c r="J853" s="84">
        <v>0.0</v>
      </c>
      <c r="K853" s="84">
        <v>0.0</v>
      </c>
      <c r="L853" s="84">
        <v>0.0</v>
      </c>
      <c r="M853" s="84">
        <v>0.0</v>
      </c>
      <c r="N853" s="84">
        <v>0.0</v>
      </c>
      <c r="O853" s="84">
        <v>0.0</v>
      </c>
      <c r="P853" s="84">
        <v>0.0</v>
      </c>
      <c r="Q853" s="84">
        <v>0.0</v>
      </c>
      <c r="R853" s="84">
        <v>0.0</v>
      </c>
      <c r="S853" s="84">
        <v>0.0</v>
      </c>
      <c r="T853" s="84">
        <v>0.0</v>
      </c>
      <c r="U853" s="84">
        <v>0.0</v>
      </c>
      <c r="V853" s="84">
        <v>0.0</v>
      </c>
      <c r="W853" s="84">
        <v>0.0</v>
      </c>
      <c r="X853" s="84">
        <v>0.0</v>
      </c>
      <c r="Y853" s="84">
        <v>0.0</v>
      </c>
      <c r="Z853" s="84">
        <v>0.0</v>
      </c>
      <c r="AA853" s="84">
        <v>0.0</v>
      </c>
      <c r="AB853" s="84">
        <v>0.0</v>
      </c>
      <c r="AC853" s="91">
        <v>0.0</v>
      </c>
      <c r="AD853" s="84">
        <v>1.0</v>
      </c>
      <c r="AE853" s="84">
        <v>0.0</v>
      </c>
      <c r="AF853" s="84">
        <v>0.0</v>
      </c>
      <c r="AG853" s="84">
        <v>0.0</v>
      </c>
      <c r="AH853" s="84">
        <v>0.0</v>
      </c>
      <c r="AI853" s="84">
        <v>0.0</v>
      </c>
      <c r="AJ853" s="84">
        <v>0.0</v>
      </c>
      <c r="AK853" s="84">
        <v>0.0</v>
      </c>
      <c r="AL853" s="84">
        <v>0.0</v>
      </c>
      <c r="AM853" s="84">
        <v>0.0</v>
      </c>
      <c r="AN853" s="93">
        <f t="shared" si="1"/>
        <v>0</v>
      </c>
      <c r="AO853" s="84">
        <f t="shared" si="2"/>
        <v>1</v>
      </c>
    </row>
    <row r="854" ht="12.75" customHeight="1">
      <c r="A854" s="84" t="s">
        <v>3801</v>
      </c>
      <c r="B854" s="84">
        <v>0.0</v>
      </c>
      <c r="C854" s="84">
        <v>0.0</v>
      </c>
      <c r="D854" s="84">
        <v>0.0</v>
      </c>
      <c r="E854" s="84">
        <v>0.0</v>
      </c>
      <c r="F854" s="84">
        <v>0.0</v>
      </c>
      <c r="G854" s="84">
        <v>4.0</v>
      </c>
      <c r="H854" s="84">
        <v>1.0</v>
      </c>
      <c r="I854" s="91">
        <v>0.0</v>
      </c>
      <c r="J854" s="84">
        <v>0.0</v>
      </c>
      <c r="K854" s="84">
        <v>0.0</v>
      </c>
      <c r="L854" s="84">
        <v>0.0</v>
      </c>
      <c r="M854" s="84">
        <v>0.0</v>
      </c>
      <c r="N854" s="84">
        <v>0.0</v>
      </c>
      <c r="O854" s="84">
        <v>0.0</v>
      </c>
      <c r="P854" s="84">
        <v>0.0</v>
      </c>
      <c r="Q854" s="84">
        <v>0.0</v>
      </c>
      <c r="R854" s="84">
        <v>0.0</v>
      </c>
      <c r="S854" s="84">
        <v>0.0</v>
      </c>
      <c r="T854" s="84">
        <v>0.0</v>
      </c>
      <c r="U854" s="84">
        <v>0.0</v>
      </c>
      <c r="V854" s="84">
        <v>0.0</v>
      </c>
      <c r="W854" s="84">
        <v>0.0</v>
      </c>
      <c r="X854" s="84">
        <v>0.0</v>
      </c>
      <c r="Y854" s="84">
        <v>0.0</v>
      </c>
      <c r="Z854" s="84">
        <v>0.0</v>
      </c>
      <c r="AA854" s="84">
        <v>6.0</v>
      </c>
      <c r="AB854" s="84">
        <v>2.0</v>
      </c>
      <c r="AC854" s="91">
        <v>0.0</v>
      </c>
      <c r="AD854" s="84">
        <v>0.0</v>
      </c>
      <c r="AE854" s="84">
        <v>0.0</v>
      </c>
      <c r="AF854" s="84">
        <v>0.0</v>
      </c>
      <c r="AG854" s="84">
        <v>0.0</v>
      </c>
      <c r="AH854" s="84">
        <v>0.0</v>
      </c>
      <c r="AI854" s="84">
        <v>0.0</v>
      </c>
      <c r="AJ854" s="84">
        <v>0.0</v>
      </c>
      <c r="AK854" s="84">
        <v>0.0</v>
      </c>
      <c r="AL854" s="84">
        <v>0.0</v>
      </c>
      <c r="AM854" s="84">
        <v>0.0</v>
      </c>
      <c r="AN854" s="93">
        <f t="shared" si="1"/>
        <v>0</v>
      </c>
      <c r="AO854" s="84">
        <f t="shared" si="2"/>
        <v>0</v>
      </c>
    </row>
    <row r="855" ht="12.75" customHeight="1">
      <c r="A855" s="84" t="s">
        <v>4448</v>
      </c>
      <c r="B855" s="84">
        <v>0.0</v>
      </c>
      <c r="C855" s="84">
        <v>0.0</v>
      </c>
      <c r="D855" s="84">
        <v>0.0</v>
      </c>
      <c r="E855" s="84">
        <v>0.0</v>
      </c>
      <c r="F855" s="84">
        <v>0.0</v>
      </c>
      <c r="G855" s="84">
        <v>0.0</v>
      </c>
      <c r="H855" s="84">
        <v>0.0</v>
      </c>
      <c r="I855" s="91">
        <v>0.0</v>
      </c>
      <c r="J855" s="84">
        <v>0.0</v>
      </c>
      <c r="K855" s="84">
        <v>0.0</v>
      </c>
      <c r="L855" s="84">
        <v>1.0</v>
      </c>
      <c r="M855" s="84">
        <v>0.0</v>
      </c>
      <c r="N855" s="84">
        <v>0.0</v>
      </c>
      <c r="O855" s="84">
        <v>0.0</v>
      </c>
      <c r="P855" s="84">
        <v>0.0</v>
      </c>
      <c r="Q855" s="84">
        <v>0.0</v>
      </c>
      <c r="R855" s="84">
        <v>0.0</v>
      </c>
      <c r="S855" s="84">
        <v>0.0</v>
      </c>
      <c r="T855" s="84">
        <v>0.0</v>
      </c>
      <c r="U855" s="84">
        <v>0.0</v>
      </c>
      <c r="V855" s="84">
        <v>0.0</v>
      </c>
      <c r="W855" s="84">
        <v>0.0</v>
      </c>
      <c r="X855" s="84">
        <v>0.0</v>
      </c>
      <c r="Y855" s="84">
        <v>0.0</v>
      </c>
      <c r="Z855" s="84">
        <v>0.0</v>
      </c>
      <c r="AA855" s="84">
        <v>0.0</v>
      </c>
      <c r="AB855" s="84">
        <v>0.0</v>
      </c>
      <c r="AC855" s="91">
        <v>0.0</v>
      </c>
      <c r="AD855" s="84">
        <v>0.0</v>
      </c>
      <c r="AE855" s="84">
        <v>0.0</v>
      </c>
      <c r="AF855" s="84">
        <v>0.0</v>
      </c>
      <c r="AG855" s="84">
        <v>0.0</v>
      </c>
      <c r="AH855" s="84">
        <v>0.0</v>
      </c>
      <c r="AI855" s="84">
        <v>0.0</v>
      </c>
      <c r="AJ855" s="84">
        <v>0.0</v>
      </c>
      <c r="AK855" s="84">
        <v>0.0</v>
      </c>
      <c r="AL855" s="84">
        <v>0.0</v>
      </c>
      <c r="AM855" s="84">
        <v>0.0</v>
      </c>
      <c r="AN855" s="93">
        <f t="shared" si="1"/>
        <v>0</v>
      </c>
      <c r="AO855" s="84">
        <f t="shared" si="2"/>
        <v>1</v>
      </c>
    </row>
    <row r="856" ht="12.75" customHeight="1">
      <c r="A856" s="84" t="s">
        <v>4451</v>
      </c>
      <c r="B856" s="84">
        <v>0.0</v>
      </c>
      <c r="C856" s="84">
        <v>0.0</v>
      </c>
      <c r="D856" s="84">
        <v>0.0</v>
      </c>
      <c r="E856" s="84">
        <v>0.0</v>
      </c>
      <c r="F856" s="84">
        <v>0.0</v>
      </c>
      <c r="G856" s="84">
        <v>0.0</v>
      </c>
      <c r="H856" s="84">
        <v>0.0</v>
      </c>
      <c r="I856" s="91">
        <v>0.0</v>
      </c>
      <c r="J856" s="84">
        <v>0.0</v>
      </c>
      <c r="K856" s="84">
        <v>0.0</v>
      </c>
      <c r="L856" s="84">
        <v>1.0</v>
      </c>
      <c r="M856" s="84">
        <v>0.0</v>
      </c>
      <c r="N856" s="84">
        <v>0.0</v>
      </c>
      <c r="O856" s="84">
        <v>0.0</v>
      </c>
      <c r="P856" s="84">
        <v>0.0</v>
      </c>
      <c r="Q856" s="84">
        <v>0.0</v>
      </c>
      <c r="R856" s="84">
        <v>0.0</v>
      </c>
      <c r="S856" s="84">
        <v>0.0</v>
      </c>
      <c r="T856" s="84">
        <v>0.0</v>
      </c>
      <c r="U856" s="84">
        <v>0.0</v>
      </c>
      <c r="V856" s="84">
        <v>0.0</v>
      </c>
      <c r="W856" s="84">
        <v>0.0</v>
      </c>
      <c r="X856" s="84">
        <v>0.0</v>
      </c>
      <c r="Y856" s="84">
        <v>0.0</v>
      </c>
      <c r="Z856" s="84">
        <v>0.0</v>
      </c>
      <c r="AA856" s="84">
        <v>0.0</v>
      </c>
      <c r="AB856" s="84">
        <v>0.0</v>
      </c>
      <c r="AC856" s="91">
        <v>0.0</v>
      </c>
      <c r="AD856" s="84">
        <v>0.0</v>
      </c>
      <c r="AE856" s="84">
        <v>0.0</v>
      </c>
      <c r="AF856" s="84">
        <v>0.0</v>
      </c>
      <c r="AG856" s="84">
        <v>0.0</v>
      </c>
      <c r="AH856" s="84">
        <v>0.0</v>
      </c>
      <c r="AI856" s="84">
        <v>0.0</v>
      </c>
      <c r="AJ856" s="84">
        <v>0.0</v>
      </c>
      <c r="AK856" s="84">
        <v>0.0</v>
      </c>
      <c r="AL856" s="84">
        <v>0.0</v>
      </c>
      <c r="AM856" s="84">
        <v>0.0</v>
      </c>
      <c r="AN856" s="93">
        <f t="shared" si="1"/>
        <v>0</v>
      </c>
      <c r="AO856" s="84">
        <f t="shared" si="2"/>
        <v>1</v>
      </c>
    </row>
    <row r="857" ht="12.75" customHeight="1">
      <c r="A857" s="84" t="s">
        <v>4456</v>
      </c>
      <c r="B857" s="84">
        <v>0.0</v>
      </c>
      <c r="C857" s="84">
        <v>0.0</v>
      </c>
      <c r="D857" s="84">
        <v>0.0</v>
      </c>
      <c r="E857" s="84">
        <v>0.0</v>
      </c>
      <c r="F857" s="84">
        <v>0.0</v>
      </c>
      <c r="G857" s="84">
        <v>0.0</v>
      </c>
      <c r="H857" s="84">
        <v>0.0</v>
      </c>
      <c r="I857" s="91">
        <v>0.0</v>
      </c>
      <c r="J857" s="84">
        <v>0.0</v>
      </c>
      <c r="K857" s="84">
        <v>0.0</v>
      </c>
      <c r="L857" s="84">
        <v>0.0</v>
      </c>
      <c r="M857" s="84">
        <v>0.0</v>
      </c>
      <c r="N857" s="84">
        <v>0.0</v>
      </c>
      <c r="O857" s="84">
        <v>0.0</v>
      </c>
      <c r="P857" s="84">
        <v>0.0</v>
      </c>
      <c r="Q857" s="84">
        <v>0.0</v>
      </c>
      <c r="R857" s="84">
        <v>0.0</v>
      </c>
      <c r="S857" s="84">
        <v>0.0</v>
      </c>
      <c r="T857" s="84">
        <v>0.0</v>
      </c>
      <c r="U857" s="84">
        <v>0.0</v>
      </c>
      <c r="V857" s="84">
        <v>0.0</v>
      </c>
      <c r="W857" s="84">
        <v>0.0</v>
      </c>
      <c r="X857" s="84">
        <v>0.0</v>
      </c>
      <c r="Y857" s="84">
        <v>0.0</v>
      </c>
      <c r="Z857" s="84">
        <v>0.0</v>
      </c>
      <c r="AA857" s="84">
        <v>0.0</v>
      </c>
      <c r="AB857" s="84">
        <v>0.0</v>
      </c>
      <c r="AC857" s="91">
        <v>0.0</v>
      </c>
      <c r="AD857" s="84">
        <v>1.0</v>
      </c>
      <c r="AE857" s="84">
        <v>0.0</v>
      </c>
      <c r="AF857" s="84">
        <v>0.0</v>
      </c>
      <c r="AG857" s="84">
        <v>0.0</v>
      </c>
      <c r="AH857" s="84">
        <v>0.0</v>
      </c>
      <c r="AI857" s="84">
        <v>0.0</v>
      </c>
      <c r="AJ857" s="84">
        <v>0.0</v>
      </c>
      <c r="AK857" s="84">
        <v>0.0</v>
      </c>
      <c r="AL857" s="84">
        <v>0.0</v>
      </c>
      <c r="AM857" s="84">
        <v>0.0</v>
      </c>
      <c r="AN857" s="93">
        <f t="shared" si="1"/>
        <v>0</v>
      </c>
      <c r="AO857" s="84">
        <f t="shared" si="2"/>
        <v>1</v>
      </c>
    </row>
    <row r="858" ht="12.75" customHeight="1">
      <c r="A858" s="84" t="s">
        <v>3769</v>
      </c>
      <c r="B858" s="84">
        <v>0.0</v>
      </c>
      <c r="C858" s="84">
        <v>0.0</v>
      </c>
      <c r="D858" s="84">
        <v>0.0</v>
      </c>
      <c r="E858" s="84">
        <v>0.0</v>
      </c>
      <c r="F858" s="84">
        <v>0.0</v>
      </c>
      <c r="G858" s="84">
        <v>5.0</v>
      </c>
      <c r="H858" s="84">
        <v>0.0</v>
      </c>
      <c r="I858" s="91">
        <v>0.0</v>
      </c>
      <c r="J858" s="84">
        <v>0.0</v>
      </c>
      <c r="K858" s="84">
        <v>0.0</v>
      </c>
      <c r="L858" s="84">
        <v>0.0</v>
      </c>
      <c r="M858" s="84">
        <v>0.0</v>
      </c>
      <c r="N858" s="84">
        <v>0.0</v>
      </c>
      <c r="O858" s="84">
        <v>0.0</v>
      </c>
      <c r="P858" s="84">
        <v>0.0</v>
      </c>
      <c r="Q858" s="84">
        <v>0.0</v>
      </c>
      <c r="R858" s="84">
        <v>0.0</v>
      </c>
      <c r="S858" s="84">
        <v>0.0</v>
      </c>
      <c r="T858" s="84">
        <v>0.0</v>
      </c>
      <c r="U858" s="84">
        <v>0.0</v>
      </c>
      <c r="V858" s="84">
        <v>0.0</v>
      </c>
      <c r="W858" s="84">
        <v>0.0</v>
      </c>
      <c r="X858" s="84">
        <v>0.0</v>
      </c>
      <c r="Y858" s="84">
        <v>0.0</v>
      </c>
      <c r="Z858" s="84">
        <v>0.0</v>
      </c>
      <c r="AA858" s="84">
        <v>6.0</v>
      </c>
      <c r="AB858" s="84">
        <v>0.0</v>
      </c>
      <c r="AC858" s="91">
        <v>0.0</v>
      </c>
      <c r="AD858" s="84">
        <v>0.0</v>
      </c>
      <c r="AE858" s="84">
        <v>0.0</v>
      </c>
      <c r="AF858" s="84">
        <v>0.0</v>
      </c>
      <c r="AG858" s="84">
        <v>0.0</v>
      </c>
      <c r="AH858" s="84">
        <v>0.0</v>
      </c>
      <c r="AI858" s="84">
        <v>0.0</v>
      </c>
      <c r="AJ858" s="84">
        <v>0.0</v>
      </c>
      <c r="AK858" s="84">
        <v>0.0</v>
      </c>
      <c r="AL858" s="84">
        <v>0.0</v>
      </c>
      <c r="AM858" s="84">
        <v>0.0</v>
      </c>
      <c r="AN858" s="93">
        <f t="shared" si="1"/>
        <v>0</v>
      </c>
      <c r="AO858" s="84">
        <f t="shared" si="2"/>
        <v>0</v>
      </c>
    </row>
    <row r="859" ht="12.75" customHeight="1">
      <c r="A859" s="84" t="s">
        <v>3336</v>
      </c>
      <c r="B859" s="84">
        <v>0.0</v>
      </c>
      <c r="C859" s="84">
        <v>0.0</v>
      </c>
      <c r="D859" s="84">
        <v>4.0</v>
      </c>
      <c r="E859" s="84">
        <v>0.0</v>
      </c>
      <c r="F859" s="84">
        <v>0.0</v>
      </c>
      <c r="G859" s="84">
        <v>0.0</v>
      </c>
      <c r="H859" s="84">
        <v>0.0</v>
      </c>
      <c r="I859" s="91">
        <v>0.0</v>
      </c>
      <c r="J859" s="84">
        <v>0.0</v>
      </c>
      <c r="K859" s="84">
        <v>0.0</v>
      </c>
      <c r="L859" s="84">
        <v>0.0</v>
      </c>
      <c r="M859" s="84">
        <v>0.0</v>
      </c>
      <c r="N859" s="84">
        <v>0.0</v>
      </c>
      <c r="O859" s="84">
        <v>0.0</v>
      </c>
      <c r="P859" s="84">
        <v>0.0</v>
      </c>
      <c r="Q859" s="84">
        <v>0.0</v>
      </c>
      <c r="R859" s="84">
        <v>0.0</v>
      </c>
      <c r="S859" s="84">
        <v>0.0</v>
      </c>
      <c r="T859" s="84">
        <v>0.0</v>
      </c>
      <c r="U859" s="84">
        <v>0.0</v>
      </c>
      <c r="V859" s="84">
        <v>0.0</v>
      </c>
      <c r="W859" s="84">
        <v>0.0</v>
      </c>
      <c r="X859" s="84">
        <v>6.0</v>
      </c>
      <c r="Y859" s="84">
        <v>7.0</v>
      </c>
      <c r="Z859" s="84">
        <v>0.0</v>
      </c>
      <c r="AA859" s="84">
        <v>0.0</v>
      </c>
      <c r="AB859" s="84">
        <v>0.0</v>
      </c>
      <c r="AC859" s="91">
        <v>0.0</v>
      </c>
      <c r="AD859" s="84">
        <v>0.0</v>
      </c>
      <c r="AE859" s="84">
        <v>0.0</v>
      </c>
      <c r="AF859" s="84">
        <v>0.0</v>
      </c>
      <c r="AG859" s="84">
        <v>0.0</v>
      </c>
      <c r="AH859" s="84">
        <v>0.0</v>
      </c>
      <c r="AI859" s="84">
        <v>0.0</v>
      </c>
      <c r="AJ859" s="84">
        <v>0.0</v>
      </c>
      <c r="AK859" s="84">
        <v>0.0</v>
      </c>
      <c r="AL859" s="84">
        <v>0.0</v>
      </c>
      <c r="AM859" s="84">
        <v>0.0</v>
      </c>
      <c r="AN859" s="93">
        <f t="shared" si="1"/>
        <v>0</v>
      </c>
      <c r="AO859" s="84">
        <f t="shared" si="2"/>
        <v>0</v>
      </c>
    </row>
    <row r="860" ht="12.75" customHeight="1">
      <c r="A860" s="84" t="s">
        <v>4595</v>
      </c>
      <c r="B860" s="84">
        <v>0.0</v>
      </c>
      <c r="C860" s="84">
        <v>0.0</v>
      </c>
      <c r="D860" s="84">
        <v>0.0</v>
      </c>
      <c r="E860" s="84">
        <v>0.0</v>
      </c>
      <c r="F860" s="84">
        <v>0.0</v>
      </c>
      <c r="G860" s="84">
        <v>0.0</v>
      </c>
      <c r="H860" s="84">
        <v>0.0</v>
      </c>
      <c r="I860" s="91">
        <v>0.0</v>
      </c>
      <c r="J860" s="84">
        <v>0.0</v>
      </c>
      <c r="K860" s="84">
        <v>0.0</v>
      </c>
      <c r="L860" s="84">
        <v>0.0</v>
      </c>
      <c r="M860" s="84">
        <v>0.0</v>
      </c>
      <c r="N860" s="84">
        <v>0.0</v>
      </c>
      <c r="O860" s="84">
        <v>0.0</v>
      </c>
      <c r="P860" s="84">
        <v>0.0</v>
      </c>
      <c r="Q860" s="84">
        <v>0.0</v>
      </c>
      <c r="R860" s="84">
        <v>1.0</v>
      </c>
      <c r="S860" s="84">
        <v>0.0</v>
      </c>
      <c r="T860" s="84">
        <v>0.0</v>
      </c>
      <c r="U860" s="84">
        <v>0.0</v>
      </c>
      <c r="V860" s="84">
        <v>0.0</v>
      </c>
      <c r="W860" s="84">
        <v>0.0</v>
      </c>
      <c r="X860" s="84">
        <v>0.0</v>
      </c>
      <c r="Y860" s="84">
        <v>0.0</v>
      </c>
      <c r="Z860" s="84">
        <v>0.0</v>
      </c>
      <c r="AA860" s="84">
        <v>0.0</v>
      </c>
      <c r="AB860" s="84">
        <v>0.0</v>
      </c>
      <c r="AC860" s="91">
        <v>0.0</v>
      </c>
      <c r="AD860" s="84">
        <v>0.0</v>
      </c>
      <c r="AE860" s="84">
        <v>0.0</v>
      </c>
      <c r="AF860" s="84">
        <v>0.0</v>
      </c>
      <c r="AG860" s="84">
        <v>0.0</v>
      </c>
      <c r="AH860" s="84">
        <v>0.0</v>
      </c>
      <c r="AI860" s="84">
        <v>0.0</v>
      </c>
      <c r="AJ860" s="84">
        <v>0.0</v>
      </c>
      <c r="AK860" s="84">
        <v>0.0</v>
      </c>
      <c r="AL860" s="84">
        <v>0.0</v>
      </c>
      <c r="AM860" s="84">
        <v>0.0</v>
      </c>
      <c r="AN860" s="93">
        <f t="shared" si="1"/>
        <v>0</v>
      </c>
      <c r="AO860" s="84">
        <f t="shared" si="2"/>
        <v>1</v>
      </c>
    </row>
    <row r="861" ht="12.75" customHeight="1">
      <c r="A861" s="84" t="s">
        <v>4672</v>
      </c>
      <c r="B861" s="84">
        <v>0.0</v>
      </c>
      <c r="C861" s="84">
        <v>0.0</v>
      </c>
      <c r="D861" s="84">
        <v>0.0</v>
      </c>
      <c r="E861" s="84">
        <v>0.0</v>
      </c>
      <c r="F861" s="84">
        <v>0.0</v>
      </c>
      <c r="G861" s="84">
        <v>0.0</v>
      </c>
      <c r="H861" s="84">
        <v>0.0</v>
      </c>
      <c r="I861" s="91">
        <v>0.0</v>
      </c>
      <c r="J861" s="84">
        <v>0.0</v>
      </c>
      <c r="K861" s="84">
        <v>0.0</v>
      </c>
      <c r="L861" s="84">
        <v>0.0</v>
      </c>
      <c r="M861" s="84">
        <v>0.0</v>
      </c>
      <c r="N861" s="84">
        <v>0.0</v>
      </c>
      <c r="O861" s="84">
        <v>0.0</v>
      </c>
      <c r="P861" s="84">
        <v>0.0</v>
      </c>
      <c r="Q861" s="84">
        <v>0.0</v>
      </c>
      <c r="R861" s="84">
        <v>0.0</v>
      </c>
      <c r="S861" s="84">
        <v>0.0</v>
      </c>
      <c r="T861" s="84">
        <v>0.0</v>
      </c>
      <c r="U861" s="84">
        <v>1.0</v>
      </c>
      <c r="V861" s="84">
        <v>0.0</v>
      </c>
      <c r="W861" s="84">
        <v>0.0</v>
      </c>
      <c r="X861" s="84">
        <v>0.0</v>
      </c>
      <c r="Y861" s="84">
        <v>0.0</v>
      </c>
      <c r="Z861" s="84">
        <v>0.0</v>
      </c>
      <c r="AA861" s="84">
        <v>0.0</v>
      </c>
      <c r="AB861" s="84">
        <v>0.0</v>
      </c>
      <c r="AC861" s="91">
        <v>0.0</v>
      </c>
      <c r="AD861" s="84">
        <v>0.0</v>
      </c>
      <c r="AE861" s="84">
        <v>0.0</v>
      </c>
      <c r="AF861" s="84">
        <v>0.0</v>
      </c>
      <c r="AG861" s="84">
        <v>0.0</v>
      </c>
      <c r="AH861" s="84">
        <v>0.0</v>
      </c>
      <c r="AI861" s="84">
        <v>0.0</v>
      </c>
      <c r="AJ861" s="84">
        <v>0.0</v>
      </c>
      <c r="AK861" s="84">
        <v>0.0</v>
      </c>
      <c r="AL861" s="84">
        <v>0.0</v>
      </c>
      <c r="AM861" s="84">
        <v>0.0</v>
      </c>
      <c r="AN861" s="93">
        <f t="shared" si="1"/>
        <v>0</v>
      </c>
      <c r="AO861" s="84">
        <f t="shared" si="2"/>
        <v>1</v>
      </c>
    </row>
    <row r="862" ht="12.75" customHeight="1">
      <c r="A862" s="84" t="s">
        <v>3965</v>
      </c>
      <c r="B862" s="84">
        <v>0.0</v>
      </c>
      <c r="C862" s="84">
        <v>0.0</v>
      </c>
      <c r="D862" s="84">
        <v>0.0</v>
      </c>
      <c r="E862" s="84">
        <v>0.0</v>
      </c>
      <c r="F862" s="84">
        <v>0.0</v>
      </c>
      <c r="G862" s="84">
        <v>0.0</v>
      </c>
      <c r="H862" s="84">
        <v>0.0</v>
      </c>
      <c r="I862" s="91">
        <v>0.0</v>
      </c>
      <c r="J862" s="84">
        <v>0.0</v>
      </c>
      <c r="K862" s="84">
        <v>3.0</v>
      </c>
      <c r="L862" s="84">
        <v>0.0</v>
      </c>
      <c r="M862" s="84">
        <v>0.0</v>
      </c>
      <c r="N862" s="84">
        <v>0.0</v>
      </c>
      <c r="O862" s="84">
        <v>0.0</v>
      </c>
      <c r="P862" s="84">
        <v>0.0</v>
      </c>
      <c r="Q862" s="84">
        <v>0.0</v>
      </c>
      <c r="R862" s="84">
        <v>0.0</v>
      </c>
      <c r="S862" s="84">
        <v>0.0</v>
      </c>
      <c r="T862" s="84">
        <v>0.0</v>
      </c>
      <c r="U862" s="84">
        <v>0.0</v>
      </c>
      <c r="V862" s="84">
        <v>0.0</v>
      </c>
      <c r="W862" s="84">
        <v>0.0</v>
      </c>
      <c r="X862" s="84">
        <v>0.0</v>
      </c>
      <c r="Y862" s="84">
        <v>0.0</v>
      </c>
      <c r="Z862" s="84">
        <v>0.0</v>
      </c>
      <c r="AA862" s="84">
        <v>0.0</v>
      </c>
      <c r="AB862" s="84">
        <v>1.0</v>
      </c>
      <c r="AC862" s="91">
        <v>0.0</v>
      </c>
      <c r="AD862" s="84">
        <v>0.0</v>
      </c>
      <c r="AE862" s="84">
        <v>0.0</v>
      </c>
      <c r="AF862" s="84">
        <v>0.0</v>
      </c>
      <c r="AG862" s="84">
        <v>0.0</v>
      </c>
      <c r="AH862" s="84">
        <v>0.0</v>
      </c>
      <c r="AI862" s="84">
        <v>0.0</v>
      </c>
      <c r="AJ862" s="84">
        <v>0.0</v>
      </c>
      <c r="AK862" s="84">
        <v>0.0</v>
      </c>
      <c r="AL862" s="84">
        <v>0.0</v>
      </c>
      <c r="AM862" s="84">
        <v>0.0</v>
      </c>
      <c r="AN862" s="93">
        <f t="shared" si="1"/>
        <v>0</v>
      </c>
      <c r="AO862" s="84">
        <f t="shared" si="2"/>
        <v>0</v>
      </c>
    </row>
    <row r="863" ht="12.75" customHeight="1">
      <c r="A863" s="84" t="s">
        <v>4609</v>
      </c>
      <c r="B863" s="84">
        <v>0.0</v>
      </c>
      <c r="C863" s="84">
        <v>0.0</v>
      </c>
      <c r="D863" s="84">
        <v>0.0</v>
      </c>
      <c r="E863" s="84">
        <v>0.0</v>
      </c>
      <c r="F863" s="84">
        <v>0.0</v>
      </c>
      <c r="G863" s="84">
        <v>0.0</v>
      </c>
      <c r="H863" s="84">
        <v>0.0</v>
      </c>
      <c r="I863" s="91">
        <v>0.0</v>
      </c>
      <c r="J863" s="84">
        <v>0.0</v>
      </c>
      <c r="K863" s="84">
        <v>0.0</v>
      </c>
      <c r="L863" s="84">
        <v>0.0</v>
      </c>
      <c r="M863" s="84">
        <v>0.0</v>
      </c>
      <c r="N863" s="84">
        <v>0.0</v>
      </c>
      <c r="O863" s="84">
        <v>0.0</v>
      </c>
      <c r="P863" s="84">
        <v>0.0</v>
      </c>
      <c r="Q863" s="84">
        <v>0.0</v>
      </c>
      <c r="R863" s="84">
        <v>0.0</v>
      </c>
      <c r="S863" s="84">
        <v>0.0</v>
      </c>
      <c r="T863" s="84">
        <v>0.0</v>
      </c>
      <c r="U863" s="84">
        <v>0.0</v>
      </c>
      <c r="V863" s="84">
        <v>0.0</v>
      </c>
      <c r="W863" s="84">
        <v>0.0</v>
      </c>
      <c r="X863" s="84">
        <v>0.0</v>
      </c>
      <c r="Y863" s="84">
        <v>0.0</v>
      </c>
      <c r="Z863" s="84">
        <v>0.0</v>
      </c>
      <c r="AA863" s="84">
        <v>0.0</v>
      </c>
      <c r="AB863" s="84">
        <v>0.0</v>
      </c>
      <c r="AC863" s="91">
        <v>0.0</v>
      </c>
      <c r="AD863" s="84">
        <v>0.0</v>
      </c>
      <c r="AE863" s="84">
        <v>0.0</v>
      </c>
      <c r="AF863" s="84">
        <v>0.0</v>
      </c>
      <c r="AG863" s="84">
        <v>0.0</v>
      </c>
      <c r="AH863" s="84">
        <v>0.0</v>
      </c>
      <c r="AI863" s="84">
        <v>0.0</v>
      </c>
      <c r="AJ863" s="84">
        <v>1.0</v>
      </c>
      <c r="AK863" s="84">
        <v>0.0</v>
      </c>
      <c r="AL863" s="84">
        <v>0.0</v>
      </c>
      <c r="AM863" s="84">
        <v>0.0</v>
      </c>
      <c r="AN863" s="93">
        <f t="shared" si="1"/>
        <v>0</v>
      </c>
      <c r="AO863" s="84">
        <f t="shared" si="2"/>
        <v>1</v>
      </c>
    </row>
    <row r="864" ht="12.75" customHeight="1">
      <c r="A864" s="84" t="s">
        <v>3567</v>
      </c>
      <c r="B864" s="84">
        <v>0.0</v>
      </c>
      <c r="C864" s="84">
        <v>0.0</v>
      </c>
      <c r="D864" s="84">
        <v>0.0</v>
      </c>
      <c r="E864" s="84">
        <v>5.0</v>
      </c>
      <c r="F864" s="84">
        <v>0.0</v>
      </c>
      <c r="G864" s="84">
        <v>0.0</v>
      </c>
      <c r="H864" s="84">
        <v>0.0</v>
      </c>
      <c r="I864" s="91">
        <v>0.0</v>
      </c>
      <c r="J864" s="84">
        <v>0.0</v>
      </c>
      <c r="K864" s="84">
        <v>0.0</v>
      </c>
      <c r="L864" s="84">
        <v>0.0</v>
      </c>
      <c r="M864" s="84">
        <v>0.0</v>
      </c>
      <c r="N864" s="84">
        <v>0.0</v>
      </c>
      <c r="O864" s="84">
        <v>0.0</v>
      </c>
      <c r="P864" s="84">
        <v>0.0</v>
      </c>
      <c r="Q864" s="84">
        <v>0.0</v>
      </c>
      <c r="R864" s="84">
        <v>0.0</v>
      </c>
      <c r="S864" s="84">
        <v>0.0</v>
      </c>
      <c r="T864" s="84">
        <v>0.0</v>
      </c>
      <c r="U864" s="84">
        <v>0.0</v>
      </c>
      <c r="V864" s="84">
        <v>0.0</v>
      </c>
      <c r="W864" s="84">
        <v>0.0</v>
      </c>
      <c r="X864" s="84">
        <v>0.0</v>
      </c>
      <c r="Y864" s="84">
        <v>6.0</v>
      </c>
      <c r="Z864" s="84">
        <v>1.0</v>
      </c>
      <c r="AA864" s="84">
        <v>0.0</v>
      </c>
      <c r="AB864" s="84">
        <v>0.0</v>
      </c>
      <c r="AC864" s="91">
        <v>0.0</v>
      </c>
      <c r="AD864" s="84">
        <v>0.0</v>
      </c>
      <c r="AE864" s="84">
        <v>0.0</v>
      </c>
      <c r="AF864" s="84">
        <v>0.0</v>
      </c>
      <c r="AG864" s="84">
        <v>0.0</v>
      </c>
      <c r="AH864" s="84">
        <v>0.0</v>
      </c>
      <c r="AI864" s="84">
        <v>0.0</v>
      </c>
      <c r="AJ864" s="84">
        <v>0.0</v>
      </c>
      <c r="AK864" s="84">
        <v>0.0</v>
      </c>
      <c r="AL864" s="84">
        <v>0.0</v>
      </c>
      <c r="AM864" s="84">
        <v>0.0</v>
      </c>
      <c r="AN864" s="93">
        <f t="shared" si="1"/>
        <v>0</v>
      </c>
      <c r="AO864" s="84">
        <f t="shared" si="2"/>
        <v>0</v>
      </c>
    </row>
    <row r="865" ht="12.75" customHeight="1">
      <c r="A865" s="84" t="s">
        <v>2768</v>
      </c>
      <c r="B865" s="84">
        <v>3.0</v>
      </c>
      <c r="C865" s="84">
        <v>0.0</v>
      </c>
      <c r="D865" s="84">
        <v>0.0</v>
      </c>
      <c r="E865" s="84">
        <v>0.0</v>
      </c>
      <c r="F865" s="84">
        <v>0.0</v>
      </c>
      <c r="G865" s="84">
        <v>0.0</v>
      </c>
      <c r="H865" s="84">
        <v>0.0</v>
      </c>
      <c r="I865" s="91">
        <v>0.0</v>
      </c>
      <c r="J865" s="84">
        <v>0.0</v>
      </c>
      <c r="K865" s="84">
        <v>0.0</v>
      </c>
      <c r="L865" s="84">
        <v>0.0</v>
      </c>
      <c r="M865" s="84">
        <v>0.0</v>
      </c>
      <c r="N865" s="84">
        <v>0.0</v>
      </c>
      <c r="O865" s="84">
        <v>0.0</v>
      </c>
      <c r="P865" s="84">
        <v>0.0</v>
      </c>
      <c r="Q865" s="84">
        <v>0.0</v>
      </c>
      <c r="R865" s="84">
        <v>0.0</v>
      </c>
      <c r="S865" s="84">
        <v>0.0</v>
      </c>
      <c r="T865" s="84">
        <v>0.0</v>
      </c>
      <c r="U865" s="84">
        <v>0.0</v>
      </c>
      <c r="V865" s="84">
        <v>2.0</v>
      </c>
      <c r="W865" s="84">
        <v>1.0</v>
      </c>
      <c r="X865" s="84">
        <v>0.0</v>
      </c>
      <c r="Y865" s="84">
        <v>0.0</v>
      </c>
      <c r="Z865" s="84">
        <v>0.0</v>
      </c>
      <c r="AA865" s="84">
        <v>0.0</v>
      </c>
      <c r="AB865" s="84">
        <v>0.0</v>
      </c>
      <c r="AC865" s="91">
        <v>0.0</v>
      </c>
      <c r="AD865" s="84">
        <v>0.0</v>
      </c>
      <c r="AE865" s="84">
        <v>0.0</v>
      </c>
      <c r="AF865" s="84">
        <v>0.0</v>
      </c>
      <c r="AG865" s="84">
        <v>0.0</v>
      </c>
      <c r="AH865" s="84">
        <v>0.0</v>
      </c>
      <c r="AI865" s="84">
        <v>0.0</v>
      </c>
      <c r="AJ865" s="84">
        <v>0.0</v>
      </c>
      <c r="AK865" s="84">
        <v>0.0</v>
      </c>
      <c r="AL865" s="84">
        <v>0.0</v>
      </c>
      <c r="AM865" s="84">
        <v>0.0</v>
      </c>
      <c r="AN865" s="93">
        <f t="shared" si="1"/>
        <v>0</v>
      </c>
      <c r="AO865" s="84">
        <f t="shared" si="2"/>
        <v>0</v>
      </c>
    </row>
    <row r="866" ht="12.75" customHeight="1">
      <c r="A866" s="84" t="s">
        <v>2912</v>
      </c>
      <c r="B866" s="84">
        <v>2.0</v>
      </c>
      <c r="C866" s="84">
        <v>0.0</v>
      </c>
      <c r="D866" s="84">
        <v>0.0</v>
      </c>
      <c r="E866" s="84">
        <v>0.0</v>
      </c>
      <c r="F866" s="84">
        <v>0.0</v>
      </c>
      <c r="G866" s="84">
        <v>0.0</v>
      </c>
      <c r="H866" s="84">
        <v>0.0</v>
      </c>
      <c r="I866" s="91">
        <v>0.0</v>
      </c>
      <c r="J866" s="84">
        <v>0.0</v>
      </c>
      <c r="K866" s="84">
        <v>0.0</v>
      </c>
      <c r="L866" s="84">
        <v>0.0</v>
      </c>
      <c r="M866" s="84">
        <v>0.0</v>
      </c>
      <c r="N866" s="84">
        <v>0.0</v>
      </c>
      <c r="O866" s="84">
        <v>0.0</v>
      </c>
      <c r="P866" s="84">
        <v>0.0</v>
      </c>
      <c r="Q866" s="84">
        <v>0.0</v>
      </c>
      <c r="R866" s="84">
        <v>0.0</v>
      </c>
      <c r="S866" s="84">
        <v>0.0</v>
      </c>
      <c r="T866" s="84">
        <v>0.0</v>
      </c>
      <c r="U866" s="84">
        <v>0.0</v>
      </c>
      <c r="V866" s="84">
        <v>3.0</v>
      </c>
      <c r="W866" s="84">
        <v>0.0</v>
      </c>
      <c r="X866" s="84">
        <v>0.0</v>
      </c>
      <c r="Y866" s="84">
        <v>0.0</v>
      </c>
      <c r="Z866" s="84">
        <v>0.0</v>
      </c>
      <c r="AA866" s="84">
        <v>0.0</v>
      </c>
      <c r="AB866" s="84">
        <v>0.0</v>
      </c>
      <c r="AC866" s="91">
        <v>0.0</v>
      </c>
      <c r="AD866" s="84">
        <v>0.0</v>
      </c>
      <c r="AE866" s="84">
        <v>0.0</v>
      </c>
      <c r="AF866" s="84">
        <v>0.0</v>
      </c>
      <c r="AG866" s="84">
        <v>0.0</v>
      </c>
      <c r="AH866" s="84">
        <v>0.0</v>
      </c>
      <c r="AI866" s="84">
        <v>0.0</v>
      </c>
      <c r="AJ866" s="84">
        <v>0.0</v>
      </c>
      <c r="AK866" s="84">
        <v>0.0</v>
      </c>
      <c r="AL866" s="84">
        <v>0.0</v>
      </c>
      <c r="AM866" s="84">
        <v>0.0</v>
      </c>
      <c r="AN866" s="93">
        <f t="shared" si="1"/>
        <v>0</v>
      </c>
      <c r="AO866" s="84">
        <f t="shared" si="2"/>
        <v>0</v>
      </c>
    </row>
    <row r="867" ht="12.75" customHeight="1">
      <c r="A867" s="84" t="s">
        <v>3713</v>
      </c>
      <c r="B867" s="84">
        <v>0.0</v>
      </c>
      <c r="C867" s="84">
        <v>0.0</v>
      </c>
      <c r="D867" s="84">
        <v>0.0</v>
      </c>
      <c r="E867" s="84">
        <v>0.0</v>
      </c>
      <c r="F867" s="84">
        <v>6.0</v>
      </c>
      <c r="G867" s="84">
        <v>2.0</v>
      </c>
      <c r="H867" s="84">
        <v>0.0</v>
      </c>
      <c r="I867" s="91">
        <v>0.0</v>
      </c>
      <c r="J867" s="84">
        <v>0.0</v>
      </c>
      <c r="K867" s="84">
        <v>0.0</v>
      </c>
      <c r="L867" s="84">
        <v>0.0</v>
      </c>
      <c r="M867" s="84">
        <v>0.0</v>
      </c>
      <c r="N867" s="84">
        <v>0.0</v>
      </c>
      <c r="O867" s="84">
        <v>0.0</v>
      </c>
      <c r="P867" s="84">
        <v>0.0</v>
      </c>
      <c r="Q867" s="84">
        <v>0.0</v>
      </c>
      <c r="R867" s="84">
        <v>0.0</v>
      </c>
      <c r="S867" s="84">
        <v>0.0</v>
      </c>
      <c r="T867" s="84">
        <v>0.0</v>
      </c>
      <c r="U867" s="84">
        <v>0.0</v>
      </c>
      <c r="V867" s="84">
        <v>0.0</v>
      </c>
      <c r="W867" s="84">
        <v>0.0</v>
      </c>
      <c r="X867" s="84">
        <v>0.0</v>
      </c>
      <c r="Y867" s="84">
        <v>0.0</v>
      </c>
      <c r="Z867" s="84">
        <v>6.0</v>
      </c>
      <c r="AA867" s="84">
        <v>2.0</v>
      </c>
      <c r="AB867" s="84">
        <v>0.0</v>
      </c>
      <c r="AC867" s="91">
        <v>0.0</v>
      </c>
      <c r="AD867" s="84">
        <v>0.0</v>
      </c>
      <c r="AE867" s="84">
        <v>0.0</v>
      </c>
      <c r="AF867" s="84">
        <v>0.0</v>
      </c>
      <c r="AG867" s="84">
        <v>0.0</v>
      </c>
      <c r="AH867" s="84">
        <v>0.0</v>
      </c>
      <c r="AI867" s="84">
        <v>0.0</v>
      </c>
      <c r="AJ867" s="84">
        <v>0.0</v>
      </c>
      <c r="AK867" s="84">
        <v>0.0</v>
      </c>
      <c r="AL867" s="84">
        <v>0.0</v>
      </c>
      <c r="AM867" s="84">
        <v>0.0</v>
      </c>
      <c r="AN867" s="93">
        <f t="shared" si="1"/>
        <v>0</v>
      </c>
      <c r="AO867" s="84">
        <f t="shared" si="2"/>
        <v>0</v>
      </c>
    </row>
    <row r="868" ht="12.75" customHeight="1">
      <c r="A868" s="84" t="s">
        <v>3082</v>
      </c>
      <c r="B868" s="84">
        <v>1.0</v>
      </c>
      <c r="C868" s="84">
        <v>1.0</v>
      </c>
      <c r="D868" s="84">
        <v>0.0</v>
      </c>
      <c r="E868" s="84">
        <v>0.0</v>
      </c>
      <c r="F868" s="84">
        <v>0.0</v>
      </c>
      <c r="G868" s="84">
        <v>0.0</v>
      </c>
      <c r="H868" s="84">
        <v>0.0</v>
      </c>
      <c r="I868" s="91">
        <v>0.0</v>
      </c>
      <c r="J868" s="84">
        <v>0.0</v>
      </c>
      <c r="K868" s="84">
        <v>0.0</v>
      </c>
      <c r="L868" s="84">
        <v>0.0</v>
      </c>
      <c r="M868" s="84">
        <v>0.0</v>
      </c>
      <c r="N868" s="84">
        <v>0.0</v>
      </c>
      <c r="O868" s="84">
        <v>0.0</v>
      </c>
      <c r="P868" s="84">
        <v>0.0</v>
      </c>
      <c r="Q868" s="84">
        <v>0.0</v>
      </c>
      <c r="R868" s="84">
        <v>0.0</v>
      </c>
      <c r="S868" s="84">
        <v>0.0</v>
      </c>
      <c r="T868" s="84">
        <v>0.0</v>
      </c>
      <c r="U868" s="84">
        <v>0.0</v>
      </c>
      <c r="V868" s="84">
        <v>2.0</v>
      </c>
      <c r="W868" s="84">
        <v>1.0</v>
      </c>
      <c r="X868" s="84">
        <v>0.0</v>
      </c>
      <c r="Y868" s="84">
        <v>0.0</v>
      </c>
      <c r="Z868" s="84">
        <v>0.0</v>
      </c>
      <c r="AA868" s="84">
        <v>0.0</v>
      </c>
      <c r="AB868" s="84">
        <v>0.0</v>
      </c>
      <c r="AC868" s="91">
        <v>0.0</v>
      </c>
      <c r="AD868" s="84">
        <v>0.0</v>
      </c>
      <c r="AE868" s="84">
        <v>0.0</v>
      </c>
      <c r="AF868" s="84">
        <v>0.0</v>
      </c>
      <c r="AG868" s="84">
        <v>0.0</v>
      </c>
      <c r="AH868" s="84">
        <v>0.0</v>
      </c>
      <c r="AI868" s="84">
        <v>0.0</v>
      </c>
      <c r="AJ868" s="84">
        <v>0.0</v>
      </c>
      <c r="AK868" s="84">
        <v>0.0</v>
      </c>
      <c r="AL868" s="84">
        <v>0.0</v>
      </c>
      <c r="AM868" s="84">
        <v>0.0</v>
      </c>
      <c r="AN868" s="93">
        <f t="shared" si="1"/>
        <v>0</v>
      </c>
      <c r="AO868" s="84">
        <f t="shared" si="2"/>
        <v>0</v>
      </c>
    </row>
    <row r="869" ht="12.75" customHeight="1">
      <c r="A869" s="84" t="s">
        <v>3901</v>
      </c>
      <c r="B869" s="84">
        <v>0.0</v>
      </c>
      <c r="C869" s="84">
        <v>0.0</v>
      </c>
      <c r="D869" s="84">
        <v>0.0</v>
      </c>
      <c r="E869" s="84">
        <v>0.0</v>
      </c>
      <c r="F869" s="84">
        <v>0.0</v>
      </c>
      <c r="G869" s="84">
        <v>0.0</v>
      </c>
      <c r="H869" s="84">
        <v>4.0</v>
      </c>
      <c r="I869" s="91">
        <v>0.0</v>
      </c>
      <c r="J869" s="84">
        <v>0.0</v>
      </c>
      <c r="K869" s="84">
        <v>0.0</v>
      </c>
      <c r="L869" s="84">
        <v>0.0</v>
      </c>
      <c r="M869" s="84">
        <v>0.0</v>
      </c>
      <c r="N869" s="84">
        <v>0.0</v>
      </c>
      <c r="O869" s="84">
        <v>0.0</v>
      </c>
      <c r="P869" s="84">
        <v>0.0</v>
      </c>
      <c r="Q869" s="84">
        <v>0.0</v>
      </c>
      <c r="R869" s="84">
        <v>0.0</v>
      </c>
      <c r="S869" s="84">
        <v>0.0</v>
      </c>
      <c r="T869" s="84">
        <v>0.0</v>
      </c>
      <c r="U869" s="84">
        <v>0.0</v>
      </c>
      <c r="V869" s="84">
        <v>0.0</v>
      </c>
      <c r="W869" s="84">
        <v>0.0</v>
      </c>
      <c r="X869" s="84">
        <v>0.0</v>
      </c>
      <c r="Y869" s="84">
        <v>0.0</v>
      </c>
      <c r="Z869" s="84">
        <v>0.0</v>
      </c>
      <c r="AA869" s="84">
        <v>0.0</v>
      </c>
      <c r="AB869" s="84">
        <v>6.0</v>
      </c>
      <c r="AC869" s="91">
        <v>0.0</v>
      </c>
      <c r="AD869" s="84">
        <v>0.0</v>
      </c>
      <c r="AE869" s="84">
        <v>0.0</v>
      </c>
      <c r="AF869" s="84">
        <v>0.0</v>
      </c>
      <c r="AG869" s="84">
        <v>0.0</v>
      </c>
      <c r="AH869" s="84">
        <v>0.0</v>
      </c>
      <c r="AI869" s="84">
        <v>0.0</v>
      </c>
      <c r="AJ869" s="84">
        <v>0.0</v>
      </c>
      <c r="AK869" s="84">
        <v>0.0</v>
      </c>
      <c r="AL869" s="84">
        <v>0.0</v>
      </c>
      <c r="AM869" s="84">
        <v>0.0</v>
      </c>
      <c r="AN869" s="93">
        <f t="shared" si="1"/>
        <v>0</v>
      </c>
      <c r="AO869" s="84">
        <f t="shared" si="2"/>
        <v>0</v>
      </c>
    </row>
    <row r="870" ht="12.75" customHeight="1">
      <c r="A870" s="84" t="s">
        <v>3431</v>
      </c>
      <c r="B870" s="84">
        <v>0.0</v>
      </c>
      <c r="C870" s="84">
        <v>0.0</v>
      </c>
      <c r="D870" s="84">
        <v>0.0</v>
      </c>
      <c r="E870" s="84">
        <v>0.0</v>
      </c>
      <c r="F870" s="84">
        <v>0.0</v>
      </c>
      <c r="G870" s="84">
        <v>0.0</v>
      </c>
      <c r="H870" s="84">
        <v>0.0</v>
      </c>
      <c r="I870" s="91">
        <v>0.0</v>
      </c>
      <c r="J870" s="84">
        <v>3.0</v>
      </c>
      <c r="K870" s="84">
        <v>0.0</v>
      </c>
      <c r="L870" s="84">
        <v>0.0</v>
      </c>
      <c r="M870" s="84">
        <v>0.0</v>
      </c>
      <c r="N870" s="84">
        <v>0.0</v>
      </c>
      <c r="O870" s="84">
        <v>0.0</v>
      </c>
      <c r="P870" s="84">
        <v>0.0</v>
      </c>
      <c r="Q870" s="84">
        <v>0.0</v>
      </c>
      <c r="R870" s="84">
        <v>0.0</v>
      </c>
      <c r="S870" s="84">
        <v>0.0</v>
      </c>
      <c r="T870" s="84">
        <v>0.0</v>
      </c>
      <c r="U870" s="84">
        <v>0.0</v>
      </c>
      <c r="V870" s="84">
        <v>0.0</v>
      </c>
      <c r="W870" s="84">
        <v>0.0</v>
      </c>
      <c r="X870" s="84">
        <v>0.0</v>
      </c>
      <c r="Y870" s="84">
        <v>0.0</v>
      </c>
      <c r="Z870" s="84">
        <v>0.0</v>
      </c>
      <c r="AA870" s="84">
        <v>0.0</v>
      </c>
      <c r="AB870" s="84">
        <v>0.0</v>
      </c>
      <c r="AC870" s="91">
        <v>0.0</v>
      </c>
      <c r="AD870" s="84">
        <v>0.0</v>
      </c>
      <c r="AE870" s="84">
        <v>0.0</v>
      </c>
      <c r="AF870" s="84">
        <v>0.0</v>
      </c>
      <c r="AG870" s="84">
        <v>0.0</v>
      </c>
      <c r="AH870" s="84">
        <v>0.0</v>
      </c>
      <c r="AI870" s="84">
        <v>0.0</v>
      </c>
      <c r="AJ870" s="84">
        <v>0.0</v>
      </c>
      <c r="AK870" s="84">
        <v>0.0</v>
      </c>
      <c r="AL870" s="84">
        <v>0.0</v>
      </c>
      <c r="AM870" s="84">
        <v>0.0</v>
      </c>
      <c r="AN870" s="93">
        <f t="shared" si="1"/>
        <v>0</v>
      </c>
      <c r="AO870" s="84">
        <f t="shared" si="2"/>
        <v>0</v>
      </c>
    </row>
    <row r="871" ht="12.75" customHeight="1">
      <c r="A871" s="84" t="s">
        <v>4676</v>
      </c>
      <c r="B871" s="84">
        <v>0.0</v>
      </c>
      <c r="C871" s="84">
        <v>0.0</v>
      </c>
      <c r="D871" s="84">
        <v>0.0</v>
      </c>
      <c r="E871" s="84">
        <v>0.0</v>
      </c>
      <c r="F871" s="84">
        <v>0.0</v>
      </c>
      <c r="G871" s="84">
        <v>0.0</v>
      </c>
      <c r="H871" s="84">
        <v>0.0</v>
      </c>
      <c r="I871" s="91">
        <v>0.0</v>
      </c>
      <c r="J871" s="84">
        <v>0.0</v>
      </c>
      <c r="K871" s="84">
        <v>0.0</v>
      </c>
      <c r="L871" s="84">
        <v>0.0</v>
      </c>
      <c r="M871" s="84">
        <v>0.0</v>
      </c>
      <c r="N871" s="84">
        <v>0.0</v>
      </c>
      <c r="O871" s="84">
        <v>0.0</v>
      </c>
      <c r="P871" s="84">
        <v>0.0</v>
      </c>
      <c r="Q871" s="84">
        <v>0.0</v>
      </c>
      <c r="R871" s="84">
        <v>0.0</v>
      </c>
      <c r="S871" s="84">
        <v>0.0</v>
      </c>
      <c r="T871" s="84">
        <v>0.0</v>
      </c>
      <c r="U871" s="84">
        <v>1.0</v>
      </c>
      <c r="V871" s="84">
        <v>0.0</v>
      </c>
      <c r="W871" s="84">
        <v>0.0</v>
      </c>
      <c r="X871" s="84">
        <v>0.0</v>
      </c>
      <c r="Y871" s="84">
        <v>0.0</v>
      </c>
      <c r="Z871" s="84">
        <v>0.0</v>
      </c>
      <c r="AA871" s="84">
        <v>0.0</v>
      </c>
      <c r="AB871" s="84">
        <v>0.0</v>
      </c>
      <c r="AC871" s="91">
        <v>0.0</v>
      </c>
      <c r="AD871" s="84">
        <v>0.0</v>
      </c>
      <c r="AE871" s="84">
        <v>0.0</v>
      </c>
      <c r="AF871" s="84">
        <v>0.0</v>
      </c>
      <c r="AG871" s="84">
        <v>0.0</v>
      </c>
      <c r="AH871" s="84">
        <v>0.0</v>
      </c>
      <c r="AI871" s="84">
        <v>0.0</v>
      </c>
      <c r="AJ871" s="84">
        <v>0.0</v>
      </c>
      <c r="AK871" s="84">
        <v>0.0</v>
      </c>
      <c r="AL871" s="84">
        <v>0.0</v>
      </c>
      <c r="AM871" s="84">
        <v>0.0</v>
      </c>
      <c r="AN871" s="93">
        <f t="shared" si="1"/>
        <v>0</v>
      </c>
      <c r="AO871" s="84">
        <f t="shared" si="2"/>
        <v>1</v>
      </c>
    </row>
    <row r="872" ht="12.75" customHeight="1">
      <c r="A872" s="84" t="s">
        <v>4613</v>
      </c>
      <c r="B872" s="84">
        <v>0.0</v>
      </c>
      <c r="C872" s="84">
        <v>0.0</v>
      </c>
      <c r="D872" s="84">
        <v>0.0</v>
      </c>
      <c r="E872" s="84">
        <v>0.0</v>
      </c>
      <c r="F872" s="84">
        <v>0.0</v>
      </c>
      <c r="G872" s="84">
        <v>0.0</v>
      </c>
      <c r="H872" s="84">
        <v>0.0</v>
      </c>
      <c r="I872" s="91">
        <v>0.0</v>
      </c>
      <c r="J872" s="84">
        <v>0.0</v>
      </c>
      <c r="K872" s="84">
        <v>0.0</v>
      </c>
      <c r="L872" s="84">
        <v>0.0</v>
      </c>
      <c r="M872" s="84">
        <v>0.0</v>
      </c>
      <c r="N872" s="84">
        <v>0.0</v>
      </c>
      <c r="O872" s="84">
        <v>0.0</v>
      </c>
      <c r="P872" s="84">
        <v>0.0</v>
      </c>
      <c r="Q872" s="84">
        <v>0.0</v>
      </c>
      <c r="R872" s="84">
        <v>0.0</v>
      </c>
      <c r="S872" s="84">
        <v>0.0</v>
      </c>
      <c r="T872" s="84">
        <v>0.0</v>
      </c>
      <c r="U872" s="84">
        <v>0.0</v>
      </c>
      <c r="V872" s="84">
        <v>0.0</v>
      </c>
      <c r="W872" s="84">
        <v>0.0</v>
      </c>
      <c r="X872" s="84">
        <v>0.0</v>
      </c>
      <c r="Y872" s="84">
        <v>0.0</v>
      </c>
      <c r="Z872" s="84">
        <v>0.0</v>
      </c>
      <c r="AA872" s="84">
        <v>0.0</v>
      </c>
      <c r="AB872" s="84">
        <v>0.0</v>
      </c>
      <c r="AC872" s="91">
        <v>0.0</v>
      </c>
      <c r="AD872" s="84">
        <v>0.0</v>
      </c>
      <c r="AE872" s="84">
        <v>0.0</v>
      </c>
      <c r="AF872" s="84">
        <v>0.0</v>
      </c>
      <c r="AG872" s="84">
        <v>0.0</v>
      </c>
      <c r="AH872" s="84">
        <v>0.0</v>
      </c>
      <c r="AI872" s="84">
        <v>0.0</v>
      </c>
      <c r="AJ872" s="84">
        <v>1.0</v>
      </c>
      <c r="AK872" s="84">
        <v>0.0</v>
      </c>
      <c r="AL872" s="84">
        <v>0.0</v>
      </c>
      <c r="AM872" s="84">
        <v>0.0</v>
      </c>
      <c r="AN872" s="93">
        <f t="shared" si="1"/>
        <v>0</v>
      </c>
      <c r="AO872" s="84">
        <f t="shared" si="2"/>
        <v>1</v>
      </c>
    </row>
    <row r="873" ht="12.75" customHeight="1">
      <c r="A873" s="84" t="s">
        <v>4605</v>
      </c>
      <c r="B873" s="84">
        <v>0.0</v>
      </c>
      <c r="C873" s="84">
        <v>0.0</v>
      </c>
      <c r="D873" s="84">
        <v>0.0</v>
      </c>
      <c r="E873" s="84">
        <v>0.0</v>
      </c>
      <c r="F873" s="84">
        <v>0.0</v>
      </c>
      <c r="G873" s="84">
        <v>0.0</v>
      </c>
      <c r="H873" s="84">
        <v>0.0</v>
      </c>
      <c r="I873" s="91">
        <v>0.0</v>
      </c>
      <c r="J873" s="84">
        <v>0.0</v>
      </c>
      <c r="K873" s="84">
        <v>0.0</v>
      </c>
      <c r="L873" s="84">
        <v>0.0</v>
      </c>
      <c r="M873" s="84">
        <v>0.0</v>
      </c>
      <c r="N873" s="84">
        <v>0.0</v>
      </c>
      <c r="O873" s="84">
        <v>0.0</v>
      </c>
      <c r="P873" s="84">
        <v>0.0</v>
      </c>
      <c r="Q873" s="84">
        <v>0.0</v>
      </c>
      <c r="R873" s="84">
        <v>0.0</v>
      </c>
      <c r="S873" s="84">
        <v>0.0</v>
      </c>
      <c r="T873" s="84">
        <v>0.0</v>
      </c>
      <c r="U873" s="84">
        <v>0.0</v>
      </c>
      <c r="V873" s="84">
        <v>0.0</v>
      </c>
      <c r="W873" s="84">
        <v>0.0</v>
      </c>
      <c r="X873" s="84">
        <v>0.0</v>
      </c>
      <c r="Y873" s="84">
        <v>0.0</v>
      </c>
      <c r="Z873" s="84">
        <v>0.0</v>
      </c>
      <c r="AA873" s="84">
        <v>0.0</v>
      </c>
      <c r="AB873" s="84">
        <v>0.0</v>
      </c>
      <c r="AC873" s="91">
        <v>0.0</v>
      </c>
      <c r="AD873" s="84">
        <v>0.0</v>
      </c>
      <c r="AE873" s="84">
        <v>0.0</v>
      </c>
      <c r="AF873" s="84">
        <v>0.0</v>
      </c>
      <c r="AG873" s="84">
        <v>0.0</v>
      </c>
      <c r="AH873" s="84">
        <v>0.0</v>
      </c>
      <c r="AI873" s="84">
        <v>0.0</v>
      </c>
      <c r="AJ873" s="84">
        <v>1.0</v>
      </c>
      <c r="AK873" s="84">
        <v>0.0</v>
      </c>
      <c r="AL873" s="84">
        <v>0.0</v>
      </c>
      <c r="AM873" s="84">
        <v>0.0</v>
      </c>
      <c r="AN873" s="93">
        <f t="shared" si="1"/>
        <v>0</v>
      </c>
      <c r="AO873" s="84">
        <f t="shared" si="2"/>
        <v>1</v>
      </c>
    </row>
    <row r="874" ht="12.75" customHeight="1">
      <c r="A874" s="84" t="s">
        <v>4617</v>
      </c>
      <c r="B874" s="84">
        <v>0.0</v>
      </c>
      <c r="C874" s="84">
        <v>0.0</v>
      </c>
      <c r="D874" s="84">
        <v>0.0</v>
      </c>
      <c r="E874" s="84">
        <v>0.0</v>
      </c>
      <c r="F874" s="84">
        <v>0.0</v>
      </c>
      <c r="G874" s="84">
        <v>0.0</v>
      </c>
      <c r="H874" s="84">
        <v>0.0</v>
      </c>
      <c r="I874" s="91">
        <v>0.0</v>
      </c>
      <c r="J874" s="84">
        <v>0.0</v>
      </c>
      <c r="K874" s="84">
        <v>0.0</v>
      </c>
      <c r="L874" s="84">
        <v>0.0</v>
      </c>
      <c r="M874" s="84">
        <v>0.0</v>
      </c>
      <c r="N874" s="84">
        <v>0.0</v>
      </c>
      <c r="O874" s="84">
        <v>0.0</v>
      </c>
      <c r="P874" s="84">
        <v>0.0</v>
      </c>
      <c r="Q874" s="84">
        <v>0.0</v>
      </c>
      <c r="R874" s="84">
        <v>0.0</v>
      </c>
      <c r="S874" s="84">
        <v>0.0</v>
      </c>
      <c r="T874" s="84">
        <v>0.0</v>
      </c>
      <c r="U874" s="84">
        <v>0.0</v>
      </c>
      <c r="V874" s="84">
        <v>0.0</v>
      </c>
      <c r="W874" s="84">
        <v>0.0</v>
      </c>
      <c r="X874" s="84">
        <v>0.0</v>
      </c>
      <c r="Y874" s="84">
        <v>0.0</v>
      </c>
      <c r="Z874" s="84">
        <v>0.0</v>
      </c>
      <c r="AA874" s="84">
        <v>0.0</v>
      </c>
      <c r="AB874" s="84">
        <v>0.0</v>
      </c>
      <c r="AC874" s="91">
        <v>0.0</v>
      </c>
      <c r="AD874" s="84">
        <v>0.0</v>
      </c>
      <c r="AE874" s="84">
        <v>0.0</v>
      </c>
      <c r="AF874" s="84">
        <v>0.0</v>
      </c>
      <c r="AG874" s="84">
        <v>0.0</v>
      </c>
      <c r="AH874" s="84">
        <v>0.0</v>
      </c>
      <c r="AI874" s="84">
        <v>0.0</v>
      </c>
      <c r="AJ874" s="84">
        <v>1.0</v>
      </c>
      <c r="AK874" s="84">
        <v>0.0</v>
      </c>
      <c r="AL874" s="84">
        <v>0.0</v>
      </c>
      <c r="AM874" s="84">
        <v>0.0</v>
      </c>
      <c r="AN874" s="93">
        <f t="shared" si="1"/>
        <v>0</v>
      </c>
      <c r="AO874" s="84">
        <f t="shared" si="2"/>
        <v>1</v>
      </c>
    </row>
    <row r="875" ht="12.75" customHeight="1">
      <c r="A875" s="84" t="s">
        <v>4680</v>
      </c>
      <c r="B875" s="84">
        <v>0.0</v>
      </c>
      <c r="C875" s="84">
        <v>0.0</v>
      </c>
      <c r="D875" s="84">
        <v>0.0</v>
      </c>
      <c r="E875" s="84">
        <v>0.0</v>
      </c>
      <c r="F875" s="84">
        <v>0.0</v>
      </c>
      <c r="G875" s="84">
        <v>0.0</v>
      </c>
      <c r="H875" s="84">
        <v>0.0</v>
      </c>
      <c r="I875" s="91">
        <v>0.0</v>
      </c>
      <c r="J875" s="84">
        <v>0.0</v>
      </c>
      <c r="K875" s="84">
        <v>0.0</v>
      </c>
      <c r="L875" s="84">
        <v>0.0</v>
      </c>
      <c r="M875" s="84">
        <v>0.0</v>
      </c>
      <c r="N875" s="84">
        <v>0.0</v>
      </c>
      <c r="O875" s="84">
        <v>0.0</v>
      </c>
      <c r="P875" s="84">
        <v>0.0</v>
      </c>
      <c r="Q875" s="84">
        <v>0.0</v>
      </c>
      <c r="R875" s="84">
        <v>0.0</v>
      </c>
      <c r="S875" s="84">
        <v>0.0</v>
      </c>
      <c r="T875" s="84">
        <v>0.0</v>
      </c>
      <c r="U875" s="84">
        <v>0.0</v>
      </c>
      <c r="V875" s="84">
        <v>0.0</v>
      </c>
      <c r="W875" s="84">
        <v>0.0</v>
      </c>
      <c r="X875" s="84">
        <v>0.0</v>
      </c>
      <c r="Y875" s="84">
        <v>0.0</v>
      </c>
      <c r="Z875" s="84">
        <v>0.0</v>
      </c>
      <c r="AA875" s="84">
        <v>0.0</v>
      </c>
      <c r="AB875" s="84">
        <v>0.0</v>
      </c>
      <c r="AC875" s="91">
        <v>0.0</v>
      </c>
      <c r="AD875" s="84">
        <v>0.0</v>
      </c>
      <c r="AE875" s="84">
        <v>0.0</v>
      </c>
      <c r="AF875" s="84">
        <v>0.0</v>
      </c>
      <c r="AG875" s="84">
        <v>0.0</v>
      </c>
      <c r="AH875" s="84">
        <v>0.0</v>
      </c>
      <c r="AI875" s="84">
        <v>0.0</v>
      </c>
      <c r="AJ875" s="84">
        <v>0.0</v>
      </c>
      <c r="AK875" s="84">
        <v>0.0</v>
      </c>
      <c r="AL875" s="84">
        <v>0.0</v>
      </c>
      <c r="AM875" s="84">
        <v>1.0</v>
      </c>
      <c r="AN875" s="93">
        <f t="shared" si="1"/>
        <v>0</v>
      </c>
      <c r="AO875" s="84">
        <f t="shared" si="2"/>
        <v>1</v>
      </c>
    </row>
    <row r="876" ht="12.75" customHeight="1">
      <c r="A876" s="84" t="s">
        <v>2902</v>
      </c>
      <c r="B876" s="84">
        <v>3.0</v>
      </c>
      <c r="C876" s="84">
        <v>0.0</v>
      </c>
      <c r="D876" s="84">
        <v>0.0</v>
      </c>
      <c r="E876" s="84">
        <v>0.0</v>
      </c>
      <c r="F876" s="84">
        <v>0.0</v>
      </c>
      <c r="G876" s="84">
        <v>0.0</v>
      </c>
      <c r="H876" s="84">
        <v>0.0</v>
      </c>
      <c r="I876" s="91">
        <v>0.0</v>
      </c>
      <c r="J876" s="84">
        <v>0.0</v>
      </c>
      <c r="K876" s="84">
        <v>0.0</v>
      </c>
      <c r="L876" s="84">
        <v>0.0</v>
      </c>
      <c r="M876" s="84">
        <v>0.0</v>
      </c>
      <c r="N876" s="84">
        <v>0.0</v>
      </c>
      <c r="O876" s="84">
        <v>0.0</v>
      </c>
      <c r="P876" s="84">
        <v>0.0</v>
      </c>
      <c r="Q876" s="84">
        <v>0.0</v>
      </c>
      <c r="R876" s="84">
        <v>0.0</v>
      </c>
      <c r="S876" s="84">
        <v>0.0</v>
      </c>
      <c r="T876" s="84">
        <v>0.0</v>
      </c>
      <c r="U876" s="84">
        <v>0.0</v>
      </c>
      <c r="V876" s="84">
        <v>3.0</v>
      </c>
      <c r="W876" s="84">
        <v>0.0</v>
      </c>
      <c r="X876" s="84">
        <v>0.0</v>
      </c>
      <c r="Y876" s="84">
        <v>0.0</v>
      </c>
      <c r="Z876" s="84">
        <v>0.0</v>
      </c>
      <c r="AA876" s="84">
        <v>0.0</v>
      </c>
      <c r="AB876" s="84">
        <v>0.0</v>
      </c>
      <c r="AC876" s="91">
        <v>0.0</v>
      </c>
      <c r="AD876" s="84">
        <v>0.0</v>
      </c>
      <c r="AE876" s="84">
        <v>0.0</v>
      </c>
      <c r="AF876" s="84">
        <v>0.0</v>
      </c>
      <c r="AG876" s="84">
        <v>0.0</v>
      </c>
      <c r="AH876" s="84">
        <v>0.0</v>
      </c>
      <c r="AI876" s="84">
        <v>0.0</v>
      </c>
      <c r="AJ876" s="84">
        <v>0.0</v>
      </c>
      <c r="AK876" s="84">
        <v>0.0</v>
      </c>
      <c r="AL876" s="84">
        <v>0.0</v>
      </c>
      <c r="AM876" s="84">
        <v>0.0</v>
      </c>
      <c r="AN876" s="93">
        <f t="shared" si="1"/>
        <v>0</v>
      </c>
      <c r="AO876" s="84">
        <f t="shared" si="2"/>
        <v>0</v>
      </c>
    </row>
    <row r="877" ht="12.75" customHeight="1">
      <c r="A877" s="84" t="s">
        <v>2715</v>
      </c>
      <c r="B877" s="84">
        <v>2.0</v>
      </c>
      <c r="C877" s="84">
        <v>1.0</v>
      </c>
      <c r="D877" s="84">
        <v>0.0</v>
      </c>
      <c r="E877" s="84">
        <v>0.0</v>
      </c>
      <c r="F877" s="84">
        <v>0.0</v>
      </c>
      <c r="G877" s="84">
        <v>0.0</v>
      </c>
      <c r="H877" s="84">
        <v>0.0</v>
      </c>
      <c r="I877" s="91">
        <v>0.0</v>
      </c>
      <c r="J877" s="84">
        <v>0.0</v>
      </c>
      <c r="K877" s="84">
        <v>0.0</v>
      </c>
      <c r="L877" s="84">
        <v>0.0</v>
      </c>
      <c r="M877" s="84">
        <v>0.0</v>
      </c>
      <c r="N877" s="84">
        <v>0.0</v>
      </c>
      <c r="O877" s="84">
        <v>0.0</v>
      </c>
      <c r="P877" s="84">
        <v>0.0</v>
      </c>
      <c r="Q877" s="84">
        <v>0.0</v>
      </c>
      <c r="R877" s="84">
        <v>0.0</v>
      </c>
      <c r="S877" s="84">
        <v>0.0</v>
      </c>
      <c r="T877" s="84">
        <v>0.0</v>
      </c>
      <c r="U877" s="84">
        <v>0.0</v>
      </c>
      <c r="V877" s="84">
        <v>2.0</v>
      </c>
      <c r="W877" s="84">
        <v>0.0</v>
      </c>
      <c r="X877" s="84">
        <v>0.0</v>
      </c>
      <c r="Y877" s="84">
        <v>0.0</v>
      </c>
      <c r="Z877" s="84">
        <v>0.0</v>
      </c>
      <c r="AA877" s="84">
        <v>0.0</v>
      </c>
      <c r="AB877" s="84">
        <v>0.0</v>
      </c>
      <c r="AC877" s="91">
        <v>0.0</v>
      </c>
      <c r="AD877" s="84">
        <v>0.0</v>
      </c>
      <c r="AE877" s="84">
        <v>0.0</v>
      </c>
      <c r="AF877" s="84">
        <v>0.0</v>
      </c>
      <c r="AG877" s="84">
        <v>0.0</v>
      </c>
      <c r="AH877" s="84">
        <v>0.0</v>
      </c>
      <c r="AI877" s="84">
        <v>0.0</v>
      </c>
      <c r="AJ877" s="84">
        <v>0.0</v>
      </c>
      <c r="AK877" s="84">
        <v>0.0</v>
      </c>
      <c r="AL877" s="84">
        <v>0.0</v>
      </c>
      <c r="AM877" s="84">
        <v>0.0</v>
      </c>
      <c r="AN877" s="93">
        <f t="shared" si="1"/>
        <v>0</v>
      </c>
      <c r="AO877" s="84">
        <f t="shared" si="2"/>
        <v>0</v>
      </c>
    </row>
    <row r="878" ht="12.75" customHeight="1">
      <c r="A878" s="84" t="s">
        <v>3241</v>
      </c>
      <c r="B878" s="84">
        <v>0.0</v>
      </c>
      <c r="C878" s="84">
        <v>5.0</v>
      </c>
      <c r="D878" s="84">
        <v>1.0</v>
      </c>
      <c r="E878" s="84">
        <v>0.0</v>
      </c>
      <c r="F878" s="84">
        <v>0.0</v>
      </c>
      <c r="G878" s="84">
        <v>0.0</v>
      </c>
      <c r="H878" s="84">
        <v>0.0</v>
      </c>
      <c r="I878" s="91">
        <v>0.0</v>
      </c>
      <c r="J878" s="84">
        <v>0.0</v>
      </c>
      <c r="K878" s="84">
        <v>0.0</v>
      </c>
      <c r="L878" s="84">
        <v>0.0</v>
      </c>
      <c r="M878" s="84">
        <v>0.0</v>
      </c>
      <c r="N878" s="84">
        <v>0.0</v>
      </c>
      <c r="O878" s="84">
        <v>0.0</v>
      </c>
      <c r="P878" s="84">
        <v>0.0</v>
      </c>
      <c r="Q878" s="84">
        <v>0.0</v>
      </c>
      <c r="R878" s="84">
        <v>0.0</v>
      </c>
      <c r="S878" s="84">
        <v>0.0</v>
      </c>
      <c r="T878" s="84">
        <v>0.0</v>
      </c>
      <c r="U878" s="84">
        <v>0.0</v>
      </c>
      <c r="V878" s="84">
        <v>0.0</v>
      </c>
      <c r="W878" s="84">
        <v>3.0</v>
      </c>
      <c r="X878" s="84">
        <v>2.0</v>
      </c>
      <c r="Y878" s="84">
        <v>0.0</v>
      </c>
      <c r="Z878" s="84">
        <v>0.0</v>
      </c>
      <c r="AA878" s="84">
        <v>0.0</v>
      </c>
      <c r="AB878" s="84">
        <v>0.0</v>
      </c>
      <c r="AC878" s="91">
        <v>0.0</v>
      </c>
      <c r="AD878" s="84">
        <v>0.0</v>
      </c>
      <c r="AE878" s="84">
        <v>0.0</v>
      </c>
      <c r="AF878" s="84">
        <v>0.0</v>
      </c>
      <c r="AG878" s="84">
        <v>0.0</v>
      </c>
      <c r="AH878" s="84">
        <v>0.0</v>
      </c>
      <c r="AI878" s="84">
        <v>0.0</v>
      </c>
      <c r="AJ878" s="84">
        <v>0.0</v>
      </c>
      <c r="AK878" s="84">
        <v>0.0</v>
      </c>
      <c r="AL878" s="84">
        <v>0.0</v>
      </c>
      <c r="AM878" s="84">
        <v>0.0</v>
      </c>
      <c r="AN878" s="93">
        <f t="shared" si="1"/>
        <v>0</v>
      </c>
      <c r="AO878" s="84">
        <f t="shared" si="2"/>
        <v>0</v>
      </c>
    </row>
    <row r="879" ht="12.75" customHeight="1">
      <c r="A879" s="84" t="s">
        <v>4470</v>
      </c>
      <c r="B879" s="84">
        <v>0.0</v>
      </c>
      <c r="C879" s="84">
        <v>0.0</v>
      </c>
      <c r="D879" s="84">
        <v>0.0</v>
      </c>
      <c r="E879" s="84">
        <v>0.0</v>
      </c>
      <c r="F879" s="84">
        <v>0.0</v>
      </c>
      <c r="G879" s="84">
        <v>0.0</v>
      </c>
      <c r="H879" s="84">
        <v>0.0</v>
      </c>
      <c r="I879" s="91">
        <v>0.0</v>
      </c>
      <c r="J879" s="84">
        <v>0.0</v>
      </c>
      <c r="K879" s="84">
        <v>0.0</v>
      </c>
      <c r="L879" s="84">
        <v>0.0</v>
      </c>
      <c r="M879" s="84">
        <v>1.0</v>
      </c>
      <c r="N879" s="84">
        <v>0.0</v>
      </c>
      <c r="O879" s="84">
        <v>0.0</v>
      </c>
      <c r="P879" s="84">
        <v>0.0</v>
      </c>
      <c r="Q879" s="84">
        <v>0.0</v>
      </c>
      <c r="R879" s="84">
        <v>0.0</v>
      </c>
      <c r="S879" s="84">
        <v>0.0</v>
      </c>
      <c r="T879" s="84">
        <v>0.0</v>
      </c>
      <c r="U879" s="84">
        <v>0.0</v>
      </c>
      <c r="V879" s="84">
        <v>0.0</v>
      </c>
      <c r="W879" s="84">
        <v>0.0</v>
      </c>
      <c r="X879" s="84">
        <v>0.0</v>
      </c>
      <c r="Y879" s="84">
        <v>0.0</v>
      </c>
      <c r="Z879" s="84">
        <v>0.0</v>
      </c>
      <c r="AA879" s="84">
        <v>0.0</v>
      </c>
      <c r="AB879" s="84">
        <v>0.0</v>
      </c>
      <c r="AC879" s="91">
        <v>0.0</v>
      </c>
      <c r="AD879" s="84">
        <v>0.0</v>
      </c>
      <c r="AE879" s="84">
        <v>0.0</v>
      </c>
      <c r="AF879" s="84">
        <v>0.0</v>
      </c>
      <c r="AG879" s="84">
        <v>0.0</v>
      </c>
      <c r="AH879" s="84">
        <v>0.0</v>
      </c>
      <c r="AI879" s="84">
        <v>0.0</v>
      </c>
      <c r="AJ879" s="84">
        <v>0.0</v>
      </c>
      <c r="AK879" s="84">
        <v>0.0</v>
      </c>
      <c r="AL879" s="84">
        <v>0.0</v>
      </c>
      <c r="AM879" s="84">
        <v>0.0</v>
      </c>
      <c r="AN879" s="93">
        <f t="shared" si="1"/>
        <v>0</v>
      </c>
      <c r="AO879" s="84">
        <f t="shared" si="2"/>
        <v>1</v>
      </c>
    </row>
    <row r="880" ht="12.75" customHeight="1">
      <c r="A880" s="84" t="s">
        <v>4474</v>
      </c>
      <c r="B880" s="84">
        <v>0.0</v>
      </c>
      <c r="C880" s="84">
        <v>0.0</v>
      </c>
      <c r="D880" s="84">
        <v>0.0</v>
      </c>
      <c r="E880" s="84">
        <v>0.0</v>
      </c>
      <c r="F880" s="84">
        <v>0.0</v>
      </c>
      <c r="G880" s="84">
        <v>0.0</v>
      </c>
      <c r="H880" s="84">
        <v>0.0</v>
      </c>
      <c r="I880" s="91">
        <v>0.0</v>
      </c>
      <c r="J880" s="84">
        <v>0.0</v>
      </c>
      <c r="K880" s="84">
        <v>0.0</v>
      </c>
      <c r="L880" s="84">
        <v>0.0</v>
      </c>
      <c r="M880" s="84">
        <v>1.0</v>
      </c>
      <c r="N880" s="84">
        <v>0.0</v>
      </c>
      <c r="O880" s="84">
        <v>0.0</v>
      </c>
      <c r="P880" s="84">
        <v>0.0</v>
      </c>
      <c r="Q880" s="84">
        <v>0.0</v>
      </c>
      <c r="R880" s="84">
        <v>0.0</v>
      </c>
      <c r="S880" s="84">
        <v>0.0</v>
      </c>
      <c r="T880" s="84">
        <v>0.0</v>
      </c>
      <c r="U880" s="84">
        <v>0.0</v>
      </c>
      <c r="V880" s="84">
        <v>0.0</v>
      </c>
      <c r="W880" s="84">
        <v>0.0</v>
      </c>
      <c r="X880" s="84">
        <v>0.0</v>
      </c>
      <c r="Y880" s="84">
        <v>0.0</v>
      </c>
      <c r="Z880" s="84">
        <v>0.0</v>
      </c>
      <c r="AA880" s="84">
        <v>0.0</v>
      </c>
      <c r="AB880" s="84">
        <v>0.0</v>
      </c>
      <c r="AC880" s="91">
        <v>0.0</v>
      </c>
      <c r="AD880" s="84">
        <v>0.0</v>
      </c>
      <c r="AE880" s="84">
        <v>0.0</v>
      </c>
      <c r="AF880" s="84">
        <v>0.0</v>
      </c>
      <c r="AG880" s="84">
        <v>0.0</v>
      </c>
      <c r="AH880" s="84">
        <v>0.0</v>
      </c>
      <c r="AI880" s="84">
        <v>0.0</v>
      </c>
      <c r="AJ880" s="84">
        <v>0.0</v>
      </c>
      <c r="AK880" s="84">
        <v>0.0</v>
      </c>
      <c r="AL880" s="84">
        <v>0.0</v>
      </c>
      <c r="AM880" s="84">
        <v>0.0</v>
      </c>
      <c r="AN880" s="93">
        <f t="shared" si="1"/>
        <v>0</v>
      </c>
      <c r="AO880" s="84">
        <f t="shared" si="2"/>
        <v>1</v>
      </c>
    </row>
    <row r="881" ht="12.75" customHeight="1">
      <c r="A881" s="84" t="s">
        <v>4511</v>
      </c>
      <c r="B881" s="84">
        <v>0.0</v>
      </c>
      <c r="C881" s="84">
        <v>0.0</v>
      </c>
      <c r="D881" s="84">
        <v>0.0</v>
      </c>
      <c r="E881" s="84">
        <v>0.0</v>
      </c>
      <c r="F881" s="84">
        <v>0.0</v>
      </c>
      <c r="G881" s="84">
        <v>0.0</v>
      </c>
      <c r="H881" s="84">
        <v>0.0</v>
      </c>
      <c r="I881" s="91">
        <v>0.0</v>
      </c>
      <c r="J881" s="84">
        <v>0.0</v>
      </c>
      <c r="K881" s="84">
        <v>0.0</v>
      </c>
      <c r="L881" s="84">
        <v>0.0</v>
      </c>
      <c r="M881" s="84">
        <v>0.0</v>
      </c>
      <c r="N881" s="84">
        <v>0.0</v>
      </c>
      <c r="O881" s="84">
        <v>0.0</v>
      </c>
      <c r="P881" s="84">
        <v>0.0</v>
      </c>
      <c r="Q881" s="84">
        <v>0.0</v>
      </c>
      <c r="R881" s="84">
        <v>0.0</v>
      </c>
      <c r="S881" s="84">
        <v>0.0</v>
      </c>
      <c r="T881" s="84">
        <v>0.0</v>
      </c>
      <c r="U881" s="84">
        <v>0.0</v>
      </c>
      <c r="V881" s="84">
        <v>0.0</v>
      </c>
      <c r="W881" s="84">
        <v>0.0</v>
      </c>
      <c r="X881" s="84">
        <v>0.0</v>
      </c>
      <c r="Y881" s="84">
        <v>0.0</v>
      </c>
      <c r="Z881" s="84">
        <v>0.0</v>
      </c>
      <c r="AA881" s="84">
        <v>0.0</v>
      </c>
      <c r="AB881" s="84">
        <v>0.0</v>
      </c>
      <c r="AC881" s="91">
        <v>0.0</v>
      </c>
      <c r="AD881" s="84">
        <v>0.0</v>
      </c>
      <c r="AE881" s="84">
        <v>0.0</v>
      </c>
      <c r="AF881" s="84">
        <v>1.0</v>
      </c>
      <c r="AG881" s="84">
        <v>0.0</v>
      </c>
      <c r="AH881" s="84">
        <v>0.0</v>
      </c>
      <c r="AI881" s="84">
        <v>0.0</v>
      </c>
      <c r="AJ881" s="84">
        <v>0.0</v>
      </c>
      <c r="AK881" s="84">
        <v>0.0</v>
      </c>
      <c r="AL881" s="84">
        <v>0.0</v>
      </c>
      <c r="AM881" s="84">
        <v>0.0</v>
      </c>
      <c r="AN881" s="93">
        <f t="shared" si="1"/>
        <v>0</v>
      </c>
      <c r="AO881" s="84">
        <f t="shared" si="2"/>
        <v>1</v>
      </c>
    </row>
    <row r="882" ht="12.75" customHeight="1">
      <c r="A882" s="84" t="s">
        <v>3821</v>
      </c>
      <c r="B882" s="84">
        <v>0.0</v>
      </c>
      <c r="C882" s="84">
        <v>0.0</v>
      </c>
      <c r="D882" s="84">
        <v>0.0</v>
      </c>
      <c r="E882" s="84">
        <v>0.0</v>
      </c>
      <c r="F882" s="84">
        <v>0.0</v>
      </c>
      <c r="G882" s="84">
        <v>6.0</v>
      </c>
      <c r="H882" s="84">
        <v>3.0</v>
      </c>
      <c r="I882" s="91">
        <v>0.0</v>
      </c>
      <c r="J882" s="84">
        <v>0.0</v>
      </c>
      <c r="K882" s="84">
        <v>0.0</v>
      </c>
      <c r="L882" s="84">
        <v>0.0</v>
      </c>
      <c r="M882" s="84">
        <v>0.0</v>
      </c>
      <c r="N882" s="84">
        <v>0.0</v>
      </c>
      <c r="O882" s="84">
        <v>0.0</v>
      </c>
      <c r="P882" s="84">
        <v>0.0</v>
      </c>
      <c r="Q882" s="84">
        <v>0.0</v>
      </c>
      <c r="R882" s="84">
        <v>0.0</v>
      </c>
      <c r="S882" s="84">
        <v>0.0</v>
      </c>
      <c r="T882" s="84">
        <v>0.0</v>
      </c>
      <c r="U882" s="84">
        <v>0.0</v>
      </c>
      <c r="V882" s="84">
        <v>0.0</v>
      </c>
      <c r="W882" s="84">
        <v>0.0</v>
      </c>
      <c r="X882" s="84">
        <v>0.0</v>
      </c>
      <c r="Y882" s="84">
        <v>0.0</v>
      </c>
      <c r="Z882" s="84">
        <v>0.0</v>
      </c>
      <c r="AA882" s="84">
        <v>6.0</v>
      </c>
      <c r="AB882" s="84">
        <v>1.0</v>
      </c>
      <c r="AC882" s="91">
        <v>0.0</v>
      </c>
      <c r="AD882" s="84">
        <v>0.0</v>
      </c>
      <c r="AE882" s="84">
        <v>0.0</v>
      </c>
      <c r="AF882" s="84">
        <v>0.0</v>
      </c>
      <c r="AG882" s="84">
        <v>0.0</v>
      </c>
      <c r="AH882" s="84">
        <v>0.0</v>
      </c>
      <c r="AI882" s="84">
        <v>0.0</v>
      </c>
      <c r="AJ882" s="84">
        <v>0.0</v>
      </c>
      <c r="AK882" s="84">
        <v>0.0</v>
      </c>
      <c r="AL882" s="84">
        <v>0.0</v>
      </c>
      <c r="AM882" s="84">
        <v>0.0</v>
      </c>
      <c r="AN882" s="93">
        <f t="shared" si="1"/>
        <v>0</v>
      </c>
      <c r="AO882" s="84">
        <f t="shared" si="2"/>
        <v>0</v>
      </c>
    </row>
    <row r="883" ht="12.75" customHeight="1">
      <c r="A883" s="84" t="s">
        <v>3443</v>
      </c>
      <c r="B883" s="84">
        <v>0.0</v>
      </c>
      <c r="C883" s="84">
        <v>0.0</v>
      </c>
      <c r="D883" s="84">
        <v>0.0</v>
      </c>
      <c r="E883" s="84">
        <v>6.0</v>
      </c>
      <c r="F883" s="84">
        <v>0.0</v>
      </c>
      <c r="G883" s="84">
        <v>0.0</v>
      </c>
      <c r="H883" s="84">
        <v>0.0</v>
      </c>
      <c r="I883" s="91">
        <v>0.0</v>
      </c>
      <c r="J883" s="84">
        <v>0.0</v>
      </c>
      <c r="K883" s="84">
        <v>0.0</v>
      </c>
      <c r="L883" s="84">
        <v>0.0</v>
      </c>
      <c r="M883" s="84">
        <v>0.0</v>
      </c>
      <c r="N883" s="84">
        <v>0.0</v>
      </c>
      <c r="O883" s="84">
        <v>0.0</v>
      </c>
      <c r="P883" s="84">
        <v>0.0</v>
      </c>
      <c r="Q883" s="84">
        <v>0.0</v>
      </c>
      <c r="R883" s="84">
        <v>0.0</v>
      </c>
      <c r="S883" s="84">
        <v>0.0</v>
      </c>
      <c r="T883" s="84">
        <v>0.0</v>
      </c>
      <c r="U883" s="84">
        <v>0.0</v>
      </c>
      <c r="V883" s="84">
        <v>0.0</v>
      </c>
      <c r="W883" s="84">
        <v>0.0</v>
      </c>
      <c r="X883" s="84">
        <v>0.0</v>
      </c>
      <c r="Y883" s="84">
        <v>6.0</v>
      </c>
      <c r="Z883" s="84">
        <v>2.0</v>
      </c>
      <c r="AA883" s="84">
        <v>0.0</v>
      </c>
      <c r="AB883" s="84">
        <v>0.0</v>
      </c>
      <c r="AC883" s="91">
        <v>0.0</v>
      </c>
      <c r="AD883" s="84">
        <v>0.0</v>
      </c>
      <c r="AE883" s="84">
        <v>0.0</v>
      </c>
      <c r="AF883" s="84">
        <v>0.0</v>
      </c>
      <c r="AG883" s="84">
        <v>0.0</v>
      </c>
      <c r="AH883" s="84">
        <v>0.0</v>
      </c>
      <c r="AI883" s="84">
        <v>0.0</v>
      </c>
      <c r="AJ883" s="84">
        <v>0.0</v>
      </c>
      <c r="AK883" s="84">
        <v>0.0</v>
      </c>
      <c r="AL883" s="84">
        <v>0.0</v>
      </c>
      <c r="AM883" s="84">
        <v>0.0</v>
      </c>
      <c r="AN883" s="93">
        <f t="shared" si="1"/>
        <v>0</v>
      </c>
      <c r="AO883" s="84">
        <f t="shared" si="2"/>
        <v>0</v>
      </c>
    </row>
    <row r="884" ht="12.75" customHeight="1">
      <c r="A884" s="84" t="s">
        <v>4665</v>
      </c>
      <c r="B884" s="84">
        <v>0.0</v>
      </c>
      <c r="C884" s="84">
        <v>0.0</v>
      </c>
      <c r="D884" s="84">
        <v>0.0</v>
      </c>
      <c r="E884" s="84">
        <v>0.0</v>
      </c>
      <c r="F884" s="84">
        <v>0.0</v>
      </c>
      <c r="G884" s="84">
        <v>0.0</v>
      </c>
      <c r="H884" s="84">
        <v>0.0</v>
      </c>
      <c r="I884" s="91">
        <v>0.0</v>
      </c>
      <c r="J884" s="84">
        <v>0.0</v>
      </c>
      <c r="K884" s="84">
        <v>0.0</v>
      </c>
      <c r="L884" s="84">
        <v>0.0</v>
      </c>
      <c r="M884" s="84">
        <v>0.0</v>
      </c>
      <c r="N884" s="84">
        <v>0.0</v>
      </c>
      <c r="O884" s="84">
        <v>0.0</v>
      </c>
      <c r="P884" s="84">
        <v>0.0</v>
      </c>
      <c r="Q884" s="84">
        <v>0.0</v>
      </c>
      <c r="R884" s="84">
        <v>0.0</v>
      </c>
      <c r="S884" s="84">
        <v>0.0</v>
      </c>
      <c r="T884" s="84">
        <v>0.0</v>
      </c>
      <c r="U884" s="84">
        <v>0.0</v>
      </c>
      <c r="V884" s="84">
        <v>0.0</v>
      </c>
      <c r="W884" s="84">
        <v>0.0</v>
      </c>
      <c r="X884" s="84">
        <v>0.0</v>
      </c>
      <c r="Y884" s="84">
        <v>0.0</v>
      </c>
      <c r="Z884" s="84">
        <v>0.0</v>
      </c>
      <c r="AA884" s="84">
        <v>0.0</v>
      </c>
      <c r="AB884" s="84">
        <v>0.0</v>
      </c>
      <c r="AC884" s="91">
        <v>0.0</v>
      </c>
      <c r="AD884" s="84">
        <v>0.0</v>
      </c>
      <c r="AE884" s="84">
        <v>0.0</v>
      </c>
      <c r="AF884" s="84">
        <v>0.0</v>
      </c>
      <c r="AG884" s="84">
        <v>0.0</v>
      </c>
      <c r="AH884" s="84">
        <v>0.0</v>
      </c>
      <c r="AI884" s="84">
        <v>0.0</v>
      </c>
      <c r="AJ884" s="84">
        <v>0.0</v>
      </c>
      <c r="AK884" s="84">
        <v>0.0</v>
      </c>
      <c r="AL884" s="84">
        <v>1.0</v>
      </c>
      <c r="AM884" s="84">
        <v>0.0</v>
      </c>
      <c r="AN884" s="93">
        <f t="shared" si="1"/>
        <v>0</v>
      </c>
      <c r="AO884" s="84">
        <f t="shared" si="2"/>
        <v>1</v>
      </c>
    </row>
    <row r="885" ht="12.75" customHeight="1">
      <c r="A885" s="84" t="s">
        <v>4635</v>
      </c>
      <c r="B885" s="84">
        <v>0.0</v>
      </c>
      <c r="C885" s="84">
        <v>0.0</v>
      </c>
      <c r="D885" s="84">
        <v>0.0</v>
      </c>
      <c r="E885" s="84">
        <v>0.0</v>
      </c>
      <c r="F885" s="84">
        <v>0.0</v>
      </c>
      <c r="G885" s="84">
        <v>0.0</v>
      </c>
      <c r="H885" s="84">
        <v>0.0</v>
      </c>
      <c r="I885" s="91">
        <v>0.0</v>
      </c>
      <c r="J885" s="84">
        <v>0.0</v>
      </c>
      <c r="K885" s="84">
        <v>0.0</v>
      </c>
      <c r="L885" s="84">
        <v>0.0</v>
      </c>
      <c r="M885" s="84">
        <v>0.0</v>
      </c>
      <c r="N885" s="84">
        <v>0.0</v>
      </c>
      <c r="O885" s="84">
        <v>0.0</v>
      </c>
      <c r="P885" s="84">
        <v>0.0</v>
      </c>
      <c r="Q885" s="84">
        <v>0.0</v>
      </c>
      <c r="R885" s="84">
        <v>0.0</v>
      </c>
      <c r="S885" s="84">
        <v>0.0</v>
      </c>
      <c r="T885" s="84">
        <v>0.0</v>
      </c>
      <c r="U885" s="84">
        <v>0.0</v>
      </c>
      <c r="V885" s="84">
        <v>0.0</v>
      </c>
      <c r="W885" s="84">
        <v>0.0</v>
      </c>
      <c r="X885" s="84">
        <v>0.0</v>
      </c>
      <c r="Y885" s="84">
        <v>0.0</v>
      </c>
      <c r="Z885" s="84">
        <v>0.0</v>
      </c>
      <c r="AA885" s="84">
        <v>0.0</v>
      </c>
      <c r="AB885" s="84">
        <v>0.0</v>
      </c>
      <c r="AC885" s="91">
        <v>0.0</v>
      </c>
      <c r="AD885" s="84">
        <v>0.0</v>
      </c>
      <c r="AE885" s="84">
        <v>0.0</v>
      </c>
      <c r="AF885" s="84">
        <v>0.0</v>
      </c>
      <c r="AG885" s="84">
        <v>0.0</v>
      </c>
      <c r="AH885" s="84">
        <v>0.0</v>
      </c>
      <c r="AI885" s="84">
        <v>0.0</v>
      </c>
      <c r="AJ885" s="84">
        <v>0.0</v>
      </c>
      <c r="AK885" s="84">
        <v>1.0</v>
      </c>
      <c r="AL885" s="84">
        <v>0.0</v>
      </c>
      <c r="AM885" s="84">
        <v>0.0</v>
      </c>
      <c r="AN885" s="93">
        <f t="shared" si="1"/>
        <v>0</v>
      </c>
      <c r="AO885" s="84">
        <f t="shared" si="2"/>
        <v>1</v>
      </c>
    </row>
    <row r="886" ht="12.75" customHeight="1">
      <c r="A886" s="84" t="s">
        <v>4626</v>
      </c>
      <c r="B886" s="84">
        <v>0.0</v>
      </c>
      <c r="C886" s="84">
        <v>0.0</v>
      </c>
      <c r="D886" s="84">
        <v>0.0</v>
      </c>
      <c r="E886" s="84">
        <v>0.0</v>
      </c>
      <c r="F886" s="84">
        <v>0.0</v>
      </c>
      <c r="G886" s="84">
        <v>0.0</v>
      </c>
      <c r="H886" s="84">
        <v>0.0</v>
      </c>
      <c r="I886" s="91">
        <v>0.0</v>
      </c>
      <c r="J886" s="84">
        <v>0.0</v>
      </c>
      <c r="K886" s="84">
        <v>0.0</v>
      </c>
      <c r="L886" s="84">
        <v>0.0</v>
      </c>
      <c r="M886" s="84">
        <v>0.0</v>
      </c>
      <c r="N886" s="84">
        <v>0.0</v>
      </c>
      <c r="O886" s="84">
        <v>0.0</v>
      </c>
      <c r="P886" s="84">
        <v>0.0</v>
      </c>
      <c r="Q886" s="84">
        <v>0.0</v>
      </c>
      <c r="R886" s="84">
        <v>0.0</v>
      </c>
      <c r="S886" s="84">
        <v>1.0</v>
      </c>
      <c r="T886" s="84">
        <v>0.0</v>
      </c>
      <c r="U886" s="84">
        <v>0.0</v>
      </c>
      <c r="V886" s="84">
        <v>0.0</v>
      </c>
      <c r="W886" s="84">
        <v>0.0</v>
      </c>
      <c r="X886" s="84">
        <v>0.0</v>
      </c>
      <c r="Y886" s="84">
        <v>0.0</v>
      </c>
      <c r="Z886" s="84">
        <v>0.0</v>
      </c>
      <c r="AA886" s="84">
        <v>0.0</v>
      </c>
      <c r="AB886" s="84">
        <v>0.0</v>
      </c>
      <c r="AC886" s="91">
        <v>0.0</v>
      </c>
      <c r="AD886" s="84">
        <v>0.0</v>
      </c>
      <c r="AE886" s="84">
        <v>0.0</v>
      </c>
      <c r="AF886" s="84">
        <v>0.0</v>
      </c>
      <c r="AG886" s="84">
        <v>0.0</v>
      </c>
      <c r="AH886" s="84">
        <v>0.0</v>
      </c>
      <c r="AI886" s="84">
        <v>0.0</v>
      </c>
      <c r="AJ886" s="84">
        <v>0.0</v>
      </c>
      <c r="AK886" s="84">
        <v>0.0</v>
      </c>
      <c r="AL886" s="84">
        <v>0.0</v>
      </c>
      <c r="AM886" s="84">
        <v>0.0</v>
      </c>
      <c r="AN886" s="93">
        <f t="shared" si="1"/>
        <v>0</v>
      </c>
      <c r="AO886" s="84">
        <f t="shared" si="2"/>
        <v>1</v>
      </c>
    </row>
    <row r="887" ht="12.75" customHeight="1">
      <c r="A887" s="84" t="s">
        <v>4471</v>
      </c>
      <c r="B887" s="84">
        <v>0.0</v>
      </c>
      <c r="C887" s="84">
        <v>0.0</v>
      </c>
      <c r="D887" s="84">
        <v>0.0</v>
      </c>
      <c r="E887" s="84">
        <v>0.0</v>
      </c>
      <c r="F887" s="84">
        <v>0.0</v>
      </c>
      <c r="G887" s="84">
        <v>0.0</v>
      </c>
      <c r="H887" s="84">
        <v>0.0</v>
      </c>
      <c r="I887" s="91">
        <v>0.0</v>
      </c>
      <c r="J887" s="84">
        <v>0.0</v>
      </c>
      <c r="K887" s="84">
        <v>0.0</v>
      </c>
      <c r="L887" s="84">
        <v>0.0</v>
      </c>
      <c r="M887" s="84">
        <v>1.0</v>
      </c>
      <c r="N887" s="84">
        <v>0.0</v>
      </c>
      <c r="O887" s="84">
        <v>0.0</v>
      </c>
      <c r="P887" s="84">
        <v>0.0</v>
      </c>
      <c r="Q887" s="84">
        <v>0.0</v>
      </c>
      <c r="R887" s="84">
        <v>0.0</v>
      </c>
      <c r="S887" s="84">
        <v>0.0</v>
      </c>
      <c r="T887" s="84">
        <v>0.0</v>
      </c>
      <c r="U887" s="84">
        <v>0.0</v>
      </c>
      <c r="V887" s="84">
        <v>0.0</v>
      </c>
      <c r="W887" s="84">
        <v>0.0</v>
      </c>
      <c r="X887" s="84">
        <v>0.0</v>
      </c>
      <c r="Y887" s="84">
        <v>0.0</v>
      </c>
      <c r="Z887" s="84">
        <v>0.0</v>
      </c>
      <c r="AA887" s="84">
        <v>0.0</v>
      </c>
      <c r="AB887" s="84">
        <v>0.0</v>
      </c>
      <c r="AC887" s="91">
        <v>0.0</v>
      </c>
      <c r="AD887" s="84">
        <v>0.0</v>
      </c>
      <c r="AE887" s="84">
        <v>0.0</v>
      </c>
      <c r="AF887" s="84">
        <v>0.0</v>
      </c>
      <c r="AG887" s="84">
        <v>0.0</v>
      </c>
      <c r="AH887" s="84">
        <v>0.0</v>
      </c>
      <c r="AI887" s="84">
        <v>0.0</v>
      </c>
      <c r="AJ887" s="84">
        <v>0.0</v>
      </c>
      <c r="AK887" s="84">
        <v>0.0</v>
      </c>
      <c r="AL887" s="84">
        <v>0.0</v>
      </c>
      <c r="AM887" s="84">
        <v>0.0</v>
      </c>
      <c r="AN887" s="93">
        <f t="shared" si="1"/>
        <v>0</v>
      </c>
      <c r="AO887" s="84">
        <f t="shared" si="2"/>
        <v>1</v>
      </c>
    </row>
    <row r="888" ht="12.75" customHeight="1">
      <c r="A888" s="84" t="s">
        <v>4476</v>
      </c>
      <c r="B888" s="84">
        <v>0.0</v>
      </c>
      <c r="C888" s="84">
        <v>0.0</v>
      </c>
      <c r="D888" s="84">
        <v>0.0</v>
      </c>
      <c r="E888" s="84">
        <v>0.0</v>
      </c>
      <c r="F888" s="84">
        <v>0.0</v>
      </c>
      <c r="G888" s="84">
        <v>0.0</v>
      </c>
      <c r="H888" s="84">
        <v>0.0</v>
      </c>
      <c r="I888" s="91">
        <v>0.0</v>
      </c>
      <c r="J888" s="84">
        <v>0.0</v>
      </c>
      <c r="K888" s="84">
        <v>0.0</v>
      </c>
      <c r="L888" s="84">
        <v>0.0</v>
      </c>
      <c r="M888" s="84">
        <v>1.0</v>
      </c>
      <c r="N888" s="84">
        <v>0.0</v>
      </c>
      <c r="O888" s="84">
        <v>0.0</v>
      </c>
      <c r="P888" s="84">
        <v>0.0</v>
      </c>
      <c r="Q888" s="84">
        <v>0.0</v>
      </c>
      <c r="R888" s="84">
        <v>0.0</v>
      </c>
      <c r="S888" s="84">
        <v>0.0</v>
      </c>
      <c r="T888" s="84">
        <v>0.0</v>
      </c>
      <c r="U888" s="84">
        <v>0.0</v>
      </c>
      <c r="V888" s="84">
        <v>0.0</v>
      </c>
      <c r="W888" s="84">
        <v>0.0</v>
      </c>
      <c r="X888" s="84">
        <v>0.0</v>
      </c>
      <c r="Y888" s="84">
        <v>0.0</v>
      </c>
      <c r="Z888" s="84">
        <v>0.0</v>
      </c>
      <c r="AA888" s="84">
        <v>0.0</v>
      </c>
      <c r="AB888" s="84">
        <v>0.0</v>
      </c>
      <c r="AC888" s="91">
        <v>0.0</v>
      </c>
      <c r="AD888" s="84">
        <v>0.0</v>
      </c>
      <c r="AE888" s="84">
        <v>0.0</v>
      </c>
      <c r="AF888" s="84">
        <v>0.0</v>
      </c>
      <c r="AG888" s="84">
        <v>0.0</v>
      </c>
      <c r="AH888" s="84">
        <v>0.0</v>
      </c>
      <c r="AI888" s="84">
        <v>0.0</v>
      </c>
      <c r="AJ888" s="84">
        <v>0.0</v>
      </c>
      <c r="AK888" s="84">
        <v>0.0</v>
      </c>
      <c r="AL888" s="84">
        <v>0.0</v>
      </c>
      <c r="AM888" s="84">
        <v>0.0</v>
      </c>
      <c r="AN888" s="93">
        <f t="shared" si="1"/>
        <v>0</v>
      </c>
      <c r="AO888" s="84">
        <f t="shared" si="2"/>
        <v>1</v>
      </c>
    </row>
    <row r="889" ht="12.75" customHeight="1">
      <c r="A889" s="84" t="s">
        <v>4631</v>
      </c>
      <c r="B889" s="84">
        <v>0.0</v>
      </c>
      <c r="C889" s="84">
        <v>0.0</v>
      </c>
      <c r="D889" s="84">
        <v>0.0</v>
      </c>
      <c r="E889" s="84">
        <v>0.0</v>
      </c>
      <c r="F889" s="84">
        <v>0.0</v>
      </c>
      <c r="G889" s="84">
        <v>0.0</v>
      </c>
      <c r="H889" s="84">
        <v>0.0</v>
      </c>
      <c r="I889" s="91">
        <v>0.0</v>
      </c>
      <c r="J889" s="84">
        <v>0.0</v>
      </c>
      <c r="K889" s="84">
        <v>0.0</v>
      </c>
      <c r="L889" s="84">
        <v>0.0</v>
      </c>
      <c r="M889" s="84">
        <v>0.0</v>
      </c>
      <c r="N889" s="84">
        <v>0.0</v>
      </c>
      <c r="O889" s="84">
        <v>0.0</v>
      </c>
      <c r="P889" s="84">
        <v>0.0</v>
      </c>
      <c r="Q889" s="84">
        <v>0.0</v>
      </c>
      <c r="R889" s="84">
        <v>0.0</v>
      </c>
      <c r="S889" s="84">
        <v>0.0</v>
      </c>
      <c r="T889" s="84">
        <v>0.0</v>
      </c>
      <c r="U889" s="84">
        <v>0.0</v>
      </c>
      <c r="V889" s="84">
        <v>0.0</v>
      </c>
      <c r="W889" s="84">
        <v>0.0</v>
      </c>
      <c r="X889" s="84">
        <v>0.0</v>
      </c>
      <c r="Y889" s="84">
        <v>0.0</v>
      </c>
      <c r="Z889" s="84">
        <v>0.0</v>
      </c>
      <c r="AA889" s="84">
        <v>0.0</v>
      </c>
      <c r="AB889" s="84">
        <v>0.0</v>
      </c>
      <c r="AC889" s="91">
        <v>0.0</v>
      </c>
      <c r="AD889" s="84">
        <v>0.0</v>
      </c>
      <c r="AE889" s="84">
        <v>0.0</v>
      </c>
      <c r="AF889" s="84">
        <v>0.0</v>
      </c>
      <c r="AG889" s="84">
        <v>0.0</v>
      </c>
      <c r="AH889" s="84">
        <v>0.0</v>
      </c>
      <c r="AI889" s="84">
        <v>0.0</v>
      </c>
      <c r="AJ889" s="84">
        <v>0.0</v>
      </c>
      <c r="AK889" s="84">
        <v>1.0</v>
      </c>
      <c r="AL889" s="84">
        <v>0.0</v>
      </c>
      <c r="AM889" s="84">
        <v>0.0</v>
      </c>
      <c r="AN889" s="93">
        <f t="shared" si="1"/>
        <v>0</v>
      </c>
      <c r="AO889" s="84">
        <f t="shared" si="2"/>
        <v>1</v>
      </c>
    </row>
    <row r="890" ht="12.75" customHeight="1">
      <c r="A890" s="84" t="s">
        <v>4343</v>
      </c>
      <c r="B890" s="84">
        <v>0.0</v>
      </c>
      <c r="C890" s="84">
        <v>0.0</v>
      </c>
      <c r="D890" s="84">
        <v>0.0</v>
      </c>
      <c r="E890" s="84">
        <v>0.0</v>
      </c>
      <c r="F890" s="84">
        <v>0.0</v>
      </c>
      <c r="G890" s="84">
        <v>0.0</v>
      </c>
      <c r="H890" s="84">
        <v>0.0</v>
      </c>
      <c r="I890" s="91">
        <v>0.0</v>
      </c>
      <c r="J890" s="84">
        <v>0.0</v>
      </c>
      <c r="K890" s="84">
        <v>0.0</v>
      </c>
      <c r="L890" s="84">
        <v>0.0</v>
      </c>
      <c r="M890" s="84">
        <v>0.0</v>
      </c>
      <c r="N890" s="84">
        <v>0.0</v>
      </c>
      <c r="O890" s="84">
        <v>0.0</v>
      </c>
      <c r="P890" s="84">
        <v>0.0</v>
      </c>
      <c r="Q890" s="84">
        <v>0.0</v>
      </c>
      <c r="R890" s="84">
        <v>0.0</v>
      </c>
      <c r="S890" s="84">
        <v>0.0</v>
      </c>
      <c r="T890" s="84">
        <v>0.0</v>
      </c>
      <c r="U890" s="84">
        <v>0.0</v>
      </c>
      <c r="V890" s="84">
        <v>0.0</v>
      </c>
      <c r="W890" s="84">
        <v>0.0</v>
      </c>
      <c r="X890" s="84">
        <v>0.0</v>
      </c>
      <c r="Y890" s="84">
        <v>0.0</v>
      </c>
      <c r="Z890" s="84">
        <v>0.0</v>
      </c>
      <c r="AA890" s="84">
        <v>0.0</v>
      </c>
      <c r="AB890" s="84">
        <v>0.0</v>
      </c>
      <c r="AC890" s="91">
        <v>0.002554278416347382</v>
      </c>
      <c r="AD890" s="84">
        <v>0.0</v>
      </c>
      <c r="AE890" s="84">
        <v>0.0</v>
      </c>
      <c r="AF890" s="84">
        <v>0.0</v>
      </c>
      <c r="AG890" s="84">
        <v>0.0</v>
      </c>
      <c r="AH890" s="84">
        <v>0.0</v>
      </c>
      <c r="AI890" s="84">
        <v>0.0</v>
      </c>
      <c r="AJ890" s="84">
        <v>0.0</v>
      </c>
      <c r="AK890" s="84">
        <v>0.0</v>
      </c>
      <c r="AL890" s="84">
        <v>0.0</v>
      </c>
      <c r="AM890" s="84">
        <v>0.0</v>
      </c>
      <c r="AN890" s="93">
        <f t="shared" si="1"/>
        <v>0.002554278416</v>
      </c>
      <c r="AO890" s="84">
        <f t="shared" si="2"/>
        <v>0</v>
      </c>
    </row>
    <row r="891" ht="12.75" customHeight="1">
      <c r="A891" s="84" t="s">
        <v>4618</v>
      </c>
      <c r="B891" s="84">
        <v>0.0</v>
      </c>
      <c r="C891" s="84">
        <v>0.0</v>
      </c>
      <c r="D891" s="84">
        <v>0.0</v>
      </c>
      <c r="E891" s="84">
        <v>0.0</v>
      </c>
      <c r="F891" s="84">
        <v>0.0</v>
      </c>
      <c r="G891" s="84">
        <v>0.0</v>
      </c>
      <c r="H891" s="84">
        <v>0.0</v>
      </c>
      <c r="I891" s="91">
        <v>0.0</v>
      </c>
      <c r="J891" s="84">
        <v>0.0</v>
      </c>
      <c r="K891" s="84">
        <v>0.0</v>
      </c>
      <c r="L891" s="84">
        <v>0.0</v>
      </c>
      <c r="M891" s="84">
        <v>0.0</v>
      </c>
      <c r="N891" s="84">
        <v>0.0</v>
      </c>
      <c r="O891" s="84">
        <v>0.0</v>
      </c>
      <c r="P891" s="84">
        <v>0.0</v>
      </c>
      <c r="Q891" s="84">
        <v>0.0</v>
      </c>
      <c r="R891" s="84">
        <v>0.0</v>
      </c>
      <c r="S891" s="84">
        <v>1.0</v>
      </c>
      <c r="T891" s="84">
        <v>0.0</v>
      </c>
      <c r="U891" s="84">
        <v>0.0</v>
      </c>
      <c r="V891" s="84">
        <v>0.0</v>
      </c>
      <c r="W891" s="84">
        <v>0.0</v>
      </c>
      <c r="X891" s="84">
        <v>0.0</v>
      </c>
      <c r="Y891" s="84">
        <v>0.0</v>
      </c>
      <c r="Z891" s="84">
        <v>0.0</v>
      </c>
      <c r="AA891" s="84">
        <v>0.0</v>
      </c>
      <c r="AB891" s="84">
        <v>0.0</v>
      </c>
      <c r="AC891" s="91">
        <v>0.0</v>
      </c>
      <c r="AD891" s="84">
        <v>0.0</v>
      </c>
      <c r="AE891" s="84">
        <v>0.0</v>
      </c>
      <c r="AF891" s="84">
        <v>0.0</v>
      </c>
      <c r="AG891" s="84">
        <v>0.0</v>
      </c>
      <c r="AH891" s="84">
        <v>0.0</v>
      </c>
      <c r="AI891" s="84">
        <v>0.0</v>
      </c>
      <c r="AJ891" s="84">
        <v>0.0</v>
      </c>
      <c r="AK891" s="84">
        <v>0.0</v>
      </c>
      <c r="AL891" s="84">
        <v>0.0</v>
      </c>
      <c r="AM891" s="84">
        <v>0.0</v>
      </c>
      <c r="AN891" s="93">
        <f t="shared" si="1"/>
        <v>0</v>
      </c>
      <c r="AO891" s="84">
        <f t="shared" si="2"/>
        <v>1</v>
      </c>
    </row>
    <row r="892" ht="12.75" customHeight="1">
      <c r="A892" s="84" t="s">
        <v>4505</v>
      </c>
      <c r="B892" s="84">
        <v>0.0</v>
      </c>
      <c r="C892" s="84">
        <v>0.0</v>
      </c>
      <c r="D892" s="84">
        <v>0.0</v>
      </c>
      <c r="E892" s="84">
        <v>0.0</v>
      </c>
      <c r="F892" s="84">
        <v>0.0</v>
      </c>
      <c r="G892" s="84">
        <v>0.0</v>
      </c>
      <c r="H892" s="84">
        <v>0.0</v>
      </c>
      <c r="I892" s="91">
        <v>0.0</v>
      </c>
      <c r="J892" s="84">
        <v>0.0</v>
      </c>
      <c r="K892" s="84">
        <v>0.0</v>
      </c>
      <c r="L892" s="84">
        <v>0.0</v>
      </c>
      <c r="M892" s="84">
        <v>0.0</v>
      </c>
      <c r="N892" s="84">
        <v>0.0</v>
      </c>
      <c r="O892" s="84">
        <v>0.0</v>
      </c>
      <c r="P892" s="84">
        <v>0.0</v>
      </c>
      <c r="Q892" s="84">
        <v>0.0</v>
      </c>
      <c r="R892" s="84">
        <v>0.0</v>
      </c>
      <c r="S892" s="84">
        <v>0.0</v>
      </c>
      <c r="T892" s="84">
        <v>0.0</v>
      </c>
      <c r="U892" s="84">
        <v>0.0</v>
      </c>
      <c r="V892" s="84">
        <v>0.0</v>
      </c>
      <c r="W892" s="84">
        <v>0.0</v>
      </c>
      <c r="X892" s="84">
        <v>0.0</v>
      </c>
      <c r="Y892" s="84">
        <v>0.0</v>
      </c>
      <c r="Z892" s="84">
        <v>0.0</v>
      </c>
      <c r="AA892" s="84">
        <v>0.0</v>
      </c>
      <c r="AB892" s="84">
        <v>0.0</v>
      </c>
      <c r="AC892" s="91">
        <v>0.0</v>
      </c>
      <c r="AD892" s="84">
        <v>0.0</v>
      </c>
      <c r="AE892" s="84">
        <v>0.0</v>
      </c>
      <c r="AF892" s="84">
        <v>1.0</v>
      </c>
      <c r="AG892" s="84">
        <v>0.0</v>
      </c>
      <c r="AH892" s="84">
        <v>0.0</v>
      </c>
      <c r="AI892" s="84">
        <v>0.0</v>
      </c>
      <c r="AJ892" s="84">
        <v>0.0</v>
      </c>
      <c r="AK892" s="84">
        <v>0.0</v>
      </c>
      <c r="AL892" s="84">
        <v>0.0</v>
      </c>
      <c r="AM892" s="84">
        <v>0.0</v>
      </c>
      <c r="AN892" s="93">
        <f t="shared" si="1"/>
        <v>0</v>
      </c>
      <c r="AO892" s="84">
        <f t="shared" si="2"/>
        <v>1</v>
      </c>
    </row>
    <row r="893" ht="12.75" customHeight="1">
      <c r="A893" s="84" t="s">
        <v>4510</v>
      </c>
      <c r="B893" s="84">
        <v>0.0</v>
      </c>
      <c r="C893" s="84">
        <v>0.0</v>
      </c>
      <c r="D893" s="84">
        <v>0.0</v>
      </c>
      <c r="E893" s="84">
        <v>0.0</v>
      </c>
      <c r="F893" s="84">
        <v>0.0</v>
      </c>
      <c r="G893" s="84">
        <v>0.0</v>
      </c>
      <c r="H893" s="84">
        <v>0.0</v>
      </c>
      <c r="I893" s="91">
        <v>0.0</v>
      </c>
      <c r="J893" s="84">
        <v>0.0</v>
      </c>
      <c r="K893" s="84">
        <v>0.0</v>
      </c>
      <c r="L893" s="84">
        <v>0.0</v>
      </c>
      <c r="M893" s="84">
        <v>0.0</v>
      </c>
      <c r="N893" s="84">
        <v>0.0</v>
      </c>
      <c r="O893" s="84">
        <v>0.0</v>
      </c>
      <c r="P893" s="84">
        <v>0.0</v>
      </c>
      <c r="Q893" s="84">
        <v>0.0</v>
      </c>
      <c r="R893" s="84">
        <v>0.0</v>
      </c>
      <c r="S893" s="84">
        <v>0.0</v>
      </c>
      <c r="T893" s="84">
        <v>0.0</v>
      </c>
      <c r="U893" s="84">
        <v>0.0</v>
      </c>
      <c r="V893" s="84">
        <v>0.0</v>
      </c>
      <c r="W893" s="84">
        <v>0.0</v>
      </c>
      <c r="X893" s="84">
        <v>0.0</v>
      </c>
      <c r="Y893" s="84">
        <v>0.0</v>
      </c>
      <c r="Z893" s="84">
        <v>0.0</v>
      </c>
      <c r="AA893" s="84">
        <v>0.0</v>
      </c>
      <c r="AB893" s="84">
        <v>0.0</v>
      </c>
      <c r="AC893" s="91">
        <v>0.0</v>
      </c>
      <c r="AD893" s="84">
        <v>0.0</v>
      </c>
      <c r="AE893" s="84">
        <v>0.0</v>
      </c>
      <c r="AF893" s="84">
        <v>1.0</v>
      </c>
      <c r="AG893" s="84">
        <v>0.0</v>
      </c>
      <c r="AH893" s="84">
        <v>0.0</v>
      </c>
      <c r="AI893" s="84">
        <v>0.0</v>
      </c>
      <c r="AJ893" s="84">
        <v>0.0</v>
      </c>
      <c r="AK893" s="84">
        <v>0.0</v>
      </c>
      <c r="AL893" s="84">
        <v>0.0</v>
      </c>
      <c r="AM893" s="84">
        <v>0.0</v>
      </c>
      <c r="AN893" s="93">
        <f t="shared" si="1"/>
        <v>0</v>
      </c>
      <c r="AO893" s="84">
        <f t="shared" si="2"/>
        <v>1</v>
      </c>
    </row>
    <row r="894" ht="12.75" customHeight="1">
      <c r="A894" s="84" t="s">
        <v>3173</v>
      </c>
      <c r="B894" s="84">
        <v>0.0</v>
      </c>
      <c r="C894" s="84">
        <v>5.0</v>
      </c>
      <c r="D894" s="84">
        <v>0.0</v>
      </c>
      <c r="E894" s="84">
        <v>0.0</v>
      </c>
      <c r="F894" s="84">
        <v>0.0</v>
      </c>
      <c r="G894" s="84">
        <v>0.0</v>
      </c>
      <c r="H894" s="84">
        <v>0.0</v>
      </c>
      <c r="I894" s="91">
        <v>0.0</v>
      </c>
      <c r="J894" s="84">
        <v>0.0</v>
      </c>
      <c r="K894" s="84">
        <v>0.0</v>
      </c>
      <c r="L894" s="84">
        <v>0.0</v>
      </c>
      <c r="M894" s="84">
        <v>0.0</v>
      </c>
      <c r="N894" s="84">
        <v>0.0</v>
      </c>
      <c r="O894" s="84">
        <v>0.0</v>
      </c>
      <c r="P894" s="84">
        <v>0.0</v>
      </c>
      <c r="Q894" s="84">
        <v>0.0</v>
      </c>
      <c r="R894" s="84">
        <v>0.0</v>
      </c>
      <c r="S894" s="84">
        <v>0.0</v>
      </c>
      <c r="T894" s="84">
        <v>0.0</v>
      </c>
      <c r="U894" s="84">
        <v>0.0</v>
      </c>
      <c r="V894" s="84">
        <v>0.0</v>
      </c>
      <c r="W894" s="84">
        <v>3.0</v>
      </c>
      <c r="X894" s="84">
        <v>1.0</v>
      </c>
      <c r="Y894" s="84">
        <v>0.0</v>
      </c>
      <c r="Z894" s="84">
        <v>0.0</v>
      </c>
      <c r="AA894" s="84">
        <v>0.0</v>
      </c>
      <c r="AB894" s="84">
        <v>0.0</v>
      </c>
      <c r="AC894" s="91">
        <v>0.0</v>
      </c>
      <c r="AD894" s="84">
        <v>0.0</v>
      </c>
      <c r="AE894" s="84">
        <v>0.0</v>
      </c>
      <c r="AF894" s="84">
        <v>0.0</v>
      </c>
      <c r="AG894" s="84">
        <v>0.0</v>
      </c>
      <c r="AH894" s="84">
        <v>0.0</v>
      </c>
      <c r="AI894" s="84">
        <v>0.0</v>
      </c>
      <c r="AJ894" s="84">
        <v>0.0</v>
      </c>
      <c r="AK894" s="84">
        <v>0.0</v>
      </c>
      <c r="AL894" s="84">
        <v>0.0</v>
      </c>
      <c r="AM894" s="84">
        <v>0.0</v>
      </c>
      <c r="AN894" s="93">
        <f t="shared" si="1"/>
        <v>0</v>
      </c>
      <c r="AO894" s="84">
        <f t="shared" si="2"/>
        <v>0</v>
      </c>
    </row>
    <row r="895" ht="12.75" customHeight="1">
      <c r="A895" s="84" t="s">
        <v>4550</v>
      </c>
      <c r="B895" s="84">
        <v>0.0</v>
      </c>
      <c r="C895" s="84">
        <v>0.0</v>
      </c>
      <c r="D895" s="84">
        <v>0.0</v>
      </c>
      <c r="E895" s="84">
        <v>0.0</v>
      </c>
      <c r="F895" s="84">
        <v>0.0</v>
      </c>
      <c r="G895" s="84">
        <v>0.0</v>
      </c>
      <c r="H895" s="84">
        <v>0.0</v>
      </c>
      <c r="I895" s="91">
        <v>0.0</v>
      </c>
      <c r="J895" s="84">
        <v>0.0</v>
      </c>
      <c r="K895" s="84">
        <v>0.0</v>
      </c>
      <c r="L895" s="84">
        <v>0.0</v>
      </c>
      <c r="M895" s="84">
        <v>0.0</v>
      </c>
      <c r="N895" s="84">
        <v>0.0</v>
      </c>
      <c r="O895" s="84">
        <v>0.0</v>
      </c>
      <c r="P895" s="84">
        <v>1.0</v>
      </c>
      <c r="Q895" s="84">
        <v>0.0</v>
      </c>
      <c r="R895" s="84">
        <v>0.0</v>
      </c>
      <c r="S895" s="84">
        <v>0.0</v>
      </c>
      <c r="T895" s="84">
        <v>0.0</v>
      </c>
      <c r="U895" s="84">
        <v>0.0</v>
      </c>
      <c r="V895" s="84">
        <v>0.0</v>
      </c>
      <c r="W895" s="84">
        <v>0.0</v>
      </c>
      <c r="X895" s="84">
        <v>0.0</v>
      </c>
      <c r="Y895" s="84">
        <v>0.0</v>
      </c>
      <c r="Z895" s="84">
        <v>0.0</v>
      </c>
      <c r="AA895" s="84">
        <v>0.0</v>
      </c>
      <c r="AB895" s="84">
        <v>0.0</v>
      </c>
      <c r="AC895" s="91">
        <v>0.0</v>
      </c>
      <c r="AD895" s="84">
        <v>0.0</v>
      </c>
      <c r="AE895" s="84">
        <v>0.0</v>
      </c>
      <c r="AF895" s="84">
        <v>0.0</v>
      </c>
      <c r="AG895" s="84">
        <v>0.0</v>
      </c>
      <c r="AH895" s="84">
        <v>0.0</v>
      </c>
      <c r="AI895" s="84">
        <v>0.0</v>
      </c>
      <c r="AJ895" s="84">
        <v>0.0</v>
      </c>
      <c r="AK895" s="84">
        <v>0.0</v>
      </c>
      <c r="AL895" s="84">
        <v>0.0</v>
      </c>
      <c r="AM895" s="84">
        <v>0.0</v>
      </c>
      <c r="AN895" s="93">
        <f t="shared" si="1"/>
        <v>0</v>
      </c>
      <c r="AO895" s="84">
        <f t="shared" si="2"/>
        <v>1</v>
      </c>
    </row>
    <row r="896" ht="12.75" customHeight="1">
      <c r="A896" s="84" t="s">
        <v>4533</v>
      </c>
      <c r="B896" s="84">
        <v>0.0</v>
      </c>
      <c r="C896" s="84">
        <v>0.0</v>
      </c>
      <c r="D896" s="84">
        <v>0.0</v>
      </c>
      <c r="E896" s="84">
        <v>0.0</v>
      </c>
      <c r="F896" s="84">
        <v>0.0</v>
      </c>
      <c r="G896" s="84">
        <v>0.0</v>
      </c>
      <c r="H896" s="84">
        <v>0.0</v>
      </c>
      <c r="I896" s="91">
        <v>0.0</v>
      </c>
      <c r="J896" s="84">
        <v>0.0</v>
      </c>
      <c r="K896" s="84">
        <v>0.0</v>
      </c>
      <c r="L896" s="84">
        <v>0.0</v>
      </c>
      <c r="M896" s="84">
        <v>0.0</v>
      </c>
      <c r="N896" s="84">
        <v>0.0</v>
      </c>
      <c r="O896" s="84">
        <v>0.0</v>
      </c>
      <c r="P896" s="84">
        <v>0.0</v>
      </c>
      <c r="Q896" s="84">
        <v>0.0</v>
      </c>
      <c r="R896" s="84">
        <v>0.0</v>
      </c>
      <c r="S896" s="84">
        <v>0.0</v>
      </c>
      <c r="T896" s="84">
        <v>0.0</v>
      </c>
      <c r="U896" s="84">
        <v>0.0</v>
      </c>
      <c r="V896" s="84">
        <v>0.0</v>
      </c>
      <c r="W896" s="84">
        <v>0.0</v>
      </c>
      <c r="X896" s="84">
        <v>0.0</v>
      </c>
      <c r="Y896" s="84">
        <v>0.0</v>
      </c>
      <c r="Z896" s="84">
        <v>0.0</v>
      </c>
      <c r="AA896" s="84">
        <v>0.0</v>
      </c>
      <c r="AB896" s="84">
        <v>0.0</v>
      </c>
      <c r="AC896" s="91">
        <v>0.0</v>
      </c>
      <c r="AD896" s="84">
        <v>0.0</v>
      </c>
      <c r="AE896" s="84">
        <v>0.0</v>
      </c>
      <c r="AF896" s="84">
        <v>0.0</v>
      </c>
      <c r="AG896" s="84">
        <v>1.0</v>
      </c>
      <c r="AH896" s="84">
        <v>0.0</v>
      </c>
      <c r="AI896" s="84">
        <v>0.0</v>
      </c>
      <c r="AJ896" s="84">
        <v>0.0</v>
      </c>
      <c r="AK896" s="84">
        <v>0.0</v>
      </c>
      <c r="AL896" s="84">
        <v>0.0</v>
      </c>
      <c r="AM896" s="84">
        <v>0.0</v>
      </c>
      <c r="AN896" s="93">
        <f t="shared" si="1"/>
        <v>0</v>
      </c>
      <c r="AO896" s="84">
        <f t="shared" si="2"/>
        <v>1</v>
      </c>
    </row>
    <row r="897" ht="12.75" customHeight="1">
      <c r="A897" s="84" t="s">
        <v>4447</v>
      </c>
      <c r="B897" s="84">
        <v>0.0</v>
      </c>
      <c r="C897" s="84">
        <v>0.0</v>
      </c>
      <c r="D897" s="84">
        <v>0.0</v>
      </c>
      <c r="E897" s="84">
        <v>0.0</v>
      </c>
      <c r="F897" s="84">
        <v>0.0</v>
      </c>
      <c r="G897" s="84">
        <v>0.0</v>
      </c>
      <c r="H897" s="84">
        <v>0.0</v>
      </c>
      <c r="I897" s="91">
        <v>0.0</v>
      </c>
      <c r="J897" s="84">
        <v>0.0</v>
      </c>
      <c r="K897" s="84">
        <v>0.0</v>
      </c>
      <c r="L897" s="84">
        <v>1.0</v>
      </c>
      <c r="M897" s="84">
        <v>0.0</v>
      </c>
      <c r="N897" s="84">
        <v>0.0</v>
      </c>
      <c r="O897" s="84">
        <v>0.0</v>
      </c>
      <c r="P897" s="84">
        <v>0.0</v>
      </c>
      <c r="Q897" s="84">
        <v>0.0</v>
      </c>
      <c r="R897" s="84">
        <v>0.0</v>
      </c>
      <c r="S897" s="84">
        <v>0.0</v>
      </c>
      <c r="T897" s="84">
        <v>0.0</v>
      </c>
      <c r="U897" s="84">
        <v>0.0</v>
      </c>
      <c r="V897" s="84">
        <v>0.0</v>
      </c>
      <c r="W897" s="84">
        <v>0.0</v>
      </c>
      <c r="X897" s="84">
        <v>0.0</v>
      </c>
      <c r="Y897" s="84">
        <v>0.0</v>
      </c>
      <c r="Z897" s="84">
        <v>0.0</v>
      </c>
      <c r="AA897" s="84">
        <v>0.0</v>
      </c>
      <c r="AB897" s="84">
        <v>0.0</v>
      </c>
      <c r="AC897" s="91">
        <v>0.0</v>
      </c>
      <c r="AD897" s="84">
        <v>0.0</v>
      </c>
      <c r="AE897" s="84">
        <v>0.0</v>
      </c>
      <c r="AF897" s="84">
        <v>0.0</v>
      </c>
      <c r="AG897" s="84">
        <v>0.0</v>
      </c>
      <c r="AH897" s="84">
        <v>0.0</v>
      </c>
      <c r="AI897" s="84">
        <v>0.0</v>
      </c>
      <c r="AJ897" s="84">
        <v>0.0</v>
      </c>
      <c r="AK897" s="84">
        <v>0.0</v>
      </c>
      <c r="AL897" s="84">
        <v>0.0</v>
      </c>
      <c r="AM897" s="84">
        <v>0.0</v>
      </c>
      <c r="AN897" s="93">
        <f t="shared" si="1"/>
        <v>0</v>
      </c>
      <c r="AO897" s="84">
        <f t="shared" si="2"/>
        <v>1</v>
      </c>
    </row>
    <row r="898" ht="12.75" customHeight="1">
      <c r="A898" s="84" t="s">
        <v>4579</v>
      </c>
      <c r="B898" s="84">
        <v>0.0</v>
      </c>
      <c r="C898" s="84">
        <v>0.0</v>
      </c>
      <c r="D898" s="84">
        <v>0.0</v>
      </c>
      <c r="E898" s="84">
        <v>0.0</v>
      </c>
      <c r="F898" s="84">
        <v>0.0</v>
      </c>
      <c r="G898" s="84">
        <v>0.0</v>
      </c>
      <c r="H898" s="84">
        <v>0.0</v>
      </c>
      <c r="I898" s="91">
        <v>0.0</v>
      </c>
      <c r="J898" s="84">
        <v>0.0</v>
      </c>
      <c r="K898" s="84">
        <v>0.0</v>
      </c>
      <c r="L898" s="84">
        <v>0.0</v>
      </c>
      <c r="M898" s="84">
        <v>0.0</v>
      </c>
      <c r="N898" s="84">
        <v>0.0</v>
      </c>
      <c r="O898" s="84">
        <v>0.0</v>
      </c>
      <c r="P898" s="84">
        <v>0.0</v>
      </c>
      <c r="Q898" s="84">
        <v>0.0</v>
      </c>
      <c r="R898" s="84">
        <v>0.0</v>
      </c>
      <c r="S898" s="84">
        <v>0.0</v>
      </c>
      <c r="T898" s="84">
        <v>0.0</v>
      </c>
      <c r="U898" s="84">
        <v>0.0</v>
      </c>
      <c r="V898" s="84">
        <v>0.0</v>
      </c>
      <c r="W898" s="84">
        <v>0.0</v>
      </c>
      <c r="X898" s="84">
        <v>0.0</v>
      </c>
      <c r="Y898" s="84">
        <v>0.0</v>
      </c>
      <c r="Z898" s="84">
        <v>0.0</v>
      </c>
      <c r="AA898" s="84">
        <v>0.0</v>
      </c>
      <c r="AB898" s="84">
        <v>0.0</v>
      </c>
      <c r="AC898" s="91">
        <v>0.0</v>
      </c>
      <c r="AD898" s="84">
        <v>0.0</v>
      </c>
      <c r="AE898" s="84">
        <v>0.0</v>
      </c>
      <c r="AF898" s="84">
        <v>0.0</v>
      </c>
      <c r="AG898" s="84">
        <v>0.0</v>
      </c>
      <c r="AH898" s="84">
        <v>0.0</v>
      </c>
      <c r="AI898" s="84">
        <v>1.0</v>
      </c>
      <c r="AJ898" s="84">
        <v>0.0</v>
      </c>
      <c r="AK898" s="84">
        <v>0.0</v>
      </c>
      <c r="AL898" s="84">
        <v>0.0</v>
      </c>
      <c r="AM898" s="84">
        <v>0.0</v>
      </c>
      <c r="AN898" s="93">
        <f t="shared" si="1"/>
        <v>0</v>
      </c>
      <c r="AO898" s="84">
        <f t="shared" si="2"/>
        <v>1</v>
      </c>
    </row>
    <row r="899" ht="12.75" customHeight="1">
      <c r="A899" s="84" t="s">
        <v>4659</v>
      </c>
      <c r="B899" s="84">
        <v>0.0</v>
      </c>
      <c r="C899" s="84">
        <v>0.0</v>
      </c>
      <c r="D899" s="84">
        <v>0.0</v>
      </c>
      <c r="E899" s="84">
        <v>0.0</v>
      </c>
      <c r="F899" s="84">
        <v>0.0</v>
      </c>
      <c r="G899" s="84">
        <v>0.0</v>
      </c>
      <c r="H899" s="84">
        <v>0.0</v>
      </c>
      <c r="I899" s="91">
        <v>0.0</v>
      </c>
      <c r="J899" s="84">
        <v>0.0</v>
      </c>
      <c r="K899" s="84">
        <v>0.0</v>
      </c>
      <c r="L899" s="84">
        <v>0.0</v>
      </c>
      <c r="M899" s="84">
        <v>0.0</v>
      </c>
      <c r="N899" s="84">
        <v>0.0</v>
      </c>
      <c r="O899" s="84">
        <v>0.0</v>
      </c>
      <c r="P899" s="84">
        <v>0.0</v>
      </c>
      <c r="Q899" s="84">
        <v>0.0</v>
      </c>
      <c r="R899" s="84">
        <v>0.0</v>
      </c>
      <c r="S899" s="84">
        <v>0.0</v>
      </c>
      <c r="T899" s="84">
        <v>0.0</v>
      </c>
      <c r="U899" s="84">
        <v>0.0</v>
      </c>
      <c r="V899" s="84">
        <v>0.0</v>
      </c>
      <c r="W899" s="84">
        <v>0.0</v>
      </c>
      <c r="X899" s="84">
        <v>0.0</v>
      </c>
      <c r="Y899" s="84">
        <v>0.0</v>
      </c>
      <c r="Z899" s="84">
        <v>0.0</v>
      </c>
      <c r="AA899" s="84">
        <v>0.0</v>
      </c>
      <c r="AB899" s="84">
        <v>0.0</v>
      </c>
      <c r="AC899" s="91">
        <v>0.0</v>
      </c>
      <c r="AD899" s="84">
        <v>0.0</v>
      </c>
      <c r="AE899" s="84">
        <v>0.0</v>
      </c>
      <c r="AF899" s="84">
        <v>0.0</v>
      </c>
      <c r="AG899" s="84">
        <v>0.0</v>
      </c>
      <c r="AH899" s="84">
        <v>0.0</v>
      </c>
      <c r="AI899" s="84">
        <v>0.0</v>
      </c>
      <c r="AJ899" s="84">
        <v>0.0</v>
      </c>
      <c r="AK899" s="84">
        <v>0.0</v>
      </c>
      <c r="AL899" s="84">
        <v>1.0</v>
      </c>
      <c r="AM899" s="84">
        <v>0.0</v>
      </c>
      <c r="AN899" s="93">
        <f t="shared" si="1"/>
        <v>0</v>
      </c>
      <c r="AO899" s="84">
        <f t="shared" si="2"/>
        <v>1</v>
      </c>
    </row>
    <row r="900" ht="12.75" customHeight="1">
      <c r="A900" s="84" t="s">
        <v>4585</v>
      </c>
      <c r="B900" s="84">
        <v>0.0</v>
      </c>
      <c r="C900" s="84">
        <v>0.0</v>
      </c>
      <c r="D900" s="84">
        <v>0.0</v>
      </c>
      <c r="E900" s="84">
        <v>0.0</v>
      </c>
      <c r="F900" s="84">
        <v>0.0</v>
      </c>
      <c r="G900" s="84">
        <v>0.0</v>
      </c>
      <c r="H900" s="84">
        <v>0.0</v>
      </c>
      <c r="I900" s="91">
        <v>0.0</v>
      </c>
      <c r="J900" s="84">
        <v>0.0</v>
      </c>
      <c r="K900" s="84">
        <v>0.0</v>
      </c>
      <c r="L900" s="84">
        <v>0.0</v>
      </c>
      <c r="M900" s="84">
        <v>0.0</v>
      </c>
      <c r="N900" s="84">
        <v>0.0</v>
      </c>
      <c r="O900" s="84">
        <v>0.0</v>
      </c>
      <c r="P900" s="84">
        <v>0.0</v>
      </c>
      <c r="Q900" s="84">
        <v>0.0</v>
      </c>
      <c r="R900" s="84">
        <v>0.0</v>
      </c>
      <c r="S900" s="84">
        <v>0.0</v>
      </c>
      <c r="T900" s="84">
        <v>0.0</v>
      </c>
      <c r="U900" s="84">
        <v>0.0</v>
      </c>
      <c r="V900" s="84">
        <v>0.0</v>
      </c>
      <c r="W900" s="84">
        <v>0.0</v>
      </c>
      <c r="X900" s="84">
        <v>0.0</v>
      </c>
      <c r="Y900" s="84">
        <v>0.0</v>
      </c>
      <c r="Z900" s="84">
        <v>0.0</v>
      </c>
      <c r="AA900" s="84">
        <v>0.0</v>
      </c>
      <c r="AB900" s="84">
        <v>0.0</v>
      </c>
      <c r="AC900" s="91">
        <v>0.0</v>
      </c>
      <c r="AD900" s="84">
        <v>0.0</v>
      </c>
      <c r="AE900" s="84">
        <v>0.0</v>
      </c>
      <c r="AF900" s="84">
        <v>0.0</v>
      </c>
      <c r="AG900" s="84">
        <v>0.0</v>
      </c>
      <c r="AH900" s="84">
        <v>0.0</v>
      </c>
      <c r="AI900" s="84">
        <v>1.0</v>
      </c>
      <c r="AJ900" s="84">
        <v>0.0</v>
      </c>
      <c r="AK900" s="84">
        <v>0.0</v>
      </c>
      <c r="AL900" s="84">
        <v>0.0</v>
      </c>
      <c r="AM900" s="84">
        <v>0.0</v>
      </c>
      <c r="AN900" s="93">
        <f t="shared" si="1"/>
        <v>0</v>
      </c>
      <c r="AO900" s="84">
        <f t="shared" si="2"/>
        <v>1</v>
      </c>
    </row>
    <row r="901" ht="12.75" customHeight="1">
      <c r="A901" s="84" t="s">
        <v>3930</v>
      </c>
      <c r="B901" s="84">
        <v>0.0</v>
      </c>
      <c r="C901" s="84">
        <v>0.0</v>
      </c>
      <c r="D901" s="84">
        <v>0.0</v>
      </c>
      <c r="E901" s="84">
        <v>0.0</v>
      </c>
      <c r="F901" s="84">
        <v>0.0</v>
      </c>
      <c r="G901" s="84">
        <v>0.0</v>
      </c>
      <c r="H901" s="84">
        <v>5.0</v>
      </c>
      <c r="I901" s="91">
        <v>0.0</v>
      </c>
      <c r="J901" s="84">
        <v>0.0</v>
      </c>
      <c r="K901" s="84">
        <v>0.0</v>
      </c>
      <c r="L901" s="84">
        <v>0.0</v>
      </c>
      <c r="M901" s="84">
        <v>0.0</v>
      </c>
      <c r="N901" s="84">
        <v>0.0</v>
      </c>
      <c r="O901" s="84">
        <v>0.0</v>
      </c>
      <c r="P901" s="84">
        <v>0.0</v>
      </c>
      <c r="Q901" s="84">
        <v>0.0</v>
      </c>
      <c r="R901" s="84">
        <v>0.0</v>
      </c>
      <c r="S901" s="84">
        <v>0.0</v>
      </c>
      <c r="T901" s="84">
        <v>0.0</v>
      </c>
      <c r="U901" s="84">
        <v>0.0</v>
      </c>
      <c r="V901" s="84">
        <v>0.0</v>
      </c>
      <c r="W901" s="84">
        <v>0.0</v>
      </c>
      <c r="X901" s="84">
        <v>0.0</v>
      </c>
      <c r="Y901" s="84">
        <v>0.0</v>
      </c>
      <c r="Z901" s="84">
        <v>0.0</v>
      </c>
      <c r="AA901" s="84">
        <v>0.0</v>
      </c>
      <c r="AB901" s="84">
        <v>6.0</v>
      </c>
      <c r="AC901" s="91">
        <v>0.0</v>
      </c>
      <c r="AD901" s="84">
        <v>0.0</v>
      </c>
      <c r="AE901" s="84">
        <v>0.0</v>
      </c>
      <c r="AF901" s="84">
        <v>0.0</v>
      </c>
      <c r="AG901" s="84">
        <v>0.0</v>
      </c>
      <c r="AH901" s="84">
        <v>0.0</v>
      </c>
      <c r="AI901" s="84">
        <v>0.0</v>
      </c>
      <c r="AJ901" s="84">
        <v>0.0</v>
      </c>
      <c r="AK901" s="84">
        <v>0.0</v>
      </c>
      <c r="AL901" s="84">
        <v>0.0</v>
      </c>
      <c r="AM901" s="84">
        <v>0.0</v>
      </c>
      <c r="AN901" s="93">
        <f t="shared" si="1"/>
        <v>0</v>
      </c>
      <c r="AO901" s="84">
        <f t="shared" si="2"/>
        <v>0</v>
      </c>
    </row>
    <row r="902" ht="12.75" customHeight="1">
      <c r="A902" s="84" t="s">
        <v>2908</v>
      </c>
      <c r="B902" s="84">
        <v>1.0</v>
      </c>
      <c r="C902" s="84">
        <v>0.0</v>
      </c>
      <c r="D902" s="84">
        <v>0.0</v>
      </c>
      <c r="E902" s="84">
        <v>0.0</v>
      </c>
      <c r="F902" s="84">
        <v>0.0</v>
      </c>
      <c r="G902" s="84">
        <v>0.0</v>
      </c>
      <c r="H902" s="84">
        <v>0.0</v>
      </c>
      <c r="I902" s="91">
        <v>0.0</v>
      </c>
      <c r="J902" s="84">
        <v>0.0</v>
      </c>
      <c r="K902" s="84">
        <v>0.0</v>
      </c>
      <c r="L902" s="84">
        <v>0.0</v>
      </c>
      <c r="M902" s="84">
        <v>0.0</v>
      </c>
      <c r="N902" s="84">
        <v>0.0</v>
      </c>
      <c r="O902" s="84">
        <v>0.0</v>
      </c>
      <c r="P902" s="84">
        <v>0.0</v>
      </c>
      <c r="Q902" s="84">
        <v>0.0</v>
      </c>
      <c r="R902" s="84">
        <v>0.0</v>
      </c>
      <c r="S902" s="84">
        <v>0.0</v>
      </c>
      <c r="T902" s="84">
        <v>0.0</v>
      </c>
      <c r="U902" s="84">
        <v>0.0</v>
      </c>
      <c r="V902" s="84">
        <v>3.0</v>
      </c>
      <c r="W902" s="84">
        <v>0.0</v>
      </c>
      <c r="X902" s="84">
        <v>0.0</v>
      </c>
      <c r="Y902" s="84">
        <v>0.0</v>
      </c>
      <c r="Z902" s="84">
        <v>0.0</v>
      </c>
      <c r="AA902" s="84">
        <v>0.0</v>
      </c>
      <c r="AB902" s="84">
        <v>0.0</v>
      </c>
      <c r="AC902" s="91">
        <v>0.0</v>
      </c>
      <c r="AD902" s="84">
        <v>0.0</v>
      </c>
      <c r="AE902" s="84">
        <v>0.0</v>
      </c>
      <c r="AF902" s="84">
        <v>0.0</v>
      </c>
      <c r="AG902" s="84">
        <v>0.0</v>
      </c>
      <c r="AH902" s="84">
        <v>0.0</v>
      </c>
      <c r="AI902" s="84">
        <v>0.0</v>
      </c>
      <c r="AJ902" s="84">
        <v>0.0</v>
      </c>
      <c r="AK902" s="84">
        <v>0.0</v>
      </c>
      <c r="AL902" s="84">
        <v>0.0</v>
      </c>
      <c r="AM902" s="84">
        <v>0.0</v>
      </c>
      <c r="AN902" s="93">
        <f t="shared" si="1"/>
        <v>0</v>
      </c>
      <c r="AO902" s="84">
        <f t="shared" si="2"/>
        <v>0</v>
      </c>
    </row>
    <row r="903" ht="12.75" customHeight="1">
      <c r="A903" s="84" t="s">
        <v>2748</v>
      </c>
      <c r="B903" s="84">
        <v>2.0</v>
      </c>
      <c r="C903" s="84">
        <v>0.0</v>
      </c>
      <c r="D903" s="84">
        <v>0.0</v>
      </c>
      <c r="E903" s="84">
        <v>0.0</v>
      </c>
      <c r="F903" s="84">
        <v>0.0</v>
      </c>
      <c r="G903" s="84">
        <v>0.0</v>
      </c>
      <c r="H903" s="84">
        <v>0.0</v>
      </c>
      <c r="I903" s="91">
        <v>0.0</v>
      </c>
      <c r="J903" s="84">
        <v>0.0</v>
      </c>
      <c r="K903" s="84">
        <v>0.0</v>
      </c>
      <c r="L903" s="84">
        <v>0.0</v>
      </c>
      <c r="M903" s="84">
        <v>0.0</v>
      </c>
      <c r="N903" s="84">
        <v>0.0</v>
      </c>
      <c r="O903" s="84">
        <v>0.0</v>
      </c>
      <c r="P903" s="84">
        <v>0.0</v>
      </c>
      <c r="Q903" s="84">
        <v>0.0</v>
      </c>
      <c r="R903" s="84">
        <v>0.0</v>
      </c>
      <c r="S903" s="84">
        <v>0.0</v>
      </c>
      <c r="T903" s="84">
        <v>0.0</v>
      </c>
      <c r="U903" s="84">
        <v>0.0</v>
      </c>
      <c r="V903" s="84">
        <v>3.0</v>
      </c>
      <c r="W903" s="84">
        <v>2.0</v>
      </c>
      <c r="X903" s="84">
        <v>0.0</v>
      </c>
      <c r="Y903" s="84">
        <v>0.0</v>
      </c>
      <c r="Z903" s="84">
        <v>0.0</v>
      </c>
      <c r="AA903" s="84">
        <v>0.0</v>
      </c>
      <c r="AB903" s="84">
        <v>0.0</v>
      </c>
      <c r="AC903" s="91">
        <v>0.0</v>
      </c>
      <c r="AD903" s="84">
        <v>0.0</v>
      </c>
      <c r="AE903" s="84">
        <v>0.0</v>
      </c>
      <c r="AF903" s="84">
        <v>0.0</v>
      </c>
      <c r="AG903" s="84">
        <v>0.0</v>
      </c>
      <c r="AH903" s="84">
        <v>0.0</v>
      </c>
      <c r="AI903" s="84">
        <v>0.0</v>
      </c>
      <c r="AJ903" s="84">
        <v>0.0</v>
      </c>
      <c r="AK903" s="84">
        <v>0.0</v>
      </c>
      <c r="AL903" s="84">
        <v>0.0</v>
      </c>
      <c r="AM903" s="84">
        <v>0.0</v>
      </c>
      <c r="AN903" s="93">
        <f t="shared" si="1"/>
        <v>0</v>
      </c>
      <c r="AO903" s="84">
        <f t="shared" si="2"/>
        <v>0</v>
      </c>
    </row>
    <row r="904" ht="12.75" customHeight="1">
      <c r="A904" s="84" t="s">
        <v>3451</v>
      </c>
      <c r="B904" s="84">
        <v>0.0</v>
      </c>
      <c r="C904" s="84">
        <v>0.0</v>
      </c>
      <c r="D904" s="84">
        <v>0.0</v>
      </c>
      <c r="E904" s="84">
        <v>5.0</v>
      </c>
      <c r="F904" s="84">
        <v>0.0</v>
      </c>
      <c r="G904" s="84">
        <v>0.0</v>
      </c>
      <c r="H904" s="84">
        <v>0.0</v>
      </c>
      <c r="I904" s="91">
        <v>0.0</v>
      </c>
      <c r="J904" s="84">
        <v>0.0</v>
      </c>
      <c r="K904" s="84">
        <v>0.0</v>
      </c>
      <c r="L904" s="84">
        <v>0.0</v>
      </c>
      <c r="M904" s="84">
        <v>0.0</v>
      </c>
      <c r="N904" s="84">
        <v>0.0</v>
      </c>
      <c r="O904" s="84">
        <v>0.0</v>
      </c>
      <c r="P904" s="84">
        <v>0.0</v>
      </c>
      <c r="Q904" s="84">
        <v>0.0</v>
      </c>
      <c r="R904" s="84">
        <v>0.0</v>
      </c>
      <c r="S904" s="84">
        <v>0.0</v>
      </c>
      <c r="T904" s="84">
        <v>0.0</v>
      </c>
      <c r="U904" s="84">
        <v>0.0</v>
      </c>
      <c r="V904" s="84">
        <v>0.0</v>
      </c>
      <c r="W904" s="84">
        <v>0.0</v>
      </c>
      <c r="X904" s="84">
        <v>0.0</v>
      </c>
      <c r="Y904" s="84">
        <v>6.0</v>
      </c>
      <c r="Z904" s="84">
        <v>4.0</v>
      </c>
      <c r="AA904" s="84">
        <v>0.0</v>
      </c>
      <c r="AB904" s="84">
        <v>0.0</v>
      </c>
      <c r="AC904" s="91">
        <v>0.0</v>
      </c>
      <c r="AD904" s="84">
        <v>0.0</v>
      </c>
      <c r="AE904" s="84">
        <v>0.0</v>
      </c>
      <c r="AF904" s="84">
        <v>0.0</v>
      </c>
      <c r="AG904" s="84">
        <v>0.0</v>
      </c>
      <c r="AH904" s="84">
        <v>0.0</v>
      </c>
      <c r="AI904" s="84">
        <v>0.0</v>
      </c>
      <c r="AJ904" s="84">
        <v>0.0</v>
      </c>
      <c r="AK904" s="84">
        <v>0.0</v>
      </c>
      <c r="AL904" s="84">
        <v>0.0</v>
      </c>
      <c r="AM904" s="84">
        <v>0.0</v>
      </c>
      <c r="AN904" s="93">
        <f t="shared" si="1"/>
        <v>0</v>
      </c>
      <c r="AO904" s="84">
        <f t="shared" si="2"/>
        <v>0</v>
      </c>
    </row>
    <row r="905" ht="12.75" customHeight="1">
      <c r="A905" s="84" t="s">
        <v>3604</v>
      </c>
      <c r="B905" s="84">
        <v>0.0</v>
      </c>
      <c r="C905" s="84">
        <v>0.0</v>
      </c>
      <c r="D905" s="84">
        <v>0.0</v>
      </c>
      <c r="E905" s="84">
        <v>0.0</v>
      </c>
      <c r="F905" s="84">
        <v>6.0</v>
      </c>
      <c r="G905" s="84">
        <v>0.0</v>
      </c>
      <c r="H905" s="84">
        <v>0.0</v>
      </c>
      <c r="I905" s="91">
        <v>0.0</v>
      </c>
      <c r="J905" s="84">
        <v>0.0</v>
      </c>
      <c r="K905" s="84">
        <v>0.0</v>
      </c>
      <c r="L905" s="84">
        <v>0.0</v>
      </c>
      <c r="M905" s="84">
        <v>0.0</v>
      </c>
      <c r="N905" s="84">
        <v>0.0</v>
      </c>
      <c r="O905" s="84">
        <v>0.0</v>
      </c>
      <c r="P905" s="84">
        <v>0.0</v>
      </c>
      <c r="Q905" s="84">
        <v>0.0</v>
      </c>
      <c r="R905" s="84">
        <v>0.0</v>
      </c>
      <c r="S905" s="84">
        <v>0.0</v>
      </c>
      <c r="T905" s="84">
        <v>0.0</v>
      </c>
      <c r="U905" s="84">
        <v>0.0</v>
      </c>
      <c r="V905" s="84">
        <v>0.0</v>
      </c>
      <c r="W905" s="84">
        <v>0.0</v>
      </c>
      <c r="X905" s="84">
        <v>0.0</v>
      </c>
      <c r="Y905" s="84">
        <v>0.0</v>
      </c>
      <c r="Z905" s="84">
        <v>6.0</v>
      </c>
      <c r="AA905" s="84">
        <v>0.0</v>
      </c>
      <c r="AB905" s="84">
        <v>0.0</v>
      </c>
      <c r="AC905" s="91">
        <v>0.0</v>
      </c>
      <c r="AD905" s="84">
        <v>0.0</v>
      </c>
      <c r="AE905" s="84">
        <v>0.0</v>
      </c>
      <c r="AF905" s="84">
        <v>0.0</v>
      </c>
      <c r="AG905" s="84">
        <v>0.0</v>
      </c>
      <c r="AH905" s="84">
        <v>0.0</v>
      </c>
      <c r="AI905" s="84">
        <v>0.0</v>
      </c>
      <c r="AJ905" s="84">
        <v>0.0</v>
      </c>
      <c r="AK905" s="84">
        <v>0.0</v>
      </c>
      <c r="AL905" s="84">
        <v>0.0</v>
      </c>
      <c r="AM905" s="84">
        <v>0.0</v>
      </c>
      <c r="AN905" s="93">
        <f t="shared" si="1"/>
        <v>0</v>
      </c>
      <c r="AO905" s="84">
        <f t="shared" si="2"/>
        <v>0</v>
      </c>
    </row>
    <row r="906" ht="12.75" customHeight="1">
      <c r="A906" s="84" t="s">
        <v>3947</v>
      </c>
      <c r="B906" s="84">
        <v>0.0</v>
      </c>
      <c r="C906" s="84">
        <v>0.0</v>
      </c>
      <c r="D906" s="84">
        <v>0.0</v>
      </c>
      <c r="E906" s="84">
        <v>0.0</v>
      </c>
      <c r="F906" s="84">
        <v>0.0</v>
      </c>
      <c r="G906" s="84">
        <v>0.0</v>
      </c>
      <c r="H906" s="84">
        <v>4.0</v>
      </c>
      <c r="I906" s="91">
        <v>0.0</v>
      </c>
      <c r="J906" s="84">
        <v>0.0</v>
      </c>
      <c r="K906" s="84">
        <v>0.0</v>
      </c>
      <c r="L906" s="84">
        <v>0.0</v>
      </c>
      <c r="M906" s="84">
        <v>0.0</v>
      </c>
      <c r="N906" s="84">
        <v>0.0</v>
      </c>
      <c r="O906" s="84">
        <v>0.0</v>
      </c>
      <c r="P906" s="84">
        <v>0.0</v>
      </c>
      <c r="Q906" s="84">
        <v>0.0</v>
      </c>
      <c r="R906" s="84">
        <v>0.0</v>
      </c>
      <c r="S906" s="84">
        <v>0.0</v>
      </c>
      <c r="T906" s="84">
        <v>0.0</v>
      </c>
      <c r="U906" s="84">
        <v>0.0</v>
      </c>
      <c r="V906" s="84">
        <v>0.0</v>
      </c>
      <c r="W906" s="84">
        <v>0.0</v>
      </c>
      <c r="X906" s="84">
        <v>0.0</v>
      </c>
      <c r="Y906" s="84">
        <v>0.0</v>
      </c>
      <c r="Z906" s="84">
        <v>0.0</v>
      </c>
      <c r="AA906" s="84">
        <v>0.0</v>
      </c>
      <c r="AB906" s="84">
        <v>6.0</v>
      </c>
      <c r="AC906" s="91">
        <v>0.0</v>
      </c>
      <c r="AD906" s="84">
        <v>0.0</v>
      </c>
      <c r="AE906" s="84">
        <v>0.0</v>
      </c>
      <c r="AF906" s="84">
        <v>0.0</v>
      </c>
      <c r="AG906" s="84">
        <v>0.0</v>
      </c>
      <c r="AH906" s="84">
        <v>0.0</v>
      </c>
      <c r="AI906" s="84">
        <v>0.0</v>
      </c>
      <c r="AJ906" s="84">
        <v>0.0</v>
      </c>
      <c r="AK906" s="84">
        <v>0.0</v>
      </c>
      <c r="AL906" s="84">
        <v>0.0</v>
      </c>
      <c r="AM906" s="84">
        <v>0.0</v>
      </c>
      <c r="AN906" s="93">
        <f t="shared" si="1"/>
        <v>0</v>
      </c>
      <c r="AO906" s="84">
        <f t="shared" si="2"/>
        <v>0</v>
      </c>
    </row>
    <row r="907" ht="12.75" customHeight="1">
      <c r="A907" s="84" t="s">
        <v>4577</v>
      </c>
      <c r="B907" s="84">
        <v>0.0</v>
      </c>
      <c r="C907" s="84">
        <v>0.0</v>
      </c>
      <c r="D907" s="84">
        <v>0.0</v>
      </c>
      <c r="E907" s="84">
        <v>0.0</v>
      </c>
      <c r="F907" s="84">
        <v>0.0</v>
      </c>
      <c r="G907" s="84">
        <v>0.0</v>
      </c>
      <c r="H907" s="84">
        <v>0.0</v>
      </c>
      <c r="I907" s="91">
        <v>0.0</v>
      </c>
      <c r="J907" s="84">
        <v>0.0</v>
      </c>
      <c r="K907" s="84">
        <v>0.0</v>
      </c>
      <c r="L907" s="84">
        <v>0.0</v>
      </c>
      <c r="M907" s="84">
        <v>0.0</v>
      </c>
      <c r="N907" s="84">
        <v>0.0</v>
      </c>
      <c r="O907" s="84">
        <v>0.0</v>
      </c>
      <c r="P907" s="84">
        <v>0.0</v>
      </c>
      <c r="Q907" s="84">
        <v>1.0</v>
      </c>
      <c r="R907" s="84">
        <v>0.0</v>
      </c>
      <c r="S907" s="84">
        <v>0.0</v>
      </c>
      <c r="T907" s="84">
        <v>0.0</v>
      </c>
      <c r="U907" s="84">
        <v>0.0</v>
      </c>
      <c r="V907" s="84">
        <v>0.0</v>
      </c>
      <c r="W907" s="84">
        <v>0.0</v>
      </c>
      <c r="X907" s="84">
        <v>0.0</v>
      </c>
      <c r="Y907" s="84">
        <v>0.0</v>
      </c>
      <c r="Z907" s="84">
        <v>0.0</v>
      </c>
      <c r="AA907" s="84">
        <v>0.0</v>
      </c>
      <c r="AB907" s="84">
        <v>0.0</v>
      </c>
      <c r="AC907" s="91">
        <v>0.0</v>
      </c>
      <c r="AD907" s="84">
        <v>0.0</v>
      </c>
      <c r="AE907" s="84">
        <v>0.0</v>
      </c>
      <c r="AF907" s="84">
        <v>0.0</v>
      </c>
      <c r="AG907" s="84">
        <v>0.0</v>
      </c>
      <c r="AH907" s="84">
        <v>0.0</v>
      </c>
      <c r="AI907" s="84">
        <v>0.0</v>
      </c>
      <c r="AJ907" s="84">
        <v>0.0</v>
      </c>
      <c r="AK907" s="84">
        <v>0.0</v>
      </c>
      <c r="AL907" s="84">
        <v>0.0</v>
      </c>
      <c r="AM907" s="84">
        <v>0.0</v>
      </c>
      <c r="AN907" s="93">
        <f t="shared" si="1"/>
        <v>0</v>
      </c>
      <c r="AO907" s="84">
        <f t="shared" si="2"/>
        <v>1</v>
      </c>
    </row>
    <row r="908" ht="12.75" customHeight="1">
      <c r="A908" s="84" t="s">
        <v>4573</v>
      </c>
      <c r="B908" s="84">
        <v>0.0</v>
      </c>
      <c r="C908" s="84">
        <v>0.0</v>
      </c>
      <c r="D908" s="84">
        <v>0.0</v>
      </c>
      <c r="E908" s="84">
        <v>0.0</v>
      </c>
      <c r="F908" s="84">
        <v>0.0</v>
      </c>
      <c r="G908" s="84">
        <v>0.0</v>
      </c>
      <c r="H908" s="84">
        <v>0.0</v>
      </c>
      <c r="I908" s="91">
        <v>0.0</v>
      </c>
      <c r="J908" s="84">
        <v>0.0</v>
      </c>
      <c r="K908" s="84">
        <v>0.0</v>
      </c>
      <c r="L908" s="84">
        <v>0.0</v>
      </c>
      <c r="M908" s="84">
        <v>0.0</v>
      </c>
      <c r="N908" s="84">
        <v>0.0</v>
      </c>
      <c r="O908" s="84">
        <v>0.0</v>
      </c>
      <c r="P908" s="84">
        <v>0.0</v>
      </c>
      <c r="Q908" s="84">
        <v>1.0</v>
      </c>
      <c r="R908" s="84">
        <v>0.0</v>
      </c>
      <c r="S908" s="84">
        <v>0.0</v>
      </c>
      <c r="T908" s="84">
        <v>0.0</v>
      </c>
      <c r="U908" s="84">
        <v>0.0</v>
      </c>
      <c r="V908" s="84">
        <v>0.0</v>
      </c>
      <c r="W908" s="84">
        <v>0.0</v>
      </c>
      <c r="X908" s="84">
        <v>0.0</v>
      </c>
      <c r="Y908" s="84">
        <v>0.0</v>
      </c>
      <c r="Z908" s="84">
        <v>0.0</v>
      </c>
      <c r="AA908" s="84">
        <v>0.0</v>
      </c>
      <c r="AB908" s="84">
        <v>0.0</v>
      </c>
      <c r="AC908" s="91">
        <v>0.0</v>
      </c>
      <c r="AD908" s="84">
        <v>0.0</v>
      </c>
      <c r="AE908" s="84">
        <v>0.0</v>
      </c>
      <c r="AF908" s="84">
        <v>0.0</v>
      </c>
      <c r="AG908" s="84">
        <v>0.0</v>
      </c>
      <c r="AH908" s="84">
        <v>0.0</v>
      </c>
      <c r="AI908" s="84">
        <v>0.0</v>
      </c>
      <c r="AJ908" s="84">
        <v>0.0</v>
      </c>
      <c r="AK908" s="84">
        <v>0.0</v>
      </c>
      <c r="AL908" s="84">
        <v>0.0</v>
      </c>
      <c r="AM908" s="84">
        <v>0.0</v>
      </c>
      <c r="AN908" s="93">
        <f t="shared" si="1"/>
        <v>0</v>
      </c>
      <c r="AO908" s="84">
        <f t="shared" si="2"/>
        <v>1</v>
      </c>
    </row>
    <row r="909" ht="12.75" customHeight="1">
      <c r="A909" s="84" t="s">
        <v>3782</v>
      </c>
      <c r="B909" s="84">
        <v>0.0</v>
      </c>
      <c r="C909" s="84">
        <v>0.0</v>
      </c>
      <c r="D909" s="84">
        <v>0.0</v>
      </c>
      <c r="E909" s="84">
        <v>0.0</v>
      </c>
      <c r="F909" s="84">
        <v>0.0</v>
      </c>
      <c r="G909" s="84">
        <v>4.0</v>
      </c>
      <c r="H909" s="84">
        <v>2.0</v>
      </c>
      <c r="I909" s="91">
        <v>0.0</v>
      </c>
      <c r="J909" s="84">
        <v>0.0</v>
      </c>
      <c r="K909" s="84">
        <v>0.0</v>
      </c>
      <c r="L909" s="84">
        <v>0.0</v>
      </c>
      <c r="M909" s="84">
        <v>0.0</v>
      </c>
      <c r="N909" s="84">
        <v>0.0</v>
      </c>
      <c r="O909" s="84">
        <v>0.0</v>
      </c>
      <c r="P909" s="84">
        <v>0.0</v>
      </c>
      <c r="Q909" s="84">
        <v>0.0</v>
      </c>
      <c r="R909" s="84">
        <v>0.0</v>
      </c>
      <c r="S909" s="84">
        <v>0.0</v>
      </c>
      <c r="T909" s="84">
        <v>0.0</v>
      </c>
      <c r="U909" s="84">
        <v>0.0</v>
      </c>
      <c r="V909" s="84">
        <v>0.0</v>
      </c>
      <c r="W909" s="84">
        <v>0.0</v>
      </c>
      <c r="X909" s="84">
        <v>0.0</v>
      </c>
      <c r="Y909" s="84">
        <v>0.0</v>
      </c>
      <c r="Z909" s="84">
        <v>0.0</v>
      </c>
      <c r="AA909" s="84">
        <v>7.0</v>
      </c>
      <c r="AB909" s="84">
        <v>4.0</v>
      </c>
      <c r="AC909" s="91">
        <v>0.0</v>
      </c>
      <c r="AD909" s="84">
        <v>0.0</v>
      </c>
      <c r="AE909" s="84">
        <v>0.0</v>
      </c>
      <c r="AF909" s="84">
        <v>0.0</v>
      </c>
      <c r="AG909" s="84">
        <v>0.0</v>
      </c>
      <c r="AH909" s="84">
        <v>0.0</v>
      </c>
      <c r="AI909" s="84">
        <v>0.0</v>
      </c>
      <c r="AJ909" s="84">
        <v>0.0</v>
      </c>
      <c r="AK909" s="84">
        <v>0.0</v>
      </c>
      <c r="AL909" s="84">
        <v>0.0</v>
      </c>
      <c r="AM909" s="84">
        <v>0.0</v>
      </c>
      <c r="AN909" s="93">
        <f t="shared" si="1"/>
        <v>0</v>
      </c>
      <c r="AO909" s="84">
        <f t="shared" si="2"/>
        <v>0</v>
      </c>
    </row>
    <row r="910" ht="12.75" customHeight="1">
      <c r="A910" s="84" t="s">
        <v>4454</v>
      </c>
      <c r="B910" s="84">
        <v>0.0</v>
      </c>
      <c r="C910" s="84">
        <v>0.0</v>
      </c>
      <c r="D910" s="84">
        <v>0.0</v>
      </c>
      <c r="E910" s="84">
        <v>0.0</v>
      </c>
      <c r="F910" s="84">
        <v>0.0</v>
      </c>
      <c r="G910" s="84">
        <v>0.0</v>
      </c>
      <c r="H910" s="84">
        <v>0.0</v>
      </c>
      <c r="I910" s="91">
        <v>0.0</v>
      </c>
      <c r="J910" s="84">
        <v>0.0</v>
      </c>
      <c r="K910" s="84">
        <v>0.0</v>
      </c>
      <c r="L910" s="84">
        <v>0.0</v>
      </c>
      <c r="M910" s="84">
        <v>0.0</v>
      </c>
      <c r="N910" s="84">
        <v>0.0</v>
      </c>
      <c r="O910" s="84">
        <v>0.0</v>
      </c>
      <c r="P910" s="84">
        <v>0.0</v>
      </c>
      <c r="Q910" s="84">
        <v>0.0</v>
      </c>
      <c r="R910" s="84">
        <v>0.0</v>
      </c>
      <c r="S910" s="84">
        <v>0.0</v>
      </c>
      <c r="T910" s="84">
        <v>0.0</v>
      </c>
      <c r="U910" s="84">
        <v>0.0</v>
      </c>
      <c r="V910" s="84">
        <v>0.0</v>
      </c>
      <c r="W910" s="84">
        <v>0.0</v>
      </c>
      <c r="X910" s="84">
        <v>0.0</v>
      </c>
      <c r="Y910" s="84">
        <v>0.0</v>
      </c>
      <c r="Z910" s="84">
        <v>0.0</v>
      </c>
      <c r="AA910" s="84">
        <v>0.0</v>
      </c>
      <c r="AB910" s="84">
        <v>0.0</v>
      </c>
      <c r="AC910" s="91">
        <v>0.0</v>
      </c>
      <c r="AD910" s="84">
        <v>1.0</v>
      </c>
      <c r="AE910" s="84">
        <v>0.0</v>
      </c>
      <c r="AF910" s="84">
        <v>0.0</v>
      </c>
      <c r="AG910" s="84">
        <v>0.0</v>
      </c>
      <c r="AH910" s="84">
        <v>0.0</v>
      </c>
      <c r="AI910" s="84">
        <v>0.0</v>
      </c>
      <c r="AJ910" s="84">
        <v>0.0</v>
      </c>
      <c r="AK910" s="84">
        <v>0.0</v>
      </c>
      <c r="AL910" s="84">
        <v>0.0</v>
      </c>
      <c r="AM910" s="84">
        <v>0.0</v>
      </c>
      <c r="AN910" s="93">
        <f t="shared" si="1"/>
        <v>0</v>
      </c>
      <c r="AO910" s="84">
        <f t="shared" si="2"/>
        <v>1</v>
      </c>
    </row>
    <row r="911" ht="12.75" customHeight="1">
      <c r="A911" s="84" t="s">
        <v>4526</v>
      </c>
      <c r="B911" s="84">
        <v>0.0</v>
      </c>
      <c r="C911" s="84">
        <v>0.0</v>
      </c>
      <c r="D911" s="84">
        <v>0.0</v>
      </c>
      <c r="E911" s="84">
        <v>0.0</v>
      </c>
      <c r="F911" s="84">
        <v>0.0</v>
      </c>
      <c r="G911" s="84">
        <v>0.0</v>
      </c>
      <c r="H911" s="84">
        <v>0.0</v>
      </c>
      <c r="I911" s="91">
        <v>0.0</v>
      </c>
      <c r="J911" s="84">
        <v>0.0</v>
      </c>
      <c r="K911" s="84">
        <v>0.0</v>
      </c>
      <c r="L911" s="84">
        <v>0.0</v>
      </c>
      <c r="M911" s="84">
        <v>0.0</v>
      </c>
      <c r="N911" s="84">
        <v>0.0</v>
      </c>
      <c r="O911" s="84">
        <v>1.0</v>
      </c>
      <c r="P911" s="84">
        <v>0.0</v>
      </c>
      <c r="Q911" s="84">
        <v>0.0</v>
      </c>
      <c r="R911" s="84">
        <v>0.0</v>
      </c>
      <c r="S911" s="84">
        <v>0.0</v>
      </c>
      <c r="T911" s="84">
        <v>0.0</v>
      </c>
      <c r="U911" s="84">
        <v>0.0</v>
      </c>
      <c r="V911" s="84">
        <v>0.0</v>
      </c>
      <c r="W911" s="84">
        <v>0.0</v>
      </c>
      <c r="X911" s="84">
        <v>0.0</v>
      </c>
      <c r="Y911" s="84">
        <v>0.0</v>
      </c>
      <c r="Z911" s="84">
        <v>0.0</v>
      </c>
      <c r="AA911" s="84">
        <v>0.0</v>
      </c>
      <c r="AB911" s="84">
        <v>0.0</v>
      </c>
      <c r="AC911" s="91">
        <v>0.0</v>
      </c>
      <c r="AD911" s="84">
        <v>0.0</v>
      </c>
      <c r="AE911" s="84">
        <v>0.0</v>
      </c>
      <c r="AF911" s="84">
        <v>0.0</v>
      </c>
      <c r="AG911" s="84">
        <v>0.0</v>
      </c>
      <c r="AH911" s="84">
        <v>0.0</v>
      </c>
      <c r="AI911" s="84">
        <v>0.0</v>
      </c>
      <c r="AJ911" s="84">
        <v>0.0</v>
      </c>
      <c r="AK911" s="84">
        <v>0.0</v>
      </c>
      <c r="AL911" s="84">
        <v>0.0</v>
      </c>
      <c r="AM911" s="84">
        <v>0.0</v>
      </c>
      <c r="AN911" s="93">
        <f t="shared" si="1"/>
        <v>0</v>
      </c>
      <c r="AO911" s="84">
        <f t="shared" si="2"/>
        <v>1</v>
      </c>
    </row>
    <row r="912" ht="12.75" customHeight="1">
      <c r="A912" s="84" t="s">
        <v>3579</v>
      </c>
      <c r="B912" s="84">
        <v>0.0</v>
      </c>
      <c r="C912" s="84">
        <v>0.0</v>
      </c>
      <c r="D912" s="84">
        <v>0.0</v>
      </c>
      <c r="E912" s="84">
        <v>4.0</v>
      </c>
      <c r="F912" s="84">
        <v>1.0</v>
      </c>
      <c r="G912" s="84">
        <v>0.0</v>
      </c>
      <c r="H912" s="84">
        <v>0.0</v>
      </c>
      <c r="I912" s="91">
        <v>0.0</v>
      </c>
      <c r="J912" s="84">
        <v>0.0</v>
      </c>
      <c r="K912" s="84">
        <v>0.0</v>
      </c>
      <c r="L912" s="84">
        <v>0.0</v>
      </c>
      <c r="M912" s="84">
        <v>0.0</v>
      </c>
      <c r="N912" s="84">
        <v>0.0</v>
      </c>
      <c r="O912" s="84">
        <v>0.0</v>
      </c>
      <c r="P912" s="84">
        <v>0.0</v>
      </c>
      <c r="Q912" s="84">
        <v>0.0</v>
      </c>
      <c r="R912" s="84">
        <v>0.0</v>
      </c>
      <c r="S912" s="84">
        <v>0.0</v>
      </c>
      <c r="T912" s="84">
        <v>0.0</v>
      </c>
      <c r="U912" s="84">
        <v>0.0</v>
      </c>
      <c r="V912" s="84">
        <v>0.0</v>
      </c>
      <c r="W912" s="84">
        <v>0.0</v>
      </c>
      <c r="X912" s="84">
        <v>0.0</v>
      </c>
      <c r="Y912" s="84">
        <v>6.0</v>
      </c>
      <c r="Z912" s="84">
        <v>0.0</v>
      </c>
      <c r="AA912" s="84">
        <v>0.0</v>
      </c>
      <c r="AB912" s="84">
        <v>0.0</v>
      </c>
      <c r="AC912" s="91">
        <v>0.0</v>
      </c>
      <c r="AD912" s="84">
        <v>0.0</v>
      </c>
      <c r="AE912" s="84">
        <v>0.0</v>
      </c>
      <c r="AF912" s="84">
        <v>0.0</v>
      </c>
      <c r="AG912" s="84">
        <v>0.0</v>
      </c>
      <c r="AH912" s="84">
        <v>0.0</v>
      </c>
      <c r="AI912" s="84">
        <v>0.0</v>
      </c>
      <c r="AJ912" s="84">
        <v>0.0</v>
      </c>
      <c r="AK912" s="84">
        <v>0.0</v>
      </c>
      <c r="AL912" s="84">
        <v>0.0</v>
      </c>
      <c r="AM912" s="84">
        <v>0.0</v>
      </c>
      <c r="AN912" s="93">
        <f t="shared" si="1"/>
        <v>0</v>
      </c>
      <c r="AO912" s="84">
        <f t="shared" si="2"/>
        <v>0</v>
      </c>
    </row>
    <row r="913" ht="12.75" customHeight="1">
      <c r="A913" s="84" t="s">
        <v>3413</v>
      </c>
      <c r="B913" s="84">
        <v>0.0</v>
      </c>
      <c r="C913" s="84">
        <v>0.0</v>
      </c>
      <c r="D913" s="84">
        <v>5.0</v>
      </c>
      <c r="E913" s="84">
        <v>1.0</v>
      </c>
      <c r="F913" s="84">
        <v>0.0</v>
      </c>
      <c r="G913" s="84">
        <v>0.0</v>
      </c>
      <c r="H913" s="84">
        <v>0.0</v>
      </c>
      <c r="I913" s="91">
        <v>0.0</v>
      </c>
      <c r="J913" s="84">
        <v>0.0</v>
      </c>
      <c r="K913" s="84">
        <v>0.0</v>
      </c>
      <c r="L913" s="84">
        <v>0.0</v>
      </c>
      <c r="M913" s="84">
        <v>0.0</v>
      </c>
      <c r="N913" s="84">
        <v>0.0</v>
      </c>
      <c r="O913" s="84">
        <v>0.0</v>
      </c>
      <c r="P913" s="84">
        <v>0.0</v>
      </c>
      <c r="Q913" s="84">
        <v>0.0</v>
      </c>
      <c r="R913" s="84">
        <v>0.0</v>
      </c>
      <c r="S913" s="84">
        <v>0.0</v>
      </c>
      <c r="T913" s="84">
        <v>0.0</v>
      </c>
      <c r="U913" s="84">
        <v>0.0</v>
      </c>
      <c r="V913" s="84">
        <v>0.0</v>
      </c>
      <c r="W913" s="84">
        <v>0.0</v>
      </c>
      <c r="X913" s="84">
        <v>7.0</v>
      </c>
      <c r="Y913" s="84">
        <v>3.0</v>
      </c>
      <c r="Z913" s="84">
        <v>0.0</v>
      </c>
      <c r="AA913" s="84">
        <v>0.0</v>
      </c>
      <c r="AB913" s="84">
        <v>0.0</v>
      </c>
      <c r="AC913" s="91">
        <v>0.0</v>
      </c>
      <c r="AD913" s="84">
        <v>0.0</v>
      </c>
      <c r="AE913" s="84">
        <v>0.0</v>
      </c>
      <c r="AF913" s="84">
        <v>0.0</v>
      </c>
      <c r="AG913" s="84">
        <v>0.0</v>
      </c>
      <c r="AH913" s="84">
        <v>0.0</v>
      </c>
      <c r="AI913" s="84">
        <v>0.0</v>
      </c>
      <c r="AJ913" s="84">
        <v>0.0</v>
      </c>
      <c r="AK913" s="84">
        <v>0.0</v>
      </c>
      <c r="AL913" s="84">
        <v>0.0</v>
      </c>
      <c r="AM913" s="84">
        <v>0.0</v>
      </c>
      <c r="AN913" s="93">
        <f t="shared" si="1"/>
        <v>0</v>
      </c>
      <c r="AO913" s="84">
        <f t="shared" si="2"/>
        <v>0</v>
      </c>
    </row>
    <row r="914" ht="12.75" customHeight="1">
      <c r="A914" s="84" t="s">
        <v>3460</v>
      </c>
      <c r="B914" s="84">
        <v>0.0</v>
      </c>
      <c r="C914" s="84">
        <v>0.0</v>
      </c>
      <c r="D914" s="84">
        <v>0.0</v>
      </c>
      <c r="E914" s="84">
        <v>5.0</v>
      </c>
      <c r="F914" s="84">
        <v>0.0</v>
      </c>
      <c r="G914" s="84">
        <v>0.0</v>
      </c>
      <c r="H914" s="84">
        <v>0.0</v>
      </c>
      <c r="I914" s="91">
        <v>0.0</v>
      </c>
      <c r="J914" s="84">
        <v>0.0</v>
      </c>
      <c r="K914" s="84">
        <v>0.0</v>
      </c>
      <c r="L914" s="84">
        <v>0.0</v>
      </c>
      <c r="M914" s="84">
        <v>0.0</v>
      </c>
      <c r="N914" s="84">
        <v>0.0</v>
      </c>
      <c r="O914" s="84">
        <v>0.0</v>
      </c>
      <c r="P914" s="84">
        <v>0.0</v>
      </c>
      <c r="Q914" s="84">
        <v>0.0</v>
      </c>
      <c r="R914" s="84">
        <v>0.0</v>
      </c>
      <c r="S914" s="84">
        <v>0.0</v>
      </c>
      <c r="T914" s="84">
        <v>0.0</v>
      </c>
      <c r="U914" s="84">
        <v>0.0</v>
      </c>
      <c r="V914" s="84">
        <v>0.0</v>
      </c>
      <c r="W914" s="84">
        <v>0.0</v>
      </c>
      <c r="X914" s="84">
        <v>0.0</v>
      </c>
      <c r="Y914" s="84">
        <v>6.0</v>
      </c>
      <c r="Z914" s="84">
        <v>1.0</v>
      </c>
      <c r="AA914" s="84">
        <v>0.0</v>
      </c>
      <c r="AB914" s="84">
        <v>0.0</v>
      </c>
      <c r="AC914" s="91">
        <v>0.0</v>
      </c>
      <c r="AD914" s="84">
        <v>0.0</v>
      </c>
      <c r="AE914" s="84">
        <v>0.0</v>
      </c>
      <c r="AF914" s="84">
        <v>0.0</v>
      </c>
      <c r="AG914" s="84">
        <v>0.0</v>
      </c>
      <c r="AH914" s="84">
        <v>0.0</v>
      </c>
      <c r="AI914" s="84">
        <v>0.0</v>
      </c>
      <c r="AJ914" s="84">
        <v>0.0</v>
      </c>
      <c r="AK914" s="84">
        <v>0.0</v>
      </c>
      <c r="AL914" s="84">
        <v>0.0</v>
      </c>
      <c r="AM914" s="84">
        <v>0.0</v>
      </c>
      <c r="AN914" s="93">
        <f t="shared" si="1"/>
        <v>0</v>
      </c>
      <c r="AO914" s="84">
        <f t="shared" si="2"/>
        <v>0</v>
      </c>
    </row>
    <row r="915" ht="12.75" customHeight="1">
      <c r="A915" s="84" t="s">
        <v>3325</v>
      </c>
      <c r="B915" s="84">
        <v>0.0</v>
      </c>
      <c r="C915" s="84">
        <v>0.0</v>
      </c>
      <c r="D915" s="84">
        <v>5.0</v>
      </c>
      <c r="E915" s="84">
        <v>3.0</v>
      </c>
      <c r="F915" s="84">
        <v>0.0</v>
      </c>
      <c r="G915" s="84">
        <v>0.0</v>
      </c>
      <c r="H915" s="84">
        <v>0.0</v>
      </c>
      <c r="I915" s="91">
        <v>0.0</v>
      </c>
      <c r="J915" s="84">
        <v>0.0</v>
      </c>
      <c r="K915" s="84">
        <v>0.0</v>
      </c>
      <c r="L915" s="84">
        <v>0.0</v>
      </c>
      <c r="M915" s="84">
        <v>0.0</v>
      </c>
      <c r="N915" s="84">
        <v>0.0</v>
      </c>
      <c r="O915" s="84">
        <v>0.0</v>
      </c>
      <c r="P915" s="84">
        <v>0.0</v>
      </c>
      <c r="Q915" s="84">
        <v>0.0</v>
      </c>
      <c r="R915" s="84">
        <v>0.0</v>
      </c>
      <c r="S915" s="84">
        <v>0.0</v>
      </c>
      <c r="T915" s="84">
        <v>0.0</v>
      </c>
      <c r="U915" s="84">
        <v>0.0</v>
      </c>
      <c r="V915" s="84">
        <v>0.0</v>
      </c>
      <c r="W915" s="84">
        <v>0.0</v>
      </c>
      <c r="X915" s="84">
        <v>6.0</v>
      </c>
      <c r="Y915" s="84">
        <v>2.0</v>
      </c>
      <c r="Z915" s="84">
        <v>0.0</v>
      </c>
      <c r="AA915" s="84">
        <v>0.0</v>
      </c>
      <c r="AB915" s="84">
        <v>0.0</v>
      </c>
      <c r="AC915" s="91">
        <v>0.0</v>
      </c>
      <c r="AD915" s="84">
        <v>0.0</v>
      </c>
      <c r="AE915" s="84">
        <v>0.0</v>
      </c>
      <c r="AF915" s="84">
        <v>0.0</v>
      </c>
      <c r="AG915" s="84">
        <v>0.0</v>
      </c>
      <c r="AH915" s="84">
        <v>0.0</v>
      </c>
      <c r="AI915" s="84">
        <v>0.0</v>
      </c>
      <c r="AJ915" s="84">
        <v>0.0</v>
      </c>
      <c r="AK915" s="84">
        <v>0.0</v>
      </c>
      <c r="AL915" s="84">
        <v>0.0</v>
      </c>
      <c r="AM915" s="84">
        <v>0.0</v>
      </c>
      <c r="AN915" s="93">
        <f t="shared" si="1"/>
        <v>0</v>
      </c>
      <c r="AO915" s="84">
        <f t="shared" si="2"/>
        <v>0</v>
      </c>
    </row>
    <row r="916" ht="12.75" customHeight="1">
      <c r="A916" s="84" t="s">
        <v>2963</v>
      </c>
      <c r="B916" s="84">
        <v>2.0</v>
      </c>
      <c r="C916" s="84">
        <v>3.0</v>
      </c>
      <c r="D916" s="84">
        <v>0.0</v>
      </c>
      <c r="E916" s="84">
        <v>0.0</v>
      </c>
      <c r="F916" s="84">
        <v>0.0</v>
      </c>
      <c r="G916" s="84">
        <v>0.0</v>
      </c>
      <c r="H916" s="84">
        <v>0.0</v>
      </c>
      <c r="I916" s="91">
        <v>0.0</v>
      </c>
      <c r="J916" s="84">
        <v>0.0</v>
      </c>
      <c r="K916" s="84">
        <v>0.0</v>
      </c>
      <c r="L916" s="84">
        <v>0.0</v>
      </c>
      <c r="M916" s="84">
        <v>0.0</v>
      </c>
      <c r="N916" s="84">
        <v>0.0</v>
      </c>
      <c r="O916" s="84">
        <v>0.0</v>
      </c>
      <c r="P916" s="84">
        <v>0.0</v>
      </c>
      <c r="Q916" s="84">
        <v>0.0</v>
      </c>
      <c r="R916" s="84">
        <v>0.0</v>
      </c>
      <c r="S916" s="84">
        <v>0.0</v>
      </c>
      <c r="T916" s="84">
        <v>0.0</v>
      </c>
      <c r="U916" s="84">
        <v>0.0</v>
      </c>
      <c r="V916" s="84">
        <v>4.0</v>
      </c>
      <c r="W916" s="84">
        <v>2.0</v>
      </c>
      <c r="X916" s="84">
        <v>0.0</v>
      </c>
      <c r="Y916" s="84">
        <v>0.0</v>
      </c>
      <c r="Z916" s="84">
        <v>0.0</v>
      </c>
      <c r="AA916" s="84">
        <v>0.0</v>
      </c>
      <c r="AB916" s="84">
        <v>0.0</v>
      </c>
      <c r="AC916" s="91">
        <v>0.0</v>
      </c>
      <c r="AD916" s="84">
        <v>0.0</v>
      </c>
      <c r="AE916" s="84">
        <v>0.0</v>
      </c>
      <c r="AF916" s="84">
        <v>0.0</v>
      </c>
      <c r="AG916" s="84">
        <v>0.0</v>
      </c>
      <c r="AH916" s="84">
        <v>0.0</v>
      </c>
      <c r="AI916" s="84">
        <v>0.0</v>
      </c>
      <c r="AJ916" s="84">
        <v>0.0</v>
      </c>
      <c r="AK916" s="84">
        <v>0.0</v>
      </c>
      <c r="AL916" s="84">
        <v>0.0</v>
      </c>
      <c r="AM916" s="84">
        <v>0.0</v>
      </c>
      <c r="AN916" s="93">
        <f t="shared" si="1"/>
        <v>0</v>
      </c>
      <c r="AO916" s="84">
        <f t="shared" si="2"/>
        <v>0</v>
      </c>
    </row>
    <row r="917" ht="12.75" customHeight="1">
      <c r="A917" s="84" t="s">
        <v>3505</v>
      </c>
      <c r="B917" s="84">
        <v>0.0</v>
      </c>
      <c r="C917" s="84">
        <v>0.0</v>
      </c>
      <c r="D917" s="84">
        <v>0.0</v>
      </c>
      <c r="E917" s="84">
        <v>5.0</v>
      </c>
      <c r="F917" s="84">
        <v>1.0</v>
      </c>
      <c r="G917" s="84">
        <v>0.0</v>
      </c>
      <c r="H917" s="84">
        <v>0.0</v>
      </c>
      <c r="I917" s="91">
        <v>0.0</v>
      </c>
      <c r="J917" s="84">
        <v>0.0</v>
      </c>
      <c r="K917" s="84">
        <v>0.0</v>
      </c>
      <c r="L917" s="84">
        <v>0.0</v>
      </c>
      <c r="M917" s="84">
        <v>0.0</v>
      </c>
      <c r="N917" s="84">
        <v>0.0</v>
      </c>
      <c r="O917" s="84">
        <v>0.0</v>
      </c>
      <c r="P917" s="84">
        <v>0.0</v>
      </c>
      <c r="Q917" s="84">
        <v>0.0</v>
      </c>
      <c r="R917" s="84">
        <v>0.0</v>
      </c>
      <c r="S917" s="84">
        <v>0.0</v>
      </c>
      <c r="T917" s="84">
        <v>0.0</v>
      </c>
      <c r="U917" s="84">
        <v>0.0</v>
      </c>
      <c r="V917" s="84">
        <v>0.0</v>
      </c>
      <c r="W917" s="84">
        <v>0.0</v>
      </c>
      <c r="X917" s="84">
        <v>0.0</v>
      </c>
      <c r="Y917" s="84">
        <v>6.0</v>
      </c>
      <c r="Z917" s="84">
        <v>3.0</v>
      </c>
      <c r="AA917" s="84">
        <v>0.0</v>
      </c>
      <c r="AB917" s="84">
        <v>0.0</v>
      </c>
      <c r="AC917" s="91">
        <v>0.0</v>
      </c>
      <c r="AD917" s="84">
        <v>0.0</v>
      </c>
      <c r="AE917" s="84">
        <v>0.0</v>
      </c>
      <c r="AF917" s="84">
        <v>0.0</v>
      </c>
      <c r="AG917" s="84">
        <v>0.0</v>
      </c>
      <c r="AH917" s="84">
        <v>0.0</v>
      </c>
      <c r="AI917" s="84">
        <v>0.0</v>
      </c>
      <c r="AJ917" s="84">
        <v>0.0</v>
      </c>
      <c r="AK917" s="84">
        <v>0.0</v>
      </c>
      <c r="AL917" s="84">
        <v>0.0</v>
      </c>
      <c r="AM917" s="84">
        <v>0.0</v>
      </c>
      <c r="AN917" s="93">
        <f t="shared" si="1"/>
        <v>0</v>
      </c>
      <c r="AO917" s="84">
        <f t="shared" si="2"/>
        <v>0</v>
      </c>
    </row>
    <row r="918" ht="12.75" customHeight="1">
      <c r="A918" s="84" t="s">
        <v>4537</v>
      </c>
      <c r="B918" s="84">
        <v>0.0</v>
      </c>
      <c r="C918" s="84">
        <v>0.0</v>
      </c>
      <c r="D918" s="84">
        <v>0.0</v>
      </c>
      <c r="E918" s="84">
        <v>0.0</v>
      </c>
      <c r="F918" s="84">
        <v>0.0</v>
      </c>
      <c r="G918" s="84">
        <v>0.0</v>
      </c>
      <c r="H918" s="84">
        <v>0.0</v>
      </c>
      <c r="I918" s="91">
        <v>0.0</v>
      </c>
      <c r="J918" s="84">
        <v>0.0</v>
      </c>
      <c r="K918" s="84">
        <v>0.0</v>
      </c>
      <c r="L918" s="84">
        <v>0.0</v>
      </c>
      <c r="M918" s="84">
        <v>0.0</v>
      </c>
      <c r="N918" s="84">
        <v>0.0</v>
      </c>
      <c r="O918" s="84">
        <v>0.0</v>
      </c>
      <c r="P918" s="84">
        <v>0.0</v>
      </c>
      <c r="Q918" s="84">
        <v>0.0</v>
      </c>
      <c r="R918" s="84">
        <v>0.0</v>
      </c>
      <c r="S918" s="84">
        <v>0.0</v>
      </c>
      <c r="T918" s="84">
        <v>0.0</v>
      </c>
      <c r="U918" s="84">
        <v>0.0</v>
      </c>
      <c r="V918" s="84">
        <v>0.0</v>
      </c>
      <c r="W918" s="84">
        <v>0.0</v>
      </c>
      <c r="X918" s="84">
        <v>0.0</v>
      </c>
      <c r="Y918" s="84">
        <v>0.0</v>
      </c>
      <c r="Z918" s="84">
        <v>0.0</v>
      </c>
      <c r="AA918" s="84">
        <v>0.0</v>
      </c>
      <c r="AB918" s="84">
        <v>0.0</v>
      </c>
      <c r="AC918" s="91">
        <v>0.0</v>
      </c>
      <c r="AD918" s="84">
        <v>0.0</v>
      </c>
      <c r="AE918" s="84">
        <v>0.0</v>
      </c>
      <c r="AF918" s="84">
        <v>0.0</v>
      </c>
      <c r="AG918" s="84">
        <v>1.0</v>
      </c>
      <c r="AH918" s="84">
        <v>0.0</v>
      </c>
      <c r="AI918" s="84">
        <v>0.0</v>
      </c>
      <c r="AJ918" s="84">
        <v>0.0</v>
      </c>
      <c r="AK918" s="84">
        <v>0.0</v>
      </c>
      <c r="AL918" s="84">
        <v>0.0</v>
      </c>
      <c r="AM918" s="84">
        <v>0.0</v>
      </c>
      <c r="AN918" s="93">
        <f t="shared" si="1"/>
        <v>0</v>
      </c>
      <c r="AO918" s="84">
        <f t="shared" si="2"/>
        <v>1</v>
      </c>
    </row>
    <row r="919" ht="12.75" customHeight="1">
      <c r="A919" s="84" t="s">
        <v>4539</v>
      </c>
      <c r="B919" s="84">
        <v>0.0</v>
      </c>
      <c r="C919" s="84">
        <v>0.0</v>
      </c>
      <c r="D919" s="84">
        <v>0.0</v>
      </c>
      <c r="E919" s="84">
        <v>0.0</v>
      </c>
      <c r="F919" s="84">
        <v>0.0</v>
      </c>
      <c r="G919" s="84">
        <v>0.0</v>
      </c>
      <c r="H919" s="84">
        <v>0.0</v>
      </c>
      <c r="I919" s="91">
        <v>0.0</v>
      </c>
      <c r="J919" s="84">
        <v>0.0</v>
      </c>
      <c r="K919" s="84">
        <v>0.0</v>
      </c>
      <c r="L919" s="84">
        <v>0.0</v>
      </c>
      <c r="M919" s="84">
        <v>0.0</v>
      </c>
      <c r="N919" s="84">
        <v>0.0</v>
      </c>
      <c r="O919" s="84">
        <v>0.0</v>
      </c>
      <c r="P919" s="84">
        <v>0.0</v>
      </c>
      <c r="Q919" s="84">
        <v>0.0</v>
      </c>
      <c r="R919" s="84">
        <v>0.0</v>
      </c>
      <c r="S919" s="84">
        <v>0.0</v>
      </c>
      <c r="T919" s="84">
        <v>0.0</v>
      </c>
      <c r="U919" s="84">
        <v>0.0</v>
      </c>
      <c r="V919" s="84">
        <v>0.0</v>
      </c>
      <c r="W919" s="84">
        <v>0.0</v>
      </c>
      <c r="X919" s="84">
        <v>0.0</v>
      </c>
      <c r="Y919" s="84">
        <v>0.0</v>
      </c>
      <c r="Z919" s="84">
        <v>0.0</v>
      </c>
      <c r="AA919" s="84">
        <v>0.0</v>
      </c>
      <c r="AB919" s="84">
        <v>0.0</v>
      </c>
      <c r="AC919" s="91">
        <v>0.0</v>
      </c>
      <c r="AD919" s="84">
        <v>0.0</v>
      </c>
      <c r="AE919" s="84">
        <v>0.0</v>
      </c>
      <c r="AF919" s="84">
        <v>0.0</v>
      </c>
      <c r="AG919" s="84">
        <v>1.0</v>
      </c>
      <c r="AH919" s="84">
        <v>0.0</v>
      </c>
      <c r="AI919" s="84">
        <v>0.0</v>
      </c>
      <c r="AJ919" s="84">
        <v>0.0</v>
      </c>
      <c r="AK919" s="84">
        <v>0.0</v>
      </c>
      <c r="AL919" s="84">
        <v>0.0</v>
      </c>
      <c r="AM919" s="84">
        <v>0.0</v>
      </c>
      <c r="AN919" s="93">
        <f t="shared" si="1"/>
        <v>0</v>
      </c>
      <c r="AO919" s="84">
        <f t="shared" si="2"/>
        <v>1</v>
      </c>
    </row>
    <row r="920" ht="12.75" customHeight="1">
      <c r="A920" s="84" t="s">
        <v>3511</v>
      </c>
      <c r="B920" s="84">
        <v>0.0</v>
      </c>
      <c r="C920" s="84">
        <v>0.0</v>
      </c>
      <c r="D920" s="84">
        <v>0.0</v>
      </c>
      <c r="E920" s="84">
        <v>4.0</v>
      </c>
      <c r="F920" s="84">
        <v>1.0</v>
      </c>
      <c r="G920" s="84">
        <v>0.0</v>
      </c>
      <c r="H920" s="84">
        <v>0.0</v>
      </c>
      <c r="I920" s="91">
        <v>0.0</v>
      </c>
      <c r="J920" s="84">
        <v>0.0</v>
      </c>
      <c r="K920" s="84">
        <v>0.0</v>
      </c>
      <c r="L920" s="84">
        <v>0.0</v>
      </c>
      <c r="M920" s="84">
        <v>0.0</v>
      </c>
      <c r="N920" s="84">
        <v>0.0</v>
      </c>
      <c r="O920" s="84">
        <v>0.0</v>
      </c>
      <c r="P920" s="84">
        <v>0.0</v>
      </c>
      <c r="Q920" s="84">
        <v>0.0</v>
      </c>
      <c r="R920" s="84">
        <v>0.0</v>
      </c>
      <c r="S920" s="84">
        <v>0.0</v>
      </c>
      <c r="T920" s="84">
        <v>0.0</v>
      </c>
      <c r="U920" s="84">
        <v>0.0</v>
      </c>
      <c r="V920" s="84">
        <v>0.0</v>
      </c>
      <c r="W920" s="84">
        <v>0.0</v>
      </c>
      <c r="X920" s="84">
        <v>0.0</v>
      </c>
      <c r="Y920" s="84">
        <v>6.0</v>
      </c>
      <c r="Z920" s="84">
        <v>2.0</v>
      </c>
      <c r="AA920" s="84">
        <v>0.0</v>
      </c>
      <c r="AB920" s="84">
        <v>0.0</v>
      </c>
      <c r="AC920" s="91">
        <v>0.0</v>
      </c>
      <c r="AD920" s="84">
        <v>0.0</v>
      </c>
      <c r="AE920" s="84">
        <v>0.0</v>
      </c>
      <c r="AF920" s="84">
        <v>0.0</v>
      </c>
      <c r="AG920" s="84">
        <v>0.0</v>
      </c>
      <c r="AH920" s="84">
        <v>0.0</v>
      </c>
      <c r="AI920" s="84">
        <v>0.0</v>
      </c>
      <c r="AJ920" s="84">
        <v>0.0</v>
      </c>
      <c r="AK920" s="84">
        <v>0.0</v>
      </c>
      <c r="AL920" s="84">
        <v>0.0</v>
      </c>
      <c r="AM920" s="84">
        <v>0.0</v>
      </c>
      <c r="AN920" s="93">
        <f t="shared" si="1"/>
        <v>0</v>
      </c>
      <c r="AO920" s="84">
        <f t="shared" si="2"/>
        <v>0</v>
      </c>
    </row>
    <row r="921" ht="12.75" customHeight="1">
      <c r="A921" s="84" t="s">
        <v>2884</v>
      </c>
      <c r="B921" s="84">
        <v>1.0</v>
      </c>
      <c r="C921" s="84">
        <v>0.0</v>
      </c>
      <c r="D921" s="84">
        <v>0.0</v>
      </c>
      <c r="E921" s="84">
        <v>0.0</v>
      </c>
      <c r="F921" s="84">
        <v>0.0</v>
      </c>
      <c r="G921" s="84">
        <v>0.0</v>
      </c>
      <c r="H921" s="84">
        <v>0.0</v>
      </c>
      <c r="I921" s="91">
        <v>0.0</v>
      </c>
      <c r="J921" s="84">
        <v>0.0</v>
      </c>
      <c r="K921" s="84">
        <v>0.0</v>
      </c>
      <c r="L921" s="84">
        <v>0.0</v>
      </c>
      <c r="M921" s="84">
        <v>0.0</v>
      </c>
      <c r="N921" s="84">
        <v>0.0</v>
      </c>
      <c r="O921" s="84">
        <v>0.0</v>
      </c>
      <c r="P921" s="84">
        <v>0.0</v>
      </c>
      <c r="Q921" s="84">
        <v>0.0</v>
      </c>
      <c r="R921" s="84">
        <v>0.0</v>
      </c>
      <c r="S921" s="84">
        <v>0.0</v>
      </c>
      <c r="T921" s="84">
        <v>0.0</v>
      </c>
      <c r="U921" s="84">
        <v>0.0</v>
      </c>
      <c r="V921" s="84">
        <v>2.0</v>
      </c>
      <c r="W921" s="84">
        <v>3.0</v>
      </c>
      <c r="X921" s="84">
        <v>0.0</v>
      </c>
      <c r="Y921" s="84">
        <v>0.0</v>
      </c>
      <c r="Z921" s="84">
        <v>0.0</v>
      </c>
      <c r="AA921" s="84">
        <v>0.0</v>
      </c>
      <c r="AB921" s="84">
        <v>0.0</v>
      </c>
      <c r="AC921" s="91">
        <v>0.0</v>
      </c>
      <c r="AD921" s="84">
        <v>0.0</v>
      </c>
      <c r="AE921" s="84">
        <v>0.0</v>
      </c>
      <c r="AF921" s="84">
        <v>0.0</v>
      </c>
      <c r="AG921" s="84">
        <v>0.0</v>
      </c>
      <c r="AH921" s="84">
        <v>0.0</v>
      </c>
      <c r="AI921" s="84">
        <v>0.0</v>
      </c>
      <c r="AJ921" s="84">
        <v>0.0</v>
      </c>
      <c r="AK921" s="84">
        <v>0.0</v>
      </c>
      <c r="AL921" s="84">
        <v>0.0</v>
      </c>
      <c r="AM921" s="84">
        <v>0.0</v>
      </c>
      <c r="AN921" s="93">
        <f t="shared" si="1"/>
        <v>0</v>
      </c>
      <c r="AO921" s="84">
        <f t="shared" si="2"/>
        <v>0</v>
      </c>
    </row>
    <row r="922" ht="12.75" customHeight="1">
      <c r="A922" s="84" t="s">
        <v>4542</v>
      </c>
      <c r="B922" s="84">
        <v>0.0</v>
      </c>
      <c r="C922" s="84">
        <v>0.0</v>
      </c>
      <c r="D922" s="84">
        <v>0.0</v>
      </c>
      <c r="E922" s="84">
        <v>0.0</v>
      </c>
      <c r="F922" s="84">
        <v>0.0</v>
      </c>
      <c r="G922" s="84">
        <v>0.0</v>
      </c>
      <c r="H922" s="84">
        <v>0.0</v>
      </c>
      <c r="I922" s="91">
        <v>0.0</v>
      </c>
      <c r="J922" s="84">
        <v>0.0</v>
      </c>
      <c r="K922" s="84">
        <v>0.0</v>
      </c>
      <c r="L922" s="84">
        <v>0.0</v>
      </c>
      <c r="M922" s="84">
        <v>0.0</v>
      </c>
      <c r="N922" s="84">
        <v>0.0</v>
      </c>
      <c r="O922" s="84">
        <v>0.0</v>
      </c>
      <c r="P922" s="84">
        <v>1.0</v>
      </c>
      <c r="Q922" s="84">
        <v>0.0</v>
      </c>
      <c r="R922" s="84">
        <v>0.0</v>
      </c>
      <c r="S922" s="84">
        <v>0.0</v>
      </c>
      <c r="T922" s="84">
        <v>0.0</v>
      </c>
      <c r="U922" s="84">
        <v>0.0</v>
      </c>
      <c r="V922" s="84">
        <v>0.0</v>
      </c>
      <c r="W922" s="84">
        <v>0.0</v>
      </c>
      <c r="X922" s="84">
        <v>0.0</v>
      </c>
      <c r="Y922" s="84">
        <v>0.0</v>
      </c>
      <c r="Z922" s="84">
        <v>0.0</v>
      </c>
      <c r="AA922" s="84">
        <v>0.0</v>
      </c>
      <c r="AB922" s="84">
        <v>0.0</v>
      </c>
      <c r="AC922" s="91">
        <v>0.0</v>
      </c>
      <c r="AD922" s="84">
        <v>0.0</v>
      </c>
      <c r="AE922" s="84">
        <v>0.0</v>
      </c>
      <c r="AF922" s="84">
        <v>0.0</v>
      </c>
      <c r="AG922" s="84">
        <v>0.0</v>
      </c>
      <c r="AH922" s="84">
        <v>0.0</v>
      </c>
      <c r="AI922" s="84">
        <v>0.0</v>
      </c>
      <c r="AJ922" s="84">
        <v>0.0</v>
      </c>
      <c r="AK922" s="84">
        <v>0.0</v>
      </c>
      <c r="AL922" s="84">
        <v>0.0</v>
      </c>
      <c r="AM922" s="84">
        <v>0.0</v>
      </c>
      <c r="AN922" s="93">
        <f t="shared" si="1"/>
        <v>0</v>
      </c>
      <c r="AO922" s="84">
        <f t="shared" si="2"/>
        <v>1</v>
      </c>
    </row>
    <row r="923" ht="12.75" customHeight="1">
      <c r="A923" s="84" t="s">
        <v>2668</v>
      </c>
      <c r="B923" s="84">
        <v>2.0</v>
      </c>
      <c r="C923" s="84">
        <v>0.0</v>
      </c>
      <c r="D923" s="84">
        <v>0.0</v>
      </c>
      <c r="E923" s="84">
        <v>0.0</v>
      </c>
      <c r="F923" s="84">
        <v>0.0</v>
      </c>
      <c r="G923" s="84">
        <v>0.0</v>
      </c>
      <c r="H923" s="84">
        <v>0.0</v>
      </c>
      <c r="I923" s="91">
        <v>0.0</v>
      </c>
      <c r="J923" s="84">
        <v>0.0</v>
      </c>
      <c r="K923" s="84">
        <v>0.0</v>
      </c>
      <c r="L923" s="84">
        <v>0.0</v>
      </c>
      <c r="M923" s="84">
        <v>0.0</v>
      </c>
      <c r="N923" s="84">
        <v>0.0</v>
      </c>
      <c r="O923" s="84">
        <v>0.0</v>
      </c>
      <c r="P923" s="84">
        <v>0.0</v>
      </c>
      <c r="Q923" s="84">
        <v>0.0</v>
      </c>
      <c r="R923" s="84">
        <v>0.0</v>
      </c>
      <c r="S923" s="84">
        <v>0.0</v>
      </c>
      <c r="T923" s="84">
        <v>0.0</v>
      </c>
      <c r="U923" s="84">
        <v>0.0</v>
      </c>
      <c r="V923" s="84">
        <v>1.0</v>
      </c>
      <c r="W923" s="84">
        <v>0.0</v>
      </c>
      <c r="X923" s="84">
        <v>0.0</v>
      </c>
      <c r="Y923" s="84">
        <v>0.0</v>
      </c>
      <c r="Z923" s="84">
        <v>0.0</v>
      </c>
      <c r="AA923" s="84">
        <v>0.0</v>
      </c>
      <c r="AB923" s="84">
        <v>0.0</v>
      </c>
      <c r="AC923" s="91">
        <v>0.0</v>
      </c>
      <c r="AD923" s="84">
        <v>0.0</v>
      </c>
      <c r="AE923" s="84">
        <v>0.0</v>
      </c>
      <c r="AF923" s="84">
        <v>0.0</v>
      </c>
      <c r="AG923" s="84">
        <v>0.0</v>
      </c>
      <c r="AH923" s="84">
        <v>0.0</v>
      </c>
      <c r="AI923" s="84">
        <v>0.0</v>
      </c>
      <c r="AJ923" s="84">
        <v>0.0</v>
      </c>
      <c r="AK923" s="84">
        <v>0.0</v>
      </c>
      <c r="AL923" s="84">
        <v>0.0</v>
      </c>
      <c r="AM923" s="84">
        <v>0.0</v>
      </c>
      <c r="AN923" s="93">
        <f t="shared" si="1"/>
        <v>0</v>
      </c>
      <c r="AO923" s="84">
        <f t="shared" si="2"/>
        <v>0</v>
      </c>
    </row>
    <row r="924" ht="12.75" customHeight="1">
      <c r="A924" s="84" t="s">
        <v>3365</v>
      </c>
      <c r="B924" s="84">
        <v>0.0</v>
      </c>
      <c r="C924" s="84">
        <v>0.0</v>
      </c>
      <c r="D924" s="84">
        <v>5.0</v>
      </c>
      <c r="E924" s="84">
        <v>0.0</v>
      </c>
      <c r="F924" s="84">
        <v>0.0</v>
      </c>
      <c r="G924" s="84">
        <v>0.0</v>
      </c>
      <c r="H924" s="84">
        <v>0.0</v>
      </c>
      <c r="I924" s="91">
        <v>0.0</v>
      </c>
      <c r="J924" s="84">
        <v>0.0</v>
      </c>
      <c r="K924" s="84">
        <v>0.0</v>
      </c>
      <c r="L924" s="84">
        <v>0.0</v>
      </c>
      <c r="M924" s="84">
        <v>0.0</v>
      </c>
      <c r="N924" s="84">
        <v>0.0</v>
      </c>
      <c r="O924" s="84">
        <v>0.0</v>
      </c>
      <c r="P924" s="84">
        <v>0.0</v>
      </c>
      <c r="Q924" s="84">
        <v>0.0</v>
      </c>
      <c r="R924" s="84">
        <v>0.0</v>
      </c>
      <c r="S924" s="84">
        <v>0.0</v>
      </c>
      <c r="T924" s="84">
        <v>0.0</v>
      </c>
      <c r="U924" s="84">
        <v>0.0</v>
      </c>
      <c r="V924" s="84">
        <v>0.0</v>
      </c>
      <c r="W924" s="84">
        <v>0.0</v>
      </c>
      <c r="X924" s="84">
        <v>6.0</v>
      </c>
      <c r="Y924" s="84">
        <v>1.0</v>
      </c>
      <c r="Z924" s="84">
        <v>0.0</v>
      </c>
      <c r="AA924" s="84">
        <v>0.0</v>
      </c>
      <c r="AB924" s="84">
        <v>0.0</v>
      </c>
      <c r="AC924" s="91">
        <v>0.0</v>
      </c>
      <c r="AD924" s="84">
        <v>0.0</v>
      </c>
      <c r="AE924" s="84">
        <v>0.0</v>
      </c>
      <c r="AF924" s="84">
        <v>0.0</v>
      </c>
      <c r="AG924" s="84">
        <v>0.0</v>
      </c>
      <c r="AH924" s="84">
        <v>0.0</v>
      </c>
      <c r="AI924" s="84">
        <v>0.0</v>
      </c>
      <c r="AJ924" s="84">
        <v>0.0</v>
      </c>
      <c r="AK924" s="84">
        <v>0.0</v>
      </c>
      <c r="AL924" s="84">
        <v>0.0</v>
      </c>
      <c r="AM924" s="84">
        <v>0.0</v>
      </c>
      <c r="AN924" s="93">
        <f t="shared" si="1"/>
        <v>0</v>
      </c>
      <c r="AO924" s="84">
        <f t="shared" si="2"/>
        <v>0</v>
      </c>
    </row>
    <row r="925" ht="12.75" customHeight="1">
      <c r="A925" s="84" t="s">
        <v>2984</v>
      </c>
      <c r="B925" s="84">
        <v>2.0</v>
      </c>
      <c r="C925" s="84">
        <v>0.0</v>
      </c>
      <c r="D925" s="84">
        <v>0.0</v>
      </c>
      <c r="E925" s="84">
        <v>0.0</v>
      </c>
      <c r="F925" s="84">
        <v>0.0</v>
      </c>
      <c r="G925" s="84">
        <v>0.0</v>
      </c>
      <c r="H925" s="84">
        <v>0.0</v>
      </c>
      <c r="I925" s="91">
        <v>0.0</v>
      </c>
      <c r="J925" s="84">
        <v>0.0</v>
      </c>
      <c r="K925" s="84">
        <v>0.0</v>
      </c>
      <c r="L925" s="84">
        <v>0.0</v>
      </c>
      <c r="M925" s="84">
        <v>0.0</v>
      </c>
      <c r="N925" s="84">
        <v>0.0</v>
      </c>
      <c r="O925" s="84">
        <v>0.0</v>
      </c>
      <c r="P925" s="84">
        <v>0.0</v>
      </c>
      <c r="Q925" s="84">
        <v>0.0</v>
      </c>
      <c r="R925" s="84">
        <v>0.0</v>
      </c>
      <c r="S925" s="84">
        <v>0.0</v>
      </c>
      <c r="T925" s="84">
        <v>0.0</v>
      </c>
      <c r="U925" s="84">
        <v>0.0</v>
      </c>
      <c r="V925" s="84">
        <v>5.0</v>
      </c>
      <c r="W925" s="84">
        <v>5.0</v>
      </c>
      <c r="X925" s="84">
        <v>0.0</v>
      </c>
      <c r="Y925" s="84">
        <v>0.0</v>
      </c>
      <c r="Z925" s="84">
        <v>0.0</v>
      </c>
      <c r="AA925" s="84">
        <v>0.0</v>
      </c>
      <c r="AB925" s="84">
        <v>0.0</v>
      </c>
      <c r="AC925" s="91">
        <v>0.0</v>
      </c>
      <c r="AD925" s="84">
        <v>0.0</v>
      </c>
      <c r="AE925" s="84">
        <v>0.0</v>
      </c>
      <c r="AF925" s="84">
        <v>0.0</v>
      </c>
      <c r="AG925" s="84">
        <v>0.0</v>
      </c>
      <c r="AH925" s="84">
        <v>0.0</v>
      </c>
      <c r="AI925" s="84">
        <v>0.0</v>
      </c>
      <c r="AJ925" s="84">
        <v>0.0</v>
      </c>
      <c r="AK925" s="84">
        <v>0.0</v>
      </c>
      <c r="AL925" s="84">
        <v>0.0</v>
      </c>
      <c r="AM925" s="84">
        <v>0.0</v>
      </c>
      <c r="AN925" s="93">
        <f t="shared" si="1"/>
        <v>0</v>
      </c>
      <c r="AO925" s="84">
        <f t="shared" si="2"/>
        <v>0</v>
      </c>
    </row>
    <row r="926" ht="12.75" customHeight="1">
      <c r="A926" s="84" t="s">
        <v>3103</v>
      </c>
      <c r="B926" s="84">
        <v>3.0</v>
      </c>
      <c r="C926" s="84">
        <v>0.0</v>
      </c>
      <c r="D926" s="84">
        <v>0.0</v>
      </c>
      <c r="E926" s="84">
        <v>0.0</v>
      </c>
      <c r="F926" s="84">
        <v>0.0</v>
      </c>
      <c r="G926" s="84">
        <v>0.0</v>
      </c>
      <c r="H926" s="84">
        <v>0.0</v>
      </c>
      <c r="I926" s="91">
        <v>0.0</v>
      </c>
      <c r="J926" s="84">
        <v>0.0</v>
      </c>
      <c r="K926" s="84">
        <v>0.0</v>
      </c>
      <c r="L926" s="84">
        <v>0.0</v>
      </c>
      <c r="M926" s="84">
        <v>0.0</v>
      </c>
      <c r="N926" s="84">
        <v>0.0</v>
      </c>
      <c r="O926" s="84">
        <v>0.0</v>
      </c>
      <c r="P926" s="84">
        <v>0.0</v>
      </c>
      <c r="Q926" s="84">
        <v>0.0</v>
      </c>
      <c r="R926" s="84">
        <v>0.0</v>
      </c>
      <c r="S926" s="84">
        <v>0.0</v>
      </c>
      <c r="T926" s="84">
        <v>0.0</v>
      </c>
      <c r="U926" s="84">
        <v>0.0</v>
      </c>
      <c r="V926" s="84">
        <v>4.0</v>
      </c>
      <c r="W926" s="84">
        <v>2.0</v>
      </c>
      <c r="X926" s="84">
        <v>0.0</v>
      </c>
      <c r="Y926" s="84">
        <v>0.0</v>
      </c>
      <c r="Z926" s="84">
        <v>0.0</v>
      </c>
      <c r="AA926" s="84">
        <v>0.0</v>
      </c>
      <c r="AB926" s="84">
        <v>0.0</v>
      </c>
      <c r="AC926" s="91">
        <v>0.0</v>
      </c>
      <c r="AD926" s="84">
        <v>0.0</v>
      </c>
      <c r="AE926" s="84">
        <v>0.0</v>
      </c>
      <c r="AF926" s="84">
        <v>0.0</v>
      </c>
      <c r="AG926" s="84">
        <v>0.0</v>
      </c>
      <c r="AH926" s="84">
        <v>0.0</v>
      </c>
      <c r="AI926" s="84">
        <v>0.0</v>
      </c>
      <c r="AJ926" s="84">
        <v>0.0</v>
      </c>
      <c r="AK926" s="84">
        <v>0.0</v>
      </c>
      <c r="AL926" s="84">
        <v>0.0</v>
      </c>
      <c r="AM926" s="84">
        <v>0.0</v>
      </c>
      <c r="AN926" s="93">
        <f t="shared" si="1"/>
        <v>0</v>
      </c>
      <c r="AO926" s="84">
        <f t="shared" si="2"/>
        <v>0</v>
      </c>
    </row>
    <row r="927" ht="12.75" customHeight="1">
      <c r="A927" s="84" t="s">
        <v>4503</v>
      </c>
      <c r="B927" s="84">
        <v>0.0</v>
      </c>
      <c r="C927" s="84">
        <v>0.0</v>
      </c>
      <c r="D927" s="84">
        <v>0.0</v>
      </c>
      <c r="E927" s="84">
        <v>0.0</v>
      </c>
      <c r="F927" s="84">
        <v>0.0</v>
      </c>
      <c r="G927" s="84">
        <v>0.0</v>
      </c>
      <c r="H927" s="84">
        <v>0.0</v>
      </c>
      <c r="I927" s="91">
        <v>0.0</v>
      </c>
      <c r="J927" s="84">
        <v>0.0</v>
      </c>
      <c r="K927" s="84">
        <v>0.0</v>
      </c>
      <c r="L927" s="84">
        <v>0.0</v>
      </c>
      <c r="M927" s="84">
        <v>0.0</v>
      </c>
      <c r="N927" s="84">
        <v>0.0</v>
      </c>
      <c r="O927" s="84">
        <v>0.0</v>
      </c>
      <c r="P927" s="84">
        <v>0.0</v>
      </c>
      <c r="Q927" s="84">
        <v>0.0</v>
      </c>
      <c r="R927" s="84">
        <v>0.0</v>
      </c>
      <c r="S927" s="84">
        <v>0.0</v>
      </c>
      <c r="T927" s="84">
        <v>0.0</v>
      </c>
      <c r="U927" s="84">
        <v>0.0</v>
      </c>
      <c r="V927" s="84">
        <v>0.0</v>
      </c>
      <c r="W927" s="84">
        <v>0.0</v>
      </c>
      <c r="X927" s="84">
        <v>0.0</v>
      </c>
      <c r="Y927" s="84">
        <v>0.0</v>
      </c>
      <c r="Z927" s="84">
        <v>0.0</v>
      </c>
      <c r="AA927" s="84">
        <v>0.0</v>
      </c>
      <c r="AB927" s="84">
        <v>0.0</v>
      </c>
      <c r="AC927" s="91">
        <v>0.0</v>
      </c>
      <c r="AD927" s="84">
        <v>0.0</v>
      </c>
      <c r="AE927" s="84">
        <v>0.0</v>
      </c>
      <c r="AF927" s="84">
        <v>1.0</v>
      </c>
      <c r="AG927" s="84">
        <v>0.0</v>
      </c>
      <c r="AH927" s="84">
        <v>0.0</v>
      </c>
      <c r="AI927" s="84">
        <v>0.0</v>
      </c>
      <c r="AJ927" s="84">
        <v>0.0</v>
      </c>
      <c r="AK927" s="84">
        <v>0.0</v>
      </c>
      <c r="AL927" s="84">
        <v>0.0</v>
      </c>
      <c r="AM927" s="84">
        <v>0.0</v>
      </c>
      <c r="AN927" s="93">
        <f t="shared" si="1"/>
        <v>0</v>
      </c>
      <c r="AO927" s="84">
        <f t="shared" si="2"/>
        <v>1</v>
      </c>
    </row>
    <row r="928" ht="12.75" customHeight="1">
      <c r="A928" s="84" t="s">
        <v>3693</v>
      </c>
      <c r="B928" s="84">
        <v>0.0</v>
      </c>
      <c r="C928" s="84">
        <v>0.0</v>
      </c>
      <c r="D928" s="84">
        <v>0.0</v>
      </c>
      <c r="E928" s="84">
        <v>0.0</v>
      </c>
      <c r="F928" s="84">
        <v>4.0</v>
      </c>
      <c r="G928" s="84">
        <v>0.0</v>
      </c>
      <c r="H928" s="84">
        <v>0.0</v>
      </c>
      <c r="I928" s="91">
        <v>0.0</v>
      </c>
      <c r="J928" s="84">
        <v>0.0</v>
      </c>
      <c r="K928" s="84">
        <v>0.0</v>
      </c>
      <c r="L928" s="84">
        <v>0.0</v>
      </c>
      <c r="M928" s="84">
        <v>0.0</v>
      </c>
      <c r="N928" s="84">
        <v>0.0</v>
      </c>
      <c r="O928" s="84">
        <v>0.0</v>
      </c>
      <c r="P928" s="84">
        <v>0.0</v>
      </c>
      <c r="Q928" s="84">
        <v>0.0</v>
      </c>
      <c r="R928" s="84">
        <v>0.0</v>
      </c>
      <c r="S928" s="84">
        <v>0.0</v>
      </c>
      <c r="T928" s="84">
        <v>0.0</v>
      </c>
      <c r="U928" s="84">
        <v>0.0</v>
      </c>
      <c r="V928" s="84">
        <v>0.0</v>
      </c>
      <c r="W928" s="84">
        <v>0.0</v>
      </c>
      <c r="X928" s="84">
        <v>0.0</v>
      </c>
      <c r="Y928" s="84">
        <v>0.0</v>
      </c>
      <c r="Z928" s="84">
        <v>6.0</v>
      </c>
      <c r="AA928" s="84">
        <v>4.0</v>
      </c>
      <c r="AB928" s="84">
        <v>0.0</v>
      </c>
      <c r="AC928" s="91">
        <v>0.0</v>
      </c>
      <c r="AD928" s="84">
        <v>0.0</v>
      </c>
      <c r="AE928" s="84">
        <v>0.0</v>
      </c>
      <c r="AF928" s="84">
        <v>0.0</v>
      </c>
      <c r="AG928" s="84">
        <v>0.0</v>
      </c>
      <c r="AH928" s="84">
        <v>0.0</v>
      </c>
      <c r="AI928" s="84">
        <v>0.0</v>
      </c>
      <c r="AJ928" s="84">
        <v>0.0</v>
      </c>
      <c r="AK928" s="84">
        <v>0.0</v>
      </c>
      <c r="AL928" s="84">
        <v>0.0</v>
      </c>
      <c r="AM928" s="84">
        <v>0.0</v>
      </c>
      <c r="AN928" s="93">
        <f t="shared" si="1"/>
        <v>0</v>
      </c>
      <c r="AO928" s="84">
        <f t="shared" si="2"/>
        <v>0</v>
      </c>
    </row>
    <row r="929" ht="12.75" customHeight="1">
      <c r="A929" s="84" t="s">
        <v>2690</v>
      </c>
      <c r="B929" s="84">
        <v>1.0</v>
      </c>
      <c r="C929" s="84">
        <v>0.0</v>
      </c>
      <c r="D929" s="84">
        <v>0.0</v>
      </c>
      <c r="E929" s="84">
        <v>0.0</v>
      </c>
      <c r="F929" s="84">
        <v>0.0</v>
      </c>
      <c r="G929" s="84">
        <v>0.0</v>
      </c>
      <c r="H929" s="84">
        <v>0.0</v>
      </c>
      <c r="I929" s="91">
        <v>0.0</v>
      </c>
      <c r="J929" s="84">
        <v>0.0</v>
      </c>
      <c r="K929" s="84">
        <v>0.0</v>
      </c>
      <c r="L929" s="84">
        <v>0.0</v>
      </c>
      <c r="M929" s="84">
        <v>0.0</v>
      </c>
      <c r="N929" s="84">
        <v>0.0</v>
      </c>
      <c r="O929" s="84">
        <v>0.0</v>
      </c>
      <c r="P929" s="84">
        <v>0.0</v>
      </c>
      <c r="Q929" s="84">
        <v>0.0</v>
      </c>
      <c r="R929" s="84">
        <v>0.0</v>
      </c>
      <c r="S929" s="84">
        <v>0.0</v>
      </c>
      <c r="T929" s="84">
        <v>0.0</v>
      </c>
      <c r="U929" s="84">
        <v>0.0</v>
      </c>
      <c r="V929" s="84">
        <v>2.0</v>
      </c>
      <c r="W929" s="84">
        <v>1.0</v>
      </c>
      <c r="X929" s="84">
        <v>0.0</v>
      </c>
      <c r="Y929" s="84">
        <v>0.0</v>
      </c>
      <c r="Z929" s="84">
        <v>0.0</v>
      </c>
      <c r="AA929" s="84">
        <v>0.0</v>
      </c>
      <c r="AB929" s="84">
        <v>0.0</v>
      </c>
      <c r="AC929" s="91">
        <v>0.0</v>
      </c>
      <c r="AD929" s="84">
        <v>0.0</v>
      </c>
      <c r="AE929" s="84">
        <v>0.0</v>
      </c>
      <c r="AF929" s="84">
        <v>0.0</v>
      </c>
      <c r="AG929" s="84">
        <v>0.0</v>
      </c>
      <c r="AH929" s="84">
        <v>0.0</v>
      </c>
      <c r="AI929" s="84">
        <v>0.0</v>
      </c>
      <c r="AJ929" s="84">
        <v>0.0</v>
      </c>
      <c r="AK929" s="84">
        <v>0.0</v>
      </c>
      <c r="AL929" s="84">
        <v>0.0</v>
      </c>
      <c r="AM929" s="84">
        <v>0.0</v>
      </c>
      <c r="AN929" s="93">
        <f t="shared" si="1"/>
        <v>0</v>
      </c>
      <c r="AO929" s="84">
        <f t="shared" si="2"/>
        <v>0</v>
      </c>
    </row>
    <row r="930" ht="12.75" customHeight="1">
      <c r="A930" s="84" t="s">
        <v>2896</v>
      </c>
      <c r="B930" s="84">
        <v>2.0</v>
      </c>
      <c r="C930" s="84">
        <v>0.0</v>
      </c>
      <c r="D930" s="84">
        <v>0.0</v>
      </c>
      <c r="E930" s="84">
        <v>0.0</v>
      </c>
      <c r="F930" s="84">
        <v>0.0</v>
      </c>
      <c r="G930" s="84">
        <v>0.0</v>
      </c>
      <c r="H930" s="84">
        <v>0.0</v>
      </c>
      <c r="I930" s="91">
        <v>0.0</v>
      </c>
      <c r="J930" s="84">
        <v>0.0</v>
      </c>
      <c r="K930" s="84">
        <v>0.0</v>
      </c>
      <c r="L930" s="84">
        <v>0.0</v>
      </c>
      <c r="M930" s="84">
        <v>0.0</v>
      </c>
      <c r="N930" s="84">
        <v>0.0</v>
      </c>
      <c r="O930" s="84">
        <v>0.0</v>
      </c>
      <c r="P930" s="84">
        <v>0.0</v>
      </c>
      <c r="Q930" s="84">
        <v>0.0</v>
      </c>
      <c r="R930" s="84">
        <v>0.0</v>
      </c>
      <c r="S930" s="84">
        <v>0.0</v>
      </c>
      <c r="T930" s="84">
        <v>0.0</v>
      </c>
      <c r="U930" s="84">
        <v>0.0</v>
      </c>
      <c r="V930" s="84">
        <v>1.0</v>
      </c>
      <c r="W930" s="84">
        <v>1.0</v>
      </c>
      <c r="X930" s="84">
        <v>0.0</v>
      </c>
      <c r="Y930" s="84">
        <v>0.0</v>
      </c>
      <c r="Z930" s="84">
        <v>0.0</v>
      </c>
      <c r="AA930" s="84">
        <v>0.0</v>
      </c>
      <c r="AB930" s="84">
        <v>0.0</v>
      </c>
      <c r="AC930" s="91">
        <v>0.0</v>
      </c>
      <c r="AD930" s="84">
        <v>0.0</v>
      </c>
      <c r="AE930" s="84">
        <v>0.0</v>
      </c>
      <c r="AF930" s="84">
        <v>0.0</v>
      </c>
      <c r="AG930" s="84">
        <v>0.0</v>
      </c>
      <c r="AH930" s="84">
        <v>0.0</v>
      </c>
      <c r="AI930" s="84">
        <v>0.0</v>
      </c>
      <c r="AJ930" s="84">
        <v>0.0</v>
      </c>
      <c r="AK930" s="84">
        <v>0.0</v>
      </c>
      <c r="AL930" s="84">
        <v>0.0</v>
      </c>
      <c r="AM930" s="84">
        <v>0.0</v>
      </c>
      <c r="AN930" s="93">
        <f t="shared" si="1"/>
        <v>0</v>
      </c>
      <c r="AO930" s="84">
        <f t="shared" si="2"/>
        <v>0</v>
      </c>
    </row>
    <row r="931" ht="12.75" customHeight="1">
      <c r="A931" s="84" t="s">
        <v>3818</v>
      </c>
      <c r="B931" s="84">
        <v>0.0</v>
      </c>
      <c r="C931" s="84">
        <v>0.0</v>
      </c>
      <c r="D931" s="84">
        <v>0.0</v>
      </c>
      <c r="E931" s="84">
        <v>0.0</v>
      </c>
      <c r="F931" s="84">
        <v>0.0</v>
      </c>
      <c r="G931" s="84">
        <v>6.0</v>
      </c>
      <c r="H931" s="84">
        <v>0.0</v>
      </c>
      <c r="I931" s="91">
        <v>0.0</v>
      </c>
      <c r="J931" s="84">
        <v>0.0</v>
      </c>
      <c r="K931" s="84">
        <v>0.0</v>
      </c>
      <c r="L931" s="84">
        <v>0.0</v>
      </c>
      <c r="M931" s="84">
        <v>0.0</v>
      </c>
      <c r="N931" s="84">
        <v>0.0</v>
      </c>
      <c r="O931" s="84">
        <v>0.0</v>
      </c>
      <c r="P931" s="84">
        <v>0.0</v>
      </c>
      <c r="Q931" s="84">
        <v>0.0</v>
      </c>
      <c r="R931" s="84">
        <v>0.0</v>
      </c>
      <c r="S931" s="84">
        <v>0.0</v>
      </c>
      <c r="T931" s="84">
        <v>0.0</v>
      </c>
      <c r="U931" s="84">
        <v>0.0</v>
      </c>
      <c r="V931" s="84">
        <v>0.0</v>
      </c>
      <c r="W931" s="84">
        <v>0.0</v>
      </c>
      <c r="X931" s="84">
        <v>0.0</v>
      </c>
      <c r="Y931" s="84">
        <v>0.0</v>
      </c>
      <c r="Z931" s="84">
        <v>0.0</v>
      </c>
      <c r="AA931" s="84">
        <v>6.0</v>
      </c>
      <c r="AB931" s="84">
        <v>2.0</v>
      </c>
      <c r="AC931" s="91">
        <v>0.0</v>
      </c>
      <c r="AD931" s="84">
        <v>0.0</v>
      </c>
      <c r="AE931" s="84">
        <v>0.0</v>
      </c>
      <c r="AF931" s="84">
        <v>0.0</v>
      </c>
      <c r="AG931" s="84">
        <v>0.0</v>
      </c>
      <c r="AH931" s="84">
        <v>0.0</v>
      </c>
      <c r="AI931" s="84">
        <v>0.0</v>
      </c>
      <c r="AJ931" s="84">
        <v>0.0</v>
      </c>
      <c r="AK931" s="84">
        <v>0.0</v>
      </c>
      <c r="AL931" s="84">
        <v>0.0</v>
      </c>
      <c r="AM931" s="84">
        <v>0.0</v>
      </c>
      <c r="AN931" s="93">
        <f t="shared" si="1"/>
        <v>0</v>
      </c>
      <c r="AO931" s="84">
        <f t="shared" si="2"/>
        <v>0</v>
      </c>
    </row>
    <row r="932" ht="12.75" customHeight="1">
      <c r="A932" s="84" t="s">
        <v>2729</v>
      </c>
      <c r="B932" s="84">
        <v>1.0</v>
      </c>
      <c r="C932" s="84">
        <v>0.0</v>
      </c>
      <c r="D932" s="84">
        <v>0.0</v>
      </c>
      <c r="E932" s="84">
        <v>0.0</v>
      </c>
      <c r="F932" s="84">
        <v>0.0</v>
      </c>
      <c r="G932" s="84">
        <v>0.0</v>
      </c>
      <c r="H932" s="84">
        <v>0.0</v>
      </c>
      <c r="I932" s="91">
        <v>0.0</v>
      </c>
      <c r="J932" s="84">
        <v>0.0</v>
      </c>
      <c r="K932" s="84">
        <v>0.0</v>
      </c>
      <c r="L932" s="84">
        <v>0.0</v>
      </c>
      <c r="M932" s="84">
        <v>0.0</v>
      </c>
      <c r="N932" s="84">
        <v>0.0</v>
      </c>
      <c r="O932" s="84">
        <v>0.0</v>
      </c>
      <c r="P932" s="84">
        <v>0.0</v>
      </c>
      <c r="Q932" s="84">
        <v>0.0</v>
      </c>
      <c r="R932" s="84">
        <v>0.0</v>
      </c>
      <c r="S932" s="84">
        <v>0.0</v>
      </c>
      <c r="T932" s="84">
        <v>0.0</v>
      </c>
      <c r="U932" s="84">
        <v>0.0</v>
      </c>
      <c r="V932" s="84">
        <v>3.0</v>
      </c>
      <c r="W932" s="84">
        <v>2.0</v>
      </c>
      <c r="X932" s="84">
        <v>0.0</v>
      </c>
      <c r="Y932" s="84">
        <v>0.0</v>
      </c>
      <c r="Z932" s="84">
        <v>0.0</v>
      </c>
      <c r="AA932" s="84">
        <v>0.0</v>
      </c>
      <c r="AB932" s="84">
        <v>0.0</v>
      </c>
      <c r="AC932" s="91">
        <v>0.0</v>
      </c>
      <c r="AD932" s="84">
        <v>0.0</v>
      </c>
      <c r="AE932" s="84">
        <v>0.0</v>
      </c>
      <c r="AF932" s="84">
        <v>0.0</v>
      </c>
      <c r="AG932" s="84">
        <v>0.0</v>
      </c>
      <c r="AH932" s="84">
        <v>0.0</v>
      </c>
      <c r="AI932" s="84">
        <v>0.0</v>
      </c>
      <c r="AJ932" s="84">
        <v>0.0</v>
      </c>
      <c r="AK932" s="84">
        <v>0.0</v>
      </c>
      <c r="AL932" s="84">
        <v>0.0</v>
      </c>
      <c r="AM932" s="84">
        <v>0.0</v>
      </c>
      <c r="AN932" s="93">
        <f t="shared" si="1"/>
        <v>0</v>
      </c>
      <c r="AO932" s="84">
        <f t="shared" si="2"/>
        <v>0</v>
      </c>
    </row>
    <row r="933" ht="12.75" customHeight="1">
      <c r="A933" s="84" t="s">
        <v>2904</v>
      </c>
      <c r="B933" s="84">
        <v>2.0</v>
      </c>
      <c r="C933" s="84">
        <v>1.0</v>
      </c>
      <c r="D933" s="84">
        <v>0.0</v>
      </c>
      <c r="E933" s="84">
        <v>0.0</v>
      </c>
      <c r="F933" s="84">
        <v>0.0</v>
      </c>
      <c r="G933" s="84">
        <v>0.0</v>
      </c>
      <c r="H933" s="84">
        <v>0.0</v>
      </c>
      <c r="I933" s="91">
        <v>0.0</v>
      </c>
      <c r="J933" s="84">
        <v>0.0</v>
      </c>
      <c r="K933" s="84">
        <v>0.0</v>
      </c>
      <c r="L933" s="84">
        <v>0.0</v>
      </c>
      <c r="M933" s="84">
        <v>0.0</v>
      </c>
      <c r="N933" s="84">
        <v>0.0</v>
      </c>
      <c r="O933" s="84">
        <v>0.0</v>
      </c>
      <c r="P933" s="84">
        <v>0.0</v>
      </c>
      <c r="Q933" s="84">
        <v>0.0</v>
      </c>
      <c r="R933" s="84">
        <v>0.0</v>
      </c>
      <c r="S933" s="84">
        <v>0.0</v>
      </c>
      <c r="T933" s="84">
        <v>0.0</v>
      </c>
      <c r="U933" s="84">
        <v>0.0</v>
      </c>
      <c r="V933" s="84">
        <v>1.0</v>
      </c>
      <c r="W933" s="84">
        <v>2.0</v>
      </c>
      <c r="X933" s="84">
        <v>0.0</v>
      </c>
      <c r="Y933" s="84">
        <v>0.0</v>
      </c>
      <c r="Z933" s="84">
        <v>0.0</v>
      </c>
      <c r="AA933" s="84">
        <v>0.0</v>
      </c>
      <c r="AB933" s="84">
        <v>0.0</v>
      </c>
      <c r="AC933" s="91">
        <v>0.0</v>
      </c>
      <c r="AD933" s="84">
        <v>0.0</v>
      </c>
      <c r="AE933" s="84">
        <v>0.0</v>
      </c>
      <c r="AF933" s="84">
        <v>0.0</v>
      </c>
      <c r="AG933" s="84">
        <v>0.0</v>
      </c>
      <c r="AH933" s="84">
        <v>0.0</v>
      </c>
      <c r="AI933" s="84">
        <v>0.0</v>
      </c>
      <c r="AJ933" s="84">
        <v>0.0</v>
      </c>
      <c r="AK933" s="84">
        <v>0.0</v>
      </c>
      <c r="AL933" s="84">
        <v>0.0</v>
      </c>
      <c r="AM933" s="84">
        <v>0.0</v>
      </c>
      <c r="AN933" s="93">
        <f t="shared" si="1"/>
        <v>0</v>
      </c>
      <c r="AO933" s="84">
        <f t="shared" si="2"/>
        <v>0</v>
      </c>
    </row>
    <row r="934" ht="12.75" customHeight="1">
      <c r="A934" s="84" t="s">
        <v>3656</v>
      </c>
      <c r="B934" s="84">
        <v>0.0</v>
      </c>
      <c r="C934" s="84">
        <v>0.0</v>
      </c>
      <c r="D934" s="84">
        <v>0.0</v>
      </c>
      <c r="E934" s="84">
        <v>0.0</v>
      </c>
      <c r="F934" s="84">
        <v>6.0</v>
      </c>
      <c r="G934" s="84">
        <v>1.0</v>
      </c>
      <c r="H934" s="84">
        <v>0.0</v>
      </c>
      <c r="I934" s="91">
        <v>0.0</v>
      </c>
      <c r="J934" s="84">
        <v>0.0</v>
      </c>
      <c r="K934" s="84">
        <v>0.0</v>
      </c>
      <c r="L934" s="84">
        <v>0.0</v>
      </c>
      <c r="M934" s="84">
        <v>0.0</v>
      </c>
      <c r="N934" s="84">
        <v>0.0</v>
      </c>
      <c r="O934" s="84">
        <v>0.0</v>
      </c>
      <c r="P934" s="84">
        <v>0.0</v>
      </c>
      <c r="Q934" s="84">
        <v>0.0</v>
      </c>
      <c r="R934" s="84">
        <v>0.0</v>
      </c>
      <c r="S934" s="84">
        <v>0.0</v>
      </c>
      <c r="T934" s="84">
        <v>0.0</v>
      </c>
      <c r="U934" s="84">
        <v>0.0</v>
      </c>
      <c r="V934" s="84">
        <v>0.0</v>
      </c>
      <c r="W934" s="84">
        <v>0.0</v>
      </c>
      <c r="X934" s="84">
        <v>0.0</v>
      </c>
      <c r="Y934" s="84">
        <v>0.0</v>
      </c>
      <c r="Z934" s="84">
        <v>6.0</v>
      </c>
      <c r="AA934" s="84">
        <v>2.0</v>
      </c>
      <c r="AB934" s="84">
        <v>0.0</v>
      </c>
      <c r="AC934" s="91">
        <v>0.0</v>
      </c>
      <c r="AD934" s="84">
        <v>0.0</v>
      </c>
      <c r="AE934" s="84">
        <v>0.0</v>
      </c>
      <c r="AF934" s="84">
        <v>0.0</v>
      </c>
      <c r="AG934" s="84">
        <v>0.0</v>
      </c>
      <c r="AH934" s="84">
        <v>0.0</v>
      </c>
      <c r="AI934" s="84">
        <v>0.0</v>
      </c>
      <c r="AJ934" s="84">
        <v>0.0</v>
      </c>
      <c r="AK934" s="84">
        <v>0.0</v>
      </c>
      <c r="AL934" s="84">
        <v>0.0</v>
      </c>
      <c r="AM934" s="84">
        <v>0.0</v>
      </c>
      <c r="AN934" s="93">
        <f t="shared" si="1"/>
        <v>0</v>
      </c>
      <c r="AO934" s="84">
        <f t="shared" si="2"/>
        <v>0</v>
      </c>
    </row>
    <row r="935" ht="12.75" customHeight="1">
      <c r="A935" s="84" t="s">
        <v>3067</v>
      </c>
      <c r="B935" s="84">
        <v>2.0</v>
      </c>
      <c r="C935" s="84">
        <v>0.0</v>
      </c>
      <c r="D935" s="84">
        <v>0.0</v>
      </c>
      <c r="E935" s="84">
        <v>0.0</v>
      </c>
      <c r="F935" s="84">
        <v>0.0</v>
      </c>
      <c r="G935" s="84">
        <v>0.0</v>
      </c>
      <c r="H935" s="84">
        <v>0.0</v>
      </c>
      <c r="I935" s="91">
        <v>0.0</v>
      </c>
      <c r="J935" s="84">
        <v>0.0</v>
      </c>
      <c r="K935" s="84">
        <v>0.0</v>
      </c>
      <c r="L935" s="84">
        <v>0.0</v>
      </c>
      <c r="M935" s="84">
        <v>0.0</v>
      </c>
      <c r="N935" s="84">
        <v>0.0</v>
      </c>
      <c r="O935" s="84">
        <v>0.0</v>
      </c>
      <c r="P935" s="84">
        <v>0.0</v>
      </c>
      <c r="Q935" s="84">
        <v>0.0</v>
      </c>
      <c r="R935" s="84">
        <v>0.0</v>
      </c>
      <c r="S935" s="84">
        <v>0.0</v>
      </c>
      <c r="T935" s="84">
        <v>0.0</v>
      </c>
      <c r="U935" s="84">
        <v>0.0</v>
      </c>
      <c r="V935" s="84">
        <v>3.0</v>
      </c>
      <c r="W935" s="84">
        <v>3.0</v>
      </c>
      <c r="X935" s="84">
        <v>0.0</v>
      </c>
      <c r="Y935" s="84">
        <v>0.0</v>
      </c>
      <c r="Z935" s="84">
        <v>0.0</v>
      </c>
      <c r="AA935" s="84">
        <v>0.0</v>
      </c>
      <c r="AB935" s="84">
        <v>0.0</v>
      </c>
      <c r="AC935" s="91">
        <v>0.0</v>
      </c>
      <c r="AD935" s="84">
        <v>0.0</v>
      </c>
      <c r="AE935" s="84">
        <v>0.0</v>
      </c>
      <c r="AF935" s="84">
        <v>0.0</v>
      </c>
      <c r="AG935" s="84">
        <v>0.0</v>
      </c>
      <c r="AH935" s="84">
        <v>0.0</v>
      </c>
      <c r="AI935" s="84">
        <v>0.0</v>
      </c>
      <c r="AJ935" s="84">
        <v>0.0</v>
      </c>
      <c r="AK935" s="84">
        <v>0.0</v>
      </c>
      <c r="AL935" s="84">
        <v>0.0</v>
      </c>
      <c r="AM935" s="84">
        <v>0.0</v>
      </c>
      <c r="AN935" s="93">
        <f t="shared" si="1"/>
        <v>0</v>
      </c>
      <c r="AO935" s="84">
        <f t="shared" si="2"/>
        <v>0</v>
      </c>
    </row>
    <row r="936" ht="12.75" customHeight="1">
      <c r="A936" s="84" t="s">
        <v>3035</v>
      </c>
      <c r="B936" s="84">
        <v>1.0</v>
      </c>
      <c r="C936" s="84">
        <v>2.0</v>
      </c>
      <c r="D936" s="84">
        <v>0.0</v>
      </c>
      <c r="E936" s="84">
        <v>0.0</v>
      </c>
      <c r="F936" s="84">
        <v>0.0</v>
      </c>
      <c r="G936" s="84">
        <v>0.0</v>
      </c>
      <c r="H936" s="84">
        <v>0.0</v>
      </c>
      <c r="I936" s="91">
        <v>0.0</v>
      </c>
      <c r="J936" s="84">
        <v>0.0</v>
      </c>
      <c r="K936" s="84">
        <v>0.0</v>
      </c>
      <c r="L936" s="84">
        <v>0.0</v>
      </c>
      <c r="M936" s="84">
        <v>0.0</v>
      </c>
      <c r="N936" s="84">
        <v>0.0</v>
      </c>
      <c r="O936" s="84">
        <v>0.0</v>
      </c>
      <c r="P936" s="84">
        <v>0.0</v>
      </c>
      <c r="Q936" s="84">
        <v>0.0</v>
      </c>
      <c r="R936" s="84">
        <v>0.0</v>
      </c>
      <c r="S936" s="84">
        <v>0.0</v>
      </c>
      <c r="T936" s="84">
        <v>0.0</v>
      </c>
      <c r="U936" s="84">
        <v>0.0</v>
      </c>
      <c r="V936" s="84">
        <v>3.0</v>
      </c>
      <c r="W936" s="84">
        <v>2.0</v>
      </c>
      <c r="X936" s="84">
        <v>0.0</v>
      </c>
      <c r="Y936" s="84">
        <v>0.0</v>
      </c>
      <c r="Z936" s="84">
        <v>0.0</v>
      </c>
      <c r="AA936" s="84">
        <v>0.0</v>
      </c>
      <c r="AB936" s="84">
        <v>0.0</v>
      </c>
      <c r="AC936" s="91">
        <v>0.0</v>
      </c>
      <c r="AD936" s="84">
        <v>0.0</v>
      </c>
      <c r="AE936" s="84">
        <v>0.0</v>
      </c>
      <c r="AF936" s="84">
        <v>0.0</v>
      </c>
      <c r="AG936" s="84">
        <v>0.0</v>
      </c>
      <c r="AH936" s="84">
        <v>0.0</v>
      </c>
      <c r="AI936" s="84">
        <v>0.0</v>
      </c>
      <c r="AJ936" s="84">
        <v>0.0</v>
      </c>
      <c r="AK936" s="84">
        <v>0.0</v>
      </c>
      <c r="AL936" s="84">
        <v>0.0</v>
      </c>
      <c r="AM936" s="84">
        <v>0.0</v>
      </c>
      <c r="AN936" s="93">
        <f t="shared" si="1"/>
        <v>0</v>
      </c>
      <c r="AO936" s="84">
        <f t="shared" si="2"/>
        <v>0</v>
      </c>
    </row>
    <row r="937" ht="12.75" customHeight="1">
      <c r="A937" s="84" t="s">
        <v>3679</v>
      </c>
      <c r="B937" s="84">
        <v>0.0</v>
      </c>
      <c r="C937" s="84">
        <v>0.0</v>
      </c>
      <c r="D937" s="84">
        <v>0.0</v>
      </c>
      <c r="E937" s="84">
        <v>0.0</v>
      </c>
      <c r="F937" s="84">
        <v>4.0</v>
      </c>
      <c r="G937" s="84">
        <v>2.0</v>
      </c>
      <c r="H937" s="84">
        <v>0.0</v>
      </c>
      <c r="I937" s="91">
        <v>0.0</v>
      </c>
      <c r="J937" s="84">
        <v>0.0</v>
      </c>
      <c r="K937" s="84">
        <v>0.0</v>
      </c>
      <c r="L937" s="84">
        <v>0.0</v>
      </c>
      <c r="M937" s="84">
        <v>0.0</v>
      </c>
      <c r="N937" s="84">
        <v>0.0</v>
      </c>
      <c r="O937" s="84">
        <v>0.0</v>
      </c>
      <c r="P937" s="84">
        <v>0.0</v>
      </c>
      <c r="Q937" s="84">
        <v>0.0</v>
      </c>
      <c r="R937" s="84">
        <v>0.0</v>
      </c>
      <c r="S937" s="84">
        <v>0.0</v>
      </c>
      <c r="T937" s="84">
        <v>0.0</v>
      </c>
      <c r="U937" s="84">
        <v>0.0</v>
      </c>
      <c r="V937" s="84">
        <v>0.0</v>
      </c>
      <c r="W937" s="84">
        <v>0.0</v>
      </c>
      <c r="X937" s="84">
        <v>0.0</v>
      </c>
      <c r="Y937" s="84">
        <v>0.0</v>
      </c>
      <c r="Z937" s="84">
        <v>6.0</v>
      </c>
      <c r="AA937" s="84">
        <v>2.0</v>
      </c>
      <c r="AB937" s="84">
        <v>0.0</v>
      </c>
      <c r="AC937" s="91">
        <v>0.0</v>
      </c>
      <c r="AD937" s="84">
        <v>0.0</v>
      </c>
      <c r="AE937" s="84">
        <v>0.0</v>
      </c>
      <c r="AF937" s="84">
        <v>0.0</v>
      </c>
      <c r="AG937" s="84">
        <v>0.0</v>
      </c>
      <c r="AH937" s="84">
        <v>0.0</v>
      </c>
      <c r="AI937" s="84">
        <v>0.0</v>
      </c>
      <c r="AJ937" s="84">
        <v>0.0</v>
      </c>
      <c r="AK937" s="84">
        <v>0.0</v>
      </c>
      <c r="AL937" s="84">
        <v>0.0</v>
      </c>
      <c r="AM937" s="84">
        <v>0.0</v>
      </c>
      <c r="AN937" s="93">
        <f t="shared" si="1"/>
        <v>0</v>
      </c>
      <c r="AO937" s="84">
        <f t="shared" si="2"/>
        <v>0</v>
      </c>
    </row>
    <row r="938" ht="12.75" customHeight="1">
      <c r="A938" s="84" t="s">
        <v>4532</v>
      </c>
      <c r="B938" s="84">
        <v>0.0</v>
      </c>
      <c r="C938" s="84">
        <v>0.0</v>
      </c>
      <c r="D938" s="84">
        <v>0.0</v>
      </c>
      <c r="E938" s="84">
        <v>0.0</v>
      </c>
      <c r="F938" s="84">
        <v>0.0</v>
      </c>
      <c r="G938" s="84">
        <v>0.0</v>
      </c>
      <c r="H938" s="84">
        <v>0.0</v>
      </c>
      <c r="I938" s="91">
        <v>0.0</v>
      </c>
      <c r="J938" s="84">
        <v>0.0</v>
      </c>
      <c r="K938" s="84">
        <v>0.0</v>
      </c>
      <c r="L938" s="84">
        <v>0.0</v>
      </c>
      <c r="M938" s="84">
        <v>0.0</v>
      </c>
      <c r="N938" s="84">
        <v>0.0</v>
      </c>
      <c r="O938" s="84">
        <v>0.0</v>
      </c>
      <c r="P938" s="84">
        <v>0.0</v>
      </c>
      <c r="Q938" s="84">
        <v>0.0</v>
      </c>
      <c r="R938" s="84">
        <v>0.0</v>
      </c>
      <c r="S938" s="84">
        <v>0.0</v>
      </c>
      <c r="T938" s="84">
        <v>0.0</v>
      </c>
      <c r="U938" s="84">
        <v>0.0</v>
      </c>
      <c r="V938" s="84">
        <v>0.0</v>
      </c>
      <c r="W938" s="84">
        <v>0.0</v>
      </c>
      <c r="X938" s="84">
        <v>0.0</v>
      </c>
      <c r="Y938" s="84">
        <v>0.0</v>
      </c>
      <c r="Z938" s="84">
        <v>0.0</v>
      </c>
      <c r="AA938" s="84">
        <v>0.0</v>
      </c>
      <c r="AB938" s="84">
        <v>0.0</v>
      </c>
      <c r="AC938" s="91">
        <v>0.0</v>
      </c>
      <c r="AD938" s="84">
        <v>0.0</v>
      </c>
      <c r="AE938" s="84">
        <v>0.0</v>
      </c>
      <c r="AF938" s="84">
        <v>0.0</v>
      </c>
      <c r="AG938" s="84">
        <v>1.0</v>
      </c>
      <c r="AH938" s="84">
        <v>0.0</v>
      </c>
      <c r="AI938" s="84">
        <v>0.0</v>
      </c>
      <c r="AJ938" s="84">
        <v>0.0</v>
      </c>
      <c r="AK938" s="84">
        <v>0.0</v>
      </c>
      <c r="AL938" s="84">
        <v>0.0</v>
      </c>
      <c r="AM938" s="84">
        <v>0.0</v>
      </c>
      <c r="AN938" s="93">
        <f t="shared" si="1"/>
        <v>0</v>
      </c>
      <c r="AO938" s="84">
        <f t="shared" si="2"/>
        <v>1</v>
      </c>
    </row>
    <row r="939" ht="12.75" customHeight="1">
      <c r="A939" s="84" t="s">
        <v>4535</v>
      </c>
      <c r="B939" s="84">
        <v>0.0</v>
      </c>
      <c r="C939" s="84">
        <v>0.0</v>
      </c>
      <c r="D939" s="84">
        <v>0.0</v>
      </c>
      <c r="E939" s="84">
        <v>0.0</v>
      </c>
      <c r="F939" s="84">
        <v>0.0</v>
      </c>
      <c r="G939" s="84">
        <v>0.0</v>
      </c>
      <c r="H939" s="84">
        <v>0.0</v>
      </c>
      <c r="I939" s="91">
        <v>0.0</v>
      </c>
      <c r="J939" s="84">
        <v>0.0</v>
      </c>
      <c r="K939" s="84">
        <v>0.0</v>
      </c>
      <c r="L939" s="84">
        <v>0.0</v>
      </c>
      <c r="M939" s="84">
        <v>0.0</v>
      </c>
      <c r="N939" s="84">
        <v>0.0</v>
      </c>
      <c r="O939" s="84">
        <v>0.0</v>
      </c>
      <c r="P939" s="84">
        <v>0.0</v>
      </c>
      <c r="Q939" s="84">
        <v>0.0</v>
      </c>
      <c r="R939" s="84">
        <v>0.0</v>
      </c>
      <c r="S939" s="84">
        <v>0.0</v>
      </c>
      <c r="T939" s="84">
        <v>0.0</v>
      </c>
      <c r="U939" s="84">
        <v>0.0</v>
      </c>
      <c r="V939" s="84">
        <v>0.0</v>
      </c>
      <c r="W939" s="84">
        <v>0.0</v>
      </c>
      <c r="X939" s="84">
        <v>0.0</v>
      </c>
      <c r="Y939" s="84">
        <v>0.0</v>
      </c>
      <c r="Z939" s="84">
        <v>0.0</v>
      </c>
      <c r="AA939" s="84">
        <v>0.0</v>
      </c>
      <c r="AB939" s="84">
        <v>0.0</v>
      </c>
      <c r="AC939" s="91">
        <v>0.0</v>
      </c>
      <c r="AD939" s="84">
        <v>0.0</v>
      </c>
      <c r="AE939" s="84">
        <v>0.0</v>
      </c>
      <c r="AF939" s="84">
        <v>0.0</v>
      </c>
      <c r="AG939" s="84">
        <v>1.0</v>
      </c>
      <c r="AH939" s="84">
        <v>0.0</v>
      </c>
      <c r="AI939" s="84">
        <v>0.0</v>
      </c>
      <c r="AJ939" s="84">
        <v>0.0</v>
      </c>
      <c r="AK939" s="84">
        <v>0.0</v>
      </c>
      <c r="AL939" s="84">
        <v>0.0</v>
      </c>
      <c r="AM939" s="84">
        <v>0.0</v>
      </c>
      <c r="AN939" s="93">
        <f t="shared" si="1"/>
        <v>0</v>
      </c>
      <c r="AO939" s="84">
        <f t="shared" si="2"/>
        <v>1</v>
      </c>
    </row>
    <row r="940" ht="12.75" customHeight="1">
      <c r="A940" s="84" t="s">
        <v>3937</v>
      </c>
      <c r="B940" s="84">
        <v>0.0</v>
      </c>
      <c r="C940" s="84">
        <v>0.0</v>
      </c>
      <c r="D940" s="84">
        <v>0.0</v>
      </c>
      <c r="E940" s="84">
        <v>0.0</v>
      </c>
      <c r="F940" s="84">
        <v>0.0</v>
      </c>
      <c r="G940" s="84">
        <v>0.0</v>
      </c>
      <c r="H940" s="84">
        <v>3.0</v>
      </c>
      <c r="I940" s="91">
        <v>0.0</v>
      </c>
      <c r="J940" s="84">
        <v>0.0</v>
      </c>
      <c r="K940" s="84">
        <v>0.0</v>
      </c>
      <c r="L940" s="84">
        <v>0.0</v>
      </c>
      <c r="M940" s="84">
        <v>0.0</v>
      </c>
      <c r="N940" s="84">
        <v>0.0</v>
      </c>
      <c r="O940" s="84">
        <v>0.0</v>
      </c>
      <c r="P940" s="84">
        <v>0.0</v>
      </c>
      <c r="Q940" s="84">
        <v>0.0</v>
      </c>
      <c r="R940" s="84">
        <v>0.0</v>
      </c>
      <c r="S940" s="84">
        <v>0.0</v>
      </c>
      <c r="T940" s="84">
        <v>0.0</v>
      </c>
      <c r="U940" s="84">
        <v>0.0</v>
      </c>
      <c r="V940" s="84">
        <v>0.0</v>
      </c>
      <c r="W940" s="84">
        <v>0.0</v>
      </c>
      <c r="X940" s="84">
        <v>0.0</v>
      </c>
      <c r="Y940" s="84">
        <v>0.0</v>
      </c>
      <c r="Z940" s="84">
        <v>0.0</v>
      </c>
      <c r="AA940" s="84">
        <v>0.0</v>
      </c>
      <c r="AB940" s="84">
        <v>6.0</v>
      </c>
      <c r="AC940" s="91">
        <v>0.0</v>
      </c>
      <c r="AD940" s="84">
        <v>0.0</v>
      </c>
      <c r="AE940" s="84">
        <v>0.0</v>
      </c>
      <c r="AF940" s="84">
        <v>0.0</v>
      </c>
      <c r="AG940" s="84">
        <v>0.0</v>
      </c>
      <c r="AH940" s="84">
        <v>0.0</v>
      </c>
      <c r="AI940" s="84">
        <v>0.0</v>
      </c>
      <c r="AJ940" s="84">
        <v>0.0</v>
      </c>
      <c r="AK940" s="84">
        <v>0.0</v>
      </c>
      <c r="AL940" s="84">
        <v>0.0</v>
      </c>
      <c r="AM940" s="84">
        <v>0.0</v>
      </c>
      <c r="AN940" s="93">
        <f t="shared" si="1"/>
        <v>0</v>
      </c>
      <c r="AO940" s="84">
        <f t="shared" si="2"/>
        <v>0</v>
      </c>
    </row>
    <row r="941" ht="12.75" customHeight="1">
      <c r="A941" s="84" t="s">
        <v>4443</v>
      </c>
      <c r="B941" s="84">
        <v>0.0</v>
      </c>
      <c r="C941" s="84">
        <v>0.0</v>
      </c>
      <c r="D941" s="84">
        <v>0.0</v>
      </c>
      <c r="E941" s="84">
        <v>0.0</v>
      </c>
      <c r="F941" s="84">
        <v>0.0</v>
      </c>
      <c r="G941" s="84">
        <v>0.0</v>
      </c>
      <c r="H941" s="84">
        <v>0.0</v>
      </c>
      <c r="I941" s="91">
        <v>0.0</v>
      </c>
      <c r="J941" s="84">
        <v>0.0</v>
      </c>
      <c r="K941" s="84">
        <v>0.0</v>
      </c>
      <c r="L941" s="84">
        <v>1.0</v>
      </c>
      <c r="M941" s="84">
        <v>0.0</v>
      </c>
      <c r="N941" s="84">
        <v>0.0</v>
      </c>
      <c r="O941" s="84">
        <v>0.0</v>
      </c>
      <c r="P941" s="84">
        <v>0.0</v>
      </c>
      <c r="Q941" s="84">
        <v>0.0</v>
      </c>
      <c r="R941" s="84">
        <v>0.0</v>
      </c>
      <c r="S941" s="84">
        <v>0.0</v>
      </c>
      <c r="T941" s="84">
        <v>0.0</v>
      </c>
      <c r="U941" s="84">
        <v>0.0</v>
      </c>
      <c r="V941" s="84">
        <v>0.0</v>
      </c>
      <c r="W941" s="84">
        <v>0.0</v>
      </c>
      <c r="X941" s="84">
        <v>0.0</v>
      </c>
      <c r="Y941" s="84">
        <v>0.0</v>
      </c>
      <c r="Z941" s="84">
        <v>0.0</v>
      </c>
      <c r="AA941" s="84">
        <v>0.0</v>
      </c>
      <c r="AB941" s="84">
        <v>0.0</v>
      </c>
      <c r="AC941" s="91">
        <v>0.0</v>
      </c>
      <c r="AD941" s="84">
        <v>0.0</v>
      </c>
      <c r="AE941" s="84">
        <v>0.0</v>
      </c>
      <c r="AF941" s="84">
        <v>0.0</v>
      </c>
      <c r="AG941" s="84">
        <v>0.0</v>
      </c>
      <c r="AH941" s="84">
        <v>0.0</v>
      </c>
      <c r="AI941" s="84">
        <v>0.0</v>
      </c>
      <c r="AJ941" s="84">
        <v>0.0</v>
      </c>
      <c r="AK941" s="84">
        <v>0.0</v>
      </c>
      <c r="AL941" s="84">
        <v>0.0</v>
      </c>
      <c r="AM941" s="84">
        <v>0.0</v>
      </c>
      <c r="AN941" s="93">
        <f t="shared" si="1"/>
        <v>0</v>
      </c>
      <c r="AO941" s="84">
        <f t="shared" si="2"/>
        <v>1</v>
      </c>
    </row>
    <row r="942" ht="12.75" customHeight="1">
      <c r="A942" s="84" t="s">
        <v>3716</v>
      </c>
      <c r="B942" s="84">
        <v>0.0</v>
      </c>
      <c r="C942" s="84">
        <v>0.0</v>
      </c>
      <c r="D942" s="84">
        <v>0.0</v>
      </c>
      <c r="E942" s="84">
        <v>0.0</v>
      </c>
      <c r="F942" s="84">
        <v>4.0</v>
      </c>
      <c r="G942" s="84">
        <v>0.0</v>
      </c>
      <c r="H942" s="84">
        <v>0.0</v>
      </c>
      <c r="I942" s="91">
        <v>0.0</v>
      </c>
      <c r="J942" s="84">
        <v>0.0</v>
      </c>
      <c r="K942" s="84">
        <v>0.0</v>
      </c>
      <c r="L942" s="84">
        <v>0.0</v>
      </c>
      <c r="M942" s="84">
        <v>0.0</v>
      </c>
      <c r="N942" s="84">
        <v>0.0</v>
      </c>
      <c r="O942" s="84">
        <v>0.0</v>
      </c>
      <c r="P942" s="84">
        <v>0.0</v>
      </c>
      <c r="Q942" s="84">
        <v>0.0</v>
      </c>
      <c r="R942" s="84">
        <v>0.0</v>
      </c>
      <c r="S942" s="84">
        <v>0.0</v>
      </c>
      <c r="T942" s="84">
        <v>0.0</v>
      </c>
      <c r="U942" s="84">
        <v>0.0</v>
      </c>
      <c r="V942" s="84">
        <v>0.0</v>
      </c>
      <c r="W942" s="84">
        <v>0.0</v>
      </c>
      <c r="X942" s="84">
        <v>0.0</v>
      </c>
      <c r="Y942" s="84">
        <v>0.0</v>
      </c>
      <c r="Z942" s="84">
        <v>6.0</v>
      </c>
      <c r="AA942" s="84">
        <v>1.0</v>
      </c>
      <c r="AB942" s="84">
        <v>0.0</v>
      </c>
      <c r="AC942" s="91">
        <v>0.0</v>
      </c>
      <c r="AD942" s="84">
        <v>0.0</v>
      </c>
      <c r="AE942" s="84">
        <v>0.0</v>
      </c>
      <c r="AF942" s="84">
        <v>0.0</v>
      </c>
      <c r="AG942" s="84">
        <v>0.0</v>
      </c>
      <c r="AH942" s="84">
        <v>0.0</v>
      </c>
      <c r="AI942" s="84">
        <v>0.0</v>
      </c>
      <c r="AJ942" s="84">
        <v>0.0</v>
      </c>
      <c r="AK942" s="84">
        <v>0.0</v>
      </c>
      <c r="AL942" s="84">
        <v>0.0</v>
      </c>
      <c r="AM942" s="84">
        <v>0.0</v>
      </c>
      <c r="AN942" s="93">
        <f t="shared" si="1"/>
        <v>0</v>
      </c>
      <c r="AO942" s="84">
        <f t="shared" si="2"/>
        <v>0</v>
      </c>
    </row>
    <row r="943" ht="12.75" customHeight="1">
      <c r="A943" s="84" t="s">
        <v>3731</v>
      </c>
      <c r="B943" s="84">
        <v>0.0</v>
      </c>
      <c r="C943" s="84">
        <v>0.0</v>
      </c>
      <c r="D943" s="84">
        <v>0.0</v>
      </c>
      <c r="E943" s="84">
        <v>0.0</v>
      </c>
      <c r="F943" s="84">
        <v>0.0</v>
      </c>
      <c r="G943" s="84">
        <v>6.0</v>
      </c>
      <c r="H943" s="84">
        <v>1.0</v>
      </c>
      <c r="I943" s="91">
        <v>0.0</v>
      </c>
      <c r="J943" s="84">
        <v>0.0</v>
      </c>
      <c r="K943" s="84">
        <v>0.0</v>
      </c>
      <c r="L943" s="84">
        <v>0.0</v>
      </c>
      <c r="M943" s="84">
        <v>0.0</v>
      </c>
      <c r="N943" s="84">
        <v>0.0</v>
      </c>
      <c r="O943" s="84">
        <v>0.0</v>
      </c>
      <c r="P943" s="84">
        <v>0.0</v>
      </c>
      <c r="Q943" s="84">
        <v>0.0</v>
      </c>
      <c r="R943" s="84">
        <v>0.0</v>
      </c>
      <c r="S943" s="84">
        <v>0.0</v>
      </c>
      <c r="T943" s="84">
        <v>0.0</v>
      </c>
      <c r="U943" s="84">
        <v>0.0</v>
      </c>
      <c r="V943" s="84">
        <v>0.0</v>
      </c>
      <c r="W943" s="84">
        <v>0.0</v>
      </c>
      <c r="X943" s="84">
        <v>0.0</v>
      </c>
      <c r="Y943" s="84">
        <v>0.0</v>
      </c>
      <c r="Z943" s="84">
        <v>0.0</v>
      </c>
      <c r="AA943" s="84">
        <v>6.0</v>
      </c>
      <c r="AB943" s="84">
        <v>0.0</v>
      </c>
      <c r="AC943" s="91">
        <v>0.0</v>
      </c>
      <c r="AD943" s="84">
        <v>0.0</v>
      </c>
      <c r="AE943" s="84">
        <v>0.0</v>
      </c>
      <c r="AF943" s="84">
        <v>0.0</v>
      </c>
      <c r="AG943" s="84">
        <v>0.0</v>
      </c>
      <c r="AH943" s="84">
        <v>0.0</v>
      </c>
      <c r="AI943" s="84">
        <v>0.0</v>
      </c>
      <c r="AJ943" s="84">
        <v>0.0</v>
      </c>
      <c r="AK943" s="84">
        <v>0.0</v>
      </c>
      <c r="AL943" s="84">
        <v>0.0</v>
      </c>
      <c r="AM943" s="84">
        <v>0.0</v>
      </c>
      <c r="AN943" s="93">
        <f t="shared" si="1"/>
        <v>0</v>
      </c>
      <c r="AO943" s="84">
        <f t="shared" si="2"/>
        <v>0</v>
      </c>
    </row>
    <row r="944" ht="12.75" customHeight="1">
      <c r="A944" s="84" t="s">
        <v>2932</v>
      </c>
      <c r="B944" s="84">
        <v>3.0</v>
      </c>
      <c r="C944" s="84">
        <v>0.0</v>
      </c>
      <c r="D944" s="84">
        <v>0.0</v>
      </c>
      <c r="E944" s="84">
        <v>0.0</v>
      </c>
      <c r="F944" s="84">
        <v>0.0</v>
      </c>
      <c r="G944" s="84">
        <v>0.0</v>
      </c>
      <c r="H944" s="84">
        <v>0.0</v>
      </c>
      <c r="I944" s="91">
        <v>0.0</v>
      </c>
      <c r="J944" s="84">
        <v>0.0</v>
      </c>
      <c r="K944" s="84">
        <v>0.0</v>
      </c>
      <c r="L944" s="84">
        <v>0.0</v>
      </c>
      <c r="M944" s="84">
        <v>0.0</v>
      </c>
      <c r="N944" s="84">
        <v>0.0</v>
      </c>
      <c r="O944" s="84">
        <v>0.0</v>
      </c>
      <c r="P944" s="84">
        <v>0.0</v>
      </c>
      <c r="Q944" s="84">
        <v>0.0</v>
      </c>
      <c r="R944" s="84">
        <v>0.0</v>
      </c>
      <c r="S944" s="84">
        <v>0.0</v>
      </c>
      <c r="T944" s="84">
        <v>0.0</v>
      </c>
      <c r="U944" s="84">
        <v>0.0</v>
      </c>
      <c r="V944" s="84">
        <v>5.0</v>
      </c>
      <c r="W944" s="84">
        <v>4.0</v>
      </c>
      <c r="X944" s="84">
        <v>0.0</v>
      </c>
      <c r="Y944" s="84">
        <v>0.0</v>
      </c>
      <c r="Z944" s="84">
        <v>0.0</v>
      </c>
      <c r="AA944" s="84">
        <v>0.0</v>
      </c>
      <c r="AB944" s="84">
        <v>0.0</v>
      </c>
      <c r="AC944" s="91">
        <v>0.0</v>
      </c>
      <c r="AD944" s="84">
        <v>0.0</v>
      </c>
      <c r="AE944" s="84">
        <v>0.0</v>
      </c>
      <c r="AF944" s="84">
        <v>0.0</v>
      </c>
      <c r="AG944" s="84">
        <v>0.0</v>
      </c>
      <c r="AH944" s="84">
        <v>0.0</v>
      </c>
      <c r="AI944" s="84">
        <v>0.0</v>
      </c>
      <c r="AJ944" s="84">
        <v>0.0</v>
      </c>
      <c r="AK944" s="84">
        <v>0.0</v>
      </c>
      <c r="AL944" s="84">
        <v>0.0</v>
      </c>
      <c r="AM944" s="84">
        <v>0.0</v>
      </c>
      <c r="AN944" s="93">
        <f t="shared" si="1"/>
        <v>0</v>
      </c>
      <c r="AO944" s="84">
        <f t="shared" si="2"/>
        <v>0</v>
      </c>
    </row>
    <row r="945" ht="12.75" customHeight="1">
      <c r="A945" s="84" t="s">
        <v>2922</v>
      </c>
      <c r="B945" s="84">
        <v>2.0</v>
      </c>
      <c r="C945" s="84">
        <v>0.0</v>
      </c>
      <c r="D945" s="84">
        <v>0.0</v>
      </c>
      <c r="E945" s="84">
        <v>0.0</v>
      </c>
      <c r="F945" s="84">
        <v>0.0</v>
      </c>
      <c r="G945" s="84">
        <v>0.0</v>
      </c>
      <c r="H945" s="84">
        <v>0.0</v>
      </c>
      <c r="I945" s="91">
        <v>0.0</v>
      </c>
      <c r="J945" s="84">
        <v>0.0</v>
      </c>
      <c r="K945" s="84">
        <v>0.0</v>
      </c>
      <c r="L945" s="84">
        <v>0.0</v>
      </c>
      <c r="M945" s="84">
        <v>0.0</v>
      </c>
      <c r="N945" s="84">
        <v>0.0</v>
      </c>
      <c r="O945" s="84">
        <v>0.0</v>
      </c>
      <c r="P945" s="84">
        <v>0.0</v>
      </c>
      <c r="Q945" s="84">
        <v>0.0</v>
      </c>
      <c r="R945" s="84">
        <v>0.0</v>
      </c>
      <c r="S945" s="84">
        <v>0.0</v>
      </c>
      <c r="T945" s="84">
        <v>0.0</v>
      </c>
      <c r="U945" s="84">
        <v>0.0</v>
      </c>
      <c r="V945" s="84">
        <v>2.0</v>
      </c>
      <c r="W945" s="84">
        <v>0.0</v>
      </c>
      <c r="X945" s="84">
        <v>0.0</v>
      </c>
      <c r="Y945" s="84">
        <v>0.0</v>
      </c>
      <c r="Z945" s="84">
        <v>0.0</v>
      </c>
      <c r="AA945" s="84">
        <v>0.0</v>
      </c>
      <c r="AB945" s="84">
        <v>0.0</v>
      </c>
      <c r="AC945" s="91">
        <v>0.0</v>
      </c>
      <c r="AD945" s="84">
        <v>0.0</v>
      </c>
      <c r="AE945" s="84">
        <v>0.0</v>
      </c>
      <c r="AF945" s="84">
        <v>0.0</v>
      </c>
      <c r="AG945" s="84">
        <v>0.0</v>
      </c>
      <c r="AH945" s="84">
        <v>0.0</v>
      </c>
      <c r="AI945" s="84">
        <v>0.0</v>
      </c>
      <c r="AJ945" s="84">
        <v>0.0</v>
      </c>
      <c r="AK945" s="84">
        <v>0.0</v>
      </c>
      <c r="AL945" s="84">
        <v>0.0</v>
      </c>
      <c r="AM945" s="84">
        <v>0.0</v>
      </c>
      <c r="AN945" s="93">
        <f t="shared" si="1"/>
        <v>0</v>
      </c>
      <c r="AO945" s="84">
        <f t="shared" si="2"/>
        <v>0</v>
      </c>
    </row>
    <row r="946" ht="12.75" customHeight="1">
      <c r="A946" s="84" t="s">
        <v>2820</v>
      </c>
      <c r="B946" s="84">
        <v>2.0</v>
      </c>
      <c r="C946" s="84">
        <v>2.0</v>
      </c>
      <c r="D946" s="84">
        <v>0.0</v>
      </c>
      <c r="E946" s="84">
        <v>0.0</v>
      </c>
      <c r="F946" s="84">
        <v>0.0</v>
      </c>
      <c r="G946" s="84">
        <v>0.0</v>
      </c>
      <c r="H946" s="84">
        <v>0.0</v>
      </c>
      <c r="I946" s="91">
        <v>0.0</v>
      </c>
      <c r="J946" s="84">
        <v>0.0</v>
      </c>
      <c r="K946" s="84">
        <v>0.0</v>
      </c>
      <c r="L946" s="84">
        <v>0.0</v>
      </c>
      <c r="M946" s="84">
        <v>0.0</v>
      </c>
      <c r="N946" s="84">
        <v>0.0</v>
      </c>
      <c r="O946" s="84">
        <v>0.0</v>
      </c>
      <c r="P946" s="84">
        <v>0.0</v>
      </c>
      <c r="Q946" s="84">
        <v>0.0</v>
      </c>
      <c r="R946" s="84">
        <v>0.0</v>
      </c>
      <c r="S946" s="84">
        <v>0.0</v>
      </c>
      <c r="T946" s="84">
        <v>0.0</v>
      </c>
      <c r="U946" s="84">
        <v>0.0</v>
      </c>
      <c r="V946" s="84">
        <v>1.0</v>
      </c>
      <c r="W946" s="84">
        <v>0.0</v>
      </c>
      <c r="X946" s="84">
        <v>0.0</v>
      </c>
      <c r="Y946" s="84">
        <v>0.0</v>
      </c>
      <c r="Z946" s="84">
        <v>0.0</v>
      </c>
      <c r="AA946" s="84">
        <v>0.0</v>
      </c>
      <c r="AB946" s="84">
        <v>0.0</v>
      </c>
      <c r="AC946" s="91">
        <v>0.0</v>
      </c>
      <c r="AD946" s="84">
        <v>0.0</v>
      </c>
      <c r="AE946" s="84">
        <v>0.0</v>
      </c>
      <c r="AF946" s="84">
        <v>0.0</v>
      </c>
      <c r="AG946" s="84">
        <v>0.0</v>
      </c>
      <c r="AH946" s="84">
        <v>0.0</v>
      </c>
      <c r="AI946" s="84">
        <v>0.0</v>
      </c>
      <c r="AJ946" s="84">
        <v>0.0</v>
      </c>
      <c r="AK946" s="84">
        <v>0.0</v>
      </c>
      <c r="AL946" s="84">
        <v>0.0</v>
      </c>
      <c r="AM946" s="84">
        <v>0.0</v>
      </c>
      <c r="AN946" s="93">
        <f t="shared" si="1"/>
        <v>0</v>
      </c>
      <c r="AO946" s="84">
        <f t="shared" si="2"/>
        <v>0</v>
      </c>
    </row>
    <row r="947" ht="12.75" customHeight="1">
      <c r="A947" s="84" t="s">
        <v>3388</v>
      </c>
      <c r="B947" s="84">
        <v>0.0</v>
      </c>
      <c r="C947" s="84">
        <v>0.0</v>
      </c>
      <c r="D947" s="84">
        <v>5.0</v>
      </c>
      <c r="E947" s="84">
        <v>0.0</v>
      </c>
      <c r="F947" s="84">
        <v>0.0</v>
      </c>
      <c r="G947" s="84">
        <v>0.0</v>
      </c>
      <c r="H947" s="84">
        <v>0.0</v>
      </c>
      <c r="I947" s="91">
        <v>0.0</v>
      </c>
      <c r="J947" s="84">
        <v>0.0</v>
      </c>
      <c r="K947" s="84">
        <v>0.0</v>
      </c>
      <c r="L947" s="84">
        <v>0.0</v>
      </c>
      <c r="M947" s="84">
        <v>0.0</v>
      </c>
      <c r="N947" s="84">
        <v>0.0</v>
      </c>
      <c r="O947" s="84">
        <v>0.0</v>
      </c>
      <c r="P947" s="84">
        <v>0.0</v>
      </c>
      <c r="Q947" s="84">
        <v>0.0</v>
      </c>
      <c r="R947" s="84">
        <v>0.0</v>
      </c>
      <c r="S947" s="84">
        <v>0.0</v>
      </c>
      <c r="T947" s="84">
        <v>0.0</v>
      </c>
      <c r="U947" s="84">
        <v>0.0</v>
      </c>
      <c r="V947" s="84">
        <v>0.0</v>
      </c>
      <c r="W947" s="84">
        <v>0.0</v>
      </c>
      <c r="X947" s="84">
        <v>6.0</v>
      </c>
      <c r="Y947" s="84">
        <v>2.0</v>
      </c>
      <c r="Z947" s="84">
        <v>0.0</v>
      </c>
      <c r="AA947" s="84">
        <v>0.0</v>
      </c>
      <c r="AB947" s="84">
        <v>0.0</v>
      </c>
      <c r="AC947" s="91">
        <v>0.0</v>
      </c>
      <c r="AD947" s="84">
        <v>0.0</v>
      </c>
      <c r="AE947" s="84">
        <v>0.0</v>
      </c>
      <c r="AF947" s="84">
        <v>0.0</v>
      </c>
      <c r="AG947" s="84">
        <v>0.0</v>
      </c>
      <c r="AH947" s="84">
        <v>0.0</v>
      </c>
      <c r="AI947" s="84">
        <v>0.0</v>
      </c>
      <c r="AJ947" s="84">
        <v>0.0</v>
      </c>
      <c r="AK947" s="84">
        <v>0.0</v>
      </c>
      <c r="AL947" s="84">
        <v>0.0</v>
      </c>
      <c r="AM947" s="84">
        <v>0.0</v>
      </c>
      <c r="AN947" s="93">
        <f t="shared" si="1"/>
        <v>0</v>
      </c>
      <c r="AO947" s="84">
        <f t="shared" si="2"/>
        <v>0</v>
      </c>
    </row>
    <row r="948" ht="12.75" customHeight="1">
      <c r="A948" s="84" t="s">
        <v>4690</v>
      </c>
      <c r="B948" s="84">
        <v>0.0</v>
      </c>
      <c r="C948" s="84">
        <v>0.0</v>
      </c>
      <c r="D948" s="84">
        <v>0.0</v>
      </c>
      <c r="E948" s="84">
        <v>0.0</v>
      </c>
      <c r="F948" s="84">
        <v>0.0</v>
      </c>
      <c r="G948" s="84">
        <v>0.0</v>
      </c>
      <c r="H948" s="84">
        <v>0.0</v>
      </c>
      <c r="I948" s="91">
        <v>0.0</v>
      </c>
      <c r="J948" s="84">
        <v>0.0</v>
      </c>
      <c r="K948" s="84">
        <v>0.0</v>
      </c>
      <c r="L948" s="84">
        <v>0.0</v>
      </c>
      <c r="M948" s="84">
        <v>0.0</v>
      </c>
      <c r="N948" s="84">
        <v>0.0</v>
      </c>
      <c r="O948" s="84">
        <v>0.0</v>
      </c>
      <c r="P948" s="84">
        <v>0.0</v>
      </c>
      <c r="Q948" s="84">
        <v>0.0</v>
      </c>
      <c r="R948" s="84">
        <v>0.0</v>
      </c>
      <c r="S948" s="84">
        <v>0.0</v>
      </c>
      <c r="T948" s="84">
        <v>0.0</v>
      </c>
      <c r="U948" s="84">
        <v>0.0</v>
      </c>
      <c r="V948" s="84">
        <v>0.0</v>
      </c>
      <c r="W948" s="84">
        <v>0.0</v>
      </c>
      <c r="X948" s="84">
        <v>0.0</v>
      </c>
      <c r="Y948" s="84">
        <v>0.0</v>
      </c>
      <c r="Z948" s="84">
        <v>0.0</v>
      </c>
      <c r="AA948" s="84">
        <v>0.0</v>
      </c>
      <c r="AB948" s="84">
        <v>0.0</v>
      </c>
      <c r="AC948" s="91">
        <v>0.0</v>
      </c>
      <c r="AD948" s="84">
        <v>0.0</v>
      </c>
      <c r="AE948" s="84">
        <v>0.0</v>
      </c>
      <c r="AF948" s="84">
        <v>0.0</v>
      </c>
      <c r="AG948" s="84">
        <v>0.0</v>
      </c>
      <c r="AH948" s="84">
        <v>0.0</v>
      </c>
      <c r="AI948" s="84">
        <v>0.0</v>
      </c>
      <c r="AJ948" s="84">
        <v>0.0</v>
      </c>
      <c r="AK948" s="84">
        <v>0.0</v>
      </c>
      <c r="AL948" s="84">
        <v>0.0</v>
      </c>
      <c r="AM948" s="84">
        <v>1.0</v>
      </c>
      <c r="AN948" s="93">
        <f t="shared" si="1"/>
        <v>0</v>
      </c>
      <c r="AO948" s="84">
        <f t="shared" si="2"/>
        <v>1</v>
      </c>
    </row>
    <row r="949" ht="12.75" customHeight="1">
      <c r="A949" s="84" t="s">
        <v>3908</v>
      </c>
      <c r="B949" s="84">
        <v>0.0</v>
      </c>
      <c r="C949" s="84">
        <v>0.0</v>
      </c>
      <c r="D949" s="84">
        <v>0.0</v>
      </c>
      <c r="E949" s="84">
        <v>0.0</v>
      </c>
      <c r="F949" s="84">
        <v>0.0</v>
      </c>
      <c r="G949" s="84">
        <v>0.0</v>
      </c>
      <c r="H949" s="84">
        <v>5.0</v>
      </c>
      <c r="I949" s="91">
        <v>0.0</v>
      </c>
      <c r="J949" s="84">
        <v>0.0</v>
      </c>
      <c r="K949" s="84">
        <v>0.0</v>
      </c>
      <c r="L949" s="84">
        <v>0.0</v>
      </c>
      <c r="M949" s="84">
        <v>0.0</v>
      </c>
      <c r="N949" s="84">
        <v>0.0</v>
      </c>
      <c r="O949" s="84">
        <v>0.0</v>
      </c>
      <c r="P949" s="84">
        <v>0.0</v>
      </c>
      <c r="Q949" s="84">
        <v>0.0</v>
      </c>
      <c r="R949" s="84">
        <v>0.0</v>
      </c>
      <c r="S949" s="84">
        <v>0.0</v>
      </c>
      <c r="T949" s="84">
        <v>0.0</v>
      </c>
      <c r="U949" s="84">
        <v>0.0</v>
      </c>
      <c r="V949" s="84">
        <v>0.0</v>
      </c>
      <c r="W949" s="84">
        <v>0.0</v>
      </c>
      <c r="X949" s="84">
        <v>0.0</v>
      </c>
      <c r="Y949" s="84">
        <v>0.0</v>
      </c>
      <c r="Z949" s="84">
        <v>0.0</v>
      </c>
      <c r="AA949" s="84">
        <v>0.0</v>
      </c>
      <c r="AB949" s="84">
        <v>6.0</v>
      </c>
      <c r="AC949" s="91">
        <v>0.0</v>
      </c>
      <c r="AD949" s="84">
        <v>0.0</v>
      </c>
      <c r="AE949" s="84">
        <v>0.0</v>
      </c>
      <c r="AF949" s="84">
        <v>0.0</v>
      </c>
      <c r="AG949" s="84">
        <v>0.0</v>
      </c>
      <c r="AH949" s="84">
        <v>0.0</v>
      </c>
      <c r="AI949" s="84">
        <v>0.0</v>
      </c>
      <c r="AJ949" s="84">
        <v>0.0</v>
      </c>
      <c r="AK949" s="84">
        <v>0.0</v>
      </c>
      <c r="AL949" s="84">
        <v>0.0</v>
      </c>
      <c r="AM949" s="84">
        <v>0.0</v>
      </c>
      <c r="AN949" s="93">
        <f t="shared" si="1"/>
        <v>0</v>
      </c>
      <c r="AO949" s="84">
        <f t="shared" si="2"/>
        <v>0</v>
      </c>
    </row>
    <row r="950" ht="12.75" customHeight="1">
      <c r="A950" s="84" t="s">
        <v>2915</v>
      </c>
      <c r="B950" s="84">
        <v>2.0</v>
      </c>
      <c r="C950" s="84">
        <v>0.0</v>
      </c>
      <c r="D950" s="84">
        <v>0.0</v>
      </c>
      <c r="E950" s="84">
        <v>0.0</v>
      </c>
      <c r="F950" s="84">
        <v>0.0</v>
      </c>
      <c r="G950" s="84">
        <v>0.0</v>
      </c>
      <c r="H950" s="84">
        <v>0.0</v>
      </c>
      <c r="I950" s="91">
        <v>0.0</v>
      </c>
      <c r="J950" s="84">
        <v>0.0</v>
      </c>
      <c r="K950" s="84">
        <v>0.0</v>
      </c>
      <c r="L950" s="84">
        <v>0.0</v>
      </c>
      <c r="M950" s="84">
        <v>0.0</v>
      </c>
      <c r="N950" s="84">
        <v>0.0</v>
      </c>
      <c r="O950" s="84">
        <v>0.0</v>
      </c>
      <c r="P950" s="84">
        <v>0.0</v>
      </c>
      <c r="Q950" s="84">
        <v>0.0</v>
      </c>
      <c r="R950" s="84">
        <v>0.0</v>
      </c>
      <c r="S950" s="84">
        <v>0.0</v>
      </c>
      <c r="T950" s="84">
        <v>0.0</v>
      </c>
      <c r="U950" s="84">
        <v>0.0</v>
      </c>
      <c r="V950" s="84">
        <v>1.0</v>
      </c>
      <c r="W950" s="84">
        <v>2.0</v>
      </c>
      <c r="X950" s="84">
        <v>0.0</v>
      </c>
      <c r="Y950" s="84">
        <v>0.0</v>
      </c>
      <c r="Z950" s="84">
        <v>0.0</v>
      </c>
      <c r="AA950" s="84">
        <v>0.0</v>
      </c>
      <c r="AB950" s="84">
        <v>0.0</v>
      </c>
      <c r="AC950" s="91">
        <v>0.0</v>
      </c>
      <c r="AD950" s="84">
        <v>0.0</v>
      </c>
      <c r="AE950" s="84">
        <v>0.0</v>
      </c>
      <c r="AF950" s="84">
        <v>0.0</v>
      </c>
      <c r="AG950" s="84">
        <v>0.0</v>
      </c>
      <c r="AH950" s="84">
        <v>0.0</v>
      </c>
      <c r="AI950" s="84">
        <v>0.0</v>
      </c>
      <c r="AJ950" s="84">
        <v>0.0</v>
      </c>
      <c r="AK950" s="84">
        <v>0.0</v>
      </c>
      <c r="AL950" s="84">
        <v>0.0</v>
      </c>
      <c r="AM950" s="84">
        <v>0.0</v>
      </c>
      <c r="AN950" s="93">
        <f t="shared" si="1"/>
        <v>0</v>
      </c>
      <c r="AO950" s="84">
        <f t="shared" si="2"/>
        <v>0</v>
      </c>
    </row>
    <row r="951" ht="12.75" customHeight="1">
      <c r="A951" s="84" t="s">
        <v>2783</v>
      </c>
      <c r="B951" s="84">
        <v>2.0</v>
      </c>
      <c r="C951" s="84">
        <v>0.0</v>
      </c>
      <c r="D951" s="84">
        <v>0.0</v>
      </c>
      <c r="E951" s="84">
        <v>0.0</v>
      </c>
      <c r="F951" s="84">
        <v>0.0</v>
      </c>
      <c r="G951" s="84">
        <v>0.0</v>
      </c>
      <c r="H951" s="84">
        <v>0.0</v>
      </c>
      <c r="I951" s="91">
        <v>0.0</v>
      </c>
      <c r="J951" s="84">
        <v>0.0</v>
      </c>
      <c r="K951" s="84">
        <v>0.0</v>
      </c>
      <c r="L951" s="84">
        <v>0.0</v>
      </c>
      <c r="M951" s="84">
        <v>0.0</v>
      </c>
      <c r="N951" s="84">
        <v>0.0</v>
      </c>
      <c r="O951" s="84">
        <v>0.0</v>
      </c>
      <c r="P951" s="84">
        <v>0.0</v>
      </c>
      <c r="Q951" s="84">
        <v>0.0</v>
      </c>
      <c r="R951" s="84">
        <v>0.0</v>
      </c>
      <c r="S951" s="84">
        <v>0.0</v>
      </c>
      <c r="T951" s="84">
        <v>0.0</v>
      </c>
      <c r="U951" s="84">
        <v>0.0</v>
      </c>
      <c r="V951" s="84">
        <v>2.0</v>
      </c>
      <c r="W951" s="84">
        <v>1.0</v>
      </c>
      <c r="X951" s="84">
        <v>0.0</v>
      </c>
      <c r="Y951" s="84">
        <v>0.0</v>
      </c>
      <c r="Z951" s="84">
        <v>0.0</v>
      </c>
      <c r="AA951" s="84">
        <v>0.0</v>
      </c>
      <c r="AB951" s="84">
        <v>0.0</v>
      </c>
      <c r="AC951" s="91">
        <v>0.0</v>
      </c>
      <c r="AD951" s="84">
        <v>0.0</v>
      </c>
      <c r="AE951" s="84">
        <v>0.0</v>
      </c>
      <c r="AF951" s="84">
        <v>0.0</v>
      </c>
      <c r="AG951" s="84">
        <v>0.0</v>
      </c>
      <c r="AH951" s="84">
        <v>0.0</v>
      </c>
      <c r="AI951" s="84">
        <v>0.0</v>
      </c>
      <c r="AJ951" s="84">
        <v>0.0</v>
      </c>
      <c r="AK951" s="84">
        <v>0.0</v>
      </c>
      <c r="AL951" s="84">
        <v>0.0</v>
      </c>
      <c r="AM951" s="84">
        <v>0.0</v>
      </c>
      <c r="AN951" s="93">
        <f t="shared" si="1"/>
        <v>0</v>
      </c>
      <c r="AO951" s="84">
        <f t="shared" si="2"/>
        <v>0</v>
      </c>
    </row>
    <row r="952" ht="12.75" customHeight="1">
      <c r="A952" s="84" t="s">
        <v>3044</v>
      </c>
      <c r="B952" s="84">
        <v>1.0</v>
      </c>
      <c r="C952" s="84">
        <v>0.0</v>
      </c>
      <c r="D952" s="84">
        <v>0.0</v>
      </c>
      <c r="E952" s="84">
        <v>0.0</v>
      </c>
      <c r="F952" s="84">
        <v>0.0</v>
      </c>
      <c r="G952" s="84">
        <v>0.0</v>
      </c>
      <c r="H952" s="84">
        <v>0.0</v>
      </c>
      <c r="I952" s="91">
        <v>0.0</v>
      </c>
      <c r="J952" s="84">
        <v>0.0</v>
      </c>
      <c r="K952" s="84">
        <v>0.0</v>
      </c>
      <c r="L952" s="84">
        <v>0.0</v>
      </c>
      <c r="M952" s="84">
        <v>0.0</v>
      </c>
      <c r="N952" s="84">
        <v>0.0</v>
      </c>
      <c r="O952" s="84">
        <v>0.0</v>
      </c>
      <c r="P952" s="84">
        <v>0.0</v>
      </c>
      <c r="Q952" s="84">
        <v>0.0</v>
      </c>
      <c r="R952" s="84">
        <v>0.0</v>
      </c>
      <c r="S952" s="84">
        <v>0.0</v>
      </c>
      <c r="T952" s="84">
        <v>0.0</v>
      </c>
      <c r="U952" s="84">
        <v>0.0</v>
      </c>
      <c r="V952" s="84">
        <v>7.0</v>
      </c>
      <c r="W952" s="84">
        <v>5.0</v>
      </c>
      <c r="X952" s="84">
        <v>0.0</v>
      </c>
      <c r="Y952" s="84">
        <v>0.0</v>
      </c>
      <c r="Z952" s="84">
        <v>0.0</v>
      </c>
      <c r="AA952" s="84">
        <v>0.0</v>
      </c>
      <c r="AB952" s="84">
        <v>0.0</v>
      </c>
      <c r="AC952" s="91">
        <v>0.0</v>
      </c>
      <c r="AD952" s="84">
        <v>0.0</v>
      </c>
      <c r="AE952" s="84">
        <v>0.0</v>
      </c>
      <c r="AF952" s="84">
        <v>0.0</v>
      </c>
      <c r="AG952" s="84">
        <v>0.0</v>
      </c>
      <c r="AH952" s="84">
        <v>0.0</v>
      </c>
      <c r="AI952" s="84">
        <v>0.0</v>
      </c>
      <c r="AJ952" s="84">
        <v>0.0</v>
      </c>
      <c r="AK952" s="84">
        <v>0.0</v>
      </c>
      <c r="AL952" s="84">
        <v>0.0</v>
      </c>
      <c r="AM952" s="84">
        <v>0.0</v>
      </c>
      <c r="AN952" s="93">
        <f t="shared" si="1"/>
        <v>0</v>
      </c>
      <c r="AO952" s="84">
        <f t="shared" si="2"/>
        <v>0</v>
      </c>
    </row>
    <row r="953" ht="12.75" customHeight="1">
      <c r="A953" s="84" t="s">
        <v>2765</v>
      </c>
      <c r="B953" s="84">
        <v>3.0</v>
      </c>
      <c r="C953" s="84">
        <v>0.0</v>
      </c>
      <c r="D953" s="84">
        <v>0.0</v>
      </c>
      <c r="E953" s="84">
        <v>0.0</v>
      </c>
      <c r="F953" s="84">
        <v>0.0</v>
      </c>
      <c r="G953" s="84">
        <v>0.0</v>
      </c>
      <c r="H953" s="84">
        <v>0.0</v>
      </c>
      <c r="I953" s="91">
        <v>0.0</v>
      </c>
      <c r="J953" s="84">
        <v>0.0</v>
      </c>
      <c r="K953" s="84">
        <v>0.0</v>
      </c>
      <c r="L953" s="84">
        <v>0.0</v>
      </c>
      <c r="M953" s="84">
        <v>0.0</v>
      </c>
      <c r="N953" s="84">
        <v>0.0</v>
      </c>
      <c r="O953" s="84">
        <v>0.0</v>
      </c>
      <c r="P953" s="84">
        <v>0.0</v>
      </c>
      <c r="Q953" s="84">
        <v>0.0</v>
      </c>
      <c r="R953" s="84">
        <v>0.0</v>
      </c>
      <c r="S953" s="84">
        <v>0.0</v>
      </c>
      <c r="T953" s="84">
        <v>0.0</v>
      </c>
      <c r="U953" s="84">
        <v>0.0</v>
      </c>
      <c r="V953" s="84">
        <v>2.0</v>
      </c>
      <c r="W953" s="84">
        <v>2.0</v>
      </c>
      <c r="X953" s="84">
        <v>0.0</v>
      </c>
      <c r="Y953" s="84">
        <v>0.0</v>
      </c>
      <c r="Z953" s="84">
        <v>0.0</v>
      </c>
      <c r="AA953" s="84">
        <v>0.0</v>
      </c>
      <c r="AB953" s="84">
        <v>0.0</v>
      </c>
      <c r="AC953" s="91">
        <v>0.0</v>
      </c>
      <c r="AD953" s="84">
        <v>0.0</v>
      </c>
      <c r="AE953" s="84">
        <v>0.0</v>
      </c>
      <c r="AF953" s="84">
        <v>0.0</v>
      </c>
      <c r="AG953" s="84">
        <v>0.0</v>
      </c>
      <c r="AH953" s="84">
        <v>0.0</v>
      </c>
      <c r="AI953" s="84">
        <v>0.0</v>
      </c>
      <c r="AJ953" s="84">
        <v>0.0</v>
      </c>
      <c r="AK953" s="84">
        <v>0.0</v>
      </c>
      <c r="AL953" s="84">
        <v>0.0</v>
      </c>
      <c r="AM953" s="84">
        <v>0.0</v>
      </c>
      <c r="AN953" s="93">
        <f t="shared" si="1"/>
        <v>0</v>
      </c>
      <c r="AO953" s="84">
        <f t="shared" si="2"/>
        <v>0</v>
      </c>
    </row>
    <row r="954" ht="12.75" customHeight="1">
      <c r="A954" s="84" t="s">
        <v>2911</v>
      </c>
      <c r="B954" s="84">
        <v>3.0</v>
      </c>
      <c r="C954" s="84">
        <v>1.0</v>
      </c>
      <c r="D954" s="84">
        <v>0.0</v>
      </c>
      <c r="E954" s="84">
        <v>0.0</v>
      </c>
      <c r="F954" s="84">
        <v>0.0</v>
      </c>
      <c r="G954" s="84">
        <v>0.0</v>
      </c>
      <c r="H954" s="84">
        <v>0.0</v>
      </c>
      <c r="I954" s="91">
        <v>0.0</v>
      </c>
      <c r="J954" s="84">
        <v>0.0</v>
      </c>
      <c r="K954" s="84">
        <v>0.0</v>
      </c>
      <c r="L954" s="84">
        <v>0.0</v>
      </c>
      <c r="M954" s="84">
        <v>0.0</v>
      </c>
      <c r="N954" s="84">
        <v>0.0</v>
      </c>
      <c r="O954" s="84">
        <v>0.0</v>
      </c>
      <c r="P954" s="84">
        <v>0.0</v>
      </c>
      <c r="Q954" s="84">
        <v>0.0</v>
      </c>
      <c r="R954" s="84">
        <v>0.0</v>
      </c>
      <c r="S954" s="84">
        <v>0.0</v>
      </c>
      <c r="T954" s="84">
        <v>0.0</v>
      </c>
      <c r="U954" s="84">
        <v>0.0</v>
      </c>
      <c r="V954" s="84">
        <v>3.0</v>
      </c>
      <c r="W954" s="84">
        <v>0.0</v>
      </c>
      <c r="X954" s="84">
        <v>0.0</v>
      </c>
      <c r="Y954" s="84">
        <v>0.0</v>
      </c>
      <c r="Z954" s="84">
        <v>0.0</v>
      </c>
      <c r="AA954" s="84">
        <v>0.0</v>
      </c>
      <c r="AB954" s="84">
        <v>0.0</v>
      </c>
      <c r="AC954" s="91">
        <v>0.0</v>
      </c>
      <c r="AD954" s="84">
        <v>0.0</v>
      </c>
      <c r="AE954" s="84">
        <v>0.0</v>
      </c>
      <c r="AF954" s="84">
        <v>0.0</v>
      </c>
      <c r="AG954" s="84">
        <v>0.0</v>
      </c>
      <c r="AH954" s="84">
        <v>0.0</v>
      </c>
      <c r="AI954" s="84">
        <v>0.0</v>
      </c>
      <c r="AJ954" s="84">
        <v>0.0</v>
      </c>
      <c r="AK954" s="84">
        <v>0.0</v>
      </c>
      <c r="AL954" s="84">
        <v>0.0</v>
      </c>
      <c r="AM954" s="84">
        <v>0.0</v>
      </c>
      <c r="AN954" s="93">
        <f t="shared" si="1"/>
        <v>0</v>
      </c>
      <c r="AO954" s="84">
        <f t="shared" si="2"/>
        <v>0</v>
      </c>
    </row>
    <row r="955" ht="12.75" customHeight="1">
      <c r="A955" s="84" t="s">
        <v>3420</v>
      </c>
      <c r="B955" s="84">
        <v>0.0</v>
      </c>
      <c r="C955" s="84">
        <v>0.0</v>
      </c>
      <c r="D955" s="84">
        <v>5.0</v>
      </c>
      <c r="E955" s="84">
        <v>0.0</v>
      </c>
      <c r="F955" s="84">
        <v>0.0</v>
      </c>
      <c r="G955" s="84">
        <v>0.0</v>
      </c>
      <c r="H955" s="84">
        <v>0.0</v>
      </c>
      <c r="I955" s="91">
        <v>0.0</v>
      </c>
      <c r="J955" s="84">
        <v>0.0</v>
      </c>
      <c r="K955" s="84">
        <v>0.0</v>
      </c>
      <c r="L955" s="84">
        <v>0.0</v>
      </c>
      <c r="M955" s="84">
        <v>0.0</v>
      </c>
      <c r="N955" s="84">
        <v>0.0</v>
      </c>
      <c r="O955" s="84">
        <v>0.0</v>
      </c>
      <c r="P955" s="84">
        <v>0.0</v>
      </c>
      <c r="Q955" s="84">
        <v>0.0</v>
      </c>
      <c r="R955" s="84">
        <v>0.0</v>
      </c>
      <c r="S955" s="84">
        <v>0.0</v>
      </c>
      <c r="T955" s="84">
        <v>0.0</v>
      </c>
      <c r="U955" s="84">
        <v>0.0</v>
      </c>
      <c r="V955" s="84">
        <v>0.0</v>
      </c>
      <c r="W955" s="84">
        <v>0.0</v>
      </c>
      <c r="X955" s="84">
        <v>7.0</v>
      </c>
      <c r="Y955" s="84">
        <v>3.0</v>
      </c>
      <c r="Z955" s="84">
        <v>0.0</v>
      </c>
      <c r="AA955" s="84">
        <v>0.0</v>
      </c>
      <c r="AB955" s="84">
        <v>0.0</v>
      </c>
      <c r="AC955" s="91">
        <v>0.0</v>
      </c>
      <c r="AD955" s="84">
        <v>0.0</v>
      </c>
      <c r="AE955" s="84">
        <v>0.0</v>
      </c>
      <c r="AF955" s="84">
        <v>0.0</v>
      </c>
      <c r="AG955" s="84">
        <v>0.0</v>
      </c>
      <c r="AH955" s="84">
        <v>0.0</v>
      </c>
      <c r="AI955" s="84">
        <v>0.0</v>
      </c>
      <c r="AJ955" s="84">
        <v>0.0</v>
      </c>
      <c r="AK955" s="84">
        <v>0.0</v>
      </c>
      <c r="AL955" s="84">
        <v>0.0</v>
      </c>
      <c r="AM955" s="84">
        <v>0.0</v>
      </c>
      <c r="AN955" s="93">
        <f t="shared" si="1"/>
        <v>0</v>
      </c>
      <c r="AO955" s="84">
        <f t="shared" si="2"/>
        <v>0</v>
      </c>
    </row>
    <row r="956" ht="12.75" customHeight="1">
      <c r="A956" s="84" t="s">
        <v>3142</v>
      </c>
      <c r="B956" s="84">
        <v>0.0</v>
      </c>
      <c r="C956" s="84">
        <v>4.0</v>
      </c>
      <c r="D956" s="84">
        <v>2.0</v>
      </c>
      <c r="E956" s="84">
        <v>0.0</v>
      </c>
      <c r="F956" s="84">
        <v>0.0</v>
      </c>
      <c r="G956" s="84">
        <v>0.0</v>
      </c>
      <c r="H956" s="84">
        <v>0.0</v>
      </c>
      <c r="I956" s="91">
        <v>0.0</v>
      </c>
      <c r="J956" s="84">
        <v>0.0</v>
      </c>
      <c r="K956" s="84">
        <v>0.0</v>
      </c>
      <c r="L956" s="84">
        <v>0.0</v>
      </c>
      <c r="M956" s="84">
        <v>0.0</v>
      </c>
      <c r="N956" s="84">
        <v>0.0</v>
      </c>
      <c r="O956" s="84">
        <v>0.0</v>
      </c>
      <c r="P956" s="84">
        <v>0.0</v>
      </c>
      <c r="Q956" s="84">
        <v>0.0</v>
      </c>
      <c r="R956" s="84">
        <v>0.0</v>
      </c>
      <c r="S956" s="84">
        <v>0.0</v>
      </c>
      <c r="T956" s="84">
        <v>0.0</v>
      </c>
      <c r="U956" s="84">
        <v>0.0</v>
      </c>
      <c r="V956" s="84">
        <v>0.0</v>
      </c>
      <c r="W956" s="84">
        <v>3.0</v>
      </c>
      <c r="X956" s="84">
        <v>2.0</v>
      </c>
      <c r="Y956" s="84">
        <v>0.0</v>
      </c>
      <c r="Z956" s="84">
        <v>0.0</v>
      </c>
      <c r="AA956" s="84">
        <v>0.0</v>
      </c>
      <c r="AB956" s="84">
        <v>0.0</v>
      </c>
      <c r="AC956" s="91">
        <v>0.0</v>
      </c>
      <c r="AD956" s="84">
        <v>0.0</v>
      </c>
      <c r="AE956" s="84">
        <v>0.0</v>
      </c>
      <c r="AF956" s="84">
        <v>0.0</v>
      </c>
      <c r="AG956" s="84">
        <v>0.0</v>
      </c>
      <c r="AH956" s="84">
        <v>0.0</v>
      </c>
      <c r="AI956" s="84">
        <v>0.0</v>
      </c>
      <c r="AJ956" s="84">
        <v>0.0</v>
      </c>
      <c r="AK956" s="84">
        <v>0.0</v>
      </c>
      <c r="AL956" s="84">
        <v>0.0</v>
      </c>
      <c r="AM956" s="84">
        <v>0.0</v>
      </c>
      <c r="AN956" s="93">
        <f t="shared" si="1"/>
        <v>0</v>
      </c>
      <c r="AO956" s="84">
        <f t="shared" si="2"/>
        <v>0</v>
      </c>
    </row>
    <row r="957" ht="12.75" customHeight="1">
      <c r="A957" s="84" t="s">
        <v>4551</v>
      </c>
      <c r="B957" s="84">
        <v>0.0</v>
      </c>
      <c r="C957" s="84">
        <v>0.0</v>
      </c>
      <c r="D957" s="84">
        <v>0.0</v>
      </c>
      <c r="E957" s="84">
        <v>0.0</v>
      </c>
      <c r="F957" s="84">
        <v>0.0</v>
      </c>
      <c r="G957" s="84">
        <v>0.0</v>
      </c>
      <c r="H957" s="84">
        <v>0.0</v>
      </c>
      <c r="I957" s="91">
        <v>0.0</v>
      </c>
      <c r="J957" s="84">
        <v>0.0</v>
      </c>
      <c r="K957" s="84">
        <v>0.0</v>
      </c>
      <c r="L957" s="84">
        <v>0.0</v>
      </c>
      <c r="M957" s="84">
        <v>0.0</v>
      </c>
      <c r="N957" s="84">
        <v>0.0</v>
      </c>
      <c r="O957" s="84">
        <v>0.0</v>
      </c>
      <c r="P957" s="84">
        <v>1.0</v>
      </c>
      <c r="Q957" s="84">
        <v>0.0</v>
      </c>
      <c r="R957" s="84">
        <v>0.0</v>
      </c>
      <c r="S957" s="84">
        <v>0.0</v>
      </c>
      <c r="T957" s="84">
        <v>0.0</v>
      </c>
      <c r="U957" s="84">
        <v>0.0</v>
      </c>
      <c r="V957" s="84">
        <v>0.0</v>
      </c>
      <c r="W957" s="84">
        <v>0.0</v>
      </c>
      <c r="X957" s="84">
        <v>0.0</v>
      </c>
      <c r="Y957" s="84">
        <v>0.0</v>
      </c>
      <c r="Z957" s="84">
        <v>0.0</v>
      </c>
      <c r="AA957" s="84">
        <v>0.0</v>
      </c>
      <c r="AB957" s="84">
        <v>0.0</v>
      </c>
      <c r="AC957" s="91">
        <v>0.0</v>
      </c>
      <c r="AD957" s="84">
        <v>0.0</v>
      </c>
      <c r="AE957" s="84">
        <v>0.0</v>
      </c>
      <c r="AF957" s="84">
        <v>0.0</v>
      </c>
      <c r="AG957" s="84">
        <v>0.0</v>
      </c>
      <c r="AH957" s="84">
        <v>0.0</v>
      </c>
      <c r="AI957" s="84">
        <v>0.0</v>
      </c>
      <c r="AJ957" s="84">
        <v>0.0</v>
      </c>
      <c r="AK957" s="84">
        <v>0.0</v>
      </c>
      <c r="AL957" s="84">
        <v>0.0</v>
      </c>
      <c r="AM957" s="84">
        <v>0.0</v>
      </c>
      <c r="AN957" s="93">
        <f t="shared" si="1"/>
        <v>0</v>
      </c>
      <c r="AO957" s="84">
        <f t="shared" si="2"/>
        <v>1</v>
      </c>
    </row>
    <row r="958" ht="12.75" customHeight="1">
      <c r="A958" s="84" t="s">
        <v>3022</v>
      </c>
      <c r="B958" s="84">
        <v>2.0</v>
      </c>
      <c r="C958" s="84">
        <v>0.0</v>
      </c>
      <c r="D958" s="84">
        <v>0.0</v>
      </c>
      <c r="E958" s="84">
        <v>0.0</v>
      </c>
      <c r="F958" s="84">
        <v>0.0</v>
      </c>
      <c r="G958" s="84">
        <v>0.0</v>
      </c>
      <c r="H958" s="84">
        <v>0.0</v>
      </c>
      <c r="I958" s="91">
        <v>0.0</v>
      </c>
      <c r="J958" s="84">
        <v>0.0</v>
      </c>
      <c r="K958" s="84">
        <v>0.0</v>
      </c>
      <c r="L958" s="84">
        <v>0.0</v>
      </c>
      <c r="M958" s="84">
        <v>0.0</v>
      </c>
      <c r="N958" s="84">
        <v>0.0</v>
      </c>
      <c r="O958" s="84">
        <v>0.0</v>
      </c>
      <c r="P958" s="84">
        <v>0.0</v>
      </c>
      <c r="Q958" s="84">
        <v>0.0</v>
      </c>
      <c r="R958" s="84">
        <v>0.0</v>
      </c>
      <c r="S958" s="84">
        <v>0.0</v>
      </c>
      <c r="T958" s="84">
        <v>0.0</v>
      </c>
      <c r="U958" s="84">
        <v>0.0</v>
      </c>
      <c r="V958" s="84">
        <v>6.0</v>
      </c>
      <c r="W958" s="84">
        <v>1.0</v>
      </c>
      <c r="X958" s="84">
        <v>0.0</v>
      </c>
      <c r="Y958" s="84">
        <v>0.0</v>
      </c>
      <c r="Z958" s="84">
        <v>0.0</v>
      </c>
      <c r="AA958" s="84">
        <v>0.0</v>
      </c>
      <c r="AB958" s="84">
        <v>0.0</v>
      </c>
      <c r="AC958" s="91">
        <v>0.0</v>
      </c>
      <c r="AD958" s="84">
        <v>0.0</v>
      </c>
      <c r="AE958" s="84">
        <v>0.0</v>
      </c>
      <c r="AF958" s="84">
        <v>0.0</v>
      </c>
      <c r="AG958" s="84">
        <v>0.0</v>
      </c>
      <c r="AH958" s="84">
        <v>0.0</v>
      </c>
      <c r="AI958" s="84">
        <v>0.0</v>
      </c>
      <c r="AJ958" s="84">
        <v>0.0</v>
      </c>
      <c r="AK958" s="84">
        <v>0.0</v>
      </c>
      <c r="AL958" s="84">
        <v>0.0</v>
      </c>
      <c r="AM958" s="84">
        <v>0.0</v>
      </c>
      <c r="AN958" s="93">
        <f t="shared" si="1"/>
        <v>0</v>
      </c>
      <c r="AO958" s="84">
        <f t="shared" si="2"/>
        <v>0</v>
      </c>
    </row>
    <row r="959" ht="12.75" customHeight="1">
      <c r="A959" s="84" t="s">
        <v>2859</v>
      </c>
      <c r="B959" s="84">
        <v>2.0</v>
      </c>
      <c r="C959" s="84">
        <v>0.0</v>
      </c>
      <c r="D959" s="84">
        <v>0.0</v>
      </c>
      <c r="E959" s="84">
        <v>0.0</v>
      </c>
      <c r="F959" s="84">
        <v>0.0</v>
      </c>
      <c r="G959" s="84">
        <v>0.0</v>
      </c>
      <c r="H959" s="84">
        <v>0.0</v>
      </c>
      <c r="I959" s="91">
        <v>0.0</v>
      </c>
      <c r="J959" s="84">
        <v>0.0</v>
      </c>
      <c r="K959" s="84">
        <v>0.0</v>
      </c>
      <c r="L959" s="84">
        <v>0.0</v>
      </c>
      <c r="M959" s="84">
        <v>0.0</v>
      </c>
      <c r="N959" s="84">
        <v>0.0</v>
      </c>
      <c r="O959" s="84">
        <v>0.0</v>
      </c>
      <c r="P959" s="84">
        <v>0.0</v>
      </c>
      <c r="Q959" s="84">
        <v>0.0</v>
      </c>
      <c r="R959" s="84">
        <v>0.0</v>
      </c>
      <c r="S959" s="84">
        <v>0.0</v>
      </c>
      <c r="T959" s="84">
        <v>0.0</v>
      </c>
      <c r="U959" s="84">
        <v>0.0</v>
      </c>
      <c r="V959" s="84">
        <v>3.0</v>
      </c>
      <c r="W959" s="84">
        <v>0.0</v>
      </c>
      <c r="X959" s="84">
        <v>0.0</v>
      </c>
      <c r="Y959" s="84">
        <v>0.0</v>
      </c>
      <c r="Z959" s="84">
        <v>0.0</v>
      </c>
      <c r="AA959" s="84">
        <v>0.0</v>
      </c>
      <c r="AB959" s="84">
        <v>0.0</v>
      </c>
      <c r="AC959" s="91">
        <v>0.0</v>
      </c>
      <c r="AD959" s="84">
        <v>0.0</v>
      </c>
      <c r="AE959" s="84">
        <v>0.0</v>
      </c>
      <c r="AF959" s="84">
        <v>0.0</v>
      </c>
      <c r="AG959" s="84">
        <v>0.0</v>
      </c>
      <c r="AH959" s="84">
        <v>0.0</v>
      </c>
      <c r="AI959" s="84">
        <v>0.0</v>
      </c>
      <c r="AJ959" s="84">
        <v>0.0</v>
      </c>
      <c r="AK959" s="84">
        <v>0.0</v>
      </c>
      <c r="AL959" s="84">
        <v>0.0</v>
      </c>
      <c r="AM959" s="84">
        <v>0.0</v>
      </c>
      <c r="AN959" s="93">
        <f t="shared" si="1"/>
        <v>0</v>
      </c>
      <c r="AO959" s="84">
        <f t="shared" si="2"/>
        <v>0</v>
      </c>
    </row>
    <row r="960" ht="12.75" customHeight="1">
      <c r="A960" s="84" t="s">
        <v>2585</v>
      </c>
      <c r="B960" s="84">
        <v>2.0</v>
      </c>
      <c r="C960" s="84">
        <v>0.0</v>
      </c>
      <c r="D960" s="84">
        <v>0.0</v>
      </c>
      <c r="E960" s="84">
        <v>0.0</v>
      </c>
      <c r="F960" s="84">
        <v>0.0</v>
      </c>
      <c r="G960" s="84">
        <v>0.0</v>
      </c>
      <c r="H960" s="84">
        <v>0.0</v>
      </c>
      <c r="I960" s="91">
        <v>0.0</v>
      </c>
      <c r="J960" s="84">
        <v>0.0</v>
      </c>
      <c r="K960" s="84">
        <v>0.0</v>
      </c>
      <c r="L960" s="84">
        <v>0.0</v>
      </c>
      <c r="M960" s="84">
        <v>0.0</v>
      </c>
      <c r="N960" s="84">
        <v>0.0</v>
      </c>
      <c r="O960" s="84">
        <v>0.0</v>
      </c>
      <c r="P960" s="84">
        <v>0.0</v>
      </c>
      <c r="Q960" s="84">
        <v>0.0</v>
      </c>
      <c r="R960" s="84">
        <v>0.0</v>
      </c>
      <c r="S960" s="84">
        <v>0.0</v>
      </c>
      <c r="T960" s="84">
        <v>0.0</v>
      </c>
      <c r="U960" s="84">
        <v>0.0</v>
      </c>
      <c r="V960" s="84">
        <v>2.0</v>
      </c>
      <c r="W960" s="84">
        <v>1.0</v>
      </c>
      <c r="X960" s="84">
        <v>0.0</v>
      </c>
      <c r="Y960" s="84">
        <v>0.0</v>
      </c>
      <c r="Z960" s="84">
        <v>0.0</v>
      </c>
      <c r="AA960" s="84">
        <v>0.0</v>
      </c>
      <c r="AB960" s="84">
        <v>0.0</v>
      </c>
      <c r="AC960" s="91">
        <v>0.0</v>
      </c>
      <c r="AD960" s="84">
        <v>0.0</v>
      </c>
      <c r="AE960" s="84">
        <v>0.0</v>
      </c>
      <c r="AF960" s="84">
        <v>0.0</v>
      </c>
      <c r="AG960" s="84">
        <v>0.0</v>
      </c>
      <c r="AH960" s="84">
        <v>0.0</v>
      </c>
      <c r="AI960" s="84">
        <v>0.0</v>
      </c>
      <c r="AJ960" s="84">
        <v>0.0</v>
      </c>
      <c r="AK960" s="84">
        <v>0.0</v>
      </c>
      <c r="AL960" s="84">
        <v>0.0</v>
      </c>
      <c r="AM960" s="84">
        <v>0.0</v>
      </c>
      <c r="AN960" s="93">
        <f t="shared" si="1"/>
        <v>0</v>
      </c>
      <c r="AO960" s="84">
        <f t="shared" si="2"/>
        <v>0</v>
      </c>
    </row>
    <row r="961" ht="12.75" customHeight="1">
      <c r="A961" s="84" t="s">
        <v>3527</v>
      </c>
      <c r="B961" s="84">
        <v>0.0</v>
      </c>
      <c r="C961" s="84">
        <v>0.0</v>
      </c>
      <c r="D961" s="84">
        <v>0.0</v>
      </c>
      <c r="E961" s="84">
        <v>5.0</v>
      </c>
      <c r="F961" s="84">
        <v>0.0</v>
      </c>
      <c r="G961" s="84">
        <v>0.0</v>
      </c>
      <c r="H961" s="84">
        <v>0.0</v>
      </c>
      <c r="I961" s="91">
        <v>0.0</v>
      </c>
      <c r="J961" s="84">
        <v>0.0</v>
      </c>
      <c r="K961" s="84">
        <v>0.0</v>
      </c>
      <c r="L961" s="84">
        <v>0.0</v>
      </c>
      <c r="M961" s="84">
        <v>0.0</v>
      </c>
      <c r="N961" s="84">
        <v>0.0</v>
      </c>
      <c r="O961" s="84">
        <v>0.0</v>
      </c>
      <c r="P961" s="84">
        <v>0.0</v>
      </c>
      <c r="Q961" s="84">
        <v>0.0</v>
      </c>
      <c r="R961" s="84">
        <v>0.0</v>
      </c>
      <c r="S961" s="84">
        <v>0.0</v>
      </c>
      <c r="T961" s="84">
        <v>0.0</v>
      </c>
      <c r="U961" s="84">
        <v>0.0</v>
      </c>
      <c r="V961" s="84">
        <v>0.0</v>
      </c>
      <c r="W961" s="84">
        <v>0.0</v>
      </c>
      <c r="X961" s="84">
        <v>0.0</v>
      </c>
      <c r="Y961" s="84">
        <v>6.0</v>
      </c>
      <c r="Z961" s="84">
        <v>1.0</v>
      </c>
      <c r="AA961" s="84">
        <v>0.0</v>
      </c>
      <c r="AB961" s="84">
        <v>0.0</v>
      </c>
      <c r="AC961" s="91">
        <v>0.0</v>
      </c>
      <c r="AD961" s="84">
        <v>0.0</v>
      </c>
      <c r="AE961" s="84">
        <v>0.0</v>
      </c>
      <c r="AF961" s="84">
        <v>0.0</v>
      </c>
      <c r="AG961" s="84">
        <v>0.0</v>
      </c>
      <c r="AH961" s="84">
        <v>0.0</v>
      </c>
      <c r="AI961" s="84">
        <v>0.0</v>
      </c>
      <c r="AJ961" s="84">
        <v>0.0</v>
      </c>
      <c r="AK961" s="84">
        <v>0.0</v>
      </c>
      <c r="AL961" s="84">
        <v>0.0</v>
      </c>
      <c r="AM961" s="84">
        <v>0.0</v>
      </c>
      <c r="AN961" s="93">
        <f t="shared" si="1"/>
        <v>0</v>
      </c>
      <c r="AO961" s="84">
        <f t="shared" si="2"/>
        <v>0</v>
      </c>
    </row>
    <row r="962" ht="12.75" customHeight="1">
      <c r="A962" s="84" t="s">
        <v>3675</v>
      </c>
      <c r="B962" s="84">
        <v>0.0</v>
      </c>
      <c r="C962" s="84">
        <v>0.0</v>
      </c>
      <c r="D962" s="84">
        <v>0.0</v>
      </c>
      <c r="E962" s="84">
        <v>0.0</v>
      </c>
      <c r="F962" s="84">
        <v>5.0</v>
      </c>
      <c r="G962" s="84">
        <v>1.0</v>
      </c>
      <c r="H962" s="84">
        <v>0.0</v>
      </c>
      <c r="I962" s="91">
        <v>0.0</v>
      </c>
      <c r="J962" s="84">
        <v>0.0</v>
      </c>
      <c r="K962" s="84">
        <v>0.0</v>
      </c>
      <c r="L962" s="84">
        <v>0.0</v>
      </c>
      <c r="M962" s="84">
        <v>0.0</v>
      </c>
      <c r="N962" s="84">
        <v>0.0</v>
      </c>
      <c r="O962" s="84">
        <v>0.0</v>
      </c>
      <c r="P962" s="84">
        <v>0.0</v>
      </c>
      <c r="Q962" s="84">
        <v>0.0</v>
      </c>
      <c r="R962" s="84">
        <v>0.0</v>
      </c>
      <c r="S962" s="84">
        <v>0.0</v>
      </c>
      <c r="T962" s="84">
        <v>0.0</v>
      </c>
      <c r="U962" s="84">
        <v>0.0</v>
      </c>
      <c r="V962" s="84">
        <v>0.0</v>
      </c>
      <c r="W962" s="84">
        <v>0.0</v>
      </c>
      <c r="X962" s="84">
        <v>0.0</v>
      </c>
      <c r="Y962" s="84">
        <v>0.0</v>
      </c>
      <c r="Z962" s="84">
        <v>6.0</v>
      </c>
      <c r="AA962" s="84">
        <v>2.0</v>
      </c>
      <c r="AB962" s="84">
        <v>0.0</v>
      </c>
      <c r="AC962" s="91">
        <v>0.0</v>
      </c>
      <c r="AD962" s="84">
        <v>0.0</v>
      </c>
      <c r="AE962" s="84">
        <v>0.0</v>
      </c>
      <c r="AF962" s="84">
        <v>0.0</v>
      </c>
      <c r="AG962" s="84">
        <v>0.0</v>
      </c>
      <c r="AH962" s="84">
        <v>0.0</v>
      </c>
      <c r="AI962" s="84">
        <v>0.0</v>
      </c>
      <c r="AJ962" s="84">
        <v>0.0</v>
      </c>
      <c r="AK962" s="84">
        <v>0.0</v>
      </c>
      <c r="AL962" s="84">
        <v>0.0</v>
      </c>
      <c r="AM962" s="84">
        <v>0.0</v>
      </c>
      <c r="AN962" s="93">
        <f t="shared" si="1"/>
        <v>0</v>
      </c>
      <c r="AO962" s="84">
        <f t="shared" si="2"/>
        <v>0</v>
      </c>
    </row>
    <row r="963" ht="12.75" customHeight="1">
      <c r="A963" s="84" t="s">
        <v>4682</v>
      </c>
      <c r="B963" s="84">
        <v>0.0</v>
      </c>
      <c r="C963" s="84">
        <v>0.0</v>
      </c>
      <c r="D963" s="84">
        <v>0.0</v>
      </c>
      <c r="E963" s="84">
        <v>0.0</v>
      </c>
      <c r="F963" s="84">
        <v>0.0</v>
      </c>
      <c r="G963" s="84">
        <v>0.0</v>
      </c>
      <c r="H963" s="84">
        <v>0.0</v>
      </c>
      <c r="I963" s="91">
        <v>0.0</v>
      </c>
      <c r="J963" s="84">
        <v>0.0</v>
      </c>
      <c r="K963" s="84">
        <v>0.0</v>
      </c>
      <c r="L963" s="84">
        <v>0.0</v>
      </c>
      <c r="M963" s="84">
        <v>0.0</v>
      </c>
      <c r="N963" s="84">
        <v>0.0</v>
      </c>
      <c r="O963" s="84">
        <v>0.0</v>
      </c>
      <c r="P963" s="84">
        <v>0.0</v>
      </c>
      <c r="Q963" s="84">
        <v>0.0</v>
      </c>
      <c r="R963" s="84">
        <v>0.0</v>
      </c>
      <c r="S963" s="84">
        <v>0.0</v>
      </c>
      <c r="T963" s="84">
        <v>0.0</v>
      </c>
      <c r="U963" s="84">
        <v>0.0</v>
      </c>
      <c r="V963" s="84">
        <v>0.0</v>
      </c>
      <c r="W963" s="84">
        <v>0.0</v>
      </c>
      <c r="X963" s="84">
        <v>0.0</v>
      </c>
      <c r="Y963" s="84">
        <v>0.0</v>
      </c>
      <c r="Z963" s="84">
        <v>0.0</v>
      </c>
      <c r="AA963" s="84">
        <v>0.0</v>
      </c>
      <c r="AB963" s="84">
        <v>0.0</v>
      </c>
      <c r="AC963" s="91">
        <v>0.0</v>
      </c>
      <c r="AD963" s="84">
        <v>0.0</v>
      </c>
      <c r="AE963" s="84">
        <v>0.0</v>
      </c>
      <c r="AF963" s="84">
        <v>0.0</v>
      </c>
      <c r="AG963" s="84">
        <v>0.0</v>
      </c>
      <c r="AH963" s="84">
        <v>0.0</v>
      </c>
      <c r="AI963" s="84">
        <v>0.0</v>
      </c>
      <c r="AJ963" s="84">
        <v>0.0</v>
      </c>
      <c r="AK963" s="84">
        <v>0.0</v>
      </c>
      <c r="AL963" s="84">
        <v>0.0</v>
      </c>
      <c r="AM963" s="84">
        <v>1.0</v>
      </c>
      <c r="AN963" s="93">
        <f t="shared" si="1"/>
        <v>0</v>
      </c>
      <c r="AO963" s="84">
        <f t="shared" si="2"/>
        <v>1</v>
      </c>
    </row>
    <row r="964" ht="12.75" customHeight="1">
      <c r="A964" s="84" t="s">
        <v>3078</v>
      </c>
      <c r="B964" s="84">
        <v>3.0</v>
      </c>
      <c r="C964" s="84">
        <v>0.0</v>
      </c>
      <c r="D964" s="84">
        <v>0.0</v>
      </c>
      <c r="E964" s="84">
        <v>0.0</v>
      </c>
      <c r="F964" s="84">
        <v>0.0</v>
      </c>
      <c r="G964" s="84">
        <v>0.0</v>
      </c>
      <c r="H964" s="84">
        <v>0.0</v>
      </c>
      <c r="I964" s="91">
        <v>0.0</v>
      </c>
      <c r="J964" s="84">
        <v>0.0</v>
      </c>
      <c r="K964" s="84">
        <v>0.0</v>
      </c>
      <c r="L964" s="84">
        <v>0.0</v>
      </c>
      <c r="M964" s="84">
        <v>0.0</v>
      </c>
      <c r="N964" s="84">
        <v>0.0</v>
      </c>
      <c r="O964" s="84">
        <v>0.0</v>
      </c>
      <c r="P964" s="84">
        <v>0.0</v>
      </c>
      <c r="Q964" s="84">
        <v>0.0</v>
      </c>
      <c r="R964" s="84">
        <v>0.0</v>
      </c>
      <c r="S964" s="84">
        <v>0.0</v>
      </c>
      <c r="T964" s="84">
        <v>0.0</v>
      </c>
      <c r="U964" s="84">
        <v>0.0</v>
      </c>
      <c r="V964" s="84">
        <v>5.0</v>
      </c>
      <c r="W964" s="84">
        <v>2.0</v>
      </c>
      <c r="X964" s="84">
        <v>0.0</v>
      </c>
      <c r="Y964" s="84">
        <v>0.0</v>
      </c>
      <c r="Z964" s="84">
        <v>0.0</v>
      </c>
      <c r="AA964" s="84">
        <v>0.0</v>
      </c>
      <c r="AB964" s="84">
        <v>0.0</v>
      </c>
      <c r="AC964" s="91">
        <v>0.0</v>
      </c>
      <c r="AD964" s="84">
        <v>0.0</v>
      </c>
      <c r="AE964" s="84">
        <v>0.0</v>
      </c>
      <c r="AF964" s="84">
        <v>0.0</v>
      </c>
      <c r="AG964" s="84">
        <v>0.0</v>
      </c>
      <c r="AH964" s="84">
        <v>0.0</v>
      </c>
      <c r="AI964" s="84">
        <v>0.0</v>
      </c>
      <c r="AJ964" s="84">
        <v>0.0</v>
      </c>
      <c r="AK964" s="84">
        <v>0.0</v>
      </c>
      <c r="AL964" s="84">
        <v>0.0</v>
      </c>
      <c r="AM964" s="84">
        <v>0.0</v>
      </c>
      <c r="AN964" s="93">
        <f t="shared" si="1"/>
        <v>0</v>
      </c>
      <c r="AO964" s="84">
        <f t="shared" si="2"/>
        <v>0</v>
      </c>
    </row>
    <row r="965" ht="12.75" customHeight="1">
      <c r="A965" s="84" t="s">
        <v>2673</v>
      </c>
      <c r="B965" s="84">
        <v>2.0</v>
      </c>
      <c r="C965" s="84">
        <v>0.0</v>
      </c>
      <c r="D965" s="84">
        <v>0.0</v>
      </c>
      <c r="E965" s="84">
        <v>0.0</v>
      </c>
      <c r="F965" s="84">
        <v>0.0</v>
      </c>
      <c r="G965" s="84">
        <v>0.0</v>
      </c>
      <c r="H965" s="84">
        <v>0.0</v>
      </c>
      <c r="I965" s="91">
        <v>0.0</v>
      </c>
      <c r="J965" s="84">
        <v>0.0</v>
      </c>
      <c r="K965" s="84">
        <v>0.0</v>
      </c>
      <c r="L965" s="84">
        <v>0.0</v>
      </c>
      <c r="M965" s="84">
        <v>0.0</v>
      </c>
      <c r="N965" s="84">
        <v>0.0</v>
      </c>
      <c r="O965" s="84">
        <v>0.0</v>
      </c>
      <c r="P965" s="84">
        <v>0.0</v>
      </c>
      <c r="Q965" s="84">
        <v>0.0</v>
      </c>
      <c r="R965" s="84">
        <v>0.0</v>
      </c>
      <c r="S965" s="84">
        <v>0.0</v>
      </c>
      <c r="T965" s="84">
        <v>0.0</v>
      </c>
      <c r="U965" s="84">
        <v>0.0</v>
      </c>
      <c r="V965" s="84">
        <v>2.0</v>
      </c>
      <c r="W965" s="84">
        <v>0.0</v>
      </c>
      <c r="X965" s="84">
        <v>0.0</v>
      </c>
      <c r="Y965" s="84">
        <v>0.0</v>
      </c>
      <c r="Z965" s="84">
        <v>0.0</v>
      </c>
      <c r="AA965" s="84">
        <v>0.0</v>
      </c>
      <c r="AB965" s="84">
        <v>0.0</v>
      </c>
      <c r="AC965" s="91">
        <v>0.0</v>
      </c>
      <c r="AD965" s="84">
        <v>0.0</v>
      </c>
      <c r="AE965" s="84">
        <v>0.0</v>
      </c>
      <c r="AF965" s="84">
        <v>0.0</v>
      </c>
      <c r="AG965" s="84">
        <v>0.0</v>
      </c>
      <c r="AH965" s="84">
        <v>0.0</v>
      </c>
      <c r="AI965" s="84">
        <v>0.0</v>
      </c>
      <c r="AJ965" s="84">
        <v>0.0</v>
      </c>
      <c r="AK965" s="84">
        <v>0.0</v>
      </c>
      <c r="AL965" s="84">
        <v>0.0</v>
      </c>
      <c r="AM965" s="84">
        <v>0.0</v>
      </c>
      <c r="AN965" s="93">
        <f t="shared" si="1"/>
        <v>0</v>
      </c>
      <c r="AO965" s="84">
        <f t="shared" si="2"/>
        <v>0</v>
      </c>
    </row>
    <row r="966" ht="12.75" customHeight="1">
      <c r="A966" s="84" t="s">
        <v>2888</v>
      </c>
      <c r="B966" s="84">
        <v>1.0</v>
      </c>
      <c r="C966" s="84">
        <v>1.0</v>
      </c>
      <c r="D966" s="84">
        <v>0.0</v>
      </c>
      <c r="E966" s="84">
        <v>0.0</v>
      </c>
      <c r="F966" s="84">
        <v>0.0</v>
      </c>
      <c r="G966" s="84">
        <v>0.0</v>
      </c>
      <c r="H966" s="84">
        <v>0.0</v>
      </c>
      <c r="I966" s="91">
        <v>0.0</v>
      </c>
      <c r="J966" s="84">
        <v>0.0</v>
      </c>
      <c r="K966" s="84">
        <v>0.0</v>
      </c>
      <c r="L966" s="84">
        <v>0.0</v>
      </c>
      <c r="M966" s="84">
        <v>0.0</v>
      </c>
      <c r="N966" s="84">
        <v>0.0</v>
      </c>
      <c r="O966" s="84">
        <v>0.0</v>
      </c>
      <c r="P966" s="84">
        <v>0.0</v>
      </c>
      <c r="Q966" s="84">
        <v>0.0</v>
      </c>
      <c r="R966" s="84">
        <v>0.0</v>
      </c>
      <c r="S966" s="84">
        <v>0.0</v>
      </c>
      <c r="T966" s="84">
        <v>0.0</v>
      </c>
      <c r="U966" s="84">
        <v>0.0</v>
      </c>
      <c r="V966" s="84">
        <v>3.0</v>
      </c>
      <c r="W966" s="84">
        <v>0.0</v>
      </c>
      <c r="X966" s="84">
        <v>0.0</v>
      </c>
      <c r="Y966" s="84">
        <v>0.0</v>
      </c>
      <c r="Z966" s="84">
        <v>0.0</v>
      </c>
      <c r="AA966" s="84">
        <v>0.0</v>
      </c>
      <c r="AB966" s="84">
        <v>0.0</v>
      </c>
      <c r="AC966" s="91">
        <v>0.0</v>
      </c>
      <c r="AD966" s="84">
        <v>0.0</v>
      </c>
      <c r="AE966" s="84">
        <v>0.0</v>
      </c>
      <c r="AF966" s="84">
        <v>0.0</v>
      </c>
      <c r="AG966" s="84">
        <v>0.0</v>
      </c>
      <c r="AH966" s="84">
        <v>0.0</v>
      </c>
      <c r="AI966" s="84">
        <v>0.0</v>
      </c>
      <c r="AJ966" s="84">
        <v>0.0</v>
      </c>
      <c r="AK966" s="84">
        <v>0.0</v>
      </c>
      <c r="AL966" s="84">
        <v>0.0</v>
      </c>
      <c r="AM966" s="84">
        <v>0.0</v>
      </c>
      <c r="AN966" s="93">
        <f t="shared" si="1"/>
        <v>0</v>
      </c>
      <c r="AO966" s="84">
        <f t="shared" si="2"/>
        <v>0</v>
      </c>
    </row>
    <row r="967" ht="12.75" customHeight="1">
      <c r="A967" s="84" t="s">
        <v>3856</v>
      </c>
      <c r="B967" s="84">
        <v>0.0</v>
      </c>
      <c r="C967" s="84">
        <v>0.0</v>
      </c>
      <c r="D967" s="84">
        <v>0.0</v>
      </c>
      <c r="E967" s="84">
        <v>0.0</v>
      </c>
      <c r="F967" s="84">
        <v>0.0</v>
      </c>
      <c r="G967" s="84">
        <v>5.0</v>
      </c>
      <c r="H967" s="84">
        <v>2.0</v>
      </c>
      <c r="I967" s="91">
        <v>0.0</v>
      </c>
      <c r="J967" s="84">
        <v>0.0</v>
      </c>
      <c r="K967" s="84">
        <v>0.0</v>
      </c>
      <c r="L967" s="84">
        <v>0.0</v>
      </c>
      <c r="M967" s="84">
        <v>0.0</v>
      </c>
      <c r="N967" s="84">
        <v>0.0</v>
      </c>
      <c r="O967" s="84">
        <v>0.0</v>
      </c>
      <c r="P967" s="84">
        <v>0.0</v>
      </c>
      <c r="Q967" s="84">
        <v>0.0</v>
      </c>
      <c r="R967" s="84">
        <v>0.0</v>
      </c>
      <c r="S967" s="84">
        <v>0.0</v>
      </c>
      <c r="T967" s="84">
        <v>0.0</v>
      </c>
      <c r="U967" s="84">
        <v>0.0</v>
      </c>
      <c r="V967" s="84">
        <v>0.0</v>
      </c>
      <c r="W967" s="84">
        <v>0.0</v>
      </c>
      <c r="X967" s="84">
        <v>0.0</v>
      </c>
      <c r="Y967" s="84">
        <v>0.0</v>
      </c>
      <c r="Z967" s="84">
        <v>0.0</v>
      </c>
      <c r="AA967" s="84">
        <v>6.0</v>
      </c>
      <c r="AB967" s="84">
        <v>0.0</v>
      </c>
      <c r="AC967" s="91">
        <v>0.0</v>
      </c>
      <c r="AD967" s="84">
        <v>0.0</v>
      </c>
      <c r="AE967" s="84">
        <v>0.0</v>
      </c>
      <c r="AF967" s="84">
        <v>0.0</v>
      </c>
      <c r="AG967" s="84">
        <v>0.0</v>
      </c>
      <c r="AH967" s="84">
        <v>0.0</v>
      </c>
      <c r="AI967" s="84">
        <v>0.0</v>
      </c>
      <c r="AJ967" s="84">
        <v>0.0</v>
      </c>
      <c r="AK967" s="84">
        <v>0.0</v>
      </c>
      <c r="AL967" s="84">
        <v>0.0</v>
      </c>
      <c r="AM967" s="84">
        <v>0.0</v>
      </c>
      <c r="AN967" s="93">
        <f t="shared" si="1"/>
        <v>0</v>
      </c>
      <c r="AO967" s="84">
        <f t="shared" si="2"/>
        <v>0</v>
      </c>
    </row>
    <row r="968" ht="12.75" customHeight="1">
      <c r="A968" s="84" t="s">
        <v>4588</v>
      </c>
      <c r="B968" s="84">
        <v>0.0</v>
      </c>
      <c r="C968" s="84">
        <v>0.0</v>
      </c>
      <c r="D968" s="84">
        <v>0.0</v>
      </c>
      <c r="E968" s="84">
        <v>0.0</v>
      </c>
      <c r="F968" s="84">
        <v>0.0</v>
      </c>
      <c r="G968" s="84">
        <v>0.0</v>
      </c>
      <c r="H968" s="84">
        <v>0.0</v>
      </c>
      <c r="I968" s="91">
        <v>0.0</v>
      </c>
      <c r="J968" s="84">
        <v>0.0</v>
      </c>
      <c r="K968" s="84">
        <v>0.0</v>
      </c>
      <c r="L968" s="84">
        <v>0.0</v>
      </c>
      <c r="M968" s="84">
        <v>0.0</v>
      </c>
      <c r="N968" s="84">
        <v>0.0</v>
      </c>
      <c r="O968" s="84">
        <v>0.0</v>
      </c>
      <c r="P968" s="84">
        <v>0.0</v>
      </c>
      <c r="Q968" s="84">
        <v>0.0</v>
      </c>
      <c r="R968" s="84">
        <v>0.0</v>
      </c>
      <c r="S968" s="84">
        <v>0.0</v>
      </c>
      <c r="T968" s="84">
        <v>0.0</v>
      </c>
      <c r="U968" s="84">
        <v>0.0</v>
      </c>
      <c r="V968" s="84">
        <v>0.0</v>
      </c>
      <c r="W968" s="84">
        <v>0.0</v>
      </c>
      <c r="X968" s="84">
        <v>0.0</v>
      </c>
      <c r="Y968" s="84">
        <v>0.0</v>
      </c>
      <c r="Z968" s="84">
        <v>0.0</v>
      </c>
      <c r="AA968" s="84">
        <v>0.0</v>
      </c>
      <c r="AB968" s="84">
        <v>0.0</v>
      </c>
      <c r="AC968" s="91">
        <v>0.0</v>
      </c>
      <c r="AD968" s="84">
        <v>0.0</v>
      </c>
      <c r="AE968" s="84">
        <v>0.0</v>
      </c>
      <c r="AF968" s="84">
        <v>0.0</v>
      </c>
      <c r="AG968" s="84">
        <v>0.0</v>
      </c>
      <c r="AH968" s="84">
        <v>0.0</v>
      </c>
      <c r="AI968" s="84">
        <v>1.0</v>
      </c>
      <c r="AJ968" s="84">
        <v>0.0</v>
      </c>
      <c r="AK968" s="84">
        <v>0.0</v>
      </c>
      <c r="AL968" s="84">
        <v>0.0</v>
      </c>
      <c r="AM968" s="84">
        <v>0.0</v>
      </c>
      <c r="AN968" s="93">
        <f t="shared" si="1"/>
        <v>0</v>
      </c>
      <c r="AO968" s="84">
        <f t="shared" si="2"/>
        <v>1</v>
      </c>
    </row>
    <row r="969" ht="12.75" customHeight="1">
      <c r="A969" s="84" t="s">
        <v>3064</v>
      </c>
      <c r="B969" s="84">
        <v>3.0</v>
      </c>
      <c r="C969" s="84">
        <v>0.0</v>
      </c>
      <c r="D969" s="84">
        <v>0.0</v>
      </c>
      <c r="E969" s="84">
        <v>0.0</v>
      </c>
      <c r="F969" s="84">
        <v>0.0</v>
      </c>
      <c r="G969" s="84">
        <v>0.0</v>
      </c>
      <c r="H969" s="84">
        <v>0.0</v>
      </c>
      <c r="I969" s="91">
        <v>0.0</v>
      </c>
      <c r="J969" s="84">
        <v>0.0</v>
      </c>
      <c r="K969" s="84">
        <v>0.0</v>
      </c>
      <c r="L969" s="84">
        <v>0.0</v>
      </c>
      <c r="M969" s="84">
        <v>0.0</v>
      </c>
      <c r="N969" s="84">
        <v>0.0</v>
      </c>
      <c r="O969" s="84">
        <v>0.0</v>
      </c>
      <c r="P969" s="84">
        <v>0.0</v>
      </c>
      <c r="Q969" s="84">
        <v>0.0</v>
      </c>
      <c r="R969" s="84">
        <v>0.0</v>
      </c>
      <c r="S969" s="84">
        <v>0.0</v>
      </c>
      <c r="T969" s="84">
        <v>0.0</v>
      </c>
      <c r="U969" s="84">
        <v>0.0</v>
      </c>
      <c r="V969" s="84">
        <v>2.0</v>
      </c>
      <c r="W969" s="84">
        <v>4.0</v>
      </c>
      <c r="X969" s="84">
        <v>0.0</v>
      </c>
      <c r="Y969" s="84">
        <v>0.0</v>
      </c>
      <c r="Z969" s="84">
        <v>0.0</v>
      </c>
      <c r="AA969" s="84">
        <v>0.0</v>
      </c>
      <c r="AB969" s="84">
        <v>0.0</v>
      </c>
      <c r="AC969" s="91">
        <v>0.0</v>
      </c>
      <c r="AD969" s="84">
        <v>0.0</v>
      </c>
      <c r="AE969" s="84">
        <v>0.0</v>
      </c>
      <c r="AF969" s="84">
        <v>0.0</v>
      </c>
      <c r="AG969" s="84">
        <v>0.0</v>
      </c>
      <c r="AH969" s="84">
        <v>0.0</v>
      </c>
      <c r="AI969" s="84">
        <v>0.0</v>
      </c>
      <c r="AJ969" s="84">
        <v>0.0</v>
      </c>
      <c r="AK969" s="84">
        <v>0.0</v>
      </c>
      <c r="AL969" s="84">
        <v>0.0</v>
      </c>
      <c r="AM969" s="84">
        <v>0.0</v>
      </c>
      <c r="AN969" s="93">
        <f t="shared" si="1"/>
        <v>0</v>
      </c>
      <c r="AO969" s="84">
        <f t="shared" si="2"/>
        <v>0</v>
      </c>
    </row>
    <row r="970" ht="12.75" customHeight="1">
      <c r="A970" s="84" t="s">
        <v>3827</v>
      </c>
      <c r="B970" s="84">
        <v>0.0</v>
      </c>
      <c r="C970" s="84">
        <v>0.0</v>
      </c>
      <c r="D970" s="84">
        <v>0.0</v>
      </c>
      <c r="E970" s="84">
        <v>0.0</v>
      </c>
      <c r="F970" s="84">
        <v>0.0</v>
      </c>
      <c r="G970" s="84">
        <v>6.0</v>
      </c>
      <c r="H970" s="84">
        <v>0.0</v>
      </c>
      <c r="I970" s="91">
        <v>0.0</v>
      </c>
      <c r="J970" s="84">
        <v>0.0</v>
      </c>
      <c r="K970" s="84">
        <v>0.0</v>
      </c>
      <c r="L970" s="84">
        <v>0.0</v>
      </c>
      <c r="M970" s="84">
        <v>0.0</v>
      </c>
      <c r="N970" s="84">
        <v>0.0</v>
      </c>
      <c r="O970" s="84">
        <v>0.0</v>
      </c>
      <c r="P970" s="84">
        <v>0.0</v>
      </c>
      <c r="Q970" s="84">
        <v>0.0</v>
      </c>
      <c r="R970" s="84">
        <v>0.0</v>
      </c>
      <c r="S970" s="84">
        <v>0.0</v>
      </c>
      <c r="T970" s="84">
        <v>0.0</v>
      </c>
      <c r="U970" s="84">
        <v>0.0</v>
      </c>
      <c r="V970" s="84">
        <v>0.0</v>
      </c>
      <c r="W970" s="84">
        <v>0.0</v>
      </c>
      <c r="X970" s="84">
        <v>0.0</v>
      </c>
      <c r="Y970" s="84">
        <v>0.0</v>
      </c>
      <c r="Z970" s="84">
        <v>0.0</v>
      </c>
      <c r="AA970" s="84">
        <v>6.0</v>
      </c>
      <c r="AB970" s="84">
        <v>3.0</v>
      </c>
      <c r="AC970" s="91">
        <v>0.0</v>
      </c>
      <c r="AD970" s="84">
        <v>0.0</v>
      </c>
      <c r="AE970" s="84">
        <v>0.0</v>
      </c>
      <c r="AF970" s="84">
        <v>0.0</v>
      </c>
      <c r="AG970" s="84">
        <v>0.0</v>
      </c>
      <c r="AH970" s="84">
        <v>0.0</v>
      </c>
      <c r="AI970" s="84">
        <v>0.0</v>
      </c>
      <c r="AJ970" s="84">
        <v>0.0</v>
      </c>
      <c r="AK970" s="84">
        <v>0.0</v>
      </c>
      <c r="AL970" s="84">
        <v>0.0</v>
      </c>
      <c r="AM970" s="84">
        <v>0.0</v>
      </c>
      <c r="AN970" s="93">
        <f t="shared" si="1"/>
        <v>0</v>
      </c>
      <c r="AO970" s="84">
        <f t="shared" si="2"/>
        <v>0</v>
      </c>
    </row>
    <row r="971" ht="12.75" customHeight="1">
      <c r="A971" s="84" t="s">
        <v>4608</v>
      </c>
      <c r="B971" s="84">
        <v>0.0</v>
      </c>
      <c r="C971" s="84">
        <v>0.0</v>
      </c>
      <c r="D971" s="84">
        <v>0.0</v>
      </c>
      <c r="E971" s="84">
        <v>0.0</v>
      </c>
      <c r="F971" s="84">
        <v>0.0</v>
      </c>
      <c r="G971" s="84">
        <v>0.0</v>
      </c>
      <c r="H971" s="84">
        <v>0.0</v>
      </c>
      <c r="I971" s="91">
        <v>0.0</v>
      </c>
      <c r="J971" s="84">
        <v>0.0</v>
      </c>
      <c r="K971" s="84">
        <v>0.0</v>
      </c>
      <c r="L971" s="84">
        <v>0.0</v>
      </c>
      <c r="M971" s="84">
        <v>0.0</v>
      </c>
      <c r="N971" s="84">
        <v>0.0</v>
      </c>
      <c r="O971" s="84">
        <v>0.0</v>
      </c>
      <c r="P971" s="84">
        <v>0.0</v>
      </c>
      <c r="Q971" s="84">
        <v>0.0</v>
      </c>
      <c r="R971" s="84">
        <v>0.0</v>
      </c>
      <c r="S971" s="84">
        <v>0.0</v>
      </c>
      <c r="T971" s="84">
        <v>0.0</v>
      </c>
      <c r="U971" s="84">
        <v>0.0</v>
      </c>
      <c r="V971" s="84">
        <v>0.0</v>
      </c>
      <c r="W971" s="84">
        <v>0.0</v>
      </c>
      <c r="X971" s="84">
        <v>0.0</v>
      </c>
      <c r="Y971" s="84">
        <v>0.0</v>
      </c>
      <c r="Z971" s="84">
        <v>0.0</v>
      </c>
      <c r="AA971" s="84">
        <v>0.0</v>
      </c>
      <c r="AB971" s="84">
        <v>0.0</v>
      </c>
      <c r="AC971" s="91">
        <v>0.0</v>
      </c>
      <c r="AD971" s="84">
        <v>0.0</v>
      </c>
      <c r="AE971" s="84">
        <v>0.0</v>
      </c>
      <c r="AF971" s="84">
        <v>0.0</v>
      </c>
      <c r="AG971" s="84">
        <v>0.0</v>
      </c>
      <c r="AH971" s="84">
        <v>0.0</v>
      </c>
      <c r="AI971" s="84">
        <v>0.0</v>
      </c>
      <c r="AJ971" s="84">
        <v>1.0</v>
      </c>
      <c r="AK971" s="84">
        <v>0.0</v>
      </c>
      <c r="AL971" s="84">
        <v>0.0</v>
      </c>
      <c r="AM971" s="84">
        <v>0.0</v>
      </c>
      <c r="AN971" s="93">
        <f t="shared" si="1"/>
        <v>0</v>
      </c>
      <c r="AO971" s="84">
        <f t="shared" si="2"/>
        <v>1</v>
      </c>
    </row>
    <row r="972" ht="12.75" customHeight="1">
      <c r="A972" s="84" t="s">
        <v>2991</v>
      </c>
      <c r="B972" s="84">
        <v>2.0</v>
      </c>
      <c r="C972" s="84">
        <v>1.0</v>
      </c>
      <c r="D972" s="84">
        <v>0.0</v>
      </c>
      <c r="E972" s="84">
        <v>0.0</v>
      </c>
      <c r="F972" s="84">
        <v>0.0</v>
      </c>
      <c r="G972" s="84">
        <v>0.0</v>
      </c>
      <c r="H972" s="84">
        <v>0.0</v>
      </c>
      <c r="I972" s="91">
        <v>0.0</v>
      </c>
      <c r="J972" s="84">
        <v>0.0</v>
      </c>
      <c r="K972" s="84">
        <v>0.0</v>
      </c>
      <c r="L972" s="84">
        <v>0.0</v>
      </c>
      <c r="M972" s="84">
        <v>0.0</v>
      </c>
      <c r="N972" s="84">
        <v>0.0</v>
      </c>
      <c r="O972" s="84">
        <v>0.0</v>
      </c>
      <c r="P972" s="84">
        <v>0.0</v>
      </c>
      <c r="Q972" s="84">
        <v>0.0</v>
      </c>
      <c r="R972" s="84">
        <v>0.0</v>
      </c>
      <c r="S972" s="84">
        <v>0.0</v>
      </c>
      <c r="T972" s="84">
        <v>0.0</v>
      </c>
      <c r="U972" s="84">
        <v>0.0</v>
      </c>
      <c r="V972" s="84">
        <v>3.0</v>
      </c>
      <c r="W972" s="84">
        <v>1.0</v>
      </c>
      <c r="X972" s="84">
        <v>0.0</v>
      </c>
      <c r="Y972" s="84">
        <v>0.0</v>
      </c>
      <c r="Z972" s="84">
        <v>0.0</v>
      </c>
      <c r="AA972" s="84">
        <v>0.0</v>
      </c>
      <c r="AB972" s="84">
        <v>0.0</v>
      </c>
      <c r="AC972" s="91">
        <v>0.0</v>
      </c>
      <c r="AD972" s="84">
        <v>0.0</v>
      </c>
      <c r="AE972" s="84">
        <v>0.0</v>
      </c>
      <c r="AF972" s="84">
        <v>0.0</v>
      </c>
      <c r="AG972" s="84">
        <v>0.0</v>
      </c>
      <c r="AH972" s="84">
        <v>0.0</v>
      </c>
      <c r="AI972" s="84">
        <v>0.0</v>
      </c>
      <c r="AJ972" s="84">
        <v>0.0</v>
      </c>
      <c r="AK972" s="84">
        <v>0.0</v>
      </c>
      <c r="AL972" s="84">
        <v>0.0</v>
      </c>
      <c r="AM972" s="84">
        <v>0.0</v>
      </c>
      <c r="AN972" s="93">
        <f t="shared" si="1"/>
        <v>0</v>
      </c>
      <c r="AO972" s="84">
        <f t="shared" si="2"/>
        <v>0</v>
      </c>
    </row>
    <row r="973" ht="12.75" customHeight="1">
      <c r="A973" s="84" t="s">
        <v>3317</v>
      </c>
      <c r="B973" s="84">
        <v>0.0</v>
      </c>
      <c r="C973" s="84">
        <v>0.0</v>
      </c>
      <c r="D973" s="84">
        <v>4.0</v>
      </c>
      <c r="E973" s="84">
        <v>0.0</v>
      </c>
      <c r="F973" s="84">
        <v>0.0</v>
      </c>
      <c r="G973" s="84">
        <v>0.0</v>
      </c>
      <c r="H973" s="84">
        <v>0.0</v>
      </c>
      <c r="I973" s="91">
        <v>0.0</v>
      </c>
      <c r="J973" s="84">
        <v>0.0</v>
      </c>
      <c r="K973" s="84">
        <v>0.0</v>
      </c>
      <c r="L973" s="84">
        <v>0.0</v>
      </c>
      <c r="M973" s="84">
        <v>0.0</v>
      </c>
      <c r="N973" s="84">
        <v>0.0</v>
      </c>
      <c r="O973" s="84">
        <v>0.0</v>
      </c>
      <c r="P973" s="84">
        <v>0.0</v>
      </c>
      <c r="Q973" s="84">
        <v>0.0</v>
      </c>
      <c r="R973" s="84">
        <v>0.0</v>
      </c>
      <c r="S973" s="84">
        <v>0.0</v>
      </c>
      <c r="T973" s="84">
        <v>0.0</v>
      </c>
      <c r="U973" s="84">
        <v>0.0</v>
      </c>
      <c r="V973" s="84">
        <v>0.0</v>
      </c>
      <c r="W973" s="84">
        <v>0.0</v>
      </c>
      <c r="X973" s="84">
        <v>6.0</v>
      </c>
      <c r="Y973" s="84">
        <v>3.0</v>
      </c>
      <c r="Z973" s="84">
        <v>0.0</v>
      </c>
      <c r="AA973" s="84">
        <v>0.0</v>
      </c>
      <c r="AB973" s="84">
        <v>0.0</v>
      </c>
      <c r="AC973" s="91">
        <v>0.0</v>
      </c>
      <c r="AD973" s="84">
        <v>0.0</v>
      </c>
      <c r="AE973" s="84">
        <v>0.0</v>
      </c>
      <c r="AF973" s="84">
        <v>0.0</v>
      </c>
      <c r="AG973" s="84">
        <v>0.0</v>
      </c>
      <c r="AH973" s="84">
        <v>0.0</v>
      </c>
      <c r="AI973" s="84">
        <v>0.0</v>
      </c>
      <c r="AJ973" s="84">
        <v>0.0</v>
      </c>
      <c r="AK973" s="84">
        <v>0.0</v>
      </c>
      <c r="AL973" s="84">
        <v>0.0</v>
      </c>
      <c r="AM973" s="84">
        <v>0.0</v>
      </c>
      <c r="AN973" s="93">
        <f t="shared" si="1"/>
        <v>0</v>
      </c>
      <c r="AO973" s="84">
        <f t="shared" si="2"/>
        <v>0</v>
      </c>
    </row>
    <row r="974" ht="12.75" customHeight="1">
      <c r="A974" s="84" t="s">
        <v>4519</v>
      </c>
      <c r="B974" s="84">
        <v>0.0</v>
      </c>
      <c r="C974" s="84">
        <v>0.0</v>
      </c>
      <c r="D974" s="84">
        <v>0.0</v>
      </c>
      <c r="E974" s="84">
        <v>0.0</v>
      </c>
      <c r="F974" s="84">
        <v>0.0</v>
      </c>
      <c r="G974" s="84">
        <v>0.0</v>
      </c>
      <c r="H974" s="84">
        <v>0.0</v>
      </c>
      <c r="I974" s="91">
        <v>0.0</v>
      </c>
      <c r="J974" s="84">
        <v>0.0</v>
      </c>
      <c r="K974" s="84">
        <v>0.0</v>
      </c>
      <c r="L974" s="84">
        <v>0.0</v>
      </c>
      <c r="M974" s="84">
        <v>0.0</v>
      </c>
      <c r="N974" s="84">
        <v>0.0</v>
      </c>
      <c r="O974" s="84">
        <v>1.0</v>
      </c>
      <c r="P974" s="84">
        <v>0.0</v>
      </c>
      <c r="Q974" s="84">
        <v>0.0</v>
      </c>
      <c r="R974" s="84">
        <v>0.0</v>
      </c>
      <c r="S974" s="84">
        <v>0.0</v>
      </c>
      <c r="T974" s="84">
        <v>0.0</v>
      </c>
      <c r="U974" s="84">
        <v>0.0</v>
      </c>
      <c r="V974" s="84">
        <v>0.0</v>
      </c>
      <c r="W974" s="84">
        <v>0.0</v>
      </c>
      <c r="X974" s="84">
        <v>0.0</v>
      </c>
      <c r="Y974" s="84">
        <v>0.0</v>
      </c>
      <c r="Z974" s="84">
        <v>0.0</v>
      </c>
      <c r="AA974" s="84">
        <v>0.0</v>
      </c>
      <c r="AB974" s="84">
        <v>0.0</v>
      </c>
      <c r="AC974" s="91">
        <v>0.0</v>
      </c>
      <c r="AD974" s="84">
        <v>0.0</v>
      </c>
      <c r="AE974" s="84">
        <v>0.0</v>
      </c>
      <c r="AF974" s="84">
        <v>0.0</v>
      </c>
      <c r="AG974" s="84">
        <v>0.0</v>
      </c>
      <c r="AH974" s="84">
        <v>0.0</v>
      </c>
      <c r="AI974" s="84">
        <v>0.0</v>
      </c>
      <c r="AJ974" s="84">
        <v>0.0</v>
      </c>
      <c r="AK974" s="84">
        <v>0.0</v>
      </c>
      <c r="AL974" s="84">
        <v>0.0</v>
      </c>
      <c r="AM974" s="84">
        <v>0.0</v>
      </c>
      <c r="AN974" s="93">
        <f t="shared" si="1"/>
        <v>0</v>
      </c>
      <c r="AO974" s="84">
        <f t="shared" si="2"/>
        <v>1</v>
      </c>
    </row>
    <row r="975" ht="12.75" customHeight="1">
      <c r="A975" s="84" t="s">
        <v>3378</v>
      </c>
      <c r="B975" s="84">
        <v>0.0</v>
      </c>
      <c r="C975" s="84">
        <v>0.0</v>
      </c>
      <c r="D975" s="84">
        <v>5.0</v>
      </c>
      <c r="E975" s="84">
        <v>0.0</v>
      </c>
      <c r="F975" s="84">
        <v>0.0</v>
      </c>
      <c r="G975" s="84">
        <v>0.0</v>
      </c>
      <c r="H975" s="84">
        <v>0.0</v>
      </c>
      <c r="I975" s="91">
        <v>0.0</v>
      </c>
      <c r="J975" s="84">
        <v>0.0</v>
      </c>
      <c r="K975" s="84">
        <v>0.0</v>
      </c>
      <c r="L975" s="84">
        <v>0.0</v>
      </c>
      <c r="M975" s="84">
        <v>0.0</v>
      </c>
      <c r="N975" s="84">
        <v>0.0</v>
      </c>
      <c r="O975" s="84">
        <v>0.0</v>
      </c>
      <c r="P975" s="84">
        <v>0.0</v>
      </c>
      <c r="Q975" s="84">
        <v>0.0</v>
      </c>
      <c r="R975" s="84">
        <v>0.0</v>
      </c>
      <c r="S975" s="84">
        <v>0.0</v>
      </c>
      <c r="T975" s="84">
        <v>0.0</v>
      </c>
      <c r="U975" s="84">
        <v>0.0</v>
      </c>
      <c r="V975" s="84">
        <v>0.0</v>
      </c>
      <c r="W975" s="84">
        <v>0.0</v>
      </c>
      <c r="X975" s="84">
        <v>6.0</v>
      </c>
      <c r="Y975" s="84">
        <v>2.0</v>
      </c>
      <c r="Z975" s="84">
        <v>0.0</v>
      </c>
      <c r="AA975" s="84">
        <v>0.0</v>
      </c>
      <c r="AB975" s="84">
        <v>0.0</v>
      </c>
      <c r="AC975" s="91">
        <v>0.0</v>
      </c>
      <c r="AD975" s="84">
        <v>0.0</v>
      </c>
      <c r="AE975" s="84">
        <v>0.0</v>
      </c>
      <c r="AF975" s="84">
        <v>0.0</v>
      </c>
      <c r="AG975" s="84">
        <v>0.0</v>
      </c>
      <c r="AH975" s="84">
        <v>0.0</v>
      </c>
      <c r="AI975" s="84">
        <v>0.0</v>
      </c>
      <c r="AJ975" s="84">
        <v>0.0</v>
      </c>
      <c r="AK975" s="84">
        <v>0.0</v>
      </c>
      <c r="AL975" s="84">
        <v>0.0</v>
      </c>
      <c r="AM975" s="84">
        <v>0.0</v>
      </c>
      <c r="AN975" s="93">
        <f t="shared" si="1"/>
        <v>0</v>
      </c>
      <c r="AO975" s="84">
        <f t="shared" si="2"/>
        <v>0</v>
      </c>
    </row>
    <row r="976" ht="12.75" customHeight="1">
      <c r="A976" s="84" t="s">
        <v>2843</v>
      </c>
      <c r="B976" s="84">
        <v>2.0</v>
      </c>
      <c r="C976" s="84">
        <v>0.0</v>
      </c>
      <c r="D976" s="84">
        <v>0.0</v>
      </c>
      <c r="E976" s="84">
        <v>0.0</v>
      </c>
      <c r="F976" s="84">
        <v>0.0</v>
      </c>
      <c r="G976" s="84">
        <v>0.0</v>
      </c>
      <c r="H976" s="84">
        <v>0.0</v>
      </c>
      <c r="I976" s="91">
        <v>0.0</v>
      </c>
      <c r="J976" s="84">
        <v>0.0</v>
      </c>
      <c r="K976" s="84">
        <v>0.0</v>
      </c>
      <c r="L976" s="84">
        <v>0.0</v>
      </c>
      <c r="M976" s="84">
        <v>0.0</v>
      </c>
      <c r="N976" s="84">
        <v>0.0</v>
      </c>
      <c r="O976" s="84">
        <v>0.0</v>
      </c>
      <c r="P976" s="84">
        <v>0.0</v>
      </c>
      <c r="Q976" s="84">
        <v>0.0</v>
      </c>
      <c r="R976" s="84">
        <v>0.0</v>
      </c>
      <c r="S976" s="84">
        <v>0.0</v>
      </c>
      <c r="T976" s="84">
        <v>0.0</v>
      </c>
      <c r="U976" s="84">
        <v>0.0</v>
      </c>
      <c r="V976" s="84">
        <v>2.0</v>
      </c>
      <c r="W976" s="84">
        <v>1.0</v>
      </c>
      <c r="X976" s="84">
        <v>0.0</v>
      </c>
      <c r="Y976" s="84">
        <v>0.0</v>
      </c>
      <c r="Z976" s="84">
        <v>0.0</v>
      </c>
      <c r="AA976" s="84">
        <v>0.0</v>
      </c>
      <c r="AB976" s="84">
        <v>0.0</v>
      </c>
      <c r="AC976" s="91">
        <v>0.0</v>
      </c>
      <c r="AD976" s="84">
        <v>0.0</v>
      </c>
      <c r="AE976" s="84">
        <v>0.0</v>
      </c>
      <c r="AF976" s="84">
        <v>0.0</v>
      </c>
      <c r="AG976" s="84">
        <v>0.0</v>
      </c>
      <c r="AH976" s="84">
        <v>0.0</v>
      </c>
      <c r="AI976" s="84">
        <v>0.0</v>
      </c>
      <c r="AJ976" s="84">
        <v>0.0</v>
      </c>
      <c r="AK976" s="84">
        <v>0.0</v>
      </c>
      <c r="AL976" s="84">
        <v>0.0</v>
      </c>
      <c r="AM976" s="84">
        <v>0.0</v>
      </c>
      <c r="AN976" s="93">
        <f t="shared" si="1"/>
        <v>0</v>
      </c>
      <c r="AO976" s="84">
        <f t="shared" si="2"/>
        <v>0</v>
      </c>
    </row>
    <row r="977" ht="12.75" customHeight="1">
      <c r="A977" s="84" t="s">
        <v>2927</v>
      </c>
      <c r="B977" s="84">
        <v>3.0</v>
      </c>
      <c r="C977" s="84">
        <v>0.0</v>
      </c>
      <c r="D977" s="84">
        <v>0.0</v>
      </c>
      <c r="E977" s="84">
        <v>0.0</v>
      </c>
      <c r="F977" s="84">
        <v>0.0</v>
      </c>
      <c r="G977" s="84">
        <v>0.0</v>
      </c>
      <c r="H977" s="84">
        <v>0.0</v>
      </c>
      <c r="I977" s="91">
        <v>0.0</v>
      </c>
      <c r="J977" s="84">
        <v>0.0</v>
      </c>
      <c r="K977" s="84">
        <v>0.0</v>
      </c>
      <c r="L977" s="84">
        <v>0.0</v>
      </c>
      <c r="M977" s="84">
        <v>0.0</v>
      </c>
      <c r="N977" s="84">
        <v>0.0</v>
      </c>
      <c r="O977" s="84">
        <v>0.0</v>
      </c>
      <c r="P977" s="84">
        <v>0.0</v>
      </c>
      <c r="Q977" s="84">
        <v>0.0</v>
      </c>
      <c r="R977" s="84">
        <v>0.0</v>
      </c>
      <c r="S977" s="84">
        <v>0.0</v>
      </c>
      <c r="T977" s="84">
        <v>0.0</v>
      </c>
      <c r="U977" s="84">
        <v>0.0</v>
      </c>
      <c r="V977" s="84">
        <v>1.0</v>
      </c>
      <c r="W977" s="84">
        <v>1.0</v>
      </c>
      <c r="X977" s="84">
        <v>0.0</v>
      </c>
      <c r="Y977" s="84">
        <v>0.0</v>
      </c>
      <c r="Z977" s="84">
        <v>0.0</v>
      </c>
      <c r="AA977" s="84">
        <v>0.0</v>
      </c>
      <c r="AB977" s="84">
        <v>0.0</v>
      </c>
      <c r="AC977" s="91">
        <v>0.0</v>
      </c>
      <c r="AD977" s="84">
        <v>0.0</v>
      </c>
      <c r="AE977" s="84">
        <v>0.0</v>
      </c>
      <c r="AF977" s="84">
        <v>0.0</v>
      </c>
      <c r="AG977" s="84">
        <v>0.0</v>
      </c>
      <c r="AH977" s="84">
        <v>0.0</v>
      </c>
      <c r="AI977" s="84">
        <v>0.0</v>
      </c>
      <c r="AJ977" s="84">
        <v>0.0</v>
      </c>
      <c r="AK977" s="84">
        <v>0.0</v>
      </c>
      <c r="AL977" s="84">
        <v>0.0</v>
      </c>
      <c r="AM977" s="84">
        <v>0.0</v>
      </c>
      <c r="AN977" s="93">
        <f t="shared" si="1"/>
        <v>0</v>
      </c>
      <c r="AO977" s="84">
        <f t="shared" si="2"/>
        <v>0</v>
      </c>
    </row>
    <row r="978" ht="12.75" customHeight="1">
      <c r="A978" s="84" t="s">
        <v>3530</v>
      </c>
      <c r="B978" s="84">
        <v>0.0</v>
      </c>
      <c r="C978" s="84">
        <v>0.0</v>
      </c>
      <c r="D978" s="84">
        <v>0.0</v>
      </c>
      <c r="E978" s="84">
        <v>4.0</v>
      </c>
      <c r="F978" s="84">
        <v>2.0</v>
      </c>
      <c r="G978" s="84">
        <v>0.0</v>
      </c>
      <c r="H978" s="84">
        <v>0.0</v>
      </c>
      <c r="I978" s="91">
        <v>0.0</v>
      </c>
      <c r="J978" s="84">
        <v>0.0</v>
      </c>
      <c r="K978" s="84">
        <v>0.0</v>
      </c>
      <c r="L978" s="84">
        <v>0.0</v>
      </c>
      <c r="M978" s="84">
        <v>0.0</v>
      </c>
      <c r="N978" s="84">
        <v>0.0</v>
      </c>
      <c r="O978" s="84">
        <v>0.0</v>
      </c>
      <c r="P978" s="84">
        <v>0.0</v>
      </c>
      <c r="Q978" s="84">
        <v>0.0</v>
      </c>
      <c r="R978" s="84">
        <v>0.0</v>
      </c>
      <c r="S978" s="84">
        <v>0.0</v>
      </c>
      <c r="T978" s="84">
        <v>0.0</v>
      </c>
      <c r="U978" s="84">
        <v>0.0</v>
      </c>
      <c r="V978" s="84">
        <v>0.0</v>
      </c>
      <c r="W978" s="84">
        <v>0.0</v>
      </c>
      <c r="X978" s="84">
        <v>0.0</v>
      </c>
      <c r="Y978" s="84">
        <v>6.0</v>
      </c>
      <c r="Z978" s="84">
        <v>3.0</v>
      </c>
      <c r="AA978" s="84">
        <v>0.0</v>
      </c>
      <c r="AB978" s="84">
        <v>0.0</v>
      </c>
      <c r="AC978" s="91">
        <v>0.0</v>
      </c>
      <c r="AD978" s="84">
        <v>0.0</v>
      </c>
      <c r="AE978" s="84">
        <v>0.0</v>
      </c>
      <c r="AF978" s="84">
        <v>0.0</v>
      </c>
      <c r="AG978" s="84">
        <v>0.0</v>
      </c>
      <c r="AH978" s="84">
        <v>0.0</v>
      </c>
      <c r="AI978" s="84">
        <v>0.0</v>
      </c>
      <c r="AJ978" s="84">
        <v>0.0</v>
      </c>
      <c r="AK978" s="84">
        <v>0.0</v>
      </c>
      <c r="AL978" s="84">
        <v>0.0</v>
      </c>
      <c r="AM978" s="84">
        <v>0.0</v>
      </c>
      <c r="AN978" s="93">
        <f t="shared" si="1"/>
        <v>0</v>
      </c>
      <c r="AO978" s="84">
        <f t="shared" si="2"/>
        <v>0</v>
      </c>
    </row>
    <row r="979" ht="12.75" customHeight="1">
      <c r="A979" s="84" t="s">
        <v>4517</v>
      </c>
      <c r="B979" s="84">
        <v>0.0</v>
      </c>
      <c r="C979" s="84">
        <v>0.0</v>
      </c>
      <c r="D979" s="84">
        <v>0.0</v>
      </c>
      <c r="E979" s="84">
        <v>0.0</v>
      </c>
      <c r="F979" s="84">
        <v>0.0</v>
      </c>
      <c r="G979" s="84">
        <v>0.0</v>
      </c>
      <c r="H979" s="84">
        <v>0.0</v>
      </c>
      <c r="I979" s="91">
        <v>0.0</v>
      </c>
      <c r="J979" s="84">
        <v>0.0</v>
      </c>
      <c r="K979" s="84">
        <v>0.0</v>
      </c>
      <c r="L979" s="84">
        <v>0.0</v>
      </c>
      <c r="M979" s="84">
        <v>0.0</v>
      </c>
      <c r="N979" s="84">
        <v>0.0</v>
      </c>
      <c r="O979" s="84">
        <v>1.0</v>
      </c>
      <c r="P979" s="84">
        <v>0.0</v>
      </c>
      <c r="Q979" s="84">
        <v>0.0</v>
      </c>
      <c r="R979" s="84">
        <v>0.0</v>
      </c>
      <c r="S979" s="84">
        <v>0.0</v>
      </c>
      <c r="T979" s="84">
        <v>0.0</v>
      </c>
      <c r="U979" s="84">
        <v>0.0</v>
      </c>
      <c r="V979" s="84">
        <v>0.0</v>
      </c>
      <c r="W979" s="84">
        <v>0.0</v>
      </c>
      <c r="X979" s="84">
        <v>0.0</v>
      </c>
      <c r="Y979" s="84">
        <v>0.0</v>
      </c>
      <c r="Z979" s="84">
        <v>0.0</v>
      </c>
      <c r="AA979" s="84">
        <v>0.0</v>
      </c>
      <c r="AB979" s="84">
        <v>0.0</v>
      </c>
      <c r="AC979" s="91">
        <v>0.0</v>
      </c>
      <c r="AD979" s="84">
        <v>0.0</v>
      </c>
      <c r="AE979" s="84">
        <v>0.0</v>
      </c>
      <c r="AF979" s="84">
        <v>0.0</v>
      </c>
      <c r="AG979" s="84">
        <v>0.0</v>
      </c>
      <c r="AH979" s="84">
        <v>0.0</v>
      </c>
      <c r="AI979" s="84">
        <v>0.0</v>
      </c>
      <c r="AJ979" s="84">
        <v>0.0</v>
      </c>
      <c r="AK979" s="84">
        <v>0.0</v>
      </c>
      <c r="AL979" s="84">
        <v>0.0</v>
      </c>
      <c r="AM979" s="84">
        <v>0.0</v>
      </c>
      <c r="AN979" s="93">
        <f t="shared" si="1"/>
        <v>0</v>
      </c>
      <c r="AO979" s="84">
        <f t="shared" si="2"/>
        <v>1</v>
      </c>
    </row>
    <row r="980" ht="12.75" customHeight="1">
      <c r="A980" s="84" t="s">
        <v>4628</v>
      </c>
      <c r="B980" s="84">
        <v>0.0</v>
      </c>
      <c r="C980" s="84">
        <v>0.0</v>
      </c>
      <c r="D980" s="84">
        <v>0.0</v>
      </c>
      <c r="E980" s="84">
        <v>0.0</v>
      </c>
      <c r="F980" s="84">
        <v>0.0</v>
      </c>
      <c r="G980" s="84">
        <v>0.0</v>
      </c>
      <c r="H980" s="84">
        <v>0.0</v>
      </c>
      <c r="I980" s="91">
        <v>0.0</v>
      </c>
      <c r="J980" s="84">
        <v>0.0</v>
      </c>
      <c r="K980" s="84">
        <v>0.0</v>
      </c>
      <c r="L980" s="84">
        <v>0.0</v>
      </c>
      <c r="M980" s="84">
        <v>0.0</v>
      </c>
      <c r="N980" s="84">
        <v>0.0</v>
      </c>
      <c r="O980" s="84">
        <v>0.0</v>
      </c>
      <c r="P980" s="84">
        <v>0.0</v>
      </c>
      <c r="Q980" s="84">
        <v>0.0</v>
      </c>
      <c r="R980" s="84">
        <v>0.0</v>
      </c>
      <c r="S980" s="84">
        <v>1.0</v>
      </c>
      <c r="T980" s="84">
        <v>0.0</v>
      </c>
      <c r="U980" s="84">
        <v>0.0</v>
      </c>
      <c r="V980" s="84">
        <v>0.0</v>
      </c>
      <c r="W980" s="84">
        <v>0.0</v>
      </c>
      <c r="X980" s="84">
        <v>0.0</v>
      </c>
      <c r="Y980" s="84">
        <v>0.0</v>
      </c>
      <c r="Z980" s="84">
        <v>0.0</v>
      </c>
      <c r="AA980" s="84">
        <v>0.0</v>
      </c>
      <c r="AB980" s="84">
        <v>0.0</v>
      </c>
      <c r="AC980" s="91">
        <v>0.0</v>
      </c>
      <c r="AD980" s="84">
        <v>0.0</v>
      </c>
      <c r="AE980" s="84">
        <v>0.0</v>
      </c>
      <c r="AF980" s="84">
        <v>0.0</v>
      </c>
      <c r="AG980" s="84">
        <v>0.0</v>
      </c>
      <c r="AH980" s="84">
        <v>0.0</v>
      </c>
      <c r="AI980" s="84">
        <v>0.0</v>
      </c>
      <c r="AJ980" s="84">
        <v>0.0</v>
      </c>
      <c r="AK980" s="84">
        <v>0.0</v>
      </c>
      <c r="AL980" s="84">
        <v>0.0</v>
      </c>
      <c r="AM980" s="84">
        <v>0.0</v>
      </c>
      <c r="AN980" s="93">
        <f t="shared" si="1"/>
        <v>0</v>
      </c>
      <c r="AO980" s="84">
        <f t="shared" si="2"/>
        <v>1</v>
      </c>
    </row>
    <row r="981" ht="12.75" customHeight="1">
      <c r="A981" s="84" t="s">
        <v>3949</v>
      </c>
      <c r="B981" s="84">
        <v>0.0</v>
      </c>
      <c r="C981" s="84">
        <v>0.0</v>
      </c>
      <c r="D981" s="84">
        <v>0.0</v>
      </c>
      <c r="E981" s="84">
        <v>0.0</v>
      </c>
      <c r="F981" s="84">
        <v>0.0</v>
      </c>
      <c r="G981" s="84">
        <v>0.0</v>
      </c>
      <c r="H981" s="84">
        <v>5.0</v>
      </c>
      <c r="I981" s="91">
        <v>0.0</v>
      </c>
      <c r="J981" s="84">
        <v>0.0</v>
      </c>
      <c r="K981" s="84">
        <v>0.0</v>
      </c>
      <c r="L981" s="84">
        <v>0.0</v>
      </c>
      <c r="M981" s="84">
        <v>0.0</v>
      </c>
      <c r="N981" s="84">
        <v>0.0</v>
      </c>
      <c r="O981" s="84">
        <v>0.0</v>
      </c>
      <c r="P981" s="84">
        <v>0.0</v>
      </c>
      <c r="Q981" s="84">
        <v>0.0</v>
      </c>
      <c r="R981" s="84">
        <v>0.0</v>
      </c>
      <c r="S981" s="84">
        <v>0.0</v>
      </c>
      <c r="T981" s="84">
        <v>0.0</v>
      </c>
      <c r="U981" s="84">
        <v>0.0</v>
      </c>
      <c r="V981" s="84">
        <v>0.0</v>
      </c>
      <c r="W981" s="84">
        <v>0.0</v>
      </c>
      <c r="X981" s="84">
        <v>0.0</v>
      </c>
      <c r="Y981" s="84">
        <v>0.0</v>
      </c>
      <c r="Z981" s="84">
        <v>0.0</v>
      </c>
      <c r="AA981" s="84">
        <v>0.0</v>
      </c>
      <c r="AB981" s="84">
        <v>6.0</v>
      </c>
      <c r="AC981" s="91">
        <v>0.0</v>
      </c>
      <c r="AD981" s="84">
        <v>0.0</v>
      </c>
      <c r="AE981" s="84">
        <v>0.0</v>
      </c>
      <c r="AF981" s="84">
        <v>0.0</v>
      </c>
      <c r="AG981" s="84">
        <v>0.0</v>
      </c>
      <c r="AH981" s="84">
        <v>0.0</v>
      </c>
      <c r="AI981" s="84">
        <v>0.0</v>
      </c>
      <c r="AJ981" s="84">
        <v>0.0</v>
      </c>
      <c r="AK981" s="84">
        <v>0.0</v>
      </c>
      <c r="AL981" s="84">
        <v>0.0</v>
      </c>
      <c r="AM981" s="84">
        <v>0.0</v>
      </c>
      <c r="AN981" s="93">
        <f t="shared" si="1"/>
        <v>0</v>
      </c>
      <c r="AO981" s="84">
        <f t="shared" si="2"/>
        <v>0</v>
      </c>
    </row>
    <row r="982" ht="12.75" customHeight="1">
      <c r="A982" s="84" t="s">
        <v>3609</v>
      </c>
      <c r="B982" s="84">
        <v>0.0</v>
      </c>
      <c r="C982" s="84">
        <v>0.0</v>
      </c>
      <c r="D982" s="84">
        <v>0.0</v>
      </c>
      <c r="E982" s="84">
        <v>0.0</v>
      </c>
      <c r="F982" s="84">
        <v>4.0</v>
      </c>
      <c r="G982" s="84">
        <v>1.0</v>
      </c>
      <c r="H982" s="84">
        <v>0.0</v>
      </c>
      <c r="I982" s="91">
        <v>0.0</v>
      </c>
      <c r="J982" s="84">
        <v>0.0</v>
      </c>
      <c r="K982" s="84">
        <v>0.0</v>
      </c>
      <c r="L982" s="84">
        <v>0.0</v>
      </c>
      <c r="M982" s="84">
        <v>0.0</v>
      </c>
      <c r="N982" s="84">
        <v>0.0</v>
      </c>
      <c r="O982" s="84">
        <v>0.0</v>
      </c>
      <c r="P982" s="84">
        <v>0.0</v>
      </c>
      <c r="Q982" s="84">
        <v>0.0</v>
      </c>
      <c r="R982" s="84">
        <v>0.0</v>
      </c>
      <c r="S982" s="84">
        <v>0.0</v>
      </c>
      <c r="T982" s="84">
        <v>0.0</v>
      </c>
      <c r="U982" s="84">
        <v>0.0</v>
      </c>
      <c r="V982" s="84">
        <v>0.0</v>
      </c>
      <c r="W982" s="84">
        <v>0.0</v>
      </c>
      <c r="X982" s="84">
        <v>0.0</v>
      </c>
      <c r="Y982" s="84">
        <v>0.0</v>
      </c>
      <c r="Z982" s="84">
        <v>6.0</v>
      </c>
      <c r="AA982" s="84">
        <v>1.0</v>
      </c>
      <c r="AB982" s="84">
        <v>0.0</v>
      </c>
      <c r="AC982" s="91">
        <v>0.0</v>
      </c>
      <c r="AD982" s="84">
        <v>0.0</v>
      </c>
      <c r="AE982" s="84">
        <v>0.0</v>
      </c>
      <c r="AF982" s="84">
        <v>0.0</v>
      </c>
      <c r="AG982" s="84">
        <v>0.0</v>
      </c>
      <c r="AH982" s="84">
        <v>0.0</v>
      </c>
      <c r="AI982" s="84">
        <v>0.0</v>
      </c>
      <c r="AJ982" s="84">
        <v>0.0</v>
      </c>
      <c r="AK982" s="84">
        <v>0.0</v>
      </c>
      <c r="AL982" s="84">
        <v>0.0</v>
      </c>
      <c r="AM982" s="84">
        <v>0.0</v>
      </c>
      <c r="AN982" s="93">
        <f t="shared" si="1"/>
        <v>0</v>
      </c>
      <c r="AO982" s="84">
        <f t="shared" si="2"/>
        <v>0</v>
      </c>
    </row>
    <row r="983" ht="12.75" customHeight="1">
      <c r="A983" s="84" t="s">
        <v>3393</v>
      </c>
      <c r="B983" s="84">
        <v>0.0</v>
      </c>
      <c r="C983" s="84">
        <v>0.0</v>
      </c>
      <c r="D983" s="84">
        <v>5.0</v>
      </c>
      <c r="E983" s="84">
        <v>0.0</v>
      </c>
      <c r="F983" s="84">
        <v>0.0</v>
      </c>
      <c r="G983" s="84">
        <v>0.0</v>
      </c>
      <c r="H983" s="84">
        <v>0.0</v>
      </c>
      <c r="I983" s="91">
        <v>0.0</v>
      </c>
      <c r="J983" s="84">
        <v>0.0</v>
      </c>
      <c r="K983" s="84">
        <v>0.0</v>
      </c>
      <c r="L983" s="84">
        <v>0.0</v>
      </c>
      <c r="M983" s="84">
        <v>0.0</v>
      </c>
      <c r="N983" s="84">
        <v>0.0</v>
      </c>
      <c r="O983" s="84">
        <v>0.0</v>
      </c>
      <c r="P983" s="84">
        <v>0.0</v>
      </c>
      <c r="Q983" s="84">
        <v>0.0</v>
      </c>
      <c r="R983" s="84">
        <v>0.0</v>
      </c>
      <c r="S983" s="84">
        <v>0.0</v>
      </c>
      <c r="T983" s="84">
        <v>0.0</v>
      </c>
      <c r="U983" s="84">
        <v>0.0</v>
      </c>
      <c r="V983" s="84">
        <v>0.0</v>
      </c>
      <c r="W983" s="84">
        <v>0.0</v>
      </c>
      <c r="X983" s="84">
        <v>6.0</v>
      </c>
      <c r="Y983" s="84">
        <v>3.0</v>
      </c>
      <c r="Z983" s="84">
        <v>0.0</v>
      </c>
      <c r="AA983" s="84">
        <v>0.0</v>
      </c>
      <c r="AB983" s="84">
        <v>0.0</v>
      </c>
      <c r="AC983" s="91">
        <v>0.0</v>
      </c>
      <c r="AD983" s="84">
        <v>0.0</v>
      </c>
      <c r="AE983" s="84">
        <v>0.0</v>
      </c>
      <c r="AF983" s="84">
        <v>0.0</v>
      </c>
      <c r="AG983" s="84">
        <v>0.0</v>
      </c>
      <c r="AH983" s="84">
        <v>0.0</v>
      </c>
      <c r="AI983" s="84">
        <v>0.0</v>
      </c>
      <c r="AJ983" s="84">
        <v>0.0</v>
      </c>
      <c r="AK983" s="84">
        <v>0.0</v>
      </c>
      <c r="AL983" s="84">
        <v>0.0</v>
      </c>
      <c r="AM983" s="84">
        <v>0.0</v>
      </c>
      <c r="AN983" s="93">
        <f t="shared" si="1"/>
        <v>0</v>
      </c>
      <c r="AO983" s="84">
        <f t="shared" si="2"/>
        <v>0</v>
      </c>
    </row>
    <row r="984" ht="12.75" customHeight="1">
      <c r="A984" s="84" t="s">
        <v>3402</v>
      </c>
      <c r="B984" s="84">
        <v>0.0</v>
      </c>
      <c r="C984" s="84">
        <v>0.0</v>
      </c>
      <c r="D984" s="84">
        <v>4.0</v>
      </c>
      <c r="E984" s="84">
        <v>0.0</v>
      </c>
      <c r="F984" s="84">
        <v>0.0</v>
      </c>
      <c r="G984" s="84">
        <v>0.0</v>
      </c>
      <c r="H984" s="84">
        <v>0.0</v>
      </c>
      <c r="I984" s="91">
        <v>0.0</v>
      </c>
      <c r="J984" s="84">
        <v>0.0</v>
      </c>
      <c r="K984" s="84">
        <v>0.0</v>
      </c>
      <c r="L984" s="84">
        <v>0.0</v>
      </c>
      <c r="M984" s="84">
        <v>0.0</v>
      </c>
      <c r="N984" s="84">
        <v>0.0</v>
      </c>
      <c r="O984" s="84">
        <v>0.0</v>
      </c>
      <c r="P984" s="84">
        <v>0.0</v>
      </c>
      <c r="Q984" s="84">
        <v>0.0</v>
      </c>
      <c r="R984" s="84">
        <v>0.0</v>
      </c>
      <c r="S984" s="84">
        <v>0.0</v>
      </c>
      <c r="T984" s="84">
        <v>0.0</v>
      </c>
      <c r="U984" s="84">
        <v>0.0</v>
      </c>
      <c r="V984" s="84">
        <v>0.0</v>
      </c>
      <c r="W984" s="84">
        <v>0.0</v>
      </c>
      <c r="X984" s="84">
        <v>6.0</v>
      </c>
      <c r="Y984" s="84">
        <v>0.0</v>
      </c>
      <c r="Z984" s="84">
        <v>0.0</v>
      </c>
      <c r="AA984" s="84">
        <v>0.0</v>
      </c>
      <c r="AB984" s="84">
        <v>0.0</v>
      </c>
      <c r="AC984" s="91">
        <v>0.0</v>
      </c>
      <c r="AD984" s="84">
        <v>0.0</v>
      </c>
      <c r="AE984" s="84">
        <v>0.0</v>
      </c>
      <c r="AF984" s="84">
        <v>0.0</v>
      </c>
      <c r="AG984" s="84">
        <v>0.0</v>
      </c>
      <c r="AH984" s="84">
        <v>0.0</v>
      </c>
      <c r="AI984" s="84">
        <v>0.0</v>
      </c>
      <c r="AJ984" s="84">
        <v>0.0</v>
      </c>
      <c r="AK984" s="84">
        <v>0.0</v>
      </c>
      <c r="AL984" s="84">
        <v>0.0</v>
      </c>
      <c r="AM984" s="84">
        <v>0.0</v>
      </c>
      <c r="AN984" s="93">
        <f t="shared" si="1"/>
        <v>0</v>
      </c>
      <c r="AO984" s="84">
        <f t="shared" si="2"/>
        <v>0</v>
      </c>
    </row>
    <row r="985" ht="12.75" customHeight="1">
      <c r="A985" s="84" t="s">
        <v>3902</v>
      </c>
      <c r="B985" s="84">
        <v>0.0</v>
      </c>
      <c r="C985" s="84">
        <v>0.0</v>
      </c>
      <c r="D985" s="84">
        <v>0.0</v>
      </c>
      <c r="E985" s="84">
        <v>0.0</v>
      </c>
      <c r="F985" s="84">
        <v>0.0</v>
      </c>
      <c r="G985" s="84">
        <v>0.0</v>
      </c>
      <c r="H985" s="84">
        <v>4.0</v>
      </c>
      <c r="I985" s="91">
        <v>0.0</v>
      </c>
      <c r="J985" s="84">
        <v>0.0</v>
      </c>
      <c r="K985" s="84">
        <v>0.0</v>
      </c>
      <c r="L985" s="84">
        <v>0.0</v>
      </c>
      <c r="M985" s="84">
        <v>0.0</v>
      </c>
      <c r="N985" s="84">
        <v>0.0</v>
      </c>
      <c r="O985" s="84">
        <v>0.0</v>
      </c>
      <c r="P985" s="84">
        <v>0.0</v>
      </c>
      <c r="Q985" s="84">
        <v>0.0</v>
      </c>
      <c r="R985" s="84">
        <v>0.0</v>
      </c>
      <c r="S985" s="84">
        <v>0.0</v>
      </c>
      <c r="T985" s="84">
        <v>0.0</v>
      </c>
      <c r="U985" s="84">
        <v>0.0</v>
      </c>
      <c r="V985" s="84">
        <v>0.0</v>
      </c>
      <c r="W985" s="84">
        <v>0.0</v>
      </c>
      <c r="X985" s="84">
        <v>0.0</v>
      </c>
      <c r="Y985" s="84">
        <v>0.0</v>
      </c>
      <c r="Z985" s="84">
        <v>0.0</v>
      </c>
      <c r="AA985" s="84">
        <v>0.0</v>
      </c>
      <c r="AB985" s="84">
        <v>5.0</v>
      </c>
      <c r="AC985" s="91">
        <v>0.0</v>
      </c>
      <c r="AD985" s="84">
        <v>0.0</v>
      </c>
      <c r="AE985" s="84">
        <v>0.0</v>
      </c>
      <c r="AF985" s="84">
        <v>0.0</v>
      </c>
      <c r="AG985" s="84">
        <v>0.0</v>
      </c>
      <c r="AH985" s="84">
        <v>0.0</v>
      </c>
      <c r="AI985" s="84">
        <v>0.0</v>
      </c>
      <c r="AJ985" s="84">
        <v>0.0</v>
      </c>
      <c r="AK985" s="84">
        <v>0.0</v>
      </c>
      <c r="AL985" s="84">
        <v>0.0</v>
      </c>
      <c r="AM985" s="84">
        <v>0.0</v>
      </c>
      <c r="AN985" s="93">
        <f t="shared" si="1"/>
        <v>0</v>
      </c>
      <c r="AO985" s="84">
        <f t="shared" si="2"/>
        <v>0</v>
      </c>
    </row>
    <row r="986" ht="12.75" customHeight="1">
      <c r="A986" s="84" t="s">
        <v>4513</v>
      </c>
      <c r="B986" s="84">
        <v>0.0</v>
      </c>
      <c r="C986" s="84">
        <v>0.0</v>
      </c>
      <c r="D986" s="84">
        <v>0.0</v>
      </c>
      <c r="E986" s="84">
        <v>0.0</v>
      </c>
      <c r="F986" s="84">
        <v>0.0</v>
      </c>
      <c r="G986" s="84">
        <v>0.0</v>
      </c>
      <c r="H986" s="84">
        <v>0.0</v>
      </c>
      <c r="I986" s="91">
        <v>0.0</v>
      </c>
      <c r="J986" s="84">
        <v>0.0</v>
      </c>
      <c r="K986" s="84">
        <v>0.0</v>
      </c>
      <c r="L986" s="84">
        <v>0.0</v>
      </c>
      <c r="M986" s="84">
        <v>0.0</v>
      </c>
      <c r="N986" s="84">
        <v>0.0</v>
      </c>
      <c r="O986" s="84">
        <v>0.0</v>
      </c>
      <c r="P986" s="84">
        <v>0.0</v>
      </c>
      <c r="Q986" s="84">
        <v>0.0</v>
      </c>
      <c r="R986" s="84">
        <v>0.0</v>
      </c>
      <c r="S986" s="84">
        <v>0.0</v>
      </c>
      <c r="T986" s="84">
        <v>0.0</v>
      </c>
      <c r="U986" s="84">
        <v>0.0</v>
      </c>
      <c r="V986" s="84">
        <v>0.0</v>
      </c>
      <c r="W986" s="84">
        <v>0.0</v>
      </c>
      <c r="X986" s="84">
        <v>0.0</v>
      </c>
      <c r="Y986" s="84">
        <v>0.0</v>
      </c>
      <c r="Z986" s="84">
        <v>0.0</v>
      </c>
      <c r="AA986" s="84">
        <v>0.0</v>
      </c>
      <c r="AB986" s="84">
        <v>0.0</v>
      </c>
      <c r="AC986" s="91">
        <v>0.0</v>
      </c>
      <c r="AD986" s="84">
        <v>0.0</v>
      </c>
      <c r="AE986" s="84">
        <v>0.0</v>
      </c>
      <c r="AF986" s="84">
        <v>1.0</v>
      </c>
      <c r="AG986" s="84">
        <v>0.0</v>
      </c>
      <c r="AH986" s="84">
        <v>0.0</v>
      </c>
      <c r="AI986" s="84">
        <v>0.0</v>
      </c>
      <c r="AJ986" s="84">
        <v>0.0</v>
      </c>
      <c r="AK986" s="84">
        <v>0.0</v>
      </c>
      <c r="AL986" s="84">
        <v>0.0</v>
      </c>
      <c r="AM986" s="84">
        <v>0.0</v>
      </c>
      <c r="AN986" s="93">
        <f t="shared" si="1"/>
        <v>0</v>
      </c>
      <c r="AO986" s="84">
        <f t="shared" si="2"/>
        <v>1</v>
      </c>
    </row>
    <row r="987" ht="12.75" customHeight="1">
      <c r="A987" s="84" t="s">
        <v>3724</v>
      </c>
      <c r="B987" s="84">
        <v>0.0</v>
      </c>
      <c r="C987" s="84">
        <v>0.0</v>
      </c>
      <c r="D987" s="84">
        <v>0.0</v>
      </c>
      <c r="E987" s="84">
        <v>0.0</v>
      </c>
      <c r="F987" s="84">
        <v>5.0</v>
      </c>
      <c r="G987" s="84">
        <v>1.0</v>
      </c>
      <c r="H987" s="84">
        <v>0.0</v>
      </c>
      <c r="I987" s="91">
        <v>0.0</v>
      </c>
      <c r="J987" s="84">
        <v>0.0</v>
      </c>
      <c r="K987" s="84">
        <v>0.0</v>
      </c>
      <c r="L987" s="84">
        <v>0.0</v>
      </c>
      <c r="M987" s="84">
        <v>0.0</v>
      </c>
      <c r="N987" s="84">
        <v>0.0</v>
      </c>
      <c r="O987" s="84">
        <v>0.0</v>
      </c>
      <c r="P987" s="84">
        <v>0.0</v>
      </c>
      <c r="Q987" s="84">
        <v>0.0</v>
      </c>
      <c r="R987" s="84">
        <v>0.0</v>
      </c>
      <c r="S987" s="84">
        <v>0.0</v>
      </c>
      <c r="T987" s="84">
        <v>0.0</v>
      </c>
      <c r="U987" s="84">
        <v>0.0</v>
      </c>
      <c r="V987" s="84">
        <v>0.0</v>
      </c>
      <c r="W987" s="84">
        <v>0.0</v>
      </c>
      <c r="X987" s="84">
        <v>0.0</v>
      </c>
      <c r="Y987" s="84">
        <v>0.0</v>
      </c>
      <c r="Z987" s="84">
        <v>6.0</v>
      </c>
      <c r="AA987" s="84">
        <v>1.0</v>
      </c>
      <c r="AB987" s="84">
        <v>0.0</v>
      </c>
      <c r="AC987" s="91">
        <v>0.0</v>
      </c>
      <c r="AD987" s="84">
        <v>0.0</v>
      </c>
      <c r="AE987" s="84">
        <v>0.0</v>
      </c>
      <c r="AF987" s="84">
        <v>0.0</v>
      </c>
      <c r="AG987" s="84">
        <v>0.0</v>
      </c>
      <c r="AH987" s="84">
        <v>0.0</v>
      </c>
      <c r="AI987" s="84">
        <v>0.0</v>
      </c>
      <c r="AJ987" s="84">
        <v>0.0</v>
      </c>
      <c r="AK987" s="84">
        <v>0.0</v>
      </c>
      <c r="AL987" s="84">
        <v>0.0</v>
      </c>
      <c r="AM987" s="84">
        <v>0.0</v>
      </c>
      <c r="AN987" s="93">
        <f t="shared" si="1"/>
        <v>0</v>
      </c>
      <c r="AO987" s="84">
        <f t="shared" si="2"/>
        <v>0</v>
      </c>
    </row>
    <row r="988" ht="12.75" customHeight="1">
      <c r="A988" s="84" t="s">
        <v>3001</v>
      </c>
      <c r="B988" s="84">
        <v>1.0</v>
      </c>
      <c r="C988" s="84">
        <v>0.0</v>
      </c>
      <c r="D988" s="84">
        <v>0.0</v>
      </c>
      <c r="E988" s="84">
        <v>0.0</v>
      </c>
      <c r="F988" s="84">
        <v>0.0</v>
      </c>
      <c r="G988" s="84">
        <v>0.0</v>
      </c>
      <c r="H988" s="84">
        <v>0.0</v>
      </c>
      <c r="I988" s="91">
        <v>0.0</v>
      </c>
      <c r="J988" s="84">
        <v>0.0</v>
      </c>
      <c r="K988" s="84">
        <v>0.0</v>
      </c>
      <c r="L988" s="84">
        <v>0.0</v>
      </c>
      <c r="M988" s="84">
        <v>0.0</v>
      </c>
      <c r="N988" s="84">
        <v>0.0</v>
      </c>
      <c r="O988" s="84">
        <v>0.0</v>
      </c>
      <c r="P988" s="84">
        <v>0.0</v>
      </c>
      <c r="Q988" s="84">
        <v>0.0</v>
      </c>
      <c r="R988" s="84">
        <v>0.0</v>
      </c>
      <c r="S988" s="84">
        <v>0.0</v>
      </c>
      <c r="T988" s="84">
        <v>0.0</v>
      </c>
      <c r="U988" s="84">
        <v>0.0</v>
      </c>
      <c r="V988" s="84">
        <v>2.0</v>
      </c>
      <c r="W988" s="84">
        <v>4.0</v>
      </c>
      <c r="X988" s="84">
        <v>0.0</v>
      </c>
      <c r="Y988" s="84">
        <v>0.0</v>
      </c>
      <c r="Z988" s="84">
        <v>0.0</v>
      </c>
      <c r="AA988" s="84">
        <v>0.0</v>
      </c>
      <c r="AB988" s="84">
        <v>0.0</v>
      </c>
      <c r="AC988" s="91">
        <v>0.0</v>
      </c>
      <c r="AD988" s="84">
        <v>0.0</v>
      </c>
      <c r="AE988" s="84">
        <v>0.0</v>
      </c>
      <c r="AF988" s="84">
        <v>0.0</v>
      </c>
      <c r="AG988" s="84">
        <v>0.0</v>
      </c>
      <c r="AH988" s="84">
        <v>0.0</v>
      </c>
      <c r="AI988" s="84">
        <v>0.0</v>
      </c>
      <c r="AJ988" s="84">
        <v>0.0</v>
      </c>
      <c r="AK988" s="84">
        <v>0.0</v>
      </c>
      <c r="AL988" s="84">
        <v>0.0</v>
      </c>
      <c r="AM988" s="84">
        <v>0.0</v>
      </c>
      <c r="AN988" s="93">
        <f t="shared" si="1"/>
        <v>0</v>
      </c>
      <c r="AO988" s="84">
        <f t="shared" si="2"/>
        <v>0</v>
      </c>
    </row>
    <row r="989" ht="12.75" customHeight="1">
      <c r="A989" s="84" t="s">
        <v>3050</v>
      </c>
      <c r="B989" s="84">
        <v>1.0</v>
      </c>
      <c r="C989" s="84">
        <v>0.0</v>
      </c>
      <c r="D989" s="84">
        <v>0.0</v>
      </c>
      <c r="E989" s="84">
        <v>0.0</v>
      </c>
      <c r="F989" s="84">
        <v>0.0</v>
      </c>
      <c r="G989" s="84">
        <v>0.0</v>
      </c>
      <c r="H989" s="84">
        <v>0.0</v>
      </c>
      <c r="I989" s="91">
        <v>0.0</v>
      </c>
      <c r="J989" s="84">
        <v>0.0</v>
      </c>
      <c r="K989" s="84">
        <v>0.0</v>
      </c>
      <c r="L989" s="84">
        <v>0.0</v>
      </c>
      <c r="M989" s="84">
        <v>0.0</v>
      </c>
      <c r="N989" s="84">
        <v>0.0</v>
      </c>
      <c r="O989" s="84">
        <v>0.0</v>
      </c>
      <c r="P989" s="84">
        <v>0.0</v>
      </c>
      <c r="Q989" s="84">
        <v>0.0</v>
      </c>
      <c r="R989" s="84">
        <v>0.0</v>
      </c>
      <c r="S989" s="84">
        <v>0.0</v>
      </c>
      <c r="T989" s="84">
        <v>0.0</v>
      </c>
      <c r="U989" s="84">
        <v>0.0</v>
      </c>
      <c r="V989" s="84">
        <v>4.0</v>
      </c>
      <c r="W989" s="84">
        <v>3.0</v>
      </c>
      <c r="X989" s="84">
        <v>0.0</v>
      </c>
      <c r="Y989" s="84">
        <v>0.0</v>
      </c>
      <c r="Z989" s="84">
        <v>0.0</v>
      </c>
      <c r="AA989" s="84">
        <v>0.0</v>
      </c>
      <c r="AB989" s="84">
        <v>0.0</v>
      </c>
      <c r="AC989" s="91">
        <v>0.0</v>
      </c>
      <c r="AD989" s="84">
        <v>0.0</v>
      </c>
      <c r="AE989" s="84">
        <v>0.0</v>
      </c>
      <c r="AF989" s="84">
        <v>0.0</v>
      </c>
      <c r="AG989" s="84">
        <v>0.0</v>
      </c>
      <c r="AH989" s="84">
        <v>0.0</v>
      </c>
      <c r="AI989" s="84">
        <v>0.0</v>
      </c>
      <c r="AJ989" s="84">
        <v>0.0</v>
      </c>
      <c r="AK989" s="84">
        <v>0.0</v>
      </c>
      <c r="AL989" s="84">
        <v>0.0</v>
      </c>
      <c r="AM989" s="84">
        <v>0.0</v>
      </c>
      <c r="AN989" s="93">
        <f t="shared" si="1"/>
        <v>0</v>
      </c>
      <c r="AO989" s="84">
        <f t="shared" si="2"/>
        <v>0</v>
      </c>
    </row>
    <row r="990" ht="12.75" customHeight="1">
      <c r="A990" s="84" t="s">
        <v>3833</v>
      </c>
      <c r="B990" s="84">
        <v>0.0</v>
      </c>
      <c r="C990" s="84">
        <v>0.0</v>
      </c>
      <c r="D990" s="84">
        <v>0.0</v>
      </c>
      <c r="E990" s="84">
        <v>0.0</v>
      </c>
      <c r="F990" s="84">
        <v>0.0</v>
      </c>
      <c r="G990" s="84">
        <v>4.0</v>
      </c>
      <c r="H990" s="84">
        <v>0.0</v>
      </c>
      <c r="I990" s="91">
        <v>0.0</v>
      </c>
      <c r="J990" s="84">
        <v>0.0</v>
      </c>
      <c r="K990" s="84">
        <v>0.0</v>
      </c>
      <c r="L990" s="84">
        <v>0.0</v>
      </c>
      <c r="M990" s="84">
        <v>0.0</v>
      </c>
      <c r="N990" s="84">
        <v>0.0</v>
      </c>
      <c r="O990" s="84">
        <v>0.0</v>
      </c>
      <c r="P990" s="84">
        <v>0.0</v>
      </c>
      <c r="Q990" s="84">
        <v>0.0</v>
      </c>
      <c r="R990" s="84">
        <v>0.0</v>
      </c>
      <c r="S990" s="84">
        <v>0.0</v>
      </c>
      <c r="T990" s="84">
        <v>0.0</v>
      </c>
      <c r="U990" s="84">
        <v>0.0</v>
      </c>
      <c r="V990" s="84">
        <v>0.0</v>
      </c>
      <c r="W990" s="84">
        <v>0.0</v>
      </c>
      <c r="X990" s="84">
        <v>0.0</v>
      </c>
      <c r="Y990" s="84">
        <v>0.0</v>
      </c>
      <c r="Z990" s="84">
        <v>0.0</v>
      </c>
      <c r="AA990" s="84">
        <v>6.0</v>
      </c>
      <c r="AB990" s="84">
        <v>0.0</v>
      </c>
      <c r="AC990" s="91">
        <v>0.0</v>
      </c>
      <c r="AD990" s="84">
        <v>0.0</v>
      </c>
      <c r="AE990" s="84">
        <v>0.0</v>
      </c>
      <c r="AF990" s="84">
        <v>0.0</v>
      </c>
      <c r="AG990" s="84">
        <v>0.0</v>
      </c>
      <c r="AH990" s="84">
        <v>0.0</v>
      </c>
      <c r="AI990" s="84">
        <v>0.0</v>
      </c>
      <c r="AJ990" s="84">
        <v>0.0</v>
      </c>
      <c r="AK990" s="84">
        <v>0.0</v>
      </c>
      <c r="AL990" s="84">
        <v>0.0</v>
      </c>
      <c r="AM990" s="84">
        <v>0.0</v>
      </c>
      <c r="AN990" s="93">
        <f t="shared" si="1"/>
        <v>0</v>
      </c>
      <c r="AO990" s="84">
        <f t="shared" si="2"/>
        <v>0</v>
      </c>
    </row>
    <row r="991" ht="12.75" customHeight="1">
      <c r="A991" s="84" t="s">
        <v>4662</v>
      </c>
      <c r="B991" s="84">
        <v>0.0</v>
      </c>
      <c r="C991" s="84">
        <v>0.0</v>
      </c>
      <c r="D991" s="84">
        <v>0.0</v>
      </c>
      <c r="E991" s="84">
        <v>0.0</v>
      </c>
      <c r="F991" s="84">
        <v>0.0</v>
      </c>
      <c r="G991" s="84">
        <v>0.0</v>
      </c>
      <c r="H991" s="84">
        <v>0.0</v>
      </c>
      <c r="I991" s="91">
        <v>0.0</v>
      </c>
      <c r="J991" s="84">
        <v>0.0</v>
      </c>
      <c r="K991" s="84">
        <v>0.0</v>
      </c>
      <c r="L991" s="84">
        <v>0.0</v>
      </c>
      <c r="M991" s="84">
        <v>0.0</v>
      </c>
      <c r="N991" s="84">
        <v>0.0</v>
      </c>
      <c r="O991" s="84">
        <v>0.0</v>
      </c>
      <c r="P991" s="84">
        <v>0.0</v>
      </c>
      <c r="Q991" s="84">
        <v>0.0</v>
      </c>
      <c r="R991" s="84">
        <v>0.0</v>
      </c>
      <c r="S991" s="84">
        <v>0.0</v>
      </c>
      <c r="T991" s="84">
        <v>0.0</v>
      </c>
      <c r="U991" s="84">
        <v>0.0</v>
      </c>
      <c r="V991" s="84">
        <v>0.0</v>
      </c>
      <c r="W991" s="84">
        <v>0.0</v>
      </c>
      <c r="X991" s="84">
        <v>0.0</v>
      </c>
      <c r="Y991" s="84">
        <v>0.0</v>
      </c>
      <c r="Z991" s="84">
        <v>0.0</v>
      </c>
      <c r="AA991" s="84">
        <v>0.0</v>
      </c>
      <c r="AB991" s="84">
        <v>0.0</v>
      </c>
      <c r="AC991" s="91">
        <v>0.0</v>
      </c>
      <c r="AD991" s="84">
        <v>0.0</v>
      </c>
      <c r="AE991" s="84">
        <v>0.0</v>
      </c>
      <c r="AF991" s="84">
        <v>0.0</v>
      </c>
      <c r="AG991" s="84">
        <v>0.0</v>
      </c>
      <c r="AH991" s="84">
        <v>0.0</v>
      </c>
      <c r="AI991" s="84">
        <v>0.0</v>
      </c>
      <c r="AJ991" s="84">
        <v>0.0</v>
      </c>
      <c r="AK991" s="84">
        <v>0.0</v>
      </c>
      <c r="AL991" s="84">
        <v>1.0</v>
      </c>
      <c r="AM991" s="84">
        <v>0.0</v>
      </c>
      <c r="AN991" s="93">
        <f t="shared" si="1"/>
        <v>0</v>
      </c>
      <c r="AO991" s="84">
        <f t="shared" si="2"/>
        <v>1</v>
      </c>
    </row>
    <row r="992" ht="12.75" customHeight="1">
      <c r="A992" s="84" t="s">
        <v>4646</v>
      </c>
      <c r="B992" s="84">
        <v>0.0</v>
      </c>
      <c r="C992" s="84">
        <v>0.0</v>
      </c>
      <c r="D992" s="84">
        <v>0.0</v>
      </c>
      <c r="E992" s="84">
        <v>0.0</v>
      </c>
      <c r="F992" s="84">
        <v>0.0</v>
      </c>
      <c r="G992" s="84">
        <v>0.0</v>
      </c>
      <c r="H992" s="84">
        <v>0.0</v>
      </c>
      <c r="I992" s="91">
        <v>0.0</v>
      </c>
      <c r="J992" s="84">
        <v>0.0</v>
      </c>
      <c r="K992" s="84">
        <v>0.0</v>
      </c>
      <c r="L992" s="84">
        <v>0.0</v>
      </c>
      <c r="M992" s="84">
        <v>0.0</v>
      </c>
      <c r="N992" s="84">
        <v>0.0</v>
      </c>
      <c r="O992" s="84">
        <v>0.0</v>
      </c>
      <c r="P992" s="84">
        <v>0.0</v>
      </c>
      <c r="Q992" s="84">
        <v>0.0</v>
      </c>
      <c r="R992" s="84">
        <v>0.0</v>
      </c>
      <c r="S992" s="84">
        <v>0.0</v>
      </c>
      <c r="T992" s="84">
        <v>1.0</v>
      </c>
      <c r="U992" s="84">
        <v>0.0</v>
      </c>
      <c r="V992" s="84">
        <v>0.0</v>
      </c>
      <c r="W992" s="84">
        <v>0.0</v>
      </c>
      <c r="X992" s="84">
        <v>0.0</v>
      </c>
      <c r="Y992" s="84">
        <v>0.0</v>
      </c>
      <c r="Z992" s="84">
        <v>0.0</v>
      </c>
      <c r="AA992" s="84">
        <v>0.0</v>
      </c>
      <c r="AB992" s="84">
        <v>0.0</v>
      </c>
      <c r="AC992" s="91">
        <v>0.0</v>
      </c>
      <c r="AD992" s="84">
        <v>0.0</v>
      </c>
      <c r="AE992" s="84">
        <v>0.0</v>
      </c>
      <c r="AF992" s="84">
        <v>0.0</v>
      </c>
      <c r="AG992" s="84">
        <v>0.0</v>
      </c>
      <c r="AH992" s="84">
        <v>0.0</v>
      </c>
      <c r="AI992" s="84">
        <v>0.0</v>
      </c>
      <c r="AJ992" s="84">
        <v>0.0</v>
      </c>
      <c r="AK992" s="84">
        <v>0.0</v>
      </c>
      <c r="AL992" s="84">
        <v>0.0</v>
      </c>
      <c r="AM992" s="84">
        <v>0.0</v>
      </c>
      <c r="AN992" s="93">
        <f t="shared" si="1"/>
        <v>0</v>
      </c>
      <c r="AO992" s="84">
        <f t="shared" si="2"/>
        <v>1</v>
      </c>
    </row>
    <row r="993" ht="12.75" customHeight="1">
      <c r="A993" s="84" t="s">
        <v>4648</v>
      </c>
      <c r="B993" s="84">
        <v>0.0</v>
      </c>
      <c r="C993" s="84">
        <v>0.0</v>
      </c>
      <c r="D993" s="84">
        <v>0.0</v>
      </c>
      <c r="E993" s="84">
        <v>0.0</v>
      </c>
      <c r="F993" s="84">
        <v>0.0</v>
      </c>
      <c r="G993" s="84">
        <v>0.0</v>
      </c>
      <c r="H993" s="84">
        <v>0.0</v>
      </c>
      <c r="I993" s="91">
        <v>0.0</v>
      </c>
      <c r="J993" s="84">
        <v>0.0</v>
      </c>
      <c r="K993" s="84">
        <v>0.0</v>
      </c>
      <c r="L993" s="84">
        <v>0.0</v>
      </c>
      <c r="M993" s="84">
        <v>0.0</v>
      </c>
      <c r="N993" s="84">
        <v>0.0</v>
      </c>
      <c r="O993" s="84">
        <v>0.0</v>
      </c>
      <c r="P993" s="84">
        <v>0.0</v>
      </c>
      <c r="Q993" s="84">
        <v>0.0</v>
      </c>
      <c r="R993" s="84">
        <v>0.0</v>
      </c>
      <c r="S993" s="84">
        <v>0.0</v>
      </c>
      <c r="T993" s="84">
        <v>1.0</v>
      </c>
      <c r="U993" s="84">
        <v>0.0</v>
      </c>
      <c r="V993" s="84">
        <v>0.0</v>
      </c>
      <c r="W993" s="84">
        <v>0.0</v>
      </c>
      <c r="X993" s="84">
        <v>0.0</v>
      </c>
      <c r="Y993" s="84">
        <v>0.0</v>
      </c>
      <c r="Z993" s="84">
        <v>0.0</v>
      </c>
      <c r="AA993" s="84">
        <v>0.0</v>
      </c>
      <c r="AB993" s="84">
        <v>0.0</v>
      </c>
      <c r="AC993" s="91">
        <v>0.0</v>
      </c>
      <c r="AD993" s="84">
        <v>0.0</v>
      </c>
      <c r="AE993" s="84">
        <v>0.0</v>
      </c>
      <c r="AF993" s="84">
        <v>0.0</v>
      </c>
      <c r="AG993" s="84">
        <v>0.0</v>
      </c>
      <c r="AH993" s="84">
        <v>0.0</v>
      </c>
      <c r="AI993" s="84">
        <v>0.0</v>
      </c>
      <c r="AJ993" s="84">
        <v>0.0</v>
      </c>
      <c r="AK993" s="84">
        <v>0.0</v>
      </c>
      <c r="AL993" s="84">
        <v>0.0</v>
      </c>
      <c r="AM993" s="84">
        <v>0.0</v>
      </c>
      <c r="AN993" s="93">
        <f t="shared" si="1"/>
        <v>0</v>
      </c>
      <c r="AO993" s="84">
        <f t="shared" si="2"/>
        <v>1</v>
      </c>
    </row>
    <row r="994" ht="12.75" customHeight="1">
      <c r="A994" s="84" t="s">
        <v>3922</v>
      </c>
      <c r="B994" s="84">
        <v>0.0</v>
      </c>
      <c r="C994" s="84">
        <v>0.0</v>
      </c>
      <c r="D994" s="84">
        <v>0.0</v>
      </c>
      <c r="E994" s="84">
        <v>0.0</v>
      </c>
      <c r="F994" s="84">
        <v>0.0</v>
      </c>
      <c r="G994" s="84">
        <v>0.0</v>
      </c>
      <c r="H994" s="84">
        <v>5.0</v>
      </c>
      <c r="I994" s="91">
        <v>0.0</v>
      </c>
      <c r="J994" s="84">
        <v>0.0</v>
      </c>
      <c r="K994" s="84">
        <v>0.0</v>
      </c>
      <c r="L994" s="84">
        <v>0.0</v>
      </c>
      <c r="M994" s="84">
        <v>0.0</v>
      </c>
      <c r="N994" s="84">
        <v>0.0</v>
      </c>
      <c r="O994" s="84">
        <v>0.0</v>
      </c>
      <c r="P994" s="84">
        <v>0.0</v>
      </c>
      <c r="Q994" s="84">
        <v>0.0</v>
      </c>
      <c r="R994" s="84">
        <v>0.0</v>
      </c>
      <c r="S994" s="84">
        <v>0.0</v>
      </c>
      <c r="T994" s="84">
        <v>0.0</v>
      </c>
      <c r="U994" s="84">
        <v>0.0</v>
      </c>
      <c r="V994" s="84">
        <v>0.0</v>
      </c>
      <c r="W994" s="84">
        <v>0.0</v>
      </c>
      <c r="X994" s="84">
        <v>0.0</v>
      </c>
      <c r="Y994" s="84">
        <v>0.0</v>
      </c>
      <c r="Z994" s="84">
        <v>0.0</v>
      </c>
      <c r="AA994" s="84">
        <v>0.0</v>
      </c>
      <c r="AB994" s="84">
        <v>6.0</v>
      </c>
      <c r="AC994" s="91">
        <v>0.0</v>
      </c>
      <c r="AD994" s="84">
        <v>0.0</v>
      </c>
      <c r="AE994" s="84">
        <v>0.0</v>
      </c>
      <c r="AF994" s="84">
        <v>0.0</v>
      </c>
      <c r="AG994" s="84">
        <v>0.0</v>
      </c>
      <c r="AH994" s="84">
        <v>0.0</v>
      </c>
      <c r="AI994" s="84">
        <v>0.0</v>
      </c>
      <c r="AJ994" s="84">
        <v>0.0</v>
      </c>
      <c r="AK994" s="84">
        <v>0.0</v>
      </c>
      <c r="AL994" s="84">
        <v>0.0</v>
      </c>
      <c r="AM994" s="84">
        <v>0.0</v>
      </c>
      <c r="AN994" s="93">
        <f t="shared" si="1"/>
        <v>0</v>
      </c>
      <c r="AO994" s="84">
        <f t="shared" si="2"/>
        <v>0</v>
      </c>
    </row>
    <row r="995" ht="12.75" customHeight="1">
      <c r="A995" s="84" t="s">
        <v>3258</v>
      </c>
      <c r="B995" s="84">
        <v>0.0</v>
      </c>
      <c r="C995" s="84">
        <v>4.0</v>
      </c>
      <c r="D995" s="84">
        <v>1.0</v>
      </c>
      <c r="E995" s="84">
        <v>0.0</v>
      </c>
      <c r="F995" s="84">
        <v>0.0</v>
      </c>
      <c r="G995" s="84">
        <v>0.0</v>
      </c>
      <c r="H995" s="84">
        <v>0.0</v>
      </c>
      <c r="I995" s="91">
        <v>0.0</v>
      </c>
      <c r="J995" s="84">
        <v>0.0</v>
      </c>
      <c r="K995" s="84">
        <v>0.0</v>
      </c>
      <c r="L995" s="84">
        <v>0.0</v>
      </c>
      <c r="M995" s="84">
        <v>0.0</v>
      </c>
      <c r="N995" s="84">
        <v>0.0</v>
      </c>
      <c r="O995" s="84">
        <v>0.0</v>
      </c>
      <c r="P995" s="84">
        <v>0.0</v>
      </c>
      <c r="Q995" s="84">
        <v>0.0</v>
      </c>
      <c r="R995" s="84">
        <v>0.0</v>
      </c>
      <c r="S995" s="84">
        <v>0.0</v>
      </c>
      <c r="T995" s="84">
        <v>0.0</v>
      </c>
      <c r="U995" s="84">
        <v>0.0</v>
      </c>
      <c r="V995" s="84">
        <v>0.0</v>
      </c>
      <c r="W995" s="84">
        <v>3.0</v>
      </c>
      <c r="X995" s="84">
        <v>2.0</v>
      </c>
      <c r="Y995" s="84">
        <v>0.0</v>
      </c>
      <c r="Z995" s="84">
        <v>0.0</v>
      </c>
      <c r="AA995" s="84">
        <v>0.0</v>
      </c>
      <c r="AB995" s="84">
        <v>0.0</v>
      </c>
      <c r="AC995" s="91">
        <v>0.0</v>
      </c>
      <c r="AD995" s="84">
        <v>0.0</v>
      </c>
      <c r="AE995" s="84">
        <v>0.0</v>
      </c>
      <c r="AF995" s="84">
        <v>0.0</v>
      </c>
      <c r="AG995" s="84">
        <v>0.0</v>
      </c>
      <c r="AH995" s="84">
        <v>0.0</v>
      </c>
      <c r="AI995" s="84">
        <v>0.0</v>
      </c>
      <c r="AJ995" s="84">
        <v>0.0</v>
      </c>
      <c r="AK995" s="84">
        <v>0.0</v>
      </c>
      <c r="AL995" s="84">
        <v>0.0</v>
      </c>
      <c r="AM995" s="84">
        <v>0.0</v>
      </c>
      <c r="AN995" s="93">
        <f t="shared" si="1"/>
        <v>0</v>
      </c>
      <c r="AO995" s="84">
        <f t="shared" si="2"/>
        <v>0</v>
      </c>
    </row>
    <row r="996" ht="12.75" customHeight="1">
      <c r="A996" s="84" t="s">
        <v>2616</v>
      </c>
      <c r="B996" s="84">
        <v>2.0</v>
      </c>
      <c r="C996" s="84">
        <v>0.0</v>
      </c>
      <c r="D996" s="84">
        <v>0.0</v>
      </c>
      <c r="E996" s="84">
        <v>0.0</v>
      </c>
      <c r="F996" s="84">
        <v>0.0</v>
      </c>
      <c r="G996" s="84">
        <v>0.0</v>
      </c>
      <c r="H996" s="84">
        <v>0.0</v>
      </c>
      <c r="I996" s="91">
        <v>0.0</v>
      </c>
      <c r="J996" s="84">
        <v>0.0</v>
      </c>
      <c r="K996" s="84">
        <v>0.0</v>
      </c>
      <c r="L996" s="84">
        <v>0.0</v>
      </c>
      <c r="M996" s="84">
        <v>0.0</v>
      </c>
      <c r="N996" s="84">
        <v>0.0</v>
      </c>
      <c r="O996" s="84">
        <v>0.0</v>
      </c>
      <c r="P996" s="84">
        <v>0.0</v>
      </c>
      <c r="Q996" s="84">
        <v>0.0</v>
      </c>
      <c r="R996" s="84">
        <v>0.0</v>
      </c>
      <c r="S996" s="84">
        <v>0.0</v>
      </c>
      <c r="T996" s="84">
        <v>0.0</v>
      </c>
      <c r="U996" s="84">
        <v>0.0</v>
      </c>
      <c r="V996" s="84">
        <v>3.0</v>
      </c>
      <c r="W996" s="84">
        <v>1.0</v>
      </c>
      <c r="X996" s="84">
        <v>0.0</v>
      </c>
      <c r="Y996" s="84">
        <v>0.0</v>
      </c>
      <c r="Z996" s="84">
        <v>0.0</v>
      </c>
      <c r="AA996" s="84">
        <v>0.0</v>
      </c>
      <c r="AB996" s="84">
        <v>0.0</v>
      </c>
      <c r="AC996" s="91">
        <v>0.0</v>
      </c>
      <c r="AD996" s="84">
        <v>0.0</v>
      </c>
      <c r="AE996" s="84">
        <v>0.0</v>
      </c>
      <c r="AF996" s="84">
        <v>0.0</v>
      </c>
      <c r="AG996" s="84">
        <v>0.0</v>
      </c>
      <c r="AH996" s="84">
        <v>0.0</v>
      </c>
      <c r="AI996" s="84">
        <v>0.0</v>
      </c>
      <c r="AJ996" s="84">
        <v>0.0</v>
      </c>
      <c r="AK996" s="84">
        <v>0.0</v>
      </c>
      <c r="AL996" s="84">
        <v>0.0</v>
      </c>
      <c r="AM996" s="84">
        <v>0.0</v>
      </c>
      <c r="AN996" s="93">
        <f t="shared" si="1"/>
        <v>0</v>
      </c>
      <c r="AO996" s="84">
        <f t="shared" si="2"/>
        <v>0</v>
      </c>
    </row>
    <row r="997" ht="12.75" customHeight="1">
      <c r="A997" s="84" t="s">
        <v>2871</v>
      </c>
      <c r="B997" s="84">
        <v>2.0</v>
      </c>
      <c r="C997" s="84">
        <v>0.0</v>
      </c>
      <c r="D997" s="84">
        <v>0.0</v>
      </c>
      <c r="E997" s="84">
        <v>0.0</v>
      </c>
      <c r="F997" s="84">
        <v>0.0</v>
      </c>
      <c r="G997" s="84">
        <v>0.0</v>
      </c>
      <c r="H997" s="84">
        <v>0.0</v>
      </c>
      <c r="I997" s="91">
        <v>0.0</v>
      </c>
      <c r="J997" s="84">
        <v>0.0</v>
      </c>
      <c r="K997" s="84">
        <v>0.0</v>
      </c>
      <c r="L997" s="84">
        <v>0.0</v>
      </c>
      <c r="M997" s="84">
        <v>0.0</v>
      </c>
      <c r="N997" s="84">
        <v>0.0</v>
      </c>
      <c r="O997" s="84">
        <v>0.0</v>
      </c>
      <c r="P997" s="84">
        <v>0.0</v>
      </c>
      <c r="Q997" s="84">
        <v>0.0</v>
      </c>
      <c r="R997" s="84">
        <v>0.0</v>
      </c>
      <c r="S997" s="84">
        <v>0.0</v>
      </c>
      <c r="T997" s="84">
        <v>0.0</v>
      </c>
      <c r="U997" s="84">
        <v>0.0</v>
      </c>
      <c r="V997" s="84">
        <v>2.0</v>
      </c>
      <c r="W997" s="84">
        <v>1.0</v>
      </c>
      <c r="X997" s="84">
        <v>0.0</v>
      </c>
      <c r="Y997" s="84">
        <v>0.0</v>
      </c>
      <c r="Z997" s="84">
        <v>0.0</v>
      </c>
      <c r="AA997" s="84">
        <v>0.0</v>
      </c>
      <c r="AB997" s="84">
        <v>0.0</v>
      </c>
      <c r="AC997" s="91">
        <v>0.0</v>
      </c>
      <c r="AD997" s="84">
        <v>0.0</v>
      </c>
      <c r="AE997" s="84">
        <v>0.0</v>
      </c>
      <c r="AF997" s="84">
        <v>0.0</v>
      </c>
      <c r="AG997" s="84">
        <v>0.0</v>
      </c>
      <c r="AH997" s="84">
        <v>0.0</v>
      </c>
      <c r="AI997" s="84">
        <v>0.0</v>
      </c>
      <c r="AJ997" s="84">
        <v>0.0</v>
      </c>
      <c r="AK997" s="84">
        <v>0.0</v>
      </c>
      <c r="AL997" s="84">
        <v>0.0</v>
      </c>
      <c r="AM997" s="84">
        <v>0.0</v>
      </c>
      <c r="AN997" s="93">
        <f t="shared" si="1"/>
        <v>0</v>
      </c>
      <c r="AO997" s="84">
        <f t="shared" si="2"/>
        <v>0</v>
      </c>
    </row>
    <row r="998" ht="12.75" customHeight="1">
      <c r="A998" s="84" t="s">
        <v>4450</v>
      </c>
      <c r="B998" s="84">
        <v>0.0</v>
      </c>
      <c r="C998" s="84">
        <v>0.0</v>
      </c>
      <c r="D998" s="84">
        <v>0.0</v>
      </c>
      <c r="E998" s="84">
        <v>0.0</v>
      </c>
      <c r="F998" s="84">
        <v>0.0</v>
      </c>
      <c r="G998" s="84">
        <v>0.0</v>
      </c>
      <c r="H998" s="84">
        <v>0.0</v>
      </c>
      <c r="I998" s="91">
        <v>0.0</v>
      </c>
      <c r="J998" s="84">
        <v>0.0</v>
      </c>
      <c r="K998" s="84">
        <v>0.0</v>
      </c>
      <c r="L998" s="84">
        <v>1.0</v>
      </c>
      <c r="M998" s="84">
        <v>0.0</v>
      </c>
      <c r="N998" s="84">
        <v>0.0</v>
      </c>
      <c r="O998" s="84">
        <v>0.0</v>
      </c>
      <c r="P998" s="84">
        <v>0.0</v>
      </c>
      <c r="Q998" s="84">
        <v>0.0</v>
      </c>
      <c r="R998" s="84">
        <v>0.0</v>
      </c>
      <c r="S998" s="84">
        <v>0.0</v>
      </c>
      <c r="T998" s="84">
        <v>0.0</v>
      </c>
      <c r="U998" s="84">
        <v>0.0</v>
      </c>
      <c r="V998" s="84">
        <v>0.0</v>
      </c>
      <c r="W998" s="84">
        <v>0.0</v>
      </c>
      <c r="X998" s="84">
        <v>0.0</v>
      </c>
      <c r="Y998" s="84">
        <v>0.0</v>
      </c>
      <c r="Z998" s="84">
        <v>0.0</v>
      </c>
      <c r="AA998" s="84">
        <v>0.0</v>
      </c>
      <c r="AB998" s="84">
        <v>0.0</v>
      </c>
      <c r="AC998" s="91">
        <v>0.0</v>
      </c>
      <c r="AD998" s="84">
        <v>0.0</v>
      </c>
      <c r="AE998" s="84">
        <v>0.0</v>
      </c>
      <c r="AF998" s="84">
        <v>0.0</v>
      </c>
      <c r="AG998" s="84">
        <v>0.0</v>
      </c>
      <c r="AH998" s="84">
        <v>0.0</v>
      </c>
      <c r="AI998" s="84">
        <v>0.0</v>
      </c>
      <c r="AJ998" s="84">
        <v>0.0</v>
      </c>
      <c r="AK998" s="84">
        <v>0.0</v>
      </c>
      <c r="AL998" s="84">
        <v>0.0</v>
      </c>
      <c r="AM998" s="84">
        <v>0.0</v>
      </c>
      <c r="AN998" s="93">
        <f t="shared" si="1"/>
        <v>0</v>
      </c>
      <c r="AO998" s="84">
        <f t="shared" si="2"/>
        <v>1</v>
      </c>
    </row>
    <row r="999" ht="12.75" customHeight="1">
      <c r="A999" s="84" t="s">
        <v>3541</v>
      </c>
      <c r="B999" s="84">
        <v>0.0</v>
      </c>
      <c r="C999" s="84">
        <v>0.0</v>
      </c>
      <c r="D999" s="84">
        <v>0.0</v>
      </c>
      <c r="E999" s="84">
        <v>6.0</v>
      </c>
      <c r="F999" s="84">
        <v>0.0</v>
      </c>
      <c r="G999" s="84">
        <v>0.0</v>
      </c>
      <c r="H999" s="84">
        <v>0.0</v>
      </c>
      <c r="I999" s="91">
        <v>0.0</v>
      </c>
      <c r="J999" s="84">
        <v>0.0</v>
      </c>
      <c r="K999" s="84">
        <v>0.0</v>
      </c>
      <c r="L999" s="84">
        <v>0.0</v>
      </c>
      <c r="M999" s="84">
        <v>0.0</v>
      </c>
      <c r="N999" s="84">
        <v>0.0</v>
      </c>
      <c r="O999" s="84">
        <v>0.0</v>
      </c>
      <c r="P999" s="84">
        <v>0.0</v>
      </c>
      <c r="Q999" s="84">
        <v>0.0</v>
      </c>
      <c r="R999" s="84">
        <v>0.0</v>
      </c>
      <c r="S999" s="84">
        <v>0.0</v>
      </c>
      <c r="T999" s="84">
        <v>0.0</v>
      </c>
      <c r="U999" s="84">
        <v>0.0</v>
      </c>
      <c r="V999" s="84">
        <v>0.0</v>
      </c>
      <c r="W999" s="84">
        <v>0.0</v>
      </c>
      <c r="X999" s="84">
        <v>0.0</v>
      </c>
      <c r="Y999" s="84">
        <v>6.0</v>
      </c>
      <c r="Z999" s="84">
        <v>1.0</v>
      </c>
      <c r="AA999" s="84">
        <v>0.0</v>
      </c>
      <c r="AB999" s="84">
        <v>0.0</v>
      </c>
      <c r="AC999" s="91">
        <v>0.0</v>
      </c>
      <c r="AD999" s="84">
        <v>0.0</v>
      </c>
      <c r="AE999" s="84">
        <v>0.0</v>
      </c>
      <c r="AF999" s="84">
        <v>0.0</v>
      </c>
      <c r="AG999" s="84">
        <v>0.0</v>
      </c>
      <c r="AH999" s="84">
        <v>0.0</v>
      </c>
      <c r="AI999" s="84">
        <v>0.0</v>
      </c>
      <c r="AJ999" s="84">
        <v>0.0</v>
      </c>
      <c r="AK999" s="84">
        <v>0.0</v>
      </c>
      <c r="AL999" s="84">
        <v>0.0</v>
      </c>
      <c r="AM999" s="84">
        <v>0.0</v>
      </c>
      <c r="AN999" s="93">
        <f t="shared" si="1"/>
        <v>0</v>
      </c>
      <c r="AO999" s="84">
        <f t="shared" si="2"/>
        <v>0</v>
      </c>
    </row>
    <row r="1000" ht="12.75" customHeight="1">
      <c r="A1000" s="84" t="s">
        <v>3951</v>
      </c>
      <c r="B1000" s="84">
        <v>0.0</v>
      </c>
      <c r="C1000" s="84">
        <v>0.0</v>
      </c>
      <c r="D1000" s="84">
        <v>0.0</v>
      </c>
      <c r="E1000" s="84">
        <v>0.0</v>
      </c>
      <c r="F1000" s="84">
        <v>0.0</v>
      </c>
      <c r="G1000" s="84">
        <v>0.0</v>
      </c>
      <c r="H1000" s="84">
        <v>4.0</v>
      </c>
      <c r="I1000" s="91">
        <v>0.0</v>
      </c>
      <c r="J1000" s="84">
        <v>0.0</v>
      </c>
      <c r="K1000" s="84">
        <v>0.0</v>
      </c>
      <c r="L1000" s="84">
        <v>0.0</v>
      </c>
      <c r="M1000" s="84">
        <v>0.0</v>
      </c>
      <c r="N1000" s="84">
        <v>0.0</v>
      </c>
      <c r="O1000" s="84">
        <v>0.0</v>
      </c>
      <c r="P1000" s="84">
        <v>0.0</v>
      </c>
      <c r="Q1000" s="84">
        <v>0.0</v>
      </c>
      <c r="R1000" s="84">
        <v>0.0</v>
      </c>
      <c r="S1000" s="84">
        <v>0.0</v>
      </c>
      <c r="T1000" s="84">
        <v>0.0</v>
      </c>
      <c r="U1000" s="84">
        <v>0.0</v>
      </c>
      <c r="V1000" s="84">
        <v>0.0</v>
      </c>
      <c r="W1000" s="84">
        <v>0.0</v>
      </c>
      <c r="X1000" s="84">
        <v>0.0</v>
      </c>
      <c r="Y1000" s="84">
        <v>0.0</v>
      </c>
      <c r="Z1000" s="84">
        <v>0.0</v>
      </c>
      <c r="AA1000" s="84">
        <v>0.0</v>
      </c>
      <c r="AB1000" s="84">
        <v>5.0</v>
      </c>
      <c r="AC1000" s="91">
        <v>0.0</v>
      </c>
      <c r="AD1000" s="84">
        <v>0.0</v>
      </c>
      <c r="AE1000" s="84">
        <v>0.0</v>
      </c>
      <c r="AF1000" s="84">
        <v>0.0</v>
      </c>
      <c r="AG1000" s="84">
        <v>0.0</v>
      </c>
      <c r="AH1000" s="84">
        <v>0.0</v>
      </c>
      <c r="AI1000" s="84">
        <v>0.0</v>
      </c>
      <c r="AJ1000" s="84">
        <v>0.0</v>
      </c>
      <c r="AK1000" s="84">
        <v>0.0</v>
      </c>
      <c r="AL1000" s="84">
        <v>0.0</v>
      </c>
      <c r="AM1000" s="84">
        <v>0.0</v>
      </c>
      <c r="AN1000" s="93">
        <f t="shared" si="1"/>
        <v>0</v>
      </c>
      <c r="AO1000" s="84">
        <f t="shared" si="2"/>
        <v>0</v>
      </c>
    </row>
    <row r="1001" ht="12.75" customHeight="1">
      <c r="A1001" s="84" t="s">
        <v>4515</v>
      </c>
      <c r="B1001" s="84">
        <v>0.0</v>
      </c>
      <c r="C1001" s="84">
        <v>0.0</v>
      </c>
      <c r="D1001" s="84">
        <v>0.0</v>
      </c>
      <c r="E1001" s="84">
        <v>0.0</v>
      </c>
      <c r="F1001" s="84">
        <v>0.0</v>
      </c>
      <c r="G1001" s="84">
        <v>0.0</v>
      </c>
      <c r="H1001" s="84">
        <v>0.0</v>
      </c>
      <c r="I1001" s="91">
        <v>0.0</v>
      </c>
      <c r="J1001" s="84">
        <v>0.0</v>
      </c>
      <c r="K1001" s="84">
        <v>0.0</v>
      </c>
      <c r="L1001" s="84">
        <v>0.0</v>
      </c>
      <c r="M1001" s="84">
        <v>0.0</v>
      </c>
      <c r="N1001" s="84">
        <v>0.0</v>
      </c>
      <c r="O1001" s="84">
        <v>0.0</v>
      </c>
      <c r="P1001" s="84">
        <v>0.0</v>
      </c>
      <c r="Q1001" s="84">
        <v>0.0</v>
      </c>
      <c r="R1001" s="84">
        <v>0.0</v>
      </c>
      <c r="S1001" s="84">
        <v>0.0</v>
      </c>
      <c r="T1001" s="84">
        <v>0.0</v>
      </c>
      <c r="U1001" s="84">
        <v>0.0</v>
      </c>
      <c r="V1001" s="84">
        <v>0.0</v>
      </c>
      <c r="W1001" s="84">
        <v>0.0</v>
      </c>
      <c r="X1001" s="84">
        <v>0.0</v>
      </c>
      <c r="Y1001" s="84">
        <v>0.0</v>
      </c>
      <c r="Z1001" s="84">
        <v>0.0</v>
      </c>
      <c r="AA1001" s="84">
        <v>0.0</v>
      </c>
      <c r="AB1001" s="84">
        <v>0.0</v>
      </c>
      <c r="AC1001" s="91">
        <v>0.0</v>
      </c>
      <c r="AD1001" s="84">
        <v>0.0</v>
      </c>
      <c r="AE1001" s="84">
        <v>0.0</v>
      </c>
      <c r="AF1001" s="84">
        <v>1.0</v>
      </c>
      <c r="AG1001" s="84">
        <v>0.0</v>
      </c>
      <c r="AH1001" s="84">
        <v>0.0</v>
      </c>
      <c r="AI1001" s="84">
        <v>0.0</v>
      </c>
      <c r="AJ1001" s="84">
        <v>0.0</v>
      </c>
      <c r="AK1001" s="84">
        <v>0.0</v>
      </c>
      <c r="AL1001" s="84">
        <v>0.0</v>
      </c>
      <c r="AM1001" s="84">
        <v>0.0</v>
      </c>
      <c r="AN1001" s="93">
        <f t="shared" si="1"/>
        <v>0</v>
      </c>
      <c r="AO1001" s="84">
        <f t="shared" si="2"/>
        <v>1</v>
      </c>
    </row>
    <row r="1002" ht="12.75" customHeight="1">
      <c r="A1002" s="84" t="s">
        <v>3612</v>
      </c>
      <c r="B1002" s="84">
        <v>0.0</v>
      </c>
      <c r="C1002" s="84">
        <v>0.0</v>
      </c>
      <c r="D1002" s="84">
        <v>0.0</v>
      </c>
      <c r="E1002" s="84">
        <v>0.0</v>
      </c>
      <c r="F1002" s="84">
        <v>5.0</v>
      </c>
      <c r="G1002" s="84">
        <v>3.0</v>
      </c>
      <c r="H1002" s="84">
        <v>0.0</v>
      </c>
      <c r="I1002" s="91">
        <v>0.0</v>
      </c>
      <c r="J1002" s="84">
        <v>0.0</v>
      </c>
      <c r="K1002" s="84">
        <v>0.0</v>
      </c>
      <c r="L1002" s="84">
        <v>0.0</v>
      </c>
      <c r="M1002" s="84">
        <v>0.0</v>
      </c>
      <c r="N1002" s="84">
        <v>0.0</v>
      </c>
      <c r="O1002" s="84">
        <v>0.0</v>
      </c>
      <c r="P1002" s="84">
        <v>0.0</v>
      </c>
      <c r="Q1002" s="84">
        <v>0.0</v>
      </c>
      <c r="R1002" s="84">
        <v>0.0</v>
      </c>
      <c r="S1002" s="84">
        <v>0.0</v>
      </c>
      <c r="T1002" s="84">
        <v>0.0</v>
      </c>
      <c r="U1002" s="84">
        <v>0.0</v>
      </c>
      <c r="V1002" s="84">
        <v>0.0</v>
      </c>
      <c r="W1002" s="84">
        <v>0.0</v>
      </c>
      <c r="X1002" s="84">
        <v>0.0</v>
      </c>
      <c r="Y1002" s="84">
        <v>0.0</v>
      </c>
      <c r="Z1002" s="84">
        <v>6.0</v>
      </c>
      <c r="AA1002" s="84">
        <v>0.0</v>
      </c>
      <c r="AB1002" s="84">
        <v>0.0</v>
      </c>
      <c r="AC1002" s="91">
        <v>0.0</v>
      </c>
      <c r="AD1002" s="84">
        <v>0.0</v>
      </c>
      <c r="AE1002" s="84">
        <v>0.0</v>
      </c>
      <c r="AF1002" s="84">
        <v>0.0</v>
      </c>
      <c r="AG1002" s="84">
        <v>0.0</v>
      </c>
      <c r="AH1002" s="84">
        <v>0.0</v>
      </c>
      <c r="AI1002" s="84">
        <v>0.0</v>
      </c>
      <c r="AJ1002" s="84">
        <v>0.0</v>
      </c>
      <c r="AK1002" s="84">
        <v>0.0</v>
      </c>
      <c r="AL1002" s="84">
        <v>0.0</v>
      </c>
      <c r="AM1002" s="84">
        <v>0.0</v>
      </c>
      <c r="AN1002" s="93">
        <f t="shared" si="1"/>
        <v>0</v>
      </c>
      <c r="AO1002" s="84">
        <f t="shared" si="2"/>
        <v>0</v>
      </c>
    </row>
    <row r="1003" ht="12.75" customHeight="1">
      <c r="A1003" s="84" t="s">
        <v>4688</v>
      </c>
      <c r="B1003" s="84">
        <v>0.0</v>
      </c>
      <c r="C1003" s="84">
        <v>0.0</v>
      </c>
      <c r="D1003" s="84">
        <v>0.0</v>
      </c>
      <c r="E1003" s="84">
        <v>0.0</v>
      </c>
      <c r="F1003" s="84">
        <v>0.0</v>
      </c>
      <c r="G1003" s="84">
        <v>0.0</v>
      </c>
      <c r="H1003" s="84">
        <v>0.0</v>
      </c>
      <c r="I1003" s="91">
        <v>0.0</v>
      </c>
      <c r="J1003" s="84">
        <v>0.0</v>
      </c>
      <c r="K1003" s="84">
        <v>0.0</v>
      </c>
      <c r="L1003" s="84">
        <v>0.0</v>
      </c>
      <c r="M1003" s="84">
        <v>0.0</v>
      </c>
      <c r="N1003" s="84">
        <v>0.0</v>
      </c>
      <c r="O1003" s="84">
        <v>0.0</v>
      </c>
      <c r="P1003" s="84">
        <v>0.0</v>
      </c>
      <c r="Q1003" s="84">
        <v>0.0</v>
      </c>
      <c r="R1003" s="84">
        <v>0.0</v>
      </c>
      <c r="S1003" s="84">
        <v>0.0</v>
      </c>
      <c r="T1003" s="84">
        <v>0.0</v>
      </c>
      <c r="U1003" s="84">
        <v>0.0</v>
      </c>
      <c r="V1003" s="84">
        <v>0.0</v>
      </c>
      <c r="W1003" s="84">
        <v>0.0</v>
      </c>
      <c r="X1003" s="84">
        <v>0.0</v>
      </c>
      <c r="Y1003" s="84">
        <v>0.0</v>
      </c>
      <c r="Z1003" s="84">
        <v>0.0</v>
      </c>
      <c r="AA1003" s="84">
        <v>0.0</v>
      </c>
      <c r="AB1003" s="84">
        <v>0.0</v>
      </c>
      <c r="AC1003" s="91">
        <v>0.0</v>
      </c>
      <c r="AD1003" s="84">
        <v>0.0</v>
      </c>
      <c r="AE1003" s="84">
        <v>0.0</v>
      </c>
      <c r="AF1003" s="84">
        <v>0.0</v>
      </c>
      <c r="AG1003" s="84">
        <v>0.0</v>
      </c>
      <c r="AH1003" s="84">
        <v>0.0</v>
      </c>
      <c r="AI1003" s="84">
        <v>0.0</v>
      </c>
      <c r="AJ1003" s="84">
        <v>0.0</v>
      </c>
      <c r="AK1003" s="84">
        <v>0.0</v>
      </c>
      <c r="AL1003" s="84">
        <v>0.0</v>
      </c>
      <c r="AM1003" s="84">
        <v>1.0</v>
      </c>
      <c r="AN1003" s="93">
        <f t="shared" si="1"/>
        <v>0</v>
      </c>
      <c r="AO1003" s="84">
        <f t="shared" si="2"/>
        <v>1</v>
      </c>
    </row>
    <row r="1004" ht="12.75" customHeight="1">
      <c r="A1004" s="84" t="s">
        <v>2603</v>
      </c>
      <c r="B1004" s="84">
        <v>2.0</v>
      </c>
      <c r="C1004" s="84">
        <v>0.0</v>
      </c>
      <c r="D1004" s="84">
        <v>0.0</v>
      </c>
      <c r="E1004" s="84">
        <v>0.0</v>
      </c>
      <c r="F1004" s="84">
        <v>0.0</v>
      </c>
      <c r="G1004" s="84">
        <v>0.0</v>
      </c>
      <c r="H1004" s="84">
        <v>0.0</v>
      </c>
      <c r="I1004" s="91">
        <v>0.0</v>
      </c>
      <c r="J1004" s="84">
        <v>0.0</v>
      </c>
      <c r="K1004" s="84">
        <v>0.0</v>
      </c>
      <c r="L1004" s="84">
        <v>0.0</v>
      </c>
      <c r="M1004" s="84">
        <v>0.0</v>
      </c>
      <c r="N1004" s="84">
        <v>0.0</v>
      </c>
      <c r="O1004" s="84">
        <v>0.0</v>
      </c>
      <c r="P1004" s="84">
        <v>0.0</v>
      </c>
      <c r="Q1004" s="84">
        <v>0.0</v>
      </c>
      <c r="R1004" s="84">
        <v>0.0</v>
      </c>
      <c r="S1004" s="84">
        <v>0.0</v>
      </c>
      <c r="T1004" s="84">
        <v>0.0</v>
      </c>
      <c r="U1004" s="84">
        <v>0.0</v>
      </c>
      <c r="V1004" s="84">
        <v>2.0</v>
      </c>
      <c r="W1004" s="84">
        <v>1.0</v>
      </c>
      <c r="X1004" s="84">
        <v>0.0</v>
      </c>
      <c r="Y1004" s="84">
        <v>0.0</v>
      </c>
      <c r="Z1004" s="84">
        <v>0.0</v>
      </c>
      <c r="AA1004" s="84">
        <v>0.0</v>
      </c>
      <c r="AB1004" s="84">
        <v>0.0</v>
      </c>
      <c r="AC1004" s="91">
        <v>0.0</v>
      </c>
      <c r="AD1004" s="84">
        <v>0.0</v>
      </c>
      <c r="AE1004" s="84">
        <v>0.0</v>
      </c>
      <c r="AF1004" s="84">
        <v>0.0</v>
      </c>
      <c r="AG1004" s="84">
        <v>0.0</v>
      </c>
      <c r="AH1004" s="84">
        <v>0.0</v>
      </c>
      <c r="AI1004" s="84">
        <v>0.0</v>
      </c>
      <c r="AJ1004" s="84">
        <v>0.0</v>
      </c>
      <c r="AK1004" s="84">
        <v>0.0</v>
      </c>
      <c r="AL1004" s="84">
        <v>0.0</v>
      </c>
      <c r="AM1004" s="84">
        <v>0.0</v>
      </c>
      <c r="AN1004" s="93">
        <f t="shared" si="1"/>
        <v>0</v>
      </c>
      <c r="AO1004" s="84">
        <f t="shared" si="2"/>
        <v>0</v>
      </c>
    </row>
    <row r="1005" ht="12.75" customHeight="1">
      <c r="A1005" s="84" t="s">
        <v>2868</v>
      </c>
      <c r="B1005" s="84">
        <v>2.0</v>
      </c>
      <c r="C1005" s="84">
        <v>0.0</v>
      </c>
      <c r="D1005" s="84">
        <v>0.0</v>
      </c>
      <c r="E1005" s="84">
        <v>0.0</v>
      </c>
      <c r="F1005" s="84">
        <v>0.0</v>
      </c>
      <c r="G1005" s="84">
        <v>0.0</v>
      </c>
      <c r="H1005" s="84">
        <v>0.0</v>
      </c>
      <c r="I1005" s="91">
        <v>0.0</v>
      </c>
      <c r="J1005" s="84">
        <v>0.0</v>
      </c>
      <c r="K1005" s="84">
        <v>0.0</v>
      </c>
      <c r="L1005" s="84">
        <v>0.0</v>
      </c>
      <c r="M1005" s="84">
        <v>0.0</v>
      </c>
      <c r="N1005" s="84">
        <v>0.0</v>
      </c>
      <c r="O1005" s="84">
        <v>0.0</v>
      </c>
      <c r="P1005" s="84">
        <v>0.0</v>
      </c>
      <c r="Q1005" s="84">
        <v>0.0</v>
      </c>
      <c r="R1005" s="84">
        <v>0.0</v>
      </c>
      <c r="S1005" s="84">
        <v>0.0</v>
      </c>
      <c r="T1005" s="84">
        <v>0.0</v>
      </c>
      <c r="U1005" s="84">
        <v>0.0</v>
      </c>
      <c r="V1005" s="84">
        <v>3.0</v>
      </c>
      <c r="W1005" s="84">
        <v>0.0</v>
      </c>
      <c r="X1005" s="84">
        <v>0.0</v>
      </c>
      <c r="Y1005" s="84">
        <v>0.0</v>
      </c>
      <c r="Z1005" s="84">
        <v>0.0</v>
      </c>
      <c r="AA1005" s="84">
        <v>0.0</v>
      </c>
      <c r="AB1005" s="84">
        <v>0.0</v>
      </c>
      <c r="AC1005" s="91">
        <v>0.0</v>
      </c>
      <c r="AD1005" s="84">
        <v>0.0</v>
      </c>
      <c r="AE1005" s="84">
        <v>0.0</v>
      </c>
      <c r="AF1005" s="84">
        <v>0.0</v>
      </c>
      <c r="AG1005" s="84">
        <v>0.0</v>
      </c>
      <c r="AH1005" s="84">
        <v>0.0</v>
      </c>
      <c r="AI1005" s="84">
        <v>0.0</v>
      </c>
      <c r="AJ1005" s="84">
        <v>0.0</v>
      </c>
      <c r="AK1005" s="84">
        <v>0.0</v>
      </c>
      <c r="AL1005" s="84">
        <v>0.0</v>
      </c>
      <c r="AM1005" s="84">
        <v>0.0</v>
      </c>
      <c r="AN1005" s="93">
        <f t="shared" si="1"/>
        <v>0</v>
      </c>
      <c r="AO1005" s="84">
        <f t="shared" si="2"/>
        <v>0</v>
      </c>
    </row>
    <row r="1006" ht="12.75" customHeight="1">
      <c r="A1006" s="84" t="s">
        <v>4536</v>
      </c>
      <c r="B1006" s="84">
        <v>0.0</v>
      </c>
      <c r="C1006" s="84">
        <v>0.0</v>
      </c>
      <c r="D1006" s="84">
        <v>0.0</v>
      </c>
      <c r="E1006" s="84">
        <v>0.0</v>
      </c>
      <c r="F1006" s="84">
        <v>0.0</v>
      </c>
      <c r="G1006" s="84">
        <v>0.0</v>
      </c>
      <c r="H1006" s="84">
        <v>0.0</v>
      </c>
      <c r="I1006" s="91">
        <v>0.0</v>
      </c>
      <c r="J1006" s="84">
        <v>0.0</v>
      </c>
      <c r="K1006" s="84">
        <v>0.0</v>
      </c>
      <c r="L1006" s="84">
        <v>0.0</v>
      </c>
      <c r="M1006" s="84">
        <v>0.0</v>
      </c>
      <c r="N1006" s="84">
        <v>0.0</v>
      </c>
      <c r="O1006" s="84">
        <v>0.0</v>
      </c>
      <c r="P1006" s="84">
        <v>0.0</v>
      </c>
      <c r="Q1006" s="84">
        <v>0.0</v>
      </c>
      <c r="R1006" s="84">
        <v>0.0</v>
      </c>
      <c r="S1006" s="84">
        <v>0.0</v>
      </c>
      <c r="T1006" s="84">
        <v>0.0</v>
      </c>
      <c r="U1006" s="84">
        <v>0.0</v>
      </c>
      <c r="V1006" s="84">
        <v>0.0</v>
      </c>
      <c r="W1006" s="84">
        <v>0.0</v>
      </c>
      <c r="X1006" s="84">
        <v>0.0</v>
      </c>
      <c r="Y1006" s="84">
        <v>0.0</v>
      </c>
      <c r="Z1006" s="84">
        <v>0.0</v>
      </c>
      <c r="AA1006" s="84">
        <v>0.0</v>
      </c>
      <c r="AB1006" s="84">
        <v>0.0</v>
      </c>
      <c r="AC1006" s="91">
        <v>0.0</v>
      </c>
      <c r="AD1006" s="84">
        <v>0.0</v>
      </c>
      <c r="AE1006" s="84">
        <v>0.0</v>
      </c>
      <c r="AF1006" s="84">
        <v>0.0</v>
      </c>
      <c r="AG1006" s="84">
        <v>1.0</v>
      </c>
      <c r="AH1006" s="84">
        <v>0.0</v>
      </c>
      <c r="AI1006" s="84">
        <v>0.0</v>
      </c>
      <c r="AJ1006" s="84">
        <v>0.0</v>
      </c>
      <c r="AK1006" s="84">
        <v>0.0</v>
      </c>
      <c r="AL1006" s="84">
        <v>0.0</v>
      </c>
      <c r="AM1006" s="84">
        <v>0.0</v>
      </c>
      <c r="AN1006" s="93">
        <f t="shared" si="1"/>
        <v>0</v>
      </c>
      <c r="AO1006" s="84">
        <f t="shared" si="2"/>
        <v>1</v>
      </c>
    </row>
    <row r="1007" ht="12.75" customHeight="1">
      <c r="A1007" s="84" t="s">
        <v>4540</v>
      </c>
      <c r="B1007" s="84">
        <v>0.0</v>
      </c>
      <c r="C1007" s="84">
        <v>0.0</v>
      </c>
      <c r="D1007" s="84">
        <v>0.0</v>
      </c>
      <c r="E1007" s="84">
        <v>0.0</v>
      </c>
      <c r="F1007" s="84">
        <v>0.0</v>
      </c>
      <c r="G1007" s="84">
        <v>0.0</v>
      </c>
      <c r="H1007" s="84">
        <v>0.0</v>
      </c>
      <c r="I1007" s="91">
        <v>0.0</v>
      </c>
      <c r="J1007" s="84">
        <v>0.0</v>
      </c>
      <c r="K1007" s="84">
        <v>0.0</v>
      </c>
      <c r="L1007" s="84">
        <v>0.0</v>
      </c>
      <c r="M1007" s="84">
        <v>0.0</v>
      </c>
      <c r="N1007" s="84">
        <v>0.0</v>
      </c>
      <c r="O1007" s="84">
        <v>0.0</v>
      </c>
      <c r="P1007" s="84">
        <v>0.0</v>
      </c>
      <c r="Q1007" s="84">
        <v>0.0</v>
      </c>
      <c r="R1007" s="84">
        <v>0.0</v>
      </c>
      <c r="S1007" s="84">
        <v>0.0</v>
      </c>
      <c r="T1007" s="84">
        <v>0.0</v>
      </c>
      <c r="U1007" s="84">
        <v>0.0</v>
      </c>
      <c r="V1007" s="84">
        <v>0.0</v>
      </c>
      <c r="W1007" s="84">
        <v>0.0</v>
      </c>
      <c r="X1007" s="84">
        <v>0.0</v>
      </c>
      <c r="Y1007" s="84">
        <v>0.0</v>
      </c>
      <c r="Z1007" s="84">
        <v>0.0</v>
      </c>
      <c r="AA1007" s="84">
        <v>0.0</v>
      </c>
      <c r="AB1007" s="84">
        <v>0.0</v>
      </c>
      <c r="AC1007" s="91">
        <v>0.0</v>
      </c>
      <c r="AD1007" s="84">
        <v>0.0</v>
      </c>
      <c r="AE1007" s="84">
        <v>0.0</v>
      </c>
      <c r="AF1007" s="84">
        <v>0.0</v>
      </c>
      <c r="AG1007" s="84">
        <v>1.0</v>
      </c>
      <c r="AH1007" s="84">
        <v>0.0</v>
      </c>
      <c r="AI1007" s="84">
        <v>0.0</v>
      </c>
      <c r="AJ1007" s="84">
        <v>0.0</v>
      </c>
      <c r="AK1007" s="84">
        <v>0.0</v>
      </c>
      <c r="AL1007" s="84">
        <v>0.0</v>
      </c>
      <c r="AM1007" s="84">
        <v>0.0</v>
      </c>
      <c r="AN1007" s="93">
        <f t="shared" si="1"/>
        <v>0</v>
      </c>
      <c r="AO1007" s="84">
        <f t="shared" si="2"/>
        <v>1</v>
      </c>
    </row>
    <row r="1008" ht="12.75" customHeight="1">
      <c r="A1008" s="84" t="s">
        <v>3739</v>
      </c>
      <c r="B1008" s="84">
        <v>0.0</v>
      </c>
      <c r="C1008" s="84">
        <v>0.0</v>
      </c>
      <c r="D1008" s="84">
        <v>0.0</v>
      </c>
      <c r="E1008" s="84">
        <v>0.0</v>
      </c>
      <c r="F1008" s="84">
        <v>0.0</v>
      </c>
      <c r="G1008" s="84">
        <v>6.0</v>
      </c>
      <c r="H1008" s="84">
        <v>1.0</v>
      </c>
      <c r="I1008" s="91">
        <v>0.0</v>
      </c>
      <c r="J1008" s="84">
        <v>0.0</v>
      </c>
      <c r="K1008" s="84">
        <v>0.0</v>
      </c>
      <c r="L1008" s="84">
        <v>0.0</v>
      </c>
      <c r="M1008" s="84">
        <v>0.0</v>
      </c>
      <c r="N1008" s="84">
        <v>0.0</v>
      </c>
      <c r="O1008" s="84">
        <v>0.0</v>
      </c>
      <c r="P1008" s="84">
        <v>0.0</v>
      </c>
      <c r="Q1008" s="84">
        <v>0.0</v>
      </c>
      <c r="R1008" s="84">
        <v>0.0</v>
      </c>
      <c r="S1008" s="84">
        <v>0.0</v>
      </c>
      <c r="T1008" s="84">
        <v>0.0</v>
      </c>
      <c r="U1008" s="84">
        <v>0.0</v>
      </c>
      <c r="V1008" s="84">
        <v>0.0</v>
      </c>
      <c r="W1008" s="84">
        <v>0.0</v>
      </c>
      <c r="X1008" s="84">
        <v>0.0</v>
      </c>
      <c r="Y1008" s="84">
        <v>0.0</v>
      </c>
      <c r="Z1008" s="84">
        <v>0.0</v>
      </c>
      <c r="AA1008" s="84">
        <v>6.0</v>
      </c>
      <c r="AB1008" s="84">
        <v>1.0</v>
      </c>
      <c r="AC1008" s="91">
        <v>0.0</v>
      </c>
      <c r="AD1008" s="84">
        <v>0.0</v>
      </c>
      <c r="AE1008" s="84">
        <v>0.0</v>
      </c>
      <c r="AF1008" s="84">
        <v>0.0</v>
      </c>
      <c r="AG1008" s="84">
        <v>0.0</v>
      </c>
      <c r="AH1008" s="84">
        <v>0.0</v>
      </c>
      <c r="AI1008" s="84">
        <v>0.0</v>
      </c>
      <c r="AJ1008" s="84">
        <v>0.0</v>
      </c>
      <c r="AK1008" s="84">
        <v>0.0</v>
      </c>
      <c r="AL1008" s="84">
        <v>0.0</v>
      </c>
      <c r="AM1008" s="84">
        <v>0.0</v>
      </c>
      <c r="AN1008" s="93">
        <f t="shared" si="1"/>
        <v>0</v>
      </c>
      <c r="AO1008" s="84">
        <f t="shared" si="2"/>
        <v>0</v>
      </c>
    </row>
    <row r="1009" ht="12.75" customHeight="1">
      <c r="A1009" s="84" t="s">
        <v>2609</v>
      </c>
      <c r="B1009" s="84">
        <v>2.0</v>
      </c>
      <c r="C1009" s="84">
        <v>0.0</v>
      </c>
      <c r="D1009" s="84">
        <v>0.0</v>
      </c>
      <c r="E1009" s="84">
        <v>0.0</v>
      </c>
      <c r="F1009" s="84">
        <v>0.0</v>
      </c>
      <c r="G1009" s="84">
        <v>0.0</v>
      </c>
      <c r="H1009" s="84">
        <v>0.0</v>
      </c>
      <c r="I1009" s="91">
        <v>0.0</v>
      </c>
      <c r="J1009" s="84">
        <v>0.0</v>
      </c>
      <c r="K1009" s="84">
        <v>0.0</v>
      </c>
      <c r="L1009" s="84">
        <v>0.0</v>
      </c>
      <c r="M1009" s="84">
        <v>0.0</v>
      </c>
      <c r="N1009" s="84">
        <v>0.0</v>
      </c>
      <c r="O1009" s="84">
        <v>0.0</v>
      </c>
      <c r="P1009" s="84">
        <v>0.0</v>
      </c>
      <c r="Q1009" s="84">
        <v>0.0</v>
      </c>
      <c r="R1009" s="84">
        <v>0.0</v>
      </c>
      <c r="S1009" s="84">
        <v>0.0</v>
      </c>
      <c r="T1009" s="84">
        <v>0.0</v>
      </c>
      <c r="U1009" s="84">
        <v>0.0</v>
      </c>
      <c r="V1009" s="84">
        <v>2.0</v>
      </c>
      <c r="W1009" s="84">
        <v>1.0</v>
      </c>
      <c r="X1009" s="84">
        <v>0.0</v>
      </c>
      <c r="Y1009" s="84">
        <v>0.0</v>
      </c>
      <c r="Z1009" s="84">
        <v>0.0</v>
      </c>
      <c r="AA1009" s="84">
        <v>0.0</v>
      </c>
      <c r="AB1009" s="84">
        <v>0.0</v>
      </c>
      <c r="AC1009" s="91">
        <v>0.0</v>
      </c>
      <c r="AD1009" s="84">
        <v>0.0</v>
      </c>
      <c r="AE1009" s="84">
        <v>0.0</v>
      </c>
      <c r="AF1009" s="84">
        <v>0.0</v>
      </c>
      <c r="AG1009" s="84">
        <v>0.0</v>
      </c>
      <c r="AH1009" s="84">
        <v>0.0</v>
      </c>
      <c r="AI1009" s="84">
        <v>0.0</v>
      </c>
      <c r="AJ1009" s="84">
        <v>0.0</v>
      </c>
      <c r="AK1009" s="84">
        <v>0.0</v>
      </c>
      <c r="AL1009" s="84">
        <v>0.0</v>
      </c>
      <c r="AM1009" s="84">
        <v>0.0</v>
      </c>
      <c r="AN1009" s="93">
        <f t="shared" si="1"/>
        <v>0</v>
      </c>
      <c r="AO1009" s="84">
        <f t="shared" si="2"/>
        <v>0</v>
      </c>
    </row>
    <row r="1010" ht="12.75" customHeight="1">
      <c r="A1010" s="84" t="s">
        <v>2870</v>
      </c>
      <c r="B1010" s="84">
        <v>2.0</v>
      </c>
      <c r="C1010" s="84">
        <v>0.0</v>
      </c>
      <c r="D1010" s="84">
        <v>0.0</v>
      </c>
      <c r="E1010" s="84">
        <v>0.0</v>
      </c>
      <c r="F1010" s="84">
        <v>0.0</v>
      </c>
      <c r="G1010" s="84">
        <v>0.0</v>
      </c>
      <c r="H1010" s="84">
        <v>0.0</v>
      </c>
      <c r="I1010" s="91">
        <v>0.0</v>
      </c>
      <c r="J1010" s="84">
        <v>0.0</v>
      </c>
      <c r="K1010" s="84">
        <v>0.0</v>
      </c>
      <c r="L1010" s="84">
        <v>0.0</v>
      </c>
      <c r="M1010" s="84">
        <v>0.0</v>
      </c>
      <c r="N1010" s="84">
        <v>0.0</v>
      </c>
      <c r="O1010" s="84">
        <v>0.0</v>
      </c>
      <c r="P1010" s="84">
        <v>0.0</v>
      </c>
      <c r="Q1010" s="84">
        <v>0.0</v>
      </c>
      <c r="R1010" s="84">
        <v>0.0</v>
      </c>
      <c r="S1010" s="84">
        <v>0.0</v>
      </c>
      <c r="T1010" s="84">
        <v>0.0</v>
      </c>
      <c r="U1010" s="84">
        <v>0.0</v>
      </c>
      <c r="V1010" s="84">
        <v>2.0</v>
      </c>
      <c r="W1010" s="84">
        <v>2.0</v>
      </c>
      <c r="X1010" s="84">
        <v>0.0</v>
      </c>
      <c r="Y1010" s="84">
        <v>0.0</v>
      </c>
      <c r="Z1010" s="84">
        <v>0.0</v>
      </c>
      <c r="AA1010" s="84">
        <v>0.0</v>
      </c>
      <c r="AB1010" s="84">
        <v>0.0</v>
      </c>
      <c r="AC1010" s="91">
        <v>0.0</v>
      </c>
      <c r="AD1010" s="84">
        <v>0.0</v>
      </c>
      <c r="AE1010" s="84">
        <v>0.0</v>
      </c>
      <c r="AF1010" s="84">
        <v>0.0</v>
      </c>
      <c r="AG1010" s="84">
        <v>0.0</v>
      </c>
      <c r="AH1010" s="84">
        <v>0.0</v>
      </c>
      <c r="AI1010" s="84">
        <v>0.0</v>
      </c>
      <c r="AJ1010" s="84">
        <v>0.0</v>
      </c>
      <c r="AK1010" s="84">
        <v>0.0</v>
      </c>
      <c r="AL1010" s="84">
        <v>0.0</v>
      </c>
      <c r="AM1010" s="84">
        <v>0.0</v>
      </c>
      <c r="AN1010" s="93">
        <f t="shared" si="1"/>
        <v>0</v>
      </c>
      <c r="AO1010" s="84">
        <f t="shared" si="2"/>
        <v>0</v>
      </c>
    </row>
    <row r="1011" ht="12.75" customHeight="1">
      <c r="A1011" s="84" t="s">
        <v>3516</v>
      </c>
      <c r="B1011" s="84">
        <v>0.0</v>
      </c>
      <c r="C1011" s="84">
        <v>0.0</v>
      </c>
      <c r="D1011" s="84">
        <v>0.0</v>
      </c>
      <c r="E1011" s="84">
        <v>4.0</v>
      </c>
      <c r="F1011" s="84">
        <v>2.0</v>
      </c>
      <c r="G1011" s="84">
        <v>0.0</v>
      </c>
      <c r="H1011" s="84">
        <v>0.0</v>
      </c>
      <c r="I1011" s="91">
        <v>0.0</v>
      </c>
      <c r="J1011" s="84">
        <v>0.0</v>
      </c>
      <c r="K1011" s="84">
        <v>0.0</v>
      </c>
      <c r="L1011" s="84">
        <v>0.0</v>
      </c>
      <c r="M1011" s="84">
        <v>0.0</v>
      </c>
      <c r="N1011" s="84">
        <v>0.0</v>
      </c>
      <c r="O1011" s="84">
        <v>0.0</v>
      </c>
      <c r="P1011" s="84">
        <v>0.0</v>
      </c>
      <c r="Q1011" s="84">
        <v>0.0</v>
      </c>
      <c r="R1011" s="84">
        <v>0.0</v>
      </c>
      <c r="S1011" s="84">
        <v>0.0</v>
      </c>
      <c r="T1011" s="84">
        <v>0.0</v>
      </c>
      <c r="U1011" s="84">
        <v>0.0</v>
      </c>
      <c r="V1011" s="84">
        <v>0.0</v>
      </c>
      <c r="W1011" s="84">
        <v>0.0</v>
      </c>
      <c r="X1011" s="84">
        <v>0.0</v>
      </c>
      <c r="Y1011" s="84">
        <v>6.0</v>
      </c>
      <c r="Z1011" s="84">
        <v>1.0</v>
      </c>
      <c r="AA1011" s="84">
        <v>0.0</v>
      </c>
      <c r="AB1011" s="84">
        <v>0.0</v>
      </c>
      <c r="AC1011" s="91">
        <v>0.0</v>
      </c>
      <c r="AD1011" s="84">
        <v>0.0</v>
      </c>
      <c r="AE1011" s="84">
        <v>0.0</v>
      </c>
      <c r="AF1011" s="84">
        <v>0.0</v>
      </c>
      <c r="AG1011" s="84">
        <v>0.0</v>
      </c>
      <c r="AH1011" s="84">
        <v>0.0</v>
      </c>
      <c r="AI1011" s="84">
        <v>0.0</v>
      </c>
      <c r="AJ1011" s="84">
        <v>0.0</v>
      </c>
      <c r="AK1011" s="84">
        <v>0.0</v>
      </c>
      <c r="AL1011" s="84">
        <v>0.0</v>
      </c>
      <c r="AM1011" s="84">
        <v>0.0</v>
      </c>
      <c r="AN1011" s="93">
        <f t="shared" si="1"/>
        <v>0</v>
      </c>
      <c r="AO1011" s="84">
        <f t="shared" si="2"/>
        <v>0</v>
      </c>
    </row>
    <row r="1012" ht="12.75" customHeight="1">
      <c r="A1012" s="84" t="s">
        <v>2875</v>
      </c>
      <c r="B1012" s="84">
        <v>2.0</v>
      </c>
      <c r="C1012" s="84">
        <v>0.0</v>
      </c>
      <c r="D1012" s="84">
        <v>0.0</v>
      </c>
      <c r="E1012" s="84">
        <v>0.0</v>
      </c>
      <c r="F1012" s="84">
        <v>0.0</v>
      </c>
      <c r="G1012" s="84">
        <v>0.0</v>
      </c>
      <c r="H1012" s="84">
        <v>0.0</v>
      </c>
      <c r="I1012" s="91">
        <v>0.0</v>
      </c>
      <c r="J1012" s="84">
        <v>0.0</v>
      </c>
      <c r="K1012" s="84">
        <v>0.0</v>
      </c>
      <c r="L1012" s="84">
        <v>0.0</v>
      </c>
      <c r="M1012" s="84">
        <v>0.0</v>
      </c>
      <c r="N1012" s="84">
        <v>0.0</v>
      </c>
      <c r="O1012" s="84">
        <v>0.0</v>
      </c>
      <c r="P1012" s="84">
        <v>0.0</v>
      </c>
      <c r="Q1012" s="84">
        <v>0.0</v>
      </c>
      <c r="R1012" s="84">
        <v>0.0</v>
      </c>
      <c r="S1012" s="84">
        <v>0.0</v>
      </c>
      <c r="T1012" s="84">
        <v>0.0</v>
      </c>
      <c r="U1012" s="84">
        <v>0.0</v>
      </c>
      <c r="V1012" s="84">
        <v>2.0</v>
      </c>
      <c r="W1012" s="84">
        <v>2.0</v>
      </c>
      <c r="X1012" s="84">
        <v>0.0</v>
      </c>
      <c r="Y1012" s="84">
        <v>0.0</v>
      </c>
      <c r="Z1012" s="84">
        <v>0.0</v>
      </c>
      <c r="AA1012" s="84">
        <v>0.0</v>
      </c>
      <c r="AB1012" s="84">
        <v>0.0</v>
      </c>
      <c r="AC1012" s="91">
        <v>0.0</v>
      </c>
      <c r="AD1012" s="84">
        <v>0.0</v>
      </c>
      <c r="AE1012" s="84">
        <v>0.0</v>
      </c>
      <c r="AF1012" s="84">
        <v>0.0</v>
      </c>
      <c r="AG1012" s="84">
        <v>0.0</v>
      </c>
      <c r="AH1012" s="84">
        <v>0.0</v>
      </c>
      <c r="AI1012" s="84">
        <v>0.0</v>
      </c>
      <c r="AJ1012" s="84">
        <v>0.0</v>
      </c>
      <c r="AK1012" s="84">
        <v>0.0</v>
      </c>
      <c r="AL1012" s="84">
        <v>0.0</v>
      </c>
      <c r="AM1012" s="84">
        <v>0.0</v>
      </c>
      <c r="AN1012" s="93">
        <f t="shared" si="1"/>
        <v>0</v>
      </c>
      <c r="AO1012" s="84">
        <f t="shared" si="2"/>
        <v>0</v>
      </c>
    </row>
    <row r="1013" ht="12.75" customHeight="1">
      <c r="A1013" s="84" t="s">
        <v>2627</v>
      </c>
      <c r="B1013" s="84">
        <v>2.0</v>
      </c>
      <c r="C1013" s="84">
        <v>1.0</v>
      </c>
      <c r="D1013" s="84">
        <v>0.0</v>
      </c>
      <c r="E1013" s="84">
        <v>0.0</v>
      </c>
      <c r="F1013" s="84">
        <v>0.0</v>
      </c>
      <c r="G1013" s="84">
        <v>0.0</v>
      </c>
      <c r="H1013" s="84">
        <v>0.0</v>
      </c>
      <c r="I1013" s="91">
        <v>0.0</v>
      </c>
      <c r="J1013" s="84">
        <v>0.0</v>
      </c>
      <c r="K1013" s="84">
        <v>0.0</v>
      </c>
      <c r="L1013" s="84">
        <v>0.0</v>
      </c>
      <c r="M1013" s="84">
        <v>0.0</v>
      </c>
      <c r="N1013" s="84">
        <v>0.0</v>
      </c>
      <c r="O1013" s="84">
        <v>0.0</v>
      </c>
      <c r="P1013" s="84">
        <v>0.0</v>
      </c>
      <c r="Q1013" s="84">
        <v>0.0</v>
      </c>
      <c r="R1013" s="84">
        <v>0.0</v>
      </c>
      <c r="S1013" s="84">
        <v>0.0</v>
      </c>
      <c r="T1013" s="84">
        <v>0.0</v>
      </c>
      <c r="U1013" s="84">
        <v>0.0</v>
      </c>
      <c r="V1013" s="84">
        <v>1.0</v>
      </c>
      <c r="W1013" s="84">
        <v>1.0</v>
      </c>
      <c r="X1013" s="84">
        <v>0.0</v>
      </c>
      <c r="Y1013" s="84">
        <v>0.0</v>
      </c>
      <c r="Z1013" s="84">
        <v>0.0</v>
      </c>
      <c r="AA1013" s="84">
        <v>0.0</v>
      </c>
      <c r="AB1013" s="84">
        <v>0.0</v>
      </c>
      <c r="AC1013" s="91">
        <v>0.0</v>
      </c>
      <c r="AD1013" s="84">
        <v>0.0</v>
      </c>
      <c r="AE1013" s="84">
        <v>0.0</v>
      </c>
      <c r="AF1013" s="84">
        <v>0.0</v>
      </c>
      <c r="AG1013" s="84">
        <v>0.0</v>
      </c>
      <c r="AH1013" s="84">
        <v>0.0</v>
      </c>
      <c r="AI1013" s="84">
        <v>0.0</v>
      </c>
      <c r="AJ1013" s="84">
        <v>0.0</v>
      </c>
      <c r="AK1013" s="84">
        <v>0.0</v>
      </c>
      <c r="AL1013" s="84">
        <v>0.0</v>
      </c>
      <c r="AM1013" s="84">
        <v>0.0</v>
      </c>
      <c r="AN1013" s="93">
        <f t="shared" si="1"/>
        <v>0</v>
      </c>
      <c r="AO1013" s="84">
        <f t="shared" si="2"/>
        <v>0</v>
      </c>
    </row>
    <row r="1014" ht="12.75" customHeight="1">
      <c r="A1014" s="84" t="s">
        <v>3598</v>
      </c>
      <c r="B1014" s="84">
        <v>0.0</v>
      </c>
      <c r="C1014" s="84">
        <v>0.0</v>
      </c>
      <c r="D1014" s="84">
        <v>0.0</v>
      </c>
      <c r="E1014" s="84">
        <v>0.0</v>
      </c>
      <c r="F1014" s="84">
        <v>6.0</v>
      </c>
      <c r="G1014" s="84">
        <v>2.0</v>
      </c>
      <c r="H1014" s="84">
        <v>0.0</v>
      </c>
      <c r="I1014" s="91">
        <v>0.0</v>
      </c>
      <c r="J1014" s="84">
        <v>0.0</v>
      </c>
      <c r="K1014" s="84">
        <v>0.0</v>
      </c>
      <c r="L1014" s="84">
        <v>0.0</v>
      </c>
      <c r="M1014" s="84">
        <v>0.0</v>
      </c>
      <c r="N1014" s="84">
        <v>0.0</v>
      </c>
      <c r="O1014" s="84">
        <v>0.0</v>
      </c>
      <c r="P1014" s="84">
        <v>0.0</v>
      </c>
      <c r="Q1014" s="84">
        <v>0.0</v>
      </c>
      <c r="R1014" s="84">
        <v>0.0</v>
      </c>
      <c r="S1014" s="84">
        <v>0.0</v>
      </c>
      <c r="T1014" s="84">
        <v>0.0</v>
      </c>
      <c r="U1014" s="84">
        <v>0.0</v>
      </c>
      <c r="V1014" s="84">
        <v>0.0</v>
      </c>
      <c r="W1014" s="84">
        <v>0.0</v>
      </c>
      <c r="X1014" s="84">
        <v>0.0</v>
      </c>
      <c r="Y1014" s="84">
        <v>0.0</v>
      </c>
      <c r="Z1014" s="84">
        <v>6.0</v>
      </c>
      <c r="AA1014" s="84">
        <v>5.0</v>
      </c>
      <c r="AB1014" s="84">
        <v>0.0</v>
      </c>
      <c r="AC1014" s="91">
        <v>0.0</v>
      </c>
      <c r="AD1014" s="84">
        <v>0.0</v>
      </c>
      <c r="AE1014" s="84">
        <v>0.0</v>
      </c>
      <c r="AF1014" s="84">
        <v>0.0</v>
      </c>
      <c r="AG1014" s="84">
        <v>0.0</v>
      </c>
      <c r="AH1014" s="84">
        <v>0.0</v>
      </c>
      <c r="AI1014" s="84">
        <v>0.0</v>
      </c>
      <c r="AJ1014" s="84">
        <v>0.0</v>
      </c>
      <c r="AK1014" s="84">
        <v>0.0</v>
      </c>
      <c r="AL1014" s="84">
        <v>0.0</v>
      </c>
      <c r="AM1014" s="84">
        <v>0.0</v>
      </c>
      <c r="AN1014" s="93">
        <f t="shared" si="1"/>
        <v>0</v>
      </c>
      <c r="AO1014" s="84">
        <f t="shared" si="2"/>
        <v>0</v>
      </c>
    </row>
    <row r="1015" ht="12.75" customHeight="1">
      <c r="A1015" s="84" t="s">
        <v>3944</v>
      </c>
      <c r="B1015" s="84">
        <v>0.0</v>
      </c>
      <c r="C1015" s="84">
        <v>0.0</v>
      </c>
      <c r="D1015" s="84">
        <v>0.0</v>
      </c>
      <c r="E1015" s="84">
        <v>0.0</v>
      </c>
      <c r="F1015" s="84">
        <v>0.0</v>
      </c>
      <c r="G1015" s="84">
        <v>0.0</v>
      </c>
      <c r="H1015" s="84">
        <v>6.0</v>
      </c>
      <c r="I1015" s="91">
        <v>0.0</v>
      </c>
      <c r="J1015" s="84">
        <v>0.0</v>
      </c>
      <c r="K1015" s="84">
        <v>0.0</v>
      </c>
      <c r="L1015" s="84">
        <v>0.0</v>
      </c>
      <c r="M1015" s="84">
        <v>0.0</v>
      </c>
      <c r="N1015" s="84">
        <v>0.0</v>
      </c>
      <c r="O1015" s="84">
        <v>0.0</v>
      </c>
      <c r="P1015" s="84">
        <v>0.0</v>
      </c>
      <c r="Q1015" s="84">
        <v>0.0</v>
      </c>
      <c r="R1015" s="84">
        <v>0.0</v>
      </c>
      <c r="S1015" s="84">
        <v>0.0</v>
      </c>
      <c r="T1015" s="84">
        <v>0.0</v>
      </c>
      <c r="U1015" s="84">
        <v>0.0</v>
      </c>
      <c r="V1015" s="84">
        <v>0.0</v>
      </c>
      <c r="W1015" s="84">
        <v>0.0</v>
      </c>
      <c r="X1015" s="84">
        <v>0.0</v>
      </c>
      <c r="Y1015" s="84">
        <v>0.0</v>
      </c>
      <c r="Z1015" s="84">
        <v>0.0</v>
      </c>
      <c r="AA1015" s="84">
        <v>0.0</v>
      </c>
      <c r="AB1015" s="84">
        <v>6.0</v>
      </c>
      <c r="AC1015" s="91">
        <v>0.0</v>
      </c>
      <c r="AD1015" s="84">
        <v>0.0</v>
      </c>
      <c r="AE1015" s="84">
        <v>0.0</v>
      </c>
      <c r="AF1015" s="84">
        <v>0.0</v>
      </c>
      <c r="AG1015" s="84">
        <v>0.0</v>
      </c>
      <c r="AH1015" s="84">
        <v>0.0</v>
      </c>
      <c r="AI1015" s="84">
        <v>0.0</v>
      </c>
      <c r="AJ1015" s="84">
        <v>0.0</v>
      </c>
      <c r="AK1015" s="84">
        <v>0.0</v>
      </c>
      <c r="AL1015" s="84">
        <v>0.0</v>
      </c>
      <c r="AM1015" s="84">
        <v>0.0</v>
      </c>
      <c r="AN1015" s="93">
        <f t="shared" si="1"/>
        <v>0</v>
      </c>
      <c r="AO1015" s="84">
        <f t="shared" si="2"/>
        <v>0</v>
      </c>
    </row>
    <row r="1016" ht="12.75" customHeight="1">
      <c r="A1016" s="84" t="s">
        <v>3928</v>
      </c>
      <c r="B1016" s="84">
        <v>0.0</v>
      </c>
      <c r="C1016" s="84">
        <v>0.0</v>
      </c>
      <c r="D1016" s="84">
        <v>0.0</v>
      </c>
      <c r="E1016" s="84">
        <v>0.0</v>
      </c>
      <c r="F1016" s="84">
        <v>0.0</v>
      </c>
      <c r="G1016" s="84">
        <v>0.0</v>
      </c>
      <c r="H1016" s="84">
        <v>5.0</v>
      </c>
      <c r="I1016" s="91">
        <v>0.0</v>
      </c>
      <c r="J1016" s="84">
        <v>0.0</v>
      </c>
      <c r="K1016" s="84">
        <v>0.0</v>
      </c>
      <c r="L1016" s="84">
        <v>0.0</v>
      </c>
      <c r="M1016" s="84">
        <v>0.0</v>
      </c>
      <c r="N1016" s="84">
        <v>0.0</v>
      </c>
      <c r="O1016" s="84">
        <v>0.0</v>
      </c>
      <c r="P1016" s="84">
        <v>0.0</v>
      </c>
      <c r="Q1016" s="84">
        <v>0.0</v>
      </c>
      <c r="R1016" s="84">
        <v>0.0</v>
      </c>
      <c r="S1016" s="84">
        <v>0.0</v>
      </c>
      <c r="T1016" s="84">
        <v>0.0</v>
      </c>
      <c r="U1016" s="84">
        <v>0.0</v>
      </c>
      <c r="V1016" s="84">
        <v>0.0</v>
      </c>
      <c r="W1016" s="84">
        <v>0.0</v>
      </c>
      <c r="X1016" s="84">
        <v>0.0</v>
      </c>
      <c r="Y1016" s="84">
        <v>0.0</v>
      </c>
      <c r="Z1016" s="84">
        <v>0.0</v>
      </c>
      <c r="AA1016" s="84">
        <v>0.0</v>
      </c>
      <c r="AB1016" s="84">
        <v>6.0</v>
      </c>
      <c r="AC1016" s="91">
        <v>0.0</v>
      </c>
      <c r="AD1016" s="84">
        <v>0.0</v>
      </c>
      <c r="AE1016" s="84">
        <v>0.0</v>
      </c>
      <c r="AF1016" s="84">
        <v>0.0</v>
      </c>
      <c r="AG1016" s="84">
        <v>0.0</v>
      </c>
      <c r="AH1016" s="84">
        <v>0.0</v>
      </c>
      <c r="AI1016" s="84">
        <v>0.0</v>
      </c>
      <c r="AJ1016" s="84">
        <v>0.0</v>
      </c>
      <c r="AK1016" s="84">
        <v>0.0</v>
      </c>
      <c r="AL1016" s="84">
        <v>0.0</v>
      </c>
      <c r="AM1016" s="84">
        <v>0.0</v>
      </c>
      <c r="AN1016" s="93">
        <f t="shared" si="1"/>
        <v>0</v>
      </c>
      <c r="AO1016" s="84">
        <f t="shared" si="2"/>
        <v>0</v>
      </c>
    </row>
    <row r="1017" ht="12.75" customHeight="1">
      <c r="A1017" s="84" t="s">
        <v>4353</v>
      </c>
      <c r="B1017" s="84">
        <v>0.0</v>
      </c>
      <c r="C1017" s="84">
        <v>0.0</v>
      </c>
      <c r="D1017" s="84">
        <v>0.0</v>
      </c>
      <c r="E1017" s="84">
        <v>0.0</v>
      </c>
      <c r="F1017" s="84">
        <v>0.0</v>
      </c>
      <c r="G1017" s="84">
        <v>0.0</v>
      </c>
      <c r="H1017" s="84">
        <v>0.0</v>
      </c>
      <c r="I1017" s="91">
        <v>0.0</v>
      </c>
      <c r="J1017" s="84">
        <v>0.0</v>
      </c>
      <c r="K1017" s="84">
        <v>0.0</v>
      </c>
      <c r="L1017" s="84">
        <v>0.0</v>
      </c>
      <c r="M1017" s="84">
        <v>0.0</v>
      </c>
      <c r="N1017" s="84">
        <v>0.0</v>
      </c>
      <c r="O1017" s="84">
        <v>0.0</v>
      </c>
      <c r="P1017" s="84">
        <v>0.0</v>
      </c>
      <c r="Q1017" s="84">
        <v>0.0</v>
      </c>
      <c r="R1017" s="84">
        <v>0.0</v>
      </c>
      <c r="S1017" s="84">
        <v>0.0</v>
      </c>
      <c r="T1017" s="84">
        <v>0.0</v>
      </c>
      <c r="U1017" s="84">
        <v>0.0</v>
      </c>
      <c r="V1017" s="84">
        <v>0.0</v>
      </c>
      <c r="W1017" s="84">
        <v>0.0</v>
      </c>
      <c r="X1017" s="84">
        <v>0.0</v>
      </c>
      <c r="Y1017" s="84">
        <v>0.0</v>
      </c>
      <c r="Z1017" s="84">
        <v>0.0</v>
      </c>
      <c r="AA1017" s="84">
        <v>0.0</v>
      </c>
      <c r="AB1017" s="84">
        <v>0.0</v>
      </c>
      <c r="AC1017" s="91">
        <v>0.002554278416347382</v>
      </c>
      <c r="AD1017" s="84">
        <v>0.0</v>
      </c>
      <c r="AE1017" s="84">
        <v>0.0</v>
      </c>
      <c r="AF1017" s="84">
        <v>0.0</v>
      </c>
      <c r="AG1017" s="84">
        <v>0.0</v>
      </c>
      <c r="AH1017" s="84">
        <v>0.0</v>
      </c>
      <c r="AI1017" s="84">
        <v>0.0</v>
      </c>
      <c r="AJ1017" s="84">
        <v>0.0</v>
      </c>
      <c r="AK1017" s="84">
        <v>0.0</v>
      </c>
      <c r="AL1017" s="84">
        <v>0.0</v>
      </c>
      <c r="AM1017" s="84">
        <v>0.0</v>
      </c>
      <c r="AN1017" s="93">
        <f t="shared" si="1"/>
        <v>0.002554278416</v>
      </c>
      <c r="AO1017" s="84">
        <f t="shared" si="2"/>
        <v>0</v>
      </c>
    </row>
    <row r="1018" ht="12.75" customHeight="1">
      <c r="A1018" s="84" t="s">
        <v>4541</v>
      </c>
      <c r="B1018" s="84">
        <v>0.0</v>
      </c>
      <c r="C1018" s="84">
        <v>0.0</v>
      </c>
      <c r="D1018" s="84">
        <v>0.0</v>
      </c>
      <c r="E1018" s="84">
        <v>0.0</v>
      </c>
      <c r="F1018" s="84">
        <v>0.0</v>
      </c>
      <c r="G1018" s="84">
        <v>0.0</v>
      </c>
      <c r="H1018" s="84">
        <v>0.0</v>
      </c>
      <c r="I1018" s="91">
        <v>0.0</v>
      </c>
      <c r="J1018" s="84">
        <v>0.0</v>
      </c>
      <c r="K1018" s="84">
        <v>0.0</v>
      </c>
      <c r="L1018" s="84">
        <v>0.0</v>
      </c>
      <c r="M1018" s="84">
        <v>0.0</v>
      </c>
      <c r="N1018" s="84">
        <v>0.0</v>
      </c>
      <c r="O1018" s="84">
        <v>0.0</v>
      </c>
      <c r="P1018" s="84">
        <v>0.0</v>
      </c>
      <c r="Q1018" s="84">
        <v>0.0</v>
      </c>
      <c r="R1018" s="84">
        <v>0.0</v>
      </c>
      <c r="S1018" s="84">
        <v>0.0</v>
      </c>
      <c r="T1018" s="84">
        <v>0.0</v>
      </c>
      <c r="U1018" s="84">
        <v>0.0</v>
      </c>
      <c r="V1018" s="84">
        <v>0.0</v>
      </c>
      <c r="W1018" s="84">
        <v>0.0</v>
      </c>
      <c r="X1018" s="84">
        <v>0.0</v>
      </c>
      <c r="Y1018" s="84">
        <v>0.0</v>
      </c>
      <c r="Z1018" s="84">
        <v>0.0</v>
      </c>
      <c r="AA1018" s="84">
        <v>0.0</v>
      </c>
      <c r="AB1018" s="84">
        <v>0.0</v>
      </c>
      <c r="AC1018" s="91">
        <v>0.0</v>
      </c>
      <c r="AD1018" s="84">
        <v>0.0</v>
      </c>
      <c r="AE1018" s="84">
        <v>0.0</v>
      </c>
      <c r="AF1018" s="84">
        <v>0.0</v>
      </c>
      <c r="AG1018" s="84">
        <v>1.0</v>
      </c>
      <c r="AH1018" s="84">
        <v>0.0</v>
      </c>
      <c r="AI1018" s="84">
        <v>0.0</v>
      </c>
      <c r="AJ1018" s="84">
        <v>0.0</v>
      </c>
      <c r="AK1018" s="84">
        <v>0.0</v>
      </c>
      <c r="AL1018" s="84">
        <v>0.0</v>
      </c>
      <c r="AM1018" s="84">
        <v>0.0</v>
      </c>
      <c r="AN1018" s="93">
        <f t="shared" si="1"/>
        <v>0</v>
      </c>
      <c r="AO1018" s="84">
        <f t="shared" si="2"/>
        <v>1</v>
      </c>
    </row>
    <row r="1019" ht="12.75" customHeight="1">
      <c r="A1019" s="84" t="s">
        <v>4452</v>
      </c>
      <c r="B1019" s="84">
        <v>0.0</v>
      </c>
      <c r="C1019" s="84">
        <v>0.0</v>
      </c>
      <c r="D1019" s="84">
        <v>0.0</v>
      </c>
      <c r="E1019" s="84">
        <v>0.0</v>
      </c>
      <c r="F1019" s="84">
        <v>0.0</v>
      </c>
      <c r="G1019" s="84">
        <v>0.0</v>
      </c>
      <c r="H1019" s="84">
        <v>0.0</v>
      </c>
      <c r="I1019" s="91">
        <v>0.0</v>
      </c>
      <c r="J1019" s="84">
        <v>0.0</v>
      </c>
      <c r="K1019" s="84">
        <v>0.0</v>
      </c>
      <c r="L1019" s="84">
        <v>0.0</v>
      </c>
      <c r="M1019" s="84">
        <v>0.0</v>
      </c>
      <c r="N1019" s="84">
        <v>0.0</v>
      </c>
      <c r="O1019" s="84">
        <v>0.0</v>
      </c>
      <c r="P1019" s="84">
        <v>0.0</v>
      </c>
      <c r="Q1019" s="84">
        <v>0.0</v>
      </c>
      <c r="R1019" s="84">
        <v>0.0</v>
      </c>
      <c r="S1019" s="84">
        <v>0.0</v>
      </c>
      <c r="T1019" s="84">
        <v>0.0</v>
      </c>
      <c r="U1019" s="84">
        <v>0.0</v>
      </c>
      <c r="V1019" s="84">
        <v>0.0</v>
      </c>
      <c r="W1019" s="84">
        <v>0.0</v>
      </c>
      <c r="X1019" s="84">
        <v>0.0</v>
      </c>
      <c r="Y1019" s="84">
        <v>0.0</v>
      </c>
      <c r="Z1019" s="84">
        <v>0.0</v>
      </c>
      <c r="AA1019" s="84">
        <v>0.0</v>
      </c>
      <c r="AB1019" s="84">
        <v>0.0</v>
      </c>
      <c r="AC1019" s="91">
        <v>0.0</v>
      </c>
      <c r="AD1019" s="84">
        <v>1.0</v>
      </c>
      <c r="AE1019" s="84">
        <v>0.0</v>
      </c>
      <c r="AF1019" s="84">
        <v>0.0</v>
      </c>
      <c r="AG1019" s="84">
        <v>0.0</v>
      </c>
      <c r="AH1019" s="84">
        <v>0.0</v>
      </c>
      <c r="AI1019" s="84">
        <v>0.0</v>
      </c>
      <c r="AJ1019" s="84">
        <v>0.0</v>
      </c>
      <c r="AK1019" s="84">
        <v>0.0</v>
      </c>
      <c r="AL1019" s="84">
        <v>0.0</v>
      </c>
      <c r="AM1019" s="84">
        <v>0.0</v>
      </c>
      <c r="AN1019" s="93">
        <f t="shared" si="1"/>
        <v>0</v>
      </c>
      <c r="AO1019" s="84">
        <f t="shared" si="2"/>
        <v>1</v>
      </c>
    </row>
    <row r="1020" ht="12.75" customHeight="1">
      <c r="A1020" s="84" t="s">
        <v>4464</v>
      </c>
      <c r="B1020" s="84">
        <v>0.0</v>
      </c>
      <c r="C1020" s="84">
        <v>0.0</v>
      </c>
      <c r="D1020" s="84">
        <v>0.0</v>
      </c>
      <c r="E1020" s="84">
        <v>0.0</v>
      </c>
      <c r="F1020" s="84">
        <v>0.0</v>
      </c>
      <c r="G1020" s="84">
        <v>0.0</v>
      </c>
      <c r="H1020" s="84">
        <v>0.0</v>
      </c>
      <c r="I1020" s="91">
        <v>0.0</v>
      </c>
      <c r="J1020" s="84">
        <v>0.0</v>
      </c>
      <c r="K1020" s="84">
        <v>0.0</v>
      </c>
      <c r="L1020" s="84">
        <v>0.0</v>
      </c>
      <c r="M1020" s="84">
        <v>0.0</v>
      </c>
      <c r="N1020" s="84">
        <v>0.0</v>
      </c>
      <c r="O1020" s="84">
        <v>0.0</v>
      </c>
      <c r="P1020" s="84">
        <v>0.0</v>
      </c>
      <c r="Q1020" s="84">
        <v>0.0</v>
      </c>
      <c r="R1020" s="84">
        <v>0.0</v>
      </c>
      <c r="S1020" s="84">
        <v>0.0</v>
      </c>
      <c r="T1020" s="84">
        <v>0.0</v>
      </c>
      <c r="U1020" s="84">
        <v>0.0</v>
      </c>
      <c r="V1020" s="84">
        <v>0.0</v>
      </c>
      <c r="W1020" s="84">
        <v>0.0</v>
      </c>
      <c r="X1020" s="84">
        <v>0.0</v>
      </c>
      <c r="Y1020" s="84">
        <v>0.0</v>
      </c>
      <c r="Z1020" s="84">
        <v>0.0</v>
      </c>
      <c r="AA1020" s="84">
        <v>0.0</v>
      </c>
      <c r="AB1020" s="84">
        <v>0.0</v>
      </c>
      <c r="AC1020" s="91">
        <v>0.0</v>
      </c>
      <c r="AD1020" s="84">
        <v>1.0</v>
      </c>
      <c r="AE1020" s="84">
        <v>0.0</v>
      </c>
      <c r="AF1020" s="84">
        <v>0.0</v>
      </c>
      <c r="AG1020" s="84">
        <v>0.0</v>
      </c>
      <c r="AH1020" s="84">
        <v>0.0</v>
      </c>
      <c r="AI1020" s="84">
        <v>0.0</v>
      </c>
      <c r="AJ1020" s="84">
        <v>0.0</v>
      </c>
      <c r="AK1020" s="84">
        <v>0.0</v>
      </c>
      <c r="AL1020" s="84">
        <v>0.0</v>
      </c>
      <c r="AM1020" s="84">
        <v>0.0</v>
      </c>
      <c r="AN1020" s="93">
        <f t="shared" si="1"/>
        <v>0</v>
      </c>
      <c r="AO1020" s="84">
        <f t="shared" si="2"/>
        <v>1</v>
      </c>
    </row>
    <row r="1021" ht="12.75" customHeight="1">
      <c r="A1021" s="84" t="s">
        <v>4444</v>
      </c>
      <c r="B1021" s="84">
        <v>0.0</v>
      </c>
      <c r="C1021" s="84">
        <v>0.0</v>
      </c>
      <c r="D1021" s="84">
        <v>0.0</v>
      </c>
      <c r="E1021" s="84">
        <v>0.0</v>
      </c>
      <c r="F1021" s="84">
        <v>0.0</v>
      </c>
      <c r="G1021" s="84">
        <v>0.0</v>
      </c>
      <c r="H1021" s="84">
        <v>0.0</v>
      </c>
      <c r="I1021" s="91">
        <v>0.0</v>
      </c>
      <c r="J1021" s="84">
        <v>0.0</v>
      </c>
      <c r="K1021" s="84">
        <v>0.0</v>
      </c>
      <c r="L1021" s="84">
        <v>1.0</v>
      </c>
      <c r="M1021" s="84">
        <v>0.0</v>
      </c>
      <c r="N1021" s="84">
        <v>0.0</v>
      </c>
      <c r="O1021" s="84">
        <v>0.0</v>
      </c>
      <c r="P1021" s="84">
        <v>0.0</v>
      </c>
      <c r="Q1021" s="84">
        <v>0.0</v>
      </c>
      <c r="R1021" s="84">
        <v>0.0</v>
      </c>
      <c r="S1021" s="84">
        <v>0.0</v>
      </c>
      <c r="T1021" s="84">
        <v>0.0</v>
      </c>
      <c r="U1021" s="84">
        <v>0.0</v>
      </c>
      <c r="V1021" s="84">
        <v>0.0</v>
      </c>
      <c r="W1021" s="84">
        <v>0.0</v>
      </c>
      <c r="X1021" s="84">
        <v>0.0</v>
      </c>
      <c r="Y1021" s="84">
        <v>0.0</v>
      </c>
      <c r="Z1021" s="84">
        <v>0.0</v>
      </c>
      <c r="AA1021" s="84">
        <v>0.0</v>
      </c>
      <c r="AB1021" s="84">
        <v>0.0</v>
      </c>
      <c r="AC1021" s="91">
        <v>0.0</v>
      </c>
      <c r="AD1021" s="84">
        <v>0.0</v>
      </c>
      <c r="AE1021" s="84">
        <v>0.0</v>
      </c>
      <c r="AF1021" s="84">
        <v>0.0</v>
      </c>
      <c r="AG1021" s="84">
        <v>0.0</v>
      </c>
      <c r="AH1021" s="84">
        <v>0.0</v>
      </c>
      <c r="AI1021" s="84">
        <v>0.0</v>
      </c>
      <c r="AJ1021" s="84">
        <v>0.0</v>
      </c>
      <c r="AK1021" s="84">
        <v>0.0</v>
      </c>
      <c r="AL1021" s="84">
        <v>0.0</v>
      </c>
      <c r="AM1021" s="84">
        <v>0.0</v>
      </c>
      <c r="AN1021" s="93">
        <f t="shared" si="1"/>
        <v>0</v>
      </c>
      <c r="AO1021" s="84">
        <f t="shared" si="2"/>
        <v>1</v>
      </c>
    </row>
    <row r="1022" ht="12.75" customHeight="1">
      <c r="A1022" s="84" t="s">
        <v>4460</v>
      </c>
      <c r="B1022" s="84">
        <v>0.0</v>
      </c>
      <c r="C1022" s="84">
        <v>0.0</v>
      </c>
      <c r="D1022" s="84">
        <v>0.0</v>
      </c>
      <c r="E1022" s="84">
        <v>0.0</v>
      </c>
      <c r="F1022" s="84">
        <v>0.0</v>
      </c>
      <c r="G1022" s="84">
        <v>0.0</v>
      </c>
      <c r="H1022" s="84">
        <v>0.0</v>
      </c>
      <c r="I1022" s="91">
        <v>0.0</v>
      </c>
      <c r="J1022" s="84">
        <v>0.0</v>
      </c>
      <c r="K1022" s="84">
        <v>0.0</v>
      </c>
      <c r="L1022" s="84">
        <v>0.0</v>
      </c>
      <c r="M1022" s="84">
        <v>0.0</v>
      </c>
      <c r="N1022" s="84">
        <v>0.0</v>
      </c>
      <c r="O1022" s="84">
        <v>0.0</v>
      </c>
      <c r="P1022" s="84">
        <v>0.0</v>
      </c>
      <c r="Q1022" s="84">
        <v>0.0</v>
      </c>
      <c r="R1022" s="84">
        <v>0.0</v>
      </c>
      <c r="S1022" s="84">
        <v>0.0</v>
      </c>
      <c r="T1022" s="84">
        <v>0.0</v>
      </c>
      <c r="U1022" s="84">
        <v>0.0</v>
      </c>
      <c r="V1022" s="84">
        <v>0.0</v>
      </c>
      <c r="W1022" s="84">
        <v>0.0</v>
      </c>
      <c r="X1022" s="84">
        <v>0.0</v>
      </c>
      <c r="Y1022" s="84">
        <v>0.0</v>
      </c>
      <c r="Z1022" s="84">
        <v>0.0</v>
      </c>
      <c r="AA1022" s="84">
        <v>0.0</v>
      </c>
      <c r="AB1022" s="84">
        <v>0.0</v>
      </c>
      <c r="AC1022" s="91">
        <v>0.0</v>
      </c>
      <c r="AD1022" s="84">
        <v>1.0</v>
      </c>
      <c r="AE1022" s="84">
        <v>0.0</v>
      </c>
      <c r="AF1022" s="84">
        <v>0.0</v>
      </c>
      <c r="AG1022" s="84">
        <v>0.0</v>
      </c>
      <c r="AH1022" s="84">
        <v>0.0</v>
      </c>
      <c r="AI1022" s="84">
        <v>0.0</v>
      </c>
      <c r="AJ1022" s="84">
        <v>0.0</v>
      </c>
      <c r="AK1022" s="84">
        <v>0.0</v>
      </c>
      <c r="AL1022" s="84">
        <v>0.0</v>
      </c>
      <c r="AM1022" s="84">
        <v>0.0</v>
      </c>
      <c r="AN1022" s="93">
        <f t="shared" si="1"/>
        <v>0</v>
      </c>
      <c r="AO1022" s="84">
        <f t="shared" si="2"/>
        <v>1</v>
      </c>
    </row>
    <row r="1023" ht="12.75" customHeight="1">
      <c r="A1023" s="84" t="s">
        <v>4298</v>
      </c>
      <c r="B1023" s="84">
        <v>0.0</v>
      </c>
      <c r="C1023" s="84">
        <v>0.0</v>
      </c>
      <c r="D1023" s="84">
        <v>0.0</v>
      </c>
      <c r="E1023" s="84">
        <v>0.0</v>
      </c>
      <c r="F1023" s="84">
        <v>0.0</v>
      </c>
      <c r="G1023" s="84">
        <v>0.0</v>
      </c>
      <c r="H1023" s="84">
        <v>0.0</v>
      </c>
      <c r="I1023" s="91">
        <v>0.0</v>
      </c>
      <c r="J1023" s="84">
        <v>0.0</v>
      </c>
      <c r="K1023" s="84">
        <v>0.0</v>
      </c>
      <c r="L1023" s="84">
        <v>0.0</v>
      </c>
      <c r="M1023" s="84">
        <v>0.0</v>
      </c>
      <c r="N1023" s="84">
        <v>0.0</v>
      </c>
      <c r="O1023" s="84">
        <v>0.0</v>
      </c>
      <c r="P1023" s="84">
        <v>0.0</v>
      </c>
      <c r="Q1023" s="84">
        <v>0.0</v>
      </c>
      <c r="R1023" s="84">
        <v>0.0</v>
      </c>
      <c r="S1023" s="84">
        <v>0.0</v>
      </c>
      <c r="T1023" s="84">
        <v>0.0</v>
      </c>
      <c r="U1023" s="84">
        <v>0.0</v>
      </c>
      <c r="V1023" s="84">
        <v>0.0</v>
      </c>
      <c r="W1023" s="84">
        <v>0.0</v>
      </c>
      <c r="X1023" s="84">
        <v>0.0</v>
      </c>
      <c r="Y1023" s="84">
        <v>0.0</v>
      </c>
      <c r="Z1023" s="84">
        <v>0.0</v>
      </c>
      <c r="AA1023" s="84">
        <v>0.0</v>
      </c>
      <c r="AB1023" s="84">
        <v>0.0</v>
      </c>
      <c r="AC1023" s="91">
        <v>0.0</v>
      </c>
      <c r="AD1023" s="84">
        <v>0.0</v>
      </c>
      <c r="AE1023" s="84">
        <v>0.0</v>
      </c>
      <c r="AF1023" s="84">
        <v>0.0</v>
      </c>
      <c r="AG1023" s="84">
        <v>0.0</v>
      </c>
      <c r="AH1023" s="84">
        <v>0.0</v>
      </c>
      <c r="AI1023" s="84">
        <v>0.0</v>
      </c>
      <c r="AJ1023" s="84">
        <v>0.0</v>
      </c>
      <c r="AK1023" s="84">
        <v>0.0</v>
      </c>
      <c r="AL1023" s="84">
        <v>0.0</v>
      </c>
      <c r="AM1023" s="84">
        <v>0.0</v>
      </c>
      <c r="AN1023" s="93">
        <f t="shared" si="1"/>
        <v>0</v>
      </c>
      <c r="AO1023" s="84">
        <f t="shared" si="2"/>
        <v>0</v>
      </c>
    </row>
    <row r="1024" ht="12.75" customHeight="1">
      <c r="A1024" s="84" t="s">
        <v>4481</v>
      </c>
      <c r="B1024" s="84">
        <v>0.0</v>
      </c>
      <c r="C1024" s="84">
        <v>0.0</v>
      </c>
      <c r="D1024" s="84">
        <v>0.0</v>
      </c>
      <c r="E1024" s="84">
        <v>0.0</v>
      </c>
      <c r="F1024" s="84">
        <v>0.0</v>
      </c>
      <c r="G1024" s="84">
        <v>0.0</v>
      </c>
      <c r="H1024" s="84">
        <v>0.0</v>
      </c>
      <c r="I1024" s="91">
        <v>0.0</v>
      </c>
      <c r="J1024" s="84">
        <v>0.0</v>
      </c>
      <c r="K1024" s="84">
        <v>0.0</v>
      </c>
      <c r="L1024" s="84">
        <v>0.0</v>
      </c>
      <c r="M1024" s="84">
        <v>0.0</v>
      </c>
      <c r="N1024" s="84">
        <v>0.0</v>
      </c>
      <c r="O1024" s="84">
        <v>0.0</v>
      </c>
      <c r="P1024" s="84">
        <v>0.0</v>
      </c>
      <c r="Q1024" s="84">
        <v>0.0</v>
      </c>
      <c r="R1024" s="84">
        <v>0.0</v>
      </c>
      <c r="S1024" s="84">
        <v>0.0</v>
      </c>
      <c r="T1024" s="84">
        <v>0.0</v>
      </c>
      <c r="U1024" s="84">
        <v>0.0</v>
      </c>
      <c r="V1024" s="84">
        <v>0.0</v>
      </c>
      <c r="W1024" s="84">
        <v>0.0</v>
      </c>
      <c r="X1024" s="84">
        <v>0.0</v>
      </c>
      <c r="Y1024" s="84">
        <v>0.0</v>
      </c>
      <c r="Z1024" s="84">
        <v>0.0</v>
      </c>
      <c r="AA1024" s="84">
        <v>0.0</v>
      </c>
      <c r="AB1024" s="84">
        <v>0.0</v>
      </c>
      <c r="AC1024" s="91">
        <v>0.0</v>
      </c>
      <c r="AD1024" s="84">
        <v>0.0</v>
      </c>
      <c r="AE1024" s="84">
        <v>1.0</v>
      </c>
      <c r="AF1024" s="84">
        <v>0.0</v>
      </c>
      <c r="AG1024" s="84">
        <v>0.0</v>
      </c>
      <c r="AH1024" s="84">
        <v>0.0</v>
      </c>
      <c r="AI1024" s="84">
        <v>0.0</v>
      </c>
      <c r="AJ1024" s="84">
        <v>0.0</v>
      </c>
      <c r="AK1024" s="84">
        <v>0.0</v>
      </c>
      <c r="AL1024" s="84">
        <v>0.0</v>
      </c>
      <c r="AM1024" s="84">
        <v>0.0</v>
      </c>
      <c r="AN1024" s="93">
        <f t="shared" si="1"/>
        <v>0</v>
      </c>
      <c r="AO1024" s="84">
        <f t="shared" si="2"/>
        <v>1</v>
      </c>
    </row>
    <row r="1025" ht="12.75" customHeight="1">
      <c r="A1025" s="84" t="s">
        <v>3868</v>
      </c>
      <c r="B1025" s="84">
        <v>0.0</v>
      </c>
      <c r="C1025" s="84">
        <v>0.0</v>
      </c>
      <c r="D1025" s="84">
        <v>0.0</v>
      </c>
      <c r="E1025" s="84">
        <v>0.0</v>
      </c>
      <c r="F1025" s="84">
        <v>0.0</v>
      </c>
      <c r="G1025" s="84">
        <v>0.0</v>
      </c>
      <c r="H1025" s="84">
        <v>6.0</v>
      </c>
      <c r="I1025" s="91">
        <v>0.0</v>
      </c>
      <c r="J1025" s="84">
        <v>0.0</v>
      </c>
      <c r="K1025" s="84">
        <v>0.0</v>
      </c>
      <c r="L1025" s="84">
        <v>0.0</v>
      </c>
      <c r="M1025" s="84">
        <v>0.0</v>
      </c>
      <c r="N1025" s="84">
        <v>0.0</v>
      </c>
      <c r="O1025" s="84">
        <v>0.0</v>
      </c>
      <c r="P1025" s="84">
        <v>0.0</v>
      </c>
      <c r="Q1025" s="84">
        <v>0.0</v>
      </c>
      <c r="R1025" s="84">
        <v>0.0</v>
      </c>
      <c r="S1025" s="84">
        <v>0.0</v>
      </c>
      <c r="T1025" s="84">
        <v>0.0</v>
      </c>
      <c r="U1025" s="84">
        <v>0.0</v>
      </c>
      <c r="V1025" s="84">
        <v>0.0</v>
      </c>
      <c r="W1025" s="84">
        <v>0.0</v>
      </c>
      <c r="X1025" s="84">
        <v>0.0</v>
      </c>
      <c r="Y1025" s="84">
        <v>0.0</v>
      </c>
      <c r="Z1025" s="84">
        <v>0.0</v>
      </c>
      <c r="AA1025" s="84">
        <v>0.0</v>
      </c>
      <c r="AB1025" s="84">
        <v>6.0</v>
      </c>
      <c r="AC1025" s="91">
        <v>0.0</v>
      </c>
      <c r="AD1025" s="84">
        <v>0.0</v>
      </c>
      <c r="AE1025" s="84">
        <v>0.0</v>
      </c>
      <c r="AF1025" s="84">
        <v>0.0</v>
      </c>
      <c r="AG1025" s="84">
        <v>0.0</v>
      </c>
      <c r="AH1025" s="84">
        <v>0.0</v>
      </c>
      <c r="AI1025" s="84">
        <v>0.0</v>
      </c>
      <c r="AJ1025" s="84">
        <v>0.0</v>
      </c>
      <c r="AK1025" s="84">
        <v>0.0</v>
      </c>
      <c r="AL1025" s="84">
        <v>0.0</v>
      </c>
      <c r="AM1025" s="84">
        <v>0.0</v>
      </c>
      <c r="AN1025" s="93">
        <f t="shared" si="1"/>
        <v>0</v>
      </c>
      <c r="AO1025" s="84">
        <f t="shared" si="2"/>
        <v>0</v>
      </c>
    </row>
    <row r="1026" ht="12.75" customHeight="1">
      <c r="A1026" s="84" t="s">
        <v>3789</v>
      </c>
      <c r="B1026" s="84">
        <v>0.0</v>
      </c>
      <c r="C1026" s="84">
        <v>0.0</v>
      </c>
      <c r="D1026" s="84">
        <v>0.0</v>
      </c>
      <c r="E1026" s="84">
        <v>0.0</v>
      </c>
      <c r="F1026" s="84">
        <v>0.0</v>
      </c>
      <c r="G1026" s="84">
        <v>5.0</v>
      </c>
      <c r="H1026" s="84">
        <v>0.0</v>
      </c>
      <c r="I1026" s="91">
        <v>0.0</v>
      </c>
      <c r="J1026" s="84">
        <v>0.0</v>
      </c>
      <c r="K1026" s="84">
        <v>0.0</v>
      </c>
      <c r="L1026" s="84">
        <v>0.0</v>
      </c>
      <c r="M1026" s="84">
        <v>0.0</v>
      </c>
      <c r="N1026" s="84">
        <v>0.0</v>
      </c>
      <c r="O1026" s="84">
        <v>0.0</v>
      </c>
      <c r="P1026" s="84">
        <v>0.0</v>
      </c>
      <c r="Q1026" s="84">
        <v>0.0</v>
      </c>
      <c r="R1026" s="84">
        <v>0.0</v>
      </c>
      <c r="S1026" s="84">
        <v>0.0</v>
      </c>
      <c r="T1026" s="84">
        <v>0.0</v>
      </c>
      <c r="U1026" s="84">
        <v>0.0</v>
      </c>
      <c r="V1026" s="84">
        <v>0.0</v>
      </c>
      <c r="W1026" s="84">
        <v>0.0</v>
      </c>
      <c r="X1026" s="84">
        <v>0.0</v>
      </c>
      <c r="Y1026" s="84">
        <v>0.0</v>
      </c>
      <c r="Z1026" s="84">
        <v>0.0</v>
      </c>
      <c r="AA1026" s="84">
        <v>6.0</v>
      </c>
      <c r="AB1026" s="84">
        <v>3.0</v>
      </c>
      <c r="AC1026" s="91">
        <v>0.0</v>
      </c>
      <c r="AD1026" s="84">
        <v>0.0</v>
      </c>
      <c r="AE1026" s="84">
        <v>0.0</v>
      </c>
      <c r="AF1026" s="84">
        <v>0.0</v>
      </c>
      <c r="AG1026" s="84">
        <v>0.0</v>
      </c>
      <c r="AH1026" s="84">
        <v>0.0</v>
      </c>
      <c r="AI1026" s="84">
        <v>0.0</v>
      </c>
      <c r="AJ1026" s="84">
        <v>0.0</v>
      </c>
      <c r="AK1026" s="84">
        <v>0.0</v>
      </c>
      <c r="AL1026" s="84">
        <v>0.0</v>
      </c>
      <c r="AM1026" s="84">
        <v>0.0</v>
      </c>
      <c r="AN1026" s="93">
        <f t="shared" si="1"/>
        <v>0</v>
      </c>
      <c r="AO1026" s="84">
        <f t="shared" si="2"/>
        <v>0</v>
      </c>
    </row>
    <row r="1027" ht="12.75" customHeight="1">
      <c r="A1027" s="84" t="s">
        <v>3860</v>
      </c>
      <c r="B1027" s="84">
        <v>0.0</v>
      </c>
      <c r="C1027" s="84">
        <v>0.0</v>
      </c>
      <c r="D1027" s="84">
        <v>0.0</v>
      </c>
      <c r="E1027" s="84">
        <v>0.0</v>
      </c>
      <c r="F1027" s="84">
        <v>0.0</v>
      </c>
      <c r="G1027" s="84">
        <v>0.0</v>
      </c>
      <c r="H1027" s="84">
        <v>6.0</v>
      </c>
      <c r="I1027" s="91">
        <v>0.0</v>
      </c>
      <c r="J1027" s="84">
        <v>0.0</v>
      </c>
      <c r="K1027" s="84">
        <v>0.0</v>
      </c>
      <c r="L1027" s="84">
        <v>0.0</v>
      </c>
      <c r="M1027" s="84">
        <v>0.0</v>
      </c>
      <c r="N1027" s="84">
        <v>0.0</v>
      </c>
      <c r="O1027" s="84">
        <v>0.0</v>
      </c>
      <c r="P1027" s="84">
        <v>0.0</v>
      </c>
      <c r="Q1027" s="84">
        <v>0.0</v>
      </c>
      <c r="R1027" s="84">
        <v>0.0</v>
      </c>
      <c r="S1027" s="84">
        <v>0.0</v>
      </c>
      <c r="T1027" s="84">
        <v>0.0</v>
      </c>
      <c r="U1027" s="84">
        <v>0.0</v>
      </c>
      <c r="V1027" s="84">
        <v>0.0</v>
      </c>
      <c r="W1027" s="84">
        <v>0.0</v>
      </c>
      <c r="X1027" s="84">
        <v>0.0</v>
      </c>
      <c r="Y1027" s="84">
        <v>0.0</v>
      </c>
      <c r="Z1027" s="84">
        <v>0.0</v>
      </c>
      <c r="AA1027" s="84">
        <v>0.0</v>
      </c>
      <c r="AB1027" s="84">
        <v>6.0</v>
      </c>
      <c r="AC1027" s="91">
        <v>0.0</v>
      </c>
      <c r="AD1027" s="84">
        <v>0.0</v>
      </c>
      <c r="AE1027" s="84">
        <v>0.0</v>
      </c>
      <c r="AF1027" s="84">
        <v>0.0</v>
      </c>
      <c r="AG1027" s="84">
        <v>0.0</v>
      </c>
      <c r="AH1027" s="84">
        <v>0.0</v>
      </c>
      <c r="AI1027" s="84">
        <v>0.0</v>
      </c>
      <c r="AJ1027" s="84">
        <v>0.0</v>
      </c>
      <c r="AK1027" s="84">
        <v>0.0</v>
      </c>
      <c r="AL1027" s="84">
        <v>0.0</v>
      </c>
      <c r="AM1027" s="84">
        <v>0.0</v>
      </c>
      <c r="AN1027" s="93">
        <f t="shared" si="1"/>
        <v>0</v>
      </c>
      <c r="AO1027" s="84">
        <f t="shared" si="2"/>
        <v>0</v>
      </c>
    </row>
    <row r="1028" ht="12.75" customHeight="1">
      <c r="A1028" s="84" t="s">
        <v>3455</v>
      </c>
      <c r="B1028" s="84">
        <v>0.0</v>
      </c>
      <c r="C1028" s="84">
        <v>0.0</v>
      </c>
      <c r="D1028" s="84">
        <v>0.0</v>
      </c>
      <c r="E1028" s="84">
        <v>5.0</v>
      </c>
      <c r="F1028" s="84">
        <v>2.0</v>
      </c>
      <c r="G1028" s="84">
        <v>0.0</v>
      </c>
      <c r="H1028" s="84">
        <v>0.0</v>
      </c>
      <c r="I1028" s="91">
        <v>0.0</v>
      </c>
      <c r="J1028" s="84">
        <v>0.0</v>
      </c>
      <c r="K1028" s="84">
        <v>0.0</v>
      </c>
      <c r="L1028" s="84">
        <v>0.0</v>
      </c>
      <c r="M1028" s="84">
        <v>0.0</v>
      </c>
      <c r="N1028" s="84">
        <v>0.0</v>
      </c>
      <c r="O1028" s="84">
        <v>0.0</v>
      </c>
      <c r="P1028" s="84">
        <v>0.0</v>
      </c>
      <c r="Q1028" s="84">
        <v>0.0</v>
      </c>
      <c r="R1028" s="84">
        <v>0.0</v>
      </c>
      <c r="S1028" s="84">
        <v>0.0</v>
      </c>
      <c r="T1028" s="84">
        <v>0.0</v>
      </c>
      <c r="U1028" s="84">
        <v>0.0</v>
      </c>
      <c r="V1028" s="84">
        <v>0.0</v>
      </c>
      <c r="W1028" s="84">
        <v>0.0</v>
      </c>
      <c r="X1028" s="84">
        <v>0.0</v>
      </c>
      <c r="Y1028" s="84">
        <v>6.0</v>
      </c>
      <c r="Z1028" s="84">
        <v>4.0</v>
      </c>
      <c r="AA1028" s="84">
        <v>0.0</v>
      </c>
      <c r="AB1028" s="84">
        <v>0.0</v>
      </c>
      <c r="AC1028" s="91">
        <v>0.0</v>
      </c>
      <c r="AD1028" s="84">
        <v>0.0</v>
      </c>
      <c r="AE1028" s="84">
        <v>0.0</v>
      </c>
      <c r="AF1028" s="84">
        <v>0.0</v>
      </c>
      <c r="AG1028" s="84">
        <v>0.0</v>
      </c>
      <c r="AH1028" s="84">
        <v>0.0</v>
      </c>
      <c r="AI1028" s="84">
        <v>0.0</v>
      </c>
      <c r="AJ1028" s="84">
        <v>0.0</v>
      </c>
      <c r="AK1028" s="84">
        <v>0.0</v>
      </c>
      <c r="AL1028" s="84">
        <v>0.0</v>
      </c>
      <c r="AM1028" s="84">
        <v>0.0</v>
      </c>
      <c r="AN1028" s="93">
        <f t="shared" si="1"/>
        <v>0</v>
      </c>
      <c r="AO1028" s="84">
        <f t="shared" si="2"/>
        <v>0</v>
      </c>
    </row>
    <row r="1029" ht="12.75" customHeight="1">
      <c r="A1029" s="84" t="s">
        <v>2809</v>
      </c>
      <c r="B1029" s="84">
        <v>2.0</v>
      </c>
      <c r="C1029" s="84">
        <v>1.0</v>
      </c>
      <c r="D1029" s="84">
        <v>0.0</v>
      </c>
      <c r="E1029" s="84">
        <v>0.0</v>
      </c>
      <c r="F1029" s="84">
        <v>0.0</v>
      </c>
      <c r="G1029" s="84">
        <v>0.0</v>
      </c>
      <c r="H1029" s="84">
        <v>0.0</v>
      </c>
      <c r="I1029" s="91">
        <v>0.0</v>
      </c>
      <c r="J1029" s="84">
        <v>0.0</v>
      </c>
      <c r="K1029" s="84">
        <v>0.0</v>
      </c>
      <c r="L1029" s="84">
        <v>0.0</v>
      </c>
      <c r="M1029" s="84">
        <v>0.0</v>
      </c>
      <c r="N1029" s="84">
        <v>0.0</v>
      </c>
      <c r="O1029" s="84">
        <v>0.0</v>
      </c>
      <c r="P1029" s="84">
        <v>0.0</v>
      </c>
      <c r="Q1029" s="84">
        <v>0.0</v>
      </c>
      <c r="R1029" s="84">
        <v>0.0</v>
      </c>
      <c r="S1029" s="84">
        <v>0.0</v>
      </c>
      <c r="T1029" s="84">
        <v>0.0</v>
      </c>
      <c r="U1029" s="84">
        <v>0.0</v>
      </c>
      <c r="V1029" s="84">
        <v>2.0</v>
      </c>
      <c r="W1029" s="84">
        <v>1.0</v>
      </c>
      <c r="X1029" s="84">
        <v>0.0</v>
      </c>
      <c r="Y1029" s="84">
        <v>0.0</v>
      </c>
      <c r="Z1029" s="84">
        <v>0.0</v>
      </c>
      <c r="AA1029" s="84">
        <v>0.0</v>
      </c>
      <c r="AB1029" s="84">
        <v>0.0</v>
      </c>
      <c r="AC1029" s="91">
        <v>0.0</v>
      </c>
      <c r="AD1029" s="84">
        <v>0.0</v>
      </c>
      <c r="AE1029" s="84">
        <v>0.0</v>
      </c>
      <c r="AF1029" s="84">
        <v>0.0</v>
      </c>
      <c r="AG1029" s="84">
        <v>0.0</v>
      </c>
      <c r="AH1029" s="84">
        <v>0.0</v>
      </c>
      <c r="AI1029" s="84">
        <v>0.0</v>
      </c>
      <c r="AJ1029" s="84">
        <v>0.0</v>
      </c>
      <c r="AK1029" s="84">
        <v>0.0</v>
      </c>
      <c r="AL1029" s="84">
        <v>0.0</v>
      </c>
      <c r="AM1029" s="84">
        <v>0.0</v>
      </c>
      <c r="AN1029" s="93">
        <f t="shared" si="1"/>
        <v>0</v>
      </c>
      <c r="AO1029" s="84">
        <f t="shared" si="2"/>
        <v>0</v>
      </c>
    </row>
    <row r="1030" ht="12.75" customHeight="1">
      <c r="A1030" s="84" t="s">
        <v>2920</v>
      </c>
      <c r="B1030" s="84">
        <v>2.0</v>
      </c>
      <c r="C1030" s="84">
        <v>0.0</v>
      </c>
      <c r="D1030" s="84">
        <v>0.0</v>
      </c>
      <c r="E1030" s="84">
        <v>0.0</v>
      </c>
      <c r="F1030" s="84">
        <v>0.0</v>
      </c>
      <c r="G1030" s="84">
        <v>0.0</v>
      </c>
      <c r="H1030" s="84">
        <v>0.0</v>
      </c>
      <c r="I1030" s="91">
        <v>0.0</v>
      </c>
      <c r="J1030" s="84">
        <v>0.0</v>
      </c>
      <c r="K1030" s="84">
        <v>0.0</v>
      </c>
      <c r="L1030" s="84">
        <v>0.0</v>
      </c>
      <c r="M1030" s="84">
        <v>0.0</v>
      </c>
      <c r="N1030" s="84">
        <v>0.0</v>
      </c>
      <c r="O1030" s="84">
        <v>0.0</v>
      </c>
      <c r="P1030" s="84">
        <v>0.0</v>
      </c>
      <c r="Q1030" s="84">
        <v>0.0</v>
      </c>
      <c r="R1030" s="84">
        <v>0.0</v>
      </c>
      <c r="S1030" s="84">
        <v>0.0</v>
      </c>
      <c r="T1030" s="84">
        <v>0.0</v>
      </c>
      <c r="U1030" s="84">
        <v>0.0</v>
      </c>
      <c r="V1030" s="84">
        <v>3.0</v>
      </c>
      <c r="W1030" s="84">
        <v>1.0</v>
      </c>
      <c r="X1030" s="84">
        <v>0.0</v>
      </c>
      <c r="Y1030" s="84">
        <v>0.0</v>
      </c>
      <c r="Z1030" s="84">
        <v>0.0</v>
      </c>
      <c r="AA1030" s="84">
        <v>0.0</v>
      </c>
      <c r="AB1030" s="84">
        <v>0.0</v>
      </c>
      <c r="AC1030" s="91">
        <v>0.0</v>
      </c>
      <c r="AD1030" s="84">
        <v>0.0</v>
      </c>
      <c r="AE1030" s="84">
        <v>0.0</v>
      </c>
      <c r="AF1030" s="84">
        <v>0.0</v>
      </c>
      <c r="AG1030" s="84">
        <v>0.0</v>
      </c>
      <c r="AH1030" s="84">
        <v>0.0</v>
      </c>
      <c r="AI1030" s="84">
        <v>0.0</v>
      </c>
      <c r="AJ1030" s="84">
        <v>0.0</v>
      </c>
      <c r="AK1030" s="84">
        <v>0.0</v>
      </c>
      <c r="AL1030" s="84">
        <v>0.0</v>
      </c>
      <c r="AM1030" s="84">
        <v>0.0</v>
      </c>
      <c r="AN1030" s="93">
        <f t="shared" si="1"/>
        <v>0</v>
      </c>
      <c r="AO1030" s="84">
        <f t="shared" si="2"/>
        <v>0</v>
      </c>
    </row>
    <row r="1031" ht="12.75" customHeight="1">
      <c r="A1031" s="84" t="s">
        <v>4478</v>
      </c>
      <c r="B1031" s="84">
        <v>0.0</v>
      </c>
      <c r="C1031" s="84">
        <v>0.0</v>
      </c>
      <c r="D1031" s="84">
        <v>0.0</v>
      </c>
      <c r="E1031" s="84">
        <v>0.0</v>
      </c>
      <c r="F1031" s="84">
        <v>0.0</v>
      </c>
      <c r="G1031" s="84">
        <v>0.0</v>
      </c>
      <c r="H1031" s="84">
        <v>0.0</v>
      </c>
      <c r="I1031" s="91">
        <v>0.0</v>
      </c>
      <c r="J1031" s="84">
        <v>0.0</v>
      </c>
      <c r="K1031" s="84">
        <v>0.0</v>
      </c>
      <c r="L1031" s="84">
        <v>0.0</v>
      </c>
      <c r="M1031" s="84">
        <v>1.0</v>
      </c>
      <c r="N1031" s="84">
        <v>0.0</v>
      </c>
      <c r="O1031" s="84">
        <v>0.0</v>
      </c>
      <c r="P1031" s="84">
        <v>0.0</v>
      </c>
      <c r="Q1031" s="84">
        <v>0.0</v>
      </c>
      <c r="R1031" s="84">
        <v>0.0</v>
      </c>
      <c r="S1031" s="84">
        <v>0.0</v>
      </c>
      <c r="T1031" s="84">
        <v>0.0</v>
      </c>
      <c r="U1031" s="84">
        <v>0.0</v>
      </c>
      <c r="V1031" s="84">
        <v>0.0</v>
      </c>
      <c r="W1031" s="84">
        <v>0.0</v>
      </c>
      <c r="X1031" s="84">
        <v>0.0</v>
      </c>
      <c r="Y1031" s="84">
        <v>0.0</v>
      </c>
      <c r="Z1031" s="84">
        <v>0.0</v>
      </c>
      <c r="AA1031" s="84">
        <v>0.0</v>
      </c>
      <c r="AB1031" s="84">
        <v>0.0</v>
      </c>
      <c r="AC1031" s="91">
        <v>0.0</v>
      </c>
      <c r="AD1031" s="84">
        <v>0.0</v>
      </c>
      <c r="AE1031" s="84">
        <v>0.0</v>
      </c>
      <c r="AF1031" s="84">
        <v>0.0</v>
      </c>
      <c r="AG1031" s="84">
        <v>0.0</v>
      </c>
      <c r="AH1031" s="84">
        <v>0.0</v>
      </c>
      <c r="AI1031" s="84">
        <v>0.0</v>
      </c>
      <c r="AJ1031" s="84">
        <v>0.0</v>
      </c>
      <c r="AK1031" s="84">
        <v>0.0</v>
      </c>
      <c r="AL1031" s="84">
        <v>0.0</v>
      </c>
      <c r="AM1031" s="84">
        <v>0.0</v>
      </c>
      <c r="AN1031" s="93">
        <f t="shared" si="1"/>
        <v>0</v>
      </c>
      <c r="AO1031" s="84">
        <f t="shared" si="2"/>
        <v>1</v>
      </c>
    </row>
    <row r="1032" ht="12.75" customHeight="1">
      <c r="A1032" s="84" t="s">
        <v>4509</v>
      </c>
      <c r="B1032" s="84">
        <v>0.0</v>
      </c>
      <c r="C1032" s="84">
        <v>0.0</v>
      </c>
      <c r="D1032" s="84">
        <v>0.0</v>
      </c>
      <c r="E1032" s="84">
        <v>0.0</v>
      </c>
      <c r="F1032" s="84">
        <v>0.0</v>
      </c>
      <c r="G1032" s="84">
        <v>0.0</v>
      </c>
      <c r="H1032" s="84">
        <v>0.0</v>
      </c>
      <c r="I1032" s="91">
        <v>0.0</v>
      </c>
      <c r="J1032" s="84">
        <v>0.0</v>
      </c>
      <c r="K1032" s="84">
        <v>0.0</v>
      </c>
      <c r="L1032" s="84">
        <v>0.0</v>
      </c>
      <c r="M1032" s="84">
        <v>0.0</v>
      </c>
      <c r="N1032" s="84">
        <v>0.0</v>
      </c>
      <c r="O1032" s="84">
        <v>0.0</v>
      </c>
      <c r="P1032" s="84">
        <v>0.0</v>
      </c>
      <c r="Q1032" s="84">
        <v>0.0</v>
      </c>
      <c r="R1032" s="84">
        <v>0.0</v>
      </c>
      <c r="S1032" s="84">
        <v>0.0</v>
      </c>
      <c r="T1032" s="84">
        <v>0.0</v>
      </c>
      <c r="U1032" s="84">
        <v>0.0</v>
      </c>
      <c r="V1032" s="84">
        <v>0.0</v>
      </c>
      <c r="W1032" s="84">
        <v>0.0</v>
      </c>
      <c r="X1032" s="84">
        <v>0.0</v>
      </c>
      <c r="Y1032" s="84">
        <v>0.0</v>
      </c>
      <c r="Z1032" s="84">
        <v>0.0</v>
      </c>
      <c r="AA1032" s="84">
        <v>0.0</v>
      </c>
      <c r="AB1032" s="84">
        <v>0.0</v>
      </c>
      <c r="AC1032" s="91">
        <v>0.0</v>
      </c>
      <c r="AD1032" s="84">
        <v>0.0</v>
      </c>
      <c r="AE1032" s="84">
        <v>0.0</v>
      </c>
      <c r="AF1032" s="84">
        <v>1.0</v>
      </c>
      <c r="AG1032" s="84">
        <v>0.0</v>
      </c>
      <c r="AH1032" s="84">
        <v>0.0</v>
      </c>
      <c r="AI1032" s="84">
        <v>0.0</v>
      </c>
      <c r="AJ1032" s="84">
        <v>0.0</v>
      </c>
      <c r="AK1032" s="84">
        <v>0.0</v>
      </c>
      <c r="AL1032" s="84">
        <v>0.0</v>
      </c>
      <c r="AM1032" s="84">
        <v>0.0</v>
      </c>
      <c r="AN1032" s="93">
        <f t="shared" si="1"/>
        <v>0</v>
      </c>
      <c r="AO1032" s="84">
        <f t="shared" si="2"/>
        <v>1</v>
      </c>
    </row>
    <row r="1033" ht="12.75" customHeight="1">
      <c r="A1033" s="84" t="s">
        <v>3585</v>
      </c>
      <c r="B1033" s="84">
        <v>0.0</v>
      </c>
      <c r="C1033" s="84">
        <v>0.0</v>
      </c>
      <c r="D1033" s="84">
        <v>0.0</v>
      </c>
      <c r="E1033" s="84">
        <v>0.0</v>
      </c>
      <c r="F1033" s="84">
        <v>4.0</v>
      </c>
      <c r="G1033" s="84">
        <v>3.0</v>
      </c>
      <c r="H1033" s="84">
        <v>0.0</v>
      </c>
      <c r="I1033" s="91">
        <v>0.0</v>
      </c>
      <c r="J1033" s="84">
        <v>0.0</v>
      </c>
      <c r="K1033" s="84">
        <v>0.0</v>
      </c>
      <c r="L1033" s="84">
        <v>0.0</v>
      </c>
      <c r="M1033" s="84">
        <v>0.0</v>
      </c>
      <c r="N1033" s="84">
        <v>0.0</v>
      </c>
      <c r="O1033" s="84">
        <v>0.0</v>
      </c>
      <c r="P1033" s="84">
        <v>0.0</v>
      </c>
      <c r="Q1033" s="84">
        <v>0.0</v>
      </c>
      <c r="R1033" s="84">
        <v>0.0</v>
      </c>
      <c r="S1033" s="84">
        <v>0.0</v>
      </c>
      <c r="T1033" s="84">
        <v>0.0</v>
      </c>
      <c r="U1033" s="84">
        <v>0.0</v>
      </c>
      <c r="V1033" s="84">
        <v>0.0</v>
      </c>
      <c r="W1033" s="84">
        <v>0.0</v>
      </c>
      <c r="X1033" s="84">
        <v>0.0</v>
      </c>
      <c r="Y1033" s="84">
        <v>0.0</v>
      </c>
      <c r="Z1033" s="84">
        <v>6.0</v>
      </c>
      <c r="AA1033" s="84">
        <v>3.0</v>
      </c>
      <c r="AB1033" s="84">
        <v>0.0</v>
      </c>
      <c r="AC1033" s="91">
        <v>0.0</v>
      </c>
      <c r="AD1033" s="84">
        <v>0.0</v>
      </c>
      <c r="AE1033" s="84">
        <v>0.0</v>
      </c>
      <c r="AF1033" s="84">
        <v>0.0</v>
      </c>
      <c r="AG1033" s="84">
        <v>0.0</v>
      </c>
      <c r="AH1033" s="84">
        <v>0.0</v>
      </c>
      <c r="AI1033" s="84">
        <v>0.0</v>
      </c>
      <c r="AJ1033" s="84">
        <v>0.0</v>
      </c>
      <c r="AK1033" s="84">
        <v>0.0</v>
      </c>
      <c r="AL1033" s="84">
        <v>0.0</v>
      </c>
      <c r="AM1033" s="84">
        <v>0.0</v>
      </c>
      <c r="AN1033" s="93">
        <f t="shared" si="1"/>
        <v>0</v>
      </c>
      <c r="AO1033" s="84">
        <f t="shared" si="2"/>
        <v>0</v>
      </c>
    </row>
    <row r="1034" ht="12.75" customHeight="1">
      <c r="A1034" s="84" t="s">
        <v>3940</v>
      </c>
      <c r="B1034" s="84">
        <v>0.0</v>
      </c>
      <c r="C1034" s="84">
        <v>0.0</v>
      </c>
      <c r="D1034" s="84">
        <v>0.0</v>
      </c>
      <c r="E1034" s="84">
        <v>0.0</v>
      </c>
      <c r="F1034" s="84">
        <v>0.0</v>
      </c>
      <c r="G1034" s="84">
        <v>0.0</v>
      </c>
      <c r="H1034" s="84">
        <v>4.0</v>
      </c>
      <c r="I1034" s="91">
        <v>0.0</v>
      </c>
      <c r="J1034" s="84">
        <v>0.0</v>
      </c>
      <c r="K1034" s="84">
        <v>0.0</v>
      </c>
      <c r="L1034" s="84">
        <v>0.0</v>
      </c>
      <c r="M1034" s="84">
        <v>0.0</v>
      </c>
      <c r="N1034" s="84">
        <v>0.0</v>
      </c>
      <c r="O1034" s="84">
        <v>0.0</v>
      </c>
      <c r="P1034" s="84">
        <v>0.0</v>
      </c>
      <c r="Q1034" s="84">
        <v>0.0</v>
      </c>
      <c r="R1034" s="84">
        <v>0.0</v>
      </c>
      <c r="S1034" s="84">
        <v>0.0</v>
      </c>
      <c r="T1034" s="84">
        <v>0.0</v>
      </c>
      <c r="U1034" s="84">
        <v>0.0</v>
      </c>
      <c r="V1034" s="84">
        <v>0.0</v>
      </c>
      <c r="W1034" s="84">
        <v>0.0</v>
      </c>
      <c r="X1034" s="84">
        <v>0.0</v>
      </c>
      <c r="Y1034" s="84">
        <v>0.0</v>
      </c>
      <c r="Z1034" s="84">
        <v>0.0</v>
      </c>
      <c r="AA1034" s="84">
        <v>0.0</v>
      </c>
      <c r="AB1034" s="84">
        <v>6.0</v>
      </c>
      <c r="AC1034" s="91">
        <v>0.0</v>
      </c>
      <c r="AD1034" s="84">
        <v>0.0</v>
      </c>
      <c r="AE1034" s="84">
        <v>0.0</v>
      </c>
      <c r="AF1034" s="84">
        <v>0.0</v>
      </c>
      <c r="AG1034" s="84">
        <v>0.0</v>
      </c>
      <c r="AH1034" s="84">
        <v>0.0</v>
      </c>
      <c r="AI1034" s="84">
        <v>0.0</v>
      </c>
      <c r="AJ1034" s="84">
        <v>0.0</v>
      </c>
      <c r="AK1034" s="84">
        <v>0.0</v>
      </c>
      <c r="AL1034" s="84">
        <v>0.0</v>
      </c>
      <c r="AM1034" s="84">
        <v>0.0</v>
      </c>
      <c r="AN1034" s="93">
        <f t="shared" si="1"/>
        <v>0</v>
      </c>
      <c r="AO1034" s="84">
        <f t="shared" si="2"/>
        <v>0</v>
      </c>
    </row>
    <row r="1035" ht="12.75" customHeight="1">
      <c r="A1035" s="84" t="s">
        <v>4602</v>
      </c>
      <c r="B1035" s="84">
        <v>0.0</v>
      </c>
      <c r="C1035" s="84">
        <v>0.0</v>
      </c>
      <c r="D1035" s="84">
        <v>0.0</v>
      </c>
      <c r="E1035" s="84">
        <v>0.0</v>
      </c>
      <c r="F1035" s="84">
        <v>0.0</v>
      </c>
      <c r="G1035" s="84">
        <v>0.0</v>
      </c>
      <c r="H1035" s="84">
        <v>0.0</v>
      </c>
      <c r="I1035" s="91">
        <v>0.0</v>
      </c>
      <c r="J1035" s="84">
        <v>0.0</v>
      </c>
      <c r="K1035" s="84">
        <v>0.0</v>
      </c>
      <c r="L1035" s="84">
        <v>0.0</v>
      </c>
      <c r="M1035" s="84">
        <v>0.0</v>
      </c>
      <c r="N1035" s="84">
        <v>0.0</v>
      </c>
      <c r="O1035" s="84">
        <v>0.0</v>
      </c>
      <c r="P1035" s="84">
        <v>0.0</v>
      </c>
      <c r="Q1035" s="84">
        <v>0.0</v>
      </c>
      <c r="R1035" s="84">
        <v>1.0</v>
      </c>
      <c r="S1035" s="84">
        <v>0.0</v>
      </c>
      <c r="T1035" s="84">
        <v>0.0</v>
      </c>
      <c r="U1035" s="84">
        <v>0.0</v>
      </c>
      <c r="V1035" s="84">
        <v>0.0</v>
      </c>
      <c r="W1035" s="84">
        <v>0.0</v>
      </c>
      <c r="X1035" s="84">
        <v>0.0</v>
      </c>
      <c r="Y1035" s="84">
        <v>0.0</v>
      </c>
      <c r="Z1035" s="84">
        <v>0.0</v>
      </c>
      <c r="AA1035" s="84">
        <v>0.0</v>
      </c>
      <c r="AB1035" s="84">
        <v>0.0</v>
      </c>
      <c r="AC1035" s="91">
        <v>0.0</v>
      </c>
      <c r="AD1035" s="84">
        <v>0.0</v>
      </c>
      <c r="AE1035" s="84">
        <v>0.0</v>
      </c>
      <c r="AF1035" s="84">
        <v>0.0</v>
      </c>
      <c r="AG1035" s="84">
        <v>0.0</v>
      </c>
      <c r="AH1035" s="84">
        <v>0.0</v>
      </c>
      <c r="AI1035" s="84">
        <v>0.0</v>
      </c>
      <c r="AJ1035" s="84">
        <v>0.0</v>
      </c>
      <c r="AK1035" s="84">
        <v>0.0</v>
      </c>
      <c r="AL1035" s="84">
        <v>0.0</v>
      </c>
      <c r="AM1035" s="84">
        <v>0.0</v>
      </c>
      <c r="AN1035" s="93">
        <f t="shared" si="1"/>
        <v>0</v>
      </c>
      <c r="AO1035" s="84">
        <f t="shared" si="2"/>
        <v>1</v>
      </c>
    </row>
    <row r="1036" ht="12.75" customHeight="1">
      <c r="A1036" s="84" t="s">
        <v>3665</v>
      </c>
      <c r="B1036" s="84">
        <v>0.0</v>
      </c>
      <c r="C1036" s="84">
        <v>0.0</v>
      </c>
      <c r="D1036" s="84">
        <v>0.0</v>
      </c>
      <c r="E1036" s="84">
        <v>0.0</v>
      </c>
      <c r="F1036" s="84">
        <v>5.0</v>
      </c>
      <c r="G1036" s="84">
        <v>1.0</v>
      </c>
      <c r="H1036" s="84">
        <v>0.0</v>
      </c>
      <c r="I1036" s="91">
        <v>0.0</v>
      </c>
      <c r="J1036" s="84">
        <v>0.0</v>
      </c>
      <c r="K1036" s="84">
        <v>0.0</v>
      </c>
      <c r="L1036" s="84">
        <v>0.0</v>
      </c>
      <c r="M1036" s="84">
        <v>0.0</v>
      </c>
      <c r="N1036" s="84">
        <v>0.0</v>
      </c>
      <c r="O1036" s="84">
        <v>0.0</v>
      </c>
      <c r="P1036" s="84">
        <v>0.0</v>
      </c>
      <c r="Q1036" s="84">
        <v>0.0</v>
      </c>
      <c r="R1036" s="84">
        <v>0.0</v>
      </c>
      <c r="S1036" s="84">
        <v>0.0</v>
      </c>
      <c r="T1036" s="84">
        <v>0.0</v>
      </c>
      <c r="U1036" s="84">
        <v>0.0</v>
      </c>
      <c r="V1036" s="84">
        <v>0.0</v>
      </c>
      <c r="W1036" s="84">
        <v>0.0</v>
      </c>
      <c r="X1036" s="84">
        <v>0.0</v>
      </c>
      <c r="Y1036" s="84">
        <v>0.0</v>
      </c>
      <c r="Z1036" s="84">
        <v>6.0</v>
      </c>
      <c r="AA1036" s="84">
        <v>1.0</v>
      </c>
      <c r="AB1036" s="84">
        <v>0.0</v>
      </c>
      <c r="AC1036" s="91">
        <v>0.0</v>
      </c>
      <c r="AD1036" s="84">
        <v>0.0</v>
      </c>
      <c r="AE1036" s="84">
        <v>0.0</v>
      </c>
      <c r="AF1036" s="84">
        <v>0.0</v>
      </c>
      <c r="AG1036" s="84">
        <v>0.0</v>
      </c>
      <c r="AH1036" s="84">
        <v>0.0</v>
      </c>
      <c r="AI1036" s="84">
        <v>0.0</v>
      </c>
      <c r="AJ1036" s="84">
        <v>0.0</v>
      </c>
      <c r="AK1036" s="84">
        <v>0.0</v>
      </c>
      <c r="AL1036" s="84">
        <v>0.0</v>
      </c>
      <c r="AM1036" s="84">
        <v>0.0</v>
      </c>
      <c r="AN1036" s="93">
        <f t="shared" si="1"/>
        <v>0</v>
      </c>
      <c r="AO1036" s="84">
        <f t="shared" si="2"/>
        <v>0</v>
      </c>
    </row>
    <row r="1037" ht="12.75" customHeight="1">
      <c r="A1037" s="84" t="s">
        <v>3075</v>
      </c>
      <c r="B1037" s="84">
        <v>1.0</v>
      </c>
      <c r="C1037" s="84">
        <v>1.0</v>
      </c>
      <c r="D1037" s="84">
        <v>0.0</v>
      </c>
      <c r="E1037" s="84">
        <v>0.0</v>
      </c>
      <c r="F1037" s="84">
        <v>0.0</v>
      </c>
      <c r="G1037" s="84">
        <v>0.0</v>
      </c>
      <c r="H1037" s="84">
        <v>0.0</v>
      </c>
      <c r="I1037" s="91">
        <v>0.0</v>
      </c>
      <c r="J1037" s="84">
        <v>0.0</v>
      </c>
      <c r="K1037" s="84">
        <v>0.0</v>
      </c>
      <c r="L1037" s="84">
        <v>0.0</v>
      </c>
      <c r="M1037" s="84">
        <v>0.0</v>
      </c>
      <c r="N1037" s="84">
        <v>0.0</v>
      </c>
      <c r="O1037" s="84">
        <v>0.0</v>
      </c>
      <c r="P1037" s="84">
        <v>0.0</v>
      </c>
      <c r="Q1037" s="84">
        <v>0.0</v>
      </c>
      <c r="R1037" s="84">
        <v>0.0</v>
      </c>
      <c r="S1037" s="84">
        <v>0.0</v>
      </c>
      <c r="T1037" s="84">
        <v>0.0</v>
      </c>
      <c r="U1037" s="84">
        <v>0.0</v>
      </c>
      <c r="V1037" s="84">
        <v>7.0</v>
      </c>
      <c r="W1037" s="84">
        <v>2.0</v>
      </c>
      <c r="X1037" s="84">
        <v>0.0</v>
      </c>
      <c r="Y1037" s="84">
        <v>0.0</v>
      </c>
      <c r="Z1037" s="84">
        <v>0.0</v>
      </c>
      <c r="AA1037" s="84">
        <v>0.0</v>
      </c>
      <c r="AB1037" s="84">
        <v>0.0</v>
      </c>
      <c r="AC1037" s="91">
        <v>0.0</v>
      </c>
      <c r="AD1037" s="84">
        <v>0.0</v>
      </c>
      <c r="AE1037" s="84">
        <v>0.0</v>
      </c>
      <c r="AF1037" s="84">
        <v>0.0</v>
      </c>
      <c r="AG1037" s="84">
        <v>0.0</v>
      </c>
      <c r="AH1037" s="84">
        <v>0.0</v>
      </c>
      <c r="AI1037" s="84">
        <v>0.0</v>
      </c>
      <c r="AJ1037" s="84">
        <v>0.0</v>
      </c>
      <c r="AK1037" s="84">
        <v>0.0</v>
      </c>
      <c r="AL1037" s="84">
        <v>0.0</v>
      </c>
      <c r="AM1037" s="84">
        <v>0.0</v>
      </c>
      <c r="AN1037" s="93">
        <f t="shared" si="1"/>
        <v>0</v>
      </c>
      <c r="AO1037" s="84">
        <f t="shared" si="2"/>
        <v>0</v>
      </c>
    </row>
    <row r="1038" ht="12.75" customHeight="1">
      <c r="A1038" s="84" t="s">
        <v>3683</v>
      </c>
      <c r="B1038" s="84">
        <v>0.0</v>
      </c>
      <c r="C1038" s="84">
        <v>0.0</v>
      </c>
      <c r="D1038" s="84">
        <v>0.0</v>
      </c>
      <c r="E1038" s="84">
        <v>0.0</v>
      </c>
      <c r="F1038" s="84">
        <v>5.0</v>
      </c>
      <c r="G1038" s="84">
        <v>0.0</v>
      </c>
      <c r="H1038" s="84">
        <v>0.0</v>
      </c>
      <c r="I1038" s="91">
        <v>0.0</v>
      </c>
      <c r="J1038" s="84">
        <v>0.0</v>
      </c>
      <c r="K1038" s="84">
        <v>0.0</v>
      </c>
      <c r="L1038" s="84">
        <v>0.0</v>
      </c>
      <c r="M1038" s="84">
        <v>0.0</v>
      </c>
      <c r="N1038" s="84">
        <v>0.0</v>
      </c>
      <c r="O1038" s="84">
        <v>0.0</v>
      </c>
      <c r="P1038" s="84">
        <v>0.0</v>
      </c>
      <c r="Q1038" s="84">
        <v>0.0</v>
      </c>
      <c r="R1038" s="84">
        <v>0.0</v>
      </c>
      <c r="S1038" s="84">
        <v>0.0</v>
      </c>
      <c r="T1038" s="84">
        <v>0.0</v>
      </c>
      <c r="U1038" s="84">
        <v>0.0</v>
      </c>
      <c r="V1038" s="84">
        <v>0.0</v>
      </c>
      <c r="W1038" s="84">
        <v>0.0</v>
      </c>
      <c r="X1038" s="84">
        <v>0.0</v>
      </c>
      <c r="Y1038" s="84">
        <v>0.0</v>
      </c>
      <c r="Z1038" s="84">
        <v>6.0</v>
      </c>
      <c r="AA1038" s="84">
        <v>1.0</v>
      </c>
      <c r="AB1038" s="84">
        <v>0.0</v>
      </c>
      <c r="AC1038" s="91">
        <v>0.0</v>
      </c>
      <c r="AD1038" s="84">
        <v>0.0</v>
      </c>
      <c r="AE1038" s="84">
        <v>0.0</v>
      </c>
      <c r="AF1038" s="84">
        <v>0.0</v>
      </c>
      <c r="AG1038" s="84">
        <v>0.0</v>
      </c>
      <c r="AH1038" s="84">
        <v>0.0</v>
      </c>
      <c r="AI1038" s="84">
        <v>0.0</v>
      </c>
      <c r="AJ1038" s="84">
        <v>0.0</v>
      </c>
      <c r="AK1038" s="84">
        <v>0.0</v>
      </c>
      <c r="AL1038" s="84">
        <v>0.0</v>
      </c>
      <c r="AM1038" s="84">
        <v>0.0</v>
      </c>
      <c r="AN1038" s="93">
        <f t="shared" si="1"/>
        <v>0</v>
      </c>
      <c r="AO1038" s="84">
        <f t="shared" si="2"/>
        <v>0</v>
      </c>
    </row>
    <row r="1039" ht="12.75" customHeight="1">
      <c r="A1039" s="84" t="s">
        <v>3415</v>
      </c>
      <c r="B1039" s="84">
        <v>0.0</v>
      </c>
      <c r="C1039" s="84">
        <v>0.0</v>
      </c>
      <c r="D1039" s="84">
        <v>4.0</v>
      </c>
      <c r="E1039" s="84">
        <v>0.0</v>
      </c>
      <c r="F1039" s="84">
        <v>0.0</v>
      </c>
      <c r="G1039" s="84">
        <v>0.0</v>
      </c>
      <c r="H1039" s="84">
        <v>0.0</v>
      </c>
      <c r="I1039" s="91">
        <v>0.0</v>
      </c>
      <c r="J1039" s="84">
        <v>0.0</v>
      </c>
      <c r="K1039" s="84">
        <v>0.0</v>
      </c>
      <c r="L1039" s="84">
        <v>0.0</v>
      </c>
      <c r="M1039" s="84">
        <v>0.0</v>
      </c>
      <c r="N1039" s="84">
        <v>0.0</v>
      </c>
      <c r="O1039" s="84">
        <v>0.0</v>
      </c>
      <c r="P1039" s="84">
        <v>0.0</v>
      </c>
      <c r="Q1039" s="84">
        <v>0.0</v>
      </c>
      <c r="R1039" s="84">
        <v>0.0</v>
      </c>
      <c r="S1039" s="84">
        <v>0.0</v>
      </c>
      <c r="T1039" s="84">
        <v>0.0</v>
      </c>
      <c r="U1039" s="84">
        <v>0.0</v>
      </c>
      <c r="V1039" s="84">
        <v>0.0</v>
      </c>
      <c r="W1039" s="84">
        <v>0.0</v>
      </c>
      <c r="X1039" s="84">
        <v>6.0</v>
      </c>
      <c r="Y1039" s="84">
        <v>1.0</v>
      </c>
      <c r="Z1039" s="84">
        <v>0.0</v>
      </c>
      <c r="AA1039" s="84">
        <v>0.0</v>
      </c>
      <c r="AB1039" s="84">
        <v>0.0</v>
      </c>
      <c r="AC1039" s="91">
        <v>0.0</v>
      </c>
      <c r="AD1039" s="84">
        <v>0.0</v>
      </c>
      <c r="AE1039" s="84">
        <v>0.0</v>
      </c>
      <c r="AF1039" s="84">
        <v>0.0</v>
      </c>
      <c r="AG1039" s="84">
        <v>0.0</v>
      </c>
      <c r="AH1039" s="84">
        <v>0.0</v>
      </c>
      <c r="AI1039" s="84">
        <v>0.0</v>
      </c>
      <c r="AJ1039" s="84">
        <v>0.0</v>
      </c>
      <c r="AK1039" s="84">
        <v>0.0</v>
      </c>
      <c r="AL1039" s="84">
        <v>0.0</v>
      </c>
      <c r="AM1039" s="84">
        <v>0.0</v>
      </c>
      <c r="AN1039" s="93">
        <f t="shared" si="1"/>
        <v>0</v>
      </c>
      <c r="AO1039" s="84">
        <f t="shared" si="2"/>
        <v>0</v>
      </c>
    </row>
    <row r="1040" ht="12.75" customHeight="1">
      <c r="A1040" s="84" t="s">
        <v>3681</v>
      </c>
      <c r="B1040" s="84">
        <v>0.0</v>
      </c>
      <c r="C1040" s="84">
        <v>0.0</v>
      </c>
      <c r="D1040" s="84">
        <v>0.0</v>
      </c>
      <c r="E1040" s="84">
        <v>0.0</v>
      </c>
      <c r="F1040" s="84">
        <v>6.0</v>
      </c>
      <c r="G1040" s="84">
        <v>1.0</v>
      </c>
      <c r="H1040" s="84">
        <v>0.0</v>
      </c>
      <c r="I1040" s="91">
        <v>0.0</v>
      </c>
      <c r="J1040" s="84">
        <v>0.0</v>
      </c>
      <c r="K1040" s="84">
        <v>0.0</v>
      </c>
      <c r="L1040" s="84">
        <v>0.0</v>
      </c>
      <c r="M1040" s="84">
        <v>0.0</v>
      </c>
      <c r="N1040" s="84">
        <v>0.0</v>
      </c>
      <c r="O1040" s="84">
        <v>0.0</v>
      </c>
      <c r="P1040" s="84">
        <v>0.0</v>
      </c>
      <c r="Q1040" s="84">
        <v>0.0</v>
      </c>
      <c r="R1040" s="84">
        <v>0.0</v>
      </c>
      <c r="S1040" s="84">
        <v>0.0</v>
      </c>
      <c r="T1040" s="84">
        <v>0.0</v>
      </c>
      <c r="U1040" s="84">
        <v>0.0</v>
      </c>
      <c r="V1040" s="84">
        <v>0.0</v>
      </c>
      <c r="W1040" s="84">
        <v>0.0</v>
      </c>
      <c r="X1040" s="84">
        <v>0.0</v>
      </c>
      <c r="Y1040" s="84">
        <v>0.0</v>
      </c>
      <c r="Z1040" s="84">
        <v>6.0</v>
      </c>
      <c r="AA1040" s="84">
        <v>3.0</v>
      </c>
      <c r="AB1040" s="84">
        <v>0.0</v>
      </c>
      <c r="AC1040" s="91">
        <v>0.0</v>
      </c>
      <c r="AD1040" s="84">
        <v>0.0</v>
      </c>
      <c r="AE1040" s="84">
        <v>0.0</v>
      </c>
      <c r="AF1040" s="84">
        <v>0.0</v>
      </c>
      <c r="AG1040" s="84">
        <v>0.0</v>
      </c>
      <c r="AH1040" s="84">
        <v>0.0</v>
      </c>
      <c r="AI1040" s="84">
        <v>0.0</v>
      </c>
      <c r="AJ1040" s="84">
        <v>0.0</v>
      </c>
      <c r="AK1040" s="84">
        <v>0.0</v>
      </c>
      <c r="AL1040" s="84">
        <v>0.0</v>
      </c>
      <c r="AM1040" s="84">
        <v>0.0</v>
      </c>
      <c r="AN1040" s="93">
        <f t="shared" si="1"/>
        <v>0</v>
      </c>
      <c r="AO1040" s="84">
        <f t="shared" si="2"/>
        <v>0</v>
      </c>
    </row>
    <row r="1041" ht="12.75" customHeight="1">
      <c r="A1041" s="84" t="s">
        <v>3234</v>
      </c>
      <c r="B1041" s="84">
        <v>0.0</v>
      </c>
      <c r="C1041" s="84">
        <v>5.0</v>
      </c>
      <c r="D1041" s="84">
        <v>3.0</v>
      </c>
      <c r="E1041" s="84">
        <v>0.0</v>
      </c>
      <c r="F1041" s="84">
        <v>0.0</v>
      </c>
      <c r="G1041" s="84">
        <v>0.0</v>
      </c>
      <c r="H1041" s="84">
        <v>0.0</v>
      </c>
      <c r="I1041" s="91">
        <v>0.0</v>
      </c>
      <c r="J1041" s="84">
        <v>0.0</v>
      </c>
      <c r="K1041" s="84">
        <v>0.0</v>
      </c>
      <c r="L1041" s="84">
        <v>0.0</v>
      </c>
      <c r="M1041" s="84">
        <v>0.0</v>
      </c>
      <c r="N1041" s="84">
        <v>0.0</v>
      </c>
      <c r="O1041" s="84">
        <v>0.0</v>
      </c>
      <c r="P1041" s="84">
        <v>0.0</v>
      </c>
      <c r="Q1041" s="84">
        <v>0.0</v>
      </c>
      <c r="R1041" s="84">
        <v>0.0</v>
      </c>
      <c r="S1041" s="84">
        <v>0.0</v>
      </c>
      <c r="T1041" s="84">
        <v>0.0</v>
      </c>
      <c r="U1041" s="84">
        <v>0.0</v>
      </c>
      <c r="V1041" s="84">
        <v>0.0</v>
      </c>
      <c r="W1041" s="84">
        <v>3.0</v>
      </c>
      <c r="X1041" s="84">
        <v>1.0</v>
      </c>
      <c r="Y1041" s="84">
        <v>0.0</v>
      </c>
      <c r="Z1041" s="84">
        <v>0.0</v>
      </c>
      <c r="AA1041" s="84">
        <v>0.0</v>
      </c>
      <c r="AB1041" s="84">
        <v>0.0</v>
      </c>
      <c r="AC1041" s="91">
        <v>0.0</v>
      </c>
      <c r="AD1041" s="84">
        <v>0.0</v>
      </c>
      <c r="AE1041" s="84">
        <v>0.0</v>
      </c>
      <c r="AF1041" s="84">
        <v>0.0</v>
      </c>
      <c r="AG1041" s="84">
        <v>0.0</v>
      </c>
      <c r="AH1041" s="84">
        <v>0.0</v>
      </c>
      <c r="AI1041" s="84">
        <v>0.0</v>
      </c>
      <c r="AJ1041" s="84">
        <v>0.0</v>
      </c>
      <c r="AK1041" s="84">
        <v>0.0</v>
      </c>
      <c r="AL1041" s="84">
        <v>0.0</v>
      </c>
      <c r="AM1041" s="84">
        <v>0.0</v>
      </c>
      <c r="AN1041" s="93">
        <f t="shared" si="1"/>
        <v>0</v>
      </c>
      <c r="AO1041" s="84">
        <f t="shared" si="2"/>
        <v>0</v>
      </c>
    </row>
    <row r="1042" ht="12.75" customHeight="1">
      <c r="A1042" s="84" t="s">
        <v>2996</v>
      </c>
      <c r="B1042" s="84">
        <v>4.0</v>
      </c>
      <c r="C1042" s="84">
        <v>0.0</v>
      </c>
      <c r="D1042" s="84">
        <v>0.0</v>
      </c>
      <c r="E1042" s="84">
        <v>0.0</v>
      </c>
      <c r="F1042" s="84">
        <v>0.0</v>
      </c>
      <c r="G1042" s="84">
        <v>0.0</v>
      </c>
      <c r="H1042" s="84">
        <v>0.0</v>
      </c>
      <c r="I1042" s="91">
        <v>0.0</v>
      </c>
      <c r="J1042" s="84">
        <v>0.0</v>
      </c>
      <c r="K1042" s="84">
        <v>0.0</v>
      </c>
      <c r="L1042" s="84">
        <v>0.0</v>
      </c>
      <c r="M1042" s="84">
        <v>0.0</v>
      </c>
      <c r="N1042" s="84">
        <v>0.0</v>
      </c>
      <c r="O1042" s="84">
        <v>0.0</v>
      </c>
      <c r="P1042" s="84">
        <v>0.0</v>
      </c>
      <c r="Q1042" s="84">
        <v>0.0</v>
      </c>
      <c r="R1042" s="84">
        <v>0.0</v>
      </c>
      <c r="S1042" s="84">
        <v>0.0</v>
      </c>
      <c r="T1042" s="84">
        <v>0.0</v>
      </c>
      <c r="U1042" s="84">
        <v>0.0</v>
      </c>
      <c r="V1042" s="84">
        <v>8.0</v>
      </c>
      <c r="W1042" s="84">
        <v>3.0</v>
      </c>
      <c r="X1042" s="84">
        <v>0.0</v>
      </c>
      <c r="Y1042" s="84">
        <v>0.0</v>
      </c>
      <c r="Z1042" s="84">
        <v>0.0</v>
      </c>
      <c r="AA1042" s="84">
        <v>0.0</v>
      </c>
      <c r="AB1042" s="84">
        <v>0.0</v>
      </c>
      <c r="AC1042" s="91">
        <v>0.0</v>
      </c>
      <c r="AD1042" s="84">
        <v>0.0</v>
      </c>
      <c r="AE1042" s="84">
        <v>0.0</v>
      </c>
      <c r="AF1042" s="84">
        <v>0.0</v>
      </c>
      <c r="AG1042" s="84">
        <v>0.0</v>
      </c>
      <c r="AH1042" s="84">
        <v>0.0</v>
      </c>
      <c r="AI1042" s="84">
        <v>0.0</v>
      </c>
      <c r="AJ1042" s="84">
        <v>0.0</v>
      </c>
      <c r="AK1042" s="84">
        <v>0.0</v>
      </c>
      <c r="AL1042" s="84">
        <v>0.0</v>
      </c>
      <c r="AM1042" s="84">
        <v>0.0</v>
      </c>
      <c r="AN1042" s="93">
        <f t="shared" si="1"/>
        <v>0</v>
      </c>
      <c r="AO1042" s="84">
        <f t="shared" si="2"/>
        <v>0</v>
      </c>
    </row>
    <row r="1043" ht="12.75" customHeight="1">
      <c r="A1043" s="84" t="s">
        <v>2740</v>
      </c>
      <c r="B1043" s="84">
        <v>2.0</v>
      </c>
      <c r="C1043" s="84">
        <v>1.0</v>
      </c>
      <c r="D1043" s="84">
        <v>0.0</v>
      </c>
      <c r="E1043" s="84">
        <v>0.0</v>
      </c>
      <c r="F1043" s="84">
        <v>0.0</v>
      </c>
      <c r="G1043" s="84">
        <v>0.0</v>
      </c>
      <c r="H1043" s="84">
        <v>0.0</v>
      </c>
      <c r="I1043" s="91">
        <v>0.0</v>
      </c>
      <c r="J1043" s="84">
        <v>0.0</v>
      </c>
      <c r="K1043" s="84">
        <v>0.0</v>
      </c>
      <c r="L1043" s="84">
        <v>0.0</v>
      </c>
      <c r="M1043" s="84">
        <v>0.0</v>
      </c>
      <c r="N1043" s="84">
        <v>0.0</v>
      </c>
      <c r="O1043" s="84">
        <v>0.0</v>
      </c>
      <c r="P1043" s="84">
        <v>0.0</v>
      </c>
      <c r="Q1043" s="84">
        <v>0.0</v>
      </c>
      <c r="R1043" s="84">
        <v>0.0</v>
      </c>
      <c r="S1043" s="84">
        <v>0.0</v>
      </c>
      <c r="T1043" s="84">
        <v>0.0</v>
      </c>
      <c r="U1043" s="84">
        <v>0.0</v>
      </c>
      <c r="V1043" s="84">
        <v>2.0</v>
      </c>
      <c r="W1043" s="84">
        <v>2.0</v>
      </c>
      <c r="X1043" s="84">
        <v>0.0</v>
      </c>
      <c r="Y1043" s="84">
        <v>0.0</v>
      </c>
      <c r="Z1043" s="84">
        <v>0.0</v>
      </c>
      <c r="AA1043" s="84">
        <v>0.0</v>
      </c>
      <c r="AB1043" s="84">
        <v>0.0</v>
      </c>
      <c r="AC1043" s="91">
        <v>0.0</v>
      </c>
      <c r="AD1043" s="84">
        <v>0.0</v>
      </c>
      <c r="AE1043" s="84">
        <v>0.0</v>
      </c>
      <c r="AF1043" s="84">
        <v>0.0</v>
      </c>
      <c r="AG1043" s="84">
        <v>0.0</v>
      </c>
      <c r="AH1043" s="84">
        <v>0.0</v>
      </c>
      <c r="AI1043" s="84">
        <v>0.0</v>
      </c>
      <c r="AJ1043" s="84">
        <v>0.0</v>
      </c>
      <c r="AK1043" s="84">
        <v>0.0</v>
      </c>
      <c r="AL1043" s="84">
        <v>0.0</v>
      </c>
      <c r="AM1043" s="84">
        <v>0.0</v>
      </c>
      <c r="AN1043" s="93">
        <f t="shared" si="1"/>
        <v>0</v>
      </c>
      <c r="AO1043" s="84">
        <f t="shared" si="2"/>
        <v>0</v>
      </c>
    </row>
    <row r="1044" ht="12.75" customHeight="1">
      <c r="A1044" s="84" t="s">
        <v>2906</v>
      </c>
      <c r="B1044" s="84">
        <v>1.0</v>
      </c>
      <c r="C1044" s="84">
        <v>0.0</v>
      </c>
      <c r="D1044" s="84">
        <v>0.0</v>
      </c>
      <c r="E1044" s="84">
        <v>0.0</v>
      </c>
      <c r="F1044" s="84">
        <v>0.0</v>
      </c>
      <c r="G1044" s="84">
        <v>0.0</v>
      </c>
      <c r="H1044" s="84">
        <v>0.0</v>
      </c>
      <c r="I1044" s="91">
        <v>0.0</v>
      </c>
      <c r="J1044" s="84">
        <v>0.0</v>
      </c>
      <c r="K1044" s="84">
        <v>0.0</v>
      </c>
      <c r="L1044" s="84">
        <v>0.0</v>
      </c>
      <c r="M1044" s="84">
        <v>0.0</v>
      </c>
      <c r="N1044" s="84">
        <v>0.0</v>
      </c>
      <c r="O1044" s="84">
        <v>0.0</v>
      </c>
      <c r="P1044" s="84">
        <v>0.0</v>
      </c>
      <c r="Q1044" s="84">
        <v>0.0</v>
      </c>
      <c r="R1044" s="84">
        <v>0.0</v>
      </c>
      <c r="S1044" s="84">
        <v>0.0</v>
      </c>
      <c r="T1044" s="84">
        <v>0.0</v>
      </c>
      <c r="U1044" s="84">
        <v>0.0</v>
      </c>
      <c r="V1044" s="84">
        <v>1.0</v>
      </c>
      <c r="W1044" s="84">
        <v>0.0</v>
      </c>
      <c r="X1044" s="84">
        <v>0.0</v>
      </c>
      <c r="Y1044" s="84">
        <v>0.0</v>
      </c>
      <c r="Z1044" s="84">
        <v>0.0</v>
      </c>
      <c r="AA1044" s="84">
        <v>0.0</v>
      </c>
      <c r="AB1044" s="84">
        <v>0.0</v>
      </c>
      <c r="AC1044" s="91">
        <v>0.0</v>
      </c>
      <c r="AD1044" s="84">
        <v>0.0</v>
      </c>
      <c r="AE1044" s="84">
        <v>0.0</v>
      </c>
      <c r="AF1044" s="84">
        <v>0.0</v>
      </c>
      <c r="AG1044" s="84">
        <v>0.0</v>
      </c>
      <c r="AH1044" s="84">
        <v>0.0</v>
      </c>
      <c r="AI1044" s="84">
        <v>0.0</v>
      </c>
      <c r="AJ1044" s="84">
        <v>0.0</v>
      </c>
      <c r="AK1044" s="84">
        <v>0.0</v>
      </c>
      <c r="AL1044" s="84">
        <v>0.0</v>
      </c>
      <c r="AM1044" s="84">
        <v>0.0</v>
      </c>
      <c r="AN1044" s="93">
        <f t="shared" si="1"/>
        <v>0</v>
      </c>
      <c r="AO1044" s="84">
        <f t="shared" si="2"/>
        <v>0</v>
      </c>
    </row>
    <row r="1045" ht="12.75" customHeight="1">
      <c r="A1045" s="84" t="s">
        <v>3243</v>
      </c>
      <c r="B1045" s="84">
        <v>0.0</v>
      </c>
      <c r="C1045" s="84">
        <v>4.0</v>
      </c>
      <c r="D1045" s="84">
        <v>2.0</v>
      </c>
      <c r="E1045" s="84">
        <v>0.0</v>
      </c>
      <c r="F1045" s="84">
        <v>0.0</v>
      </c>
      <c r="G1045" s="84">
        <v>0.0</v>
      </c>
      <c r="H1045" s="84">
        <v>0.0</v>
      </c>
      <c r="I1045" s="91">
        <v>0.0</v>
      </c>
      <c r="J1045" s="84">
        <v>0.0</v>
      </c>
      <c r="K1045" s="84">
        <v>0.0</v>
      </c>
      <c r="L1045" s="84">
        <v>0.0</v>
      </c>
      <c r="M1045" s="84">
        <v>0.0</v>
      </c>
      <c r="N1045" s="84">
        <v>0.0</v>
      </c>
      <c r="O1045" s="84">
        <v>0.0</v>
      </c>
      <c r="P1045" s="84">
        <v>0.0</v>
      </c>
      <c r="Q1045" s="84">
        <v>0.0</v>
      </c>
      <c r="R1045" s="84">
        <v>0.0</v>
      </c>
      <c r="S1045" s="84">
        <v>0.0</v>
      </c>
      <c r="T1045" s="84">
        <v>0.0</v>
      </c>
      <c r="U1045" s="84">
        <v>0.0</v>
      </c>
      <c r="V1045" s="84">
        <v>0.0</v>
      </c>
      <c r="W1045" s="84">
        <v>3.0</v>
      </c>
      <c r="X1045" s="84">
        <v>3.0</v>
      </c>
      <c r="Y1045" s="84">
        <v>0.0</v>
      </c>
      <c r="Z1045" s="84">
        <v>0.0</v>
      </c>
      <c r="AA1045" s="84">
        <v>0.0</v>
      </c>
      <c r="AB1045" s="84">
        <v>0.0</v>
      </c>
      <c r="AC1045" s="91">
        <v>0.0</v>
      </c>
      <c r="AD1045" s="84">
        <v>0.0</v>
      </c>
      <c r="AE1045" s="84">
        <v>0.0</v>
      </c>
      <c r="AF1045" s="84">
        <v>0.0</v>
      </c>
      <c r="AG1045" s="84">
        <v>0.0</v>
      </c>
      <c r="AH1045" s="84">
        <v>0.0</v>
      </c>
      <c r="AI1045" s="84">
        <v>0.0</v>
      </c>
      <c r="AJ1045" s="84">
        <v>0.0</v>
      </c>
      <c r="AK1045" s="84">
        <v>0.0</v>
      </c>
      <c r="AL1045" s="84">
        <v>0.0</v>
      </c>
      <c r="AM1045" s="84">
        <v>0.0</v>
      </c>
      <c r="AN1045" s="93">
        <f t="shared" si="1"/>
        <v>0</v>
      </c>
      <c r="AO1045" s="84">
        <f t="shared" si="2"/>
        <v>0</v>
      </c>
    </row>
    <row r="1046" ht="12.75" customHeight="1">
      <c r="A1046" s="84" t="s">
        <v>3796</v>
      </c>
      <c r="B1046" s="84">
        <v>0.0</v>
      </c>
      <c r="C1046" s="84">
        <v>0.0</v>
      </c>
      <c r="D1046" s="84">
        <v>0.0</v>
      </c>
      <c r="E1046" s="84">
        <v>0.0</v>
      </c>
      <c r="F1046" s="84">
        <v>0.0</v>
      </c>
      <c r="G1046" s="84">
        <v>4.0</v>
      </c>
      <c r="H1046" s="84">
        <v>1.0</v>
      </c>
      <c r="I1046" s="91">
        <v>0.0</v>
      </c>
      <c r="J1046" s="84">
        <v>0.0</v>
      </c>
      <c r="K1046" s="84">
        <v>0.0</v>
      </c>
      <c r="L1046" s="84">
        <v>0.0</v>
      </c>
      <c r="M1046" s="84">
        <v>0.0</v>
      </c>
      <c r="N1046" s="84">
        <v>0.0</v>
      </c>
      <c r="O1046" s="84">
        <v>0.0</v>
      </c>
      <c r="P1046" s="84">
        <v>0.0</v>
      </c>
      <c r="Q1046" s="84">
        <v>0.0</v>
      </c>
      <c r="R1046" s="84">
        <v>0.0</v>
      </c>
      <c r="S1046" s="84">
        <v>0.0</v>
      </c>
      <c r="T1046" s="84">
        <v>0.0</v>
      </c>
      <c r="U1046" s="84">
        <v>0.0</v>
      </c>
      <c r="V1046" s="84">
        <v>0.0</v>
      </c>
      <c r="W1046" s="84">
        <v>0.0</v>
      </c>
      <c r="X1046" s="84">
        <v>0.0</v>
      </c>
      <c r="Y1046" s="84">
        <v>0.0</v>
      </c>
      <c r="Z1046" s="84">
        <v>0.0</v>
      </c>
      <c r="AA1046" s="84">
        <v>6.0</v>
      </c>
      <c r="AB1046" s="84">
        <v>1.0</v>
      </c>
      <c r="AC1046" s="91">
        <v>0.0</v>
      </c>
      <c r="AD1046" s="84">
        <v>0.0</v>
      </c>
      <c r="AE1046" s="84">
        <v>0.0</v>
      </c>
      <c r="AF1046" s="84">
        <v>0.0</v>
      </c>
      <c r="AG1046" s="84">
        <v>0.0</v>
      </c>
      <c r="AH1046" s="84">
        <v>0.0</v>
      </c>
      <c r="AI1046" s="84">
        <v>0.0</v>
      </c>
      <c r="AJ1046" s="84">
        <v>0.0</v>
      </c>
      <c r="AK1046" s="84">
        <v>0.0</v>
      </c>
      <c r="AL1046" s="84">
        <v>0.0</v>
      </c>
      <c r="AM1046" s="84">
        <v>0.0</v>
      </c>
      <c r="AN1046" s="93">
        <f t="shared" si="1"/>
        <v>0</v>
      </c>
      <c r="AO1046" s="84">
        <f t="shared" si="2"/>
        <v>0</v>
      </c>
    </row>
    <row r="1047" ht="12.75" customHeight="1">
      <c r="A1047" s="84" t="s">
        <v>3890</v>
      </c>
      <c r="B1047" s="84">
        <v>0.0</v>
      </c>
      <c r="C1047" s="84">
        <v>0.0</v>
      </c>
      <c r="D1047" s="84">
        <v>0.0</v>
      </c>
      <c r="E1047" s="84">
        <v>0.0</v>
      </c>
      <c r="F1047" s="84">
        <v>0.0</v>
      </c>
      <c r="G1047" s="84">
        <v>0.0</v>
      </c>
      <c r="H1047" s="84">
        <v>4.0</v>
      </c>
      <c r="I1047" s="91">
        <v>0.0</v>
      </c>
      <c r="J1047" s="84">
        <v>0.0</v>
      </c>
      <c r="K1047" s="84">
        <v>0.0</v>
      </c>
      <c r="L1047" s="84">
        <v>0.0</v>
      </c>
      <c r="M1047" s="84">
        <v>0.0</v>
      </c>
      <c r="N1047" s="84">
        <v>0.0</v>
      </c>
      <c r="O1047" s="84">
        <v>0.0</v>
      </c>
      <c r="P1047" s="84">
        <v>0.0</v>
      </c>
      <c r="Q1047" s="84">
        <v>0.0</v>
      </c>
      <c r="R1047" s="84">
        <v>0.0</v>
      </c>
      <c r="S1047" s="84">
        <v>0.0</v>
      </c>
      <c r="T1047" s="84">
        <v>0.0</v>
      </c>
      <c r="U1047" s="84">
        <v>0.0</v>
      </c>
      <c r="V1047" s="84">
        <v>0.0</v>
      </c>
      <c r="W1047" s="84">
        <v>0.0</v>
      </c>
      <c r="X1047" s="84">
        <v>0.0</v>
      </c>
      <c r="Y1047" s="84">
        <v>0.0</v>
      </c>
      <c r="Z1047" s="84">
        <v>0.0</v>
      </c>
      <c r="AA1047" s="84">
        <v>0.0</v>
      </c>
      <c r="AB1047" s="84">
        <v>6.0</v>
      </c>
      <c r="AC1047" s="91">
        <v>0.0</v>
      </c>
      <c r="AD1047" s="84">
        <v>0.0</v>
      </c>
      <c r="AE1047" s="84">
        <v>0.0</v>
      </c>
      <c r="AF1047" s="84">
        <v>0.0</v>
      </c>
      <c r="AG1047" s="84">
        <v>0.0</v>
      </c>
      <c r="AH1047" s="84">
        <v>0.0</v>
      </c>
      <c r="AI1047" s="84">
        <v>0.0</v>
      </c>
      <c r="AJ1047" s="84">
        <v>0.0</v>
      </c>
      <c r="AK1047" s="84">
        <v>0.0</v>
      </c>
      <c r="AL1047" s="84">
        <v>0.0</v>
      </c>
      <c r="AM1047" s="84">
        <v>0.0</v>
      </c>
      <c r="AN1047" s="93">
        <f t="shared" si="1"/>
        <v>0</v>
      </c>
      <c r="AO1047" s="84">
        <f t="shared" si="2"/>
        <v>0</v>
      </c>
    </row>
    <row r="1048" ht="12.75" customHeight="1">
      <c r="A1048" s="84" t="s">
        <v>3292</v>
      </c>
      <c r="B1048" s="84">
        <v>0.0</v>
      </c>
      <c r="C1048" s="84">
        <v>0.0</v>
      </c>
      <c r="D1048" s="84">
        <v>6.0</v>
      </c>
      <c r="E1048" s="84">
        <v>0.0</v>
      </c>
      <c r="F1048" s="84">
        <v>0.0</v>
      </c>
      <c r="G1048" s="84">
        <v>0.0</v>
      </c>
      <c r="H1048" s="84">
        <v>0.0</v>
      </c>
      <c r="I1048" s="91">
        <v>0.0</v>
      </c>
      <c r="J1048" s="84">
        <v>0.0</v>
      </c>
      <c r="K1048" s="84">
        <v>0.0</v>
      </c>
      <c r="L1048" s="84">
        <v>0.0</v>
      </c>
      <c r="M1048" s="84">
        <v>0.0</v>
      </c>
      <c r="N1048" s="84">
        <v>0.0</v>
      </c>
      <c r="O1048" s="84">
        <v>0.0</v>
      </c>
      <c r="P1048" s="84">
        <v>0.0</v>
      </c>
      <c r="Q1048" s="84">
        <v>0.0</v>
      </c>
      <c r="R1048" s="84">
        <v>0.0</v>
      </c>
      <c r="S1048" s="84">
        <v>0.0</v>
      </c>
      <c r="T1048" s="84">
        <v>0.0</v>
      </c>
      <c r="U1048" s="84">
        <v>0.0</v>
      </c>
      <c r="V1048" s="84">
        <v>0.0</v>
      </c>
      <c r="W1048" s="84">
        <v>0.0</v>
      </c>
      <c r="X1048" s="84">
        <v>6.0</v>
      </c>
      <c r="Y1048" s="84">
        <v>1.0</v>
      </c>
      <c r="Z1048" s="84">
        <v>0.0</v>
      </c>
      <c r="AA1048" s="84">
        <v>0.0</v>
      </c>
      <c r="AB1048" s="84">
        <v>0.0</v>
      </c>
      <c r="AC1048" s="91">
        <v>0.0</v>
      </c>
      <c r="AD1048" s="84">
        <v>0.0</v>
      </c>
      <c r="AE1048" s="84">
        <v>0.0</v>
      </c>
      <c r="AF1048" s="84">
        <v>0.0</v>
      </c>
      <c r="AG1048" s="84">
        <v>0.0</v>
      </c>
      <c r="AH1048" s="84">
        <v>0.0</v>
      </c>
      <c r="AI1048" s="84">
        <v>0.0</v>
      </c>
      <c r="AJ1048" s="84">
        <v>0.0</v>
      </c>
      <c r="AK1048" s="84">
        <v>0.0</v>
      </c>
      <c r="AL1048" s="84">
        <v>0.0</v>
      </c>
      <c r="AM1048" s="84">
        <v>0.0</v>
      </c>
      <c r="AN1048" s="93">
        <f t="shared" si="1"/>
        <v>0</v>
      </c>
      <c r="AO1048" s="84">
        <f t="shared" si="2"/>
        <v>0</v>
      </c>
    </row>
    <row r="1049" ht="12.75" customHeight="1">
      <c r="A1049" s="84" t="s">
        <v>4566</v>
      </c>
      <c r="B1049" s="84">
        <v>0.0</v>
      </c>
      <c r="C1049" s="84">
        <v>0.0</v>
      </c>
      <c r="D1049" s="84">
        <v>0.0</v>
      </c>
      <c r="E1049" s="84">
        <v>0.0</v>
      </c>
      <c r="F1049" s="84">
        <v>0.0</v>
      </c>
      <c r="G1049" s="84">
        <v>0.0</v>
      </c>
      <c r="H1049" s="84">
        <v>0.0</v>
      </c>
      <c r="I1049" s="91">
        <v>0.0</v>
      </c>
      <c r="J1049" s="84">
        <v>0.0</v>
      </c>
      <c r="K1049" s="84">
        <v>0.0</v>
      </c>
      <c r="L1049" s="84">
        <v>0.0</v>
      </c>
      <c r="M1049" s="84">
        <v>0.0</v>
      </c>
      <c r="N1049" s="84">
        <v>0.0</v>
      </c>
      <c r="O1049" s="84">
        <v>0.0</v>
      </c>
      <c r="P1049" s="84">
        <v>0.0</v>
      </c>
      <c r="Q1049" s="84">
        <v>0.0</v>
      </c>
      <c r="R1049" s="84">
        <v>0.0</v>
      </c>
      <c r="S1049" s="84">
        <v>0.0</v>
      </c>
      <c r="T1049" s="84">
        <v>0.0</v>
      </c>
      <c r="U1049" s="84">
        <v>0.0</v>
      </c>
      <c r="V1049" s="84">
        <v>0.0</v>
      </c>
      <c r="W1049" s="84">
        <v>0.0</v>
      </c>
      <c r="X1049" s="84">
        <v>0.0</v>
      </c>
      <c r="Y1049" s="84">
        <v>0.0</v>
      </c>
      <c r="Z1049" s="84">
        <v>0.0</v>
      </c>
      <c r="AA1049" s="84">
        <v>0.0</v>
      </c>
      <c r="AB1049" s="84">
        <v>0.0</v>
      </c>
      <c r="AC1049" s="91">
        <v>0.0</v>
      </c>
      <c r="AD1049" s="84">
        <v>0.0</v>
      </c>
      <c r="AE1049" s="84">
        <v>0.0</v>
      </c>
      <c r="AF1049" s="84">
        <v>0.0</v>
      </c>
      <c r="AG1049" s="84">
        <v>0.0</v>
      </c>
      <c r="AH1049" s="84">
        <v>1.0</v>
      </c>
      <c r="AI1049" s="84">
        <v>0.0</v>
      </c>
      <c r="AJ1049" s="84">
        <v>0.0</v>
      </c>
      <c r="AK1049" s="84">
        <v>0.0</v>
      </c>
      <c r="AL1049" s="84">
        <v>0.0</v>
      </c>
      <c r="AM1049" s="84">
        <v>0.0</v>
      </c>
      <c r="AN1049" s="93">
        <f t="shared" si="1"/>
        <v>0</v>
      </c>
      <c r="AO1049" s="84">
        <f t="shared" si="2"/>
        <v>1</v>
      </c>
    </row>
    <row r="1050" ht="12.75" customHeight="1">
      <c r="A1050" s="84" t="s">
        <v>4661</v>
      </c>
      <c r="B1050" s="84">
        <v>0.0</v>
      </c>
      <c r="C1050" s="84">
        <v>0.0</v>
      </c>
      <c r="D1050" s="84">
        <v>0.0</v>
      </c>
      <c r="E1050" s="84">
        <v>0.0</v>
      </c>
      <c r="F1050" s="84">
        <v>0.0</v>
      </c>
      <c r="G1050" s="84">
        <v>0.0</v>
      </c>
      <c r="H1050" s="84">
        <v>0.0</v>
      </c>
      <c r="I1050" s="91">
        <v>0.0</v>
      </c>
      <c r="J1050" s="84">
        <v>0.0</v>
      </c>
      <c r="K1050" s="84">
        <v>0.0</v>
      </c>
      <c r="L1050" s="84">
        <v>0.0</v>
      </c>
      <c r="M1050" s="84">
        <v>0.0</v>
      </c>
      <c r="N1050" s="84">
        <v>0.0</v>
      </c>
      <c r="O1050" s="84">
        <v>0.0</v>
      </c>
      <c r="P1050" s="84">
        <v>0.0</v>
      </c>
      <c r="Q1050" s="84">
        <v>0.0</v>
      </c>
      <c r="R1050" s="84">
        <v>0.0</v>
      </c>
      <c r="S1050" s="84">
        <v>0.0</v>
      </c>
      <c r="T1050" s="84">
        <v>0.0</v>
      </c>
      <c r="U1050" s="84">
        <v>0.0</v>
      </c>
      <c r="V1050" s="84">
        <v>0.0</v>
      </c>
      <c r="W1050" s="84">
        <v>0.0</v>
      </c>
      <c r="X1050" s="84">
        <v>0.0</v>
      </c>
      <c r="Y1050" s="84">
        <v>0.0</v>
      </c>
      <c r="Z1050" s="84">
        <v>0.0</v>
      </c>
      <c r="AA1050" s="84">
        <v>0.0</v>
      </c>
      <c r="AB1050" s="84">
        <v>0.0</v>
      </c>
      <c r="AC1050" s="91">
        <v>0.0</v>
      </c>
      <c r="AD1050" s="84">
        <v>0.0</v>
      </c>
      <c r="AE1050" s="84">
        <v>0.0</v>
      </c>
      <c r="AF1050" s="84">
        <v>0.0</v>
      </c>
      <c r="AG1050" s="84">
        <v>0.0</v>
      </c>
      <c r="AH1050" s="84">
        <v>0.0</v>
      </c>
      <c r="AI1050" s="84">
        <v>0.0</v>
      </c>
      <c r="AJ1050" s="84">
        <v>0.0</v>
      </c>
      <c r="AK1050" s="84">
        <v>0.0</v>
      </c>
      <c r="AL1050" s="84">
        <v>1.0</v>
      </c>
      <c r="AM1050" s="84">
        <v>0.0</v>
      </c>
      <c r="AN1050" s="93">
        <f t="shared" si="1"/>
        <v>0</v>
      </c>
      <c r="AO1050" s="84">
        <f t="shared" si="2"/>
        <v>1</v>
      </c>
    </row>
    <row r="1051" ht="12.75" customHeight="1">
      <c r="A1051" s="84" t="s">
        <v>3829</v>
      </c>
      <c r="B1051" s="84">
        <v>0.0</v>
      </c>
      <c r="C1051" s="84">
        <v>0.0</v>
      </c>
      <c r="D1051" s="84">
        <v>0.0</v>
      </c>
      <c r="E1051" s="84">
        <v>0.0</v>
      </c>
      <c r="F1051" s="84">
        <v>0.0</v>
      </c>
      <c r="G1051" s="84">
        <v>6.0</v>
      </c>
      <c r="H1051" s="84">
        <v>1.0</v>
      </c>
      <c r="I1051" s="91">
        <v>0.0</v>
      </c>
      <c r="J1051" s="84">
        <v>0.0</v>
      </c>
      <c r="K1051" s="84">
        <v>0.0</v>
      </c>
      <c r="L1051" s="84">
        <v>0.0</v>
      </c>
      <c r="M1051" s="84">
        <v>0.0</v>
      </c>
      <c r="N1051" s="84">
        <v>0.0</v>
      </c>
      <c r="O1051" s="84">
        <v>0.0</v>
      </c>
      <c r="P1051" s="84">
        <v>0.0</v>
      </c>
      <c r="Q1051" s="84">
        <v>0.0</v>
      </c>
      <c r="R1051" s="84">
        <v>0.0</v>
      </c>
      <c r="S1051" s="84">
        <v>0.0</v>
      </c>
      <c r="T1051" s="84">
        <v>0.0</v>
      </c>
      <c r="U1051" s="84">
        <v>0.0</v>
      </c>
      <c r="V1051" s="84">
        <v>0.0</v>
      </c>
      <c r="W1051" s="84">
        <v>0.0</v>
      </c>
      <c r="X1051" s="84">
        <v>0.0</v>
      </c>
      <c r="Y1051" s="84">
        <v>0.0</v>
      </c>
      <c r="Z1051" s="84">
        <v>0.0</v>
      </c>
      <c r="AA1051" s="84">
        <v>6.0</v>
      </c>
      <c r="AB1051" s="84">
        <v>1.0</v>
      </c>
      <c r="AC1051" s="91">
        <v>0.0</v>
      </c>
      <c r="AD1051" s="84">
        <v>0.0</v>
      </c>
      <c r="AE1051" s="84">
        <v>0.0</v>
      </c>
      <c r="AF1051" s="84">
        <v>0.0</v>
      </c>
      <c r="AG1051" s="84">
        <v>0.0</v>
      </c>
      <c r="AH1051" s="84">
        <v>0.0</v>
      </c>
      <c r="AI1051" s="84">
        <v>0.0</v>
      </c>
      <c r="AJ1051" s="84">
        <v>0.0</v>
      </c>
      <c r="AK1051" s="84">
        <v>0.0</v>
      </c>
      <c r="AL1051" s="84">
        <v>0.0</v>
      </c>
      <c r="AM1051" s="84">
        <v>0.0</v>
      </c>
      <c r="AN1051" s="93">
        <f t="shared" si="1"/>
        <v>0</v>
      </c>
      <c r="AO1051" s="84">
        <f t="shared" si="2"/>
        <v>0</v>
      </c>
    </row>
    <row r="1052" ht="12.75" customHeight="1">
      <c r="A1052" s="84" t="s">
        <v>3204</v>
      </c>
      <c r="B1052" s="84">
        <v>0.0</v>
      </c>
      <c r="C1052" s="84">
        <v>4.0</v>
      </c>
      <c r="D1052" s="84">
        <v>1.0</v>
      </c>
      <c r="E1052" s="84">
        <v>0.0</v>
      </c>
      <c r="F1052" s="84">
        <v>0.0</v>
      </c>
      <c r="G1052" s="84">
        <v>0.0</v>
      </c>
      <c r="H1052" s="84">
        <v>0.0</v>
      </c>
      <c r="I1052" s="91">
        <v>0.0</v>
      </c>
      <c r="J1052" s="84">
        <v>0.0</v>
      </c>
      <c r="K1052" s="84">
        <v>0.0</v>
      </c>
      <c r="L1052" s="84">
        <v>0.0</v>
      </c>
      <c r="M1052" s="84">
        <v>0.0</v>
      </c>
      <c r="N1052" s="84">
        <v>0.0</v>
      </c>
      <c r="O1052" s="84">
        <v>0.0</v>
      </c>
      <c r="P1052" s="84">
        <v>0.0</v>
      </c>
      <c r="Q1052" s="84">
        <v>0.0</v>
      </c>
      <c r="R1052" s="84">
        <v>0.0</v>
      </c>
      <c r="S1052" s="84">
        <v>0.0</v>
      </c>
      <c r="T1052" s="84">
        <v>0.0</v>
      </c>
      <c r="U1052" s="84">
        <v>0.0</v>
      </c>
      <c r="V1052" s="84">
        <v>0.0</v>
      </c>
      <c r="W1052" s="84">
        <v>3.0</v>
      </c>
      <c r="X1052" s="84">
        <v>2.0</v>
      </c>
      <c r="Y1052" s="84">
        <v>0.0</v>
      </c>
      <c r="Z1052" s="84">
        <v>0.0</v>
      </c>
      <c r="AA1052" s="84">
        <v>0.0</v>
      </c>
      <c r="AB1052" s="84">
        <v>0.0</v>
      </c>
      <c r="AC1052" s="91">
        <v>0.0</v>
      </c>
      <c r="AD1052" s="84">
        <v>0.0</v>
      </c>
      <c r="AE1052" s="84">
        <v>0.0</v>
      </c>
      <c r="AF1052" s="84">
        <v>0.0</v>
      </c>
      <c r="AG1052" s="84">
        <v>0.0</v>
      </c>
      <c r="AH1052" s="84">
        <v>0.0</v>
      </c>
      <c r="AI1052" s="84">
        <v>0.0</v>
      </c>
      <c r="AJ1052" s="84">
        <v>0.0</v>
      </c>
      <c r="AK1052" s="84">
        <v>0.0</v>
      </c>
      <c r="AL1052" s="84">
        <v>0.0</v>
      </c>
      <c r="AM1052" s="84">
        <v>0.0</v>
      </c>
      <c r="AN1052" s="93">
        <f t="shared" si="1"/>
        <v>0</v>
      </c>
      <c r="AO1052" s="84">
        <f t="shared" si="2"/>
        <v>0</v>
      </c>
    </row>
    <row r="1053" ht="12.75" customHeight="1">
      <c r="A1053" s="84" t="s">
        <v>3720</v>
      </c>
      <c r="B1053" s="84">
        <v>0.0</v>
      </c>
      <c r="C1053" s="84">
        <v>0.0</v>
      </c>
      <c r="D1053" s="84">
        <v>0.0</v>
      </c>
      <c r="E1053" s="84">
        <v>0.0</v>
      </c>
      <c r="F1053" s="84">
        <v>4.0</v>
      </c>
      <c r="G1053" s="84">
        <v>2.0</v>
      </c>
      <c r="H1053" s="84">
        <v>0.0</v>
      </c>
      <c r="I1053" s="91">
        <v>0.0</v>
      </c>
      <c r="J1053" s="84">
        <v>0.0</v>
      </c>
      <c r="K1053" s="84">
        <v>0.0</v>
      </c>
      <c r="L1053" s="84">
        <v>0.0</v>
      </c>
      <c r="M1053" s="84">
        <v>0.0</v>
      </c>
      <c r="N1053" s="84">
        <v>0.0</v>
      </c>
      <c r="O1053" s="84">
        <v>0.0</v>
      </c>
      <c r="P1053" s="84">
        <v>0.0</v>
      </c>
      <c r="Q1053" s="84">
        <v>0.0</v>
      </c>
      <c r="R1053" s="84">
        <v>0.0</v>
      </c>
      <c r="S1053" s="84">
        <v>0.0</v>
      </c>
      <c r="T1053" s="84">
        <v>0.0</v>
      </c>
      <c r="U1053" s="84">
        <v>0.0</v>
      </c>
      <c r="V1053" s="84">
        <v>0.0</v>
      </c>
      <c r="W1053" s="84">
        <v>0.0</v>
      </c>
      <c r="X1053" s="84">
        <v>0.0</v>
      </c>
      <c r="Y1053" s="84">
        <v>0.0</v>
      </c>
      <c r="Z1053" s="84">
        <v>7.0</v>
      </c>
      <c r="AA1053" s="84">
        <v>1.0</v>
      </c>
      <c r="AB1053" s="84">
        <v>0.0</v>
      </c>
      <c r="AC1053" s="91">
        <v>0.0</v>
      </c>
      <c r="AD1053" s="84">
        <v>0.0</v>
      </c>
      <c r="AE1053" s="84">
        <v>0.0</v>
      </c>
      <c r="AF1053" s="84">
        <v>0.0</v>
      </c>
      <c r="AG1053" s="84">
        <v>0.0</v>
      </c>
      <c r="AH1053" s="84">
        <v>0.0</v>
      </c>
      <c r="AI1053" s="84">
        <v>0.0</v>
      </c>
      <c r="AJ1053" s="84">
        <v>0.0</v>
      </c>
      <c r="AK1053" s="84">
        <v>0.0</v>
      </c>
      <c r="AL1053" s="84">
        <v>0.0</v>
      </c>
      <c r="AM1053" s="84">
        <v>0.0</v>
      </c>
      <c r="AN1053" s="93">
        <f t="shared" si="1"/>
        <v>0</v>
      </c>
      <c r="AO1053" s="84">
        <f t="shared" si="2"/>
        <v>0</v>
      </c>
    </row>
    <row r="1054" ht="12.75" customHeight="1">
      <c r="A1054" s="84" t="s">
        <v>3660</v>
      </c>
      <c r="B1054" s="84">
        <v>0.0</v>
      </c>
      <c r="C1054" s="84">
        <v>0.0</v>
      </c>
      <c r="D1054" s="84">
        <v>0.0</v>
      </c>
      <c r="E1054" s="84">
        <v>0.0</v>
      </c>
      <c r="F1054" s="84">
        <v>5.0</v>
      </c>
      <c r="G1054" s="84">
        <v>1.0</v>
      </c>
      <c r="H1054" s="84">
        <v>0.0</v>
      </c>
      <c r="I1054" s="91">
        <v>0.0</v>
      </c>
      <c r="J1054" s="84">
        <v>0.0</v>
      </c>
      <c r="K1054" s="84">
        <v>0.0</v>
      </c>
      <c r="L1054" s="84">
        <v>0.0</v>
      </c>
      <c r="M1054" s="84">
        <v>0.0</v>
      </c>
      <c r="N1054" s="84">
        <v>0.0</v>
      </c>
      <c r="O1054" s="84">
        <v>0.0</v>
      </c>
      <c r="P1054" s="84">
        <v>0.0</v>
      </c>
      <c r="Q1054" s="84">
        <v>0.0</v>
      </c>
      <c r="R1054" s="84">
        <v>0.0</v>
      </c>
      <c r="S1054" s="84">
        <v>0.0</v>
      </c>
      <c r="T1054" s="84">
        <v>0.0</v>
      </c>
      <c r="U1054" s="84">
        <v>0.0</v>
      </c>
      <c r="V1054" s="84">
        <v>0.0</v>
      </c>
      <c r="W1054" s="84">
        <v>0.0</v>
      </c>
      <c r="X1054" s="84">
        <v>0.0</v>
      </c>
      <c r="Y1054" s="84">
        <v>0.0</v>
      </c>
      <c r="Z1054" s="84">
        <v>6.0</v>
      </c>
      <c r="AA1054" s="84">
        <v>2.0</v>
      </c>
      <c r="AB1054" s="84">
        <v>0.0</v>
      </c>
      <c r="AC1054" s="91">
        <v>0.0</v>
      </c>
      <c r="AD1054" s="84">
        <v>0.0</v>
      </c>
      <c r="AE1054" s="84">
        <v>0.0</v>
      </c>
      <c r="AF1054" s="84">
        <v>0.0</v>
      </c>
      <c r="AG1054" s="84">
        <v>0.0</v>
      </c>
      <c r="AH1054" s="84">
        <v>0.0</v>
      </c>
      <c r="AI1054" s="84">
        <v>0.0</v>
      </c>
      <c r="AJ1054" s="84">
        <v>0.0</v>
      </c>
      <c r="AK1054" s="84">
        <v>0.0</v>
      </c>
      <c r="AL1054" s="84">
        <v>0.0</v>
      </c>
      <c r="AM1054" s="84">
        <v>0.0</v>
      </c>
      <c r="AN1054" s="93">
        <f t="shared" si="1"/>
        <v>0</v>
      </c>
      <c r="AO1054" s="84">
        <f t="shared" si="2"/>
        <v>0</v>
      </c>
    </row>
    <row r="1055" ht="12.75" customHeight="1">
      <c r="A1055" s="84" t="s">
        <v>3375</v>
      </c>
      <c r="B1055" s="84">
        <v>0.0</v>
      </c>
      <c r="C1055" s="84">
        <v>0.0</v>
      </c>
      <c r="D1055" s="84">
        <v>5.0</v>
      </c>
      <c r="E1055" s="84">
        <v>10.0</v>
      </c>
      <c r="F1055" s="84">
        <v>0.0</v>
      </c>
      <c r="G1055" s="84">
        <v>0.0</v>
      </c>
      <c r="H1055" s="84">
        <v>0.0</v>
      </c>
      <c r="I1055" s="91">
        <v>0.0</v>
      </c>
      <c r="J1055" s="84">
        <v>0.0</v>
      </c>
      <c r="K1055" s="84">
        <v>0.0</v>
      </c>
      <c r="L1055" s="84">
        <v>0.0</v>
      </c>
      <c r="M1055" s="84">
        <v>0.0</v>
      </c>
      <c r="N1055" s="84">
        <v>0.0</v>
      </c>
      <c r="O1055" s="84">
        <v>0.0</v>
      </c>
      <c r="P1055" s="84">
        <v>0.0</v>
      </c>
      <c r="Q1055" s="84">
        <v>0.0</v>
      </c>
      <c r="R1055" s="84">
        <v>0.0</v>
      </c>
      <c r="S1055" s="84">
        <v>0.0</v>
      </c>
      <c r="T1055" s="84">
        <v>0.0</v>
      </c>
      <c r="U1055" s="84">
        <v>0.0</v>
      </c>
      <c r="V1055" s="84">
        <v>0.0</v>
      </c>
      <c r="W1055" s="84">
        <v>0.0</v>
      </c>
      <c r="X1055" s="84">
        <v>6.0</v>
      </c>
      <c r="Y1055" s="84">
        <v>0.0</v>
      </c>
      <c r="Z1055" s="84">
        <v>0.0</v>
      </c>
      <c r="AA1055" s="84">
        <v>0.0</v>
      </c>
      <c r="AB1055" s="84">
        <v>0.0</v>
      </c>
      <c r="AC1055" s="91">
        <v>0.0</v>
      </c>
      <c r="AD1055" s="84">
        <v>0.0</v>
      </c>
      <c r="AE1055" s="84">
        <v>0.0</v>
      </c>
      <c r="AF1055" s="84">
        <v>0.0</v>
      </c>
      <c r="AG1055" s="84">
        <v>0.0</v>
      </c>
      <c r="AH1055" s="84">
        <v>0.0</v>
      </c>
      <c r="AI1055" s="84">
        <v>0.0</v>
      </c>
      <c r="AJ1055" s="84">
        <v>0.0</v>
      </c>
      <c r="AK1055" s="84">
        <v>0.0</v>
      </c>
      <c r="AL1055" s="84">
        <v>0.0</v>
      </c>
      <c r="AM1055" s="84">
        <v>0.0</v>
      </c>
      <c r="AN1055" s="93">
        <f t="shared" si="1"/>
        <v>0</v>
      </c>
      <c r="AO1055" s="84">
        <f t="shared" si="2"/>
        <v>0</v>
      </c>
    </row>
    <row r="1056" ht="12.75" customHeight="1">
      <c r="A1056" s="84" t="s">
        <v>3266</v>
      </c>
      <c r="B1056" s="84">
        <v>0.0</v>
      </c>
      <c r="C1056" s="84">
        <v>4.0</v>
      </c>
      <c r="D1056" s="84">
        <v>1.0</v>
      </c>
      <c r="E1056" s="84">
        <v>0.0</v>
      </c>
      <c r="F1056" s="84">
        <v>0.0</v>
      </c>
      <c r="G1056" s="84">
        <v>0.0</v>
      </c>
      <c r="H1056" s="84">
        <v>0.0</v>
      </c>
      <c r="I1056" s="91">
        <v>0.0</v>
      </c>
      <c r="J1056" s="84">
        <v>0.0</v>
      </c>
      <c r="K1056" s="84">
        <v>0.0</v>
      </c>
      <c r="L1056" s="84">
        <v>0.0</v>
      </c>
      <c r="M1056" s="84">
        <v>0.0</v>
      </c>
      <c r="N1056" s="84">
        <v>0.0</v>
      </c>
      <c r="O1056" s="84">
        <v>0.0</v>
      </c>
      <c r="P1056" s="84">
        <v>0.0</v>
      </c>
      <c r="Q1056" s="84">
        <v>0.0</v>
      </c>
      <c r="R1056" s="84">
        <v>0.0</v>
      </c>
      <c r="S1056" s="84">
        <v>0.0</v>
      </c>
      <c r="T1056" s="84">
        <v>0.0</v>
      </c>
      <c r="U1056" s="84">
        <v>0.0</v>
      </c>
      <c r="V1056" s="84">
        <v>0.0</v>
      </c>
      <c r="W1056" s="84">
        <v>3.0</v>
      </c>
      <c r="X1056" s="84">
        <v>1.0</v>
      </c>
      <c r="Y1056" s="84">
        <v>0.0</v>
      </c>
      <c r="Z1056" s="84">
        <v>0.0</v>
      </c>
      <c r="AA1056" s="84">
        <v>0.0</v>
      </c>
      <c r="AB1056" s="84">
        <v>0.0</v>
      </c>
      <c r="AC1056" s="91">
        <v>0.0</v>
      </c>
      <c r="AD1056" s="84">
        <v>0.0</v>
      </c>
      <c r="AE1056" s="84">
        <v>0.0</v>
      </c>
      <c r="AF1056" s="84">
        <v>0.0</v>
      </c>
      <c r="AG1056" s="84">
        <v>0.0</v>
      </c>
      <c r="AH1056" s="84">
        <v>0.0</v>
      </c>
      <c r="AI1056" s="84">
        <v>0.0</v>
      </c>
      <c r="AJ1056" s="84">
        <v>0.0</v>
      </c>
      <c r="AK1056" s="84">
        <v>0.0</v>
      </c>
      <c r="AL1056" s="84">
        <v>0.0</v>
      </c>
      <c r="AM1056" s="84">
        <v>0.0</v>
      </c>
      <c r="AN1056" s="93">
        <f t="shared" si="1"/>
        <v>0</v>
      </c>
      <c r="AO1056" s="84">
        <f t="shared" si="2"/>
        <v>0</v>
      </c>
    </row>
    <row r="1057" ht="12.75" customHeight="1">
      <c r="A1057" s="84" t="s">
        <v>3371</v>
      </c>
      <c r="B1057" s="84">
        <v>0.0</v>
      </c>
      <c r="C1057" s="84">
        <v>0.0</v>
      </c>
      <c r="D1057" s="84">
        <v>4.0</v>
      </c>
      <c r="E1057" s="84">
        <v>0.0</v>
      </c>
      <c r="F1057" s="84">
        <v>0.0</v>
      </c>
      <c r="G1057" s="84">
        <v>0.0</v>
      </c>
      <c r="H1057" s="84">
        <v>0.0</v>
      </c>
      <c r="I1057" s="91">
        <v>0.0</v>
      </c>
      <c r="J1057" s="84">
        <v>0.0</v>
      </c>
      <c r="K1057" s="84">
        <v>0.0</v>
      </c>
      <c r="L1057" s="84">
        <v>0.0</v>
      </c>
      <c r="M1057" s="84">
        <v>0.0</v>
      </c>
      <c r="N1057" s="84">
        <v>0.0</v>
      </c>
      <c r="O1057" s="84">
        <v>0.0</v>
      </c>
      <c r="P1057" s="84">
        <v>0.0</v>
      </c>
      <c r="Q1057" s="84">
        <v>0.0</v>
      </c>
      <c r="R1057" s="84">
        <v>0.0</v>
      </c>
      <c r="S1057" s="84">
        <v>0.0</v>
      </c>
      <c r="T1057" s="84">
        <v>0.0</v>
      </c>
      <c r="U1057" s="84">
        <v>0.0</v>
      </c>
      <c r="V1057" s="84">
        <v>0.0</v>
      </c>
      <c r="W1057" s="84">
        <v>0.0</v>
      </c>
      <c r="X1057" s="84">
        <v>6.0</v>
      </c>
      <c r="Y1057" s="84">
        <v>2.0</v>
      </c>
      <c r="Z1057" s="84">
        <v>0.0</v>
      </c>
      <c r="AA1057" s="84">
        <v>0.0</v>
      </c>
      <c r="AB1057" s="84">
        <v>0.0</v>
      </c>
      <c r="AC1057" s="91">
        <v>0.0</v>
      </c>
      <c r="AD1057" s="84">
        <v>0.0</v>
      </c>
      <c r="AE1057" s="84">
        <v>0.0</v>
      </c>
      <c r="AF1057" s="84">
        <v>0.0</v>
      </c>
      <c r="AG1057" s="84">
        <v>0.0</v>
      </c>
      <c r="AH1057" s="84">
        <v>0.0</v>
      </c>
      <c r="AI1057" s="84">
        <v>0.0</v>
      </c>
      <c r="AJ1057" s="84">
        <v>0.0</v>
      </c>
      <c r="AK1057" s="84">
        <v>0.0</v>
      </c>
      <c r="AL1057" s="84">
        <v>0.0</v>
      </c>
      <c r="AM1057" s="84">
        <v>0.0</v>
      </c>
      <c r="AN1057" s="93">
        <f t="shared" si="1"/>
        <v>0</v>
      </c>
      <c r="AO1057" s="84">
        <f t="shared" si="2"/>
        <v>0</v>
      </c>
    </row>
    <row r="1058" ht="12.75" customHeight="1">
      <c r="A1058" s="84" t="s">
        <v>3539</v>
      </c>
      <c r="B1058" s="84">
        <v>0.0</v>
      </c>
      <c r="C1058" s="84">
        <v>0.0</v>
      </c>
      <c r="D1058" s="84">
        <v>0.0</v>
      </c>
      <c r="E1058" s="84">
        <v>6.0</v>
      </c>
      <c r="F1058" s="84">
        <v>1.0</v>
      </c>
      <c r="G1058" s="84">
        <v>0.0</v>
      </c>
      <c r="H1058" s="84">
        <v>0.0</v>
      </c>
      <c r="I1058" s="91">
        <v>0.0</v>
      </c>
      <c r="J1058" s="84">
        <v>0.0</v>
      </c>
      <c r="K1058" s="84">
        <v>0.0</v>
      </c>
      <c r="L1058" s="84">
        <v>0.0</v>
      </c>
      <c r="M1058" s="84">
        <v>0.0</v>
      </c>
      <c r="N1058" s="84">
        <v>0.0</v>
      </c>
      <c r="O1058" s="84">
        <v>0.0</v>
      </c>
      <c r="P1058" s="84">
        <v>0.0</v>
      </c>
      <c r="Q1058" s="84">
        <v>0.0</v>
      </c>
      <c r="R1058" s="84">
        <v>0.0</v>
      </c>
      <c r="S1058" s="84">
        <v>0.0</v>
      </c>
      <c r="T1058" s="84">
        <v>0.0</v>
      </c>
      <c r="U1058" s="84">
        <v>0.0</v>
      </c>
      <c r="V1058" s="84">
        <v>0.0</v>
      </c>
      <c r="W1058" s="84">
        <v>0.0</v>
      </c>
      <c r="X1058" s="84">
        <v>0.0</v>
      </c>
      <c r="Y1058" s="84">
        <v>6.0</v>
      </c>
      <c r="Z1058" s="84">
        <v>1.0</v>
      </c>
      <c r="AA1058" s="84">
        <v>0.0</v>
      </c>
      <c r="AB1058" s="84">
        <v>0.0</v>
      </c>
      <c r="AC1058" s="91">
        <v>0.0</v>
      </c>
      <c r="AD1058" s="84">
        <v>0.0</v>
      </c>
      <c r="AE1058" s="84">
        <v>0.0</v>
      </c>
      <c r="AF1058" s="84">
        <v>0.0</v>
      </c>
      <c r="AG1058" s="84">
        <v>0.0</v>
      </c>
      <c r="AH1058" s="84">
        <v>0.0</v>
      </c>
      <c r="AI1058" s="84">
        <v>0.0</v>
      </c>
      <c r="AJ1058" s="84">
        <v>0.0</v>
      </c>
      <c r="AK1058" s="84">
        <v>0.0</v>
      </c>
      <c r="AL1058" s="84">
        <v>0.0</v>
      </c>
      <c r="AM1058" s="84">
        <v>0.0</v>
      </c>
      <c r="AN1058" s="93">
        <f t="shared" si="1"/>
        <v>0</v>
      </c>
      <c r="AO1058" s="84">
        <f t="shared" si="2"/>
        <v>0</v>
      </c>
    </row>
    <row r="1059" ht="12.75" customHeight="1">
      <c r="A1059" s="84" t="s">
        <v>3215</v>
      </c>
      <c r="B1059" s="84">
        <v>0.0</v>
      </c>
      <c r="C1059" s="84">
        <v>6.0</v>
      </c>
      <c r="D1059" s="84">
        <v>1.0</v>
      </c>
      <c r="E1059" s="84">
        <v>0.0</v>
      </c>
      <c r="F1059" s="84">
        <v>0.0</v>
      </c>
      <c r="G1059" s="84">
        <v>0.0</v>
      </c>
      <c r="H1059" s="84">
        <v>0.0</v>
      </c>
      <c r="I1059" s="91">
        <v>0.0</v>
      </c>
      <c r="J1059" s="84">
        <v>0.0</v>
      </c>
      <c r="K1059" s="84">
        <v>0.0</v>
      </c>
      <c r="L1059" s="84">
        <v>0.0</v>
      </c>
      <c r="M1059" s="84">
        <v>0.0</v>
      </c>
      <c r="N1059" s="84">
        <v>0.0</v>
      </c>
      <c r="O1059" s="84">
        <v>0.0</v>
      </c>
      <c r="P1059" s="84">
        <v>0.0</v>
      </c>
      <c r="Q1059" s="84">
        <v>0.0</v>
      </c>
      <c r="R1059" s="84">
        <v>0.0</v>
      </c>
      <c r="S1059" s="84">
        <v>0.0</v>
      </c>
      <c r="T1059" s="84">
        <v>0.0</v>
      </c>
      <c r="U1059" s="84">
        <v>0.0</v>
      </c>
      <c r="V1059" s="84">
        <v>0.0</v>
      </c>
      <c r="W1059" s="84">
        <v>3.0</v>
      </c>
      <c r="X1059" s="84">
        <v>5.0</v>
      </c>
      <c r="Y1059" s="84">
        <v>0.0</v>
      </c>
      <c r="Z1059" s="84">
        <v>0.0</v>
      </c>
      <c r="AA1059" s="84">
        <v>0.0</v>
      </c>
      <c r="AB1059" s="84">
        <v>0.0</v>
      </c>
      <c r="AC1059" s="91">
        <v>0.0</v>
      </c>
      <c r="AD1059" s="84">
        <v>0.0</v>
      </c>
      <c r="AE1059" s="84">
        <v>0.0</v>
      </c>
      <c r="AF1059" s="84">
        <v>0.0</v>
      </c>
      <c r="AG1059" s="84">
        <v>0.0</v>
      </c>
      <c r="AH1059" s="84">
        <v>0.0</v>
      </c>
      <c r="AI1059" s="84">
        <v>0.0</v>
      </c>
      <c r="AJ1059" s="84">
        <v>0.0</v>
      </c>
      <c r="AK1059" s="84">
        <v>0.0</v>
      </c>
      <c r="AL1059" s="84">
        <v>0.0</v>
      </c>
      <c r="AM1059" s="84">
        <v>0.0</v>
      </c>
      <c r="AN1059" s="93">
        <f t="shared" si="1"/>
        <v>0</v>
      </c>
      <c r="AO1059" s="84">
        <f t="shared" si="2"/>
        <v>0</v>
      </c>
    </row>
    <row r="1060" ht="12.75" customHeight="1">
      <c r="A1060" s="84" t="s">
        <v>3845</v>
      </c>
      <c r="B1060" s="84">
        <v>0.0</v>
      </c>
      <c r="C1060" s="84">
        <v>0.0</v>
      </c>
      <c r="D1060" s="84">
        <v>0.0</v>
      </c>
      <c r="E1060" s="84">
        <v>0.0</v>
      </c>
      <c r="F1060" s="84">
        <v>0.0</v>
      </c>
      <c r="G1060" s="84">
        <v>6.0</v>
      </c>
      <c r="H1060" s="84">
        <v>0.0</v>
      </c>
      <c r="I1060" s="91">
        <v>0.0</v>
      </c>
      <c r="J1060" s="84">
        <v>0.0</v>
      </c>
      <c r="K1060" s="84">
        <v>0.0</v>
      </c>
      <c r="L1060" s="84">
        <v>0.0</v>
      </c>
      <c r="M1060" s="84">
        <v>0.0</v>
      </c>
      <c r="N1060" s="84">
        <v>0.0</v>
      </c>
      <c r="O1060" s="84">
        <v>0.0</v>
      </c>
      <c r="P1060" s="84">
        <v>0.0</v>
      </c>
      <c r="Q1060" s="84">
        <v>0.0</v>
      </c>
      <c r="R1060" s="84">
        <v>0.0</v>
      </c>
      <c r="S1060" s="84">
        <v>0.0</v>
      </c>
      <c r="T1060" s="84">
        <v>0.0</v>
      </c>
      <c r="U1060" s="84">
        <v>0.0</v>
      </c>
      <c r="V1060" s="84">
        <v>0.0</v>
      </c>
      <c r="W1060" s="84">
        <v>0.0</v>
      </c>
      <c r="X1060" s="84">
        <v>0.0</v>
      </c>
      <c r="Y1060" s="84">
        <v>0.0</v>
      </c>
      <c r="Z1060" s="84">
        <v>0.0</v>
      </c>
      <c r="AA1060" s="84">
        <v>6.0</v>
      </c>
      <c r="AB1060" s="84">
        <v>2.0</v>
      </c>
      <c r="AC1060" s="91">
        <v>0.0</v>
      </c>
      <c r="AD1060" s="84">
        <v>0.0</v>
      </c>
      <c r="AE1060" s="84">
        <v>0.0</v>
      </c>
      <c r="AF1060" s="84">
        <v>0.0</v>
      </c>
      <c r="AG1060" s="84">
        <v>0.0</v>
      </c>
      <c r="AH1060" s="84">
        <v>0.0</v>
      </c>
      <c r="AI1060" s="84">
        <v>0.0</v>
      </c>
      <c r="AJ1060" s="84">
        <v>0.0</v>
      </c>
      <c r="AK1060" s="84">
        <v>0.0</v>
      </c>
      <c r="AL1060" s="84">
        <v>0.0</v>
      </c>
      <c r="AM1060" s="84">
        <v>0.0</v>
      </c>
      <c r="AN1060" s="93">
        <f t="shared" si="1"/>
        <v>0</v>
      </c>
      <c r="AO1060" s="84">
        <f t="shared" si="2"/>
        <v>0</v>
      </c>
    </row>
    <row r="1061" ht="12.75" customHeight="1">
      <c r="A1061" s="84" t="s">
        <v>3502</v>
      </c>
      <c r="B1061" s="84">
        <v>0.0</v>
      </c>
      <c r="C1061" s="84">
        <v>0.0</v>
      </c>
      <c r="D1061" s="84">
        <v>0.0</v>
      </c>
      <c r="E1061" s="84">
        <v>4.0</v>
      </c>
      <c r="F1061" s="84">
        <v>3.0</v>
      </c>
      <c r="G1061" s="84">
        <v>0.0</v>
      </c>
      <c r="H1061" s="84">
        <v>0.0</v>
      </c>
      <c r="I1061" s="91">
        <v>0.0</v>
      </c>
      <c r="J1061" s="84">
        <v>0.0</v>
      </c>
      <c r="K1061" s="84">
        <v>0.0</v>
      </c>
      <c r="L1061" s="84">
        <v>0.0</v>
      </c>
      <c r="M1061" s="84">
        <v>0.0</v>
      </c>
      <c r="N1061" s="84">
        <v>0.0</v>
      </c>
      <c r="O1061" s="84">
        <v>0.0</v>
      </c>
      <c r="P1061" s="84">
        <v>0.0</v>
      </c>
      <c r="Q1061" s="84">
        <v>0.0</v>
      </c>
      <c r="R1061" s="84">
        <v>0.0</v>
      </c>
      <c r="S1061" s="84">
        <v>0.0</v>
      </c>
      <c r="T1061" s="84">
        <v>0.0</v>
      </c>
      <c r="U1061" s="84">
        <v>0.0</v>
      </c>
      <c r="V1061" s="84">
        <v>0.0</v>
      </c>
      <c r="W1061" s="84">
        <v>0.0</v>
      </c>
      <c r="X1061" s="84">
        <v>0.0</v>
      </c>
      <c r="Y1061" s="84">
        <v>6.0</v>
      </c>
      <c r="Z1061" s="84">
        <v>2.0</v>
      </c>
      <c r="AA1061" s="84">
        <v>0.0</v>
      </c>
      <c r="AB1061" s="84">
        <v>0.0</v>
      </c>
      <c r="AC1061" s="91">
        <v>0.0</v>
      </c>
      <c r="AD1061" s="84">
        <v>0.0</v>
      </c>
      <c r="AE1061" s="84">
        <v>0.0</v>
      </c>
      <c r="AF1061" s="84">
        <v>0.0</v>
      </c>
      <c r="AG1061" s="84">
        <v>0.0</v>
      </c>
      <c r="AH1061" s="84">
        <v>0.0</v>
      </c>
      <c r="AI1061" s="84">
        <v>0.0</v>
      </c>
      <c r="AJ1061" s="84">
        <v>0.0</v>
      </c>
      <c r="AK1061" s="84">
        <v>0.0</v>
      </c>
      <c r="AL1061" s="84">
        <v>0.0</v>
      </c>
      <c r="AM1061" s="84">
        <v>0.0</v>
      </c>
      <c r="AN1061" s="93">
        <f t="shared" si="1"/>
        <v>0</v>
      </c>
      <c r="AO1061" s="84">
        <f t="shared" si="2"/>
        <v>0</v>
      </c>
    </row>
    <row r="1062" ht="12.75" customHeight="1">
      <c r="A1062" s="84" t="s">
        <v>4638</v>
      </c>
      <c r="B1062" s="84">
        <v>0.0</v>
      </c>
      <c r="C1062" s="84">
        <v>0.0</v>
      </c>
      <c r="D1062" s="84">
        <v>0.0</v>
      </c>
      <c r="E1062" s="84">
        <v>0.0</v>
      </c>
      <c r="F1062" s="84">
        <v>0.0</v>
      </c>
      <c r="G1062" s="84">
        <v>0.0</v>
      </c>
      <c r="H1062" s="84">
        <v>0.0</v>
      </c>
      <c r="I1062" s="91">
        <v>0.0</v>
      </c>
      <c r="J1062" s="84">
        <v>0.0</v>
      </c>
      <c r="K1062" s="84">
        <v>0.0</v>
      </c>
      <c r="L1062" s="84">
        <v>0.0</v>
      </c>
      <c r="M1062" s="84">
        <v>0.0</v>
      </c>
      <c r="N1062" s="84">
        <v>0.0</v>
      </c>
      <c r="O1062" s="84">
        <v>0.0</v>
      </c>
      <c r="P1062" s="84">
        <v>0.0</v>
      </c>
      <c r="Q1062" s="84">
        <v>0.0</v>
      </c>
      <c r="R1062" s="84">
        <v>0.0</v>
      </c>
      <c r="S1062" s="84">
        <v>0.0</v>
      </c>
      <c r="T1062" s="84">
        <v>0.0</v>
      </c>
      <c r="U1062" s="84">
        <v>0.0</v>
      </c>
      <c r="V1062" s="84">
        <v>0.0</v>
      </c>
      <c r="W1062" s="84">
        <v>0.0</v>
      </c>
      <c r="X1062" s="84">
        <v>0.0</v>
      </c>
      <c r="Y1062" s="84">
        <v>0.0</v>
      </c>
      <c r="Z1062" s="84">
        <v>0.0</v>
      </c>
      <c r="AA1062" s="84">
        <v>0.0</v>
      </c>
      <c r="AB1062" s="84">
        <v>0.0</v>
      </c>
      <c r="AC1062" s="91">
        <v>0.0</v>
      </c>
      <c r="AD1062" s="84">
        <v>0.0</v>
      </c>
      <c r="AE1062" s="84">
        <v>0.0</v>
      </c>
      <c r="AF1062" s="84">
        <v>0.0</v>
      </c>
      <c r="AG1062" s="84">
        <v>0.0</v>
      </c>
      <c r="AH1062" s="84">
        <v>0.0</v>
      </c>
      <c r="AI1062" s="84">
        <v>0.0</v>
      </c>
      <c r="AJ1062" s="84">
        <v>0.0</v>
      </c>
      <c r="AK1062" s="84">
        <v>1.0</v>
      </c>
      <c r="AL1062" s="84">
        <v>0.0</v>
      </c>
      <c r="AM1062" s="84">
        <v>0.0</v>
      </c>
      <c r="AN1062" s="93">
        <f t="shared" si="1"/>
        <v>0</v>
      </c>
      <c r="AO1062" s="84">
        <f t="shared" si="2"/>
        <v>1</v>
      </c>
    </row>
    <row r="1063" ht="12.75" customHeight="1">
      <c r="A1063" s="84" t="s">
        <v>4643</v>
      </c>
      <c r="B1063" s="84">
        <v>0.0</v>
      </c>
      <c r="C1063" s="84">
        <v>0.0</v>
      </c>
      <c r="D1063" s="84">
        <v>0.0</v>
      </c>
      <c r="E1063" s="84">
        <v>0.0</v>
      </c>
      <c r="F1063" s="84">
        <v>0.0</v>
      </c>
      <c r="G1063" s="84">
        <v>0.0</v>
      </c>
      <c r="H1063" s="84">
        <v>0.0</v>
      </c>
      <c r="I1063" s="91">
        <v>0.0</v>
      </c>
      <c r="J1063" s="84">
        <v>0.0</v>
      </c>
      <c r="K1063" s="84">
        <v>0.0</v>
      </c>
      <c r="L1063" s="84">
        <v>0.0</v>
      </c>
      <c r="M1063" s="84">
        <v>0.0</v>
      </c>
      <c r="N1063" s="84">
        <v>0.0</v>
      </c>
      <c r="O1063" s="84">
        <v>0.0</v>
      </c>
      <c r="P1063" s="84">
        <v>0.0</v>
      </c>
      <c r="Q1063" s="84">
        <v>0.0</v>
      </c>
      <c r="R1063" s="84">
        <v>0.0</v>
      </c>
      <c r="S1063" s="84">
        <v>0.0</v>
      </c>
      <c r="T1063" s="84">
        <v>0.0</v>
      </c>
      <c r="U1063" s="84">
        <v>0.0</v>
      </c>
      <c r="V1063" s="84">
        <v>0.0</v>
      </c>
      <c r="W1063" s="84">
        <v>0.0</v>
      </c>
      <c r="X1063" s="84">
        <v>0.0</v>
      </c>
      <c r="Y1063" s="84">
        <v>0.0</v>
      </c>
      <c r="Z1063" s="84">
        <v>0.0</v>
      </c>
      <c r="AA1063" s="84">
        <v>0.0</v>
      </c>
      <c r="AB1063" s="84">
        <v>0.0</v>
      </c>
      <c r="AC1063" s="91">
        <v>0.0</v>
      </c>
      <c r="AD1063" s="84">
        <v>0.0</v>
      </c>
      <c r="AE1063" s="84">
        <v>0.0</v>
      </c>
      <c r="AF1063" s="84">
        <v>0.0</v>
      </c>
      <c r="AG1063" s="84">
        <v>0.0</v>
      </c>
      <c r="AH1063" s="84">
        <v>0.0</v>
      </c>
      <c r="AI1063" s="84">
        <v>0.0</v>
      </c>
      <c r="AJ1063" s="84">
        <v>0.0</v>
      </c>
      <c r="AK1063" s="84">
        <v>1.0</v>
      </c>
      <c r="AL1063" s="84">
        <v>0.0</v>
      </c>
      <c r="AM1063" s="84">
        <v>0.0</v>
      </c>
      <c r="AN1063" s="93">
        <f t="shared" si="1"/>
        <v>0</v>
      </c>
      <c r="AO1063" s="84">
        <f t="shared" si="2"/>
        <v>1</v>
      </c>
    </row>
    <row r="1064" ht="12.75" customHeight="1">
      <c r="A1064" s="84" t="s">
        <v>4625</v>
      </c>
      <c r="B1064" s="84">
        <v>0.0</v>
      </c>
      <c r="C1064" s="84">
        <v>0.0</v>
      </c>
      <c r="D1064" s="84">
        <v>0.0</v>
      </c>
      <c r="E1064" s="84">
        <v>0.0</v>
      </c>
      <c r="F1064" s="84">
        <v>0.0</v>
      </c>
      <c r="G1064" s="84">
        <v>0.0</v>
      </c>
      <c r="H1064" s="84">
        <v>0.0</v>
      </c>
      <c r="I1064" s="91">
        <v>0.0</v>
      </c>
      <c r="J1064" s="84">
        <v>0.0</v>
      </c>
      <c r="K1064" s="84">
        <v>0.0</v>
      </c>
      <c r="L1064" s="84">
        <v>0.0</v>
      </c>
      <c r="M1064" s="84">
        <v>0.0</v>
      </c>
      <c r="N1064" s="84">
        <v>0.0</v>
      </c>
      <c r="O1064" s="84">
        <v>0.0</v>
      </c>
      <c r="P1064" s="84">
        <v>0.0</v>
      </c>
      <c r="Q1064" s="84">
        <v>0.0</v>
      </c>
      <c r="R1064" s="84">
        <v>0.0</v>
      </c>
      <c r="S1064" s="84">
        <v>1.0</v>
      </c>
      <c r="T1064" s="84">
        <v>0.0</v>
      </c>
      <c r="U1064" s="84">
        <v>0.0</v>
      </c>
      <c r="V1064" s="84">
        <v>0.0</v>
      </c>
      <c r="W1064" s="84">
        <v>0.0</v>
      </c>
      <c r="X1064" s="84">
        <v>0.0</v>
      </c>
      <c r="Y1064" s="84">
        <v>0.0</v>
      </c>
      <c r="Z1064" s="84">
        <v>0.0</v>
      </c>
      <c r="AA1064" s="84">
        <v>0.0</v>
      </c>
      <c r="AB1064" s="84">
        <v>0.0</v>
      </c>
      <c r="AC1064" s="91">
        <v>0.0</v>
      </c>
      <c r="AD1064" s="84">
        <v>0.0</v>
      </c>
      <c r="AE1064" s="84">
        <v>0.0</v>
      </c>
      <c r="AF1064" s="84">
        <v>0.0</v>
      </c>
      <c r="AG1064" s="84">
        <v>0.0</v>
      </c>
      <c r="AH1064" s="84">
        <v>0.0</v>
      </c>
      <c r="AI1064" s="84">
        <v>0.0</v>
      </c>
      <c r="AJ1064" s="84">
        <v>0.0</v>
      </c>
      <c r="AK1064" s="84">
        <v>0.0</v>
      </c>
      <c r="AL1064" s="84">
        <v>0.0</v>
      </c>
      <c r="AM1064" s="84">
        <v>0.0</v>
      </c>
      <c r="AN1064" s="93">
        <f t="shared" si="1"/>
        <v>0</v>
      </c>
      <c r="AO1064" s="84">
        <f t="shared" si="2"/>
        <v>1</v>
      </c>
    </row>
    <row r="1065" ht="12.75" customHeight="1">
      <c r="A1065" s="84" t="s">
        <v>4622</v>
      </c>
      <c r="B1065" s="84">
        <v>0.0</v>
      </c>
      <c r="C1065" s="84">
        <v>0.0</v>
      </c>
      <c r="D1065" s="84">
        <v>0.0</v>
      </c>
      <c r="E1065" s="84">
        <v>0.0</v>
      </c>
      <c r="F1065" s="84">
        <v>0.0</v>
      </c>
      <c r="G1065" s="84">
        <v>0.0</v>
      </c>
      <c r="H1065" s="84">
        <v>0.0</v>
      </c>
      <c r="I1065" s="91">
        <v>0.0</v>
      </c>
      <c r="J1065" s="84">
        <v>0.0</v>
      </c>
      <c r="K1065" s="84">
        <v>0.0</v>
      </c>
      <c r="L1065" s="84">
        <v>0.0</v>
      </c>
      <c r="M1065" s="84">
        <v>0.0</v>
      </c>
      <c r="N1065" s="84">
        <v>0.0</v>
      </c>
      <c r="O1065" s="84">
        <v>0.0</v>
      </c>
      <c r="P1065" s="84">
        <v>0.0</v>
      </c>
      <c r="Q1065" s="84">
        <v>0.0</v>
      </c>
      <c r="R1065" s="84">
        <v>0.0</v>
      </c>
      <c r="S1065" s="84">
        <v>1.0</v>
      </c>
      <c r="T1065" s="84">
        <v>0.0</v>
      </c>
      <c r="U1065" s="84">
        <v>0.0</v>
      </c>
      <c r="V1065" s="84">
        <v>0.0</v>
      </c>
      <c r="W1065" s="84">
        <v>0.0</v>
      </c>
      <c r="X1065" s="84">
        <v>0.0</v>
      </c>
      <c r="Y1065" s="84">
        <v>0.0</v>
      </c>
      <c r="Z1065" s="84">
        <v>0.0</v>
      </c>
      <c r="AA1065" s="84">
        <v>0.0</v>
      </c>
      <c r="AB1065" s="84">
        <v>0.0</v>
      </c>
      <c r="AC1065" s="91">
        <v>0.0</v>
      </c>
      <c r="AD1065" s="84">
        <v>0.0</v>
      </c>
      <c r="AE1065" s="84">
        <v>0.0</v>
      </c>
      <c r="AF1065" s="84">
        <v>0.0</v>
      </c>
      <c r="AG1065" s="84">
        <v>0.0</v>
      </c>
      <c r="AH1065" s="84">
        <v>0.0</v>
      </c>
      <c r="AI1065" s="84">
        <v>0.0</v>
      </c>
      <c r="AJ1065" s="84">
        <v>0.0</v>
      </c>
      <c r="AK1065" s="84">
        <v>0.0</v>
      </c>
      <c r="AL1065" s="84">
        <v>0.0</v>
      </c>
      <c r="AM1065" s="84">
        <v>0.0</v>
      </c>
      <c r="AN1065" s="93">
        <f t="shared" si="1"/>
        <v>0</v>
      </c>
      <c r="AO1065" s="84">
        <f t="shared" si="2"/>
        <v>1</v>
      </c>
    </row>
    <row r="1066" ht="12.75" customHeight="1">
      <c r="A1066" s="84" t="s">
        <v>4491</v>
      </c>
      <c r="B1066" s="84">
        <v>0.0</v>
      </c>
      <c r="C1066" s="84">
        <v>0.0</v>
      </c>
      <c r="D1066" s="84">
        <v>0.0</v>
      </c>
      <c r="E1066" s="84">
        <v>0.0</v>
      </c>
      <c r="F1066" s="84">
        <v>0.0</v>
      </c>
      <c r="G1066" s="84">
        <v>0.0</v>
      </c>
      <c r="H1066" s="84">
        <v>0.0</v>
      </c>
      <c r="I1066" s="91">
        <v>0.0</v>
      </c>
      <c r="J1066" s="84">
        <v>0.0</v>
      </c>
      <c r="K1066" s="84">
        <v>0.0</v>
      </c>
      <c r="L1066" s="84">
        <v>0.0</v>
      </c>
      <c r="M1066" s="84">
        <v>0.0</v>
      </c>
      <c r="N1066" s="84">
        <v>0.0</v>
      </c>
      <c r="O1066" s="84">
        <v>0.0</v>
      </c>
      <c r="P1066" s="84">
        <v>0.0</v>
      </c>
      <c r="Q1066" s="84">
        <v>0.0</v>
      </c>
      <c r="R1066" s="84">
        <v>0.0</v>
      </c>
      <c r="S1066" s="84">
        <v>0.0</v>
      </c>
      <c r="T1066" s="84">
        <v>0.0</v>
      </c>
      <c r="U1066" s="84">
        <v>0.0</v>
      </c>
      <c r="V1066" s="84">
        <v>0.0</v>
      </c>
      <c r="W1066" s="84">
        <v>0.0</v>
      </c>
      <c r="X1066" s="84">
        <v>0.0</v>
      </c>
      <c r="Y1066" s="84">
        <v>0.0</v>
      </c>
      <c r="Z1066" s="84">
        <v>0.0</v>
      </c>
      <c r="AA1066" s="84">
        <v>0.0</v>
      </c>
      <c r="AB1066" s="84">
        <v>0.0</v>
      </c>
      <c r="AC1066" s="91">
        <v>0.0</v>
      </c>
      <c r="AD1066" s="84">
        <v>0.0</v>
      </c>
      <c r="AE1066" s="84">
        <v>1.0</v>
      </c>
      <c r="AF1066" s="84">
        <v>0.0</v>
      </c>
      <c r="AG1066" s="84">
        <v>0.0</v>
      </c>
      <c r="AH1066" s="84">
        <v>0.0</v>
      </c>
      <c r="AI1066" s="84">
        <v>0.0</v>
      </c>
      <c r="AJ1066" s="84">
        <v>0.0</v>
      </c>
      <c r="AK1066" s="84">
        <v>0.0</v>
      </c>
      <c r="AL1066" s="84">
        <v>0.0</v>
      </c>
      <c r="AM1066" s="84">
        <v>0.0</v>
      </c>
      <c r="AN1066" s="93">
        <f t="shared" si="1"/>
        <v>0</v>
      </c>
      <c r="AO1066" s="84">
        <f t="shared" si="2"/>
        <v>1</v>
      </c>
    </row>
    <row r="1067" ht="12.75" customHeight="1">
      <c r="A1067" s="84" t="s">
        <v>4485</v>
      </c>
      <c r="B1067" s="84">
        <v>0.0</v>
      </c>
      <c r="C1067" s="84">
        <v>0.0</v>
      </c>
      <c r="D1067" s="84">
        <v>0.0</v>
      </c>
      <c r="E1067" s="84">
        <v>0.0</v>
      </c>
      <c r="F1067" s="84">
        <v>0.0</v>
      </c>
      <c r="G1067" s="84">
        <v>0.0</v>
      </c>
      <c r="H1067" s="84">
        <v>0.0</v>
      </c>
      <c r="I1067" s="91">
        <v>0.0</v>
      </c>
      <c r="J1067" s="84">
        <v>0.0</v>
      </c>
      <c r="K1067" s="84">
        <v>0.0</v>
      </c>
      <c r="L1067" s="84">
        <v>0.0</v>
      </c>
      <c r="M1067" s="84">
        <v>0.0</v>
      </c>
      <c r="N1067" s="84">
        <v>0.0</v>
      </c>
      <c r="O1067" s="84">
        <v>0.0</v>
      </c>
      <c r="P1067" s="84">
        <v>0.0</v>
      </c>
      <c r="Q1067" s="84">
        <v>0.0</v>
      </c>
      <c r="R1067" s="84">
        <v>0.0</v>
      </c>
      <c r="S1067" s="84">
        <v>0.0</v>
      </c>
      <c r="T1067" s="84">
        <v>0.0</v>
      </c>
      <c r="U1067" s="84">
        <v>0.0</v>
      </c>
      <c r="V1067" s="84">
        <v>0.0</v>
      </c>
      <c r="W1067" s="84">
        <v>0.0</v>
      </c>
      <c r="X1067" s="84">
        <v>0.0</v>
      </c>
      <c r="Y1067" s="84">
        <v>0.0</v>
      </c>
      <c r="Z1067" s="84">
        <v>0.0</v>
      </c>
      <c r="AA1067" s="84">
        <v>0.0</v>
      </c>
      <c r="AB1067" s="84">
        <v>0.0</v>
      </c>
      <c r="AC1067" s="91">
        <v>0.0</v>
      </c>
      <c r="AD1067" s="84">
        <v>0.0</v>
      </c>
      <c r="AE1067" s="84">
        <v>1.0</v>
      </c>
      <c r="AF1067" s="84">
        <v>0.0</v>
      </c>
      <c r="AG1067" s="84">
        <v>0.0</v>
      </c>
      <c r="AH1067" s="84">
        <v>0.0</v>
      </c>
      <c r="AI1067" s="84">
        <v>0.0</v>
      </c>
      <c r="AJ1067" s="84">
        <v>0.0</v>
      </c>
      <c r="AK1067" s="84">
        <v>0.0</v>
      </c>
      <c r="AL1067" s="84">
        <v>0.0</v>
      </c>
      <c r="AM1067" s="84">
        <v>0.0</v>
      </c>
      <c r="AN1067" s="93">
        <f t="shared" si="1"/>
        <v>0</v>
      </c>
      <c r="AO1067" s="84">
        <f t="shared" si="2"/>
        <v>1</v>
      </c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2.57"/>
    <col customWidth="1" min="2" max="3" width="10.43"/>
    <col customWidth="1" min="4" max="4" width="4.0"/>
    <col customWidth="1" min="6" max="7" width="11.0"/>
    <col customWidth="1" min="8" max="8" width="3.71"/>
    <col customWidth="1" min="10" max="11" width="10.43"/>
    <col customWidth="1" min="12" max="12" width="3.57"/>
    <col customWidth="1" min="14" max="15" width="10.14"/>
    <col customWidth="1" min="16" max="16" width="4.0"/>
    <col customWidth="1" min="17" max="17" width="10.0"/>
    <col customWidth="1" min="18" max="19" width="10.14"/>
    <col customWidth="1" min="20" max="20" width="4.0"/>
    <col customWidth="1" min="21" max="21" width="8.29"/>
    <col customWidth="1" min="22" max="22" width="11.14"/>
    <col customWidth="1" min="23" max="23" width="9.14"/>
    <col customWidth="1" min="24" max="24" width="11.71"/>
    <col customWidth="1" min="25" max="25" width="9.29"/>
  </cols>
  <sheetData>
    <row r="1">
      <c r="A1" s="94" t="s">
        <v>6486</v>
      </c>
      <c r="M1" s="95"/>
      <c r="N1" s="91"/>
      <c r="O1" s="96"/>
      <c r="P1" s="96"/>
      <c r="Q1" s="97"/>
      <c r="S1" s="98"/>
      <c r="T1" s="91"/>
      <c r="U1" s="91"/>
      <c r="V1" s="91"/>
      <c r="W1" s="91"/>
      <c r="X1" s="91"/>
      <c r="Y1" s="91"/>
    </row>
    <row r="2">
      <c r="A2" s="97" t="s">
        <v>2542</v>
      </c>
      <c r="B2" s="84" t="s">
        <v>6487</v>
      </c>
      <c r="C2" s="98" t="s">
        <v>6488</v>
      </c>
      <c r="D2" s="98"/>
      <c r="E2" s="97" t="s">
        <v>6489</v>
      </c>
      <c r="F2" s="84" t="s">
        <v>6487</v>
      </c>
      <c r="G2" s="98" t="s">
        <v>6488</v>
      </c>
      <c r="H2" s="98"/>
      <c r="I2" s="97" t="s">
        <v>6490</v>
      </c>
      <c r="J2" s="91" t="s">
        <v>6487</v>
      </c>
      <c r="K2" s="96" t="s">
        <v>6488</v>
      </c>
      <c r="L2" s="91"/>
      <c r="M2" s="95" t="s">
        <v>6491</v>
      </c>
      <c r="N2" s="91" t="s">
        <v>6487</v>
      </c>
      <c r="O2" s="96" t="s">
        <v>6488</v>
      </c>
      <c r="P2" s="96"/>
      <c r="Q2" s="97" t="s">
        <v>6492</v>
      </c>
      <c r="R2" s="84" t="s">
        <v>6487</v>
      </c>
      <c r="S2" s="98" t="s">
        <v>6488</v>
      </c>
      <c r="T2" s="91"/>
      <c r="U2" s="95" t="s">
        <v>6493</v>
      </c>
      <c r="V2" s="91" t="s">
        <v>6494</v>
      </c>
      <c r="W2" s="91" t="s">
        <v>6495</v>
      </c>
      <c r="X2" s="91" t="s">
        <v>6496</v>
      </c>
      <c r="Y2" s="91" t="s">
        <v>6495</v>
      </c>
    </row>
    <row r="3">
      <c r="A3" s="84" t="s">
        <v>4212</v>
      </c>
      <c r="B3" s="91">
        <v>0.020606</v>
      </c>
      <c r="C3" s="91">
        <v>0.017176</v>
      </c>
      <c r="D3" s="98"/>
      <c r="E3" s="84" t="s">
        <v>2685</v>
      </c>
      <c r="F3" s="91">
        <v>0.098182</v>
      </c>
      <c r="G3" s="91">
        <v>0.099237</v>
      </c>
      <c r="H3" s="98"/>
      <c r="I3" s="84" t="s">
        <v>2714</v>
      </c>
      <c r="J3" s="91">
        <v>0.078788</v>
      </c>
      <c r="K3" s="91">
        <v>0.074427</v>
      </c>
      <c r="L3" s="91"/>
      <c r="M3" s="91" t="s">
        <v>3454</v>
      </c>
      <c r="N3" s="91">
        <v>0.207273</v>
      </c>
      <c r="O3" s="91">
        <v>0.196565</v>
      </c>
      <c r="P3" s="91"/>
      <c r="Q3" s="84" t="s">
        <v>2571</v>
      </c>
      <c r="R3" s="91">
        <v>0.187879</v>
      </c>
      <c r="S3" s="91">
        <v>0.187023</v>
      </c>
      <c r="T3" s="91"/>
      <c r="U3" s="98" t="s">
        <v>6497</v>
      </c>
      <c r="V3" s="91">
        <v>0.0</v>
      </c>
      <c r="W3" s="91">
        <v>0.0</v>
      </c>
      <c r="X3" s="96">
        <v>0.0</v>
      </c>
      <c r="Y3" s="91">
        <v>0.0</v>
      </c>
    </row>
    <row r="4">
      <c r="A4" s="84" t="s">
        <v>4222</v>
      </c>
      <c r="B4" s="91">
        <v>0.020606</v>
      </c>
      <c r="C4" s="91">
        <v>0.016221</v>
      </c>
      <c r="D4" s="98"/>
      <c r="E4" s="84" t="s">
        <v>2515</v>
      </c>
      <c r="F4" s="91">
        <v>0.084848</v>
      </c>
      <c r="G4" s="91">
        <v>0.075382</v>
      </c>
      <c r="H4" s="98"/>
      <c r="I4" s="84" t="s">
        <v>3499</v>
      </c>
      <c r="J4" s="91">
        <v>0.076364</v>
      </c>
      <c r="K4" s="91">
        <v>0.070611</v>
      </c>
      <c r="L4" s="91"/>
      <c r="M4" s="91" t="s">
        <v>2823</v>
      </c>
      <c r="N4" s="91">
        <v>0.122424</v>
      </c>
      <c r="O4" s="91">
        <v>0.111641</v>
      </c>
      <c r="P4" s="91"/>
      <c r="Q4" s="84" t="s">
        <v>2656</v>
      </c>
      <c r="R4" s="91">
        <v>0.151515</v>
      </c>
      <c r="S4" s="91">
        <v>0.175573</v>
      </c>
      <c r="T4" s="91"/>
      <c r="U4" s="98">
        <v>25.0</v>
      </c>
      <c r="V4" s="91">
        <v>0.0</v>
      </c>
      <c r="W4" s="91">
        <v>0.002424</v>
      </c>
      <c r="X4" s="96">
        <v>0.0</v>
      </c>
      <c r="Y4" s="91">
        <v>0.001908</v>
      </c>
    </row>
    <row r="5">
      <c r="A5" s="84" t="s">
        <v>4232</v>
      </c>
      <c r="B5" s="91">
        <v>0.018182</v>
      </c>
      <c r="C5" s="91">
        <v>0.01145</v>
      </c>
      <c r="D5" s="98"/>
      <c r="E5" s="84" t="s">
        <v>2636</v>
      </c>
      <c r="F5" s="91">
        <v>0.070303</v>
      </c>
      <c r="G5" s="91">
        <v>0.072519</v>
      </c>
      <c r="H5" s="98"/>
      <c r="I5" s="84" t="s">
        <v>2728</v>
      </c>
      <c r="J5" s="91">
        <v>0.037576</v>
      </c>
      <c r="K5" s="91">
        <v>0.044847</v>
      </c>
      <c r="L5" s="91"/>
      <c r="M5" s="91" t="s">
        <v>3435</v>
      </c>
      <c r="N5" s="91">
        <v>0.099394</v>
      </c>
      <c r="O5" s="91">
        <v>0.104008</v>
      </c>
      <c r="P5" s="91"/>
      <c r="Q5" s="84" t="s">
        <v>2692</v>
      </c>
      <c r="R5" s="91">
        <v>0.189091</v>
      </c>
      <c r="S5" s="91">
        <v>0.173664</v>
      </c>
      <c r="T5" s="91"/>
      <c r="U5" s="98" t="s">
        <v>6498</v>
      </c>
      <c r="V5" s="91">
        <v>0.002424</v>
      </c>
      <c r="W5" s="91">
        <v>0.0</v>
      </c>
      <c r="X5" s="96">
        <v>0.001908</v>
      </c>
      <c r="Y5" s="91">
        <v>0.0</v>
      </c>
    </row>
    <row r="6">
      <c r="A6" s="84" t="s">
        <v>4217</v>
      </c>
      <c r="B6" s="91">
        <v>0.01697</v>
      </c>
      <c r="C6" s="91">
        <v>0.015267</v>
      </c>
      <c r="D6" s="98"/>
      <c r="E6" s="84" t="s">
        <v>2524</v>
      </c>
      <c r="F6" s="91">
        <v>0.071515</v>
      </c>
      <c r="G6" s="91">
        <v>0.05916</v>
      </c>
      <c r="H6" s="98"/>
      <c r="I6" s="84" t="s">
        <v>3370</v>
      </c>
      <c r="J6" s="91">
        <v>0.038788</v>
      </c>
      <c r="K6" s="91">
        <v>0.041985</v>
      </c>
      <c r="L6" s="91"/>
      <c r="M6" s="91" t="s">
        <v>2661</v>
      </c>
      <c r="N6" s="91">
        <v>0.093333</v>
      </c>
      <c r="O6" s="91">
        <v>0.087786</v>
      </c>
      <c r="P6" s="91"/>
      <c r="Q6" s="84" t="s">
        <v>2635</v>
      </c>
      <c r="R6" s="91">
        <v>0.174545</v>
      </c>
      <c r="S6" s="91">
        <v>0.155534</v>
      </c>
      <c r="T6" s="91"/>
      <c r="U6" s="98">
        <v>34.0</v>
      </c>
      <c r="V6" s="91">
        <v>0.002424</v>
      </c>
      <c r="W6" s="91">
        <v>0.002424</v>
      </c>
      <c r="X6" s="96">
        <v>0.001908</v>
      </c>
      <c r="Y6" s="91">
        <v>0.001908</v>
      </c>
    </row>
    <row r="7">
      <c r="A7" s="84" t="s">
        <v>4210</v>
      </c>
      <c r="B7" s="91">
        <v>0.01697</v>
      </c>
      <c r="C7" s="91">
        <v>0.013359</v>
      </c>
      <c r="D7" s="98"/>
      <c r="E7" s="84" t="s">
        <v>2516</v>
      </c>
      <c r="F7" s="91">
        <v>0.04</v>
      </c>
      <c r="G7" s="91">
        <v>0.043893</v>
      </c>
      <c r="H7" s="98"/>
      <c r="I7" s="84" t="s">
        <v>2696</v>
      </c>
      <c r="J7" s="91">
        <v>0.037576</v>
      </c>
      <c r="K7" s="91">
        <v>0.035305</v>
      </c>
      <c r="L7" s="91"/>
      <c r="M7" s="91" t="s">
        <v>3441</v>
      </c>
      <c r="N7" s="91">
        <v>0.076364</v>
      </c>
      <c r="O7" s="91">
        <v>0.079198</v>
      </c>
      <c r="P7" s="91"/>
      <c r="Q7" s="84" t="s">
        <v>2862</v>
      </c>
      <c r="R7" s="91">
        <v>0.117576</v>
      </c>
      <c r="S7" s="91">
        <v>0.114504</v>
      </c>
      <c r="T7" s="91"/>
      <c r="U7" s="98">
        <v>35.0</v>
      </c>
      <c r="V7" s="91">
        <v>0.004848</v>
      </c>
      <c r="W7" s="91">
        <v>0.0</v>
      </c>
      <c r="X7" s="96">
        <v>0.003817</v>
      </c>
      <c r="Y7" s="91">
        <v>0.0</v>
      </c>
    </row>
    <row r="8">
      <c r="A8" s="84" t="s">
        <v>4219</v>
      </c>
      <c r="B8" s="91">
        <v>0.015758</v>
      </c>
      <c r="C8" s="91">
        <v>0.015267</v>
      </c>
      <c r="D8" s="98"/>
      <c r="E8" s="84" t="s">
        <v>3548</v>
      </c>
      <c r="F8" s="91">
        <v>0.035152</v>
      </c>
      <c r="G8" s="91">
        <v>0.043893</v>
      </c>
      <c r="H8" s="98"/>
      <c r="I8" s="84" t="s">
        <v>3233</v>
      </c>
      <c r="J8" s="91">
        <v>0.032727</v>
      </c>
      <c r="K8" s="91">
        <v>0.034351</v>
      </c>
      <c r="L8" s="91"/>
      <c r="M8" s="91" t="s">
        <v>2659</v>
      </c>
      <c r="N8" s="91">
        <v>0.075152</v>
      </c>
      <c r="O8" s="91">
        <v>0.076336</v>
      </c>
      <c r="P8" s="91"/>
      <c r="Q8" s="84" t="s">
        <v>2629</v>
      </c>
      <c r="R8" s="91">
        <v>0.036364</v>
      </c>
      <c r="S8" s="91">
        <v>0.043893</v>
      </c>
      <c r="T8" s="91"/>
      <c r="U8" s="98">
        <v>36.0</v>
      </c>
      <c r="V8" s="91">
        <v>0.004848</v>
      </c>
      <c r="W8" s="91">
        <v>0.002424</v>
      </c>
      <c r="X8" s="96">
        <v>0.003817</v>
      </c>
      <c r="Y8" s="91">
        <v>0.004771</v>
      </c>
    </row>
    <row r="9">
      <c r="A9" s="84" t="s">
        <v>3438</v>
      </c>
      <c r="B9" s="91">
        <v>0.015758</v>
      </c>
      <c r="C9" s="91">
        <v>0.005725</v>
      </c>
      <c r="D9" s="98"/>
      <c r="E9" s="84" t="s">
        <v>2665</v>
      </c>
      <c r="F9" s="91">
        <v>0.037576</v>
      </c>
      <c r="G9" s="91">
        <v>0.03626</v>
      </c>
      <c r="H9" s="98"/>
      <c r="I9" s="84" t="s">
        <v>3016</v>
      </c>
      <c r="J9" s="91">
        <v>0.025455</v>
      </c>
      <c r="K9" s="91">
        <v>0.030534</v>
      </c>
      <c r="L9" s="91"/>
      <c r="M9" s="91" t="s">
        <v>2660</v>
      </c>
      <c r="N9" s="91">
        <v>0.052121</v>
      </c>
      <c r="O9" s="91">
        <v>0.066794</v>
      </c>
      <c r="P9" s="91"/>
      <c r="Q9" s="84" t="s">
        <v>2723</v>
      </c>
      <c r="R9" s="91">
        <v>0.035152</v>
      </c>
      <c r="S9" s="91">
        <v>0.034351</v>
      </c>
      <c r="T9" s="91"/>
      <c r="U9" s="98" t="s">
        <v>6499</v>
      </c>
      <c r="V9" s="91">
        <v>0.007273</v>
      </c>
      <c r="W9" s="91">
        <v>0.0</v>
      </c>
      <c r="X9" s="96">
        <v>0.008588</v>
      </c>
      <c r="Y9" s="91">
        <v>0.0</v>
      </c>
    </row>
    <row r="10">
      <c r="A10" s="84" t="s">
        <v>3962</v>
      </c>
      <c r="B10" s="91">
        <v>0.014545</v>
      </c>
      <c r="C10" s="91">
        <v>0.016221</v>
      </c>
      <c r="D10" s="98"/>
      <c r="E10" s="84" t="s">
        <v>3726</v>
      </c>
      <c r="F10" s="91">
        <v>0.043636</v>
      </c>
      <c r="G10" s="91">
        <v>0.033397</v>
      </c>
      <c r="H10" s="98"/>
      <c r="I10" s="84" t="s">
        <v>3745</v>
      </c>
      <c r="J10" s="91">
        <v>0.018182</v>
      </c>
      <c r="K10" s="91">
        <v>0.026718</v>
      </c>
      <c r="L10" s="91"/>
      <c r="M10" s="91" t="s">
        <v>2880</v>
      </c>
      <c r="N10" s="91">
        <v>0.066667</v>
      </c>
      <c r="O10" s="91">
        <v>0.062023</v>
      </c>
      <c r="P10" s="91"/>
      <c r="Q10" s="84" t="s">
        <v>3597</v>
      </c>
      <c r="R10" s="91">
        <v>0.031515</v>
      </c>
      <c r="S10" s="91">
        <v>0.028626</v>
      </c>
      <c r="T10" s="91"/>
      <c r="U10" s="98">
        <v>39.0</v>
      </c>
      <c r="V10" s="91">
        <v>0.007273</v>
      </c>
      <c r="W10" s="91">
        <v>0.001212</v>
      </c>
      <c r="X10" s="96">
        <v>0.008588</v>
      </c>
      <c r="Y10" s="91">
        <v>0.0</v>
      </c>
    </row>
    <row r="11">
      <c r="A11" s="84" t="s">
        <v>4230</v>
      </c>
      <c r="B11" s="91">
        <v>0.014545</v>
      </c>
      <c r="C11" s="91">
        <v>0.015267</v>
      </c>
      <c r="D11" s="98"/>
      <c r="E11" s="84" t="s">
        <v>3522</v>
      </c>
      <c r="F11" s="91">
        <v>0.030303</v>
      </c>
      <c r="G11" s="91">
        <v>0.027672</v>
      </c>
      <c r="H11" s="98"/>
      <c r="I11" s="84" t="s">
        <v>3059</v>
      </c>
      <c r="J11" s="91">
        <v>0.015758</v>
      </c>
      <c r="K11" s="91">
        <v>0.025763</v>
      </c>
      <c r="L11" s="91"/>
      <c r="M11" s="91" t="s">
        <v>3052</v>
      </c>
      <c r="N11" s="91">
        <v>0.049697</v>
      </c>
      <c r="O11" s="91">
        <v>0.058206</v>
      </c>
      <c r="P11" s="91"/>
      <c r="Q11" s="84" t="s">
        <v>2648</v>
      </c>
      <c r="R11" s="91">
        <v>0.032727</v>
      </c>
      <c r="S11" s="91">
        <v>0.027672</v>
      </c>
      <c r="T11" s="91"/>
      <c r="U11" s="98">
        <v>40.0</v>
      </c>
      <c r="V11" s="91">
        <v>0.008485</v>
      </c>
      <c r="W11" s="91">
        <v>0.007273</v>
      </c>
      <c r="X11" s="96">
        <v>0.008588</v>
      </c>
      <c r="Y11" s="91">
        <v>0.007634</v>
      </c>
    </row>
    <row r="12">
      <c r="A12" s="84" t="s">
        <v>4224</v>
      </c>
      <c r="B12" s="91">
        <v>0.014545</v>
      </c>
      <c r="C12" s="91">
        <v>0.014313</v>
      </c>
      <c r="D12" s="98"/>
      <c r="E12" s="84" t="s">
        <v>3715</v>
      </c>
      <c r="F12" s="91">
        <v>0.030303</v>
      </c>
      <c r="G12" s="91">
        <v>0.027672</v>
      </c>
      <c r="H12" s="98"/>
      <c r="I12" s="84" t="s">
        <v>2968</v>
      </c>
      <c r="J12" s="91">
        <v>0.026667</v>
      </c>
      <c r="K12" s="91">
        <v>0.023855</v>
      </c>
      <c r="L12" s="91"/>
      <c r="M12" s="91" t="s">
        <v>2532</v>
      </c>
      <c r="N12" s="91">
        <v>0.06303</v>
      </c>
      <c r="O12" s="91">
        <v>0.057252</v>
      </c>
      <c r="P12" s="91"/>
      <c r="Q12" s="84" t="s">
        <v>2827</v>
      </c>
      <c r="R12" s="91">
        <v>0.007273</v>
      </c>
      <c r="S12" s="91">
        <v>0.019084</v>
      </c>
      <c r="T12" s="91"/>
      <c r="U12" s="98" t="s">
        <v>6500</v>
      </c>
      <c r="V12" s="91">
        <v>0.015758</v>
      </c>
      <c r="W12" s="91">
        <v>0.0</v>
      </c>
      <c r="X12" s="96">
        <v>0.016221</v>
      </c>
      <c r="Y12" s="91">
        <v>0.0</v>
      </c>
    </row>
    <row r="13">
      <c r="A13" s="84" t="s">
        <v>3783</v>
      </c>
      <c r="B13" s="91">
        <v>0.014545</v>
      </c>
      <c r="C13" s="91">
        <v>0.012405</v>
      </c>
      <c r="D13" s="98"/>
      <c r="E13" s="84" t="s">
        <v>2520</v>
      </c>
      <c r="F13" s="91">
        <v>0.024242</v>
      </c>
      <c r="G13" s="91">
        <v>0.027672</v>
      </c>
      <c r="H13" s="98"/>
      <c r="I13" s="84" t="s">
        <v>2701</v>
      </c>
      <c r="J13" s="91">
        <v>0.021818</v>
      </c>
      <c r="K13" s="91">
        <v>0.022901</v>
      </c>
      <c r="L13" s="91"/>
      <c r="M13" s="91" t="s">
        <v>3718</v>
      </c>
      <c r="N13" s="91">
        <v>0.059394</v>
      </c>
      <c r="O13" s="91">
        <v>0.056298</v>
      </c>
      <c r="P13" s="91"/>
      <c r="Q13" s="84" t="s">
        <v>2811</v>
      </c>
      <c r="R13" s="91">
        <v>0.010909</v>
      </c>
      <c r="S13" s="91">
        <v>0.012405</v>
      </c>
      <c r="T13" s="91"/>
      <c r="U13" s="98">
        <v>45.0</v>
      </c>
      <c r="V13" s="91">
        <v>0.015758</v>
      </c>
      <c r="W13" s="91">
        <v>0.006061</v>
      </c>
      <c r="X13" s="96">
        <v>0.016221</v>
      </c>
      <c r="Y13" s="91">
        <v>0.008588</v>
      </c>
    </row>
    <row r="14">
      <c r="A14" s="84" t="s">
        <v>4215</v>
      </c>
      <c r="B14" s="91">
        <v>0.013333</v>
      </c>
      <c r="C14" s="91">
        <v>0.014313</v>
      </c>
      <c r="D14" s="98"/>
      <c r="E14" s="84" t="s">
        <v>2889</v>
      </c>
      <c r="F14" s="91">
        <v>0.02303</v>
      </c>
      <c r="G14" s="91">
        <v>0.022901</v>
      </c>
      <c r="H14" s="98"/>
      <c r="I14" s="84" t="s">
        <v>2988</v>
      </c>
      <c r="J14" s="91">
        <v>0.01697</v>
      </c>
      <c r="K14" s="91">
        <v>0.019084</v>
      </c>
      <c r="L14" s="91"/>
      <c r="M14" s="91" t="s">
        <v>3390</v>
      </c>
      <c r="N14" s="91">
        <v>0.047273</v>
      </c>
      <c r="O14" s="91">
        <v>0.055344</v>
      </c>
      <c r="P14" s="91"/>
      <c r="Q14" s="84" t="s">
        <v>2789</v>
      </c>
      <c r="R14" s="91">
        <v>0.006061</v>
      </c>
      <c r="S14" s="91">
        <v>0.006679</v>
      </c>
      <c r="T14" s="91"/>
      <c r="U14" s="98">
        <v>46.0</v>
      </c>
      <c r="V14" s="91">
        <v>0.021818</v>
      </c>
      <c r="W14" s="91">
        <v>0.0</v>
      </c>
      <c r="X14" s="96">
        <v>0.024809</v>
      </c>
      <c r="Y14" s="91">
        <v>0.0</v>
      </c>
    </row>
    <row r="15">
      <c r="A15" s="84" t="s">
        <v>3936</v>
      </c>
      <c r="B15" s="91">
        <v>0.013333</v>
      </c>
      <c r="C15" s="91">
        <v>0.01145</v>
      </c>
      <c r="D15" s="98"/>
      <c r="E15" s="84" t="s">
        <v>2579</v>
      </c>
      <c r="F15" s="91">
        <v>0.021818</v>
      </c>
      <c r="G15" s="91">
        <v>0.022901</v>
      </c>
      <c r="H15" s="98"/>
      <c r="I15" s="84" t="s">
        <v>3412</v>
      </c>
      <c r="J15" s="91">
        <v>0.024242</v>
      </c>
      <c r="K15" s="91">
        <v>0.01813</v>
      </c>
      <c r="L15" s="91"/>
      <c r="M15" s="91" t="s">
        <v>2832</v>
      </c>
      <c r="N15" s="91">
        <v>0.050909</v>
      </c>
      <c r="O15" s="91">
        <v>0.054389</v>
      </c>
      <c r="P15" s="91"/>
      <c r="Q15" s="84" t="s">
        <v>3105</v>
      </c>
      <c r="R15" s="91">
        <v>0.006061</v>
      </c>
      <c r="S15" s="91">
        <v>0.006679</v>
      </c>
      <c r="T15" s="91"/>
      <c r="U15" s="98">
        <v>47.0</v>
      </c>
      <c r="V15" s="91">
        <v>0.021818</v>
      </c>
      <c r="W15" s="91">
        <v>0.0</v>
      </c>
      <c r="X15" s="96">
        <v>0.024809</v>
      </c>
      <c r="Y15" s="91">
        <v>0.001908</v>
      </c>
    </row>
    <row r="16">
      <c r="A16" s="84" t="s">
        <v>3923</v>
      </c>
      <c r="B16" s="91">
        <v>0.013333</v>
      </c>
      <c r="C16" s="91">
        <v>0.010496</v>
      </c>
      <c r="D16" s="98"/>
      <c r="E16" s="84" t="s">
        <v>3003</v>
      </c>
      <c r="F16" s="91">
        <v>0.025455</v>
      </c>
      <c r="G16" s="91">
        <v>0.021947</v>
      </c>
      <c r="H16" s="98"/>
      <c r="I16" s="84" t="s">
        <v>3788</v>
      </c>
      <c r="J16" s="91">
        <v>0.01697</v>
      </c>
      <c r="K16" s="91">
        <v>0.01813</v>
      </c>
      <c r="L16" s="91"/>
      <c r="M16" s="91" t="s">
        <v>2841</v>
      </c>
      <c r="N16" s="91">
        <v>0.06303</v>
      </c>
      <c r="O16" s="91">
        <v>0.050573</v>
      </c>
      <c r="P16" s="91"/>
      <c r="Q16" s="84" t="s">
        <v>2599</v>
      </c>
      <c r="R16" s="91">
        <v>0.003636</v>
      </c>
      <c r="S16" s="91">
        <v>0.005725</v>
      </c>
      <c r="T16" s="91"/>
      <c r="U16" s="98">
        <v>48.0</v>
      </c>
      <c r="V16" s="91">
        <v>0.021818</v>
      </c>
      <c r="W16" s="91">
        <v>0.0</v>
      </c>
      <c r="X16" s="96">
        <v>0.026718</v>
      </c>
      <c r="Y16" s="91">
        <v>0.0</v>
      </c>
    </row>
    <row r="17">
      <c r="A17" s="84" t="s">
        <v>3650</v>
      </c>
      <c r="B17" s="91">
        <v>0.013333</v>
      </c>
      <c r="C17" s="91">
        <v>0.009542</v>
      </c>
      <c r="D17" s="98"/>
      <c r="E17" s="84" t="s">
        <v>2618</v>
      </c>
      <c r="F17" s="91">
        <v>0.01697</v>
      </c>
      <c r="G17" s="91">
        <v>0.01813</v>
      </c>
      <c r="H17" s="98"/>
      <c r="I17" s="84" t="s">
        <v>3162</v>
      </c>
      <c r="J17" s="91">
        <v>0.015758</v>
      </c>
      <c r="K17" s="91">
        <v>0.017176</v>
      </c>
      <c r="L17" s="91"/>
      <c r="M17" s="91" t="s">
        <v>3448</v>
      </c>
      <c r="N17" s="91">
        <v>0.061818</v>
      </c>
      <c r="O17" s="91">
        <v>0.050573</v>
      </c>
      <c r="P17" s="91"/>
      <c r="Q17" s="84" t="s">
        <v>3344</v>
      </c>
      <c r="R17" s="91">
        <v>0.004848</v>
      </c>
      <c r="S17" s="91">
        <v>0.004771</v>
      </c>
      <c r="T17" s="91"/>
      <c r="U17" s="98">
        <v>49.0</v>
      </c>
      <c r="V17" s="91">
        <v>0.021818</v>
      </c>
      <c r="W17" s="91">
        <v>0.003636</v>
      </c>
      <c r="X17" s="96">
        <v>0.026718</v>
      </c>
      <c r="Y17" s="91">
        <v>0.005725</v>
      </c>
    </row>
    <row r="18">
      <c r="A18" s="84" t="s">
        <v>3929</v>
      </c>
      <c r="B18" s="91">
        <v>0.013333</v>
      </c>
      <c r="C18" s="91">
        <v>0.009542</v>
      </c>
      <c r="D18" s="98"/>
      <c r="E18" s="84" t="s">
        <v>2519</v>
      </c>
      <c r="F18" s="91">
        <v>0.015758</v>
      </c>
      <c r="G18" s="91">
        <v>0.017176</v>
      </c>
      <c r="H18" s="98"/>
      <c r="I18" s="84" t="s">
        <v>3034</v>
      </c>
      <c r="J18" s="91">
        <v>0.018182</v>
      </c>
      <c r="K18" s="91">
        <v>0.015267</v>
      </c>
      <c r="L18" s="91"/>
      <c r="M18" s="91" t="s">
        <v>3590</v>
      </c>
      <c r="N18" s="91">
        <v>0.043636</v>
      </c>
      <c r="O18" s="91">
        <v>0.050573</v>
      </c>
      <c r="P18" s="91"/>
      <c r="Q18" s="84" t="s">
        <v>2941</v>
      </c>
      <c r="R18" s="91">
        <v>0.002424</v>
      </c>
      <c r="S18" s="91">
        <v>0.001908</v>
      </c>
      <c r="T18" s="91"/>
      <c r="U18" s="98">
        <v>50.0</v>
      </c>
      <c r="V18" s="91">
        <v>0.025455</v>
      </c>
      <c r="W18" s="91">
        <v>0.01697</v>
      </c>
      <c r="X18" s="96">
        <v>0.032443</v>
      </c>
      <c r="Y18" s="91">
        <v>0.019084</v>
      </c>
    </row>
    <row r="19">
      <c r="A19" s="84" t="s">
        <v>3893</v>
      </c>
      <c r="B19" s="91">
        <v>0.013333</v>
      </c>
      <c r="C19" s="91">
        <v>0.007634</v>
      </c>
      <c r="D19" s="98"/>
      <c r="E19" s="84" t="s">
        <v>2885</v>
      </c>
      <c r="F19" s="91">
        <v>0.014545</v>
      </c>
      <c r="G19" s="91">
        <v>0.017176</v>
      </c>
      <c r="H19" s="98"/>
      <c r="I19" s="84" t="s">
        <v>2576</v>
      </c>
      <c r="J19" s="91">
        <v>0.014545</v>
      </c>
      <c r="K19" s="91">
        <v>0.015267</v>
      </c>
      <c r="L19" s="91"/>
      <c r="M19" s="91" t="s">
        <v>2517</v>
      </c>
      <c r="N19" s="91">
        <v>0.031515</v>
      </c>
      <c r="O19" s="91">
        <v>0.043893</v>
      </c>
      <c r="P19" s="91"/>
      <c r="Q19" s="84" t="s">
        <v>3134</v>
      </c>
      <c r="R19" s="91">
        <v>0.002424</v>
      </c>
      <c r="S19" s="91">
        <v>0.001908</v>
      </c>
      <c r="T19" s="91"/>
      <c r="U19" s="98" t="s">
        <v>6501</v>
      </c>
      <c r="V19" s="91">
        <v>0.042424</v>
      </c>
      <c r="W19" s="91">
        <v>0.0</v>
      </c>
      <c r="X19" s="96">
        <v>0.051527</v>
      </c>
      <c r="Y19" s="91">
        <v>0.0</v>
      </c>
    </row>
    <row r="20">
      <c r="A20" s="84" t="s">
        <v>3931</v>
      </c>
      <c r="B20" s="91">
        <v>0.013333</v>
      </c>
      <c r="C20" s="91">
        <v>0.006679</v>
      </c>
      <c r="D20" s="98"/>
      <c r="E20" s="84" t="s">
        <v>2983</v>
      </c>
      <c r="F20" s="91">
        <v>0.01697</v>
      </c>
      <c r="G20" s="91">
        <v>0.016221</v>
      </c>
      <c r="H20" s="98"/>
      <c r="I20" s="84" t="s">
        <v>3968</v>
      </c>
      <c r="J20" s="91">
        <v>0.012121</v>
      </c>
      <c r="K20" s="91">
        <v>0.015267</v>
      </c>
      <c r="L20" s="91"/>
      <c r="M20" s="91" t="s">
        <v>3015</v>
      </c>
      <c r="N20" s="91">
        <v>0.049697</v>
      </c>
      <c r="O20" s="91">
        <v>0.041031</v>
      </c>
      <c r="P20" s="91"/>
      <c r="Q20" s="84" t="s">
        <v>2605</v>
      </c>
      <c r="R20" s="91">
        <v>0.0</v>
      </c>
      <c r="S20" s="91">
        <v>0.0</v>
      </c>
      <c r="T20" s="91"/>
      <c r="U20" s="98">
        <v>54.0</v>
      </c>
      <c r="V20" s="91">
        <v>0.042424</v>
      </c>
      <c r="W20" s="91">
        <v>0.002424</v>
      </c>
      <c r="X20" s="96">
        <v>0.051527</v>
      </c>
      <c r="Y20" s="91">
        <v>0.001908</v>
      </c>
    </row>
    <row r="21">
      <c r="A21" s="84" t="s">
        <v>3958</v>
      </c>
      <c r="B21" s="91">
        <v>0.012121</v>
      </c>
      <c r="C21" s="91">
        <v>0.016221</v>
      </c>
      <c r="D21" s="98"/>
      <c r="E21" s="84" t="s">
        <v>2806</v>
      </c>
      <c r="F21" s="91">
        <v>0.013333</v>
      </c>
      <c r="G21" s="91">
        <v>0.015267</v>
      </c>
      <c r="H21" s="98"/>
      <c r="I21" s="84" t="s">
        <v>3049</v>
      </c>
      <c r="J21" s="91">
        <v>0.009697</v>
      </c>
      <c r="K21" s="91">
        <v>0.015267</v>
      </c>
      <c r="L21" s="91"/>
      <c r="M21" s="91" t="s">
        <v>3185</v>
      </c>
      <c r="N21" s="91">
        <v>0.037576</v>
      </c>
      <c r="O21" s="91">
        <v>0.040076</v>
      </c>
      <c r="P21" s="91"/>
      <c r="Q21" s="84" t="s">
        <v>3289</v>
      </c>
      <c r="R21" s="91">
        <v>0.0</v>
      </c>
      <c r="S21" s="91">
        <v>0.0</v>
      </c>
      <c r="T21" s="91"/>
      <c r="U21" s="98">
        <v>55.0</v>
      </c>
      <c r="V21" s="91">
        <v>0.044848</v>
      </c>
      <c r="W21" s="91">
        <v>0.004848</v>
      </c>
      <c r="X21" s="96">
        <v>0.053435</v>
      </c>
      <c r="Y21" s="91">
        <v>0.005725</v>
      </c>
    </row>
    <row r="22">
      <c r="A22" s="84" t="s">
        <v>3966</v>
      </c>
      <c r="B22" s="91">
        <v>0.012121</v>
      </c>
      <c r="C22" s="91">
        <v>0.015267</v>
      </c>
      <c r="D22" s="98"/>
      <c r="E22" s="84" t="s">
        <v>3096</v>
      </c>
      <c r="F22" s="91">
        <v>0.012121</v>
      </c>
      <c r="G22" s="91">
        <v>0.015267</v>
      </c>
      <c r="H22" s="98"/>
      <c r="I22" s="84" t="s">
        <v>2849</v>
      </c>
      <c r="J22" s="91">
        <v>0.012121</v>
      </c>
      <c r="K22" s="91">
        <v>0.014313</v>
      </c>
      <c r="L22" s="91"/>
      <c r="M22" s="91" t="s">
        <v>3524</v>
      </c>
      <c r="N22" s="91">
        <v>0.025455</v>
      </c>
      <c r="O22" s="91">
        <v>0.039122</v>
      </c>
      <c r="P22" s="91"/>
      <c r="Q22" s="84" t="s">
        <v>2795</v>
      </c>
      <c r="R22" s="91">
        <v>0.0</v>
      </c>
      <c r="S22" s="91">
        <v>0.0</v>
      </c>
      <c r="T22" s="91"/>
      <c r="U22" s="98">
        <v>56.0</v>
      </c>
      <c r="V22" s="91">
        <v>0.049697</v>
      </c>
      <c r="W22" s="91">
        <v>0.002424</v>
      </c>
      <c r="X22" s="96">
        <v>0.05916</v>
      </c>
      <c r="Y22" s="91">
        <v>0.002863</v>
      </c>
    </row>
    <row r="23">
      <c r="A23" s="84" t="s">
        <v>3774</v>
      </c>
      <c r="B23" s="91">
        <v>0.012121</v>
      </c>
      <c r="C23" s="91">
        <v>0.009542</v>
      </c>
      <c r="D23" s="98"/>
      <c r="E23" s="84" t="s">
        <v>3433</v>
      </c>
      <c r="F23" s="91">
        <v>0.014545</v>
      </c>
      <c r="G23" s="91">
        <v>0.014313</v>
      </c>
      <c r="H23" s="98"/>
      <c r="I23" s="84" t="s">
        <v>2747</v>
      </c>
      <c r="J23" s="91">
        <v>0.010909</v>
      </c>
      <c r="K23" s="91">
        <v>0.014313</v>
      </c>
      <c r="L23" s="91"/>
      <c r="M23" s="91" t="s">
        <v>2763</v>
      </c>
      <c r="N23" s="91">
        <v>0.035152</v>
      </c>
      <c r="O23" s="91">
        <v>0.037214</v>
      </c>
      <c r="P23" s="91"/>
      <c r="Q23" s="84" t="s">
        <v>2641</v>
      </c>
      <c r="R23" s="91">
        <v>0.0</v>
      </c>
      <c r="S23" s="91">
        <v>0.0</v>
      </c>
      <c r="T23" s="91"/>
      <c r="U23" s="98">
        <v>57.0</v>
      </c>
      <c r="V23" s="91">
        <v>0.052121</v>
      </c>
      <c r="W23" s="91">
        <v>0.0</v>
      </c>
      <c r="X23" s="96">
        <v>0.062023</v>
      </c>
      <c r="Y23" s="91">
        <v>0.0</v>
      </c>
    </row>
    <row r="24">
      <c r="A24" s="84" t="s">
        <v>4228</v>
      </c>
      <c r="B24" s="91">
        <v>0.010909</v>
      </c>
      <c r="C24" s="91">
        <v>0.013359</v>
      </c>
      <c r="D24" s="98"/>
      <c r="E24" s="84" t="s">
        <v>4114</v>
      </c>
      <c r="F24" s="91">
        <v>0.013333</v>
      </c>
      <c r="G24" s="91">
        <v>0.014313</v>
      </c>
      <c r="H24" s="98"/>
      <c r="I24" s="84" t="s">
        <v>3136</v>
      </c>
      <c r="J24" s="91">
        <v>0.018182</v>
      </c>
      <c r="K24" s="91">
        <v>0.013359</v>
      </c>
      <c r="L24" s="91"/>
      <c r="M24" s="91" t="s">
        <v>3578</v>
      </c>
      <c r="N24" s="91">
        <v>0.033939</v>
      </c>
      <c r="O24" s="91">
        <v>0.03626</v>
      </c>
      <c r="P24" s="91"/>
      <c r="Q24" s="84" t="s">
        <v>2845</v>
      </c>
      <c r="R24" s="91">
        <v>0.0</v>
      </c>
      <c r="S24" s="91">
        <v>0.0</v>
      </c>
      <c r="T24" s="91"/>
      <c r="U24" s="98">
        <v>58.0</v>
      </c>
      <c r="V24" s="91">
        <v>0.052121</v>
      </c>
      <c r="W24" s="91">
        <v>0.003636</v>
      </c>
      <c r="X24" s="96">
        <v>0.062023</v>
      </c>
      <c r="Y24" s="91">
        <v>0.003817</v>
      </c>
    </row>
    <row r="25">
      <c r="A25" s="84" t="s">
        <v>3779</v>
      </c>
      <c r="B25" s="91">
        <v>0.010909</v>
      </c>
      <c r="C25" s="91">
        <v>0.009542</v>
      </c>
      <c r="D25" s="98"/>
      <c r="E25" s="84" t="s">
        <v>2724</v>
      </c>
      <c r="F25" s="91">
        <v>0.013333</v>
      </c>
      <c r="G25" s="91">
        <v>0.013359</v>
      </c>
      <c r="H25" s="98"/>
      <c r="I25" s="84" t="s">
        <v>3496</v>
      </c>
      <c r="J25" s="91">
        <v>0.015758</v>
      </c>
      <c r="K25" s="91">
        <v>0.013359</v>
      </c>
      <c r="L25" s="91"/>
      <c r="M25" s="91" t="s">
        <v>3523</v>
      </c>
      <c r="N25" s="91">
        <v>0.030303</v>
      </c>
      <c r="O25" s="91">
        <v>0.03626</v>
      </c>
      <c r="P25" s="91"/>
      <c r="Q25" s="84" t="s">
        <v>3157</v>
      </c>
      <c r="R25" s="91">
        <v>0.0</v>
      </c>
      <c r="S25" s="91">
        <v>0.0</v>
      </c>
      <c r="T25" s="91"/>
      <c r="U25" s="98">
        <v>59.0</v>
      </c>
      <c r="V25" s="91">
        <v>0.055758</v>
      </c>
      <c r="W25" s="91">
        <v>0.009697</v>
      </c>
      <c r="X25" s="96">
        <v>0.06584</v>
      </c>
      <c r="Y25" s="91">
        <v>0.008588</v>
      </c>
    </row>
    <row r="26">
      <c r="A26" s="84" t="s">
        <v>3678</v>
      </c>
      <c r="B26" s="91">
        <v>0.010909</v>
      </c>
      <c r="C26" s="91">
        <v>0.008588</v>
      </c>
      <c r="D26" s="98"/>
      <c r="E26" s="84" t="s">
        <v>3220</v>
      </c>
      <c r="F26" s="91">
        <v>0.015758</v>
      </c>
      <c r="G26" s="91">
        <v>0.01145</v>
      </c>
      <c r="H26" s="98"/>
      <c r="I26" s="84" t="s">
        <v>2662</v>
      </c>
      <c r="J26" s="91">
        <v>0.014545</v>
      </c>
      <c r="K26" s="91">
        <v>0.012405</v>
      </c>
      <c r="L26" s="91"/>
      <c r="M26" s="91" t="s">
        <v>3047</v>
      </c>
      <c r="N26" s="91">
        <v>0.027879</v>
      </c>
      <c r="O26" s="91">
        <v>0.03626</v>
      </c>
      <c r="P26" s="91"/>
      <c r="Q26" s="84" t="s">
        <v>2611</v>
      </c>
      <c r="R26" s="91">
        <v>0.0</v>
      </c>
      <c r="S26" s="91">
        <v>0.0</v>
      </c>
      <c r="T26" s="91"/>
      <c r="U26" s="98">
        <v>60.0</v>
      </c>
      <c r="V26" s="91">
        <v>0.065455</v>
      </c>
      <c r="W26" s="91">
        <v>0.008485</v>
      </c>
      <c r="X26" s="96">
        <v>0.074427</v>
      </c>
      <c r="Y26" s="91">
        <v>0.013359</v>
      </c>
    </row>
    <row r="27">
      <c r="A27" s="84" t="s">
        <v>3676</v>
      </c>
      <c r="B27" s="91">
        <v>0.010909</v>
      </c>
      <c r="C27" s="91">
        <v>0.008588</v>
      </c>
      <c r="D27" s="98"/>
      <c r="E27" s="84" t="s">
        <v>3439</v>
      </c>
      <c r="F27" s="91">
        <v>0.012121</v>
      </c>
      <c r="G27" s="91">
        <v>0.01145</v>
      </c>
      <c r="H27" s="98"/>
      <c r="I27" s="84" t="s">
        <v>3404</v>
      </c>
      <c r="J27" s="91">
        <v>0.012121</v>
      </c>
      <c r="K27" s="91">
        <v>0.012405</v>
      </c>
      <c r="L27" s="91"/>
      <c r="M27" s="91" t="s">
        <v>2869</v>
      </c>
      <c r="N27" s="91">
        <v>0.036364</v>
      </c>
      <c r="O27" s="91">
        <v>0.035305</v>
      </c>
      <c r="P27" s="91"/>
      <c r="Q27" s="84" t="s">
        <v>3248</v>
      </c>
      <c r="R27" s="91">
        <v>0.0</v>
      </c>
      <c r="S27" s="91">
        <v>0.0</v>
      </c>
      <c r="T27" s="91"/>
      <c r="U27" s="98">
        <v>61.0</v>
      </c>
      <c r="V27" s="91">
        <v>0.073939</v>
      </c>
      <c r="W27" s="91">
        <v>0.003636</v>
      </c>
      <c r="X27" s="96">
        <v>0.087786</v>
      </c>
      <c r="Y27" s="91">
        <v>0.007634</v>
      </c>
    </row>
    <row r="28">
      <c r="A28" s="84" t="s">
        <v>3933</v>
      </c>
      <c r="B28" s="91">
        <v>0.010909</v>
      </c>
      <c r="C28" s="91">
        <v>0.007634</v>
      </c>
      <c r="D28" s="98"/>
      <c r="E28" s="84" t="s">
        <v>2527</v>
      </c>
      <c r="F28" s="91">
        <v>0.009697</v>
      </c>
      <c r="G28" s="91">
        <v>0.01145</v>
      </c>
      <c r="H28" s="98"/>
      <c r="I28" s="84" t="s">
        <v>2995</v>
      </c>
      <c r="J28" s="91">
        <v>0.013333</v>
      </c>
      <c r="K28" s="91">
        <v>0.01145</v>
      </c>
      <c r="L28" s="91"/>
      <c r="M28" s="91" t="s">
        <v>2688</v>
      </c>
      <c r="N28" s="91">
        <v>0.030303</v>
      </c>
      <c r="O28" s="91">
        <v>0.035305</v>
      </c>
      <c r="P28" s="91"/>
      <c r="Q28" s="91"/>
      <c r="R28" s="91"/>
      <c r="S28" s="91"/>
      <c r="T28" s="91"/>
      <c r="U28" s="98">
        <v>62.0</v>
      </c>
      <c r="V28" s="91">
        <v>0.077576</v>
      </c>
      <c r="W28" s="91">
        <v>0.0</v>
      </c>
      <c r="X28" s="96">
        <v>0.09542</v>
      </c>
      <c r="Y28" s="91">
        <v>0.0</v>
      </c>
    </row>
    <row r="29">
      <c r="A29" s="84" t="s">
        <v>3742</v>
      </c>
      <c r="B29" s="91">
        <v>0.009697</v>
      </c>
      <c r="C29" s="91">
        <v>0.015267</v>
      </c>
      <c r="D29" s="98"/>
      <c r="E29" s="84" t="s">
        <v>4102</v>
      </c>
      <c r="F29" s="91">
        <v>0.008485</v>
      </c>
      <c r="G29" s="91">
        <v>0.01145</v>
      </c>
      <c r="H29" s="98"/>
      <c r="I29" s="84" t="s">
        <v>2803</v>
      </c>
      <c r="J29" s="91">
        <v>0.012121</v>
      </c>
      <c r="K29" s="91">
        <v>0.01145</v>
      </c>
      <c r="L29" s="91"/>
      <c r="M29" s="91" t="s">
        <v>3260</v>
      </c>
      <c r="N29" s="91">
        <v>0.032727</v>
      </c>
      <c r="O29" s="91">
        <v>0.034351</v>
      </c>
      <c r="P29" s="91"/>
      <c r="Q29" s="91"/>
      <c r="R29" s="91"/>
      <c r="S29" s="91"/>
      <c r="T29" s="91"/>
      <c r="U29" s="98">
        <v>63.0</v>
      </c>
      <c r="V29" s="91">
        <v>0.077576</v>
      </c>
      <c r="W29" s="91">
        <v>0.012121</v>
      </c>
      <c r="X29" s="96">
        <v>0.09542</v>
      </c>
      <c r="Y29" s="91">
        <v>0.021947</v>
      </c>
    </row>
    <row r="30">
      <c r="A30" s="84" t="s">
        <v>4226</v>
      </c>
      <c r="B30" s="91">
        <v>0.009697</v>
      </c>
      <c r="C30" s="91">
        <v>0.014313</v>
      </c>
      <c r="D30" s="98"/>
      <c r="E30" s="84" t="s">
        <v>2630</v>
      </c>
      <c r="F30" s="91">
        <v>0.008485</v>
      </c>
      <c r="G30" s="91">
        <v>0.010496</v>
      </c>
      <c r="H30" s="98"/>
      <c r="I30" s="84" t="s">
        <v>3000</v>
      </c>
      <c r="J30" s="91">
        <v>0.009697</v>
      </c>
      <c r="K30" s="91">
        <v>0.01145</v>
      </c>
      <c r="L30" s="91"/>
      <c r="M30" s="91" t="s">
        <v>3730</v>
      </c>
      <c r="N30" s="91">
        <v>0.027879</v>
      </c>
      <c r="O30" s="91">
        <v>0.034351</v>
      </c>
      <c r="P30" s="91"/>
      <c r="Q30" s="91"/>
      <c r="R30" s="91"/>
      <c r="S30" s="91"/>
      <c r="T30" s="91"/>
      <c r="U30" s="98">
        <v>64.0</v>
      </c>
      <c r="V30" s="91">
        <v>0.089697</v>
      </c>
      <c r="W30" s="91">
        <v>0.0</v>
      </c>
      <c r="X30" s="96">
        <v>0.117366</v>
      </c>
      <c r="Y30" s="91">
        <v>0.0</v>
      </c>
    </row>
    <row r="31">
      <c r="A31" s="84" t="s">
        <v>3859</v>
      </c>
      <c r="B31" s="91">
        <v>0.009697</v>
      </c>
      <c r="C31" s="91">
        <v>0.005725</v>
      </c>
      <c r="D31" s="98"/>
      <c r="E31" s="84" t="s">
        <v>2528</v>
      </c>
      <c r="F31" s="91">
        <v>0.010909</v>
      </c>
      <c r="G31" s="91">
        <v>0.009542</v>
      </c>
      <c r="H31" s="98"/>
      <c r="I31" s="84" t="s">
        <v>2742</v>
      </c>
      <c r="J31" s="91">
        <v>0.008485</v>
      </c>
      <c r="K31" s="91">
        <v>0.01145</v>
      </c>
      <c r="L31" s="91"/>
      <c r="M31" s="91" t="s">
        <v>2625</v>
      </c>
      <c r="N31" s="91">
        <v>0.018182</v>
      </c>
      <c r="O31" s="91">
        <v>0.032443</v>
      </c>
      <c r="P31" s="91"/>
      <c r="Q31" s="91"/>
      <c r="R31" s="91"/>
      <c r="S31" s="91"/>
      <c r="T31" s="91"/>
      <c r="U31" s="98">
        <v>65.0</v>
      </c>
      <c r="V31" s="91">
        <v>0.089697</v>
      </c>
      <c r="W31" s="91">
        <v>0.002424</v>
      </c>
      <c r="X31" s="96">
        <v>0.117366</v>
      </c>
      <c r="Y31" s="91">
        <v>0.002863</v>
      </c>
    </row>
    <row r="32">
      <c r="A32" s="84" t="s">
        <v>3426</v>
      </c>
      <c r="B32" s="91">
        <v>0.009697</v>
      </c>
      <c r="C32" s="91">
        <v>0.005725</v>
      </c>
      <c r="D32" s="98"/>
      <c r="E32" s="84" t="s">
        <v>3976</v>
      </c>
      <c r="F32" s="91">
        <v>0.009697</v>
      </c>
      <c r="G32" s="91">
        <v>0.009542</v>
      </c>
      <c r="H32" s="98"/>
      <c r="I32" s="84" t="s">
        <v>3028</v>
      </c>
      <c r="J32" s="91">
        <v>0.012121</v>
      </c>
      <c r="K32" s="91">
        <v>0.010496</v>
      </c>
      <c r="L32" s="91"/>
      <c r="M32" s="91" t="s">
        <v>3113</v>
      </c>
      <c r="N32" s="91">
        <v>0.042424</v>
      </c>
      <c r="O32" s="91">
        <v>0.031489</v>
      </c>
      <c r="P32" s="91"/>
      <c r="Q32" s="91"/>
      <c r="R32" s="91"/>
      <c r="S32" s="91"/>
      <c r="T32" s="91"/>
      <c r="U32" s="98">
        <v>66.0</v>
      </c>
      <c r="V32" s="91">
        <v>0.092121</v>
      </c>
      <c r="W32" s="91">
        <v>0.0</v>
      </c>
      <c r="X32" s="96">
        <v>0.120229</v>
      </c>
      <c r="Y32" s="91">
        <v>0.0</v>
      </c>
    </row>
    <row r="33">
      <c r="A33" s="84" t="s">
        <v>3761</v>
      </c>
      <c r="B33" s="91">
        <v>0.009697</v>
      </c>
      <c r="C33" s="91">
        <v>0.003817</v>
      </c>
      <c r="D33" s="98"/>
      <c r="E33" s="84" t="s">
        <v>3395</v>
      </c>
      <c r="F33" s="91">
        <v>0.006061</v>
      </c>
      <c r="G33" s="91">
        <v>0.009542</v>
      </c>
      <c r="H33" s="98"/>
      <c r="I33" s="84" t="s">
        <v>2584</v>
      </c>
      <c r="J33" s="91">
        <v>0.010909</v>
      </c>
      <c r="K33" s="91">
        <v>0.010496</v>
      </c>
      <c r="L33" s="91"/>
      <c r="M33" s="91" t="s">
        <v>2967</v>
      </c>
      <c r="N33" s="91">
        <v>0.037576</v>
      </c>
      <c r="O33" s="91">
        <v>0.031489</v>
      </c>
      <c r="P33" s="91"/>
      <c r="Q33" s="91"/>
      <c r="R33" s="91"/>
      <c r="S33" s="91"/>
      <c r="T33" s="91"/>
      <c r="U33" s="98">
        <v>67.0</v>
      </c>
      <c r="V33" s="91">
        <v>0.092121</v>
      </c>
      <c r="W33" s="91">
        <v>0.007273</v>
      </c>
      <c r="X33" s="96">
        <v>0.120229</v>
      </c>
      <c r="Y33" s="91">
        <v>0.009542</v>
      </c>
    </row>
    <row r="34">
      <c r="A34" s="84" t="s">
        <v>3786</v>
      </c>
      <c r="B34" s="91">
        <v>0.008485</v>
      </c>
      <c r="C34" s="91">
        <v>0.009542</v>
      </c>
      <c r="D34" s="98"/>
      <c r="E34" s="84" t="s">
        <v>3651</v>
      </c>
      <c r="F34" s="91">
        <v>0.010909</v>
      </c>
      <c r="G34" s="91">
        <v>0.008588</v>
      </c>
      <c r="H34" s="98"/>
      <c r="I34" s="84" t="s">
        <v>2958</v>
      </c>
      <c r="J34" s="91">
        <v>0.007273</v>
      </c>
      <c r="K34" s="91">
        <v>0.010496</v>
      </c>
      <c r="L34" s="91"/>
      <c r="M34" s="91" t="s">
        <v>3427</v>
      </c>
      <c r="N34" s="91">
        <v>0.035152</v>
      </c>
      <c r="O34" s="91">
        <v>0.031489</v>
      </c>
      <c r="P34" s="91"/>
      <c r="Q34" s="91"/>
      <c r="R34" s="91"/>
      <c r="S34" s="91"/>
      <c r="T34" s="91"/>
      <c r="U34" s="98" t="s">
        <v>6502</v>
      </c>
      <c r="V34" s="91">
        <v>0.099394</v>
      </c>
      <c r="W34" s="91">
        <v>0.0</v>
      </c>
      <c r="X34" s="96">
        <v>0.129771</v>
      </c>
      <c r="Y34" s="91">
        <v>0.0</v>
      </c>
    </row>
    <row r="35">
      <c r="A35" s="84" t="s">
        <v>3628</v>
      </c>
      <c r="B35" s="91">
        <v>0.008485</v>
      </c>
      <c r="C35" s="91">
        <v>0.009542</v>
      </c>
      <c r="D35" s="98"/>
      <c r="E35" s="84" t="s">
        <v>3148</v>
      </c>
      <c r="F35" s="91">
        <v>0.009697</v>
      </c>
      <c r="G35" s="91">
        <v>0.008588</v>
      </c>
      <c r="H35" s="98"/>
      <c r="I35" s="84" t="s">
        <v>3399</v>
      </c>
      <c r="J35" s="91">
        <v>0.013333</v>
      </c>
      <c r="K35" s="91">
        <v>0.009542</v>
      </c>
      <c r="L35" s="91"/>
      <c r="M35" s="91" t="s">
        <v>3135</v>
      </c>
      <c r="N35" s="91">
        <v>0.032727</v>
      </c>
      <c r="O35" s="91">
        <v>0.031489</v>
      </c>
      <c r="P35" s="91"/>
      <c r="Q35" s="91"/>
      <c r="R35" s="91"/>
      <c r="S35" s="91"/>
      <c r="T35" s="91"/>
      <c r="U35" s="98">
        <v>70.0</v>
      </c>
      <c r="V35" s="91">
        <v>0.099394</v>
      </c>
      <c r="W35" s="91">
        <v>0.038788</v>
      </c>
      <c r="X35" s="96">
        <v>0.129771</v>
      </c>
      <c r="Y35" s="91">
        <v>0.037214</v>
      </c>
    </row>
    <row r="36">
      <c r="A36" s="84" t="s">
        <v>3744</v>
      </c>
      <c r="B36" s="91">
        <v>0.008485</v>
      </c>
      <c r="C36" s="91">
        <v>0.009542</v>
      </c>
      <c r="D36" s="98"/>
      <c r="E36" s="84" t="s">
        <v>3046</v>
      </c>
      <c r="F36" s="91">
        <v>0.006061</v>
      </c>
      <c r="G36" s="91">
        <v>0.008588</v>
      </c>
      <c r="H36" s="98"/>
      <c r="I36" s="84" t="s">
        <v>3826</v>
      </c>
      <c r="J36" s="91">
        <v>0.010909</v>
      </c>
      <c r="K36" s="91">
        <v>0.009542</v>
      </c>
      <c r="L36" s="91"/>
      <c r="M36" s="91" t="s">
        <v>3483</v>
      </c>
      <c r="N36" s="91">
        <v>0.026667</v>
      </c>
      <c r="O36" s="91">
        <v>0.031489</v>
      </c>
      <c r="P36" s="91"/>
      <c r="Q36" s="91"/>
      <c r="R36" s="91"/>
      <c r="S36" s="91"/>
      <c r="T36" s="91"/>
      <c r="U36" s="98">
        <v>71.0</v>
      </c>
      <c r="V36" s="91">
        <v>0.138182</v>
      </c>
      <c r="W36" s="91">
        <v>0.003636</v>
      </c>
      <c r="X36" s="96">
        <v>0.166985</v>
      </c>
      <c r="Y36" s="91">
        <v>0.004771</v>
      </c>
    </row>
    <row r="37">
      <c r="A37" s="84" t="s">
        <v>3586</v>
      </c>
      <c r="B37" s="91">
        <v>0.008485</v>
      </c>
      <c r="C37" s="91">
        <v>0.009542</v>
      </c>
      <c r="D37" s="98"/>
      <c r="E37" s="84" t="s">
        <v>3129</v>
      </c>
      <c r="F37" s="91">
        <v>0.007273</v>
      </c>
      <c r="G37" s="91">
        <v>0.007634</v>
      </c>
      <c r="H37" s="98"/>
      <c r="I37" s="84" t="s">
        <v>3630</v>
      </c>
      <c r="J37" s="91">
        <v>0.008485</v>
      </c>
      <c r="K37" s="91">
        <v>0.009542</v>
      </c>
      <c r="L37" s="91"/>
      <c r="M37" s="91" t="s">
        <v>2764</v>
      </c>
      <c r="N37" s="91">
        <v>0.049697</v>
      </c>
      <c r="O37" s="91">
        <v>0.030534</v>
      </c>
      <c r="P37" s="91"/>
      <c r="Q37" s="91"/>
      <c r="R37" s="91"/>
      <c r="S37" s="91"/>
      <c r="T37" s="91"/>
      <c r="U37" s="98">
        <v>72.0</v>
      </c>
      <c r="V37" s="91">
        <v>0.141818</v>
      </c>
      <c r="W37" s="91">
        <v>0.003636</v>
      </c>
      <c r="X37" s="96">
        <v>0.171756</v>
      </c>
      <c r="Y37" s="91">
        <v>0.009542</v>
      </c>
    </row>
    <row r="38">
      <c r="A38" s="84" t="s">
        <v>3814</v>
      </c>
      <c r="B38" s="91">
        <v>0.008485</v>
      </c>
      <c r="C38" s="91">
        <v>0.008588</v>
      </c>
      <c r="D38" s="98"/>
      <c r="E38" s="84" t="s">
        <v>3635</v>
      </c>
      <c r="F38" s="91">
        <v>0.006061</v>
      </c>
      <c r="G38" s="91">
        <v>0.007634</v>
      </c>
      <c r="H38" s="98"/>
      <c r="I38" s="84" t="s">
        <v>2945</v>
      </c>
      <c r="J38" s="91">
        <v>0.007273</v>
      </c>
      <c r="K38" s="91">
        <v>0.009542</v>
      </c>
      <c r="L38" s="91"/>
      <c r="M38" s="91" t="s">
        <v>3603</v>
      </c>
      <c r="N38" s="91">
        <v>0.025455</v>
      </c>
      <c r="O38" s="91">
        <v>0.030534</v>
      </c>
      <c r="P38" s="91"/>
      <c r="Q38" s="91"/>
      <c r="R38" s="91"/>
      <c r="S38" s="91"/>
      <c r="T38" s="91"/>
      <c r="U38" s="98" t="s">
        <v>6503</v>
      </c>
      <c r="V38" s="91">
        <v>0.145455</v>
      </c>
      <c r="W38" s="91">
        <v>0.0</v>
      </c>
      <c r="X38" s="96">
        <v>0.181298</v>
      </c>
      <c r="Y38" s="91">
        <v>0.0</v>
      </c>
    </row>
    <row r="39">
      <c r="A39" s="84" t="s">
        <v>3905</v>
      </c>
      <c r="B39" s="91">
        <v>0.008485</v>
      </c>
      <c r="C39" s="91">
        <v>0.007634</v>
      </c>
      <c r="D39" s="98"/>
      <c r="E39" s="84" t="s">
        <v>3889</v>
      </c>
      <c r="F39" s="91">
        <v>0.009697</v>
      </c>
      <c r="G39" s="91">
        <v>0.006679</v>
      </c>
      <c r="H39" s="98"/>
      <c r="I39" s="84" t="s">
        <v>2777</v>
      </c>
      <c r="J39" s="91">
        <v>0.006061</v>
      </c>
      <c r="K39" s="91">
        <v>0.009542</v>
      </c>
      <c r="L39" s="91"/>
      <c r="M39" s="91" t="s">
        <v>3341</v>
      </c>
      <c r="N39" s="91">
        <v>0.033939</v>
      </c>
      <c r="O39" s="91">
        <v>0.02958</v>
      </c>
      <c r="P39" s="91"/>
      <c r="Q39" s="91"/>
      <c r="R39" s="91"/>
      <c r="S39" s="91"/>
      <c r="T39" s="91"/>
      <c r="U39" s="98">
        <v>75.0</v>
      </c>
      <c r="V39" s="91">
        <v>0.145455</v>
      </c>
      <c r="W39" s="91">
        <v>0.004848</v>
      </c>
      <c r="X39" s="96">
        <v>0.181298</v>
      </c>
      <c r="Y39" s="91">
        <v>0.004771</v>
      </c>
    </row>
    <row r="40">
      <c r="A40" s="84" t="s">
        <v>3909</v>
      </c>
      <c r="B40" s="91">
        <v>0.008485</v>
      </c>
      <c r="C40" s="91">
        <v>0.007634</v>
      </c>
      <c r="D40" s="98"/>
      <c r="E40" s="84" t="s">
        <v>3071</v>
      </c>
      <c r="F40" s="91">
        <v>0.008485</v>
      </c>
      <c r="G40" s="91">
        <v>0.005725</v>
      </c>
      <c r="H40" s="98"/>
      <c r="I40" s="84" t="s">
        <v>3653</v>
      </c>
      <c r="J40" s="91">
        <v>0.010909</v>
      </c>
      <c r="K40" s="91">
        <v>0.008588</v>
      </c>
      <c r="L40" s="91"/>
      <c r="M40" s="91" t="s">
        <v>2539</v>
      </c>
      <c r="N40" s="91">
        <v>0.025455</v>
      </c>
      <c r="O40" s="91">
        <v>0.02958</v>
      </c>
      <c r="P40" s="91"/>
      <c r="Q40" s="91"/>
      <c r="R40" s="91"/>
      <c r="S40" s="91"/>
      <c r="T40" s="91"/>
      <c r="U40" s="98">
        <v>76.0</v>
      </c>
      <c r="V40" s="91">
        <v>0.150303</v>
      </c>
      <c r="W40" s="91">
        <v>0.015758</v>
      </c>
      <c r="X40" s="96">
        <v>0.186069</v>
      </c>
      <c r="Y40" s="91">
        <v>0.020038</v>
      </c>
    </row>
    <row r="41">
      <c r="A41" s="84" t="s">
        <v>3607</v>
      </c>
      <c r="B41" s="91">
        <v>0.008485</v>
      </c>
      <c r="C41" s="91">
        <v>0.006679</v>
      </c>
      <c r="D41" s="98"/>
      <c r="E41" s="84" t="s">
        <v>2675</v>
      </c>
      <c r="F41" s="91">
        <v>0.007273</v>
      </c>
      <c r="G41" s="91">
        <v>0.005725</v>
      </c>
      <c r="H41" s="98"/>
      <c r="I41" s="84" t="s">
        <v>2824</v>
      </c>
      <c r="J41" s="91">
        <v>0.009697</v>
      </c>
      <c r="K41" s="91">
        <v>0.008588</v>
      </c>
      <c r="L41" s="91"/>
      <c r="M41" s="91" t="s">
        <v>2704</v>
      </c>
      <c r="N41" s="91">
        <v>0.021818</v>
      </c>
      <c r="O41" s="91">
        <v>0.02958</v>
      </c>
      <c r="P41" s="91"/>
      <c r="Q41" s="91"/>
      <c r="R41" s="91"/>
      <c r="S41" s="91"/>
      <c r="T41" s="91"/>
      <c r="U41" s="98" t="s">
        <v>6504</v>
      </c>
      <c r="V41" s="91">
        <v>0.166061</v>
      </c>
      <c r="W41" s="91">
        <v>0.0</v>
      </c>
      <c r="X41" s="96">
        <v>0.206107</v>
      </c>
      <c r="Y41" s="91">
        <v>0.0</v>
      </c>
    </row>
    <row r="42">
      <c r="A42" s="84" t="s">
        <v>3830</v>
      </c>
      <c r="B42" s="91">
        <v>0.008485</v>
      </c>
      <c r="C42" s="91">
        <v>0.006679</v>
      </c>
      <c r="D42" s="98"/>
      <c r="E42" s="84" t="s">
        <v>2642</v>
      </c>
      <c r="F42" s="91">
        <v>0.006061</v>
      </c>
      <c r="G42" s="91">
        <v>0.005725</v>
      </c>
      <c r="H42" s="98"/>
      <c r="I42" s="84" t="s">
        <v>3217</v>
      </c>
      <c r="J42" s="91">
        <v>0.009697</v>
      </c>
      <c r="K42" s="91">
        <v>0.008588</v>
      </c>
      <c r="L42" s="91"/>
      <c r="M42" s="91" t="s">
        <v>2614</v>
      </c>
      <c r="N42" s="91">
        <v>0.029091</v>
      </c>
      <c r="O42" s="91">
        <v>0.028626</v>
      </c>
      <c r="P42" s="91"/>
      <c r="Q42" s="91"/>
      <c r="R42" s="91"/>
      <c r="S42" s="91"/>
      <c r="T42" s="91"/>
      <c r="U42" s="98">
        <v>80.0</v>
      </c>
      <c r="V42" s="91">
        <v>0.166061</v>
      </c>
      <c r="W42" s="91">
        <v>0.033939</v>
      </c>
      <c r="X42" s="96">
        <v>0.206107</v>
      </c>
      <c r="Y42" s="91">
        <v>0.038168</v>
      </c>
    </row>
    <row r="43">
      <c r="A43" s="84" t="s">
        <v>3728</v>
      </c>
      <c r="B43" s="91">
        <v>0.007273</v>
      </c>
      <c r="C43" s="91">
        <v>0.010496</v>
      </c>
      <c r="D43" s="98"/>
      <c r="E43" s="84" t="s">
        <v>2790</v>
      </c>
      <c r="F43" s="91">
        <v>0.004848</v>
      </c>
      <c r="G43" s="91">
        <v>0.005725</v>
      </c>
      <c r="H43" s="98"/>
      <c r="I43" s="84" t="s">
        <v>3102</v>
      </c>
      <c r="J43" s="91">
        <v>0.008485</v>
      </c>
      <c r="K43" s="91">
        <v>0.008588</v>
      </c>
      <c r="L43" s="91"/>
      <c r="M43" s="91" t="s">
        <v>3784</v>
      </c>
      <c r="N43" s="91">
        <v>0.027879</v>
      </c>
      <c r="O43" s="91">
        <v>0.027672</v>
      </c>
      <c r="P43" s="91"/>
      <c r="Q43" s="91"/>
      <c r="R43" s="91"/>
      <c r="S43" s="91"/>
      <c r="T43" s="91"/>
      <c r="U43" s="98">
        <v>81.0</v>
      </c>
      <c r="V43" s="91">
        <v>0.2</v>
      </c>
      <c r="W43" s="91">
        <v>0.006061</v>
      </c>
      <c r="X43" s="96">
        <v>0.244275</v>
      </c>
      <c r="Y43" s="91">
        <v>0.003817</v>
      </c>
    </row>
    <row r="44">
      <c r="A44" s="84" t="s">
        <v>3749</v>
      </c>
      <c r="B44" s="91">
        <v>0.007273</v>
      </c>
      <c r="C44" s="91">
        <v>0.010496</v>
      </c>
      <c r="D44" s="98"/>
      <c r="E44" s="84" t="s">
        <v>2828</v>
      </c>
      <c r="F44" s="91">
        <v>0.004848</v>
      </c>
      <c r="G44" s="91">
        <v>0.005725</v>
      </c>
      <c r="H44" s="98"/>
      <c r="I44" s="84" t="s">
        <v>3918</v>
      </c>
      <c r="J44" s="91">
        <v>0.007273</v>
      </c>
      <c r="K44" s="91">
        <v>0.007634</v>
      </c>
      <c r="L44" s="91"/>
      <c r="M44" s="91" t="s">
        <v>2581</v>
      </c>
      <c r="N44" s="91">
        <v>0.029091</v>
      </c>
      <c r="O44" s="91">
        <v>0.026718</v>
      </c>
      <c r="P44" s="91"/>
      <c r="Q44" s="91"/>
      <c r="R44" s="91"/>
      <c r="S44" s="91"/>
      <c r="T44" s="91"/>
      <c r="U44" s="98">
        <v>82.0</v>
      </c>
      <c r="V44" s="91">
        <v>0.206061</v>
      </c>
      <c r="W44" s="91">
        <v>0.002424</v>
      </c>
      <c r="X44" s="96">
        <v>0.248092</v>
      </c>
      <c r="Y44" s="91">
        <v>0.001908</v>
      </c>
    </row>
    <row r="45">
      <c r="A45" s="84" t="s">
        <v>3648</v>
      </c>
      <c r="B45" s="91">
        <v>0.007273</v>
      </c>
      <c r="C45" s="91">
        <v>0.009542</v>
      </c>
      <c r="D45" s="98"/>
      <c r="E45" s="84" t="s">
        <v>4007</v>
      </c>
      <c r="F45" s="91">
        <v>0.004848</v>
      </c>
      <c r="G45" s="91">
        <v>0.005725</v>
      </c>
      <c r="H45" s="98"/>
      <c r="I45" s="84" t="s">
        <v>2708</v>
      </c>
      <c r="J45" s="91">
        <v>0.007273</v>
      </c>
      <c r="K45" s="91">
        <v>0.007634</v>
      </c>
      <c r="L45" s="91"/>
      <c r="M45" s="91" t="s">
        <v>3428</v>
      </c>
      <c r="N45" s="91">
        <v>0.025455</v>
      </c>
      <c r="O45" s="91">
        <v>0.026718</v>
      </c>
      <c r="P45" s="91"/>
      <c r="Q45" s="91"/>
      <c r="R45" s="91"/>
      <c r="S45" s="91"/>
      <c r="T45" s="91"/>
      <c r="U45" s="98" t="s">
        <v>6505</v>
      </c>
      <c r="V45" s="91">
        <v>0.208485</v>
      </c>
      <c r="W45" s="91">
        <v>0.0</v>
      </c>
      <c r="X45" s="96">
        <v>0.25</v>
      </c>
      <c r="Y45" s="91">
        <v>0.0</v>
      </c>
    </row>
    <row r="46">
      <c r="A46" s="84" t="s">
        <v>3721</v>
      </c>
      <c r="B46" s="91">
        <v>0.007273</v>
      </c>
      <c r="C46" s="91">
        <v>0.009542</v>
      </c>
      <c r="D46" s="98"/>
      <c r="E46" s="84" t="s">
        <v>3759</v>
      </c>
      <c r="F46" s="91">
        <v>0.003636</v>
      </c>
      <c r="G46" s="91">
        <v>0.005725</v>
      </c>
      <c r="H46" s="98"/>
      <c r="I46" s="84" t="s">
        <v>3141</v>
      </c>
      <c r="J46" s="91">
        <v>0.007273</v>
      </c>
      <c r="K46" s="91">
        <v>0.007634</v>
      </c>
      <c r="L46" s="91"/>
      <c r="M46" s="91" t="s">
        <v>2526</v>
      </c>
      <c r="N46" s="91">
        <v>0.031515</v>
      </c>
      <c r="O46" s="91">
        <v>0.025763</v>
      </c>
      <c r="P46" s="91"/>
      <c r="Q46" s="91"/>
      <c r="R46" s="91"/>
      <c r="S46" s="91"/>
      <c r="T46" s="91"/>
      <c r="U46" s="98">
        <v>85.0</v>
      </c>
      <c r="V46" s="91">
        <v>0.208485</v>
      </c>
      <c r="W46" s="91">
        <v>0.026667</v>
      </c>
      <c r="X46" s="96">
        <v>0.25</v>
      </c>
      <c r="Y46" s="91">
        <v>0.026718</v>
      </c>
    </row>
    <row r="47">
      <c r="A47" s="84" t="s">
        <v>3832</v>
      </c>
      <c r="B47" s="91">
        <v>0.007273</v>
      </c>
      <c r="C47" s="91">
        <v>0.008588</v>
      </c>
      <c r="D47" s="98"/>
      <c r="E47" s="84" t="s">
        <v>3614</v>
      </c>
      <c r="F47" s="91">
        <v>0.004848</v>
      </c>
      <c r="G47" s="91">
        <v>0.004771</v>
      </c>
      <c r="H47" s="98"/>
      <c r="I47" s="84" t="s">
        <v>1477</v>
      </c>
      <c r="J47" s="91">
        <v>0.007273</v>
      </c>
      <c r="K47" s="91">
        <v>0.007634</v>
      </c>
      <c r="L47" s="91"/>
      <c r="M47" s="91" t="s">
        <v>3558</v>
      </c>
      <c r="N47" s="91">
        <v>0.01697</v>
      </c>
      <c r="O47" s="91">
        <v>0.025763</v>
      </c>
      <c r="P47" s="91"/>
      <c r="Q47" s="91"/>
      <c r="R47" s="91"/>
      <c r="S47" s="91"/>
      <c r="T47" s="91"/>
      <c r="U47" s="98">
        <v>86.0</v>
      </c>
      <c r="V47" s="91">
        <v>0.235152</v>
      </c>
      <c r="W47" s="91">
        <v>0.002424</v>
      </c>
      <c r="X47" s="96">
        <v>0.276718</v>
      </c>
      <c r="Y47" s="91">
        <v>0.001908</v>
      </c>
    </row>
    <row r="48">
      <c r="A48" s="84" t="s">
        <v>3914</v>
      </c>
      <c r="B48" s="91">
        <v>0.007273</v>
      </c>
      <c r="C48" s="91">
        <v>0.007634</v>
      </c>
      <c r="D48" s="98"/>
      <c r="E48" s="84" t="s">
        <v>2623</v>
      </c>
      <c r="F48" s="91">
        <v>0.004848</v>
      </c>
      <c r="G48" s="91">
        <v>0.004771</v>
      </c>
      <c r="H48" s="98"/>
      <c r="I48" s="84" t="s">
        <v>3392</v>
      </c>
      <c r="J48" s="91">
        <v>0.008485</v>
      </c>
      <c r="K48" s="91">
        <v>0.006679</v>
      </c>
      <c r="L48" s="91"/>
      <c r="M48" s="91" t="s">
        <v>3600</v>
      </c>
      <c r="N48" s="91">
        <v>0.027879</v>
      </c>
      <c r="O48" s="91">
        <v>0.024809</v>
      </c>
      <c r="P48" s="91"/>
      <c r="Q48" s="91"/>
      <c r="R48" s="91"/>
      <c r="S48" s="91"/>
      <c r="T48" s="91"/>
      <c r="U48" s="98">
        <v>87.0</v>
      </c>
      <c r="V48" s="91">
        <v>0.237576</v>
      </c>
      <c r="W48" s="91">
        <v>0.006061</v>
      </c>
      <c r="X48" s="96">
        <v>0.278626</v>
      </c>
      <c r="Y48" s="91">
        <v>0.007634</v>
      </c>
    </row>
    <row r="49">
      <c r="A49" s="84" t="s">
        <v>3589</v>
      </c>
      <c r="B49" s="91">
        <v>0.007273</v>
      </c>
      <c r="C49" s="91">
        <v>0.007634</v>
      </c>
      <c r="D49" s="98"/>
      <c r="E49" s="84" t="s">
        <v>3175</v>
      </c>
      <c r="F49" s="91">
        <v>0.003636</v>
      </c>
      <c r="G49" s="91">
        <v>0.004771</v>
      </c>
      <c r="H49" s="98"/>
      <c r="I49" s="84" t="s">
        <v>3642</v>
      </c>
      <c r="J49" s="91">
        <v>0.007273</v>
      </c>
      <c r="K49" s="91">
        <v>0.006679</v>
      </c>
      <c r="L49" s="91"/>
      <c r="M49" s="91" t="s">
        <v>2751</v>
      </c>
      <c r="N49" s="91">
        <v>0.043636</v>
      </c>
      <c r="O49" s="91">
        <v>0.023855</v>
      </c>
      <c r="P49" s="91"/>
      <c r="Q49" s="91"/>
      <c r="R49" s="91"/>
      <c r="S49" s="91"/>
      <c r="T49" s="91"/>
      <c r="U49" s="98">
        <v>88.0</v>
      </c>
      <c r="V49" s="91">
        <v>0.243636</v>
      </c>
      <c r="W49" s="91">
        <v>0.002424</v>
      </c>
      <c r="X49" s="96">
        <v>0.28626</v>
      </c>
      <c r="Y49" s="91">
        <v>0.002863</v>
      </c>
    </row>
    <row r="50">
      <c r="A50" s="84" t="s">
        <v>3917</v>
      </c>
      <c r="B50" s="91">
        <v>0.007273</v>
      </c>
      <c r="C50" s="91">
        <v>0.007634</v>
      </c>
      <c r="D50" s="98"/>
      <c r="E50" s="84" t="s">
        <v>4157</v>
      </c>
      <c r="F50" s="91">
        <v>0.004848</v>
      </c>
      <c r="G50" s="91">
        <v>0.003817</v>
      </c>
      <c r="H50" s="98"/>
      <c r="I50" s="84" t="s">
        <v>3436</v>
      </c>
      <c r="J50" s="91">
        <v>0.006061</v>
      </c>
      <c r="K50" s="91">
        <v>0.006679</v>
      </c>
      <c r="L50" s="91"/>
      <c r="M50" s="91" t="s">
        <v>2732</v>
      </c>
      <c r="N50" s="91">
        <v>0.031515</v>
      </c>
      <c r="O50" s="91">
        <v>0.023855</v>
      </c>
      <c r="P50" s="91"/>
      <c r="Q50" s="91"/>
      <c r="R50" s="91"/>
      <c r="S50" s="91"/>
      <c r="T50" s="91"/>
      <c r="U50" s="98">
        <v>89.0</v>
      </c>
      <c r="V50" s="91">
        <v>0.246061</v>
      </c>
      <c r="W50" s="91">
        <v>0.0</v>
      </c>
      <c r="X50" s="96">
        <v>0.289122</v>
      </c>
      <c r="Y50" s="91">
        <v>0.0</v>
      </c>
    </row>
    <row r="51">
      <c r="A51" s="84" t="s">
        <v>3896</v>
      </c>
      <c r="B51" s="91">
        <v>0.007273</v>
      </c>
      <c r="C51" s="91">
        <v>0.007634</v>
      </c>
      <c r="D51" s="98"/>
      <c r="E51" s="84" t="s">
        <v>2894</v>
      </c>
      <c r="F51" s="91">
        <v>0.003636</v>
      </c>
      <c r="G51" s="91">
        <v>0.003817</v>
      </c>
      <c r="H51" s="98"/>
      <c r="I51" s="84" t="s">
        <v>3939</v>
      </c>
      <c r="J51" s="91">
        <v>0.004848</v>
      </c>
      <c r="K51" s="91">
        <v>0.006679</v>
      </c>
      <c r="L51" s="91"/>
      <c r="M51" s="91" t="s">
        <v>3710</v>
      </c>
      <c r="N51" s="91">
        <v>0.029091</v>
      </c>
      <c r="O51" s="91">
        <v>0.023855</v>
      </c>
      <c r="P51" s="91"/>
      <c r="Q51" s="91"/>
      <c r="R51" s="91"/>
      <c r="S51" s="91"/>
      <c r="T51" s="91"/>
      <c r="U51" s="98">
        <v>90.0</v>
      </c>
      <c r="V51" s="91">
        <v>0.246061</v>
      </c>
      <c r="W51" s="91">
        <v>0.006061</v>
      </c>
      <c r="X51" s="96">
        <v>0.289122</v>
      </c>
      <c r="Y51" s="91">
        <v>0.009542</v>
      </c>
    </row>
    <row r="52">
      <c r="A52" s="84" t="s">
        <v>3843</v>
      </c>
      <c r="B52" s="91">
        <v>0.007273</v>
      </c>
      <c r="C52" s="91">
        <v>0.007634</v>
      </c>
      <c r="D52" s="98"/>
      <c r="E52" s="84" t="s">
        <v>2612</v>
      </c>
      <c r="F52" s="91">
        <v>0.002424</v>
      </c>
      <c r="G52" s="91">
        <v>0.002863</v>
      </c>
      <c r="H52" s="98"/>
      <c r="I52" s="84" t="s">
        <v>3442</v>
      </c>
      <c r="J52" s="91">
        <v>0.015758</v>
      </c>
      <c r="K52" s="91">
        <v>0.005725</v>
      </c>
      <c r="L52" s="91"/>
      <c r="M52" s="91" t="s">
        <v>2807</v>
      </c>
      <c r="N52" s="91">
        <v>0.020606</v>
      </c>
      <c r="O52" s="91">
        <v>0.023855</v>
      </c>
      <c r="P52" s="91"/>
      <c r="Q52" s="91"/>
      <c r="R52" s="91"/>
      <c r="S52" s="91"/>
      <c r="T52" s="91"/>
      <c r="U52" s="98">
        <v>91.0</v>
      </c>
      <c r="V52" s="91">
        <v>0.252121</v>
      </c>
      <c r="W52" s="91">
        <v>0.01697</v>
      </c>
      <c r="X52" s="96">
        <v>0.298664</v>
      </c>
      <c r="Y52" s="91">
        <v>0.014313</v>
      </c>
    </row>
    <row r="53">
      <c r="A53" s="84" t="s">
        <v>3876</v>
      </c>
      <c r="B53" s="91">
        <v>0.007273</v>
      </c>
      <c r="C53" s="91">
        <v>0.007634</v>
      </c>
      <c r="D53" s="98"/>
      <c r="E53" s="84" t="s">
        <v>3311</v>
      </c>
      <c r="F53" s="91">
        <v>0.002424</v>
      </c>
      <c r="G53" s="91">
        <v>0.002863</v>
      </c>
      <c r="H53" s="98"/>
      <c r="I53" s="84" t="s">
        <v>3169</v>
      </c>
      <c r="J53" s="91">
        <v>0.007273</v>
      </c>
      <c r="K53" s="91">
        <v>0.005725</v>
      </c>
      <c r="L53" s="91"/>
      <c r="M53" s="91" t="s">
        <v>3626</v>
      </c>
      <c r="N53" s="91">
        <v>0.019394</v>
      </c>
      <c r="O53" s="91">
        <v>0.023855</v>
      </c>
      <c r="P53" s="91"/>
      <c r="Q53" s="91"/>
      <c r="R53" s="91"/>
      <c r="S53" s="91"/>
      <c r="T53" s="91"/>
      <c r="U53" s="98" t="s">
        <v>6506</v>
      </c>
      <c r="V53" s="91">
        <v>0.269091</v>
      </c>
      <c r="W53" s="91">
        <v>0.0</v>
      </c>
      <c r="X53" s="96">
        <v>0.312977</v>
      </c>
      <c r="Y53" s="91">
        <v>0.0</v>
      </c>
    </row>
    <row r="54">
      <c r="A54" s="84" t="s">
        <v>3632</v>
      </c>
      <c r="B54" s="91">
        <v>0.007273</v>
      </c>
      <c r="C54" s="91">
        <v>0.007634</v>
      </c>
      <c r="D54" s="98"/>
      <c r="E54" s="84" t="s">
        <v>4074</v>
      </c>
      <c r="F54" s="91">
        <v>0.002424</v>
      </c>
      <c r="G54" s="91">
        <v>0.002863</v>
      </c>
      <c r="H54" s="98"/>
      <c r="I54" s="84" t="s">
        <v>3971</v>
      </c>
      <c r="J54" s="91">
        <v>0.007273</v>
      </c>
      <c r="K54" s="91">
        <v>0.005725</v>
      </c>
      <c r="L54" s="91"/>
      <c r="M54" s="91" t="s">
        <v>3160</v>
      </c>
      <c r="N54" s="91">
        <v>0.031515</v>
      </c>
      <c r="O54" s="91">
        <v>0.022901</v>
      </c>
      <c r="P54" s="91"/>
      <c r="Q54" s="91"/>
      <c r="R54" s="91"/>
      <c r="S54" s="91"/>
      <c r="T54" s="91"/>
      <c r="U54" s="98">
        <v>95.0</v>
      </c>
      <c r="V54" s="91">
        <v>0.269091</v>
      </c>
      <c r="W54" s="91">
        <v>0.004848</v>
      </c>
      <c r="X54" s="96">
        <v>0.312977</v>
      </c>
      <c r="Y54" s="91">
        <v>0.005725</v>
      </c>
    </row>
    <row r="55">
      <c r="A55" s="84" t="s">
        <v>3907</v>
      </c>
      <c r="B55" s="91">
        <v>0.007273</v>
      </c>
      <c r="C55" s="91">
        <v>0.005725</v>
      </c>
      <c r="D55" s="98"/>
      <c r="E55" s="84" t="s">
        <v>2745</v>
      </c>
      <c r="F55" s="91">
        <v>0.002424</v>
      </c>
      <c r="G55" s="91">
        <v>0.002863</v>
      </c>
      <c r="H55" s="98"/>
      <c r="I55" s="84" t="s">
        <v>2837</v>
      </c>
      <c r="J55" s="91">
        <v>0.006061</v>
      </c>
      <c r="K55" s="91">
        <v>0.005725</v>
      </c>
      <c r="L55" s="91"/>
      <c r="M55" s="91" t="s">
        <v>2762</v>
      </c>
      <c r="N55" s="91">
        <v>0.046061</v>
      </c>
      <c r="O55" s="91">
        <v>0.021947</v>
      </c>
      <c r="P55" s="91"/>
      <c r="Q55" s="91"/>
      <c r="R55" s="91"/>
      <c r="S55" s="91"/>
      <c r="T55" s="91"/>
      <c r="U55" s="98">
        <v>96.0</v>
      </c>
      <c r="V55" s="91">
        <v>0.273939</v>
      </c>
      <c r="W55" s="91">
        <v>0.0</v>
      </c>
      <c r="X55" s="96">
        <v>0.318702</v>
      </c>
      <c r="Y55" s="91">
        <v>0.0</v>
      </c>
    </row>
    <row r="56">
      <c r="A56" s="84" t="s">
        <v>3616</v>
      </c>
      <c r="B56" s="91">
        <v>0.007273</v>
      </c>
      <c r="C56" s="91">
        <v>0.005725</v>
      </c>
      <c r="D56" s="98"/>
      <c r="E56" s="84" t="s">
        <v>3037</v>
      </c>
      <c r="F56" s="91">
        <v>0.002424</v>
      </c>
      <c r="G56" s="91">
        <v>0.002863</v>
      </c>
      <c r="H56" s="98"/>
      <c r="I56" s="84" t="s">
        <v>3207</v>
      </c>
      <c r="J56" s="91">
        <v>0.006061</v>
      </c>
      <c r="K56" s="91">
        <v>0.005725</v>
      </c>
      <c r="L56" s="91"/>
      <c r="M56" s="91" t="s">
        <v>4025</v>
      </c>
      <c r="N56" s="91">
        <v>0.018182</v>
      </c>
      <c r="O56" s="91">
        <v>0.021947</v>
      </c>
      <c r="P56" s="91"/>
      <c r="Q56" s="91"/>
      <c r="R56" s="91"/>
      <c r="S56" s="91"/>
      <c r="T56" s="91"/>
      <c r="U56" s="98">
        <v>97.0</v>
      </c>
      <c r="V56" s="91">
        <v>0.273939</v>
      </c>
      <c r="W56" s="91">
        <v>0.003636</v>
      </c>
      <c r="X56" s="96">
        <v>0.318702</v>
      </c>
      <c r="Y56" s="91">
        <v>0.005725</v>
      </c>
    </row>
    <row r="57">
      <c r="A57" s="84" t="s">
        <v>3857</v>
      </c>
      <c r="B57" s="91">
        <v>0.007273</v>
      </c>
      <c r="C57" s="91">
        <v>0.005725</v>
      </c>
      <c r="D57" s="98"/>
      <c r="E57" s="84" t="s">
        <v>2738</v>
      </c>
      <c r="F57" s="91">
        <v>0.002424</v>
      </c>
      <c r="G57" s="91">
        <v>0.002863</v>
      </c>
      <c r="H57" s="98"/>
      <c r="I57" s="84" t="s">
        <v>4403</v>
      </c>
      <c r="J57" s="91">
        <v>0.004848</v>
      </c>
      <c r="K57" s="91">
        <v>0.005725</v>
      </c>
      <c r="L57" s="91"/>
      <c r="M57" s="91" t="s">
        <v>2874</v>
      </c>
      <c r="N57" s="91">
        <v>0.020606</v>
      </c>
      <c r="O57" s="91">
        <v>0.020992</v>
      </c>
      <c r="P57" s="91"/>
      <c r="Q57" s="91"/>
      <c r="R57" s="91"/>
      <c r="S57" s="91"/>
      <c r="T57" s="91"/>
      <c r="U57" s="98" t="s">
        <v>6507</v>
      </c>
      <c r="V57" s="91">
        <v>0.277576</v>
      </c>
      <c r="W57" s="91">
        <v>0.0</v>
      </c>
      <c r="X57" s="96">
        <v>0.324427</v>
      </c>
      <c r="Y57" s="91">
        <v>0.0</v>
      </c>
    </row>
    <row r="58">
      <c r="A58" s="84" t="s">
        <v>3903</v>
      </c>
      <c r="B58" s="91">
        <v>0.007273</v>
      </c>
      <c r="C58" s="91">
        <v>0.005725</v>
      </c>
      <c r="D58" s="98"/>
      <c r="E58" s="84" t="s">
        <v>3625</v>
      </c>
      <c r="F58" s="91">
        <v>0.002424</v>
      </c>
      <c r="G58" s="91">
        <v>0.002863</v>
      </c>
      <c r="H58" s="98"/>
      <c r="I58" s="84" t="s">
        <v>2786</v>
      </c>
      <c r="J58" s="91">
        <v>0.004848</v>
      </c>
      <c r="K58" s="91">
        <v>0.005725</v>
      </c>
      <c r="L58" s="91"/>
      <c r="M58" s="91" t="s">
        <v>2580</v>
      </c>
      <c r="N58" s="91">
        <v>0.01697</v>
      </c>
      <c r="O58" s="91">
        <v>0.020992</v>
      </c>
      <c r="P58" s="91"/>
      <c r="Q58" s="91"/>
      <c r="R58" s="91"/>
      <c r="S58" s="91"/>
      <c r="T58" s="91"/>
      <c r="U58" s="98">
        <v>100.0</v>
      </c>
      <c r="V58" s="91">
        <v>0.277576</v>
      </c>
      <c r="W58" s="91">
        <v>0.013333</v>
      </c>
      <c r="X58" s="96">
        <v>0.324427</v>
      </c>
      <c r="Y58" s="91">
        <v>0.01145</v>
      </c>
    </row>
    <row r="59">
      <c r="A59" s="84" t="s">
        <v>3867</v>
      </c>
      <c r="B59" s="91">
        <v>0.007273</v>
      </c>
      <c r="C59" s="91">
        <v>0.001908</v>
      </c>
      <c r="D59" s="98"/>
      <c r="E59" s="84" t="s">
        <v>2835</v>
      </c>
      <c r="F59" s="91">
        <v>0.001212</v>
      </c>
      <c r="G59" s="91">
        <v>0.002863</v>
      </c>
      <c r="H59" s="98"/>
      <c r="I59" s="84" t="s">
        <v>2808</v>
      </c>
      <c r="J59" s="91">
        <v>0.004848</v>
      </c>
      <c r="K59" s="91">
        <v>0.005725</v>
      </c>
      <c r="L59" s="91"/>
      <c r="M59" s="91" t="s">
        <v>3994</v>
      </c>
      <c r="N59" s="91">
        <v>0.01697</v>
      </c>
      <c r="O59" s="91">
        <v>0.020992</v>
      </c>
      <c r="P59" s="91"/>
      <c r="Q59" s="91"/>
      <c r="R59" s="91"/>
      <c r="S59" s="91"/>
      <c r="T59" s="91"/>
      <c r="U59" s="98">
        <v>101.0</v>
      </c>
      <c r="V59" s="91">
        <v>0.290909</v>
      </c>
      <c r="W59" s="91">
        <v>0.012121</v>
      </c>
      <c r="X59" s="96">
        <v>0.335878</v>
      </c>
      <c r="Y59" s="91">
        <v>0.010496</v>
      </c>
    </row>
    <row r="60">
      <c r="A60" s="84" t="s">
        <v>3747</v>
      </c>
      <c r="B60" s="91">
        <v>0.006061</v>
      </c>
      <c r="C60" s="91">
        <v>0.01145</v>
      </c>
      <c r="D60" s="98"/>
      <c r="E60" s="84" t="s">
        <v>3557</v>
      </c>
      <c r="F60" s="91">
        <v>0.001212</v>
      </c>
      <c r="G60" s="91">
        <v>0.002863</v>
      </c>
      <c r="H60" s="98"/>
      <c r="I60" s="84" t="s">
        <v>3250</v>
      </c>
      <c r="J60" s="91">
        <v>0.004848</v>
      </c>
      <c r="K60" s="91">
        <v>0.004771</v>
      </c>
      <c r="L60" s="91"/>
      <c r="M60" s="91" t="s">
        <v>3510</v>
      </c>
      <c r="N60" s="91">
        <v>0.026667</v>
      </c>
      <c r="O60" s="91">
        <v>0.020038</v>
      </c>
      <c r="P60" s="91"/>
      <c r="Q60" s="91"/>
      <c r="R60" s="91"/>
      <c r="S60" s="91"/>
      <c r="T60" s="91"/>
      <c r="U60" s="98">
        <v>102.0</v>
      </c>
      <c r="V60" s="91">
        <v>0.30303</v>
      </c>
      <c r="W60" s="91">
        <v>0.008485</v>
      </c>
      <c r="X60" s="96">
        <v>0.346374</v>
      </c>
      <c r="Y60" s="91">
        <v>0.009542</v>
      </c>
    </row>
    <row r="61">
      <c r="A61" s="84" t="s">
        <v>3432</v>
      </c>
      <c r="B61" s="91">
        <v>0.006061</v>
      </c>
      <c r="C61" s="91">
        <v>0.009542</v>
      </c>
      <c r="D61" s="98"/>
      <c r="E61" s="84" t="s">
        <v>3014</v>
      </c>
      <c r="F61" s="91">
        <v>0.0</v>
      </c>
      <c r="G61" s="91">
        <v>0.002863</v>
      </c>
      <c r="H61" s="98"/>
      <c r="I61" s="84" t="s">
        <v>2978</v>
      </c>
      <c r="J61" s="91">
        <v>0.004848</v>
      </c>
      <c r="K61" s="91">
        <v>0.004771</v>
      </c>
      <c r="L61" s="91"/>
      <c r="M61" s="91" t="s">
        <v>2886</v>
      </c>
      <c r="N61" s="91">
        <v>0.020606</v>
      </c>
      <c r="O61" s="91">
        <v>0.020038</v>
      </c>
      <c r="P61" s="91"/>
      <c r="Q61" s="91"/>
      <c r="R61" s="91"/>
      <c r="S61" s="91"/>
      <c r="T61" s="91"/>
      <c r="U61" s="98">
        <v>103.0</v>
      </c>
      <c r="V61" s="91">
        <v>0.311515</v>
      </c>
      <c r="W61" s="91">
        <v>0.008485</v>
      </c>
      <c r="X61" s="96">
        <v>0.355916</v>
      </c>
      <c r="Y61" s="91">
        <v>0.007634</v>
      </c>
    </row>
    <row r="62">
      <c r="A62" s="84" t="s">
        <v>3610</v>
      </c>
      <c r="B62" s="91">
        <v>0.006061</v>
      </c>
      <c r="C62" s="91">
        <v>0.008588</v>
      </c>
      <c r="D62" s="98"/>
      <c r="E62" s="84" t="s">
        <v>4030</v>
      </c>
      <c r="F62" s="91">
        <v>0.002424</v>
      </c>
      <c r="G62" s="91">
        <v>0.001908</v>
      </c>
      <c r="H62" s="98"/>
      <c r="I62" s="84" t="s">
        <v>2773</v>
      </c>
      <c r="J62" s="91">
        <v>0.004848</v>
      </c>
      <c r="K62" s="91">
        <v>0.004771</v>
      </c>
      <c r="L62" s="91"/>
      <c r="M62" s="91" t="s">
        <v>2575</v>
      </c>
      <c r="N62" s="91">
        <v>0.020606</v>
      </c>
      <c r="O62" s="91">
        <v>0.020038</v>
      </c>
      <c r="P62" s="91"/>
      <c r="Q62" s="91"/>
      <c r="R62" s="91"/>
      <c r="S62" s="91"/>
      <c r="T62" s="91"/>
      <c r="U62" s="98">
        <v>104.0</v>
      </c>
      <c r="V62" s="91">
        <v>0.32</v>
      </c>
      <c r="W62" s="91">
        <v>0.0</v>
      </c>
      <c r="X62" s="96">
        <v>0.36355</v>
      </c>
      <c r="Y62" s="91">
        <v>0.0</v>
      </c>
    </row>
    <row r="63">
      <c r="A63" s="84" t="s">
        <v>3599</v>
      </c>
      <c r="B63" s="91">
        <v>0.006061</v>
      </c>
      <c r="C63" s="91">
        <v>0.008588</v>
      </c>
      <c r="D63" s="98"/>
      <c r="E63" s="84" t="s">
        <v>4184</v>
      </c>
      <c r="F63" s="91">
        <v>0.002424</v>
      </c>
      <c r="G63" s="91">
        <v>0.001908</v>
      </c>
      <c r="H63" s="98"/>
      <c r="I63" s="84" t="s">
        <v>2931</v>
      </c>
      <c r="J63" s="91">
        <v>0.004848</v>
      </c>
      <c r="K63" s="91">
        <v>0.004771</v>
      </c>
      <c r="L63" s="91"/>
      <c r="M63" s="91" t="s">
        <v>2525</v>
      </c>
      <c r="N63" s="91">
        <v>0.020606</v>
      </c>
      <c r="O63" s="91">
        <v>0.019084</v>
      </c>
      <c r="P63" s="91"/>
      <c r="Q63" s="91"/>
      <c r="R63" s="91"/>
      <c r="S63" s="91"/>
      <c r="T63" s="91"/>
      <c r="U63" s="98">
        <v>105.0</v>
      </c>
      <c r="V63" s="91">
        <v>0.32</v>
      </c>
      <c r="W63" s="91">
        <v>0.027879</v>
      </c>
      <c r="X63" s="96">
        <v>0.36355</v>
      </c>
      <c r="Y63" s="91">
        <v>0.028626</v>
      </c>
    </row>
    <row r="64">
      <c r="A64" s="84" t="s">
        <v>3807</v>
      </c>
      <c r="B64" s="91">
        <v>0.006061</v>
      </c>
      <c r="C64" s="91">
        <v>0.007634</v>
      </c>
      <c r="D64" s="98"/>
      <c r="E64" s="84" t="s">
        <v>3886</v>
      </c>
      <c r="F64" s="91">
        <v>0.002424</v>
      </c>
      <c r="G64" s="91">
        <v>0.001908</v>
      </c>
      <c r="H64" s="98"/>
      <c r="I64" s="84" t="s">
        <v>2735</v>
      </c>
      <c r="J64" s="91">
        <v>0.003636</v>
      </c>
      <c r="K64" s="91">
        <v>0.004771</v>
      </c>
      <c r="L64" s="91"/>
      <c r="M64" s="91" t="s">
        <v>2513</v>
      </c>
      <c r="N64" s="91">
        <v>0.019394</v>
      </c>
      <c r="O64" s="91">
        <v>0.019084</v>
      </c>
      <c r="P64" s="91"/>
      <c r="Q64" s="91"/>
      <c r="R64" s="91"/>
      <c r="S64" s="91"/>
      <c r="T64" s="91"/>
      <c r="U64" s="98">
        <v>106.0</v>
      </c>
      <c r="V64" s="91">
        <v>0.347879</v>
      </c>
      <c r="W64" s="91">
        <v>0.026667</v>
      </c>
      <c r="X64" s="96">
        <v>0.392176</v>
      </c>
      <c r="Y64" s="91">
        <v>0.023855</v>
      </c>
    </row>
    <row r="65">
      <c r="A65" s="84" t="s">
        <v>3863</v>
      </c>
      <c r="B65" s="91">
        <v>0.006061</v>
      </c>
      <c r="C65" s="91">
        <v>0.007634</v>
      </c>
      <c r="D65" s="98"/>
      <c r="E65" s="84" t="s">
        <v>4262</v>
      </c>
      <c r="F65" s="91">
        <v>0.002424</v>
      </c>
      <c r="G65" s="91">
        <v>0.001908</v>
      </c>
      <c r="H65" s="98"/>
      <c r="I65" s="84" t="s">
        <v>3996</v>
      </c>
      <c r="J65" s="91">
        <v>0.003636</v>
      </c>
      <c r="K65" s="91">
        <v>0.004771</v>
      </c>
      <c r="L65" s="91"/>
      <c r="M65" s="91" t="s">
        <v>3091</v>
      </c>
      <c r="N65" s="91">
        <v>0.019394</v>
      </c>
      <c r="O65" s="91">
        <v>0.019084</v>
      </c>
      <c r="P65" s="91"/>
      <c r="Q65" s="91"/>
      <c r="R65" s="91"/>
      <c r="S65" s="91"/>
      <c r="T65" s="91"/>
      <c r="U65" s="98">
        <v>107.0</v>
      </c>
      <c r="V65" s="91">
        <v>0.374545</v>
      </c>
      <c r="W65" s="91">
        <v>0.003636</v>
      </c>
      <c r="X65" s="96">
        <v>0.416031</v>
      </c>
      <c r="Y65" s="91">
        <v>0.001908</v>
      </c>
    </row>
    <row r="66">
      <c r="A66" s="84" t="s">
        <v>3735</v>
      </c>
      <c r="B66" s="91">
        <v>0.006061</v>
      </c>
      <c r="C66" s="91">
        <v>0.007634</v>
      </c>
      <c r="D66" s="98"/>
      <c r="E66" s="84" t="s">
        <v>4164</v>
      </c>
      <c r="F66" s="91">
        <v>0.002424</v>
      </c>
      <c r="G66" s="91">
        <v>0.001908</v>
      </c>
      <c r="H66" s="98"/>
      <c r="I66" s="84" t="s">
        <v>3646</v>
      </c>
      <c r="J66" s="91">
        <v>0.002424</v>
      </c>
      <c r="K66" s="91">
        <v>0.004771</v>
      </c>
      <c r="L66" s="91"/>
      <c r="M66" s="91" t="s">
        <v>3636</v>
      </c>
      <c r="N66" s="91">
        <v>0.01697</v>
      </c>
      <c r="O66" s="91">
        <v>0.019084</v>
      </c>
      <c r="P66" s="91"/>
      <c r="Q66" s="91"/>
      <c r="R66" s="91"/>
      <c r="S66" s="91"/>
      <c r="T66" s="91"/>
      <c r="U66" s="98">
        <v>108.0</v>
      </c>
      <c r="V66" s="91">
        <v>0.378182</v>
      </c>
      <c r="W66" s="91">
        <v>0.002424</v>
      </c>
      <c r="X66" s="96">
        <v>0.417939</v>
      </c>
      <c r="Y66" s="91">
        <v>0.002863</v>
      </c>
    </row>
    <row r="67">
      <c r="A67" s="84" t="s">
        <v>3926</v>
      </c>
      <c r="B67" s="91">
        <v>0.006061</v>
      </c>
      <c r="C67" s="91">
        <v>0.006679</v>
      </c>
      <c r="D67" s="98"/>
      <c r="E67" s="84" t="s">
        <v>3350</v>
      </c>
      <c r="F67" s="91">
        <v>0.002424</v>
      </c>
      <c r="G67" s="91">
        <v>0.001908</v>
      </c>
      <c r="H67" s="98"/>
      <c r="I67" s="84" t="s">
        <v>2590</v>
      </c>
      <c r="J67" s="91">
        <v>0.002424</v>
      </c>
      <c r="K67" s="91">
        <v>0.004771</v>
      </c>
      <c r="L67" s="91"/>
      <c r="M67" s="91" t="s">
        <v>2534</v>
      </c>
      <c r="N67" s="91">
        <v>0.015758</v>
      </c>
      <c r="O67" s="91">
        <v>0.019084</v>
      </c>
      <c r="P67" s="91"/>
      <c r="Q67" s="91"/>
      <c r="R67" s="91"/>
      <c r="S67" s="91"/>
      <c r="T67" s="91"/>
      <c r="U67" s="98">
        <v>109.0</v>
      </c>
      <c r="V67" s="91">
        <v>0.380606</v>
      </c>
      <c r="W67" s="91">
        <v>0.0</v>
      </c>
      <c r="X67" s="96">
        <v>0.420802</v>
      </c>
      <c r="Y67" s="91">
        <v>0.0</v>
      </c>
    </row>
    <row r="68">
      <c r="A68" s="84" t="s">
        <v>3602</v>
      </c>
      <c r="B68" s="91">
        <v>0.006061</v>
      </c>
      <c r="C68" s="91">
        <v>0.006679</v>
      </c>
      <c r="D68" s="98"/>
      <c r="E68" s="84" t="s">
        <v>3974</v>
      </c>
      <c r="F68" s="91">
        <v>0.002424</v>
      </c>
      <c r="G68" s="91">
        <v>0.001908</v>
      </c>
      <c r="H68" s="98"/>
      <c r="I68" s="84" t="s">
        <v>3377</v>
      </c>
      <c r="J68" s="91">
        <v>0.007273</v>
      </c>
      <c r="K68" s="91">
        <v>0.003817</v>
      </c>
      <c r="L68" s="91"/>
      <c r="M68" s="91" t="s">
        <v>2798</v>
      </c>
      <c r="N68" s="91">
        <v>0.014545</v>
      </c>
      <c r="O68" s="91">
        <v>0.019084</v>
      </c>
      <c r="P68" s="91"/>
      <c r="Q68" s="91"/>
      <c r="R68" s="91"/>
      <c r="S68" s="91"/>
      <c r="T68" s="91"/>
      <c r="U68" s="98">
        <v>110.0</v>
      </c>
      <c r="V68" s="91">
        <v>0.380606</v>
      </c>
      <c r="W68" s="91">
        <v>0.010909</v>
      </c>
      <c r="X68" s="96">
        <v>0.420802</v>
      </c>
      <c r="Y68" s="91">
        <v>0.01145</v>
      </c>
    </row>
    <row r="69">
      <c r="A69" s="84" t="s">
        <v>3824</v>
      </c>
      <c r="B69" s="91">
        <v>0.006061</v>
      </c>
      <c r="C69" s="91">
        <v>0.006679</v>
      </c>
      <c r="D69" s="98"/>
      <c r="E69" s="84" t="s">
        <v>4087</v>
      </c>
      <c r="F69" s="91">
        <v>0.002424</v>
      </c>
      <c r="G69" s="91">
        <v>0.001908</v>
      </c>
      <c r="H69" s="98"/>
      <c r="I69" s="84" t="s">
        <v>3487</v>
      </c>
      <c r="J69" s="91">
        <v>0.004848</v>
      </c>
      <c r="K69" s="91">
        <v>0.003817</v>
      </c>
      <c r="L69" s="91"/>
      <c r="M69" s="91" t="s">
        <v>2734</v>
      </c>
      <c r="N69" s="91">
        <v>0.013333</v>
      </c>
      <c r="O69" s="91">
        <v>0.019084</v>
      </c>
      <c r="P69" s="91"/>
      <c r="Q69" s="91"/>
      <c r="R69" s="91"/>
      <c r="S69" s="91"/>
      <c r="T69" s="91"/>
      <c r="U69" s="98">
        <v>111.0</v>
      </c>
      <c r="V69" s="91">
        <v>0.391515</v>
      </c>
      <c r="W69" s="91">
        <v>0.0</v>
      </c>
      <c r="X69" s="96">
        <v>0.432252</v>
      </c>
      <c r="Y69" s="91">
        <v>0.0</v>
      </c>
    </row>
    <row r="70">
      <c r="A70" s="84" t="s">
        <v>3920</v>
      </c>
      <c r="B70" s="91">
        <v>0.006061</v>
      </c>
      <c r="C70" s="91">
        <v>0.006679</v>
      </c>
      <c r="D70" s="98"/>
      <c r="E70" s="84" t="s">
        <v>3042</v>
      </c>
      <c r="F70" s="91">
        <v>0.001212</v>
      </c>
      <c r="G70" s="91">
        <v>0.001908</v>
      </c>
      <c r="H70" s="98"/>
      <c r="I70" s="84" t="s">
        <v>2853</v>
      </c>
      <c r="J70" s="91">
        <v>0.003636</v>
      </c>
      <c r="K70" s="91">
        <v>0.003817</v>
      </c>
      <c r="L70" s="91"/>
      <c r="M70" s="91" t="s">
        <v>3048</v>
      </c>
      <c r="N70" s="91">
        <v>0.021818</v>
      </c>
      <c r="O70" s="91">
        <v>0.01813</v>
      </c>
      <c r="P70" s="91"/>
      <c r="Q70" s="91"/>
      <c r="R70" s="91"/>
      <c r="S70" s="91"/>
      <c r="T70" s="91"/>
      <c r="U70" s="98">
        <v>112.0</v>
      </c>
      <c r="V70" s="91">
        <v>0.391515</v>
      </c>
      <c r="W70" s="91">
        <v>0.009697</v>
      </c>
      <c r="X70" s="96">
        <v>0.432252</v>
      </c>
      <c r="Y70" s="91">
        <v>0.008588</v>
      </c>
    </row>
    <row r="71">
      <c r="A71" s="84" t="s">
        <v>3802</v>
      </c>
      <c r="B71" s="91">
        <v>0.006061</v>
      </c>
      <c r="C71" s="91">
        <v>0.006679</v>
      </c>
      <c r="D71" s="98"/>
      <c r="E71" s="84" t="s">
        <v>3206</v>
      </c>
      <c r="F71" s="91">
        <v>0.0</v>
      </c>
      <c r="G71" s="91">
        <v>0.001908</v>
      </c>
      <c r="H71" s="98"/>
      <c r="I71" s="84" t="s">
        <v>3011</v>
      </c>
      <c r="J71" s="91">
        <v>0.003636</v>
      </c>
      <c r="K71" s="91">
        <v>0.003817</v>
      </c>
      <c r="L71" s="91"/>
      <c r="M71" s="91" t="s">
        <v>2746</v>
      </c>
      <c r="N71" s="91">
        <v>0.018182</v>
      </c>
      <c r="O71" s="91">
        <v>0.01813</v>
      </c>
      <c r="P71" s="91"/>
      <c r="Q71" s="91"/>
      <c r="R71" s="91"/>
      <c r="S71" s="91"/>
      <c r="T71" s="91"/>
      <c r="U71" s="98">
        <v>113.0</v>
      </c>
      <c r="V71" s="91">
        <v>0.401212</v>
      </c>
      <c r="W71" s="91">
        <v>0.006061</v>
      </c>
      <c r="X71" s="96">
        <v>0.44084</v>
      </c>
      <c r="Y71" s="91">
        <v>0.001908</v>
      </c>
    </row>
    <row r="72">
      <c r="A72" s="84" t="s">
        <v>3871</v>
      </c>
      <c r="B72" s="91">
        <v>0.006061</v>
      </c>
      <c r="C72" s="91">
        <v>0.005725</v>
      </c>
      <c r="D72" s="98"/>
      <c r="E72" s="84" t="s">
        <v>2846</v>
      </c>
      <c r="F72" s="91">
        <v>0.0</v>
      </c>
      <c r="G72" s="91">
        <v>0.001908</v>
      </c>
      <c r="H72" s="98"/>
      <c r="I72" s="84" t="s">
        <v>4368</v>
      </c>
      <c r="J72" s="91">
        <v>0.002424</v>
      </c>
      <c r="K72" s="91">
        <v>0.003817</v>
      </c>
      <c r="L72" s="91"/>
      <c r="M72" s="91" t="s">
        <v>3264</v>
      </c>
      <c r="N72" s="91">
        <v>0.01697</v>
      </c>
      <c r="O72" s="91">
        <v>0.01813</v>
      </c>
      <c r="P72" s="91"/>
      <c r="Q72" s="91"/>
      <c r="R72" s="91"/>
      <c r="S72" s="91"/>
      <c r="T72" s="91"/>
      <c r="U72" s="98">
        <v>114.0</v>
      </c>
      <c r="V72" s="91">
        <v>0.407273</v>
      </c>
      <c r="W72" s="91">
        <v>0.0</v>
      </c>
      <c r="X72" s="96">
        <v>0.442748</v>
      </c>
      <c r="Y72" s="91">
        <v>0.0</v>
      </c>
    </row>
    <row r="73">
      <c r="A73" s="84" t="s">
        <v>3694</v>
      </c>
      <c r="B73" s="91">
        <v>0.006061</v>
      </c>
      <c r="C73" s="91">
        <v>0.004771</v>
      </c>
      <c r="D73" s="98"/>
      <c r="F73" s="91"/>
      <c r="G73" s="91"/>
      <c r="H73" s="98"/>
      <c r="I73" s="84" t="s">
        <v>4005</v>
      </c>
      <c r="J73" s="91">
        <v>0.004848</v>
      </c>
      <c r="K73" s="91">
        <v>0.002863</v>
      </c>
      <c r="L73" s="91"/>
      <c r="M73" s="91" t="s">
        <v>3608</v>
      </c>
      <c r="N73" s="91">
        <v>0.01697</v>
      </c>
      <c r="O73" s="91">
        <v>0.01813</v>
      </c>
      <c r="P73" s="91"/>
      <c r="Q73" s="91"/>
      <c r="R73" s="91"/>
      <c r="S73" s="91"/>
      <c r="T73" s="91"/>
      <c r="U73" s="98">
        <v>115.0</v>
      </c>
      <c r="V73" s="91">
        <v>0.407273</v>
      </c>
      <c r="W73" s="91">
        <v>0.004848</v>
      </c>
      <c r="X73" s="96">
        <v>0.442748</v>
      </c>
      <c r="Y73" s="91">
        <v>0.006679</v>
      </c>
    </row>
    <row r="74">
      <c r="A74" s="84" t="s">
        <v>3657</v>
      </c>
      <c r="B74" s="91">
        <v>0.006061</v>
      </c>
      <c r="C74" s="91">
        <v>0.004771</v>
      </c>
      <c r="D74" s="98"/>
      <c r="F74" s="91"/>
      <c r="G74" s="91"/>
      <c r="H74" s="98"/>
      <c r="I74" s="84" t="s">
        <v>4075</v>
      </c>
      <c r="J74" s="91">
        <v>0.002424</v>
      </c>
      <c r="K74" s="91">
        <v>0.002863</v>
      </c>
      <c r="L74" s="91"/>
      <c r="M74" s="91" t="s">
        <v>2752</v>
      </c>
      <c r="N74" s="91">
        <v>0.015758</v>
      </c>
      <c r="O74" s="91">
        <v>0.01813</v>
      </c>
      <c r="P74" s="91"/>
      <c r="Q74" s="91"/>
      <c r="R74" s="91"/>
      <c r="S74" s="91"/>
      <c r="T74" s="91"/>
      <c r="U74" s="98">
        <v>116.0</v>
      </c>
      <c r="V74" s="91">
        <v>0.412121</v>
      </c>
      <c r="W74" s="91">
        <v>0.0</v>
      </c>
      <c r="X74" s="96">
        <v>0.449427</v>
      </c>
      <c r="Y74" s="91">
        <v>0.0</v>
      </c>
    </row>
    <row r="75">
      <c r="A75" s="84" t="s">
        <v>3706</v>
      </c>
      <c r="B75" s="91">
        <v>0.006061</v>
      </c>
      <c r="C75" s="91">
        <v>0.003817</v>
      </c>
      <c r="D75" s="98"/>
      <c r="F75" s="91"/>
      <c r="G75" s="91"/>
      <c r="H75" s="98"/>
      <c r="I75" s="84" t="s">
        <v>3622</v>
      </c>
      <c r="J75" s="91">
        <v>0.001212</v>
      </c>
      <c r="K75" s="91">
        <v>0.002863</v>
      </c>
      <c r="L75" s="91"/>
      <c r="M75" s="91" t="s">
        <v>3729</v>
      </c>
      <c r="N75" s="91">
        <v>0.015758</v>
      </c>
      <c r="O75" s="91">
        <v>0.01813</v>
      </c>
      <c r="P75" s="91"/>
      <c r="Q75" s="91"/>
      <c r="R75" s="91"/>
      <c r="S75" s="91"/>
      <c r="T75" s="91"/>
      <c r="U75" s="98">
        <v>117.0</v>
      </c>
      <c r="V75" s="91">
        <v>0.412121</v>
      </c>
      <c r="W75" s="91">
        <v>0.008485</v>
      </c>
      <c r="X75" s="96">
        <v>0.449427</v>
      </c>
      <c r="Y75" s="91">
        <v>0.007634</v>
      </c>
    </row>
    <row r="76">
      <c r="A76" s="84" t="s">
        <v>3836</v>
      </c>
      <c r="B76" s="91">
        <v>0.004848</v>
      </c>
      <c r="C76" s="91">
        <v>0.007634</v>
      </c>
      <c r="D76" s="98"/>
      <c r="F76" s="91"/>
      <c r="G76" s="91"/>
      <c r="H76" s="98"/>
      <c r="I76" s="84" t="s">
        <v>2953</v>
      </c>
      <c r="J76" s="91">
        <v>0.007273</v>
      </c>
      <c r="K76" s="91">
        <v>0.001908</v>
      </c>
      <c r="L76" s="91"/>
      <c r="M76" s="91" t="s">
        <v>4109</v>
      </c>
      <c r="N76" s="91">
        <v>0.02303</v>
      </c>
      <c r="O76" s="91">
        <v>0.017176</v>
      </c>
      <c r="P76" s="91"/>
      <c r="Q76" s="91"/>
      <c r="R76" s="91"/>
      <c r="S76" s="91"/>
      <c r="T76" s="91"/>
      <c r="U76" s="98">
        <v>118.0</v>
      </c>
      <c r="V76" s="91">
        <v>0.420606</v>
      </c>
      <c r="W76" s="91">
        <v>0.0</v>
      </c>
      <c r="X76" s="96">
        <v>0.457061</v>
      </c>
      <c r="Y76" s="91">
        <v>0.0</v>
      </c>
    </row>
    <row r="77">
      <c r="A77" s="84" t="s">
        <v>3848</v>
      </c>
      <c r="B77" s="91">
        <v>0.004848</v>
      </c>
      <c r="C77" s="91">
        <v>0.007634</v>
      </c>
      <c r="D77" s="98"/>
      <c r="F77" s="91"/>
      <c r="G77" s="91"/>
      <c r="H77" s="98"/>
      <c r="I77" s="84" t="s">
        <v>3328</v>
      </c>
      <c r="J77" s="91">
        <v>0.004848</v>
      </c>
      <c r="K77" s="91">
        <v>0.001908</v>
      </c>
      <c r="L77" s="91"/>
      <c r="M77" s="91" t="s">
        <v>2632</v>
      </c>
      <c r="N77" s="91">
        <v>0.01697</v>
      </c>
      <c r="O77" s="91">
        <v>0.017176</v>
      </c>
      <c r="P77" s="91"/>
      <c r="Q77" s="91"/>
      <c r="R77" s="91"/>
      <c r="S77" s="91"/>
      <c r="T77" s="91"/>
      <c r="U77" s="98">
        <v>119.0</v>
      </c>
      <c r="V77" s="91">
        <v>0.420606</v>
      </c>
      <c r="W77" s="91">
        <v>0.004848</v>
      </c>
      <c r="X77" s="96">
        <v>0.457061</v>
      </c>
      <c r="Y77" s="91">
        <v>0.006679</v>
      </c>
    </row>
    <row r="78">
      <c r="A78" s="84" t="s">
        <v>3816</v>
      </c>
      <c r="B78" s="91">
        <v>0.004848</v>
      </c>
      <c r="C78" s="91">
        <v>0.007634</v>
      </c>
      <c r="D78" s="98"/>
      <c r="F78" s="91"/>
      <c r="G78" s="91"/>
      <c r="H78" s="98"/>
      <c r="I78" s="84" t="s">
        <v>2891</v>
      </c>
      <c r="J78" s="91">
        <v>0.003636</v>
      </c>
      <c r="K78" s="91">
        <v>0.001908</v>
      </c>
      <c r="L78" s="91"/>
      <c r="M78" s="91" t="s">
        <v>2718</v>
      </c>
      <c r="N78" s="91">
        <v>0.015758</v>
      </c>
      <c r="O78" s="91">
        <v>0.017176</v>
      </c>
      <c r="P78" s="91"/>
      <c r="Q78" s="91"/>
      <c r="R78" s="91"/>
      <c r="S78" s="91"/>
      <c r="T78" s="91"/>
      <c r="U78" s="98">
        <v>120.0</v>
      </c>
      <c r="V78" s="91">
        <v>0.425455</v>
      </c>
      <c r="W78" s="91">
        <v>0.024242</v>
      </c>
      <c r="X78" s="96">
        <v>0.46374</v>
      </c>
      <c r="Y78" s="91">
        <v>0.024809</v>
      </c>
    </row>
    <row r="79">
      <c r="A79" s="84" t="s">
        <v>3938</v>
      </c>
      <c r="B79" s="91">
        <v>0.004848</v>
      </c>
      <c r="C79" s="91">
        <v>0.006679</v>
      </c>
      <c r="D79" s="98"/>
      <c r="F79" s="91"/>
      <c r="G79" s="91"/>
      <c r="H79" s="98"/>
      <c r="I79" s="84" t="s">
        <v>3088</v>
      </c>
      <c r="J79" s="91">
        <v>0.003636</v>
      </c>
      <c r="K79" s="91">
        <v>0.001908</v>
      </c>
      <c r="L79" s="91"/>
      <c r="M79" s="91" t="s">
        <v>4072</v>
      </c>
      <c r="N79" s="91">
        <v>0.013333</v>
      </c>
      <c r="O79" s="91">
        <v>0.017176</v>
      </c>
      <c r="P79" s="91"/>
      <c r="Q79" s="91"/>
      <c r="R79" s="91"/>
      <c r="S79" s="91"/>
      <c r="T79" s="91"/>
      <c r="U79" s="98">
        <v>121.0</v>
      </c>
      <c r="V79" s="91">
        <v>0.449697</v>
      </c>
      <c r="W79" s="91">
        <v>0.009697</v>
      </c>
      <c r="X79" s="96">
        <v>0.48855</v>
      </c>
      <c r="Y79" s="91">
        <v>0.015267</v>
      </c>
    </row>
    <row r="80">
      <c r="A80" s="84" t="s">
        <v>3799</v>
      </c>
      <c r="B80" s="91">
        <v>0.004848</v>
      </c>
      <c r="C80" s="91">
        <v>0.005725</v>
      </c>
      <c r="D80" s="98"/>
      <c r="F80" s="91"/>
      <c r="G80" s="91"/>
      <c r="H80" s="98"/>
      <c r="I80" s="84" t="s">
        <v>3894</v>
      </c>
      <c r="J80" s="91">
        <v>0.003636</v>
      </c>
      <c r="K80" s="91">
        <v>0.001908</v>
      </c>
      <c r="L80" s="91"/>
      <c r="M80" s="91" t="s">
        <v>4016</v>
      </c>
      <c r="N80" s="91">
        <v>0.020606</v>
      </c>
      <c r="O80" s="91">
        <v>0.015267</v>
      </c>
      <c r="P80" s="91"/>
      <c r="Q80" s="91"/>
      <c r="R80" s="91"/>
      <c r="S80" s="91"/>
      <c r="T80" s="91"/>
      <c r="U80" s="98">
        <v>122.0</v>
      </c>
      <c r="V80" s="91">
        <v>0.459394</v>
      </c>
      <c r="W80" s="91">
        <v>0.013333</v>
      </c>
      <c r="X80" s="96">
        <v>0.503817</v>
      </c>
      <c r="Y80" s="91">
        <v>0.009542</v>
      </c>
    </row>
    <row r="81">
      <c r="A81" s="84" t="s">
        <v>3855</v>
      </c>
      <c r="B81" s="91">
        <v>0.004848</v>
      </c>
      <c r="C81" s="91">
        <v>0.005725</v>
      </c>
      <c r="D81" s="98"/>
      <c r="F81" s="91"/>
      <c r="G81" s="91"/>
      <c r="H81" s="98"/>
      <c r="I81" s="84" t="s">
        <v>3172</v>
      </c>
      <c r="J81" s="91">
        <v>0.002424</v>
      </c>
      <c r="K81" s="91">
        <v>0.001908</v>
      </c>
      <c r="L81" s="91"/>
      <c r="M81" s="91" t="s">
        <v>3762</v>
      </c>
      <c r="N81" s="91">
        <v>0.01697</v>
      </c>
      <c r="O81" s="91">
        <v>0.015267</v>
      </c>
      <c r="P81" s="91"/>
      <c r="Q81" s="91"/>
      <c r="R81" s="91"/>
      <c r="S81" s="91"/>
      <c r="T81" s="91"/>
      <c r="U81" s="98">
        <v>123.0</v>
      </c>
      <c r="V81" s="91">
        <v>0.472727</v>
      </c>
      <c r="W81" s="91">
        <v>0.007273</v>
      </c>
      <c r="X81" s="96">
        <v>0.513359</v>
      </c>
      <c r="Y81" s="91">
        <v>0.005725</v>
      </c>
    </row>
    <row r="82">
      <c r="A82" s="84" t="s">
        <v>3699</v>
      </c>
      <c r="B82" s="91">
        <v>0.004848</v>
      </c>
      <c r="C82" s="91">
        <v>0.005725</v>
      </c>
      <c r="D82" s="98"/>
      <c r="F82" s="91"/>
      <c r="G82" s="91"/>
      <c r="H82" s="98"/>
      <c r="I82" s="84" t="s">
        <v>3229</v>
      </c>
      <c r="J82" s="91">
        <v>0.002424</v>
      </c>
      <c r="K82" s="91">
        <v>0.001908</v>
      </c>
      <c r="L82" s="91"/>
      <c r="M82" s="91" t="s">
        <v>2987</v>
      </c>
      <c r="N82" s="91">
        <v>0.015758</v>
      </c>
      <c r="O82" s="91">
        <v>0.015267</v>
      </c>
      <c r="P82" s="91"/>
      <c r="Q82" s="91"/>
      <c r="R82" s="91"/>
      <c r="S82" s="91"/>
      <c r="T82" s="91"/>
      <c r="U82" s="98">
        <v>124.0</v>
      </c>
      <c r="V82" s="91">
        <v>0.48</v>
      </c>
      <c r="W82" s="91">
        <v>0.013333</v>
      </c>
      <c r="X82" s="96">
        <v>0.519084</v>
      </c>
      <c r="Y82" s="91">
        <v>0.013359</v>
      </c>
    </row>
    <row r="83">
      <c r="A83" s="84" t="s">
        <v>3879</v>
      </c>
      <c r="B83" s="91">
        <v>0.004848</v>
      </c>
      <c r="C83" s="91">
        <v>0.005725</v>
      </c>
      <c r="D83" s="98"/>
      <c r="F83" s="91"/>
      <c r="G83" s="91"/>
      <c r="H83" s="98"/>
      <c r="I83" s="84" t="s">
        <v>3910</v>
      </c>
      <c r="J83" s="91">
        <v>0.002424</v>
      </c>
      <c r="K83" s="91">
        <v>0.001908</v>
      </c>
      <c r="L83" s="91"/>
      <c r="M83" s="91" t="s">
        <v>4053</v>
      </c>
      <c r="N83" s="91">
        <v>0.014545</v>
      </c>
      <c r="O83" s="91">
        <v>0.015267</v>
      </c>
      <c r="P83" s="91"/>
      <c r="Q83" s="91"/>
      <c r="R83" s="91"/>
      <c r="S83" s="91"/>
      <c r="T83" s="91"/>
      <c r="U83" s="98">
        <v>125.0</v>
      </c>
      <c r="V83" s="91">
        <v>0.493333</v>
      </c>
      <c r="W83" s="91">
        <v>0.004848</v>
      </c>
      <c r="X83" s="96">
        <v>0.532443</v>
      </c>
      <c r="Y83" s="91">
        <v>0.004771</v>
      </c>
    </row>
    <row r="84">
      <c r="A84" s="84" t="s">
        <v>3869</v>
      </c>
      <c r="B84" s="91">
        <v>0.004848</v>
      </c>
      <c r="C84" s="91">
        <v>0.005725</v>
      </c>
      <c r="D84" s="98"/>
      <c r="F84" s="91"/>
      <c r="G84" s="91"/>
      <c r="H84" s="98"/>
      <c r="I84" s="84" t="s">
        <v>2819</v>
      </c>
      <c r="J84" s="91">
        <v>0.002424</v>
      </c>
      <c r="K84" s="91">
        <v>0.001908</v>
      </c>
      <c r="L84" s="91"/>
      <c r="M84" s="91" t="s">
        <v>3692</v>
      </c>
      <c r="N84" s="91">
        <v>0.012121</v>
      </c>
      <c r="O84" s="91">
        <v>0.015267</v>
      </c>
      <c r="P84" s="91"/>
      <c r="Q84" s="91"/>
      <c r="R84" s="91"/>
      <c r="S84" s="91"/>
      <c r="T84" s="91"/>
      <c r="U84" s="98">
        <v>126.0</v>
      </c>
      <c r="V84" s="91">
        <v>0.498182</v>
      </c>
      <c r="W84" s="91">
        <v>0.001212</v>
      </c>
      <c r="X84" s="96">
        <v>0.537214</v>
      </c>
      <c r="Y84" s="91">
        <v>0.001908</v>
      </c>
    </row>
    <row r="85">
      <c r="A85" s="84" t="s">
        <v>3659</v>
      </c>
      <c r="B85" s="91">
        <v>0.004848</v>
      </c>
      <c r="C85" s="91">
        <v>0.004771</v>
      </c>
      <c r="D85" s="98"/>
      <c r="F85" s="91"/>
      <c r="G85" s="91"/>
      <c r="H85" s="98"/>
      <c r="I85" s="84" t="s">
        <v>3114</v>
      </c>
      <c r="J85" s="91">
        <v>0.001212</v>
      </c>
      <c r="K85" s="91">
        <v>0.001908</v>
      </c>
      <c r="L85" s="91"/>
      <c r="M85" s="91" t="s">
        <v>2956</v>
      </c>
      <c r="N85" s="91">
        <v>0.010909</v>
      </c>
      <c r="O85" s="91">
        <v>0.015267</v>
      </c>
      <c r="P85" s="91"/>
      <c r="Q85" s="91"/>
      <c r="R85" s="91"/>
      <c r="S85" s="91"/>
      <c r="T85" s="91"/>
      <c r="U85" s="98">
        <v>127.0</v>
      </c>
      <c r="V85" s="91">
        <v>0.499394</v>
      </c>
      <c r="W85" s="91">
        <v>0.002424</v>
      </c>
      <c r="X85" s="96">
        <v>0.539122</v>
      </c>
      <c r="Y85" s="91">
        <v>0.002863</v>
      </c>
    </row>
    <row r="86">
      <c r="A86" s="84" t="s">
        <v>3776</v>
      </c>
      <c r="B86" s="91">
        <v>0.004848</v>
      </c>
      <c r="C86" s="91">
        <v>0.004771</v>
      </c>
      <c r="D86" s="98"/>
      <c r="F86" s="91"/>
      <c r="G86" s="91"/>
      <c r="H86" s="98"/>
      <c r="I86" s="84" t="s">
        <v>3181</v>
      </c>
      <c r="J86" s="91">
        <v>0.001212</v>
      </c>
      <c r="K86" s="91">
        <v>0.001908</v>
      </c>
      <c r="L86" s="91"/>
      <c r="M86" s="91" t="s">
        <v>3314</v>
      </c>
      <c r="N86" s="91">
        <v>0.018182</v>
      </c>
      <c r="O86" s="91">
        <v>0.014313</v>
      </c>
      <c r="P86" s="91"/>
      <c r="Q86" s="91"/>
      <c r="R86" s="91"/>
      <c r="S86" s="91"/>
      <c r="T86" s="91"/>
      <c r="U86" s="98">
        <v>128.0</v>
      </c>
      <c r="V86" s="91">
        <v>0.501818</v>
      </c>
      <c r="W86" s="91">
        <v>0.006061</v>
      </c>
      <c r="X86" s="96">
        <v>0.541985</v>
      </c>
      <c r="Y86" s="91">
        <v>0.007634</v>
      </c>
    </row>
    <row r="87">
      <c r="A87" s="84" t="s">
        <v>3753</v>
      </c>
      <c r="B87" s="91">
        <v>0.004848</v>
      </c>
      <c r="C87" s="91">
        <v>0.004771</v>
      </c>
      <c r="D87" s="98"/>
      <c r="F87" s="91"/>
      <c r="G87" s="91"/>
      <c r="H87" s="98"/>
      <c r="I87" s="84" t="s">
        <v>4148</v>
      </c>
      <c r="J87" s="91">
        <v>0.001212</v>
      </c>
      <c r="K87" s="91">
        <v>0.001908</v>
      </c>
      <c r="L87" s="91"/>
      <c r="M87" s="91" t="s">
        <v>2938</v>
      </c>
      <c r="N87" s="91">
        <v>0.013333</v>
      </c>
      <c r="O87" s="91">
        <v>0.014313</v>
      </c>
      <c r="P87" s="91"/>
      <c r="Q87" s="91"/>
      <c r="R87" s="91"/>
      <c r="S87" s="91"/>
      <c r="T87" s="91"/>
      <c r="U87" s="98">
        <v>129.0</v>
      </c>
      <c r="V87" s="91">
        <v>0.507879</v>
      </c>
      <c r="W87" s="91">
        <v>0.004848</v>
      </c>
      <c r="X87" s="96">
        <v>0.549618</v>
      </c>
      <c r="Y87" s="91">
        <v>0.003817</v>
      </c>
    </row>
    <row r="88">
      <c r="A88" s="84" t="s">
        <v>3672</v>
      </c>
      <c r="B88" s="91">
        <v>0.004848</v>
      </c>
      <c r="C88" s="91">
        <v>0.004771</v>
      </c>
      <c r="D88" s="98"/>
      <c r="F88" s="91"/>
      <c r="G88" s="91"/>
      <c r="H88" s="98"/>
      <c r="I88" s="84" t="s">
        <v>3380</v>
      </c>
      <c r="J88" s="91">
        <v>0.0</v>
      </c>
      <c r="K88" s="91">
        <v>0.001908</v>
      </c>
      <c r="L88" s="91"/>
      <c r="M88" s="91" t="s">
        <v>3617</v>
      </c>
      <c r="N88" s="91">
        <v>0.012121</v>
      </c>
      <c r="O88" s="91">
        <v>0.014313</v>
      </c>
      <c r="P88" s="91"/>
      <c r="Q88" s="91"/>
      <c r="R88" s="91"/>
      <c r="S88" s="91"/>
      <c r="T88" s="91"/>
      <c r="U88" s="98">
        <v>130.0</v>
      </c>
      <c r="V88" s="91">
        <v>0.512727</v>
      </c>
      <c r="W88" s="91">
        <v>0.004848</v>
      </c>
      <c r="X88" s="96">
        <v>0.553435</v>
      </c>
      <c r="Y88" s="91">
        <v>0.006679</v>
      </c>
    </row>
    <row r="89">
      <c r="A89" s="84" t="s">
        <v>3696</v>
      </c>
      <c r="B89" s="91">
        <v>0.004848</v>
      </c>
      <c r="C89" s="91">
        <v>0.004771</v>
      </c>
      <c r="D89" s="98"/>
      <c r="F89" s="91"/>
      <c r="G89" s="91"/>
      <c r="H89" s="98"/>
      <c r="I89" s="84" t="s">
        <v>4338</v>
      </c>
      <c r="J89" s="91">
        <v>0.0</v>
      </c>
      <c r="K89" s="91">
        <v>0.001908</v>
      </c>
      <c r="L89" s="91"/>
      <c r="M89" s="91" t="s">
        <v>3057</v>
      </c>
      <c r="N89" s="91">
        <v>0.009697</v>
      </c>
      <c r="O89" s="91">
        <v>0.014313</v>
      </c>
      <c r="P89" s="91"/>
      <c r="Q89" s="91"/>
      <c r="R89" s="91"/>
      <c r="S89" s="91"/>
      <c r="T89" s="91"/>
      <c r="U89" s="98">
        <v>131.0</v>
      </c>
      <c r="V89" s="91">
        <v>0.517576</v>
      </c>
      <c r="W89" s="91">
        <v>0.002424</v>
      </c>
      <c r="X89" s="96">
        <v>0.560115</v>
      </c>
      <c r="Y89" s="91">
        <v>0.001908</v>
      </c>
    </row>
    <row r="90">
      <c r="A90" s="84" t="s">
        <v>3655</v>
      </c>
      <c r="B90" s="91">
        <v>0.004848</v>
      </c>
      <c r="C90" s="91">
        <v>0.004771</v>
      </c>
      <c r="D90" s="98"/>
      <c r="F90" s="91"/>
      <c r="G90" s="91"/>
      <c r="H90" s="98"/>
      <c r="I90" s="84" t="s">
        <v>3763</v>
      </c>
      <c r="J90" s="91">
        <v>0.004848</v>
      </c>
      <c r="K90" s="91">
        <v>0.0</v>
      </c>
      <c r="L90" s="91"/>
      <c r="M90" s="91" t="s">
        <v>3278</v>
      </c>
      <c r="N90" s="91">
        <v>0.014545</v>
      </c>
      <c r="O90" s="91">
        <v>0.013359</v>
      </c>
      <c r="P90" s="91"/>
      <c r="Q90" s="91"/>
      <c r="R90" s="91"/>
      <c r="S90" s="91"/>
      <c r="T90" s="91"/>
      <c r="U90" s="98">
        <v>132.0</v>
      </c>
      <c r="V90" s="91">
        <v>0.52</v>
      </c>
      <c r="W90" s="91">
        <v>0.027879</v>
      </c>
      <c r="X90" s="96">
        <v>0.562023</v>
      </c>
      <c r="Y90" s="91">
        <v>0.026718</v>
      </c>
    </row>
    <row r="91">
      <c r="A91" s="84" t="s">
        <v>3765</v>
      </c>
      <c r="B91" s="91">
        <v>0.004848</v>
      </c>
      <c r="C91" s="91">
        <v>0.004771</v>
      </c>
      <c r="D91" s="98"/>
      <c r="F91" s="91"/>
      <c r="G91" s="91"/>
      <c r="H91" s="98"/>
      <c r="I91" s="84" t="s">
        <v>3131</v>
      </c>
      <c r="J91" s="91">
        <v>0.002424</v>
      </c>
      <c r="K91" s="91">
        <v>0.0</v>
      </c>
      <c r="L91" s="91"/>
      <c r="M91" s="91" t="s">
        <v>3130</v>
      </c>
      <c r="N91" s="91">
        <v>0.014545</v>
      </c>
      <c r="O91" s="91">
        <v>0.013359</v>
      </c>
      <c r="P91" s="91"/>
      <c r="Q91" s="91"/>
      <c r="R91" s="91"/>
      <c r="S91" s="91"/>
      <c r="T91" s="91"/>
      <c r="U91" s="98">
        <v>133.0</v>
      </c>
      <c r="V91" s="91">
        <v>0.547879</v>
      </c>
      <c r="W91" s="91">
        <v>0.001212</v>
      </c>
      <c r="X91" s="96">
        <v>0.58874</v>
      </c>
      <c r="Y91" s="91">
        <v>0.0</v>
      </c>
    </row>
    <row r="92">
      <c r="A92" s="84" t="s">
        <v>3634</v>
      </c>
      <c r="B92" s="91">
        <v>0.004848</v>
      </c>
      <c r="C92" s="91">
        <v>0.004771</v>
      </c>
      <c r="D92" s="98"/>
      <c r="F92" s="91"/>
      <c r="G92" s="91"/>
      <c r="H92" s="98"/>
      <c r="I92" s="84" t="s">
        <v>4319</v>
      </c>
      <c r="J92" s="91">
        <v>0.001212</v>
      </c>
      <c r="K92" s="91">
        <v>0.0</v>
      </c>
      <c r="L92" s="91"/>
      <c r="M92" s="91" t="s">
        <v>3538</v>
      </c>
      <c r="N92" s="91">
        <v>0.013333</v>
      </c>
      <c r="O92" s="91">
        <v>0.013359</v>
      </c>
      <c r="P92" s="91"/>
      <c r="Q92" s="91"/>
      <c r="R92" s="91"/>
      <c r="S92" s="91"/>
      <c r="T92" s="91"/>
      <c r="U92" s="98">
        <v>134.0</v>
      </c>
      <c r="V92" s="91">
        <v>0.549091</v>
      </c>
      <c r="W92" s="91">
        <v>0.020606</v>
      </c>
      <c r="X92" s="96">
        <v>0.58874</v>
      </c>
      <c r="Y92" s="91">
        <v>0.020038</v>
      </c>
    </row>
    <row r="93">
      <c r="A93" s="84" t="s">
        <v>3664</v>
      </c>
      <c r="B93" s="91">
        <v>0.004848</v>
      </c>
      <c r="C93" s="91">
        <v>0.004771</v>
      </c>
      <c r="D93" s="98"/>
      <c r="F93" s="91"/>
      <c r="G93" s="91"/>
      <c r="H93" s="98"/>
      <c r="J93" s="91"/>
      <c r="K93" s="91"/>
      <c r="L93" s="91"/>
      <c r="M93" s="91" t="s">
        <v>2801</v>
      </c>
      <c r="N93" s="91">
        <v>0.013333</v>
      </c>
      <c r="O93" s="91">
        <v>0.013359</v>
      </c>
      <c r="P93" s="91"/>
      <c r="Q93" s="91"/>
      <c r="R93" s="91"/>
      <c r="S93" s="91"/>
      <c r="T93" s="91"/>
      <c r="U93" s="98">
        <v>135.0</v>
      </c>
      <c r="V93" s="91">
        <v>0.569697</v>
      </c>
      <c r="W93" s="91">
        <v>0.002424</v>
      </c>
      <c r="X93" s="96">
        <v>0.608779</v>
      </c>
      <c r="Y93" s="91">
        <v>0.002863</v>
      </c>
    </row>
    <row r="94">
      <c r="A94" s="84" t="s">
        <v>3912</v>
      </c>
      <c r="B94" s="91">
        <v>0.004848</v>
      </c>
      <c r="C94" s="91">
        <v>0.004771</v>
      </c>
      <c r="D94" s="98"/>
      <c r="F94" s="91"/>
      <c r="G94" s="91"/>
      <c r="H94" s="98"/>
      <c r="J94" s="91"/>
      <c r="K94" s="91"/>
      <c r="L94" s="91"/>
      <c r="M94" s="91" t="s">
        <v>3168</v>
      </c>
      <c r="N94" s="91">
        <v>0.012121</v>
      </c>
      <c r="O94" s="91">
        <v>0.013359</v>
      </c>
      <c r="P94" s="91"/>
      <c r="Q94" s="91"/>
      <c r="R94" s="91"/>
      <c r="S94" s="91"/>
      <c r="T94" s="91"/>
      <c r="U94" s="98">
        <v>136.0</v>
      </c>
      <c r="V94" s="91">
        <v>0.572121</v>
      </c>
      <c r="W94" s="91">
        <v>0.0</v>
      </c>
      <c r="X94" s="96">
        <v>0.611641</v>
      </c>
      <c r="Y94" s="91">
        <v>0.0</v>
      </c>
    </row>
    <row r="95">
      <c r="A95" s="84" t="s">
        <v>3691</v>
      </c>
      <c r="B95" s="91">
        <v>0.004848</v>
      </c>
      <c r="C95" s="91">
        <v>0.004771</v>
      </c>
      <c r="D95" s="98"/>
      <c r="F95" s="91"/>
      <c r="G95" s="91"/>
      <c r="H95" s="98"/>
      <c r="J95" s="91"/>
      <c r="K95" s="91"/>
      <c r="L95" s="91"/>
      <c r="M95" s="91" t="s">
        <v>3800</v>
      </c>
      <c r="N95" s="91">
        <v>0.010909</v>
      </c>
      <c r="O95" s="91">
        <v>0.013359</v>
      </c>
      <c r="P95" s="91"/>
      <c r="Q95" s="91"/>
      <c r="R95" s="91"/>
      <c r="S95" s="91"/>
      <c r="T95" s="91"/>
      <c r="U95" s="98">
        <v>137.0</v>
      </c>
      <c r="V95" s="91">
        <v>0.572121</v>
      </c>
      <c r="W95" s="91">
        <v>0.019394</v>
      </c>
      <c r="X95" s="96">
        <v>0.611641</v>
      </c>
      <c r="Y95" s="91">
        <v>0.025763</v>
      </c>
    </row>
    <row r="96">
      <c r="A96" s="84" t="s">
        <v>3758</v>
      </c>
      <c r="B96" s="91">
        <v>0.004848</v>
      </c>
      <c r="C96" s="91">
        <v>0.004771</v>
      </c>
      <c r="D96" s="98"/>
      <c r="F96" s="91"/>
      <c r="G96" s="91"/>
      <c r="H96" s="98"/>
      <c r="J96" s="91"/>
      <c r="K96" s="91"/>
      <c r="L96" s="91"/>
      <c r="M96" s="91" t="s">
        <v>2712</v>
      </c>
      <c r="N96" s="91">
        <v>0.010909</v>
      </c>
      <c r="O96" s="91">
        <v>0.013359</v>
      </c>
      <c r="P96" s="91"/>
      <c r="Q96" s="91"/>
      <c r="R96" s="91"/>
      <c r="S96" s="91"/>
      <c r="T96" s="91"/>
      <c r="U96" s="98">
        <v>138.0</v>
      </c>
      <c r="V96" s="91">
        <v>0.591515</v>
      </c>
      <c r="W96" s="91">
        <v>0.0</v>
      </c>
      <c r="X96" s="96">
        <v>0.637405</v>
      </c>
      <c r="Y96" s="91">
        <v>0.0</v>
      </c>
    </row>
    <row r="97">
      <c r="A97" s="84" t="s">
        <v>3714</v>
      </c>
      <c r="B97" s="91">
        <v>0.004848</v>
      </c>
      <c r="C97" s="91">
        <v>0.004771</v>
      </c>
      <c r="D97" s="98"/>
      <c r="F97" s="91"/>
      <c r="G97" s="91"/>
      <c r="H97" s="98"/>
      <c r="J97" s="91"/>
      <c r="K97" s="91"/>
      <c r="L97" s="91"/>
      <c r="M97" s="91" t="s">
        <v>3594</v>
      </c>
      <c r="N97" s="91">
        <v>0.009697</v>
      </c>
      <c r="O97" s="91">
        <v>0.013359</v>
      </c>
      <c r="P97" s="91"/>
      <c r="Q97" s="91"/>
      <c r="R97" s="91"/>
      <c r="S97" s="91"/>
      <c r="T97" s="91"/>
      <c r="U97" s="98">
        <v>139.0</v>
      </c>
      <c r="V97" s="91">
        <v>0.591515</v>
      </c>
      <c r="W97" s="91">
        <v>0.002424</v>
      </c>
      <c r="X97" s="96">
        <v>0.637405</v>
      </c>
      <c r="Y97" s="91">
        <v>0.001908</v>
      </c>
    </row>
    <row r="98">
      <c r="A98" s="84" t="s">
        <v>3661</v>
      </c>
      <c r="B98" s="91">
        <v>0.004848</v>
      </c>
      <c r="C98" s="91">
        <v>0.004771</v>
      </c>
      <c r="D98" s="98"/>
      <c r="F98" s="91"/>
      <c r="G98" s="91"/>
      <c r="H98" s="98"/>
      <c r="J98" s="91"/>
      <c r="K98" s="91"/>
      <c r="L98" s="91"/>
      <c r="M98" s="91" t="s">
        <v>2574</v>
      </c>
      <c r="N98" s="91">
        <v>0.008485</v>
      </c>
      <c r="O98" s="91">
        <v>0.013359</v>
      </c>
      <c r="P98" s="91"/>
      <c r="Q98" s="91"/>
      <c r="R98" s="91"/>
      <c r="S98" s="91"/>
      <c r="T98" s="91"/>
      <c r="U98" s="98">
        <v>140.0</v>
      </c>
      <c r="V98" s="91">
        <v>0.593939</v>
      </c>
      <c r="W98" s="91">
        <v>0.004848</v>
      </c>
      <c r="X98" s="96">
        <v>0.639313</v>
      </c>
      <c r="Y98" s="91">
        <v>0.004771</v>
      </c>
    </row>
    <row r="99">
      <c r="A99" s="84" t="s">
        <v>3689</v>
      </c>
      <c r="B99" s="91">
        <v>0.004848</v>
      </c>
      <c r="C99" s="91">
        <v>0.003817</v>
      </c>
      <c r="D99" s="98"/>
      <c r="F99" s="91"/>
      <c r="G99" s="91"/>
      <c r="H99" s="98"/>
      <c r="J99" s="91"/>
      <c r="K99" s="91"/>
      <c r="L99" s="91"/>
      <c r="M99" s="91" t="s">
        <v>2631</v>
      </c>
      <c r="N99" s="91">
        <v>0.018182</v>
      </c>
      <c r="O99" s="91">
        <v>0.012405</v>
      </c>
      <c r="P99" s="91"/>
      <c r="Q99" s="91"/>
      <c r="R99" s="91"/>
      <c r="S99" s="91"/>
      <c r="T99" s="91"/>
      <c r="U99" s="98">
        <v>141.0</v>
      </c>
      <c r="V99" s="91">
        <v>0.598788</v>
      </c>
      <c r="W99" s="91">
        <v>0.001212</v>
      </c>
      <c r="X99" s="96">
        <v>0.644084</v>
      </c>
      <c r="Y99" s="91">
        <v>0.002863</v>
      </c>
    </row>
    <row r="100">
      <c r="A100" s="84" t="s">
        <v>3704</v>
      </c>
      <c r="B100" s="91">
        <v>0.004848</v>
      </c>
      <c r="C100" s="91">
        <v>0.003817</v>
      </c>
      <c r="D100" s="98"/>
      <c r="F100" s="91"/>
      <c r="G100" s="91"/>
      <c r="H100" s="98"/>
      <c r="J100" s="91"/>
      <c r="K100" s="91"/>
      <c r="L100" s="91"/>
      <c r="M100" s="91" t="s">
        <v>3228</v>
      </c>
      <c r="N100" s="91">
        <v>0.01697</v>
      </c>
      <c r="O100" s="91">
        <v>0.012405</v>
      </c>
      <c r="P100" s="91"/>
      <c r="Q100" s="91"/>
      <c r="R100" s="91"/>
      <c r="S100" s="91"/>
      <c r="T100" s="91"/>
      <c r="U100" s="98">
        <v>142.0</v>
      </c>
      <c r="V100" s="91">
        <v>0.6</v>
      </c>
      <c r="W100" s="91">
        <v>0.004848</v>
      </c>
      <c r="X100" s="96">
        <v>0.646947</v>
      </c>
      <c r="Y100" s="91">
        <v>0.003817</v>
      </c>
    </row>
    <row r="101">
      <c r="A101" s="84" t="s">
        <v>3638</v>
      </c>
      <c r="B101" s="91">
        <v>0.004848</v>
      </c>
      <c r="C101" s="91">
        <v>0.003817</v>
      </c>
      <c r="D101" s="98"/>
      <c r="F101" s="91"/>
      <c r="G101" s="91"/>
      <c r="H101" s="98"/>
      <c r="J101" s="91"/>
      <c r="K101" s="91"/>
      <c r="L101" s="91"/>
      <c r="M101" s="91" t="s">
        <v>2514</v>
      </c>
      <c r="N101" s="91">
        <v>0.014545</v>
      </c>
      <c r="O101" s="91">
        <v>0.012405</v>
      </c>
      <c r="P101" s="91"/>
      <c r="Q101" s="91"/>
      <c r="R101" s="91"/>
      <c r="S101" s="91"/>
      <c r="T101" s="91"/>
      <c r="U101" s="98" t="s">
        <v>6508</v>
      </c>
      <c r="V101" s="91">
        <v>0.604848</v>
      </c>
      <c r="W101" s="91">
        <v>0.0</v>
      </c>
      <c r="X101" s="96">
        <v>0.650763</v>
      </c>
      <c r="Y101" s="91">
        <v>0.0</v>
      </c>
    </row>
    <row r="102">
      <c r="A102" s="84" t="s">
        <v>3723</v>
      </c>
      <c r="B102" s="91">
        <v>0.004848</v>
      </c>
      <c r="C102" s="91">
        <v>0.003817</v>
      </c>
      <c r="D102" s="98"/>
      <c r="F102" s="91"/>
      <c r="G102" s="91"/>
      <c r="H102" s="98"/>
      <c r="J102" s="91"/>
      <c r="K102" s="91"/>
      <c r="L102" s="91"/>
      <c r="M102" s="91" t="s">
        <v>3945</v>
      </c>
      <c r="N102" s="91">
        <v>0.014545</v>
      </c>
      <c r="O102" s="91">
        <v>0.012405</v>
      </c>
      <c r="P102" s="91"/>
      <c r="Q102" s="91"/>
      <c r="R102" s="91"/>
      <c r="S102" s="91"/>
      <c r="T102" s="91"/>
      <c r="U102" s="98">
        <v>145.0</v>
      </c>
      <c r="V102" s="91">
        <v>0.604848</v>
      </c>
      <c r="W102" s="91">
        <v>0.043636</v>
      </c>
      <c r="X102" s="96">
        <v>0.650763</v>
      </c>
      <c r="Y102" s="91">
        <v>0.02958</v>
      </c>
    </row>
    <row r="103">
      <c r="A103" s="84" t="s">
        <v>3781</v>
      </c>
      <c r="B103" s="91">
        <v>0.004848</v>
      </c>
      <c r="C103" s="91">
        <v>0.003817</v>
      </c>
      <c r="D103" s="98"/>
      <c r="F103" s="91"/>
      <c r="G103" s="91"/>
      <c r="H103" s="98"/>
      <c r="J103" s="91"/>
      <c r="K103" s="91"/>
      <c r="L103" s="91"/>
      <c r="M103" s="91" t="s">
        <v>3787</v>
      </c>
      <c r="N103" s="91">
        <v>0.013333</v>
      </c>
      <c r="O103" s="91">
        <v>0.012405</v>
      </c>
      <c r="P103" s="91"/>
      <c r="Q103" s="91"/>
      <c r="R103" s="91"/>
      <c r="S103" s="91"/>
      <c r="T103" s="91"/>
      <c r="U103" s="98">
        <v>146.0</v>
      </c>
      <c r="V103" s="91">
        <v>0.648485</v>
      </c>
      <c r="W103" s="91">
        <v>0.007273</v>
      </c>
      <c r="X103" s="96">
        <v>0.680344</v>
      </c>
      <c r="Y103" s="91">
        <v>0.003817</v>
      </c>
    </row>
    <row r="104">
      <c r="A104" s="84" t="s">
        <v>3770</v>
      </c>
      <c r="B104" s="91">
        <v>0.004848</v>
      </c>
      <c r="C104" s="91">
        <v>0.003817</v>
      </c>
      <c r="D104" s="98"/>
      <c r="F104" s="91"/>
      <c r="G104" s="91"/>
      <c r="H104" s="98"/>
      <c r="J104" s="91"/>
      <c r="K104" s="91"/>
      <c r="L104" s="91"/>
      <c r="M104" s="91" t="s">
        <v>4033</v>
      </c>
      <c r="N104" s="91">
        <v>0.012121</v>
      </c>
      <c r="O104" s="91">
        <v>0.012405</v>
      </c>
      <c r="P104" s="91"/>
      <c r="Q104" s="91"/>
      <c r="R104" s="91"/>
      <c r="S104" s="91"/>
      <c r="T104" s="91"/>
      <c r="U104" s="98">
        <v>147.0</v>
      </c>
      <c r="V104" s="91">
        <v>0.655758</v>
      </c>
      <c r="W104" s="91">
        <v>0.006061</v>
      </c>
      <c r="X104" s="96">
        <v>0.68416</v>
      </c>
      <c r="Y104" s="91">
        <v>0.005725</v>
      </c>
    </row>
    <row r="105">
      <c r="A105" s="84" t="s">
        <v>3682</v>
      </c>
      <c r="B105" s="91">
        <v>0.004848</v>
      </c>
      <c r="C105" s="91">
        <v>0.003817</v>
      </c>
      <c r="D105" s="98"/>
      <c r="F105" s="91"/>
      <c r="G105" s="91"/>
      <c r="H105" s="98"/>
      <c r="J105" s="91"/>
      <c r="K105" s="91"/>
      <c r="L105" s="91"/>
      <c r="M105" s="91" t="s">
        <v>3554</v>
      </c>
      <c r="N105" s="91">
        <v>0.012121</v>
      </c>
      <c r="O105" s="91">
        <v>0.012405</v>
      </c>
      <c r="P105" s="91"/>
      <c r="Q105" s="91"/>
      <c r="R105" s="91"/>
      <c r="S105" s="91"/>
      <c r="T105" s="91"/>
      <c r="U105" s="98">
        <v>148.0</v>
      </c>
      <c r="V105" s="91">
        <v>0.661818</v>
      </c>
      <c r="W105" s="91">
        <v>0.004848</v>
      </c>
      <c r="X105" s="96">
        <v>0.689885</v>
      </c>
      <c r="Y105" s="91">
        <v>0.005725</v>
      </c>
    </row>
    <row r="106">
      <c r="A106" s="84" t="s">
        <v>3861</v>
      </c>
      <c r="B106" s="91">
        <v>0.003636</v>
      </c>
      <c r="C106" s="91">
        <v>0.007634</v>
      </c>
      <c r="D106" s="98"/>
      <c r="F106" s="91"/>
      <c r="G106" s="91"/>
      <c r="H106" s="98"/>
      <c r="J106" s="91"/>
      <c r="K106" s="91"/>
      <c r="L106" s="91"/>
      <c r="M106" s="91" t="s">
        <v>3253</v>
      </c>
      <c r="N106" s="91">
        <v>0.010909</v>
      </c>
      <c r="O106" s="91">
        <v>0.012405</v>
      </c>
      <c r="P106" s="91"/>
      <c r="Q106" s="91"/>
      <c r="R106" s="91"/>
      <c r="S106" s="91"/>
      <c r="T106" s="91"/>
      <c r="U106" s="98">
        <v>149.0</v>
      </c>
      <c r="V106" s="91">
        <v>0.666667</v>
      </c>
      <c r="W106" s="91">
        <v>0.003636</v>
      </c>
      <c r="X106" s="96">
        <v>0.695611</v>
      </c>
      <c r="Y106" s="91">
        <v>0.003817</v>
      </c>
    </row>
    <row r="107">
      <c r="A107" s="84" t="s">
        <v>3712</v>
      </c>
      <c r="B107" s="91">
        <v>0.003636</v>
      </c>
      <c r="C107" s="91">
        <v>0.005725</v>
      </c>
      <c r="D107" s="98"/>
      <c r="F107" s="91"/>
      <c r="G107" s="91"/>
      <c r="H107" s="98"/>
      <c r="J107" s="91"/>
      <c r="K107" s="91"/>
      <c r="L107" s="91"/>
      <c r="M107" s="91" t="s">
        <v>4213</v>
      </c>
      <c r="N107" s="91">
        <v>0.009697</v>
      </c>
      <c r="O107" s="91">
        <v>0.012405</v>
      </c>
      <c r="P107" s="91"/>
      <c r="Q107" s="91"/>
      <c r="R107" s="91"/>
      <c r="S107" s="91"/>
      <c r="T107" s="91"/>
      <c r="U107" s="98">
        <v>150.0</v>
      </c>
      <c r="V107" s="91">
        <v>0.670303</v>
      </c>
      <c r="W107" s="91">
        <v>0.019394</v>
      </c>
      <c r="X107" s="96">
        <v>0.699427</v>
      </c>
      <c r="Y107" s="91">
        <v>0.016221</v>
      </c>
    </row>
    <row r="108">
      <c r="A108" s="84" t="s">
        <v>3828</v>
      </c>
      <c r="B108" s="91">
        <v>0.003636</v>
      </c>
      <c r="C108" s="91">
        <v>0.005725</v>
      </c>
      <c r="D108" s="98"/>
      <c r="F108" s="91"/>
      <c r="G108" s="91"/>
      <c r="H108" s="98"/>
      <c r="J108" s="91"/>
      <c r="K108" s="91"/>
      <c r="L108" s="91"/>
      <c r="M108" s="91" t="s">
        <v>2781</v>
      </c>
      <c r="N108" s="91">
        <v>0.009697</v>
      </c>
      <c r="O108" s="91">
        <v>0.012405</v>
      </c>
      <c r="P108" s="91"/>
      <c r="Q108" s="91"/>
      <c r="R108" s="91"/>
      <c r="S108" s="91"/>
      <c r="T108" s="91"/>
      <c r="U108" s="98">
        <v>151.0</v>
      </c>
      <c r="V108" s="91">
        <v>0.689697</v>
      </c>
      <c r="W108" s="91">
        <v>0.0</v>
      </c>
      <c r="X108" s="96">
        <v>0.715649</v>
      </c>
      <c r="Y108" s="91">
        <v>0.0</v>
      </c>
    </row>
    <row r="109">
      <c r="A109" s="84" t="s">
        <v>3792</v>
      </c>
      <c r="B109" s="91">
        <v>0.003636</v>
      </c>
      <c r="C109" s="91">
        <v>0.004771</v>
      </c>
      <c r="D109" s="98"/>
      <c r="F109" s="91"/>
      <c r="G109" s="91"/>
      <c r="H109" s="98"/>
      <c r="J109" s="91"/>
      <c r="K109" s="91"/>
      <c r="L109" s="91"/>
      <c r="M109" s="91" t="s">
        <v>3959</v>
      </c>
      <c r="N109" s="91">
        <v>0.007273</v>
      </c>
      <c r="O109" s="91">
        <v>0.012405</v>
      </c>
      <c r="P109" s="91"/>
      <c r="Q109" s="91"/>
      <c r="R109" s="91"/>
      <c r="S109" s="91"/>
      <c r="T109" s="91"/>
      <c r="U109" s="98">
        <v>152.0</v>
      </c>
      <c r="V109" s="91">
        <v>0.689697</v>
      </c>
      <c r="W109" s="91">
        <v>0.029091</v>
      </c>
      <c r="X109" s="96">
        <v>0.715649</v>
      </c>
      <c r="Y109" s="91">
        <v>0.021947</v>
      </c>
    </row>
    <row r="110">
      <c r="A110" s="84" t="s">
        <v>3709</v>
      </c>
      <c r="B110" s="91">
        <v>0.003636</v>
      </c>
      <c r="C110" s="91">
        <v>0.004771</v>
      </c>
      <c r="D110" s="98"/>
      <c r="F110" s="91"/>
      <c r="G110" s="91"/>
      <c r="H110" s="98"/>
      <c r="J110" s="91"/>
      <c r="K110" s="91"/>
      <c r="L110" s="91"/>
      <c r="M110" s="91" t="s">
        <v>2863</v>
      </c>
      <c r="N110" s="91">
        <v>0.014545</v>
      </c>
      <c r="O110" s="91">
        <v>0.01145</v>
      </c>
      <c r="P110" s="91"/>
      <c r="Q110" s="91"/>
      <c r="R110" s="91"/>
      <c r="S110" s="91"/>
      <c r="T110" s="91"/>
      <c r="U110" s="98">
        <v>153.0</v>
      </c>
      <c r="V110" s="91">
        <v>0.718788</v>
      </c>
      <c r="W110" s="91">
        <v>0.0</v>
      </c>
      <c r="X110" s="96">
        <v>0.737595</v>
      </c>
      <c r="Y110" s="91">
        <v>0.0</v>
      </c>
    </row>
    <row r="111">
      <c r="A111" s="84" t="s">
        <v>3674</v>
      </c>
      <c r="B111" s="91">
        <v>0.003636</v>
      </c>
      <c r="C111" s="91">
        <v>0.004771</v>
      </c>
      <c r="D111" s="98"/>
      <c r="F111" s="91"/>
      <c r="G111" s="91"/>
      <c r="H111" s="98"/>
      <c r="J111" s="91"/>
      <c r="K111" s="91"/>
      <c r="L111" s="91"/>
      <c r="M111" s="91" t="s">
        <v>2855</v>
      </c>
      <c r="N111" s="91">
        <v>0.013333</v>
      </c>
      <c r="O111" s="91">
        <v>0.01145</v>
      </c>
      <c r="P111" s="91"/>
      <c r="Q111" s="91"/>
      <c r="R111" s="91"/>
      <c r="S111" s="91"/>
      <c r="T111" s="91"/>
      <c r="U111" s="98">
        <v>154.0</v>
      </c>
      <c r="V111" s="91">
        <v>0.718788</v>
      </c>
      <c r="W111" s="91">
        <v>0.0</v>
      </c>
      <c r="X111" s="96">
        <v>0.737595</v>
      </c>
      <c r="Y111" s="91">
        <v>0.001908</v>
      </c>
    </row>
    <row r="112">
      <c r="A112" s="84" t="s">
        <v>3767</v>
      </c>
      <c r="B112" s="91">
        <v>0.003636</v>
      </c>
      <c r="C112" s="91">
        <v>0.004771</v>
      </c>
      <c r="D112" s="98"/>
      <c r="F112" s="91"/>
      <c r="G112" s="91"/>
      <c r="H112" s="98"/>
      <c r="J112" s="91"/>
      <c r="K112" s="91"/>
      <c r="L112" s="91"/>
      <c r="M112" s="91" t="s">
        <v>3934</v>
      </c>
      <c r="N112" s="91">
        <v>0.012121</v>
      </c>
      <c r="O112" s="91">
        <v>0.01145</v>
      </c>
      <c r="P112" s="91"/>
      <c r="Q112" s="91"/>
      <c r="R112" s="91"/>
      <c r="S112" s="91"/>
      <c r="T112" s="91"/>
      <c r="U112" s="98">
        <v>155.0</v>
      </c>
      <c r="V112" s="91">
        <v>0.718788</v>
      </c>
      <c r="W112" s="91">
        <v>0.0</v>
      </c>
      <c r="X112" s="96">
        <v>0.739504</v>
      </c>
      <c r="Y112" s="91">
        <v>0.0</v>
      </c>
    </row>
    <row r="113">
      <c r="A113" s="84" t="s">
        <v>3717</v>
      </c>
      <c r="B113" s="91">
        <v>0.003636</v>
      </c>
      <c r="C113" s="91">
        <v>0.004771</v>
      </c>
      <c r="D113" s="98"/>
      <c r="F113" s="91"/>
      <c r="G113" s="91"/>
      <c r="H113" s="98"/>
      <c r="J113" s="91"/>
      <c r="K113" s="91"/>
      <c r="L113" s="91"/>
      <c r="M113" s="91" t="s">
        <v>2671</v>
      </c>
      <c r="N113" s="91">
        <v>0.010909</v>
      </c>
      <c r="O113" s="91">
        <v>0.01145</v>
      </c>
      <c r="P113" s="91"/>
      <c r="Q113" s="91"/>
      <c r="R113" s="91"/>
      <c r="S113" s="91"/>
      <c r="T113" s="91"/>
      <c r="U113" s="98">
        <v>156.0</v>
      </c>
      <c r="V113" s="91">
        <v>0.718788</v>
      </c>
      <c r="W113" s="91">
        <v>0.024242</v>
      </c>
      <c r="X113" s="96">
        <v>0.739504</v>
      </c>
      <c r="Y113" s="91">
        <v>0.024809</v>
      </c>
    </row>
    <row r="114">
      <c r="A114" s="84" t="s">
        <v>3740</v>
      </c>
      <c r="B114" s="91">
        <v>0.003636</v>
      </c>
      <c r="C114" s="91">
        <v>0.004771</v>
      </c>
      <c r="D114" s="98"/>
      <c r="F114" s="91"/>
      <c r="G114" s="91"/>
      <c r="H114" s="98"/>
      <c r="J114" s="91"/>
      <c r="K114" s="91"/>
      <c r="L114" s="91"/>
      <c r="M114" s="91" t="s">
        <v>2602</v>
      </c>
      <c r="N114" s="91">
        <v>0.009697</v>
      </c>
      <c r="O114" s="91">
        <v>0.01145</v>
      </c>
      <c r="P114" s="91"/>
      <c r="Q114" s="91"/>
      <c r="R114" s="91"/>
      <c r="S114" s="91"/>
      <c r="T114" s="91"/>
      <c r="U114" s="98">
        <v>157.0</v>
      </c>
      <c r="V114" s="91">
        <v>0.74303</v>
      </c>
      <c r="W114" s="91">
        <v>0.006061</v>
      </c>
      <c r="X114" s="96">
        <v>0.764313</v>
      </c>
      <c r="Y114" s="91">
        <v>0.005725</v>
      </c>
    </row>
    <row r="115">
      <c r="A115" s="84" t="s">
        <v>3684</v>
      </c>
      <c r="B115" s="91">
        <v>0.003636</v>
      </c>
      <c r="C115" s="91">
        <v>0.004771</v>
      </c>
      <c r="D115" s="98"/>
      <c r="F115" s="91"/>
      <c r="G115" s="91"/>
      <c r="H115" s="98"/>
      <c r="J115" s="91"/>
      <c r="K115" s="91"/>
      <c r="L115" s="91"/>
      <c r="M115" s="91" t="s">
        <v>3087</v>
      </c>
      <c r="N115" s="91">
        <v>0.009697</v>
      </c>
      <c r="O115" s="91">
        <v>0.01145</v>
      </c>
      <c r="P115" s="91"/>
      <c r="Q115" s="91"/>
      <c r="R115" s="91"/>
      <c r="S115" s="91"/>
      <c r="T115" s="91"/>
      <c r="U115" s="98" t="s">
        <v>6509</v>
      </c>
      <c r="V115" s="91">
        <v>0.749091</v>
      </c>
      <c r="W115" s="91">
        <v>0.0</v>
      </c>
      <c r="X115" s="96">
        <v>0.770038</v>
      </c>
      <c r="Y115" s="91">
        <v>0.0</v>
      </c>
    </row>
    <row r="116">
      <c r="A116" s="84" t="s">
        <v>3797</v>
      </c>
      <c r="B116" s="91">
        <v>0.003636</v>
      </c>
      <c r="C116" s="91">
        <v>0.004771</v>
      </c>
      <c r="D116" s="98"/>
      <c r="F116" s="91"/>
      <c r="G116" s="91"/>
      <c r="H116" s="98"/>
      <c r="J116" s="91"/>
      <c r="K116" s="91"/>
      <c r="L116" s="91"/>
      <c r="M116" s="91" t="s">
        <v>4056</v>
      </c>
      <c r="N116" s="91">
        <v>0.008485</v>
      </c>
      <c r="O116" s="91">
        <v>0.01145</v>
      </c>
      <c r="P116" s="91"/>
      <c r="Q116" s="91"/>
      <c r="R116" s="91"/>
      <c r="S116" s="91"/>
      <c r="T116" s="91"/>
      <c r="U116" s="98">
        <v>160.0</v>
      </c>
      <c r="V116" s="91">
        <v>0.749091</v>
      </c>
      <c r="W116" s="91">
        <v>0.002424</v>
      </c>
      <c r="X116" s="96">
        <v>0.770038</v>
      </c>
      <c r="Y116" s="91">
        <v>0.001908</v>
      </c>
    </row>
    <row r="117">
      <c r="A117" s="84" t="s">
        <v>3738</v>
      </c>
      <c r="B117" s="91">
        <v>0.003636</v>
      </c>
      <c r="C117" s="91">
        <v>0.003817</v>
      </c>
      <c r="D117" s="98"/>
      <c r="F117" s="91"/>
      <c r="G117" s="91"/>
      <c r="H117" s="98"/>
      <c r="J117" s="91"/>
      <c r="K117" s="91"/>
      <c r="L117" s="91"/>
      <c r="M117" s="91" t="s">
        <v>4296</v>
      </c>
      <c r="N117" s="91">
        <v>0.006061</v>
      </c>
      <c r="O117" s="91">
        <v>0.01145</v>
      </c>
      <c r="P117" s="91"/>
      <c r="Q117" s="91"/>
      <c r="R117" s="91"/>
      <c r="S117" s="91"/>
      <c r="T117" s="91"/>
      <c r="U117" s="98">
        <v>161.0</v>
      </c>
      <c r="V117" s="91">
        <v>0.751515</v>
      </c>
      <c r="W117" s="91">
        <v>0.015758</v>
      </c>
      <c r="X117" s="96">
        <v>0.771947</v>
      </c>
      <c r="Y117" s="91">
        <v>0.020038</v>
      </c>
    </row>
    <row r="118">
      <c r="A118" s="84" t="s">
        <v>3751</v>
      </c>
      <c r="B118" s="91">
        <v>0.003636</v>
      </c>
      <c r="C118" s="91">
        <v>0.003817</v>
      </c>
      <c r="D118" s="98"/>
      <c r="F118" s="91"/>
      <c r="G118" s="91"/>
      <c r="H118" s="98"/>
      <c r="J118" s="91"/>
      <c r="K118" s="91"/>
      <c r="L118" s="91"/>
      <c r="M118" s="91" t="s">
        <v>2638</v>
      </c>
      <c r="N118" s="91">
        <v>0.009697</v>
      </c>
      <c r="O118" s="91">
        <v>0.010496</v>
      </c>
      <c r="P118" s="91"/>
      <c r="Q118" s="91"/>
      <c r="R118" s="91"/>
      <c r="S118" s="91"/>
      <c r="T118" s="91"/>
      <c r="U118" s="98">
        <v>162.0</v>
      </c>
      <c r="V118" s="91">
        <v>0.767273</v>
      </c>
      <c r="W118" s="91">
        <v>0.010909</v>
      </c>
      <c r="X118" s="96">
        <v>0.791985</v>
      </c>
      <c r="Y118" s="91">
        <v>0.01145</v>
      </c>
    </row>
    <row r="119">
      <c r="A119" s="84" t="s">
        <v>3756</v>
      </c>
      <c r="B119" s="91">
        <v>0.003636</v>
      </c>
      <c r="C119" s="91">
        <v>0.003817</v>
      </c>
      <c r="D119" s="98"/>
      <c r="F119" s="91"/>
      <c r="G119" s="91"/>
      <c r="H119" s="98"/>
      <c r="J119" s="91"/>
      <c r="K119" s="91"/>
      <c r="L119" s="91"/>
      <c r="M119" s="91" t="s">
        <v>2757</v>
      </c>
      <c r="N119" s="91">
        <v>0.009697</v>
      </c>
      <c r="O119" s="91">
        <v>0.010496</v>
      </c>
      <c r="P119" s="91"/>
      <c r="Q119" s="91"/>
      <c r="R119" s="91"/>
      <c r="S119" s="91"/>
      <c r="T119" s="91"/>
      <c r="U119" s="98" t="s">
        <v>6510</v>
      </c>
      <c r="V119" s="91">
        <v>0.778182</v>
      </c>
      <c r="W119" s="91">
        <v>0.0</v>
      </c>
      <c r="X119" s="96">
        <v>0.803435</v>
      </c>
      <c r="Y119" s="91">
        <v>0.0</v>
      </c>
    </row>
    <row r="120">
      <c r="A120" s="84" t="s">
        <v>3702</v>
      </c>
      <c r="B120" s="91">
        <v>0.003636</v>
      </c>
      <c r="C120" s="91">
        <v>0.003817</v>
      </c>
      <c r="D120" s="98"/>
      <c r="F120" s="91"/>
      <c r="G120" s="91"/>
      <c r="H120" s="98"/>
      <c r="J120" s="91"/>
      <c r="K120" s="91"/>
      <c r="L120" s="91"/>
      <c r="M120" s="91" t="s">
        <v>3967</v>
      </c>
      <c r="N120" s="91">
        <v>0.008485</v>
      </c>
      <c r="O120" s="91">
        <v>0.010496</v>
      </c>
      <c r="P120" s="91"/>
      <c r="Q120" s="91"/>
      <c r="R120" s="91"/>
      <c r="S120" s="91"/>
      <c r="T120" s="91"/>
      <c r="U120" s="98">
        <v>167.0</v>
      </c>
      <c r="V120" s="91">
        <v>0.778182</v>
      </c>
      <c r="W120" s="91">
        <v>0.043636</v>
      </c>
      <c r="X120" s="96">
        <v>0.803435</v>
      </c>
      <c r="Y120" s="91">
        <v>0.039122</v>
      </c>
    </row>
    <row r="121">
      <c r="A121" s="84" t="s">
        <v>3772</v>
      </c>
      <c r="B121" s="91">
        <v>0.003636</v>
      </c>
      <c r="C121" s="91">
        <v>0.003817</v>
      </c>
      <c r="D121" s="98"/>
      <c r="F121" s="91"/>
      <c r="G121" s="91"/>
      <c r="H121" s="98"/>
      <c r="J121" s="91"/>
      <c r="K121" s="91"/>
      <c r="L121" s="91"/>
      <c r="M121" s="91" t="s">
        <v>3447</v>
      </c>
      <c r="N121" s="91">
        <v>0.008485</v>
      </c>
      <c r="O121" s="91">
        <v>0.010496</v>
      </c>
      <c r="P121" s="91"/>
      <c r="Q121" s="91"/>
      <c r="R121" s="91"/>
      <c r="S121" s="91"/>
      <c r="T121" s="91"/>
      <c r="U121" s="98">
        <v>168.0</v>
      </c>
      <c r="V121" s="91">
        <v>0.821818</v>
      </c>
      <c r="W121" s="91">
        <v>0.003636</v>
      </c>
      <c r="X121" s="96">
        <v>0.842557</v>
      </c>
      <c r="Y121" s="91">
        <v>0.004771</v>
      </c>
    </row>
    <row r="122">
      <c r="A122" s="84" t="s">
        <v>3680</v>
      </c>
      <c r="B122" s="91">
        <v>0.003636</v>
      </c>
      <c r="C122" s="91">
        <v>0.003817</v>
      </c>
      <c r="D122" s="98"/>
      <c r="F122" s="91"/>
      <c r="G122" s="91"/>
      <c r="H122" s="98"/>
      <c r="J122" s="91"/>
      <c r="K122" s="91"/>
      <c r="L122" s="91"/>
      <c r="M122" s="91" t="s">
        <v>2596</v>
      </c>
      <c r="N122" s="91">
        <v>0.008485</v>
      </c>
      <c r="O122" s="91">
        <v>0.010496</v>
      </c>
      <c r="P122" s="91"/>
      <c r="Q122" s="91"/>
      <c r="R122" s="91"/>
      <c r="S122" s="91"/>
      <c r="T122" s="91"/>
      <c r="U122" s="98">
        <v>169.0</v>
      </c>
      <c r="V122" s="91">
        <v>0.825455</v>
      </c>
      <c r="W122" s="91">
        <v>0.013333</v>
      </c>
      <c r="X122" s="96">
        <v>0.847328</v>
      </c>
      <c r="Y122" s="91">
        <v>0.009542</v>
      </c>
    </row>
    <row r="123">
      <c r="A123" s="84" t="s">
        <v>3790</v>
      </c>
      <c r="B123" s="91">
        <v>0.003636</v>
      </c>
      <c r="C123" s="91">
        <v>0.003817</v>
      </c>
      <c r="D123" s="98"/>
      <c r="F123" s="91"/>
      <c r="G123" s="91"/>
      <c r="H123" s="98"/>
      <c r="J123" s="91"/>
      <c r="K123" s="91"/>
      <c r="L123" s="91"/>
      <c r="M123" s="91" t="s">
        <v>3285</v>
      </c>
      <c r="N123" s="91">
        <v>0.008485</v>
      </c>
      <c r="O123" s="91">
        <v>0.010496</v>
      </c>
      <c r="P123" s="91"/>
      <c r="Q123" s="91"/>
      <c r="R123" s="91"/>
      <c r="S123" s="91"/>
      <c r="T123" s="91"/>
      <c r="U123" s="98">
        <v>170.0</v>
      </c>
      <c r="V123" s="91">
        <v>0.838788</v>
      </c>
      <c r="W123" s="91">
        <v>0.003636</v>
      </c>
      <c r="X123" s="96">
        <v>0.85687</v>
      </c>
      <c r="Y123" s="91">
        <v>0.001908</v>
      </c>
    </row>
    <row r="124">
      <c r="A124" s="84" t="s">
        <v>3666</v>
      </c>
      <c r="B124" s="91">
        <v>0.003636</v>
      </c>
      <c r="C124" s="91">
        <v>0.003817</v>
      </c>
      <c r="D124" s="98"/>
      <c r="F124" s="91"/>
      <c r="G124" s="91"/>
      <c r="H124" s="98"/>
      <c r="J124" s="91"/>
      <c r="K124" s="91"/>
      <c r="L124" s="91"/>
      <c r="M124" s="91" t="s">
        <v>2694</v>
      </c>
      <c r="N124" s="91">
        <v>0.006061</v>
      </c>
      <c r="O124" s="91">
        <v>0.010496</v>
      </c>
      <c r="P124" s="91"/>
      <c r="Q124" s="91"/>
      <c r="R124" s="91"/>
      <c r="S124" s="91"/>
      <c r="T124" s="91"/>
      <c r="U124" s="98">
        <v>171.0</v>
      </c>
      <c r="V124" s="91">
        <v>0.842424</v>
      </c>
      <c r="W124" s="91">
        <v>0.0</v>
      </c>
      <c r="X124" s="96">
        <v>0.858779</v>
      </c>
      <c r="Y124" s="91">
        <v>0.0</v>
      </c>
    </row>
    <row r="125">
      <c r="A125" s="84" t="s">
        <v>3891</v>
      </c>
      <c r="B125" s="91">
        <v>0.003636</v>
      </c>
      <c r="C125" s="91">
        <v>0.002863</v>
      </c>
      <c r="D125" s="98"/>
      <c r="F125" s="91"/>
      <c r="G125" s="91"/>
      <c r="H125" s="98"/>
      <c r="J125" s="91"/>
      <c r="K125" s="91"/>
      <c r="L125" s="91"/>
      <c r="M125" s="91" t="s">
        <v>3249</v>
      </c>
      <c r="N125" s="91">
        <v>0.013333</v>
      </c>
      <c r="O125" s="91">
        <v>0.009542</v>
      </c>
      <c r="P125" s="91"/>
      <c r="Q125" s="91"/>
      <c r="R125" s="91"/>
      <c r="S125" s="91"/>
      <c r="T125" s="91"/>
      <c r="U125" s="98">
        <v>172.0</v>
      </c>
      <c r="V125" s="91">
        <v>0.842424</v>
      </c>
      <c r="W125" s="91">
        <v>0.010909</v>
      </c>
      <c r="X125" s="96">
        <v>0.858779</v>
      </c>
      <c r="Y125" s="91">
        <v>0.009542</v>
      </c>
    </row>
    <row r="126">
      <c r="A126" s="84" t="s">
        <v>3900</v>
      </c>
      <c r="B126" s="91">
        <v>0.003636</v>
      </c>
      <c r="C126" s="91">
        <v>0.001908</v>
      </c>
      <c r="D126" s="98"/>
      <c r="F126" s="91"/>
      <c r="G126" s="91"/>
      <c r="H126" s="98"/>
      <c r="J126" s="91"/>
      <c r="K126" s="91"/>
      <c r="L126" s="91"/>
      <c r="M126" s="91" t="s">
        <v>2593</v>
      </c>
      <c r="N126" s="91">
        <v>0.009697</v>
      </c>
      <c r="O126" s="91">
        <v>0.009542</v>
      </c>
      <c r="P126" s="91"/>
      <c r="Q126" s="91"/>
      <c r="R126" s="91"/>
      <c r="S126" s="91"/>
      <c r="T126" s="91"/>
      <c r="U126" s="98" t="s">
        <v>6511</v>
      </c>
      <c r="V126" s="91">
        <v>0.853333</v>
      </c>
      <c r="W126" s="91">
        <v>0.0</v>
      </c>
      <c r="X126" s="96">
        <v>0.868321</v>
      </c>
      <c r="Y126" s="91">
        <v>0.0</v>
      </c>
    </row>
    <row r="127">
      <c r="A127" s="84" t="s">
        <v>3881</v>
      </c>
      <c r="B127" s="91">
        <v>0.002424</v>
      </c>
      <c r="C127" s="91">
        <v>0.007634</v>
      </c>
      <c r="D127" s="98"/>
      <c r="F127" s="91"/>
      <c r="G127" s="91"/>
      <c r="H127" s="98"/>
      <c r="J127" s="91"/>
      <c r="K127" s="91"/>
      <c r="L127" s="91"/>
      <c r="M127" s="91" t="s">
        <v>3640</v>
      </c>
      <c r="N127" s="91">
        <v>0.009697</v>
      </c>
      <c r="O127" s="91">
        <v>0.009542</v>
      </c>
      <c r="P127" s="91"/>
      <c r="Q127" s="91"/>
      <c r="R127" s="91"/>
      <c r="S127" s="91"/>
      <c r="T127" s="91"/>
      <c r="U127" s="98">
        <v>176.0</v>
      </c>
      <c r="V127" s="91">
        <v>0.853333</v>
      </c>
      <c r="W127" s="91">
        <v>0.004848</v>
      </c>
      <c r="X127" s="96">
        <v>0.868321</v>
      </c>
      <c r="Y127" s="91">
        <v>0.003817</v>
      </c>
    </row>
    <row r="128">
      <c r="A128" s="84" t="s">
        <v>3644</v>
      </c>
      <c r="B128" s="91">
        <v>0.002424</v>
      </c>
      <c r="C128" s="91">
        <v>0.004771</v>
      </c>
      <c r="D128" s="98"/>
      <c r="F128" s="91"/>
      <c r="G128" s="91"/>
      <c r="H128" s="98"/>
      <c r="J128" s="91"/>
      <c r="K128" s="91"/>
      <c r="L128" s="91"/>
      <c r="M128" s="91" t="s">
        <v>2607</v>
      </c>
      <c r="N128" s="91">
        <v>0.009697</v>
      </c>
      <c r="O128" s="91">
        <v>0.009542</v>
      </c>
      <c r="P128" s="91"/>
      <c r="Q128" s="91"/>
      <c r="R128" s="91"/>
      <c r="S128" s="91"/>
      <c r="T128" s="91"/>
      <c r="U128" s="98">
        <v>177.0</v>
      </c>
      <c r="V128" s="91">
        <v>0.858182</v>
      </c>
      <c r="W128" s="91">
        <v>0.0</v>
      </c>
      <c r="X128" s="96">
        <v>0.872137</v>
      </c>
      <c r="Y128" s="91">
        <v>0.0</v>
      </c>
    </row>
    <row r="129">
      <c r="A129" s="84" t="s">
        <v>3725</v>
      </c>
      <c r="B129" s="91">
        <v>0.002424</v>
      </c>
      <c r="C129" s="91">
        <v>0.004771</v>
      </c>
      <c r="D129" s="98"/>
      <c r="F129" s="91"/>
      <c r="G129" s="91"/>
      <c r="H129" s="98"/>
      <c r="J129" s="91"/>
      <c r="K129" s="91"/>
      <c r="L129" s="91"/>
      <c r="M129" s="91" t="s">
        <v>3844</v>
      </c>
      <c r="N129" s="91">
        <v>0.010909</v>
      </c>
      <c r="O129" s="91">
        <v>0.008588</v>
      </c>
      <c r="P129" s="91"/>
      <c r="Q129" s="91"/>
      <c r="R129" s="91"/>
      <c r="S129" s="91"/>
      <c r="T129" s="91"/>
      <c r="U129" s="98">
        <v>178.0</v>
      </c>
      <c r="V129" s="91">
        <v>0.858182</v>
      </c>
      <c r="W129" s="91">
        <v>0.046061</v>
      </c>
      <c r="X129" s="96">
        <v>0.872137</v>
      </c>
      <c r="Y129" s="91">
        <v>0.032443</v>
      </c>
    </row>
    <row r="130">
      <c r="A130" s="84" t="s">
        <v>3805</v>
      </c>
      <c r="B130" s="91">
        <v>0.002424</v>
      </c>
      <c r="C130" s="91">
        <v>0.003817</v>
      </c>
      <c r="D130" s="98"/>
      <c r="F130" s="91"/>
      <c r="G130" s="91"/>
      <c r="H130" s="98"/>
      <c r="J130" s="91"/>
      <c r="K130" s="91"/>
      <c r="L130" s="91"/>
      <c r="M130" s="91" t="s">
        <v>3809</v>
      </c>
      <c r="N130" s="91">
        <v>0.008485</v>
      </c>
      <c r="O130" s="91">
        <v>0.008588</v>
      </c>
      <c r="P130" s="91"/>
      <c r="Q130" s="91"/>
      <c r="R130" s="91"/>
      <c r="S130" s="91"/>
      <c r="T130" s="91"/>
      <c r="U130" s="98" t="s">
        <v>6512</v>
      </c>
      <c r="V130" s="91">
        <v>0.904242</v>
      </c>
      <c r="W130" s="91">
        <v>0.0</v>
      </c>
      <c r="X130" s="96">
        <v>0.90458</v>
      </c>
      <c r="Y130" s="91">
        <v>0.0</v>
      </c>
    </row>
    <row r="131">
      <c r="A131" s="84" t="s">
        <v>3732</v>
      </c>
      <c r="B131" s="91">
        <v>0.002424</v>
      </c>
      <c r="C131" s="91">
        <v>0.003817</v>
      </c>
      <c r="D131" s="98"/>
      <c r="F131" s="91"/>
      <c r="G131" s="91"/>
      <c r="H131" s="98"/>
      <c r="J131" s="91"/>
      <c r="K131" s="91"/>
      <c r="L131" s="91"/>
      <c r="M131" s="91" t="s">
        <v>2895</v>
      </c>
      <c r="N131" s="91">
        <v>0.008485</v>
      </c>
      <c r="O131" s="91">
        <v>0.008588</v>
      </c>
      <c r="P131" s="91"/>
      <c r="Q131" s="91"/>
      <c r="R131" s="91"/>
      <c r="S131" s="91"/>
      <c r="T131" s="91"/>
      <c r="U131" s="98">
        <v>181.0</v>
      </c>
      <c r="V131" s="91">
        <v>0.904242</v>
      </c>
      <c r="W131" s="91">
        <v>0.004848</v>
      </c>
      <c r="X131" s="96">
        <v>0.90458</v>
      </c>
      <c r="Y131" s="91">
        <v>0.004771</v>
      </c>
    </row>
    <row r="132">
      <c r="A132" s="84" t="s">
        <v>3888</v>
      </c>
      <c r="B132" s="91">
        <v>0.002424</v>
      </c>
      <c r="C132" s="91">
        <v>0.002863</v>
      </c>
      <c r="D132" s="98"/>
      <c r="F132" s="91"/>
      <c r="G132" s="91"/>
      <c r="H132" s="98"/>
      <c r="J132" s="91"/>
      <c r="K132" s="91"/>
      <c r="L132" s="91"/>
      <c r="M132" s="91" t="s">
        <v>3793</v>
      </c>
      <c r="N132" s="91">
        <v>0.008485</v>
      </c>
      <c r="O132" s="91">
        <v>0.008588</v>
      </c>
      <c r="P132" s="91"/>
      <c r="Q132" s="91"/>
      <c r="R132" s="91"/>
      <c r="S132" s="91"/>
      <c r="T132" s="91"/>
      <c r="U132" s="98">
        <v>182.0</v>
      </c>
      <c r="V132" s="91">
        <v>0.909091</v>
      </c>
      <c r="W132" s="91">
        <v>0.0</v>
      </c>
      <c r="X132" s="96">
        <v>0.909351</v>
      </c>
      <c r="Y132" s="91">
        <v>0.0</v>
      </c>
    </row>
    <row r="133">
      <c r="A133" s="84" t="s">
        <v>3621</v>
      </c>
      <c r="B133" s="91">
        <v>0.002424</v>
      </c>
      <c r="C133" s="91">
        <v>0.002863</v>
      </c>
      <c r="D133" s="98"/>
      <c r="F133" s="91"/>
      <c r="G133" s="91"/>
      <c r="H133" s="98"/>
      <c r="J133" s="91"/>
      <c r="K133" s="91"/>
      <c r="L133" s="91"/>
      <c r="M133" s="91" t="s">
        <v>2522</v>
      </c>
      <c r="N133" s="91">
        <v>0.007273</v>
      </c>
      <c r="O133" s="91">
        <v>0.008588</v>
      </c>
      <c r="P133" s="91"/>
      <c r="Q133" s="91"/>
      <c r="R133" s="91"/>
      <c r="S133" s="91"/>
      <c r="T133" s="91"/>
      <c r="U133" s="98">
        <v>183.0</v>
      </c>
      <c r="V133" s="91">
        <v>0.909091</v>
      </c>
      <c r="W133" s="91">
        <v>0.026667</v>
      </c>
      <c r="X133" s="96">
        <v>0.909351</v>
      </c>
      <c r="Y133" s="91">
        <v>0.022901</v>
      </c>
    </row>
    <row r="134">
      <c r="A134" s="84" t="s">
        <v>3851</v>
      </c>
      <c r="B134" s="91">
        <v>0.002424</v>
      </c>
      <c r="C134" s="91">
        <v>0.002863</v>
      </c>
      <c r="D134" s="98"/>
      <c r="F134" s="91"/>
      <c r="G134" s="91"/>
      <c r="H134" s="98"/>
      <c r="J134" s="91"/>
      <c r="K134" s="91"/>
      <c r="L134" s="91"/>
      <c r="M134" s="91" t="s">
        <v>3268</v>
      </c>
      <c r="N134" s="91">
        <v>0.007273</v>
      </c>
      <c r="O134" s="91">
        <v>0.008588</v>
      </c>
      <c r="P134" s="91"/>
      <c r="Q134" s="91"/>
      <c r="R134" s="91"/>
      <c r="S134" s="91"/>
      <c r="T134" s="91"/>
      <c r="U134" s="98" t="s">
        <v>6513</v>
      </c>
      <c r="V134" s="91">
        <v>0.935758</v>
      </c>
      <c r="W134" s="91">
        <v>0.0</v>
      </c>
      <c r="X134" s="96">
        <v>0.932252</v>
      </c>
      <c r="Y134" s="91">
        <v>0.0</v>
      </c>
    </row>
    <row r="135">
      <c r="A135" s="84" t="s">
        <v>3624</v>
      </c>
      <c r="B135" s="91">
        <v>0.002424</v>
      </c>
      <c r="C135" s="91">
        <v>0.002863</v>
      </c>
      <c r="D135" s="98"/>
      <c r="F135" s="91"/>
      <c r="G135" s="91"/>
      <c r="H135" s="98"/>
      <c r="J135" s="91"/>
      <c r="K135" s="91"/>
      <c r="L135" s="91"/>
      <c r="M135" s="91" t="s">
        <v>3222</v>
      </c>
      <c r="N135" s="91">
        <v>0.007273</v>
      </c>
      <c r="O135" s="91">
        <v>0.008588</v>
      </c>
      <c r="P135" s="91"/>
      <c r="Q135" s="91"/>
      <c r="R135" s="91"/>
      <c r="S135" s="91"/>
      <c r="T135" s="91"/>
      <c r="U135" s="98">
        <v>189.0</v>
      </c>
      <c r="V135" s="91">
        <v>0.935758</v>
      </c>
      <c r="W135" s="91">
        <v>0.008485</v>
      </c>
      <c r="X135" s="96">
        <v>0.932252</v>
      </c>
      <c r="Y135" s="91">
        <v>0.013359</v>
      </c>
    </row>
    <row r="136">
      <c r="A136" s="84" t="s">
        <v>3822</v>
      </c>
      <c r="B136" s="91">
        <v>0.002424</v>
      </c>
      <c r="C136" s="91">
        <v>0.002863</v>
      </c>
      <c r="D136" s="98"/>
      <c r="F136" s="91"/>
      <c r="G136" s="91"/>
      <c r="H136" s="98"/>
      <c r="J136" s="91"/>
      <c r="K136" s="91"/>
      <c r="L136" s="91"/>
      <c r="M136" s="91" t="s">
        <v>3515</v>
      </c>
      <c r="N136" s="91">
        <v>0.004848</v>
      </c>
      <c r="O136" s="91">
        <v>0.008588</v>
      </c>
      <c r="P136" s="91"/>
      <c r="Q136" s="91"/>
      <c r="R136" s="91"/>
      <c r="S136" s="91"/>
      <c r="T136" s="91"/>
      <c r="U136" s="98" t="s">
        <v>6514</v>
      </c>
      <c r="V136" s="91">
        <v>0.944242</v>
      </c>
      <c r="W136" s="91">
        <v>0.0</v>
      </c>
      <c r="X136" s="96">
        <v>0.945611</v>
      </c>
      <c r="Y136" s="91">
        <v>0.0</v>
      </c>
    </row>
    <row r="137">
      <c r="A137" s="84" t="s">
        <v>3605</v>
      </c>
      <c r="B137" s="91">
        <v>0.002424</v>
      </c>
      <c r="C137" s="91">
        <v>0.002863</v>
      </c>
      <c r="D137" s="98"/>
      <c r="F137" s="91"/>
      <c r="G137" s="91"/>
      <c r="H137" s="98"/>
      <c r="J137" s="91"/>
      <c r="K137" s="91"/>
      <c r="L137" s="91"/>
      <c r="M137" s="91" t="s">
        <v>2890</v>
      </c>
      <c r="N137" s="91">
        <v>0.013333</v>
      </c>
      <c r="O137" s="91">
        <v>0.007634</v>
      </c>
      <c r="P137" s="91"/>
      <c r="Q137" s="91"/>
      <c r="R137" s="91"/>
      <c r="S137" s="91"/>
      <c r="T137" s="91"/>
      <c r="U137" s="98">
        <v>192.0</v>
      </c>
      <c r="V137" s="91">
        <v>0.944242</v>
      </c>
      <c r="W137" s="91">
        <v>0.001212</v>
      </c>
      <c r="X137" s="96">
        <v>0.945611</v>
      </c>
      <c r="Y137" s="91">
        <v>0.0</v>
      </c>
    </row>
    <row r="138">
      <c r="A138" s="84" t="s">
        <v>3834</v>
      </c>
      <c r="B138" s="91">
        <v>0.002424</v>
      </c>
      <c r="C138" s="91">
        <v>0.002863</v>
      </c>
      <c r="D138" s="98"/>
      <c r="F138" s="91"/>
      <c r="G138" s="91"/>
      <c r="H138" s="98"/>
      <c r="J138" s="91"/>
      <c r="K138" s="91"/>
      <c r="L138" s="91"/>
      <c r="M138" s="91" t="s">
        <v>2878</v>
      </c>
      <c r="N138" s="91">
        <v>0.010909</v>
      </c>
      <c r="O138" s="91">
        <v>0.007634</v>
      </c>
      <c r="P138" s="91"/>
      <c r="Q138" s="91"/>
      <c r="R138" s="91"/>
      <c r="S138" s="91"/>
      <c r="T138" s="91"/>
      <c r="U138" s="98">
        <v>193.0</v>
      </c>
      <c r="V138" s="91">
        <v>0.945455</v>
      </c>
      <c r="W138" s="91">
        <v>0.003636</v>
      </c>
      <c r="X138" s="96">
        <v>0.945611</v>
      </c>
      <c r="Y138" s="91">
        <v>0.005725</v>
      </c>
    </row>
    <row r="139">
      <c r="A139" s="84" t="s">
        <v>3613</v>
      </c>
      <c r="B139" s="91">
        <v>0.002424</v>
      </c>
      <c r="C139" s="91">
        <v>0.002863</v>
      </c>
      <c r="D139" s="98"/>
      <c r="F139" s="91"/>
      <c r="G139" s="91"/>
      <c r="H139" s="98"/>
      <c r="J139" s="91"/>
      <c r="K139" s="91"/>
      <c r="L139" s="91"/>
      <c r="M139" s="85" t="s">
        <v>6515</v>
      </c>
      <c r="N139" s="91">
        <v>0.009697</v>
      </c>
      <c r="O139" s="91">
        <v>0.007634</v>
      </c>
      <c r="P139" s="91"/>
      <c r="Q139" s="91"/>
      <c r="R139" s="91"/>
      <c r="S139" s="91"/>
      <c r="T139" s="91"/>
      <c r="U139" s="98">
        <v>194.0</v>
      </c>
      <c r="V139" s="91">
        <v>0.949091</v>
      </c>
      <c r="W139" s="91">
        <v>0.008485</v>
      </c>
      <c r="X139" s="96">
        <v>0.951336</v>
      </c>
      <c r="Y139" s="91">
        <v>0.006679</v>
      </c>
    </row>
    <row r="140">
      <c r="A140" s="84" t="s">
        <v>3898</v>
      </c>
      <c r="B140" s="91">
        <v>0.002424</v>
      </c>
      <c r="C140" s="91">
        <v>0.001908</v>
      </c>
      <c r="D140" s="98"/>
      <c r="F140" s="91"/>
      <c r="G140" s="91"/>
      <c r="H140" s="98"/>
      <c r="J140" s="91"/>
      <c r="K140" s="91"/>
      <c r="L140" s="91"/>
      <c r="M140" s="91" t="s">
        <v>3312</v>
      </c>
      <c r="N140" s="91">
        <v>0.009697</v>
      </c>
      <c r="O140" s="91">
        <v>0.007634</v>
      </c>
      <c r="P140" s="91"/>
      <c r="Q140" s="91"/>
      <c r="R140" s="91"/>
      <c r="S140" s="91"/>
      <c r="T140" s="91"/>
      <c r="U140" s="98" t="s">
        <v>6516</v>
      </c>
      <c r="V140" s="91">
        <v>0.957576</v>
      </c>
      <c r="W140" s="91">
        <v>0.0</v>
      </c>
      <c r="X140" s="96">
        <v>0.958015</v>
      </c>
      <c r="Y140" s="91">
        <v>0.0</v>
      </c>
    </row>
    <row r="141">
      <c r="A141" s="84" t="s">
        <v>3865</v>
      </c>
      <c r="B141" s="91">
        <v>0.002424</v>
      </c>
      <c r="C141" s="91">
        <v>0.001908</v>
      </c>
      <c r="D141" s="98"/>
      <c r="F141" s="91"/>
      <c r="G141" s="91"/>
      <c r="H141" s="98"/>
      <c r="J141" s="91"/>
      <c r="K141" s="91"/>
      <c r="L141" s="91"/>
      <c r="M141" s="91" t="s">
        <v>4107</v>
      </c>
      <c r="N141" s="91">
        <v>0.008485</v>
      </c>
      <c r="O141" s="91">
        <v>0.007634</v>
      </c>
      <c r="P141" s="91"/>
      <c r="Q141" s="91"/>
      <c r="R141" s="91"/>
      <c r="S141" s="91"/>
      <c r="T141" s="91"/>
      <c r="U141" s="98">
        <v>198.0</v>
      </c>
      <c r="V141" s="91">
        <v>0.957576</v>
      </c>
      <c r="W141" s="91">
        <v>0.009697</v>
      </c>
      <c r="X141" s="96">
        <v>0.958015</v>
      </c>
      <c r="Y141" s="91">
        <v>0.005725</v>
      </c>
    </row>
    <row r="142">
      <c r="A142" s="84" t="s">
        <v>3873</v>
      </c>
      <c r="B142" s="91">
        <v>0.002424</v>
      </c>
      <c r="C142" s="91">
        <v>0.001908</v>
      </c>
      <c r="D142" s="98"/>
      <c r="F142" s="91"/>
      <c r="G142" s="91"/>
      <c r="H142" s="98"/>
      <c r="J142" s="91"/>
      <c r="K142" s="91"/>
      <c r="L142" s="91"/>
      <c r="M142" s="91" t="s">
        <v>3459</v>
      </c>
      <c r="N142" s="91">
        <v>0.007273</v>
      </c>
      <c r="O142" s="91">
        <v>0.007634</v>
      </c>
      <c r="P142" s="91"/>
      <c r="Q142" s="91"/>
      <c r="R142" s="91"/>
      <c r="S142" s="91"/>
      <c r="T142" s="91"/>
      <c r="U142" s="98">
        <v>199.0</v>
      </c>
      <c r="V142" s="91">
        <v>0.967273</v>
      </c>
      <c r="W142" s="91">
        <v>0.0</v>
      </c>
      <c r="X142" s="96">
        <v>0.96374</v>
      </c>
      <c r="Y142" s="91">
        <v>0.0</v>
      </c>
    </row>
    <row r="143">
      <c r="A143" s="84" t="s">
        <v>3596</v>
      </c>
      <c r="B143" s="91">
        <v>0.002424</v>
      </c>
      <c r="C143" s="91">
        <v>0.001908</v>
      </c>
      <c r="D143" s="98"/>
      <c r="F143" s="91"/>
      <c r="G143" s="91"/>
      <c r="H143" s="98"/>
      <c r="J143" s="91"/>
      <c r="K143" s="91"/>
      <c r="L143" s="91"/>
      <c r="M143" s="91" t="s">
        <v>3952</v>
      </c>
      <c r="N143" s="91">
        <v>0.007273</v>
      </c>
      <c r="O143" s="91">
        <v>0.007634</v>
      </c>
      <c r="P143" s="91"/>
      <c r="Q143" s="91"/>
      <c r="R143" s="91"/>
      <c r="S143" s="91"/>
      <c r="T143" s="91"/>
      <c r="U143" s="98">
        <v>200.0</v>
      </c>
      <c r="V143" s="91">
        <v>0.967273</v>
      </c>
      <c r="W143" s="91">
        <v>0.013333</v>
      </c>
      <c r="X143" s="96">
        <v>0.96374</v>
      </c>
      <c r="Y143" s="91">
        <v>0.017176</v>
      </c>
    </row>
    <row r="144">
      <c r="A144" s="84" t="s">
        <v>3838</v>
      </c>
      <c r="B144" s="91">
        <v>0.002424</v>
      </c>
      <c r="C144" s="91">
        <v>0.001908</v>
      </c>
      <c r="D144" s="98"/>
      <c r="F144" s="91"/>
      <c r="G144" s="91"/>
      <c r="H144" s="98"/>
      <c r="J144" s="91"/>
      <c r="K144" s="91"/>
      <c r="L144" s="91"/>
      <c r="M144" s="91" t="s">
        <v>3629</v>
      </c>
      <c r="N144" s="91">
        <v>0.006061</v>
      </c>
      <c r="O144" s="91">
        <v>0.007634</v>
      </c>
      <c r="P144" s="91"/>
      <c r="Q144" s="91"/>
      <c r="R144" s="91"/>
      <c r="S144" s="91"/>
      <c r="T144" s="91"/>
      <c r="U144" s="98">
        <v>201.0</v>
      </c>
      <c r="V144" s="91">
        <v>0.980606</v>
      </c>
      <c r="W144" s="91">
        <v>0.0</v>
      </c>
      <c r="X144" s="96">
        <v>0.980916</v>
      </c>
      <c r="Y144" s="91">
        <v>0.0</v>
      </c>
    </row>
    <row r="145">
      <c r="A145" s="84" t="s">
        <v>3670</v>
      </c>
      <c r="B145" s="91">
        <v>0.002424</v>
      </c>
      <c r="C145" s="91">
        <v>0.001908</v>
      </c>
      <c r="D145" s="98"/>
      <c r="F145" s="91"/>
      <c r="G145" s="91"/>
      <c r="H145" s="98"/>
      <c r="J145" s="91"/>
      <c r="K145" s="91"/>
      <c r="L145" s="91"/>
      <c r="M145" s="91" t="s">
        <v>3736</v>
      </c>
      <c r="N145" s="91">
        <v>0.006061</v>
      </c>
      <c r="O145" s="91">
        <v>0.007634</v>
      </c>
      <c r="P145" s="91"/>
      <c r="Q145" s="91"/>
      <c r="R145" s="91"/>
      <c r="S145" s="91"/>
      <c r="T145" s="91"/>
      <c r="U145" s="98">
        <v>202.0</v>
      </c>
      <c r="V145" s="91">
        <v>0.980606</v>
      </c>
      <c r="W145" s="91">
        <v>0.002424</v>
      </c>
      <c r="X145" s="96">
        <v>0.980916</v>
      </c>
      <c r="Y145" s="91">
        <v>0.001908</v>
      </c>
    </row>
    <row r="146">
      <c r="A146" s="84" t="s">
        <v>4292</v>
      </c>
      <c r="B146" s="91">
        <v>0.002424</v>
      </c>
      <c r="C146" s="91">
        <v>0.001908</v>
      </c>
      <c r="D146" s="98"/>
      <c r="F146" s="91"/>
      <c r="G146" s="91"/>
      <c r="H146" s="98"/>
      <c r="J146" s="91"/>
      <c r="K146" s="91"/>
      <c r="L146" s="91"/>
      <c r="M146" s="91" t="s">
        <v>3472</v>
      </c>
      <c r="N146" s="91">
        <v>0.006061</v>
      </c>
      <c r="O146" s="91">
        <v>0.007634</v>
      </c>
      <c r="P146" s="91"/>
      <c r="Q146" s="91"/>
      <c r="R146" s="91"/>
      <c r="S146" s="91"/>
      <c r="T146" s="91"/>
      <c r="U146" s="98" t="s">
        <v>6517</v>
      </c>
      <c r="V146" s="91">
        <v>0.98303</v>
      </c>
      <c r="W146" s="91">
        <v>0.0</v>
      </c>
      <c r="X146" s="96">
        <v>0.982824</v>
      </c>
      <c r="Y146" s="91">
        <v>0.0</v>
      </c>
    </row>
    <row r="147">
      <c r="A147" s="84" t="s">
        <v>3819</v>
      </c>
      <c r="B147" s="91">
        <v>0.002424</v>
      </c>
      <c r="C147" s="91">
        <v>0.001908</v>
      </c>
      <c r="D147" s="98"/>
      <c r="F147" s="91"/>
      <c r="G147" s="91"/>
      <c r="H147" s="98"/>
      <c r="J147" s="91"/>
      <c r="K147" s="91"/>
      <c r="L147" s="91"/>
      <c r="M147" s="91" t="s">
        <v>4089</v>
      </c>
      <c r="N147" s="91">
        <v>0.006061</v>
      </c>
      <c r="O147" s="91">
        <v>0.007634</v>
      </c>
      <c r="P147" s="91"/>
      <c r="Q147" s="91"/>
      <c r="R147" s="91"/>
      <c r="S147" s="91"/>
      <c r="T147" s="91"/>
      <c r="U147" s="98">
        <v>222.0</v>
      </c>
      <c r="V147" s="91">
        <v>0.98303</v>
      </c>
      <c r="W147" s="91">
        <v>0.002424</v>
      </c>
      <c r="X147" s="96">
        <v>0.982824</v>
      </c>
      <c r="Y147" s="91">
        <v>0.001908</v>
      </c>
    </row>
    <row r="148">
      <c r="A148" s="84" t="s">
        <v>3582</v>
      </c>
      <c r="B148" s="91">
        <v>0.002424</v>
      </c>
      <c r="C148" s="91">
        <v>0.0</v>
      </c>
      <c r="D148" s="98"/>
      <c r="F148" s="91"/>
      <c r="G148" s="91"/>
      <c r="H148" s="98"/>
      <c r="J148" s="91"/>
      <c r="K148" s="91"/>
      <c r="L148" s="91"/>
      <c r="M148" s="91" t="s">
        <v>2700</v>
      </c>
      <c r="N148" s="91">
        <v>0.004848</v>
      </c>
      <c r="O148" s="91">
        <v>0.007634</v>
      </c>
      <c r="P148" s="91"/>
      <c r="Q148" s="91"/>
      <c r="R148" s="91"/>
      <c r="S148" s="91"/>
      <c r="T148" s="91"/>
      <c r="U148" s="98" t="s">
        <v>6518</v>
      </c>
      <c r="V148" s="91">
        <v>0.985455</v>
      </c>
      <c r="W148" s="91">
        <v>0.0</v>
      </c>
      <c r="X148" s="96">
        <v>0.984733</v>
      </c>
      <c r="Y148" s="91">
        <v>0.0</v>
      </c>
    </row>
    <row r="149">
      <c r="A149" s="84" t="s">
        <v>3397</v>
      </c>
      <c r="B149" s="91">
        <v>0.002424</v>
      </c>
      <c r="C149" s="91">
        <v>0.0</v>
      </c>
      <c r="D149" s="98"/>
      <c r="F149" s="91"/>
      <c r="G149" s="91"/>
      <c r="H149" s="98"/>
      <c r="J149" s="91"/>
      <c r="K149" s="91"/>
      <c r="L149" s="91"/>
      <c r="M149" s="91" t="s">
        <v>2972</v>
      </c>
      <c r="N149" s="91">
        <v>0.003636</v>
      </c>
      <c r="O149" s="91">
        <v>0.007634</v>
      </c>
      <c r="P149" s="91"/>
      <c r="Q149" s="91"/>
      <c r="R149" s="91"/>
      <c r="S149" s="91"/>
      <c r="T149" s="91"/>
      <c r="U149" s="98">
        <v>228.0</v>
      </c>
      <c r="V149" s="91">
        <v>0.985455</v>
      </c>
      <c r="W149" s="91">
        <v>0.004848</v>
      </c>
      <c r="X149" s="96">
        <v>0.984733</v>
      </c>
      <c r="Y149" s="91">
        <v>0.007634</v>
      </c>
    </row>
    <row r="150">
      <c r="A150" s="84" t="s">
        <v>3795</v>
      </c>
      <c r="B150" s="91">
        <v>0.001212</v>
      </c>
      <c r="C150" s="91">
        <v>0.004771</v>
      </c>
      <c r="D150" s="98"/>
      <c r="F150" s="91"/>
      <c r="G150" s="91"/>
      <c r="H150" s="98"/>
      <c r="J150" s="91"/>
      <c r="K150" s="91"/>
      <c r="L150" s="91"/>
      <c r="M150" s="91" t="s">
        <v>4153</v>
      </c>
      <c r="N150" s="91">
        <v>0.002424</v>
      </c>
      <c r="O150" s="91">
        <v>0.007634</v>
      </c>
      <c r="P150" s="91"/>
      <c r="Q150" s="91"/>
      <c r="R150" s="91"/>
      <c r="S150" s="91"/>
      <c r="T150" s="91"/>
      <c r="U150" s="98" t="s">
        <v>6519</v>
      </c>
      <c r="V150" s="91">
        <v>0.990303</v>
      </c>
      <c r="W150" s="91">
        <v>0.0</v>
      </c>
      <c r="X150" s="96">
        <v>0.992366</v>
      </c>
      <c r="Y150" s="91">
        <v>0.0</v>
      </c>
    </row>
    <row r="151">
      <c r="A151" s="84" t="s">
        <v>3592</v>
      </c>
      <c r="B151" s="91">
        <v>0.001212</v>
      </c>
      <c r="C151" s="91">
        <v>0.001908</v>
      </c>
      <c r="D151" s="98"/>
      <c r="F151" s="91"/>
      <c r="G151" s="91"/>
      <c r="H151" s="98"/>
      <c r="J151" s="91"/>
      <c r="K151" s="91"/>
      <c r="L151" s="91"/>
      <c r="M151" s="91" t="s">
        <v>3733</v>
      </c>
      <c r="N151" s="91">
        <v>0.002424</v>
      </c>
      <c r="O151" s="91">
        <v>0.007634</v>
      </c>
      <c r="P151" s="91"/>
      <c r="Q151" s="91"/>
      <c r="R151" s="91"/>
      <c r="S151" s="91"/>
      <c r="T151" s="91"/>
      <c r="U151" s="98">
        <v>250.0</v>
      </c>
      <c r="V151" s="91">
        <v>0.990303</v>
      </c>
      <c r="W151" s="91">
        <v>0.009697</v>
      </c>
      <c r="X151" s="96">
        <v>0.992366</v>
      </c>
      <c r="Y151" s="91">
        <v>0.007634</v>
      </c>
    </row>
    <row r="152">
      <c r="A152" s="84" t="s">
        <v>3885</v>
      </c>
      <c r="B152" s="91">
        <v>0.001212</v>
      </c>
      <c r="C152" s="91">
        <v>0.001908</v>
      </c>
      <c r="D152" s="98"/>
      <c r="F152" s="91"/>
      <c r="G152" s="91"/>
      <c r="H152" s="98"/>
      <c r="J152" s="91"/>
      <c r="K152" s="91"/>
      <c r="L152" s="91"/>
      <c r="M152" s="91" t="s">
        <v>3543</v>
      </c>
      <c r="N152" s="91">
        <v>0.009697</v>
      </c>
      <c r="O152" s="91">
        <v>0.006679</v>
      </c>
      <c r="P152" s="91"/>
      <c r="Q152" s="91"/>
      <c r="R152" s="91"/>
      <c r="S152" s="91"/>
      <c r="T152" s="91"/>
      <c r="U152" s="99" t="s">
        <v>6520</v>
      </c>
      <c r="V152" s="91">
        <v>1.0</v>
      </c>
      <c r="W152" s="91">
        <v>0.0</v>
      </c>
      <c r="X152" s="96">
        <v>1.0</v>
      </c>
      <c r="Y152" s="91">
        <v>0.0</v>
      </c>
    </row>
    <row r="153">
      <c r="A153" s="84" t="s">
        <v>3619</v>
      </c>
      <c r="B153" s="91">
        <v>0.001212</v>
      </c>
      <c r="C153" s="91">
        <v>0.001908</v>
      </c>
      <c r="D153" s="98"/>
      <c r="F153" s="91"/>
      <c r="G153" s="91"/>
      <c r="H153" s="98"/>
      <c r="J153" s="91"/>
      <c r="K153" s="91"/>
      <c r="L153" s="91"/>
      <c r="M153" s="91" t="s">
        <v>3852</v>
      </c>
      <c r="N153" s="91">
        <v>0.007273</v>
      </c>
      <c r="O153" s="91">
        <v>0.006679</v>
      </c>
      <c r="P153" s="91"/>
      <c r="Q153" s="91"/>
      <c r="R153" s="91"/>
      <c r="S153" s="91"/>
      <c r="T153" s="91"/>
      <c r="U153" s="91"/>
      <c r="V153" s="91"/>
      <c r="W153" s="91"/>
      <c r="X153" s="91"/>
      <c r="Y153" s="91"/>
    </row>
    <row r="154">
      <c r="A154" s="84" t="s">
        <v>3811</v>
      </c>
      <c r="B154" s="91">
        <v>0.001212</v>
      </c>
      <c r="C154" s="91">
        <v>0.001908</v>
      </c>
      <c r="D154" s="98"/>
      <c r="F154" s="91"/>
      <c r="G154" s="91"/>
      <c r="H154" s="98"/>
      <c r="J154" s="91"/>
      <c r="K154" s="91"/>
      <c r="L154" s="91"/>
      <c r="M154" s="91" t="s">
        <v>3407</v>
      </c>
      <c r="N154" s="91">
        <v>0.006061</v>
      </c>
      <c r="O154" s="91">
        <v>0.006679</v>
      </c>
      <c r="P154" s="91"/>
      <c r="Q154" s="91"/>
      <c r="R154" s="91"/>
      <c r="S154" s="91"/>
      <c r="T154" s="91"/>
      <c r="U154" s="91"/>
      <c r="V154" s="91"/>
      <c r="W154" s="91"/>
      <c r="X154" s="91"/>
      <c r="Y154" s="91"/>
    </row>
    <row r="155">
      <c r="A155" s="84" t="s">
        <v>3846</v>
      </c>
      <c r="B155" s="91">
        <v>0.001212</v>
      </c>
      <c r="C155" s="91">
        <v>0.001908</v>
      </c>
      <c r="D155" s="98"/>
      <c r="F155" s="91"/>
      <c r="G155" s="91"/>
      <c r="H155" s="98"/>
      <c r="J155" s="91"/>
      <c r="K155" s="91"/>
      <c r="L155" s="91"/>
      <c r="M155" s="91" t="s">
        <v>3685</v>
      </c>
      <c r="N155" s="91">
        <v>0.006061</v>
      </c>
      <c r="O155" s="91">
        <v>0.006679</v>
      </c>
      <c r="P155" s="91"/>
      <c r="Q155" s="91"/>
      <c r="R155" s="91"/>
      <c r="S155" s="91"/>
      <c r="T155" s="91"/>
      <c r="U155" s="91"/>
      <c r="V155" s="91"/>
      <c r="W155" s="91"/>
      <c r="X155" s="91"/>
      <c r="Y155" s="91"/>
    </row>
    <row r="156">
      <c r="A156" s="84" t="s">
        <v>3547</v>
      </c>
      <c r="B156" s="91">
        <v>0.001212</v>
      </c>
      <c r="C156" s="91">
        <v>0.0</v>
      </c>
      <c r="D156" s="98"/>
      <c r="F156" s="91"/>
      <c r="G156" s="91"/>
      <c r="H156" s="98"/>
      <c r="J156" s="91"/>
      <c r="K156" s="91"/>
      <c r="L156" s="91"/>
      <c r="M156" s="91" t="s">
        <v>3464</v>
      </c>
      <c r="N156" s="91">
        <v>0.006061</v>
      </c>
      <c r="O156" s="91">
        <v>0.006679</v>
      </c>
      <c r="P156" s="91"/>
      <c r="Q156" s="91"/>
      <c r="R156" s="91"/>
      <c r="S156" s="91"/>
      <c r="T156" s="91"/>
      <c r="U156" s="91"/>
      <c r="V156" s="91"/>
      <c r="W156" s="91"/>
      <c r="X156" s="91"/>
      <c r="Y156" s="91"/>
    </row>
    <row r="157">
      <c r="A157" s="84" t="s">
        <v>3568</v>
      </c>
      <c r="B157" s="91">
        <v>0.001212</v>
      </c>
      <c r="C157" s="91">
        <v>0.0</v>
      </c>
      <c r="D157" s="98"/>
      <c r="F157" s="91"/>
      <c r="G157" s="91"/>
      <c r="H157" s="98"/>
      <c r="J157" s="91"/>
      <c r="K157" s="91"/>
      <c r="L157" s="91"/>
      <c r="M157" s="91" t="s">
        <v>2952</v>
      </c>
      <c r="N157" s="91">
        <v>0.006061</v>
      </c>
      <c r="O157" s="91">
        <v>0.006679</v>
      </c>
      <c r="P157" s="91"/>
      <c r="Q157" s="91"/>
      <c r="R157" s="91"/>
      <c r="S157" s="91"/>
      <c r="T157" s="91"/>
      <c r="U157" s="91"/>
      <c r="V157" s="91"/>
      <c r="W157" s="91"/>
      <c r="X157" s="91"/>
      <c r="Y157" s="91"/>
    </row>
    <row r="158">
      <c r="A158" s="84" t="s">
        <v>3542</v>
      </c>
      <c r="B158" s="91">
        <v>0.0</v>
      </c>
      <c r="C158" s="91">
        <v>0.002863</v>
      </c>
      <c r="D158" s="98"/>
      <c r="F158" s="91"/>
      <c r="G158" s="91"/>
      <c r="H158" s="98"/>
      <c r="J158" s="91"/>
      <c r="K158" s="91"/>
      <c r="L158" s="91"/>
      <c r="M158" s="91" t="s">
        <v>2856</v>
      </c>
      <c r="N158" s="91">
        <v>0.004848</v>
      </c>
      <c r="O158" s="91">
        <v>0.006679</v>
      </c>
      <c r="P158" s="91"/>
      <c r="Q158" s="91"/>
      <c r="R158" s="91"/>
      <c r="S158" s="91"/>
      <c r="T158" s="91"/>
      <c r="U158" s="91"/>
      <c r="V158" s="91"/>
      <c r="W158" s="91"/>
      <c r="X158" s="91"/>
      <c r="Y158" s="91"/>
    </row>
    <row r="159">
      <c r="A159" s="84" t="s">
        <v>3556</v>
      </c>
      <c r="B159" s="91">
        <v>0.0</v>
      </c>
      <c r="C159" s="91">
        <v>0.001908</v>
      </c>
      <c r="D159" s="98"/>
      <c r="F159" s="91"/>
      <c r="G159" s="91"/>
      <c r="H159" s="98"/>
      <c r="J159" s="91"/>
      <c r="K159" s="91"/>
      <c r="L159" s="91"/>
      <c r="M159" s="91" t="s">
        <v>3245</v>
      </c>
      <c r="N159" s="91">
        <v>0.004848</v>
      </c>
      <c r="O159" s="91">
        <v>0.006679</v>
      </c>
      <c r="P159" s="91"/>
      <c r="Q159" s="91"/>
      <c r="R159" s="91"/>
      <c r="S159" s="91"/>
      <c r="T159" s="91"/>
      <c r="U159" s="91"/>
      <c r="V159" s="91"/>
      <c r="W159" s="91"/>
      <c r="X159" s="91"/>
      <c r="Y159" s="91"/>
    </row>
    <row r="160">
      <c r="A160" s="84" t="s">
        <v>3492</v>
      </c>
      <c r="B160" s="91">
        <v>0.0</v>
      </c>
      <c r="C160" s="91">
        <v>0.001908</v>
      </c>
      <c r="D160" s="98"/>
      <c r="F160" s="91"/>
      <c r="G160" s="91"/>
      <c r="H160" s="98"/>
      <c r="J160" s="91"/>
      <c r="K160" s="91"/>
      <c r="L160" s="91"/>
      <c r="M160" s="91" t="s">
        <v>3583</v>
      </c>
      <c r="N160" s="91">
        <v>0.012121</v>
      </c>
      <c r="O160" s="91">
        <v>0.005725</v>
      </c>
      <c r="P160" s="91"/>
      <c r="Q160" s="91"/>
      <c r="R160" s="91"/>
      <c r="S160" s="91"/>
      <c r="T160" s="91"/>
      <c r="U160" s="91"/>
      <c r="V160" s="91"/>
      <c r="W160" s="91"/>
      <c r="X160" s="91"/>
      <c r="Y160" s="91"/>
    </row>
    <row r="161">
      <c r="B161" s="91"/>
      <c r="C161" s="91"/>
      <c r="D161" s="98"/>
      <c r="F161" s="91"/>
      <c r="G161" s="91"/>
      <c r="H161" s="98"/>
      <c r="J161" s="91"/>
      <c r="K161" s="91"/>
      <c r="L161" s="91"/>
      <c r="M161" s="91" t="s">
        <v>3768</v>
      </c>
      <c r="N161" s="91">
        <v>0.008485</v>
      </c>
      <c r="O161" s="91">
        <v>0.005725</v>
      </c>
      <c r="P161" s="91"/>
      <c r="Q161" s="91"/>
      <c r="R161" s="91"/>
      <c r="S161" s="91"/>
      <c r="T161" s="91"/>
      <c r="U161" s="91"/>
      <c r="V161" s="91"/>
      <c r="W161" s="91"/>
      <c r="X161" s="91"/>
      <c r="Y161" s="91"/>
    </row>
    <row r="162">
      <c r="B162" s="91"/>
      <c r="C162" s="91"/>
      <c r="D162" s="98"/>
      <c r="F162" s="91"/>
      <c r="G162" s="91"/>
      <c r="H162" s="98"/>
      <c r="J162" s="91"/>
      <c r="K162" s="91"/>
      <c r="L162" s="91"/>
      <c r="M162" s="91" t="s">
        <v>3697</v>
      </c>
      <c r="N162" s="91">
        <v>0.008485</v>
      </c>
      <c r="O162" s="91">
        <v>0.005725</v>
      </c>
      <c r="P162" s="91"/>
      <c r="Q162" s="91"/>
      <c r="R162" s="91"/>
      <c r="S162" s="91"/>
      <c r="T162" s="91"/>
      <c r="U162" s="91"/>
      <c r="V162" s="91"/>
      <c r="W162" s="91"/>
      <c r="X162" s="91"/>
      <c r="Y162" s="91"/>
    </row>
    <row r="163">
      <c r="B163" s="91"/>
      <c r="C163" s="91"/>
      <c r="D163" s="98"/>
      <c r="F163" s="91"/>
      <c r="G163" s="91"/>
      <c r="H163" s="98"/>
      <c r="J163" s="91"/>
      <c r="K163" s="91"/>
      <c r="L163" s="91"/>
      <c r="M163" s="91" t="s">
        <v>2847</v>
      </c>
      <c r="N163" s="91">
        <v>0.007273</v>
      </c>
      <c r="O163" s="91">
        <v>0.005725</v>
      </c>
      <c r="P163" s="91"/>
      <c r="Q163" s="91"/>
      <c r="R163" s="91"/>
      <c r="S163" s="91"/>
      <c r="T163" s="91"/>
      <c r="U163" s="91"/>
      <c r="V163" s="91"/>
      <c r="W163" s="91"/>
      <c r="X163" s="91"/>
      <c r="Y163" s="91"/>
    </row>
    <row r="164">
      <c r="B164" s="91"/>
      <c r="C164" s="91"/>
      <c r="D164" s="98"/>
      <c r="F164" s="91"/>
      <c r="G164" s="91"/>
      <c r="H164" s="98"/>
      <c r="J164" s="91"/>
      <c r="K164" s="91"/>
      <c r="L164" s="91"/>
      <c r="M164" s="91" t="s">
        <v>4429</v>
      </c>
      <c r="N164" s="91">
        <v>0.007273</v>
      </c>
      <c r="O164" s="91">
        <v>0.005725</v>
      </c>
      <c r="P164" s="91"/>
      <c r="Q164" s="91"/>
      <c r="R164" s="91"/>
      <c r="S164" s="91"/>
      <c r="T164" s="91"/>
      <c r="U164" s="91"/>
      <c r="V164" s="91"/>
      <c r="W164" s="91"/>
      <c r="X164" s="91"/>
      <c r="Y164" s="91"/>
    </row>
    <row r="165">
      <c r="B165" s="91"/>
      <c r="C165" s="91"/>
      <c r="D165" s="98"/>
      <c r="F165" s="91"/>
      <c r="G165" s="91"/>
      <c r="H165" s="98"/>
      <c r="J165" s="91"/>
      <c r="K165" s="91"/>
      <c r="L165" s="91"/>
      <c r="M165" s="91" t="s">
        <v>3360</v>
      </c>
      <c r="N165" s="91">
        <v>0.007273</v>
      </c>
      <c r="O165" s="91">
        <v>0.005725</v>
      </c>
      <c r="P165" s="91"/>
      <c r="Q165" s="91"/>
      <c r="R165" s="91"/>
      <c r="S165" s="91"/>
      <c r="T165" s="91"/>
      <c r="U165" s="91"/>
      <c r="V165" s="91"/>
      <c r="W165" s="91"/>
      <c r="X165" s="91"/>
      <c r="Y165" s="91"/>
    </row>
    <row r="166">
      <c r="B166" s="91"/>
      <c r="C166" s="91"/>
      <c r="D166" s="98"/>
      <c r="F166" s="91"/>
      <c r="G166" s="91"/>
      <c r="H166" s="98"/>
      <c r="J166" s="91"/>
      <c r="K166" s="91"/>
      <c r="L166" s="91"/>
      <c r="M166" s="91" t="s">
        <v>2518</v>
      </c>
      <c r="N166" s="91">
        <v>0.007273</v>
      </c>
      <c r="O166" s="91">
        <v>0.005725</v>
      </c>
      <c r="P166" s="91"/>
      <c r="Q166" s="91"/>
      <c r="R166" s="91"/>
      <c r="S166" s="91"/>
      <c r="T166" s="91"/>
      <c r="U166" s="91"/>
      <c r="V166" s="91"/>
      <c r="W166" s="91"/>
      <c r="X166" s="91"/>
      <c r="Y166" s="91"/>
    </row>
    <row r="167">
      <c r="B167" s="91"/>
      <c r="C167" s="91"/>
      <c r="D167" s="98"/>
      <c r="F167" s="91"/>
      <c r="G167" s="91"/>
      <c r="H167" s="98"/>
      <c r="J167" s="91"/>
      <c r="K167" s="91"/>
      <c r="L167" s="91"/>
      <c r="M167" s="91" t="s">
        <v>2797</v>
      </c>
      <c r="N167" s="91">
        <v>0.007273</v>
      </c>
      <c r="O167" s="91">
        <v>0.005725</v>
      </c>
      <c r="P167" s="91"/>
      <c r="Q167" s="91"/>
      <c r="R167" s="91"/>
      <c r="S167" s="91"/>
      <c r="T167" s="91"/>
      <c r="U167" s="91"/>
      <c r="V167" s="91"/>
      <c r="W167" s="91"/>
      <c r="X167" s="91"/>
      <c r="Y167" s="91"/>
    </row>
    <row r="168">
      <c r="B168" s="91"/>
      <c r="C168" s="91"/>
      <c r="D168" s="98"/>
      <c r="F168" s="91"/>
      <c r="G168" s="91"/>
      <c r="H168" s="98"/>
      <c r="J168" s="91"/>
      <c r="K168" s="91"/>
      <c r="L168" s="91"/>
      <c r="M168" s="91" t="s">
        <v>2594</v>
      </c>
      <c r="N168" s="91">
        <v>0.007273</v>
      </c>
      <c r="O168" s="91">
        <v>0.005725</v>
      </c>
      <c r="P168" s="91"/>
      <c r="Q168" s="91"/>
      <c r="R168" s="91"/>
      <c r="S168" s="91"/>
      <c r="T168" s="91"/>
      <c r="U168" s="91"/>
      <c r="V168" s="91"/>
      <c r="W168" s="91"/>
      <c r="X168" s="91"/>
      <c r="Y168" s="91"/>
    </row>
    <row r="169">
      <c r="B169" s="91"/>
      <c r="C169" s="91"/>
      <c r="D169" s="98"/>
      <c r="F169" s="91"/>
      <c r="G169" s="91"/>
      <c r="H169" s="98"/>
      <c r="J169" s="91"/>
      <c r="K169" s="91"/>
      <c r="L169" s="91"/>
      <c r="M169" s="91" t="s">
        <v>2848</v>
      </c>
      <c r="N169" s="91">
        <v>0.007273</v>
      </c>
      <c r="O169" s="91">
        <v>0.005725</v>
      </c>
      <c r="P169" s="91"/>
      <c r="Q169" s="91"/>
      <c r="R169" s="91"/>
      <c r="S169" s="91"/>
      <c r="T169" s="91"/>
      <c r="U169" s="91"/>
      <c r="V169" s="91"/>
      <c r="W169" s="91"/>
      <c r="X169" s="91"/>
      <c r="Y169" s="91"/>
    </row>
    <row r="170">
      <c r="B170" s="91"/>
      <c r="C170" s="91"/>
      <c r="D170" s="98"/>
      <c r="F170" s="91"/>
      <c r="G170" s="91"/>
      <c r="H170" s="98"/>
      <c r="J170" s="91"/>
      <c r="K170" s="91"/>
      <c r="L170" s="91"/>
      <c r="M170" s="91" t="s">
        <v>3950</v>
      </c>
      <c r="N170" s="91">
        <v>0.006061</v>
      </c>
      <c r="O170" s="91">
        <v>0.005725</v>
      </c>
      <c r="P170" s="91"/>
      <c r="Q170" s="91"/>
      <c r="R170" s="91"/>
      <c r="S170" s="91"/>
      <c r="T170" s="91"/>
      <c r="U170" s="91"/>
      <c r="V170" s="91"/>
      <c r="W170" s="91"/>
      <c r="X170" s="91"/>
      <c r="Y170" s="91"/>
    </row>
    <row r="171">
      <c r="B171" s="91"/>
      <c r="C171" s="91"/>
      <c r="D171" s="98"/>
      <c r="F171" s="91"/>
      <c r="G171" s="91"/>
      <c r="H171" s="98"/>
      <c r="J171" s="91"/>
      <c r="K171" s="91"/>
      <c r="L171" s="91"/>
      <c r="M171" s="91" t="s">
        <v>3535</v>
      </c>
      <c r="N171" s="91">
        <v>0.006061</v>
      </c>
      <c r="O171" s="91">
        <v>0.005725</v>
      </c>
      <c r="P171" s="91"/>
      <c r="Q171" s="91"/>
      <c r="R171" s="91"/>
      <c r="S171" s="91"/>
      <c r="T171" s="91"/>
      <c r="U171" s="91"/>
      <c r="V171" s="91"/>
      <c r="W171" s="91"/>
      <c r="X171" s="91"/>
      <c r="Y171" s="91"/>
    </row>
    <row r="172">
      <c r="B172" s="91"/>
      <c r="C172" s="91"/>
      <c r="D172" s="98"/>
      <c r="F172" s="91"/>
      <c r="G172" s="91"/>
      <c r="H172" s="98"/>
      <c r="J172" s="91"/>
      <c r="K172" s="91"/>
      <c r="L172" s="91"/>
      <c r="M172" s="91" t="s">
        <v>2537</v>
      </c>
      <c r="N172" s="91">
        <v>0.004848</v>
      </c>
      <c r="O172" s="91">
        <v>0.005725</v>
      </c>
      <c r="P172" s="91"/>
      <c r="Q172" s="91"/>
      <c r="R172" s="91"/>
      <c r="S172" s="91"/>
      <c r="T172" s="91"/>
      <c r="U172" s="91"/>
      <c r="V172" s="91"/>
      <c r="W172" s="91"/>
      <c r="X172" s="91"/>
      <c r="Y172" s="91"/>
    </row>
    <row r="173">
      <c r="B173" s="91"/>
      <c r="C173" s="91"/>
      <c r="D173" s="98"/>
      <c r="F173" s="91"/>
      <c r="G173" s="91"/>
      <c r="H173" s="98"/>
      <c r="J173" s="91"/>
      <c r="K173" s="91"/>
      <c r="L173" s="91"/>
      <c r="M173" s="91" t="s">
        <v>4085</v>
      </c>
      <c r="N173" s="91">
        <v>0.004848</v>
      </c>
      <c r="O173" s="91">
        <v>0.005725</v>
      </c>
      <c r="P173" s="91"/>
      <c r="Q173" s="91"/>
      <c r="R173" s="91"/>
      <c r="S173" s="91"/>
      <c r="T173" s="91"/>
      <c r="U173" s="91"/>
      <c r="V173" s="91"/>
      <c r="W173" s="91"/>
      <c r="X173" s="91"/>
      <c r="Y173" s="91"/>
    </row>
    <row r="174">
      <c r="B174" s="91"/>
      <c r="C174" s="91"/>
      <c r="D174" s="98"/>
      <c r="F174" s="91"/>
      <c r="G174" s="91"/>
      <c r="H174" s="98"/>
      <c r="J174" s="91"/>
      <c r="K174" s="91"/>
      <c r="L174" s="91"/>
      <c r="M174" s="91" t="s">
        <v>3123</v>
      </c>
      <c r="N174" s="91">
        <v>0.003636</v>
      </c>
      <c r="O174" s="91">
        <v>0.005725</v>
      </c>
      <c r="P174" s="91"/>
      <c r="Q174" s="91"/>
      <c r="R174" s="91"/>
      <c r="S174" s="91"/>
      <c r="T174" s="91"/>
      <c r="U174" s="91"/>
      <c r="V174" s="91"/>
      <c r="W174" s="91"/>
      <c r="X174" s="91"/>
      <c r="Y174" s="91"/>
    </row>
    <row r="175">
      <c r="B175" s="91"/>
      <c r="C175" s="91"/>
      <c r="D175" s="98"/>
      <c r="F175" s="91"/>
      <c r="G175" s="91"/>
      <c r="H175" s="98"/>
      <c r="J175" s="91"/>
      <c r="K175" s="91"/>
      <c r="L175" s="91"/>
      <c r="M175" s="91" t="s">
        <v>3039</v>
      </c>
      <c r="N175" s="91">
        <v>0.003636</v>
      </c>
      <c r="O175" s="91">
        <v>0.005725</v>
      </c>
      <c r="P175" s="91"/>
      <c r="Q175" s="91"/>
      <c r="R175" s="91"/>
      <c r="S175" s="91"/>
      <c r="T175" s="91"/>
      <c r="U175" s="91"/>
      <c r="V175" s="91"/>
      <c r="W175" s="91"/>
      <c r="X175" s="91"/>
      <c r="Y175" s="91"/>
    </row>
    <row r="176">
      <c r="B176" s="91"/>
      <c r="C176" s="91"/>
      <c r="D176" s="98"/>
      <c r="F176" s="91"/>
      <c r="G176" s="91"/>
      <c r="H176" s="98"/>
      <c r="J176" s="91"/>
      <c r="K176" s="91"/>
      <c r="L176" s="91"/>
      <c r="M176" s="91" t="s">
        <v>3963</v>
      </c>
      <c r="N176" s="91">
        <v>0.003636</v>
      </c>
      <c r="O176" s="91">
        <v>0.005725</v>
      </c>
      <c r="P176" s="91"/>
      <c r="Q176" s="91"/>
      <c r="R176" s="91"/>
      <c r="S176" s="91"/>
      <c r="T176" s="91"/>
      <c r="U176" s="91"/>
      <c r="V176" s="91"/>
      <c r="W176" s="91"/>
      <c r="X176" s="91"/>
      <c r="Y176" s="91"/>
    </row>
    <row r="177">
      <c r="B177" s="91"/>
      <c r="C177" s="91"/>
      <c r="D177" s="98"/>
      <c r="F177" s="91"/>
      <c r="G177" s="91"/>
      <c r="H177" s="98"/>
      <c r="J177" s="91"/>
      <c r="K177" s="91"/>
      <c r="L177" s="91"/>
      <c r="M177" s="91" t="s">
        <v>3803</v>
      </c>
      <c r="N177" s="91">
        <v>0.006061</v>
      </c>
      <c r="O177" s="91">
        <v>0.004771</v>
      </c>
      <c r="P177" s="91"/>
      <c r="Q177" s="91"/>
      <c r="R177" s="91"/>
      <c r="S177" s="91"/>
      <c r="T177" s="91"/>
      <c r="U177" s="91"/>
      <c r="V177" s="91"/>
      <c r="W177" s="91"/>
      <c r="X177" s="91"/>
      <c r="Y177" s="91"/>
    </row>
    <row r="178">
      <c r="B178" s="91"/>
      <c r="C178" s="91"/>
      <c r="D178" s="98"/>
      <c r="F178" s="91"/>
      <c r="G178" s="91"/>
      <c r="H178" s="98"/>
      <c r="J178" s="91"/>
      <c r="K178" s="91"/>
      <c r="L178" s="91"/>
      <c r="M178" s="91" t="s">
        <v>3319</v>
      </c>
      <c r="N178" s="91">
        <v>0.004848</v>
      </c>
      <c r="O178" s="91">
        <v>0.004771</v>
      </c>
      <c r="P178" s="91"/>
      <c r="Q178" s="91"/>
      <c r="R178" s="91"/>
      <c r="S178" s="91"/>
      <c r="T178" s="91"/>
      <c r="U178" s="91"/>
      <c r="V178" s="91"/>
      <c r="W178" s="91"/>
      <c r="X178" s="91"/>
      <c r="Y178" s="91"/>
    </row>
    <row r="179">
      <c r="B179" s="91"/>
      <c r="C179" s="91"/>
      <c r="D179" s="98"/>
      <c r="F179" s="91"/>
      <c r="G179" s="91"/>
      <c r="H179" s="98"/>
      <c r="J179" s="91"/>
      <c r="K179" s="91"/>
      <c r="L179" s="91"/>
      <c r="M179" s="91" t="s">
        <v>2948</v>
      </c>
      <c r="N179" s="91">
        <v>0.004848</v>
      </c>
      <c r="O179" s="91">
        <v>0.004771</v>
      </c>
      <c r="P179" s="91"/>
      <c r="Q179" s="91"/>
      <c r="R179" s="91"/>
      <c r="S179" s="91"/>
      <c r="T179" s="91"/>
      <c r="U179" s="91"/>
      <c r="V179" s="91"/>
      <c r="W179" s="91"/>
      <c r="X179" s="91"/>
      <c r="Y179" s="91"/>
    </row>
    <row r="180">
      <c r="B180" s="91"/>
      <c r="C180" s="91"/>
      <c r="D180" s="98"/>
      <c r="F180" s="91"/>
      <c r="G180" s="91"/>
      <c r="H180" s="98"/>
      <c r="J180" s="91"/>
      <c r="K180" s="91"/>
      <c r="L180" s="91"/>
      <c r="M180" s="91" t="s">
        <v>2957</v>
      </c>
      <c r="N180" s="91">
        <v>0.004848</v>
      </c>
      <c r="O180" s="91">
        <v>0.004771</v>
      </c>
      <c r="P180" s="91"/>
      <c r="Q180" s="91"/>
      <c r="R180" s="91"/>
      <c r="S180" s="91"/>
      <c r="T180" s="91"/>
      <c r="U180" s="91"/>
      <c r="V180" s="91"/>
      <c r="W180" s="91"/>
      <c r="X180" s="91"/>
      <c r="Y180" s="91"/>
    </row>
    <row r="181">
      <c r="B181" s="91"/>
      <c r="C181" s="91"/>
      <c r="D181" s="98"/>
      <c r="F181" s="91"/>
      <c r="G181" s="91"/>
      <c r="H181" s="98"/>
      <c r="J181" s="91"/>
      <c r="K181" s="91"/>
      <c r="L181" s="91"/>
      <c r="M181" s="91" t="s">
        <v>2758</v>
      </c>
      <c r="N181" s="91">
        <v>0.003636</v>
      </c>
      <c r="O181" s="91">
        <v>0.004771</v>
      </c>
      <c r="P181" s="91"/>
      <c r="Q181" s="91"/>
      <c r="R181" s="91"/>
      <c r="S181" s="91"/>
      <c r="T181" s="91"/>
      <c r="U181" s="91"/>
      <c r="V181" s="91"/>
      <c r="W181" s="91"/>
      <c r="X181" s="91"/>
      <c r="Y181" s="91"/>
    </row>
    <row r="182">
      <c r="B182" s="91"/>
      <c r="C182" s="91"/>
      <c r="D182" s="98"/>
      <c r="F182" s="91"/>
      <c r="G182" s="91"/>
      <c r="H182" s="98"/>
      <c r="J182" s="91"/>
      <c r="K182" s="91"/>
      <c r="L182" s="91"/>
      <c r="M182" s="91" t="s">
        <v>3569</v>
      </c>
      <c r="N182" s="91">
        <v>0.003636</v>
      </c>
      <c r="O182" s="91">
        <v>0.004771</v>
      </c>
      <c r="P182" s="91"/>
      <c r="Q182" s="91"/>
      <c r="R182" s="91"/>
      <c r="S182" s="91"/>
      <c r="T182" s="91"/>
      <c r="U182" s="91"/>
      <c r="V182" s="91"/>
      <c r="W182" s="91"/>
      <c r="X182" s="91"/>
      <c r="Y182" s="91"/>
    </row>
    <row r="183">
      <c r="B183" s="91"/>
      <c r="C183" s="91"/>
      <c r="D183" s="98"/>
      <c r="F183" s="91"/>
      <c r="G183" s="91"/>
      <c r="H183" s="98"/>
      <c r="J183" s="91"/>
      <c r="K183" s="91"/>
      <c r="L183" s="91"/>
      <c r="M183" s="91" t="s">
        <v>3010</v>
      </c>
      <c r="N183" s="91">
        <v>0.003636</v>
      </c>
      <c r="O183" s="91">
        <v>0.004771</v>
      </c>
      <c r="P183" s="91"/>
      <c r="Q183" s="91"/>
      <c r="R183" s="91"/>
      <c r="S183" s="91"/>
      <c r="T183" s="91"/>
      <c r="U183" s="91"/>
      <c r="V183" s="91"/>
      <c r="W183" s="91"/>
      <c r="X183" s="91"/>
      <c r="Y183" s="91"/>
    </row>
    <row r="184">
      <c r="B184" s="91"/>
      <c r="C184" s="91"/>
      <c r="D184" s="98"/>
      <c r="F184" s="91"/>
      <c r="G184" s="91"/>
      <c r="H184" s="98"/>
      <c r="J184" s="91"/>
      <c r="K184" s="91"/>
      <c r="L184" s="91"/>
      <c r="M184" s="91" t="s">
        <v>2860</v>
      </c>
      <c r="N184" s="91">
        <v>0.003636</v>
      </c>
      <c r="O184" s="91">
        <v>0.004771</v>
      </c>
      <c r="P184" s="91"/>
      <c r="Q184" s="91"/>
      <c r="R184" s="91"/>
      <c r="S184" s="91"/>
      <c r="T184" s="91"/>
      <c r="U184" s="91"/>
      <c r="V184" s="91"/>
      <c r="W184" s="91"/>
      <c r="X184" s="91"/>
      <c r="Y184" s="91"/>
    </row>
    <row r="185">
      <c r="B185" s="91"/>
      <c r="C185" s="91"/>
      <c r="D185" s="98"/>
      <c r="F185" s="91"/>
      <c r="G185" s="91"/>
      <c r="H185" s="98"/>
      <c r="J185" s="91"/>
      <c r="K185" s="91"/>
      <c r="L185" s="91"/>
      <c r="M185" s="91" t="s">
        <v>3777</v>
      </c>
      <c r="N185" s="91">
        <v>0.003636</v>
      </c>
      <c r="O185" s="91">
        <v>0.004771</v>
      </c>
      <c r="P185" s="91"/>
      <c r="Q185" s="91"/>
      <c r="R185" s="91"/>
      <c r="S185" s="91"/>
      <c r="T185" s="91"/>
      <c r="U185" s="91"/>
      <c r="V185" s="91"/>
      <c r="W185" s="91"/>
      <c r="X185" s="91"/>
      <c r="Y185" s="91"/>
    </row>
    <row r="186">
      <c r="B186" s="91"/>
      <c r="C186" s="91"/>
      <c r="D186" s="98"/>
      <c r="F186" s="91"/>
      <c r="G186" s="91"/>
      <c r="H186" s="98"/>
      <c r="J186" s="91"/>
      <c r="K186" s="91"/>
      <c r="L186" s="91"/>
      <c r="M186" s="91" t="s">
        <v>4220</v>
      </c>
      <c r="N186" s="91">
        <v>0.002424</v>
      </c>
      <c r="O186" s="91">
        <v>0.004771</v>
      </c>
      <c r="P186" s="91"/>
      <c r="Q186" s="91"/>
      <c r="R186" s="91"/>
      <c r="S186" s="91"/>
      <c r="T186" s="91"/>
      <c r="U186" s="91"/>
      <c r="V186" s="91"/>
      <c r="W186" s="91"/>
      <c r="X186" s="91"/>
      <c r="Y186" s="91"/>
    </row>
    <row r="187">
      <c r="B187" s="91"/>
      <c r="C187" s="91"/>
      <c r="D187" s="98"/>
      <c r="F187" s="91"/>
      <c r="G187" s="91"/>
      <c r="H187" s="98"/>
      <c r="J187" s="91"/>
      <c r="K187" s="91"/>
      <c r="L187" s="91"/>
      <c r="M187" s="91" t="s">
        <v>3707</v>
      </c>
      <c r="N187" s="91">
        <v>0.006061</v>
      </c>
      <c r="O187" s="91">
        <v>0.003817</v>
      </c>
      <c r="P187" s="91"/>
      <c r="Q187" s="91"/>
      <c r="R187" s="91"/>
      <c r="S187" s="91"/>
      <c r="T187" s="91"/>
      <c r="U187" s="91"/>
      <c r="V187" s="91"/>
      <c r="W187" s="91"/>
      <c r="X187" s="91"/>
      <c r="Y187" s="91"/>
    </row>
    <row r="188">
      <c r="B188" s="91"/>
      <c r="C188" s="91"/>
      <c r="D188" s="98"/>
      <c r="F188" s="91"/>
      <c r="G188" s="91"/>
      <c r="H188" s="98"/>
      <c r="J188" s="91"/>
      <c r="K188" s="91"/>
      <c r="L188" s="91"/>
      <c r="M188" s="91" t="s">
        <v>2776</v>
      </c>
      <c r="N188" s="91">
        <v>0.004848</v>
      </c>
      <c r="O188" s="91">
        <v>0.003817</v>
      </c>
      <c r="P188" s="91"/>
      <c r="Q188" s="91"/>
      <c r="R188" s="91"/>
      <c r="S188" s="91"/>
      <c r="T188" s="91"/>
      <c r="U188" s="91"/>
      <c r="V188" s="91"/>
      <c r="W188" s="91"/>
      <c r="X188" s="91"/>
      <c r="Y188" s="91"/>
    </row>
    <row r="189">
      <c r="B189" s="91"/>
      <c r="C189" s="91"/>
      <c r="D189" s="98"/>
      <c r="F189" s="91"/>
      <c r="G189" s="91"/>
      <c r="H189" s="98"/>
      <c r="J189" s="91"/>
      <c r="K189" s="91"/>
      <c r="L189" s="91"/>
      <c r="M189" s="91" t="s">
        <v>2601</v>
      </c>
      <c r="N189" s="91">
        <v>0.004848</v>
      </c>
      <c r="O189" s="91">
        <v>0.003817</v>
      </c>
      <c r="P189" s="91"/>
      <c r="Q189" s="91"/>
      <c r="R189" s="91"/>
      <c r="S189" s="91"/>
      <c r="T189" s="91"/>
      <c r="U189" s="91"/>
      <c r="V189" s="91"/>
      <c r="W189" s="91"/>
      <c r="X189" s="91"/>
      <c r="Y189" s="91"/>
    </row>
    <row r="190">
      <c r="B190" s="91"/>
      <c r="C190" s="91"/>
      <c r="D190" s="98"/>
      <c r="F190" s="91"/>
      <c r="G190" s="91"/>
      <c r="H190" s="98"/>
      <c r="J190" s="91"/>
      <c r="K190" s="91"/>
      <c r="L190" s="91"/>
      <c r="M190" s="91" t="s">
        <v>2785</v>
      </c>
      <c r="N190" s="91">
        <v>0.004848</v>
      </c>
      <c r="O190" s="91">
        <v>0.003817</v>
      </c>
      <c r="P190" s="91"/>
      <c r="Q190" s="91"/>
      <c r="R190" s="91"/>
      <c r="S190" s="91"/>
      <c r="T190" s="91"/>
      <c r="U190" s="91"/>
      <c r="V190" s="91"/>
      <c r="W190" s="91"/>
      <c r="X190" s="91"/>
      <c r="Y190" s="91"/>
    </row>
    <row r="191">
      <c r="B191" s="91"/>
      <c r="C191" s="91"/>
      <c r="D191" s="98"/>
      <c r="F191" s="91"/>
      <c r="G191" s="91"/>
      <c r="H191" s="98"/>
      <c r="J191" s="91"/>
      <c r="K191" s="91"/>
      <c r="L191" s="91"/>
      <c r="M191" s="91" t="s">
        <v>3817</v>
      </c>
      <c r="N191" s="91">
        <v>0.004848</v>
      </c>
      <c r="O191" s="91">
        <v>0.003817</v>
      </c>
      <c r="P191" s="91"/>
      <c r="Q191" s="91"/>
      <c r="R191" s="91"/>
      <c r="S191" s="91"/>
      <c r="T191" s="91"/>
      <c r="U191" s="91"/>
      <c r="V191" s="91"/>
      <c r="W191" s="91"/>
      <c r="X191" s="91"/>
      <c r="Y191" s="91"/>
    </row>
    <row r="192">
      <c r="B192" s="91"/>
      <c r="C192" s="91"/>
      <c r="D192" s="98"/>
      <c r="F192" s="91"/>
      <c r="G192" s="91"/>
      <c r="H192" s="98"/>
      <c r="J192" s="91"/>
      <c r="K192" s="91"/>
      <c r="L192" s="91"/>
      <c r="M192" s="91" t="s">
        <v>3440</v>
      </c>
      <c r="N192" s="91">
        <v>0.004848</v>
      </c>
      <c r="O192" s="91">
        <v>0.003817</v>
      </c>
      <c r="P192" s="91"/>
      <c r="Q192" s="91"/>
      <c r="R192" s="91"/>
      <c r="S192" s="91"/>
      <c r="T192" s="91"/>
      <c r="U192" s="91"/>
      <c r="V192" s="91"/>
      <c r="W192" s="91"/>
      <c r="X192" s="91"/>
      <c r="Y192" s="91"/>
    </row>
    <row r="193">
      <c r="B193" s="91"/>
      <c r="C193" s="91"/>
      <c r="D193" s="98"/>
      <c r="F193" s="91"/>
      <c r="G193" s="91"/>
      <c r="H193" s="98"/>
      <c r="J193" s="91"/>
      <c r="K193" s="91"/>
      <c r="L193" s="91"/>
      <c r="M193" s="91" t="s">
        <v>2877</v>
      </c>
      <c r="N193" s="91">
        <v>0.004848</v>
      </c>
      <c r="O193" s="91">
        <v>0.003817</v>
      </c>
      <c r="P193" s="91"/>
      <c r="Q193" s="91"/>
      <c r="R193" s="91"/>
      <c r="S193" s="91"/>
      <c r="T193" s="91"/>
      <c r="U193" s="91"/>
      <c r="V193" s="91"/>
      <c r="W193" s="91"/>
      <c r="X193" s="91"/>
      <c r="Y193" s="91"/>
    </row>
    <row r="194">
      <c r="B194" s="91"/>
      <c r="C194" s="91"/>
      <c r="D194" s="98"/>
      <c r="F194" s="91"/>
      <c r="G194" s="91"/>
      <c r="H194" s="98"/>
      <c r="J194" s="91"/>
      <c r="K194" s="91"/>
      <c r="L194" s="91"/>
      <c r="M194" s="91" t="s">
        <v>4410</v>
      </c>
      <c r="N194" s="91">
        <v>0.004848</v>
      </c>
      <c r="O194" s="91">
        <v>0.003817</v>
      </c>
      <c r="P194" s="91"/>
      <c r="Q194" s="91"/>
      <c r="R194" s="91"/>
      <c r="S194" s="91"/>
      <c r="T194" s="91"/>
      <c r="U194" s="91"/>
      <c r="V194" s="91"/>
      <c r="W194" s="91"/>
      <c r="X194" s="91"/>
      <c r="Y194" s="91"/>
    </row>
    <row r="195">
      <c r="B195" s="91"/>
      <c r="C195" s="91"/>
      <c r="D195" s="98"/>
      <c r="F195" s="91"/>
      <c r="G195" s="91"/>
      <c r="H195" s="98"/>
      <c r="J195" s="91"/>
      <c r="K195" s="91"/>
      <c r="L195" s="91"/>
      <c r="M195" s="91" t="s">
        <v>2588</v>
      </c>
      <c r="N195" s="91">
        <v>0.004848</v>
      </c>
      <c r="O195" s="91">
        <v>0.003817</v>
      </c>
      <c r="P195" s="91"/>
      <c r="Q195" s="91"/>
      <c r="R195" s="91"/>
      <c r="S195" s="91"/>
      <c r="T195" s="91"/>
      <c r="U195" s="91"/>
      <c r="V195" s="91"/>
      <c r="W195" s="91"/>
      <c r="X195" s="91"/>
      <c r="Y195" s="91"/>
    </row>
    <row r="196">
      <c r="B196" s="91"/>
      <c r="C196" s="91"/>
      <c r="D196" s="98"/>
      <c r="F196" s="91"/>
      <c r="G196" s="91"/>
      <c r="H196" s="98"/>
      <c r="J196" s="91"/>
      <c r="K196" s="91"/>
      <c r="L196" s="91"/>
      <c r="M196" s="91" t="s">
        <v>2867</v>
      </c>
      <c r="N196" s="91">
        <v>0.003636</v>
      </c>
      <c r="O196" s="91">
        <v>0.003817</v>
      </c>
      <c r="P196" s="91"/>
      <c r="Q196" s="91"/>
      <c r="R196" s="91"/>
      <c r="S196" s="91"/>
      <c r="T196" s="91"/>
      <c r="U196" s="91"/>
      <c r="V196" s="91"/>
      <c r="W196" s="91"/>
      <c r="X196" s="91"/>
      <c r="Y196" s="91"/>
    </row>
    <row r="197">
      <c r="B197" s="91"/>
      <c r="C197" s="91"/>
      <c r="D197" s="98"/>
      <c r="F197" s="91"/>
      <c r="G197" s="91"/>
      <c r="H197" s="98"/>
      <c r="J197" s="91"/>
      <c r="K197" s="91"/>
      <c r="L197" s="91"/>
      <c r="M197" s="91" t="s">
        <v>4038</v>
      </c>
      <c r="N197" s="91">
        <v>0.003636</v>
      </c>
      <c r="O197" s="91">
        <v>0.003817</v>
      </c>
      <c r="P197" s="91"/>
      <c r="Q197" s="91"/>
      <c r="R197" s="91"/>
      <c r="S197" s="91"/>
      <c r="T197" s="91"/>
      <c r="U197" s="91"/>
      <c r="V197" s="91"/>
      <c r="W197" s="91"/>
      <c r="X197" s="91"/>
      <c r="Y197" s="91"/>
    </row>
    <row r="198">
      <c r="B198" s="91"/>
      <c r="C198" s="91"/>
      <c r="D198" s="98"/>
      <c r="F198" s="91"/>
      <c r="G198" s="91"/>
      <c r="H198" s="98"/>
      <c r="J198" s="91"/>
      <c r="K198" s="91"/>
      <c r="L198" s="91"/>
      <c r="M198" s="91" t="s">
        <v>3921</v>
      </c>
      <c r="N198" s="91">
        <v>0.003636</v>
      </c>
      <c r="O198" s="91">
        <v>0.003817</v>
      </c>
      <c r="P198" s="91"/>
      <c r="Q198" s="91"/>
      <c r="R198" s="91"/>
      <c r="S198" s="91"/>
      <c r="T198" s="91"/>
      <c r="U198" s="91"/>
      <c r="V198" s="91"/>
      <c r="W198" s="91"/>
      <c r="X198" s="91"/>
      <c r="Y198" s="91"/>
    </row>
    <row r="199">
      <c r="B199" s="91"/>
      <c r="C199" s="91"/>
      <c r="D199" s="98"/>
      <c r="F199" s="91"/>
      <c r="G199" s="91"/>
      <c r="H199" s="98"/>
      <c r="J199" s="91"/>
      <c r="K199" s="91"/>
      <c r="L199" s="91"/>
      <c r="M199" s="91" t="s">
        <v>2767</v>
      </c>
      <c r="N199" s="91">
        <v>0.003636</v>
      </c>
      <c r="O199" s="91">
        <v>0.003817</v>
      </c>
      <c r="P199" s="91"/>
      <c r="Q199" s="91"/>
      <c r="R199" s="91"/>
      <c r="S199" s="91"/>
      <c r="T199" s="91"/>
      <c r="U199" s="91"/>
      <c r="V199" s="91"/>
      <c r="W199" s="91"/>
      <c r="X199" s="91"/>
      <c r="Y199" s="91"/>
    </row>
    <row r="200">
      <c r="B200" s="91"/>
      <c r="C200" s="91"/>
      <c r="D200" s="98"/>
      <c r="F200" s="91"/>
      <c r="G200" s="91"/>
      <c r="H200" s="98"/>
      <c r="J200" s="91"/>
      <c r="K200" s="91"/>
      <c r="L200" s="91"/>
      <c r="M200" s="91" t="s">
        <v>3812</v>
      </c>
      <c r="N200" s="91">
        <v>0.003636</v>
      </c>
      <c r="O200" s="91">
        <v>0.003817</v>
      </c>
      <c r="P200" s="91"/>
      <c r="Q200" s="91"/>
      <c r="R200" s="91"/>
      <c r="S200" s="91"/>
      <c r="T200" s="91"/>
      <c r="U200" s="91"/>
      <c r="V200" s="91"/>
      <c r="W200" s="91"/>
      <c r="X200" s="91"/>
      <c r="Y200" s="91"/>
    </row>
    <row r="201">
      <c r="B201" s="91"/>
      <c r="C201" s="91"/>
      <c r="D201" s="98"/>
      <c r="F201" s="91"/>
      <c r="G201" s="91"/>
      <c r="H201" s="98"/>
      <c r="J201" s="91"/>
      <c r="K201" s="91"/>
      <c r="L201" s="91"/>
      <c r="M201" s="91" t="s">
        <v>3256</v>
      </c>
      <c r="N201" s="91">
        <v>0.003636</v>
      </c>
      <c r="O201" s="91">
        <v>0.003817</v>
      </c>
      <c r="P201" s="91"/>
      <c r="Q201" s="91"/>
      <c r="R201" s="91"/>
      <c r="S201" s="91"/>
      <c r="T201" s="91"/>
      <c r="U201" s="91"/>
      <c r="V201" s="91"/>
      <c r="W201" s="91"/>
      <c r="X201" s="91"/>
      <c r="Y201" s="91"/>
    </row>
    <row r="202">
      <c r="B202" s="91"/>
      <c r="C202" s="91"/>
      <c r="D202" s="98"/>
      <c r="F202" s="91"/>
      <c r="G202" s="91"/>
      <c r="H202" s="98"/>
      <c r="J202" s="91"/>
      <c r="K202" s="91"/>
      <c r="L202" s="91"/>
      <c r="M202" s="91" t="s">
        <v>3043</v>
      </c>
      <c r="N202" s="91">
        <v>0.003636</v>
      </c>
      <c r="O202" s="91">
        <v>0.003817</v>
      </c>
      <c r="P202" s="91"/>
      <c r="Q202" s="91"/>
      <c r="R202" s="91"/>
      <c r="S202" s="91"/>
      <c r="T202" s="91"/>
      <c r="U202" s="91"/>
      <c r="V202" s="91"/>
      <c r="W202" s="91"/>
      <c r="X202" s="91"/>
      <c r="Y202" s="91"/>
    </row>
    <row r="203">
      <c r="B203" s="91"/>
      <c r="C203" s="91"/>
      <c r="D203" s="98"/>
      <c r="F203" s="91"/>
      <c r="G203" s="91"/>
      <c r="H203" s="98"/>
      <c r="J203" s="91"/>
      <c r="K203" s="91"/>
      <c r="L203" s="91"/>
      <c r="M203" s="91" t="s">
        <v>3186</v>
      </c>
      <c r="N203" s="91">
        <v>0.002424</v>
      </c>
      <c r="O203" s="91">
        <v>0.003817</v>
      </c>
      <c r="P203" s="91"/>
      <c r="Q203" s="91"/>
      <c r="R203" s="91"/>
      <c r="S203" s="91"/>
      <c r="T203" s="91"/>
      <c r="U203" s="91"/>
      <c r="V203" s="91"/>
      <c r="W203" s="91"/>
      <c r="X203" s="91"/>
      <c r="Y203" s="91"/>
    </row>
    <row r="204">
      <c r="B204" s="91"/>
      <c r="C204" s="91"/>
      <c r="D204" s="98"/>
      <c r="F204" s="91"/>
      <c r="G204" s="91"/>
      <c r="H204" s="98"/>
      <c r="J204" s="91"/>
      <c r="K204" s="91"/>
      <c r="L204" s="91"/>
      <c r="M204" s="91" t="s">
        <v>3031</v>
      </c>
      <c r="N204" s="91">
        <v>0.002424</v>
      </c>
      <c r="O204" s="91">
        <v>0.003817</v>
      </c>
      <c r="P204" s="91"/>
      <c r="Q204" s="91"/>
      <c r="R204" s="91"/>
      <c r="S204" s="91"/>
      <c r="T204" s="91"/>
      <c r="U204" s="91"/>
      <c r="V204" s="91"/>
      <c r="W204" s="91"/>
      <c r="X204" s="91"/>
      <c r="Y204" s="91"/>
    </row>
    <row r="205">
      <c r="B205" s="91"/>
      <c r="C205" s="91"/>
      <c r="D205" s="98"/>
      <c r="F205" s="91"/>
      <c r="G205" s="91"/>
      <c r="H205" s="98"/>
      <c r="J205" s="91"/>
      <c r="K205" s="91"/>
      <c r="L205" s="91"/>
      <c r="M205" s="91" t="s">
        <v>3236</v>
      </c>
      <c r="N205" s="91">
        <v>0.0</v>
      </c>
      <c r="O205" s="91">
        <v>0.003817</v>
      </c>
      <c r="P205" s="91"/>
      <c r="Q205" s="91"/>
      <c r="R205" s="91"/>
      <c r="S205" s="91"/>
      <c r="T205" s="91"/>
      <c r="U205" s="91"/>
      <c r="V205" s="91"/>
      <c r="W205" s="91"/>
      <c r="X205" s="91"/>
      <c r="Y205" s="91"/>
    </row>
    <row r="206">
      <c r="B206" s="91"/>
      <c r="C206" s="91"/>
      <c r="D206" s="98"/>
      <c r="F206" s="91"/>
      <c r="G206" s="91"/>
      <c r="H206" s="98"/>
      <c r="J206" s="91"/>
      <c r="K206" s="91"/>
      <c r="L206" s="91"/>
      <c r="M206" s="91" t="s">
        <v>2620</v>
      </c>
      <c r="N206" s="91">
        <v>0.002424</v>
      </c>
      <c r="O206" s="91">
        <v>0.002863</v>
      </c>
      <c r="P206" s="91"/>
      <c r="Q206" s="91"/>
      <c r="R206" s="91"/>
      <c r="S206" s="91"/>
      <c r="T206" s="91"/>
      <c r="U206" s="91"/>
      <c r="V206" s="91"/>
      <c r="W206" s="91"/>
      <c r="X206" s="91"/>
      <c r="Y206" s="91"/>
    </row>
    <row r="207">
      <c r="B207" s="91"/>
      <c r="C207" s="91"/>
      <c r="D207" s="98"/>
      <c r="F207" s="91"/>
      <c r="G207" s="91"/>
      <c r="H207" s="98"/>
      <c r="J207" s="91"/>
      <c r="K207" s="91"/>
      <c r="L207" s="91"/>
      <c r="M207" s="91" t="s">
        <v>2739</v>
      </c>
      <c r="N207" s="91">
        <v>0.002424</v>
      </c>
      <c r="O207" s="91">
        <v>0.002863</v>
      </c>
      <c r="P207" s="91"/>
      <c r="Q207" s="91"/>
      <c r="R207" s="91"/>
      <c r="S207" s="91"/>
      <c r="T207" s="91"/>
      <c r="U207" s="91"/>
      <c r="V207" s="91"/>
      <c r="W207" s="91"/>
      <c r="X207" s="91"/>
      <c r="Y207" s="91"/>
    </row>
    <row r="208">
      <c r="B208" s="91"/>
      <c r="C208" s="91"/>
      <c r="D208" s="98"/>
      <c r="F208" s="91"/>
      <c r="G208" s="91"/>
      <c r="H208" s="98"/>
      <c r="J208" s="91"/>
      <c r="K208" s="91"/>
      <c r="L208" s="91"/>
      <c r="M208" s="91" t="s">
        <v>2727</v>
      </c>
      <c r="N208" s="91">
        <v>0.002424</v>
      </c>
      <c r="O208" s="91">
        <v>0.002863</v>
      </c>
      <c r="P208" s="91"/>
      <c r="Q208" s="91"/>
      <c r="R208" s="91"/>
      <c r="S208" s="91"/>
      <c r="T208" s="91"/>
      <c r="U208" s="91"/>
      <c r="V208" s="91"/>
      <c r="W208" s="91"/>
      <c r="X208" s="91"/>
      <c r="Y208" s="91"/>
    </row>
    <row r="209">
      <c r="B209" s="91"/>
      <c r="C209" s="91"/>
      <c r="D209" s="98"/>
      <c r="F209" s="91"/>
      <c r="G209" s="91"/>
      <c r="H209" s="98"/>
      <c r="J209" s="91"/>
      <c r="K209" s="91"/>
      <c r="L209" s="91"/>
      <c r="M209" s="91" t="s">
        <v>3387</v>
      </c>
      <c r="N209" s="91">
        <v>0.002424</v>
      </c>
      <c r="O209" s="91">
        <v>0.002863</v>
      </c>
      <c r="P209" s="91"/>
      <c r="Q209" s="91"/>
      <c r="R209" s="91"/>
      <c r="S209" s="91"/>
      <c r="T209" s="91"/>
      <c r="U209" s="91"/>
      <c r="V209" s="91"/>
      <c r="W209" s="91"/>
      <c r="X209" s="91"/>
      <c r="Y209" s="91"/>
    </row>
    <row r="210">
      <c r="B210" s="91"/>
      <c r="C210" s="91"/>
      <c r="D210" s="98"/>
      <c r="F210" s="91"/>
      <c r="G210" s="91"/>
      <c r="H210" s="98"/>
      <c r="J210" s="91"/>
      <c r="K210" s="91"/>
      <c r="L210" s="91"/>
      <c r="M210" s="91" t="s">
        <v>2693</v>
      </c>
      <c r="N210" s="91">
        <v>0.002424</v>
      </c>
      <c r="O210" s="91">
        <v>0.002863</v>
      </c>
      <c r="P210" s="91"/>
      <c r="Q210" s="91"/>
      <c r="R210" s="91"/>
      <c r="S210" s="91"/>
      <c r="T210" s="91"/>
      <c r="U210" s="91"/>
      <c r="V210" s="91"/>
      <c r="W210" s="91"/>
      <c r="X210" s="91"/>
      <c r="Y210" s="91"/>
    </row>
    <row r="211">
      <c r="B211" s="91"/>
      <c r="C211" s="91"/>
      <c r="D211" s="98"/>
      <c r="F211" s="91"/>
      <c r="G211" s="91"/>
      <c r="H211" s="98"/>
      <c r="J211" s="91"/>
      <c r="K211" s="91"/>
      <c r="L211" s="91"/>
      <c r="M211" s="91" t="s">
        <v>3475</v>
      </c>
      <c r="N211" s="91">
        <v>0.002424</v>
      </c>
      <c r="O211" s="91">
        <v>0.002863</v>
      </c>
      <c r="P211" s="91"/>
      <c r="Q211" s="91"/>
      <c r="R211" s="91"/>
      <c r="S211" s="91"/>
      <c r="T211" s="91"/>
      <c r="U211" s="91"/>
      <c r="V211" s="91"/>
      <c r="W211" s="91"/>
      <c r="X211" s="91"/>
      <c r="Y211" s="91"/>
    </row>
    <row r="212">
      <c r="B212" s="91"/>
      <c r="C212" s="91"/>
      <c r="D212" s="98"/>
      <c r="F212" s="91"/>
      <c r="G212" s="91"/>
      <c r="H212" s="98"/>
      <c r="J212" s="91"/>
      <c r="K212" s="91"/>
      <c r="L212" s="91"/>
      <c r="M212" s="91" t="s">
        <v>2887</v>
      </c>
      <c r="N212" s="91">
        <v>0.002424</v>
      </c>
      <c r="O212" s="91">
        <v>0.002863</v>
      </c>
      <c r="P212" s="91"/>
      <c r="Q212" s="91"/>
      <c r="R212" s="91"/>
      <c r="S212" s="91"/>
      <c r="T212" s="91"/>
      <c r="U212" s="91"/>
      <c r="V212" s="91"/>
      <c r="W212" s="91"/>
      <c r="X212" s="91"/>
      <c r="Y212" s="91"/>
    </row>
    <row r="213">
      <c r="B213" s="91"/>
      <c r="C213" s="91"/>
      <c r="D213" s="98"/>
      <c r="F213" s="91"/>
      <c r="G213" s="91"/>
      <c r="H213" s="98"/>
      <c r="J213" s="91"/>
      <c r="K213" s="91"/>
      <c r="L213" s="91"/>
      <c r="M213" s="91" t="s">
        <v>3478</v>
      </c>
      <c r="N213" s="91">
        <v>0.002424</v>
      </c>
      <c r="O213" s="91">
        <v>0.002863</v>
      </c>
      <c r="P213" s="91"/>
      <c r="Q213" s="91"/>
      <c r="R213" s="91"/>
      <c r="S213" s="91"/>
      <c r="T213" s="91"/>
      <c r="U213" s="91"/>
      <c r="V213" s="91"/>
      <c r="W213" s="91"/>
      <c r="X213" s="91"/>
      <c r="Y213" s="91"/>
    </row>
    <row r="214">
      <c r="B214" s="91"/>
      <c r="C214" s="91"/>
      <c r="D214" s="98"/>
      <c r="F214" s="91"/>
      <c r="G214" s="91"/>
      <c r="H214" s="98"/>
      <c r="J214" s="91"/>
      <c r="K214" s="91"/>
      <c r="L214" s="91"/>
      <c r="M214" s="91" t="s">
        <v>2624</v>
      </c>
      <c r="N214" s="91">
        <v>0.002424</v>
      </c>
      <c r="O214" s="91">
        <v>0.002863</v>
      </c>
      <c r="P214" s="91"/>
      <c r="Q214" s="91"/>
      <c r="R214" s="91"/>
      <c r="S214" s="91"/>
      <c r="T214" s="91"/>
      <c r="U214" s="91"/>
      <c r="V214" s="91"/>
      <c r="W214" s="91"/>
      <c r="X214" s="91"/>
      <c r="Y214" s="91"/>
    </row>
    <row r="215">
      <c r="B215" s="91"/>
      <c r="C215" s="91"/>
      <c r="D215" s="98"/>
      <c r="F215" s="91"/>
      <c r="G215" s="91"/>
      <c r="H215" s="98"/>
      <c r="J215" s="91"/>
      <c r="K215" s="91"/>
      <c r="L215" s="91"/>
      <c r="M215" s="91" t="s">
        <v>4277</v>
      </c>
      <c r="N215" s="91">
        <v>0.002424</v>
      </c>
      <c r="O215" s="91">
        <v>0.002863</v>
      </c>
      <c r="P215" s="91"/>
      <c r="Q215" s="91"/>
      <c r="R215" s="91"/>
      <c r="S215" s="91"/>
      <c r="T215" s="91"/>
      <c r="U215" s="91"/>
      <c r="V215" s="91"/>
      <c r="W215" s="91"/>
      <c r="X215" s="91"/>
      <c r="Y215" s="91"/>
    </row>
    <row r="216">
      <c r="B216" s="91"/>
      <c r="C216" s="91"/>
      <c r="D216" s="98"/>
      <c r="F216" s="91"/>
      <c r="G216" s="91"/>
      <c r="H216" s="98"/>
      <c r="J216" s="91"/>
      <c r="K216" s="91"/>
      <c r="L216" s="91"/>
      <c r="M216" s="91" t="s">
        <v>2962</v>
      </c>
      <c r="N216" s="91">
        <v>0.002424</v>
      </c>
      <c r="O216" s="91">
        <v>0.002863</v>
      </c>
      <c r="P216" s="91"/>
      <c r="Q216" s="91"/>
      <c r="R216" s="91"/>
      <c r="S216" s="91"/>
      <c r="T216" s="91"/>
      <c r="U216" s="91"/>
      <c r="V216" s="91"/>
      <c r="W216" s="91"/>
      <c r="X216" s="91"/>
      <c r="Y216" s="91"/>
    </row>
    <row r="217">
      <c r="B217" s="91"/>
      <c r="C217" s="91"/>
      <c r="D217" s="98"/>
      <c r="F217" s="91"/>
      <c r="G217" s="91"/>
      <c r="H217" s="98"/>
      <c r="J217" s="91"/>
      <c r="K217" s="91"/>
      <c r="L217" s="91"/>
      <c r="M217" s="91" t="s">
        <v>4134</v>
      </c>
      <c r="N217" s="91">
        <v>0.002424</v>
      </c>
      <c r="O217" s="91">
        <v>0.002863</v>
      </c>
      <c r="P217" s="91"/>
      <c r="Q217" s="91"/>
      <c r="R217" s="91"/>
      <c r="S217" s="91"/>
      <c r="T217" s="91"/>
      <c r="U217" s="91"/>
      <c r="V217" s="91"/>
      <c r="W217" s="91"/>
      <c r="X217" s="91"/>
      <c r="Y217" s="91"/>
    </row>
    <row r="218">
      <c r="B218" s="91"/>
      <c r="C218" s="91"/>
      <c r="D218" s="98"/>
      <c r="F218" s="91"/>
      <c r="G218" s="91"/>
      <c r="H218" s="98"/>
      <c r="J218" s="91"/>
      <c r="K218" s="91"/>
      <c r="L218" s="91"/>
      <c r="M218" s="91" t="s">
        <v>2670</v>
      </c>
      <c r="N218" s="91">
        <v>0.002424</v>
      </c>
      <c r="O218" s="91">
        <v>0.002863</v>
      </c>
      <c r="P218" s="91"/>
      <c r="Q218" s="91"/>
      <c r="R218" s="91"/>
      <c r="S218" s="91"/>
      <c r="T218" s="91"/>
      <c r="U218" s="91"/>
      <c r="V218" s="91"/>
      <c r="W218" s="91"/>
      <c r="X218" s="91"/>
      <c r="Y218" s="91"/>
    </row>
    <row r="219">
      <c r="B219" s="91"/>
      <c r="C219" s="91"/>
      <c r="D219" s="98"/>
      <c r="F219" s="91"/>
      <c r="G219" s="91"/>
      <c r="H219" s="98"/>
      <c r="J219" s="91"/>
      <c r="K219" s="91"/>
      <c r="L219" s="91"/>
      <c r="M219" s="91" t="s">
        <v>2866</v>
      </c>
      <c r="N219" s="91">
        <v>0.002424</v>
      </c>
      <c r="O219" s="91">
        <v>0.002863</v>
      </c>
      <c r="P219" s="91"/>
      <c r="Q219" s="91"/>
      <c r="R219" s="91"/>
      <c r="S219" s="91"/>
      <c r="T219" s="91"/>
      <c r="U219" s="91"/>
      <c r="V219" s="91"/>
      <c r="W219" s="91"/>
      <c r="X219" s="91"/>
      <c r="Y219" s="91"/>
    </row>
    <row r="220">
      <c r="B220" s="91"/>
      <c r="C220" s="91"/>
      <c r="D220" s="98"/>
      <c r="F220" s="91"/>
      <c r="G220" s="91"/>
      <c r="H220" s="98"/>
      <c r="J220" s="91"/>
      <c r="K220" s="91"/>
      <c r="L220" s="91"/>
      <c r="M220" s="91" t="s">
        <v>4049</v>
      </c>
      <c r="N220" s="91">
        <v>0.001212</v>
      </c>
      <c r="O220" s="91">
        <v>0.002863</v>
      </c>
      <c r="P220" s="91"/>
      <c r="Q220" s="91"/>
      <c r="R220" s="91"/>
      <c r="S220" s="91"/>
      <c r="T220" s="91"/>
      <c r="U220" s="91"/>
      <c r="V220" s="91"/>
      <c r="W220" s="91"/>
      <c r="X220" s="91"/>
      <c r="Y220" s="91"/>
    </row>
    <row r="221">
      <c r="B221" s="91"/>
      <c r="C221" s="91"/>
      <c r="D221" s="98"/>
      <c r="F221" s="91"/>
      <c r="G221" s="91"/>
      <c r="H221" s="98"/>
      <c r="J221" s="91"/>
      <c r="K221" s="91"/>
      <c r="L221" s="91"/>
      <c r="M221" s="91" t="s">
        <v>4019</v>
      </c>
      <c r="N221" s="91">
        <v>0.001212</v>
      </c>
      <c r="O221" s="91">
        <v>0.002863</v>
      </c>
      <c r="P221" s="91"/>
      <c r="Q221" s="91"/>
      <c r="R221" s="91"/>
      <c r="S221" s="91"/>
      <c r="T221" s="91"/>
      <c r="U221" s="91"/>
      <c r="V221" s="91"/>
      <c r="W221" s="91"/>
      <c r="X221" s="91"/>
      <c r="Y221" s="91"/>
    </row>
    <row r="222">
      <c r="B222" s="91"/>
      <c r="C222" s="91"/>
      <c r="D222" s="98"/>
      <c r="F222" s="91"/>
      <c r="G222" s="91"/>
      <c r="H222" s="98"/>
      <c r="J222" s="91"/>
      <c r="K222" s="91"/>
      <c r="L222" s="91"/>
      <c r="M222" s="91" t="s">
        <v>4083</v>
      </c>
      <c r="N222" s="91">
        <v>0.006061</v>
      </c>
      <c r="O222" s="91">
        <v>0.001908</v>
      </c>
      <c r="P222" s="91"/>
      <c r="Q222" s="91"/>
      <c r="R222" s="91"/>
      <c r="S222" s="91"/>
      <c r="T222" s="91"/>
      <c r="U222" s="91"/>
      <c r="V222" s="91"/>
      <c r="W222" s="91"/>
      <c r="X222" s="91"/>
      <c r="Y222" s="91"/>
    </row>
    <row r="223">
      <c r="B223" s="91"/>
      <c r="C223" s="91"/>
      <c r="D223" s="98"/>
      <c r="F223" s="91"/>
      <c r="G223" s="91"/>
      <c r="H223" s="98"/>
      <c r="J223" s="91"/>
      <c r="K223" s="91"/>
      <c r="L223" s="91"/>
      <c r="M223" s="91" t="s">
        <v>2872</v>
      </c>
      <c r="N223" s="91">
        <v>0.003636</v>
      </c>
      <c r="O223" s="91">
        <v>0.001908</v>
      </c>
      <c r="P223" s="91"/>
      <c r="Q223" s="91"/>
      <c r="R223" s="91"/>
      <c r="S223" s="91"/>
      <c r="T223" s="91"/>
      <c r="U223" s="91"/>
      <c r="V223" s="91"/>
      <c r="W223" s="91"/>
      <c r="X223" s="91"/>
      <c r="Y223" s="91"/>
    </row>
    <row r="224">
      <c r="B224" s="91"/>
      <c r="C224" s="91"/>
      <c r="D224" s="98"/>
      <c r="F224" s="91"/>
      <c r="G224" s="91"/>
      <c r="H224" s="98"/>
      <c r="J224" s="91"/>
      <c r="K224" s="91"/>
      <c r="L224" s="91"/>
      <c r="M224" s="91" t="s">
        <v>3877</v>
      </c>
      <c r="N224" s="91">
        <v>0.003636</v>
      </c>
      <c r="O224" s="91">
        <v>0.001908</v>
      </c>
      <c r="P224" s="91"/>
      <c r="Q224" s="91"/>
      <c r="R224" s="91"/>
      <c r="S224" s="91"/>
      <c r="T224" s="91"/>
      <c r="U224" s="91"/>
      <c r="V224" s="91"/>
      <c r="W224" s="91"/>
      <c r="X224" s="91"/>
      <c r="Y224" s="91"/>
    </row>
    <row r="225">
      <c r="B225" s="91"/>
      <c r="C225" s="91"/>
      <c r="D225" s="98"/>
      <c r="F225" s="91"/>
      <c r="G225" s="91"/>
      <c r="H225" s="98"/>
      <c r="J225" s="91"/>
      <c r="K225" s="91"/>
      <c r="L225" s="91"/>
      <c r="M225" s="91" t="s">
        <v>4091</v>
      </c>
      <c r="N225" s="91">
        <v>0.003636</v>
      </c>
      <c r="O225" s="91">
        <v>0.001908</v>
      </c>
      <c r="P225" s="91"/>
      <c r="Q225" s="91"/>
      <c r="R225" s="91"/>
      <c r="S225" s="91"/>
      <c r="T225" s="91"/>
      <c r="U225" s="91"/>
      <c r="V225" s="91"/>
      <c r="W225" s="91"/>
      <c r="X225" s="91"/>
      <c r="Y225" s="91"/>
    </row>
    <row r="226">
      <c r="B226" s="91"/>
      <c r="C226" s="91"/>
      <c r="D226" s="98"/>
      <c r="F226" s="91"/>
      <c r="G226" s="91"/>
      <c r="H226" s="98"/>
      <c r="J226" s="91"/>
      <c r="K226" s="91"/>
      <c r="L226" s="91"/>
      <c r="M226" s="91" t="s">
        <v>4172</v>
      </c>
      <c r="N226" s="91">
        <v>0.003636</v>
      </c>
      <c r="O226" s="91">
        <v>0.001908</v>
      </c>
      <c r="P226" s="91"/>
      <c r="Q226" s="91"/>
      <c r="R226" s="91"/>
      <c r="S226" s="91"/>
      <c r="T226" s="91"/>
      <c r="U226" s="91"/>
      <c r="V226" s="91"/>
      <c r="W226" s="91"/>
      <c r="X226" s="91"/>
      <c r="Y226" s="91"/>
    </row>
    <row r="227">
      <c r="B227" s="91"/>
      <c r="C227" s="91"/>
      <c r="D227" s="98"/>
      <c r="F227" s="91"/>
      <c r="G227" s="91"/>
      <c r="H227" s="98"/>
      <c r="J227" s="91"/>
      <c r="K227" s="91"/>
      <c r="L227" s="91"/>
      <c r="M227" s="91" t="s">
        <v>2676</v>
      </c>
      <c r="N227" s="91">
        <v>0.002424</v>
      </c>
      <c r="O227" s="91">
        <v>0.001908</v>
      </c>
      <c r="P227" s="91"/>
      <c r="Q227" s="91"/>
      <c r="R227" s="91"/>
      <c r="S227" s="91"/>
      <c r="T227" s="91"/>
      <c r="U227" s="91"/>
      <c r="V227" s="91"/>
      <c r="W227" s="91"/>
      <c r="X227" s="91"/>
      <c r="Y227" s="91"/>
    </row>
    <row r="228">
      <c r="B228" s="91"/>
      <c r="C228" s="91"/>
      <c r="D228" s="98"/>
      <c r="F228" s="91"/>
      <c r="G228" s="91"/>
      <c r="H228" s="98"/>
      <c r="J228" s="91"/>
      <c r="K228" s="91"/>
      <c r="L228" s="91"/>
      <c r="M228" s="91" t="s">
        <v>2900</v>
      </c>
      <c r="N228" s="91">
        <v>0.002424</v>
      </c>
      <c r="O228" s="91">
        <v>0.001908</v>
      </c>
      <c r="P228" s="91"/>
      <c r="Q228" s="91"/>
      <c r="R228" s="91"/>
      <c r="S228" s="91"/>
      <c r="T228" s="91"/>
      <c r="U228" s="91"/>
      <c r="V228" s="91"/>
      <c r="W228" s="91"/>
      <c r="X228" s="91"/>
      <c r="Y228" s="91"/>
    </row>
    <row r="229">
      <c r="B229" s="91"/>
      <c r="C229" s="91"/>
      <c r="D229" s="98"/>
      <c r="F229" s="91"/>
      <c r="G229" s="91"/>
      <c r="H229" s="98"/>
      <c r="J229" s="91"/>
      <c r="K229" s="91"/>
      <c r="L229" s="91"/>
      <c r="M229" s="91" t="s">
        <v>2772</v>
      </c>
      <c r="N229" s="91">
        <v>0.002424</v>
      </c>
      <c r="O229" s="91">
        <v>0.001908</v>
      </c>
      <c r="P229" s="91"/>
      <c r="Q229" s="91"/>
      <c r="R229" s="91"/>
      <c r="S229" s="91"/>
      <c r="T229" s="91"/>
      <c r="U229" s="91"/>
      <c r="V229" s="91"/>
      <c r="W229" s="91"/>
      <c r="X229" s="91"/>
      <c r="Y229" s="91"/>
    </row>
    <row r="230">
      <c r="B230" s="91"/>
      <c r="C230" s="91"/>
      <c r="D230" s="98"/>
      <c r="F230" s="91"/>
      <c r="G230" s="91"/>
      <c r="H230" s="98"/>
      <c r="J230" s="91"/>
      <c r="K230" s="91"/>
      <c r="L230" s="91"/>
      <c r="M230" s="91" t="s">
        <v>3063</v>
      </c>
      <c r="N230" s="91">
        <v>0.002424</v>
      </c>
      <c r="O230" s="91">
        <v>0.001908</v>
      </c>
      <c r="P230" s="91"/>
      <c r="Q230" s="91"/>
      <c r="R230" s="91"/>
      <c r="S230" s="91"/>
      <c r="T230" s="91"/>
      <c r="U230" s="91"/>
      <c r="V230" s="91"/>
      <c r="W230" s="91"/>
      <c r="X230" s="91"/>
      <c r="Y230" s="91"/>
    </row>
    <row r="231">
      <c r="B231" s="91"/>
      <c r="C231" s="91"/>
      <c r="D231" s="98"/>
      <c r="F231" s="91"/>
      <c r="G231" s="91"/>
      <c r="H231" s="98"/>
      <c r="J231" s="91"/>
      <c r="K231" s="91"/>
      <c r="L231" s="91"/>
      <c r="M231" s="91" t="s">
        <v>3686</v>
      </c>
      <c r="N231" s="91">
        <v>0.002424</v>
      </c>
      <c r="O231" s="91">
        <v>0.001908</v>
      </c>
      <c r="P231" s="91"/>
      <c r="Q231" s="91"/>
      <c r="R231" s="91"/>
      <c r="S231" s="91"/>
      <c r="T231" s="91"/>
      <c r="U231" s="91"/>
      <c r="V231" s="91"/>
      <c r="W231" s="91"/>
      <c r="X231" s="91"/>
      <c r="Y231" s="91"/>
    </row>
    <row r="232">
      <c r="B232" s="91"/>
      <c r="C232" s="91"/>
      <c r="D232" s="98"/>
      <c r="F232" s="91"/>
      <c r="G232" s="91"/>
      <c r="H232" s="98"/>
      <c r="J232" s="91"/>
      <c r="K232" s="91"/>
      <c r="L232" s="91"/>
      <c r="M232" s="91" t="s">
        <v>3641</v>
      </c>
      <c r="N232" s="91">
        <v>0.002424</v>
      </c>
      <c r="O232" s="91">
        <v>0.001908</v>
      </c>
      <c r="P232" s="91"/>
      <c r="Q232" s="91"/>
      <c r="R232" s="91"/>
      <c r="S232" s="91"/>
      <c r="T232" s="91"/>
      <c r="U232" s="91"/>
      <c r="V232" s="91"/>
      <c r="W232" s="91"/>
      <c r="X232" s="91"/>
      <c r="Y232" s="91"/>
    </row>
    <row r="233">
      <c r="B233" s="91"/>
      <c r="C233" s="91"/>
      <c r="D233" s="98"/>
      <c r="F233" s="91"/>
      <c r="G233" s="91"/>
      <c r="H233" s="98"/>
      <c r="J233" s="91"/>
      <c r="K233" s="91"/>
      <c r="L233" s="91"/>
      <c r="M233" s="91" t="s">
        <v>2615</v>
      </c>
      <c r="N233" s="91">
        <v>0.002424</v>
      </c>
      <c r="O233" s="91">
        <v>0.001908</v>
      </c>
      <c r="P233" s="91"/>
      <c r="Q233" s="91"/>
      <c r="R233" s="91"/>
      <c r="S233" s="91"/>
      <c r="T233" s="91"/>
      <c r="U233" s="91"/>
      <c r="V233" s="91"/>
      <c r="W233" s="91"/>
      <c r="X233" s="91"/>
      <c r="Y233" s="91"/>
    </row>
    <row r="234">
      <c r="B234" s="91"/>
      <c r="C234" s="91"/>
      <c r="D234" s="98"/>
      <c r="F234" s="91"/>
      <c r="G234" s="91"/>
      <c r="H234" s="98"/>
      <c r="J234" s="91"/>
      <c r="K234" s="91"/>
      <c r="L234" s="91"/>
      <c r="M234" s="91" t="s">
        <v>2977</v>
      </c>
      <c r="N234" s="91">
        <v>0.002424</v>
      </c>
      <c r="O234" s="91">
        <v>0.001908</v>
      </c>
      <c r="P234" s="91"/>
      <c r="Q234" s="91"/>
      <c r="R234" s="91"/>
      <c r="S234" s="91"/>
      <c r="T234" s="91"/>
      <c r="U234" s="91"/>
      <c r="V234" s="91"/>
      <c r="W234" s="91"/>
      <c r="X234" s="91"/>
      <c r="Y234" s="91"/>
    </row>
    <row r="235">
      <c r="B235" s="91"/>
      <c r="C235" s="91"/>
      <c r="D235" s="98"/>
      <c r="F235" s="91"/>
      <c r="G235" s="91"/>
      <c r="H235" s="98"/>
      <c r="J235" s="91"/>
      <c r="K235" s="91"/>
      <c r="L235" s="91"/>
      <c r="M235" s="91" t="s">
        <v>2658</v>
      </c>
      <c r="N235" s="91">
        <v>0.002424</v>
      </c>
      <c r="O235" s="91">
        <v>0.001908</v>
      </c>
      <c r="P235" s="91"/>
      <c r="Q235" s="91"/>
      <c r="R235" s="91"/>
      <c r="S235" s="91"/>
      <c r="T235" s="91"/>
      <c r="U235" s="91"/>
      <c r="V235" s="91"/>
      <c r="W235" s="91"/>
      <c r="X235" s="91"/>
      <c r="Y235" s="91"/>
    </row>
    <row r="236">
      <c r="B236" s="91"/>
      <c r="C236" s="91"/>
      <c r="D236" s="98"/>
      <c r="F236" s="91"/>
      <c r="G236" s="91"/>
      <c r="H236" s="98"/>
      <c r="J236" s="91"/>
      <c r="K236" s="91"/>
      <c r="L236" s="91"/>
      <c r="M236" s="91" t="s">
        <v>2791</v>
      </c>
      <c r="N236" s="91">
        <v>0.002424</v>
      </c>
      <c r="O236" s="91">
        <v>0.001908</v>
      </c>
      <c r="P236" s="91"/>
      <c r="Q236" s="91"/>
      <c r="R236" s="91"/>
      <c r="S236" s="91"/>
      <c r="T236" s="91"/>
      <c r="U236" s="91"/>
      <c r="V236" s="91"/>
      <c r="W236" s="91"/>
      <c r="X236" s="91"/>
      <c r="Y236" s="91"/>
    </row>
    <row r="237">
      <c r="B237" s="91"/>
      <c r="C237" s="91"/>
      <c r="D237" s="98"/>
      <c r="F237" s="91"/>
      <c r="G237" s="91"/>
      <c r="H237" s="98"/>
      <c r="J237" s="91"/>
      <c r="K237" s="91"/>
      <c r="L237" s="91"/>
      <c r="M237" s="91" t="s">
        <v>4032</v>
      </c>
      <c r="N237" s="91">
        <v>0.002424</v>
      </c>
      <c r="O237" s="91">
        <v>0.001908</v>
      </c>
      <c r="P237" s="91"/>
      <c r="Q237" s="91"/>
      <c r="R237" s="91"/>
      <c r="S237" s="91"/>
      <c r="T237" s="91"/>
      <c r="U237" s="91"/>
      <c r="V237" s="91"/>
      <c r="W237" s="91"/>
      <c r="X237" s="91"/>
      <c r="Y237" s="91"/>
    </row>
    <row r="238">
      <c r="B238" s="91"/>
      <c r="C238" s="91"/>
      <c r="D238" s="98"/>
      <c r="F238" s="91"/>
      <c r="G238" s="91"/>
      <c r="H238" s="98"/>
      <c r="J238" s="91"/>
      <c r="K238" s="91"/>
      <c r="L238" s="91"/>
      <c r="M238" s="91" t="s">
        <v>3232</v>
      </c>
      <c r="N238" s="91">
        <v>0.002424</v>
      </c>
      <c r="O238" s="91">
        <v>0.001908</v>
      </c>
      <c r="P238" s="91"/>
      <c r="Q238" s="91"/>
      <c r="R238" s="91"/>
      <c r="S238" s="91"/>
      <c r="T238" s="91"/>
      <c r="U238" s="91"/>
      <c r="V238" s="91"/>
      <c r="W238" s="91"/>
      <c r="X238" s="91"/>
      <c r="Y238" s="91"/>
    </row>
    <row r="239">
      <c r="B239" s="91"/>
      <c r="C239" s="91"/>
      <c r="D239" s="98"/>
      <c r="F239" s="91"/>
      <c r="G239" s="91"/>
      <c r="H239" s="98"/>
      <c r="J239" s="91"/>
      <c r="K239" s="91"/>
      <c r="L239" s="91"/>
      <c r="M239" s="91" t="s">
        <v>4028</v>
      </c>
      <c r="N239" s="91">
        <v>0.002424</v>
      </c>
      <c r="O239" s="91">
        <v>0.001908</v>
      </c>
      <c r="P239" s="91"/>
      <c r="Q239" s="91"/>
      <c r="R239" s="91"/>
      <c r="S239" s="91"/>
      <c r="T239" s="91"/>
      <c r="U239" s="91"/>
      <c r="V239" s="91"/>
      <c r="W239" s="91"/>
      <c r="X239" s="91"/>
      <c r="Y239" s="91"/>
    </row>
    <row r="240">
      <c r="B240" s="91"/>
      <c r="C240" s="91"/>
      <c r="D240" s="98"/>
      <c r="F240" s="91"/>
      <c r="G240" s="91"/>
      <c r="H240" s="98"/>
      <c r="J240" s="91"/>
      <c r="K240" s="91"/>
      <c r="L240" s="91"/>
      <c r="M240" s="91" t="s">
        <v>4263</v>
      </c>
      <c r="N240" s="91">
        <v>0.002424</v>
      </c>
      <c r="O240" s="91">
        <v>0.001908</v>
      </c>
      <c r="P240" s="91"/>
      <c r="Q240" s="91"/>
      <c r="R240" s="91"/>
      <c r="S240" s="91"/>
      <c r="T240" s="91"/>
      <c r="U240" s="91"/>
      <c r="V240" s="91"/>
      <c r="W240" s="91"/>
      <c r="X240" s="91"/>
      <c r="Y240" s="91"/>
    </row>
    <row r="241">
      <c r="B241" s="91"/>
      <c r="C241" s="91"/>
      <c r="D241" s="98"/>
      <c r="F241" s="91"/>
      <c r="G241" s="91"/>
      <c r="H241" s="98"/>
      <c r="J241" s="91"/>
      <c r="K241" s="91"/>
      <c r="L241" s="91"/>
      <c r="M241" s="91" t="s">
        <v>3719</v>
      </c>
      <c r="N241" s="91">
        <v>0.002424</v>
      </c>
      <c r="O241" s="91">
        <v>0.001908</v>
      </c>
      <c r="P241" s="91"/>
      <c r="Q241" s="91"/>
      <c r="R241" s="91"/>
      <c r="S241" s="91"/>
      <c r="T241" s="91"/>
      <c r="U241" s="91"/>
      <c r="V241" s="91"/>
      <c r="W241" s="91"/>
      <c r="X241" s="91"/>
      <c r="Y241" s="91"/>
    </row>
    <row r="242">
      <c r="B242" s="91"/>
      <c r="C242" s="91"/>
      <c r="D242" s="98"/>
      <c r="F242" s="91"/>
      <c r="G242" s="91"/>
      <c r="H242" s="98"/>
      <c r="J242" s="91"/>
      <c r="K242" s="91"/>
      <c r="L242" s="91"/>
      <c r="M242" s="91" t="s">
        <v>3139</v>
      </c>
      <c r="N242" s="91">
        <v>0.002424</v>
      </c>
      <c r="O242" s="91">
        <v>0.001908</v>
      </c>
      <c r="P242" s="91"/>
      <c r="Q242" s="91"/>
      <c r="R242" s="91"/>
      <c r="S242" s="91"/>
      <c r="T242" s="91"/>
      <c r="U242" s="91"/>
      <c r="V242" s="91"/>
      <c r="W242" s="91"/>
      <c r="X242" s="91"/>
      <c r="Y242" s="91"/>
    </row>
    <row r="243">
      <c r="B243" s="91"/>
      <c r="C243" s="91"/>
      <c r="D243" s="98"/>
      <c r="F243" s="91"/>
      <c r="G243" s="91"/>
      <c r="H243" s="98"/>
      <c r="J243" s="91"/>
      <c r="K243" s="91"/>
      <c r="L243" s="91"/>
      <c r="M243" s="91" t="s">
        <v>3118</v>
      </c>
      <c r="N243" s="91">
        <v>0.002424</v>
      </c>
      <c r="O243" s="91">
        <v>0.001908</v>
      </c>
      <c r="P243" s="91"/>
      <c r="Q243" s="91"/>
      <c r="R243" s="91"/>
      <c r="S243" s="91"/>
      <c r="T243" s="91"/>
      <c r="U243" s="91"/>
      <c r="V243" s="91"/>
      <c r="W243" s="91"/>
      <c r="X243" s="91"/>
      <c r="Y243" s="91"/>
    </row>
    <row r="244">
      <c r="B244" s="91"/>
      <c r="C244" s="91"/>
      <c r="D244" s="98"/>
      <c r="F244" s="91"/>
      <c r="G244" s="91"/>
      <c r="H244" s="98"/>
      <c r="J244" s="91"/>
      <c r="K244" s="91"/>
      <c r="L244" s="91"/>
      <c r="M244" s="91" t="s">
        <v>3313</v>
      </c>
      <c r="N244" s="91">
        <v>0.002424</v>
      </c>
      <c r="O244" s="91">
        <v>0.001908</v>
      </c>
      <c r="P244" s="91"/>
      <c r="Q244" s="91"/>
      <c r="R244" s="91"/>
      <c r="S244" s="91"/>
      <c r="T244" s="91"/>
      <c r="U244" s="91"/>
      <c r="V244" s="91"/>
      <c r="W244" s="91"/>
      <c r="X244" s="91"/>
      <c r="Y244" s="91"/>
    </row>
    <row r="245">
      <c r="B245" s="91"/>
      <c r="C245" s="91"/>
      <c r="D245" s="98"/>
      <c r="F245" s="91"/>
      <c r="G245" s="91"/>
      <c r="H245" s="98"/>
      <c r="J245" s="91"/>
      <c r="K245" s="91"/>
      <c r="L245" s="91"/>
      <c r="M245" s="91" t="s">
        <v>2687</v>
      </c>
      <c r="N245" s="91">
        <v>0.002424</v>
      </c>
      <c r="O245" s="91">
        <v>0.001908</v>
      </c>
      <c r="P245" s="91"/>
      <c r="Q245" s="91"/>
      <c r="R245" s="91"/>
      <c r="S245" s="91"/>
      <c r="T245" s="91"/>
      <c r="U245" s="91"/>
      <c r="V245" s="91"/>
      <c r="W245" s="91"/>
      <c r="X245" s="91"/>
      <c r="Y245" s="91"/>
    </row>
    <row r="246">
      <c r="B246" s="91"/>
      <c r="C246" s="91"/>
      <c r="D246" s="98"/>
      <c r="F246" s="91"/>
      <c r="G246" s="91"/>
      <c r="H246" s="98"/>
      <c r="J246" s="91"/>
      <c r="K246" s="91"/>
      <c r="L246" s="91"/>
      <c r="M246" s="91" t="s">
        <v>3754</v>
      </c>
      <c r="N246" s="91">
        <v>0.002424</v>
      </c>
      <c r="O246" s="91">
        <v>0.001908</v>
      </c>
      <c r="P246" s="91"/>
      <c r="Q246" s="91"/>
      <c r="R246" s="91"/>
      <c r="S246" s="91"/>
      <c r="T246" s="91"/>
      <c r="U246" s="91"/>
      <c r="V246" s="91"/>
      <c r="W246" s="91"/>
      <c r="X246" s="91"/>
      <c r="Y246" s="91"/>
    </row>
    <row r="247">
      <c r="B247" s="91"/>
      <c r="C247" s="91"/>
      <c r="D247" s="98"/>
      <c r="F247" s="91"/>
      <c r="G247" s="91"/>
      <c r="H247" s="98"/>
      <c r="J247" s="91"/>
      <c r="K247" s="91"/>
      <c r="L247" s="91"/>
      <c r="M247" s="91" t="s">
        <v>4060</v>
      </c>
      <c r="N247" s="91">
        <v>0.002424</v>
      </c>
      <c r="O247" s="91">
        <v>0.001908</v>
      </c>
      <c r="P247" s="91"/>
      <c r="Q247" s="91"/>
      <c r="R247" s="91"/>
      <c r="S247" s="91"/>
      <c r="T247" s="91"/>
      <c r="U247" s="91"/>
      <c r="V247" s="91"/>
      <c r="W247" s="91"/>
      <c r="X247" s="91"/>
      <c r="Y247" s="91"/>
    </row>
    <row r="248">
      <c r="B248" s="91"/>
      <c r="C248" s="91"/>
      <c r="D248" s="98"/>
      <c r="F248" s="91"/>
      <c r="G248" s="91"/>
      <c r="H248" s="98"/>
      <c r="J248" s="91"/>
      <c r="K248" s="91"/>
      <c r="L248" s="91"/>
      <c r="M248" s="91" t="s">
        <v>2706</v>
      </c>
      <c r="N248" s="91">
        <v>0.002424</v>
      </c>
      <c r="O248" s="91">
        <v>0.001908</v>
      </c>
      <c r="P248" s="91"/>
      <c r="Q248" s="91"/>
      <c r="R248" s="91"/>
      <c r="S248" s="91"/>
      <c r="T248" s="91"/>
      <c r="U248" s="91"/>
      <c r="V248" s="91"/>
      <c r="W248" s="91"/>
      <c r="X248" s="91"/>
      <c r="Y248" s="91"/>
    </row>
    <row r="249">
      <c r="B249" s="91"/>
      <c r="C249" s="91"/>
      <c r="D249" s="98"/>
      <c r="F249" s="91"/>
      <c r="G249" s="91"/>
      <c r="H249" s="98"/>
      <c r="J249" s="91"/>
      <c r="K249" s="91"/>
      <c r="L249" s="91"/>
      <c r="M249" s="91" t="s">
        <v>3839</v>
      </c>
      <c r="N249" s="91">
        <v>0.002424</v>
      </c>
      <c r="O249" s="91">
        <v>0.001908</v>
      </c>
      <c r="P249" s="91"/>
      <c r="Q249" s="91"/>
      <c r="R249" s="91"/>
      <c r="S249" s="91"/>
      <c r="T249" s="91"/>
      <c r="U249" s="91"/>
      <c r="V249" s="91"/>
      <c r="W249" s="91"/>
      <c r="X249" s="91"/>
      <c r="Y249" s="91"/>
    </row>
    <row r="250">
      <c r="B250" s="91"/>
      <c r="C250" s="91"/>
      <c r="D250" s="98"/>
      <c r="F250" s="91"/>
      <c r="G250" s="91"/>
      <c r="H250" s="98"/>
      <c r="J250" s="91"/>
      <c r="K250" s="91"/>
      <c r="L250" s="91"/>
      <c r="M250" s="91" t="s">
        <v>3668</v>
      </c>
      <c r="N250" s="91">
        <v>0.002424</v>
      </c>
      <c r="O250" s="91">
        <v>0.001908</v>
      </c>
      <c r="P250" s="91"/>
      <c r="Q250" s="91"/>
      <c r="R250" s="91"/>
      <c r="S250" s="91"/>
      <c r="T250" s="91"/>
      <c r="U250" s="91"/>
      <c r="V250" s="91"/>
      <c r="W250" s="91"/>
      <c r="X250" s="91"/>
      <c r="Y250" s="91"/>
    </row>
    <row r="251">
      <c r="B251" s="91"/>
      <c r="C251" s="91"/>
      <c r="D251" s="98"/>
      <c r="F251" s="91"/>
      <c r="G251" s="91"/>
      <c r="H251" s="98"/>
      <c r="J251" s="91"/>
      <c r="K251" s="91"/>
      <c r="L251" s="91"/>
      <c r="M251" s="91" t="s">
        <v>4235</v>
      </c>
      <c r="N251" s="91">
        <v>0.002424</v>
      </c>
      <c r="O251" s="91">
        <v>0.001908</v>
      </c>
      <c r="P251" s="91"/>
      <c r="Q251" s="91"/>
      <c r="R251" s="91"/>
      <c r="S251" s="91"/>
      <c r="T251" s="91"/>
      <c r="U251" s="91"/>
      <c r="V251" s="91"/>
      <c r="W251" s="91"/>
      <c r="X251" s="91"/>
      <c r="Y251" s="91"/>
    </row>
    <row r="252">
      <c r="B252" s="91"/>
      <c r="C252" s="91"/>
      <c r="D252" s="98"/>
      <c r="F252" s="91"/>
      <c r="G252" s="91"/>
      <c r="H252" s="98"/>
      <c r="J252" s="91"/>
      <c r="K252" s="91"/>
      <c r="L252" s="91"/>
      <c r="M252" s="91" t="s">
        <v>4031</v>
      </c>
      <c r="N252" s="91">
        <v>0.002424</v>
      </c>
      <c r="O252" s="91">
        <v>0.001908</v>
      </c>
      <c r="P252" s="91"/>
      <c r="Q252" s="91"/>
      <c r="R252" s="91"/>
      <c r="S252" s="91"/>
      <c r="T252" s="91"/>
      <c r="U252" s="91"/>
      <c r="V252" s="91"/>
      <c r="W252" s="91"/>
      <c r="X252" s="91"/>
      <c r="Y252" s="91"/>
    </row>
    <row r="253">
      <c r="B253" s="91"/>
      <c r="C253" s="91"/>
      <c r="D253" s="98"/>
      <c r="F253" s="91"/>
      <c r="G253" s="91"/>
      <c r="H253" s="98"/>
      <c r="J253" s="91"/>
      <c r="K253" s="91"/>
      <c r="L253" s="91"/>
      <c r="M253" s="91" t="s">
        <v>4124</v>
      </c>
      <c r="N253" s="91">
        <v>0.002424</v>
      </c>
      <c r="O253" s="91">
        <v>0.001908</v>
      </c>
      <c r="P253" s="91"/>
      <c r="Q253" s="91"/>
      <c r="R253" s="91"/>
      <c r="S253" s="91"/>
      <c r="T253" s="91"/>
      <c r="U253" s="91"/>
      <c r="V253" s="91"/>
      <c r="W253" s="91"/>
      <c r="X253" s="91"/>
      <c r="Y253" s="91"/>
    </row>
    <row r="254">
      <c r="B254" s="91"/>
      <c r="C254" s="91"/>
      <c r="D254" s="98"/>
      <c r="F254" s="91"/>
      <c r="G254" s="91"/>
      <c r="H254" s="98"/>
      <c r="J254" s="91"/>
      <c r="K254" s="91"/>
      <c r="L254" s="91"/>
      <c r="M254" s="91" t="s">
        <v>2951</v>
      </c>
      <c r="N254" s="91">
        <v>0.001212</v>
      </c>
      <c r="O254" s="91">
        <v>0.001908</v>
      </c>
      <c r="P254" s="91"/>
      <c r="Q254" s="91"/>
      <c r="R254" s="91"/>
      <c r="S254" s="91"/>
      <c r="T254" s="91"/>
      <c r="U254" s="91"/>
      <c r="V254" s="91"/>
      <c r="W254" s="91"/>
      <c r="X254" s="91"/>
      <c r="Y254" s="91"/>
    </row>
    <row r="255">
      <c r="B255" s="91"/>
      <c r="C255" s="91"/>
      <c r="D255" s="98"/>
      <c r="F255" s="91"/>
      <c r="G255" s="91"/>
      <c r="H255" s="98"/>
      <c r="J255" s="91"/>
      <c r="K255" s="91"/>
      <c r="L255" s="91"/>
      <c r="M255" s="91" t="s">
        <v>3825</v>
      </c>
      <c r="N255" s="91">
        <v>0.001212</v>
      </c>
      <c r="O255" s="91">
        <v>0.001908</v>
      </c>
      <c r="P255" s="91"/>
      <c r="Q255" s="91"/>
      <c r="R255" s="91"/>
      <c r="S255" s="91"/>
      <c r="T255" s="91"/>
      <c r="U255" s="91"/>
      <c r="V255" s="91"/>
      <c r="W255" s="91"/>
      <c r="X255" s="91"/>
      <c r="Y255" s="91"/>
    </row>
    <row r="256">
      <c r="B256" s="91"/>
      <c r="C256" s="91"/>
      <c r="D256" s="98"/>
      <c r="F256" s="91"/>
      <c r="G256" s="91"/>
      <c r="H256" s="98"/>
      <c r="J256" s="91"/>
      <c r="K256" s="91"/>
      <c r="L256" s="91"/>
      <c r="M256" s="91" t="s">
        <v>2521</v>
      </c>
      <c r="N256" s="91">
        <v>0.001212</v>
      </c>
      <c r="O256" s="91">
        <v>0.001908</v>
      </c>
      <c r="P256" s="91"/>
      <c r="Q256" s="91"/>
      <c r="R256" s="91"/>
      <c r="S256" s="91"/>
      <c r="T256" s="91"/>
      <c r="U256" s="91"/>
      <c r="V256" s="91"/>
      <c r="W256" s="91"/>
      <c r="X256" s="91"/>
      <c r="Y256" s="91"/>
    </row>
    <row r="257">
      <c r="B257" s="91"/>
      <c r="C257" s="91"/>
      <c r="D257" s="98"/>
      <c r="F257" s="91"/>
      <c r="G257" s="91"/>
      <c r="H257" s="98"/>
      <c r="J257" s="91"/>
      <c r="K257" s="91"/>
      <c r="L257" s="91"/>
      <c r="M257" s="91" t="s">
        <v>3351</v>
      </c>
      <c r="N257" s="91">
        <v>0.001212</v>
      </c>
      <c r="O257" s="91">
        <v>0.001908</v>
      </c>
      <c r="P257" s="91"/>
      <c r="Q257" s="91"/>
      <c r="R257" s="91"/>
      <c r="S257" s="91"/>
      <c r="T257" s="91"/>
      <c r="U257" s="91"/>
      <c r="V257" s="91"/>
      <c r="W257" s="91"/>
      <c r="X257" s="91"/>
      <c r="Y257" s="91"/>
    </row>
    <row r="258">
      <c r="B258" s="91"/>
      <c r="C258" s="91"/>
      <c r="D258" s="98"/>
      <c r="F258" s="91"/>
      <c r="G258" s="91"/>
      <c r="H258" s="98"/>
      <c r="J258" s="91"/>
      <c r="K258" s="91"/>
      <c r="L258" s="91"/>
      <c r="M258" s="91" t="s">
        <v>3419</v>
      </c>
      <c r="N258" s="91">
        <v>0.001212</v>
      </c>
      <c r="O258" s="91">
        <v>0.001908</v>
      </c>
      <c r="P258" s="91"/>
      <c r="Q258" s="91"/>
      <c r="R258" s="91"/>
      <c r="S258" s="91"/>
      <c r="T258" s="91"/>
      <c r="U258" s="91"/>
      <c r="V258" s="91"/>
      <c r="W258" s="91"/>
      <c r="X258" s="91"/>
      <c r="Y258" s="91"/>
    </row>
    <row r="259">
      <c r="B259" s="91"/>
      <c r="C259" s="91"/>
      <c r="D259" s="98"/>
      <c r="F259" s="91"/>
      <c r="G259" s="91"/>
      <c r="H259" s="98"/>
      <c r="J259" s="91"/>
      <c r="K259" s="91"/>
      <c r="L259" s="91"/>
      <c r="M259" s="91" t="s">
        <v>4350</v>
      </c>
      <c r="N259" s="91">
        <v>0.0</v>
      </c>
      <c r="O259" s="91">
        <v>0.001908</v>
      </c>
      <c r="P259" s="91"/>
      <c r="Q259" s="91"/>
      <c r="R259" s="91"/>
      <c r="S259" s="91"/>
      <c r="T259" s="91"/>
      <c r="U259" s="91"/>
      <c r="V259" s="91"/>
      <c r="W259" s="91"/>
      <c r="X259" s="91"/>
      <c r="Y259" s="91"/>
    </row>
    <row r="260">
      <c r="B260" s="91"/>
      <c r="C260" s="91"/>
      <c r="D260" s="98"/>
      <c r="F260" s="91"/>
      <c r="G260" s="91"/>
      <c r="H260" s="98"/>
      <c r="J260" s="91"/>
      <c r="K260" s="91"/>
      <c r="L260" s="91"/>
      <c r="M260" s="91" t="s">
        <v>4334</v>
      </c>
      <c r="N260" s="91">
        <v>0.0</v>
      </c>
      <c r="O260" s="91">
        <v>0.001908</v>
      </c>
      <c r="P260" s="91"/>
      <c r="Q260" s="91"/>
      <c r="R260" s="91"/>
      <c r="S260" s="91"/>
      <c r="T260" s="91"/>
      <c r="U260" s="91"/>
      <c r="V260" s="91"/>
      <c r="W260" s="91"/>
      <c r="X260" s="91"/>
      <c r="Y260" s="91"/>
    </row>
    <row r="261">
      <c r="B261" s="91"/>
      <c r="C261" s="91"/>
      <c r="D261" s="98"/>
      <c r="F261" s="91"/>
      <c r="G261" s="91"/>
      <c r="H261" s="98"/>
      <c r="J261" s="91"/>
      <c r="K261" s="91"/>
      <c r="L261" s="91"/>
      <c r="M261" s="91" t="s">
        <v>4345</v>
      </c>
      <c r="N261" s="91">
        <v>0.0</v>
      </c>
      <c r="O261" s="91">
        <v>0.001908</v>
      </c>
      <c r="P261" s="91"/>
      <c r="Q261" s="91"/>
      <c r="R261" s="91"/>
      <c r="S261" s="91"/>
      <c r="T261" s="91"/>
      <c r="U261" s="91"/>
      <c r="V261" s="91"/>
      <c r="W261" s="91"/>
      <c r="X261" s="91"/>
      <c r="Y261" s="91"/>
    </row>
    <row r="262">
      <c r="B262" s="91"/>
      <c r="C262" s="91"/>
      <c r="D262" s="98"/>
      <c r="F262" s="91"/>
      <c r="G262" s="91"/>
      <c r="H262" s="98"/>
      <c r="J262" s="91"/>
      <c r="K262" s="91"/>
      <c r="L262" s="91"/>
      <c r="M262" s="91" t="s">
        <v>4335</v>
      </c>
      <c r="N262" s="91">
        <v>0.0</v>
      </c>
      <c r="O262" s="91">
        <v>0.001908</v>
      </c>
      <c r="P262" s="91"/>
      <c r="Q262" s="91"/>
      <c r="R262" s="91"/>
      <c r="S262" s="91"/>
      <c r="T262" s="91"/>
      <c r="U262" s="91"/>
      <c r="V262" s="91"/>
      <c r="W262" s="91"/>
      <c r="X262" s="91"/>
      <c r="Y262" s="91"/>
    </row>
    <row r="263">
      <c r="B263" s="91"/>
      <c r="C263" s="91"/>
      <c r="D263" s="98"/>
      <c r="F263" s="91"/>
      <c r="G263" s="91"/>
      <c r="H263" s="98"/>
      <c r="J263" s="91"/>
      <c r="K263" s="91"/>
      <c r="L263" s="91"/>
      <c r="M263" s="91" t="s">
        <v>2530</v>
      </c>
      <c r="N263" s="91">
        <v>0.006061</v>
      </c>
      <c r="O263" s="91">
        <v>0.0</v>
      </c>
      <c r="P263" s="91"/>
      <c r="Q263" s="91"/>
      <c r="R263" s="91"/>
      <c r="S263" s="91"/>
      <c r="T263" s="91"/>
      <c r="U263" s="91"/>
      <c r="V263" s="91"/>
      <c r="W263" s="91"/>
      <c r="X263" s="91"/>
      <c r="Y263" s="91"/>
    </row>
    <row r="264">
      <c r="B264" s="91"/>
      <c r="C264" s="91"/>
      <c r="D264" s="98"/>
      <c r="F264" s="91"/>
      <c r="G264" s="91"/>
      <c r="H264" s="98"/>
      <c r="J264" s="91"/>
      <c r="K264" s="91"/>
      <c r="L264" s="91"/>
      <c r="M264" s="91" t="s">
        <v>3687</v>
      </c>
      <c r="N264" s="91">
        <v>0.004848</v>
      </c>
      <c r="O264" s="91">
        <v>0.0</v>
      </c>
      <c r="P264" s="91"/>
      <c r="Q264" s="91"/>
      <c r="R264" s="91"/>
      <c r="S264" s="91"/>
      <c r="T264" s="91"/>
      <c r="U264" s="91"/>
      <c r="V264" s="91"/>
      <c r="W264" s="91"/>
      <c r="X264" s="91"/>
      <c r="Y264" s="91"/>
    </row>
    <row r="265">
      <c r="B265" s="91"/>
      <c r="C265" s="91"/>
      <c r="D265" s="98"/>
      <c r="F265" s="91"/>
      <c r="G265" s="91"/>
      <c r="H265" s="98"/>
      <c r="J265" s="91"/>
      <c r="K265" s="91"/>
      <c r="L265" s="91"/>
      <c r="M265" s="91" t="s">
        <v>3081</v>
      </c>
      <c r="N265" s="91">
        <v>0.002424</v>
      </c>
      <c r="O265" s="91">
        <v>0.0</v>
      </c>
      <c r="P265" s="91"/>
      <c r="Q265" s="91"/>
      <c r="R265" s="91"/>
      <c r="S265" s="91"/>
      <c r="T265" s="91"/>
      <c r="U265" s="91"/>
      <c r="V265" s="91"/>
      <c r="W265" s="91"/>
      <c r="X265" s="91"/>
      <c r="Y265" s="91"/>
    </row>
    <row r="266">
      <c r="B266" s="91"/>
      <c r="C266" s="91"/>
      <c r="D266" s="98"/>
      <c r="F266" s="91"/>
      <c r="G266" s="91"/>
      <c r="H266" s="98"/>
      <c r="J266" s="91"/>
      <c r="K266" s="91"/>
      <c r="L266" s="91"/>
      <c r="M266" s="91" t="s">
        <v>3566</v>
      </c>
      <c r="N266" s="91">
        <v>0.002424</v>
      </c>
      <c r="O266" s="91">
        <v>0.0</v>
      </c>
      <c r="P266" s="91"/>
      <c r="Q266" s="91"/>
      <c r="R266" s="91"/>
      <c r="S266" s="91"/>
      <c r="T266" s="91"/>
      <c r="U266" s="91"/>
      <c r="V266" s="91"/>
      <c r="W266" s="91"/>
      <c r="X266" s="91"/>
      <c r="Y266" s="91"/>
    </row>
    <row r="267">
      <c r="B267" s="91"/>
      <c r="C267" s="91"/>
      <c r="D267" s="98"/>
      <c r="F267" s="91"/>
      <c r="G267" s="91"/>
      <c r="H267" s="98"/>
      <c r="J267" s="91"/>
      <c r="K267" s="91"/>
      <c r="L267" s="91"/>
      <c r="M267" s="91" t="s">
        <v>4301</v>
      </c>
      <c r="N267" s="91">
        <v>0.002424</v>
      </c>
      <c r="O267" s="91">
        <v>0.0</v>
      </c>
      <c r="P267" s="91"/>
      <c r="Q267" s="91"/>
      <c r="R267" s="91"/>
      <c r="S267" s="91"/>
      <c r="T267" s="91"/>
      <c r="U267" s="91"/>
      <c r="V267" s="91"/>
      <c r="W267" s="91"/>
      <c r="X267" s="91"/>
      <c r="Y267" s="91"/>
    </row>
    <row r="268">
      <c r="B268" s="91"/>
      <c r="C268" s="91"/>
      <c r="D268" s="98"/>
      <c r="F268" s="91"/>
      <c r="G268" s="91"/>
      <c r="H268" s="98"/>
      <c r="J268" s="91"/>
      <c r="K268" s="91"/>
      <c r="L268" s="91"/>
      <c r="M268" s="91" t="s">
        <v>3584</v>
      </c>
      <c r="N268" s="91">
        <v>0.002424</v>
      </c>
      <c r="O268" s="91">
        <v>0.0</v>
      </c>
      <c r="P268" s="91"/>
      <c r="Q268" s="91"/>
      <c r="R268" s="91"/>
      <c r="S268" s="91"/>
      <c r="T268" s="91"/>
      <c r="U268" s="91"/>
      <c r="V268" s="91"/>
      <c r="W268" s="91"/>
      <c r="X268" s="91"/>
      <c r="Y268" s="91"/>
    </row>
    <row r="269">
      <c r="B269" s="91"/>
      <c r="C269" s="91"/>
      <c r="D269" s="98"/>
      <c r="F269" s="91"/>
      <c r="G269" s="91"/>
      <c r="H269" s="98"/>
      <c r="J269" s="91"/>
      <c r="K269" s="91"/>
      <c r="L269" s="91"/>
      <c r="M269" s="91" t="s">
        <v>4324</v>
      </c>
      <c r="N269" s="91">
        <v>0.001212</v>
      </c>
      <c r="O269" s="91">
        <v>0.0</v>
      </c>
      <c r="P269" s="91"/>
      <c r="Q269" s="91"/>
      <c r="R269" s="91"/>
      <c r="S269" s="91"/>
      <c r="T269" s="91"/>
      <c r="U269" s="91"/>
      <c r="V269" s="91"/>
      <c r="W269" s="91"/>
      <c r="X269" s="91"/>
      <c r="Y269" s="91"/>
    </row>
  </sheetData>
  <mergeCells count="1">
    <mergeCell ref="A1:L1"/>
  </mergeCells>
  <conditionalFormatting sqref="W3:W152 Y3:Y152">
    <cfRule type="cellIs" dxfId="3" priority="1" operator="equal">
      <formula>0</formula>
    </cfRule>
  </conditionalFormatting>
  <drawing r:id="rId1"/>
</worksheet>
</file>